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hidePivotFieldList="1" defaultThemeVersion="166925"/>
  <mc:AlternateContent xmlns:mc="http://schemas.openxmlformats.org/markup-compatibility/2006">
    <mc:Choice Requires="x15">
      <x15ac:absPath xmlns:x15ac="http://schemas.microsoft.com/office/spreadsheetml/2010/11/ac" url="https://d.docs.live.net/7b372badfe25b840/DEE TEC DE MONTERREY/SLR IA EDUCATION/"/>
    </mc:Choice>
  </mc:AlternateContent>
  <xr:revisionPtr revIDLastSave="0" documentId="8_{A1578A3E-5377-458B-9ED5-6D6457EF624B}" xr6:coauthVersionLast="47" xr6:coauthVersionMax="47" xr10:uidLastSave="{00000000-0000-0000-0000-000000000000}"/>
  <bookViews>
    <workbookView xWindow="-108" yWindow="-108" windowWidth="23256" windowHeight="12456" xr2:uid="{00000000-000D-0000-FFFF-FFFF00000000}"/>
  </bookViews>
  <sheets>
    <sheet name="Searchstrings" sheetId="15" r:id="rId1"/>
    <sheet name="ScopusInitial" sheetId="17" r:id="rId2"/>
    <sheet name="WOSInitial" sheetId="18" r:id="rId3"/>
    <sheet name="ScopusF1" sheetId="19" r:id="rId4"/>
    <sheet name="WOSF1" sheetId="20" r:id="rId5"/>
    <sheet name="ScopusF2" sheetId="21" r:id="rId6"/>
    <sheet name="WOSF2" sheetId="22" r:id="rId7"/>
    <sheet name="DBS&amp;WOS" sheetId="23" r:id="rId8"/>
    <sheet name="F3" sheetId="24" r:id="rId9"/>
    <sheet name="F4" sheetId="25" r:id="rId10"/>
    <sheet name="F5" sheetId="26" r:id="rId11"/>
    <sheet name="ELEGIBILITY" sheetId="27" r:id="rId12"/>
    <sheet name="ELEGIBILITY FINAL" sheetId="29" r:id="rId13"/>
    <sheet name="DATABASEFINAL" sheetId="30" r:id="rId14"/>
  </sheets>
  <definedNames>
    <definedName name="_xlnm._FilterDatabase" localSheetId="13" hidden="1">DATABASEFINAL!$A$1:$ET$84</definedName>
    <definedName name="_xlnm._FilterDatabase" localSheetId="7" hidden="1">'DBS&amp;WOS'!$A$1:$BZ$1</definedName>
    <definedName name="_xlnm._FilterDatabase" localSheetId="11" hidden="1">ELEGIBILITY!$B$1:$DD$183</definedName>
    <definedName name="_xlnm._FilterDatabase" localSheetId="12" hidden="1">'ELEGIBILITY FINAL'!$A$1:$BP$1</definedName>
    <definedName name="_xlnm._FilterDatabase" localSheetId="8" hidden="1">'F3'!$A$1:$DN$1</definedName>
    <definedName name="_xlnm._FilterDatabase" localSheetId="9" hidden="1">'F4'!$A$1:$DC$627</definedName>
    <definedName name="_xlnm._FilterDatabase" localSheetId="10" hidden="1">'F5'!$B$1:$DD$183</definedName>
    <definedName name="_xlnm._FilterDatabase" localSheetId="3" hidden="1">ScopusF1!$A$1:$DO$1</definedName>
    <definedName name="_xlnm._FilterDatabase" localSheetId="5" hidden="1">ScopusF2!$A$1:$CA$1</definedName>
    <definedName name="_xlnm._FilterDatabase" localSheetId="1" hidden="1">ScopusInitial!$A$1:$DO$1</definedName>
    <definedName name="_xlnm._FilterDatabase" localSheetId="4" hidden="1">WOSF1!$A$1:$BU$1</definedName>
    <definedName name="_xlnm._FilterDatabase" localSheetId="6" hidden="1">WOSF2!$A$1:$M$1</definedName>
    <definedName name="_xlnm._FilterDatabase" localSheetId="2" hidden="1">WOSInitial!$A$1:$BU$1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1" i="30" l="1"/>
  <c r="H59" i="30"/>
  <c r="H43" i="30"/>
  <c r="H24" i="30"/>
  <c r="H22" i="30"/>
  <c r="H16" i="30"/>
  <c r="H7" i="30"/>
  <c r="H79" i="30"/>
  <c r="H6" i="30"/>
  <c r="H69" i="30"/>
  <c r="H37" i="30"/>
  <c r="H34" i="30"/>
  <c r="H3" i="30"/>
  <c r="H38" i="30"/>
  <c r="H21" i="30"/>
  <c r="H84" i="30"/>
  <c r="H80" i="30"/>
  <c r="H76" i="30"/>
  <c r="H72" i="30"/>
  <c r="H68" i="30"/>
  <c r="H65" i="30"/>
  <c r="H42" i="30"/>
  <c r="H33" i="30"/>
  <c r="H32" i="30"/>
  <c r="H30" i="30"/>
  <c r="H26" i="30"/>
  <c r="H15" i="30"/>
  <c r="H5" i="30"/>
  <c r="H31" i="30"/>
  <c r="H19" i="30"/>
  <c r="H17" i="30"/>
  <c r="H14" i="30"/>
  <c r="H9" i="30"/>
  <c r="H4" i="30"/>
  <c r="H28" i="30"/>
  <c r="H35" i="30"/>
  <c r="H36" i="30"/>
  <c r="H50" i="30"/>
  <c r="H45" i="30"/>
  <c r="H44" i="30"/>
  <c r="H29" i="30"/>
  <c r="H20" i="30"/>
  <c r="I21" i="29"/>
  <c r="I7" i="29"/>
  <c r="I80" i="29"/>
  <c r="I20" i="29"/>
  <c r="I4" i="29"/>
  <c r="I42" i="29"/>
  <c r="I24" i="29"/>
  <c r="I27" i="29"/>
  <c r="I72" i="29"/>
  <c r="I43" i="29"/>
  <c r="I22" i="29"/>
  <c r="I23" i="29"/>
  <c r="I28" i="29"/>
  <c r="I57" i="29"/>
  <c r="I30" i="29"/>
  <c r="I69" i="29"/>
  <c r="I71" i="29"/>
  <c r="I38" i="29"/>
  <c r="I45" i="29"/>
  <c r="I65" i="29"/>
  <c r="I31" i="29"/>
  <c r="I9" i="29"/>
  <c r="I26" i="29"/>
  <c r="I5" i="29"/>
  <c r="I49" i="29"/>
  <c r="I102" i="27"/>
  <c r="I98" i="27"/>
  <c r="I96" i="27"/>
  <c r="I94" i="27"/>
  <c r="I90" i="27"/>
  <c r="I87" i="27"/>
  <c r="I84" i="27"/>
  <c r="I80" i="27"/>
  <c r="I77" i="27"/>
  <c r="I74" i="27"/>
  <c r="I68" i="27"/>
  <c r="I67" i="27"/>
  <c r="I57" i="27"/>
  <c r="I56" i="27"/>
  <c r="I54" i="27"/>
  <c r="I53" i="27"/>
  <c r="I48" i="27"/>
  <c r="I44" i="27"/>
  <c r="I42" i="27"/>
  <c r="I39" i="27"/>
  <c r="I38" i="27"/>
  <c r="I37" i="27"/>
  <c r="I36" i="27"/>
  <c r="I35" i="27"/>
  <c r="I32" i="27"/>
  <c r="I31" i="27"/>
  <c r="I28" i="27"/>
  <c r="I27" i="27"/>
  <c r="I15" i="27"/>
  <c r="I12" i="27"/>
  <c r="I5" i="27"/>
  <c r="I4" i="27"/>
  <c r="I3" i="27"/>
  <c r="I172" i="26"/>
  <c r="I169" i="26"/>
  <c r="I168" i="26"/>
  <c r="I160" i="26"/>
  <c r="I136" i="26"/>
  <c r="I135" i="26"/>
  <c r="I134" i="26"/>
  <c r="I132" i="26"/>
  <c r="I131" i="26"/>
  <c r="I129" i="26"/>
  <c r="I126" i="26"/>
  <c r="I125" i="26"/>
  <c r="I121" i="26"/>
  <c r="I117" i="26"/>
  <c r="I113" i="26"/>
  <c r="I112" i="26"/>
  <c r="I106" i="26"/>
  <c r="I102" i="26"/>
  <c r="I101" i="26"/>
  <c r="I92" i="26"/>
  <c r="I91" i="26"/>
  <c r="I74" i="26"/>
  <c r="I72" i="26"/>
  <c r="I68" i="26"/>
  <c r="I59" i="26"/>
  <c r="I54" i="26"/>
  <c r="I49" i="26"/>
  <c r="I45" i="26"/>
  <c r="I42" i="26"/>
  <c r="I41" i="26"/>
  <c r="I36" i="26"/>
  <c r="I26" i="26"/>
  <c r="I23" i="26"/>
  <c r="I22" i="26"/>
  <c r="I12" i="26"/>
  <c r="I6" i="26"/>
  <c r="I3" i="26"/>
  <c r="I19" i="26"/>
  <c r="I9" i="26"/>
  <c r="I5" i="26"/>
  <c r="I177" i="26"/>
  <c r="I171" i="26"/>
  <c r="I143" i="26"/>
  <c r="I138" i="26"/>
  <c r="I124" i="26"/>
  <c r="I120" i="26"/>
  <c r="I118" i="26"/>
  <c r="I93" i="26"/>
  <c r="I85" i="26"/>
  <c r="I70" i="26"/>
  <c r="I69" i="26"/>
  <c r="I65" i="26"/>
  <c r="I30" i="26"/>
  <c r="I18" i="26"/>
  <c r="I4" i="26"/>
  <c r="I2" i="26"/>
  <c r="I183" i="26"/>
  <c r="I179" i="26"/>
  <c r="I175" i="26"/>
  <c r="I173" i="26"/>
  <c r="I163" i="26"/>
  <c r="I157" i="26"/>
  <c r="I154" i="26"/>
  <c r="I146" i="26"/>
  <c r="I139" i="26"/>
  <c r="I119" i="26"/>
  <c r="I97" i="26"/>
  <c r="I96" i="26"/>
  <c r="I94" i="26"/>
  <c r="I81" i="26"/>
  <c r="I76" i="26"/>
  <c r="I66" i="26"/>
  <c r="I64" i="26"/>
  <c r="I61" i="26"/>
  <c r="I60" i="26"/>
  <c r="I56" i="26"/>
  <c r="I53" i="26"/>
  <c r="I34" i="26"/>
  <c r="I15" i="26"/>
  <c r="I14" i="26"/>
  <c r="I13" i="26"/>
  <c r="B1048576" i="23"/>
  <c r="H36" i="25"/>
  <c r="H289" i="25"/>
  <c r="H269" i="25"/>
  <c r="H344" i="25"/>
  <c r="H209" i="25"/>
  <c r="H442" i="25"/>
  <c r="H581" i="25"/>
  <c r="H612" i="25"/>
  <c r="H134" i="25"/>
  <c r="H131" i="25"/>
  <c r="H107" i="25"/>
  <c r="H193" i="25"/>
  <c r="H471" i="25"/>
  <c r="H161" i="25"/>
  <c r="H507" i="25"/>
  <c r="H220" i="25"/>
  <c r="H358" i="25"/>
  <c r="H175" i="25"/>
  <c r="H163" i="25"/>
  <c r="H91" i="25"/>
  <c r="H467" i="25"/>
  <c r="H171" i="25"/>
  <c r="H88" i="25"/>
  <c r="H152" i="25"/>
  <c r="H409" i="25"/>
  <c r="H307" i="25"/>
  <c r="H412" i="25"/>
  <c r="H450" i="25"/>
  <c r="H354" i="25"/>
  <c r="H363" i="25"/>
  <c r="H539" i="25"/>
  <c r="H6" i="25"/>
  <c r="H239" i="25"/>
  <c r="H233" i="25"/>
  <c r="H20" i="25"/>
  <c r="H548" i="25"/>
  <c r="H312" i="25"/>
  <c r="H31" i="25"/>
  <c r="H487" i="25"/>
  <c r="H546" i="25"/>
  <c r="H382" i="25"/>
  <c r="H7" i="25"/>
  <c r="H484" i="25"/>
  <c r="H346" i="25"/>
  <c r="H489" i="25"/>
  <c r="H352" i="25"/>
  <c r="H227" i="25"/>
  <c r="H508" i="25"/>
  <c r="H304" i="25"/>
  <c r="H404" i="25"/>
  <c r="H323" i="25"/>
  <c r="H140" i="25"/>
  <c r="H286" i="25"/>
  <c r="H542" i="25"/>
  <c r="H533" i="25"/>
  <c r="H349" i="25"/>
  <c r="H420" i="25"/>
  <c r="H237" i="25"/>
  <c r="H5" i="25"/>
  <c r="H360" i="25"/>
  <c r="H451" i="25"/>
  <c r="H454" i="25"/>
  <c r="H370" i="25"/>
  <c r="H480" i="25"/>
  <c r="H597" i="25"/>
  <c r="H223" i="25"/>
  <c r="H414" i="25"/>
  <c r="H609" i="25"/>
  <c r="H23" i="25"/>
  <c r="H245" i="25"/>
  <c r="H215" i="25"/>
  <c r="H217" i="25"/>
  <c r="H527" i="25"/>
  <c r="H424" i="25"/>
  <c r="H186" i="25"/>
  <c r="H627" i="25"/>
  <c r="H402" i="25"/>
  <c r="H12" i="25"/>
  <c r="H466" i="25"/>
  <c r="H173" i="25"/>
  <c r="H111" i="25"/>
  <c r="H303" i="25"/>
  <c r="H56" i="25"/>
  <c r="H334" i="25"/>
  <c r="H24" i="25"/>
  <c r="H172" i="25"/>
  <c r="H425" i="25"/>
  <c r="H226" i="25"/>
  <c r="H495" i="25"/>
  <c r="H200" i="25"/>
  <c r="H483" i="25"/>
  <c r="H322" i="25"/>
  <c r="H32" i="25"/>
  <c r="H262" i="25"/>
  <c r="H532" i="25"/>
  <c r="H537" i="25"/>
  <c r="H22" i="25"/>
  <c r="H448" i="25"/>
  <c r="H575" i="25"/>
  <c r="H473" i="25"/>
  <c r="H401" i="25"/>
  <c r="H432" i="25"/>
  <c r="H185" i="25"/>
  <c r="H190" i="25"/>
  <c r="H207" i="25"/>
  <c r="H52" i="25"/>
  <c r="H444" i="25"/>
  <c r="H571" i="25"/>
  <c r="H341" i="25"/>
  <c r="H621" i="25"/>
  <c r="H596" i="25"/>
  <c r="H435" i="25"/>
  <c r="H327" i="25"/>
  <c r="H393" i="25"/>
  <c r="H259" i="25"/>
  <c r="H465" i="25"/>
  <c r="H525" i="25"/>
  <c r="H192" i="25"/>
  <c r="H608" i="25"/>
  <c r="H476" i="25"/>
  <c r="H516" i="25"/>
  <c r="H499" i="25"/>
  <c r="H524" i="25"/>
  <c r="H375" i="25"/>
  <c r="H125" i="25"/>
  <c r="H403" i="25"/>
  <c r="H502" i="25"/>
  <c r="H351" i="25"/>
  <c r="H340" i="25"/>
  <c r="H472" i="25"/>
  <c r="H251" i="25"/>
  <c r="H13" i="25"/>
  <c r="H423" i="25"/>
  <c r="H622" i="25"/>
  <c r="H165" i="25"/>
  <c r="H40" i="25"/>
  <c r="H463" i="25"/>
  <c r="H353" i="25"/>
  <c r="H315" i="25"/>
  <c r="H593" i="25"/>
  <c r="H449" i="25"/>
  <c r="H426" i="25"/>
  <c r="H620" i="25"/>
  <c r="H157" i="25"/>
  <c r="H145" i="25"/>
  <c r="H205" i="25"/>
  <c r="H250" i="25"/>
  <c r="H438" i="25"/>
  <c r="H350" i="25"/>
  <c r="H413" i="25"/>
  <c r="H381" i="25"/>
  <c r="H41" i="25"/>
  <c r="H500" i="25"/>
  <c r="H535" i="25"/>
  <c r="H197" i="25"/>
  <c r="H342" i="25"/>
  <c r="H452" i="25"/>
  <c r="H75" i="25"/>
  <c r="H605" i="25"/>
  <c r="H305" i="25"/>
  <c r="H513" i="25"/>
  <c r="H490" i="25"/>
  <c r="H187" i="25"/>
  <c r="H257" i="25"/>
  <c r="H594" i="25"/>
  <c r="H203" i="25"/>
  <c r="H141" i="25"/>
  <c r="H558" i="25"/>
  <c r="H10" i="25"/>
  <c r="H116" i="25"/>
  <c r="H602" i="25"/>
  <c r="H60" i="25"/>
  <c r="H308" i="25"/>
  <c r="H255" i="25"/>
  <c r="H326" i="25"/>
  <c r="H598" i="25"/>
  <c r="H427" i="25"/>
  <c r="H21" i="25"/>
  <c r="H411" i="25"/>
  <c r="H260" i="25"/>
  <c r="H569" i="25"/>
  <c r="H610" i="25"/>
  <c r="H287" i="25"/>
  <c r="H133" i="25"/>
  <c r="H124" i="25"/>
  <c r="H292" i="25"/>
  <c r="H104" i="25"/>
  <c r="H556" i="25"/>
  <c r="H504" i="25"/>
  <c r="H330" i="25"/>
  <c r="H277" i="25"/>
  <c r="H443" i="25"/>
  <c r="H503" i="25"/>
  <c r="H528" i="25"/>
  <c r="H278" i="25"/>
  <c r="H416" i="25"/>
  <c r="H266" i="25"/>
  <c r="H329" i="25"/>
  <c r="H101" i="25"/>
  <c r="H199" i="25"/>
  <c r="H241" i="25"/>
  <c r="H70" i="25"/>
  <c r="H16" i="25"/>
  <c r="H98" i="25"/>
  <c r="H148" i="25"/>
  <c r="H372" i="25"/>
  <c r="H149" i="25"/>
  <c r="H14" i="25"/>
  <c r="H445" i="25"/>
  <c r="H28" i="25"/>
  <c r="H178" i="25"/>
  <c r="H221" i="25"/>
  <c r="H570" i="25"/>
  <c r="H17" i="25"/>
  <c r="H387" i="25"/>
  <c r="H582" i="25"/>
  <c r="H282" i="25"/>
  <c r="H284" i="25"/>
  <c r="H95" i="25"/>
  <c r="H574" i="25"/>
  <c r="H422" i="25"/>
  <c r="H166" i="25"/>
  <c r="H230" i="25"/>
  <c r="H457" i="25"/>
  <c r="H534" i="25"/>
  <c r="H557" i="25"/>
  <c r="H27" i="25"/>
  <c r="H263" i="25"/>
  <c r="H176" i="25"/>
  <c r="H554" i="25"/>
  <c r="H391" i="25"/>
  <c r="H38" i="25"/>
  <c r="H118" i="25"/>
  <c r="H44" i="25"/>
  <c r="H311" i="25"/>
  <c r="H319" i="25"/>
  <c r="H19" i="25"/>
  <c r="H600" i="25"/>
  <c r="H607" i="25"/>
  <c r="H475" i="25"/>
  <c r="H164" i="25"/>
  <c r="H139" i="25"/>
  <c r="H336" i="25"/>
  <c r="H547" i="25"/>
  <c r="H446" i="25"/>
  <c r="H108" i="25"/>
  <c r="H619" i="25"/>
  <c r="H231" i="25"/>
  <c r="H362" i="25"/>
  <c r="H541" i="25"/>
  <c r="H578" i="25"/>
  <c r="H515" i="25"/>
  <c r="H585" i="25"/>
  <c r="H105" i="25"/>
  <c r="H51" i="25"/>
  <c r="H520" i="25"/>
  <c r="H82" i="25"/>
  <c r="H258" i="25"/>
  <c r="H180" i="25"/>
  <c r="H400" i="25"/>
  <c r="H196" i="25"/>
  <c r="H53" i="25"/>
  <c r="H421" i="25"/>
  <c r="H492" i="25"/>
  <c r="H316" i="25"/>
  <c r="H377" i="25"/>
  <c r="H611" i="25"/>
  <c r="H591" i="25"/>
  <c r="H87" i="25"/>
  <c r="H167" i="25"/>
  <c r="H482" i="25"/>
  <c r="H481" i="25"/>
  <c r="H590" i="25"/>
  <c r="H232" i="25"/>
  <c r="H117" i="25"/>
  <c r="H26" i="25"/>
  <c r="H276" i="25"/>
  <c r="H281" i="25"/>
  <c r="H99" i="25"/>
  <c r="H526" i="25"/>
  <c r="H415" i="25"/>
  <c r="H359" i="25"/>
  <c r="H587" i="25"/>
  <c r="H181" i="25"/>
  <c r="H434" i="25"/>
  <c r="H4" i="25"/>
  <c r="H144" i="25"/>
  <c r="H553" i="25"/>
  <c r="H102" i="25"/>
  <c r="H460" i="25"/>
  <c r="H529" i="25"/>
  <c r="H42" i="25"/>
  <c r="H573" i="25"/>
  <c r="H328" i="25"/>
  <c r="H429" i="25"/>
  <c r="H295" i="25"/>
  <c r="H436" i="25"/>
  <c r="H138" i="25"/>
  <c r="H306" i="25"/>
  <c r="H121" i="25"/>
  <c r="H246" i="25"/>
  <c r="H120" i="25"/>
  <c r="H368" i="25"/>
  <c r="H364" i="25"/>
  <c r="H247" i="25"/>
  <c r="H392" i="25"/>
  <c r="H561" i="25"/>
  <c r="H300" i="25"/>
  <c r="H397" i="25"/>
  <c r="H536" i="25"/>
  <c r="H468" i="25"/>
  <c r="H299" i="25"/>
  <c r="H249" i="25"/>
  <c r="H63" i="25"/>
  <c r="H43" i="25"/>
  <c r="H470" i="25"/>
  <c r="H106" i="25"/>
  <c r="H159" i="25"/>
  <c r="H198" i="25"/>
  <c r="H61" i="25"/>
  <c r="H335" i="25"/>
  <c r="H122" i="25"/>
  <c r="H279" i="25"/>
  <c r="H170" i="25"/>
  <c r="H385" i="25"/>
  <c r="H188" i="25"/>
  <c r="H564" i="25"/>
  <c r="H54" i="25"/>
  <c r="H290" i="25"/>
  <c r="H386" i="25"/>
  <c r="H459" i="25"/>
  <c r="H407" i="25"/>
  <c r="H501" i="25"/>
  <c r="H46" i="25"/>
  <c r="H85" i="25"/>
  <c r="H497" i="25"/>
  <c r="H211" i="25"/>
  <c r="H583" i="25"/>
  <c r="H510" i="25"/>
  <c r="H179" i="25"/>
  <c r="H234" i="25"/>
  <c r="H293" i="25"/>
  <c r="H123" i="25"/>
  <c r="H550" i="25"/>
  <c r="H268" i="25"/>
  <c r="H560" i="25"/>
  <c r="H64" i="25"/>
  <c r="H469" i="25"/>
  <c r="H285" i="25"/>
  <c r="H320" i="25"/>
  <c r="H577" i="25"/>
  <c r="H294" i="25"/>
  <c r="H599" i="25"/>
  <c r="H242" i="25"/>
  <c r="H603" i="25"/>
  <c r="H369" i="25"/>
  <c r="H236" i="25"/>
  <c r="H383" i="25"/>
  <c r="H384" i="25"/>
  <c r="H625" i="25"/>
  <c r="H389" i="25"/>
  <c r="H523" i="25"/>
  <c r="H33" i="25"/>
  <c r="H498" i="25"/>
  <c r="H579" i="25"/>
  <c r="H592" i="25"/>
  <c r="H456" i="25"/>
  <c r="H127" i="25"/>
  <c r="H586" i="25"/>
  <c r="H222" i="25"/>
  <c r="H518" i="25"/>
  <c r="H11" i="25"/>
  <c r="H137" i="25"/>
  <c r="H317" i="25"/>
  <c r="H89" i="25"/>
  <c r="H84" i="25"/>
  <c r="H430" i="25"/>
  <c r="H55" i="25"/>
  <c r="H318" i="25"/>
  <c r="H57" i="25"/>
  <c r="H494" i="25"/>
  <c r="H478" i="25"/>
  <c r="H491" i="25"/>
  <c r="H162" i="25"/>
  <c r="H408" i="25"/>
  <c r="H544" i="25"/>
  <c r="H113" i="25"/>
  <c r="H216" i="25"/>
  <c r="H146" i="25"/>
  <c r="H410" i="25"/>
  <c r="H194" i="25"/>
  <c r="H296" i="25"/>
  <c r="H224" i="25"/>
  <c r="H150" i="25"/>
  <c r="H331" i="25"/>
  <c r="H417" i="25"/>
  <c r="H92" i="25"/>
  <c r="H588" i="25"/>
  <c r="H361" i="25"/>
  <c r="H517" i="25"/>
  <c r="H431" i="25"/>
  <c r="H229" i="25"/>
  <c r="H94" i="25"/>
  <c r="H93" i="25"/>
  <c r="H219" i="25"/>
  <c r="H86" i="25"/>
  <c r="H214" i="25"/>
  <c r="H80" i="25"/>
  <c r="H238" i="25"/>
  <c r="H65" i="25"/>
  <c r="H160" i="25"/>
  <c r="H218" i="25"/>
  <c r="H103" i="25"/>
  <c r="H399" i="25"/>
  <c r="H606" i="25"/>
  <c r="H617" i="25"/>
  <c r="H388" i="25"/>
  <c r="H143" i="25"/>
  <c r="H96" i="25"/>
  <c r="H18" i="25"/>
  <c r="H339" i="25"/>
  <c r="H453" i="25"/>
  <c r="H62" i="25"/>
  <c r="H45" i="25"/>
  <c r="H15" i="25"/>
  <c r="H25" i="25"/>
  <c r="H511" i="25"/>
  <c r="H379" i="25"/>
  <c r="H395" i="25"/>
  <c r="H333" i="25"/>
  <c r="H81" i="25"/>
  <c r="H545" i="25"/>
  <c r="H509" i="25"/>
  <c r="H514" i="25"/>
  <c r="H572" i="25"/>
  <c r="H184" i="25"/>
  <c r="H112" i="25"/>
  <c r="H158" i="25"/>
  <c r="H313" i="25"/>
  <c r="H580" i="25"/>
  <c r="H405" i="25"/>
  <c r="H623" i="25"/>
  <c r="H76" i="25"/>
  <c r="H374" i="25"/>
  <c r="H225" i="25"/>
  <c r="H635" i="24"/>
  <c r="H633" i="24"/>
  <c r="H630" i="24"/>
  <c r="H629" i="24"/>
  <c r="H628" i="24"/>
  <c r="H627" i="24"/>
  <c r="H625" i="24"/>
  <c r="H622" i="24"/>
  <c r="H621" i="24"/>
  <c r="H620" i="24"/>
  <c r="H619" i="24"/>
  <c r="H617" i="24"/>
  <c r="H612" i="24"/>
  <c r="H611" i="24"/>
  <c r="H607" i="24"/>
  <c r="H606" i="24"/>
  <c r="H605" i="24"/>
  <c r="H603" i="24"/>
  <c r="H598" i="24"/>
  <c r="H595" i="24"/>
  <c r="H592" i="24"/>
  <c r="H586" i="24"/>
  <c r="H585" i="24"/>
  <c r="H584" i="24"/>
  <c r="H652" i="24"/>
  <c r="H583" i="24"/>
  <c r="H582" i="24"/>
  <c r="H580" i="24"/>
  <c r="H578" i="24"/>
  <c r="H577" i="24"/>
  <c r="H576" i="24"/>
  <c r="H574" i="24"/>
  <c r="H564" i="24"/>
  <c r="H562" i="24"/>
  <c r="H561" i="24"/>
  <c r="H560" i="24"/>
  <c r="H559" i="24"/>
  <c r="H558" i="24"/>
  <c r="H647" i="24"/>
  <c r="H557" i="24"/>
  <c r="H555" i="24"/>
  <c r="H554" i="24"/>
  <c r="H646" i="24"/>
  <c r="H549" i="24"/>
  <c r="H548" i="24"/>
  <c r="H547" i="24"/>
  <c r="H690" i="24"/>
  <c r="H546" i="24"/>
  <c r="H539" i="24"/>
  <c r="H538" i="24"/>
  <c r="H536" i="24"/>
  <c r="H526" i="24"/>
  <c r="H525" i="24"/>
  <c r="H522" i="24"/>
  <c r="H520" i="24"/>
  <c r="H514" i="24"/>
  <c r="H510" i="24"/>
  <c r="H509" i="24"/>
  <c r="H508" i="24"/>
  <c r="H505" i="24"/>
  <c r="H504" i="24"/>
  <c r="H502" i="24"/>
  <c r="H696" i="24"/>
  <c r="H499" i="24"/>
  <c r="H648" i="24"/>
  <c r="H496" i="24"/>
  <c r="H495" i="24"/>
  <c r="H493" i="24"/>
  <c r="H489" i="24"/>
  <c r="H485" i="24"/>
  <c r="H484" i="24"/>
  <c r="H483" i="24"/>
  <c r="H482" i="24"/>
  <c r="H481" i="24"/>
  <c r="H637" i="24"/>
  <c r="H479" i="24"/>
  <c r="H478" i="24"/>
  <c r="H477" i="24"/>
  <c r="H476" i="24"/>
  <c r="H475" i="24"/>
  <c r="H639" i="24"/>
  <c r="H471" i="24"/>
  <c r="H467" i="24"/>
  <c r="H465" i="24"/>
  <c r="H463" i="24"/>
  <c r="H460" i="24"/>
  <c r="H458" i="24"/>
  <c r="H455" i="24"/>
  <c r="H453" i="24"/>
  <c r="H452" i="24"/>
  <c r="H451" i="24"/>
  <c r="H450" i="24"/>
  <c r="H449" i="24"/>
  <c r="H447" i="24"/>
  <c r="H444" i="24"/>
  <c r="H643" i="24"/>
  <c r="H441" i="24"/>
  <c r="H438" i="24"/>
  <c r="H437" i="24"/>
  <c r="H435" i="24"/>
  <c r="H434" i="24"/>
  <c r="H432" i="24"/>
  <c r="H429" i="24"/>
  <c r="H656" i="24"/>
  <c r="H423" i="24"/>
  <c r="H419" i="24"/>
  <c r="H415" i="24"/>
  <c r="H414" i="24"/>
  <c r="H640" i="24"/>
  <c r="H412" i="24"/>
  <c r="H411" i="24"/>
  <c r="H410" i="24"/>
  <c r="H409" i="24"/>
  <c r="H407" i="24"/>
  <c r="H406" i="24"/>
  <c r="H401" i="24"/>
  <c r="H645" i="24"/>
  <c r="H398" i="24"/>
  <c r="H395" i="24"/>
  <c r="H393" i="24"/>
  <c r="H391" i="24"/>
  <c r="H390" i="24"/>
  <c r="H389" i="24"/>
  <c r="H387" i="24"/>
  <c r="H383" i="24"/>
  <c r="H668" i="24"/>
  <c r="H379" i="24"/>
  <c r="H692" i="24"/>
  <c r="H377" i="24"/>
  <c r="H373" i="24"/>
  <c r="H370" i="24"/>
  <c r="H369" i="24"/>
  <c r="H655" i="24"/>
  <c r="H364" i="24"/>
  <c r="H363" i="24"/>
  <c r="H362" i="24"/>
  <c r="H361" i="24"/>
  <c r="H359" i="24"/>
  <c r="H357" i="24"/>
  <c r="H354" i="24"/>
  <c r="H353" i="24"/>
  <c r="H352" i="24"/>
  <c r="H350" i="24"/>
  <c r="H348" i="24"/>
  <c r="H665" i="24"/>
  <c r="H345" i="24"/>
  <c r="H344" i="24"/>
  <c r="H343" i="24"/>
  <c r="H342" i="24"/>
  <c r="H340" i="24"/>
  <c r="H338" i="24"/>
  <c r="H682" i="24"/>
  <c r="H336" i="24"/>
  <c r="H334" i="24"/>
  <c r="H661" i="24"/>
  <c r="H333" i="24"/>
  <c r="H651" i="24"/>
  <c r="H649" i="24"/>
  <c r="H674" i="24"/>
  <c r="H330" i="24"/>
  <c r="H642" i="24"/>
  <c r="H321" i="24"/>
  <c r="H320" i="24"/>
  <c r="H317" i="24"/>
  <c r="H315" i="24"/>
  <c r="H638" i="24"/>
  <c r="H313" i="24"/>
  <c r="H673" i="24"/>
  <c r="H677" i="24"/>
  <c r="H311" i="24"/>
  <c r="H310" i="24"/>
  <c r="H309" i="24"/>
  <c r="H307" i="24"/>
  <c r="H305" i="24"/>
  <c r="H303" i="24"/>
  <c r="H663" i="24"/>
  <c r="H298" i="24"/>
  <c r="H297" i="24"/>
  <c r="H294" i="24"/>
  <c r="H292" i="24"/>
  <c r="H291" i="24"/>
  <c r="H660" i="24"/>
  <c r="H288" i="24"/>
  <c r="H287" i="24"/>
  <c r="H286" i="24"/>
  <c r="H683" i="24"/>
  <c r="H284" i="24"/>
  <c r="H283" i="24"/>
  <c r="H281" i="24"/>
  <c r="H279" i="24"/>
  <c r="H277" i="24"/>
  <c r="H275" i="24"/>
  <c r="H271" i="24"/>
  <c r="H259" i="24"/>
  <c r="H256" i="24"/>
  <c r="H248" i="24"/>
  <c r="H241" i="24"/>
  <c r="H235" i="24"/>
  <c r="H227" i="24"/>
  <c r="H224" i="24"/>
  <c r="H223" i="24"/>
  <c r="H218" i="24"/>
  <c r="H216" i="24"/>
  <c r="H214" i="24"/>
  <c r="H211" i="24"/>
  <c r="H210" i="24"/>
  <c r="H207" i="24"/>
  <c r="H206" i="24"/>
  <c r="H685" i="24"/>
  <c r="H202" i="24"/>
  <c r="H200" i="24"/>
  <c r="H196" i="24"/>
  <c r="H192" i="24"/>
  <c r="H186" i="24"/>
  <c r="H185" i="24"/>
  <c r="H699" i="24"/>
  <c r="H182" i="24"/>
  <c r="H676" i="24"/>
  <c r="H698" i="24"/>
  <c r="H178" i="24"/>
  <c r="H177" i="24"/>
  <c r="H175" i="24"/>
  <c r="H174" i="24"/>
  <c r="H693" i="24"/>
  <c r="H173" i="24"/>
  <c r="H170" i="24"/>
  <c r="H165" i="24"/>
  <c r="H164" i="24"/>
  <c r="H158" i="24"/>
  <c r="H152" i="24"/>
  <c r="H145" i="24"/>
  <c r="H142" i="24"/>
  <c r="H659" i="24"/>
  <c r="H128" i="24"/>
  <c r="H124" i="24"/>
  <c r="H120" i="24"/>
  <c r="H654" i="24"/>
  <c r="H107" i="24"/>
  <c r="H101" i="24"/>
  <c r="H100" i="24"/>
  <c r="H94" i="24"/>
  <c r="H87" i="24"/>
  <c r="H83" i="24"/>
  <c r="H684" i="24"/>
  <c r="H77" i="24"/>
  <c r="H73" i="24"/>
  <c r="H71" i="24"/>
  <c r="H68" i="24"/>
  <c r="H679" i="24"/>
  <c r="H62" i="24"/>
  <c r="H61" i="24"/>
  <c r="H56" i="24"/>
  <c r="H45" i="24"/>
  <c r="H34" i="24"/>
  <c r="H27" i="24"/>
  <c r="H26" i="24"/>
  <c r="H15" i="24"/>
  <c r="H14" i="24"/>
  <c r="H641" i="24"/>
  <c r="H8" i="24"/>
  <c r="H7" i="24"/>
  <c r="H6" i="24"/>
  <c r="H5" i="24"/>
  <c r="H3" i="24"/>
  <c r="H2" i="24"/>
  <c r="H636" i="24"/>
  <c r="H624" i="24"/>
  <c r="H623" i="24"/>
  <c r="H613" i="24"/>
  <c r="H604" i="24"/>
  <c r="H596" i="24"/>
  <c r="H593" i="24"/>
  <c r="H587" i="24"/>
  <c r="H581" i="24"/>
  <c r="H697" i="24"/>
  <c r="H573" i="24"/>
  <c r="H653" i="24"/>
  <c r="H553" i="24"/>
  <c r="H550" i="24"/>
  <c r="H534" i="24"/>
  <c r="H532" i="24"/>
  <c r="H531" i="24"/>
  <c r="H513" i="24"/>
  <c r="H506" i="24"/>
  <c r="H503" i="24"/>
  <c r="H501" i="24"/>
  <c r="H497" i="24"/>
  <c r="H491" i="24"/>
  <c r="H488" i="24"/>
  <c r="H480" i="24"/>
  <c r="H431" i="24"/>
  <c r="H420" i="24"/>
  <c r="H408" i="24"/>
  <c r="H371" i="24"/>
  <c r="H368" i="24"/>
  <c r="H346" i="24"/>
  <c r="H341" i="24"/>
  <c r="H339" i="24"/>
  <c r="H337" i="24"/>
  <c r="H691" i="24"/>
  <c r="H326" i="24"/>
  <c r="H324" i="24"/>
  <c r="H316" i="24"/>
  <c r="H314" i="24"/>
  <c r="H308" i="24"/>
  <c r="H304" i="24"/>
  <c r="H293" i="24"/>
  <c r="H282" i="24"/>
  <c r="H272" i="24"/>
  <c r="H221" i="24"/>
  <c r="H194" i="24"/>
  <c r="H180" i="24"/>
  <c r="H168" i="24"/>
  <c r="H155" i="24"/>
  <c r="H117" i="24"/>
  <c r="H110" i="24"/>
  <c r="H98" i="24"/>
  <c r="H95" i="24"/>
  <c r="H89" i="24"/>
  <c r="H52" i="24"/>
  <c r="H21" i="24"/>
  <c r="H10" i="24"/>
  <c r="H9" i="24"/>
  <c r="H631" i="24"/>
  <c r="H626" i="24"/>
  <c r="H616" i="24"/>
  <c r="H694" i="24"/>
  <c r="H602" i="24"/>
  <c r="H600" i="24"/>
  <c r="H599" i="24"/>
  <c r="H575" i="24"/>
  <c r="H569" i="24"/>
  <c r="H556" i="24"/>
  <c r="H541" i="24"/>
  <c r="H537" i="24"/>
  <c r="H535" i="24"/>
  <c r="H533" i="24"/>
  <c r="H528" i="24"/>
  <c r="H512" i="24"/>
  <c r="H507" i="24"/>
  <c r="H487" i="24"/>
  <c r="H671" i="24"/>
  <c r="H461" i="24"/>
  <c r="H457" i="24"/>
  <c r="H448" i="24"/>
  <c r="H446" i="24"/>
  <c r="H440" i="24"/>
  <c r="H422" i="24"/>
  <c r="H394" i="24"/>
  <c r="H392" i="24"/>
  <c r="H384" i="24"/>
  <c r="H381" i="24"/>
  <c r="H380" i="24"/>
  <c r="H374" i="24"/>
  <c r="H372" i="24"/>
  <c r="H360" i="24"/>
  <c r="H358" i="24"/>
  <c r="H356" i="24"/>
  <c r="H347" i="24"/>
  <c r="H323" i="24"/>
  <c r="H319" i="24"/>
  <c r="H300" i="24"/>
  <c r="H299" i="24"/>
  <c r="H296" i="24"/>
  <c r="H290" i="24"/>
  <c r="H280" i="24"/>
  <c r="H278" i="24"/>
  <c r="H262" i="24"/>
  <c r="H243" i="24"/>
  <c r="H240" i="24"/>
  <c r="H238" i="24"/>
  <c r="H231" i="24"/>
  <c r="H161" i="24"/>
  <c r="H147" i="24"/>
  <c r="H135" i="24"/>
  <c r="H113" i="24"/>
  <c r="H70" i="24"/>
  <c r="H47" i="24"/>
  <c r="H36" i="24"/>
  <c r="H32" i="24"/>
  <c r="H24" i="24"/>
  <c r="H618" i="24"/>
  <c r="H601" i="24"/>
  <c r="H591" i="24"/>
  <c r="H588" i="24"/>
  <c r="H566" i="24"/>
  <c r="H551" i="24"/>
  <c r="H544" i="24"/>
  <c r="H524" i="24"/>
  <c r="H695" i="24"/>
  <c r="H519" i="24"/>
  <c r="H518" i="24"/>
  <c r="H515" i="24"/>
  <c r="H511" i="24"/>
  <c r="H492" i="24"/>
  <c r="H470" i="24"/>
  <c r="H469" i="24"/>
  <c r="H468" i="24"/>
  <c r="H462" i="24"/>
  <c r="H459" i="24"/>
  <c r="H442" i="24"/>
  <c r="H436" i="24"/>
  <c r="H433" i="24"/>
  <c r="H428" i="24"/>
  <c r="H427" i="24"/>
  <c r="H424" i="24"/>
  <c r="H418" i="24"/>
  <c r="H405" i="24"/>
  <c r="H402" i="24"/>
  <c r="H386" i="24"/>
  <c r="H367" i="24"/>
  <c r="H355" i="24"/>
  <c r="H351" i="24"/>
  <c r="H335" i="24"/>
  <c r="H329" i="24"/>
  <c r="H327" i="24"/>
  <c r="H312" i="24"/>
  <c r="H289" i="24"/>
  <c r="H267" i="24"/>
  <c r="H257" i="24"/>
  <c r="H250" i="24"/>
  <c r="H245" i="24"/>
  <c r="H88" i="24"/>
  <c r="H66" i="24"/>
  <c r="H22" i="24"/>
  <c r="H634" i="24"/>
  <c r="H615" i="24"/>
  <c r="H614" i="24"/>
  <c r="H609" i="24"/>
  <c r="H687" i="24"/>
  <c r="H597" i="24"/>
  <c r="H594" i="24"/>
  <c r="H589" i="24"/>
  <c r="H565" i="24"/>
  <c r="H563" i="24"/>
  <c r="H540" i="24"/>
  <c r="H529" i="24"/>
  <c r="H523" i="24"/>
  <c r="H517" i="24"/>
  <c r="H500" i="24"/>
  <c r="H498" i="24"/>
  <c r="H494" i="24"/>
  <c r="H486" i="24"/>
  <c r="H466" i="24"/>
  <c r="H456" i="24"/>
  <c r="H454" i="24"/>
  <c r="H421" i="24"/>
  <c r="H416" i="24"/>
  <c r="H404" i="24"/>
  <c r="H400" i="24"/>
  <c r="H399" i="24"/>
  <c r="H396" i="24"/>
  <c r="H378" i="24"/>
  <c r="H325" i="24"/>
  <c r="H306" i="24"/>
  <c r="H302" i="24"/>
  <c r="H295" i="24"/>
  <c r="H254" i="24"/>
  <c r="H234" i="24"/>
  <c r="H225" i="24"/>
  <c r="H197" i="24"/>
  <c r="H189" i="24"/>
  <c r="H160" i="24"/>
  <c r="H106" i="24"/>
  <c r="H681" i="24"/>
  <c r="H92" i="24"/>
  <c r="H80" i="24"/>
  <c r="H69" i="24"/>
  <c r="H58" i="24"/>
  <c r="H42" i="24"/>
  <c r="H39" i="24"/>
  <c r="H28" i="24"/>
  <c r="H590" i="24"/>
  <c r="H552" i="24"/>
  <c r="H545" i="24"/>
  <c r="H543" i="24"/>
  <c r="H530" i="24"/>
  <c r="H527" i="24"/>
  <c r="H516" i="24"/>
  <c r="H430" i="24"/>
  <c r="H426" i="24"/>
  <c r="H417" i="24"/>
  <c r="H413" i="24"/>
  <c r="H376" i="24"/>
  <c r="H375" i="24"/>
  <c r="H366" i="24"/>
  <c r="H349" i="24"/>
  <c r="H332" i="24"/>
  <c r="H331" i="24"/>
  <c r="H322" i="24"/>
  <c r="H318" i="24"/>
  <c r="H230" i="24"/>
  <c r="H125" i="24"/>
  <c r="H115" i="24"/>
  <c r="H64" i="24"/>
  <c r="H698" i="23"/>
  <c r="H696" i="23"/>
  <c r="H692" i="23"/>
  <c r="H691" i="23"/>
  <c r="H690" i="23"/>
  <c r="H689" i="23"/>
  <c r="H687" i="23"/>
  <c r="H684" i="23"/>
  <c r="H683" i="23"/>
  <c r="H682" i="23"/>
  <c r="H681" i="23"/>
  <c r="H679" i="23"/>
  <c r="H674" i="23"/>
  <c r="H673" i="23"/>
  <c r="H668" i="23"/>
  <c r="H667" i="23"/>
  <c r="H663" i="23"/>
  <c r="H661" i="23"/>
  <c r="H655" i="23"/>
  <c r="H652" i="23"/>
  <c r="H648" i="23"/>
  <c r="H642" i="23"/>
  <c r="H641" i="23"/>
  <c r="H640" i="23"/>
  <c r="H639" i="23"/>
  <c r="H635" i="23"/>
  <c r="H634" i="23"/>
  <c r="H632" i="23"/>
  <c r="H629" i="23"/>
  <c r="H628" i="23"/>
  <c r="H626" i="23"/>
  <c r="H624" i="23"/>
  <c r="H611" i="23"/>
  <c r="H607" i="23"/>
  <c r="H605" i="23"/>
  <c r="H604" i="23"/>
  <c r="H603" i="23"/>
  <c r="H602" i="23"/>
  <c r="H600" i="23"/>
  <c r="H598" i="23"/>
  <c r="H594" i="23"/>
  <c r="H593" i="23"/>
  <c r="H587" i="23"/>
  <c r="H583" i="23"/>
  <c r="H582" i="23"/>
  <c r="H581" i="23"/>
  <c r="H580" i="23"/>
  <c r="H578" i="23"/>
  <c r="H568" i="23"/>
  <c r="H567" i="23"/>
  <c r="H565" i="23"/>
  <c r="H553" i="23"/>
  <c r="H551" i="23"/>
  <c r="H548" i="23"/>
  <c r="H546" i="23"/>
  <c r="H537" i="23"/>
  <c r="H533" i="23"/>
  <c r="H532" i="23"/>
  <c r="H531" i="23"/>
  <c r="H527" i="23"/>
  <c r="H526" i="23"/>
  <c r="H524" i="23"/>
  <c r="H521" i="23"/>
  <c r="H519" i="23"/>
  <c r="H516" i="23"/>
  <c r="H514" i="23"/>
  <c r="H513" i="23"/>
  <c r="H511" i="23"/>
  <c r="H507" i="23"/>
  <c r="H503" i="23"/>
  <c r="H502" i="23"/>
  <c r="H501" i="23"/>
  <c r="H500" i="23"/>
  <c r="H499" i="23"/>
  <c r="H495" i="23"/>
  <c r="H492" i="23"/>
  <c r="H488" i="23"/>
  <c r="H487" i="23"/>
  <c r="H485" i="23"/>
  <c r="H483" i="23"/>
  <c r="H478" i="23"/>
  <c r="H476" i="23"/>
  <c r="H469" i="23"/>
  <c r="H467" i="23"/>
  <c r="H465" i="23"/>
  <c r="H462" i="23"/>
  <c r="H460" i="23"/>
  <c r="H455" i="23"/>
  <c r="H451" i="23"/>
  <c r="H450" i="23"/>
  <c r="H449" i="23"/>
  <c r="H448" i="23"/>
  <c r="H447" i="23"/>
  <c r="H444" i="23"/>
  <c r="H440" i="23"/>
  <c r="H437" i="23"/>
  <c r="H435" i="23"/>
  <c r="H432" i="23"/>
  <c r="H430" i="23"/>
  <c r="H428" i="23"/>
  <c r="H426" i="23"/>
  <c r="H424" i="23"/>
  <c r="H421" i="23"/>
  <c r="H417" i="23"/>
  <c r="H412" i="23"/>
  <c r="H408" i="23"/>
  <c r="H404" i="23"/>
  <c r="H403" i="23"/>
  <c r="H401" i="23"/>
  <c r="H399" i="23"/>
  <c r="H398" i="23"/>
  <c r="H397" i="23"/>
  <c r="H396" i="23"/>
  <c r="H394" i="23"/>
  <c r="H393" i="23"/>
  <c r="H387" i="23"/>
  <c r="H383" i="23"/>
  <c r="H381" i="23"/>
  <c r="H378" i="23"/>
  <c r="H376" i="23"/>
  <c r="H374" i="23"/>
  <c r="H373" i="23"/>
  <c r="H372" i="23"/>
  <c r="H370" i="23"/>
  <c r="H360" i="23"/>
  <c r="H356" i="23"/>
  <c r="H353" i="23"/>
  <c r="H351" i="23"/>
  <c r="H349" i="23"/>
  <c r="H340" i="23"/>
  <c r="H337" i="23"/>
  <c r="H335" i="23"/>
  <c r="H331" i="23"/>
  <c r="H328" i="23"/>
  <c r="H327" i="23"/>
  <c r="H326" i="23"/>
  <c r="H325" i="23"/>
  <c r="H321" i="23"/>
  <c r="H319" i="23"/>
  <c r="H315" i="23"/>
  <c r="H314" i="23"/>
  <c r="H313" i="23"/>
  <c r="H310" i="23"/>
  <c r="H306" i="23"/>
  <c r="H303" i="23"/>
  <c r="H300" i="23"/>
  <c r="H299" i="23"/>
  <c r="H298" i="23"/>
  <c r="H297" i="23"/>
  <c r="H295" i="23"/>
  <c r="H290" i="23"/>
  <c r="H288" i="23"/>
  <c r="H285" i="23"/>
  <c r="H282" i="23"/>
  <c r="H281" i="23"/>
  <c r="H279" i="23"/>
  <c r="H278" i="23"/>
  <c r="H276" i="23"/>
  <c r="H275" i="23"/>
  <c r="H273" i="23"/>
  <c r="H264" i="23"/>
  <c r="H258" i="23"/>
  <c r="H257" i="23"/>
  <c r="H253" i="23"/>
  <c r="H251" i="23"/>
  <c r="H249" i="23"/>
  <c r="H247" i="23"/>
  <c r="H246" i="23"/>
  <c r="H243" i="23"/>
  <c r="H242" i="23"/>
  <c r="H240" i="23"/>
  <c r="H239" i="23"/>
  <c r="H237" i="23"/>
  <c r="H235" i="23"/>
  <c r="H233" i="23"/>
  <c r="H230" i="23"/>
  <c r="H224" i="23"/>
  <c r="H221" i="23"/>
  <c r="H218" i="23"/>
  <c r="H216" i="23"/>
  <c r="H214" i="23"/>
  <c r="H211" i="23"/>
  <c r="H209" i="23"/>
  <c r="H208" i="23"/>
  <c r="H207" i="23"/>
  <c r="H206" i="23"/>
  <c r="H202" i="23"/>
  <c r="H201" i="23"/>
  <c r="H199" i="23"/>
  <c r="H197" i="23"/>
  <c r="H194" i="23"/>
  <c r="H193" i="23"/>
  <c r="H190" i="23"/>
  <c r="H182" i="23"/>
  <c r="H179" i="23"/>
  <c r="H172" i="23"/>
  <c r="H169" i="23"/>
  <c r="H165" i="23"/>
  <c r="H161" i="23"/>
  <c r="H159" i="23"/>
  <c r="H158" i="23"/>
  <c r="H155" i="23"/>
  <c r="H154" i="23"/>
  <c r="H152" i="23"/>
  <c r="H150" i="23"/>
  <c r="H149" i="23"/>
  <c r="H148" i="23"/>
  <c r="H147" i="23"/>
  <c r="H145" i="23"/>
  <c r="H142" i="23"/>
  <c r="H141" i="23"/>
  <c r="H139" i="23"/>
  <c r="H137" i="23"/>
  <c r="H135" i="23"/>
  <c r="H134" i="23"/>
  <c r="H133" i="23"/>
  <c r="H131" i="23"/>
  <c r="H129" i="23"/>
  <c r="H126" i="23"/>
  <c r="H123" i="23"/>
  <c r="H122" i="23"/>
  <c r="H121" i="23"/>
  <c r="H120" i="23"/>
  <c r="H118" i="23"/>
  <c r="H116" i="23"/>
  <c r="H114" i="23"/>
  <c r="H113" i="23"/>
  <c r="H112" i="23"/>
  <c r="H107" i="23"/>
  <c r="H103" i="23"/>
  <c r="H99" i="23"/>
  <c r="H98" i="23"/>
  <c r="H96" i="23"/>
  <c r="H91" i="23"/>
  <c r="H89" i="23"/>
  <c r="H87" i="23"/>
  <c r="H83" i="23"/>
  <c r="H78" i="23"/>
  <c r="H72" i="23"/>
  <c r="H71" i="23"/>
  <c r="H68" i="23"/>
  <c r="H63" i="23"/>
  <c r="H61" i="23"/>
  <c r="H58" i="23"/>
  <c r="H56" i="23"/>
  <c r="H54" i="23"/>
  <c r="H52" i="23"/>
  <c r="H48" i="23"/>
  <c r="H45" i="23"/>
  <c r="H43" i="23"/>
  <c r="H42" i="23"/>
  <c r="H39" i="23"/>
  <c r="H35" i="23"/>
  <c r="H28" i="23"/>
  <c r="H24" i="23"/>
  <c r="H22" i="23"/>
  <c r="H15" i="23"/>
  <c r="H14" i="23"/>
  <c r="H13" i="23"/>
  <c r="H9" i="23"/>
  <c r="H8" i="23"/>
  <c r="H6" i="23"/>
  <c r="H5" i="23"/>
  <c r="H3" i="23"/>
  <c r="H2" i="23"/>
  <c r="H699" i="23"/>
  <c r="H686" i="23"/>
  <c r="H685" i="23"/>
  <c r="H675" i="23"/>
  <c r="H662" i="23"/>
  <c r="H653" i="23"/>
  <c r="H649" i="23"/>
  <c r="H643" i="23"/>
  <c r="H633" i="23"/>
  <c r="H627" i="23"/>
  <c r="H623" i="23"/>
  <c r="H609" i="23"/>
  <c r="H589" i="23"/>
  <c r="H584" i="23"/>
  <c r="H563" i="23"/>
  <c r="H560" i="23"/>
  <c r="H559" i="23"/>
  <c r="H536" i="23"/>
  <c r="H529" i="23"/>
  <c r="H525" i="23"/>
  <c r="H523" i="23"/>
  <c r="H517" i="23"/>
  <c r="H509" i="23"/>
  <c r="H506" i="23"/>
  <c r="H496" i="23"/>
  <c r="H423" i="23"/>
  <c r="H409" i="23"/>
  <c r="H395" i="23"/>
  <c r="H338" i="23"/>
  <c r="H334" i="23"/>
  <c r="H302" i="23"/>
  <c r="H296" i="23"/>
  <c r="H294" i="23"/>
  <c r="H286" i="23"/>
  <c r="H284" i="23"/>
  <c r="H266" i="23"/>
  <c r="H263" i="23"/>
  <c r="H252" i="23"/>
  <c r="H250" i="23"/>
  <c r="H238" i="23"/>
  <c r="H234" i="23"/>
  <c r="H217" i="23"/>
  <c r="H200" i="23"/>
  <c r="H191" i="23"/>
  <c r="H156" i="23"/>
  <c r="H138" i="23"/>
  <c r="H125" i="23"/>
  <c r="H111" i="23"/>
  <c r="H104" i="23"/>
  <c r="H86" i="23"/>
  <c r="H79" i="23"/>
  <c r="H70" i="23"/>
  <c r="H69" i="23"/>
  <c r="H65" i="23"/>
  <c r="H37" i="23"/>
  <c r="H18" i="23"/>
  <c r="H11" i="23"/>
  <c r="H10" i="23"/>
  <c r="H693" i="23"/>
  <c r="H688" i="23"/>
  <c r="H678" i="23"/>
  <c r="H666" i="23"/>
  <c r="H660" i="23"/>
  <c r="H657" i="23"/>
  <c r="H656" i="23"/>
  <c r="H625" i="23"/>
  <c r="H617" i="23"/>
  <c r="H597" i="23"/>
  <c r="H572" i="23"/>
  <c r="H566" i="23"/>
  <c r="H564" i="23"/>
  <c r="H562" i="23"/>
  <c r="H555" i="23"/>
  <c r="H535" i="23"/>
  <c r="H530" i="23"/>
  <c r="H505" i="23"/>
  <c r="H474" i="23"/>
  <c r="H463" i="23"/>
  <c r="H459" i="23"/>
  <c r="H445" i="23"/>
  <c r="H442" i="23"/>
  <c r="H434" i="23"/>
  <c r="H411" i="23"/>
  <c r="H377" i="23"/>
  <c r="H375" i="23"/>
  <c r="H361" i="23"/>
  <c r="H358" i="23"/>
  <c r="H355" i="23"/>
  <c r="H343" i="23"/>
  <c r="H339" i="23"/>
  <c r="H323" i="23"/>
  <c r="H320" i="23"/>
  <c r="H318" i="23"/>
  <c r="H304" i="23"/>
  <c r="H262" i="23"/>
  <c r="H255" i="23"/>
  <c r="H227" i="23"/>
  <c r="H225" i="23"/>
  <c r="H220" i="23"/>
  <c r="H213" i="23"/>
  <c r="H198" i="23"/>
  <c r="H196" i="23"/>
  <c r="H183" i="23"/>
  <c r="H170" i="23"/>
  <c r="H167" i="23"/>
  <c r="H166" i="23"/>
  <c r="H163" i="23"/>
  <c r="H110" i="23"/>
  <c r="H100" i="23"/>
  <c r="H93" i="23"/>
  <c r="H82" i="23"/>
  <c r="H51" i="23"/>
  <c r="H36" i="23"/>
  <c r="H29" i="23"/>
  <c r="H27" i="23"/>
  <c r="H20" i="23"/>
  <c r="H680" i="23"/>
  <c r="H658" i="23"/>
  <c r="H647" i="23"/>
  <c r="H644" i="23"/>
  <c r="H613" i="23"/>
  <c r="H585" i="23"/>
  <c r="H575" i="23"/>
  <c r="H550" i="23"/>
  <c r="H544" i="23"/>
  <c r="H543" i="23"/>
  <c r="H542" i="23"/>
  <c r="H538" i="23"/>
  <c r="H534" i="23"/>
  <c r="H510" i="23"/>
  <c r="H475" i="23"/>
  <c r="H472" i="23"/>
  <c r="H470" i="23"/>
  <c r="H464" i="23"/>
  <c r="H461" i="23"/>
  <c r="H438" i="23"/>
  <c r="H429" i="23"/>
  <c r="H425" i="23"/>
  <c r="H420" i="23"/>
  <c r="H419" i="23"/>
  <c r="H413" i="23"/>
  <c r="H407" i="23"/>
  <c r="H392" i="23"/>
  <c r="H388" i="23"/>
  <c r="H365" i="23"/>
  <c r="H333" i="23"/>
  <c r="H316" i="23"/>
  <c r="H311" i="23"/>
  <c r="H283" i="23"/>
  <c r="H269" i="23"/>
  <c r="H268" i="23"/>
  <c r="H244" i="23"/>
  <c r="H212" i="23"/>
  <c r="H187" i="23"/>
  <c r="H180" i="23"/>
  <c r="H173" i="23"/>
  <c r="H171" i="23"/>
  <c r="H64" i="23"/>
  <c r="H47" i="23"/>
  <c r="H19" i="23"/>
  <c r="H697" i="23"/>
  <c r="H677" i="23"/>
  <c r="H676" i="23"/>
  <c r="H670" i="23"/>
  <c r="H659" i="23"/>
  <c r="H654" i="23"/>
  <c r="H650" i="23"/>
  <c r="H646" i="23"/>
  <c r="H612" i="23"/>
  <c r="H610" i="23"/>
  <c r="H571" i="23"/>
  <c r="H557" i="23"/>
  <c r="H549" i="23"/>
  <c r="H540" i="23"/>
  <c r="H522" i="23"/>
  <c r="H518" i="23"/>
  <c r="H512" i="23"/>
  <c r="H504" i="23"/>
  <c r="H468" i="23"/>
  <c r="H456" i="23"/>
  <c r="H452" i="23"/>
  <c r="H410" i="23"/>
  <c r="H405" i="23"/>
  <c r="H391" i="23"/>
  <c r="H386" i="23"/>
  <c r="H385" i="23"/>
  <c r="H379" i="23"/>
  <c r="H352" i="23"/>
  <c r="H265" i="23"/>
  <c r="H236" i="23"/>
  <c r="H232" i="23"/>
  <c r="H219" i="23"/>
  <c r="H178" i="23"/>
  <c r="H164" i="23"/>
  <c r="H160" i="23"/>
  <c r="H140" i="23"/>
  <c r="H136" i="23"/>
  <c r="H109" i="23"/>
  <c r="H77" i="23"/>
  <c r="H76" i="23"/>
  <c r="H66" i="23"/>
  <c r="H60" i="23"/>
  <c r="H49" i="23"/>
  <c r="H40" i="23"/>
  <c r="H31" i="23"/>
  <c r="H30" i="23"/>
  <c r="H25" i="23"/>
  <c r="H645" i="23"/>
  <c r="H588" i="23"/>
  <c r="H577" i="23"/>
  <c r="H574" i="23"/>
  <c r="H558" i="23"/>
  <c r="H554" i="23"/>
  <c r="H539" i="23"/>
  <c r="H422" i="23"/>
  <c r="H415" i="23"/>
  <c r="H406" i="23"/>
  <c r="H402" i="23"/>
  <c r="H347" i="23"/>
  <c r="H346" i="23"/>
  <c r="H332" i="23"/>
  <c r="H308" i="23"/>
  <c r="H277" i="23"/>
  <c r="H274" i="23"/>
  <c r="H260" i="23"/>
  <c r="H254" i="23"/>
  <c r="H162" i="23"/>
  <c r="H90" i="23"/>
  <c r="H85" i="23"/>
  <c r="H46" i="23"/>
  <c r="M550" i="22"/>
  <c r="M549" i="22"/>
  <c r="M548" i="22"/>
  <c r="M547" i="22"/>
  <c r="M545" i="22"/>
  <c r="M544" i="22"/>
  <c r="M543" i="22"/>
  <c r="M542" i="22"/>
  <c r="M541" i="22"/>
  <c r="M540" i="22"/>
  <c r="M539" i="22"/>
  <c r="M538" i="22"/>
  <c r="M537" i="22"/>
  <c r="M536" i="22"/>
  <c r="M535" i="22"/>
  <c r="M534" i="22"/>
  <c r="M533" i="22"/>
  <c r="M532" i="22"/>
  <c r="M531" i="22"/>
  <c r="M530" i="22"/>
  <c r="M529" i="22"/>
  <c r="M528" i="22"/>
  <c r="M527" i="22"/>
  <c r="M526" i="22"/>
  <c r="M525" i="22"/>
  <c r="M523" i="22"/>
  <c r="M521" i="22"/>
  <c r="M520" i="22"/>
  <c r="M519" i="22"/>
  <c r="M518" i="22"/>
  <c r="M517" i="22"/>
  <c r="M516" i="22"/>
  <c r="M515" i="22"/>
  <c r="M514" i="22"/>
  <c r="M513" i="22"/>
  <c r="M512" i="22"/>
  <c r="M511" i="22"/>
  <c r="M510" i="22"/>
  <c r="M509" i="22"/>
  <c r="M508" i="22"/>
  <c r="M507" i="22"/>
  <c r="M506" i="22"/>
  <c r="M505" i="22"/>
  <c r="M504" i="22"/>
  <c r="M503" i="22"/>
  <c r="M502" i="22"/>
  <c r="M501" i="22"/>
  <c r="M500" i="22"/>
  <c r="M499" i="22"/>
  <c r="M498" i="22"/>
  <c r="M497" i="22"/>
  <c r="M496" i="22"/>
  <c r="M495" i="22"/>
  <c r="M494" i="22"/>
  <c r="M493" i="22"/>
  <c r="M492" i="22"/>
  <c r="M491" i="22"/>
  <c r="M489" i="22"/>
  <c r="M488" i="22"/>
  <c r="M487" i="22"/>
  <c r="M486" i="22"/>
  <c r="M485" i="22"/>
  <c r="M484" i="22"/>
  <c r="M483" i="22"/>
  <c r="M479" i="22"/>
  <c r="M476" i="22"/>
  <c r="M475" i="22"/>
  <c r="M474" i="22"/>
  <c r="M473" i="22"/>
  <c r="M472" i="22"/>
  <c r="M471" i="22"/>
  <c r="M470" i="22"/>
  <c r="M469" i="22"/>
  <c r="M468" i="22"/>
  <c r="M467" i="22"/>
  <c r="M466" i="22"/>
  <c r="M465" i="22"/>
  <c r="M464" i="22"/>
  <c r="M463" i="22"/>
  <c r="M462" i="22"/>
  <c r="M460" i="22"/>
  <c r="M459" i="22"/>
  <c r="M458" i="22"/>
  <c r="M457" i="22"/>
  <c r="M456" i="22"/>
  <c r="M455" i="22"/>
  <c r="M454" i="22"/>
  <c r="M453" i="22"/>
  <c r="M452" i="22"/>
  <c r="M451" i="22"/>
  <c r="M450" i="22"/>
  <c r="M449" i="22"/>
  <c r="M448" i="22"/>
  <c r="M446" i="22"/>
  <c r="M445" i="22"/>
  <c r="M444" i="22"/>
  <c r="M443" i="22"/>
  <c r="M442" i="22"/>
  <c r="M441" i="22"/>
  <c r="M440" i="22"/>
  <c r="M439" i="22"/>
  <c r="M438" i="22"/>
  <c r="M437" i="22"/>
  <c r="M436" i="22"/>
  <c r="M435" i="22"/>
  <c r="M434" i="22"/>
  <c r="M433" i="22"/>
  <c r="M432" i="22"/>
  <c r="M431" i="22"/>
  <c r="M430" i="22"/>
  <c r="M429" i="22"/>
  <c r="M428" i="22"/>
  <c r="M427" i="22"/>
  <c r="M425" i="22"/>
  <c r="M424" i="22"/>
  <c r="M423" i="22"/>
  <c r="M422" i="22"/>
  <c r="M421" i="22"/>
  <c r="M420" i="22"/>
  <c r="M419" i="22"/>
  <c r="M418" i="22"/>
  <c r="M417" i="22"/>
  <c r="M416" i="22"/>
  <c r="M415" i="22"/>
  <c r="M414" i="22"/>
  <c r="M413" i="22"/>
  <c r="M412" i="22"/>
  <c r="M411" i="22"/>
  <c r="M410" i="22"/>
  <c r="M409" i="22"/>
  <c r="M408" i="22"/>
  <c r="M407" i="22"/>
  <c r="M406" i="22"/>
  <c r="M405" i="22"/>
  <c r="M404" i="22"/>
  <c r="M403" i="22"/>
  <c r="M402" i="22"/>
  <c r="M401" i="22"/>
  <c r="M400" i="22"/>
  <c r="M399" i="22"/>
  <c r="M398" i="22"/>
  <c r="M397" i="22"/>
  <c r="M396" i="22"/>
  <c r="M395" i="22"/>
  <c r="M394" i="22"/>
  <c r="M393" i="22"/>
  <c r="M391" i="22"/>
  <c r="M390" i="22"/>
  <c r="M389" i="22"/>
  <c r="M388" i="22"/>
  <c r="M387" i="22"/>
  <c r="M386" i="22"/>
  <c r="M385" i="22"/>
  <c r="M384" i="22"/>
  <c r="M383" i="22"/>
  <c r="M382" i="22"/>
  <c r="M381" i="22"/>
  <c r="M380" i="22"/>
  <c r="M377" i="22"/>
  <c r="M376" i="22"/>
  <c r="M375" i="22"/>
  <c r="M374" i="22"/>
  <c r="M370" i="22"/>
  <c r="M369" i="22"/>
  <c r="M368" i="22"/>
  <c r="M367" i="22"/>
  <c r="M366" i="22"/>
  <c r="M365" i="22"/>
  <c r="M364" i="22"/>
  <c r="M363" i="22"/>
  <c r="M362" i="22"/>
  <c r="M360" i="22"/>
  <c r="M359" i="22"/>
  <c r="M358" i="22"/>
  <c r="M357" i="22"/>
  <c r="M356" i="22"/>
  <c r="M355" i="22"/>
  <c r="M354" i="22"/>
  <c r="M353" i="22"/>
  <c r="M352" i="22"/>
  <c r="M351" i="22"/>
  <c r="M350" i="22"/>
  <c r="M349" i="22"/>
  <c r="M348" i="22"/>
  <c r="M347" i="22"/>
  <c r="M346" i="22"/>
  <c r="M345" i="22"/>
  <c r="M344" i="22"/>
  <c r="M343" i="22"/>
  <c r="M341" i="22"/>
  <c r="M339" i="22"/>
  <c r="M338" i="22"/>
  <c r="M337" i="22"/>
  <c r="M336" i="22"/>
  <c r="M334" i="22"/>
  <c r="M333" i="22"/>
  <c r="M332" i="22"/>
  <c r="M331" i="22"/>
  <c r="M330" i="22"/>
  <c r="M329" i="22"/>
  <c r="M328" i="22"/>
  <c r="M327" i="22"/>
  <c r="M326" i="22"/>
  <c r="M325" i="22"/>
  <c r="M324" i="22"/>
  <c r="M323" i="22"/>
  <c r="M322" i="22"/>
  <c r="M321" i="22"/>
  <c r="M319" i="22"/>
  <c r="M318" i="22"/>
  <c r="M317" i="22"/>
  <c r="M316" i="22"/>
  <c r="M315" i="22"/>
  <c r="M314" i="22"/>
  <c r="M313" i="22"/>
  <c r="M312" i="22"/>
  <c r="M311" i="22"/>
  <c r="M310" i="22"/>
  <c r="M309" i="22"/>
  <c r="M308" i="22"/>
  <c r="M307" i="22"/>
  <c r="M306" i="22"/>
  <c r="M305" i="22"/>
  <c r="M304" i="22"/>
  <c r="M303" i="22"/>
  <c r="M302" i="22"/>
  <c r="M301" i="22"/>
  <c r="M300" i="22"/>
  <c r="M299" i="22"/>
  <c r="M298" i="22"/>
  <c r="M296" i="22"/>
  <c r="M295" i="22"/>
  <c r="M294" i="22"/>
  <c r="M293" i="22"/>
  <c r="M292" i="22"/>
  <c r="M291" i="22"/>
  <c r="M289" i="22"/>
  <c r="M288" i="22"/>
  <c r="M287" i="22"/>
  <c r="M286" i="22"/>
  <c r="M285" i="22"/>
  <c r="M284" i="22"/>
  <c r="M283" i="22"/>
  <c r="M282" i="22"/>
  <c r="M280" i="22"/>
  <c r="M279" i="22"/>
  <c r="M277" i="22"/>
  <c r="M276" i="22"/>
  <c r="M274" i="22"/>
  <c r="M273" i="22"/>
  <c r="M272" i="22"/>
  <c r="M271" i="22"/>
  <c r="M270" i="22"/>
  <c r="M269" i="22"/>
  <c r="M268" i="22"/>
  <c r="M267" i="22"/>
  <c r="M266" i="22"/>
  <c r="M265" i="22"/>
  <c r="M264" i="22"/>
  <c r="M263" i="22"/>
  <c r="M262" i="22"/>
  <c r="M261" i="22"/>
  <c r="M260" i="22"/>
  <c r="M259" i="22"/>
  <c r="M258" i="22"/>
  <c r="M257" i="22"/>
  <c r="M256" i="22"/>
  <c r="M254" i="22"/>
  <c r="M253" i="22"/>
  <c r="M252" i="22"/>
  <c r="M251" i="22"/>
  <c r="M250" i="22"/>
  <c r="M249" i="22"/>
  <c r="M248" i="22"/>
  <c r="M247" i="22"/>
  <c r="M246" i="22"/>
  <c r="M245" i="22"/>
  <c r="M244" i="22"/>
  <c r="M243" i="22"/>
  <c r="M242" i="22"/>
  <c r="M241" i="22"/>
  <c r="M240" i="22"/>
  <c r="M239" i="22"/>
  <c r="M238" i="22"/>
  <c r="M237" i="22"/>
  <c r="M236" i="22"/>
  <c r="M235" i="22"/>
  <c r="M234" i="22"/>
  <c r="M233" i="22"/>
  <c r="M232" i="22"/>
  <c r="M231" i="22"/>
  <c r="M230" i="22"/>
  <c r="M229" i="22"/>
  <c r="M228" i="22"/>
  <c r="M227" i="22"/>
  <c r="M226" i="22"/>
  <c r="M225" i="22"/>
  <c r="M224" i="22"/>
  <c r="M223" i="22"/>
  <c r="M222" i="22"/>
  <c r="M221" i="22"/>
  <c r="M220" i="22"/>
  <c r="M219" i="22"/>
  <c r="M218" i="22"/>
  <c r="M217" i="22"/>
  <c r="M216" i="22"/>
  <c r="M215" i="22"/>
  <c r="M214" i="22"/>
  <c r="M213" i="22"/>
  <c r="M212" i="22"/>
  <c r="M210" i="22"/>
  <c r="M209" i="22"/>
  <c r="M208" i="22"/>
  <c r="M207" i="22"/>
  <c r="M206" i="22"/>
  <c r="M205" i="22"/>
  <c r="M204" i="22"/>
  <c r="M203" i="22"/>
  <c r="M202" i="22"/>
  <c r="M201" i="22"/>
  <c r="M200" i="22"/>
  <c r="M199" i="22"/>
  <c r="M198" i="22"/>
  <c r="M197" i="22"/>
  <c r="M196" i="22"/>
  <c r="M195" i="22"/>
  <c r="M194" i="22"/>
  <c r="M193" i="22"/>
  <c r="M192" i="22"/>
  <c r="M191" i="22"/>
  <c r="M190" i="22"/>
  <c r="M189" i="22"/>
  <c r="M188" i="22"/>
  <c r="M187" i="22"/>
  <c r="M186" i="22"/>
  <c r="M185" i="22"/>
  <c r="M184" i="22"/>
  <c r="M183" i="22"/>
  <c r="M182" i="22"/>
  <c r="M181" i="22"/>
  <c r="M180" i="22"/>
  <c r="M178" i="22"/>
  <c r="M177" i="22"/>
  <c r="M176" i="22"/>
  <c r="M175" i="22"/>
  <c r="M174" i="22"/>
  <c r="M173" i="22"/>
  <c r="M172" i="22"/>
  <c r="M171" i="22"/>
  <c r="M170" i="22"/>
  <c r="M169" i="22"/>
  <c r="M168" i="22"/>
  <c r="M167" i="22"/>
  <c r="M166" i="22"/>
  <c r="M165" i="22"/>
  <c r="M164" i="22"/>
  <c r="M163" i="22"/>
  <c r="M162" i="22"/>
  <c r="M160" i="22"/>
  <c r="M159" i="22"/>
  <c r="M158" i="22"/>
  <c r="M157" i="22"/>
  <c r="M156" i="22"/>
  <c r="M155" i="22"/>
  <c r="M154" i="22"/>
  <c r="M153" i="22"/>
  <c r="M152" i="22"/>
  <c r="M151" i="22"/>
  <c r="M150" i="22"/>
  <c r="M148" i="22"/>
  <c r="M146" i="22"/>
  <c r="M145" i="22"/>
  <c r="M144" i="22"/>
  <c r="M143" i="22"/>
  <c r="M142" i="22"/>
  <c r="M139" i="22"/>
  <c r="M138" i="22"/>
  <c r="M137" i="22"/>
  <c r="M136" i="22"/>
  <c r="M135" i="22"/>
  <c r="M134" i="22"/>
  <c r="M133" i="22"/>
  <c r="M132" i="22"/>
  <c r="M131" i="22"/>
  <c r="M130" i="22"/>
  <c r="M129" i="22"/>
  <c r="M128" i="22"/>
  <c r="M127" i="22"/>
  <c r="M126" i="22"/>
  <c r="M125" i="22"/>
  <c r="M124" i="22"/>
  <c r="M123" i="22"/>
  <c r="M122" i="22"/>
  <c r="M120" i="22"/>
  <c r="M119" i="22"/>
  <c r="M118" i="22"/>
  <c r="M117" i="22"/>
  <c r="M116" i="22"/>
  <c r="M115" i="22"/>
  <c r="M113" i="22"/>
  <c r="M112" i="22"/>
  <c r="M111" i="22"/>
  <c r="M110" i="22"/>
  <c r="M109" i="22"/>
  <c r="M108" i="22"/>
  <c r="M107" i="22"/>
  <c r="M106" i="22"/>
  <c r="M105" i="22"/>
  <c r="M104" i="22"/>
  <c r="M103" i="22"/>
  <c r="M101" i="22"/>
  <c r="M100" i="22"/>
  <c r="M99" i="22"/>
  <c r="M98" i="22"/>
  <c r="M97" i="22"/>
  <c r="M96" i="22"/>
  <c r="M95" i="22"/>
  <c r="M94" i="22"/>
  <c r="M93" i="22"/>
  <c r="M92" i="22"/>
  <c r="M91" i="22"/>
  <c r="M90" i="22"/>
  <c r="M89" i="22"/>
  <c r="M88" i="22"/>
  <c r="M87" i="22"/>
  <c r="M86" i="22"/>
  <c r="M85" i="22"/>
  <c r="M84" i="22"/>
  <c r="M81" i="22"/>
  <c r="M80" i="22"/>
  <c r="M79" i="22"/>
  <c r="M77" i="22"/>
  <c r="M75" i="22"/>
  <c r="M73" i="22"/>
  <c r="M72" i="22"/>
  <c r="M71" i="22"/>
  <c r="M69" i="22"/>
  <c r="M68" i="22"/>
  <c r="M67" i="22"/>
  <c r="M66" i="22"/>
  <c r="M65" i="22"/>
  <c r="M64" i="22"/>
  <c r="M63" i="22"/>
  <c r="M62" i="22"/>
  <c r="M61" i="22"/>
  <c r="M59" i="22"/>
  <c r="M58" i="22"/>
  <c r="M57" i="22"/>
  <c r="M56" i="22"/>
  <c r="M55" i="22"/>
  <c r="M54" i="22"/>
  <c r="M53" i="22"/>
  <c r="M52" i="22"/>
  <c r="M51" i="22"/>
  <c r="M49" i="22"/>
  <c r="M48" i="22"/>
  <c r="M47" i="22"/>
  <c r="M46" i="22"/>
  <c r="M44" i="22"/>
  <c r="M43" i="22"/>
  <c r="M42" i="22"/>
  <c r="M41" i="22"/>
  <c r="M40" i="22"/>
  <c r="M39" i="22"/>
  <c r="M38" i="22"/>
  <c r="M37" i="22"/>
  <c r="M36" i="22"/>
  <c r="M35" i="22"/>
  <c r="M34" i="22"/>
  <c r="M33" i="22"/>
  <c r="M31" i="22"/>
  <c r="M30" i="22"/>
  <c r="M29" i="22"/>
  <c r="M27" i="22"/>
  <c r="M26" i="22"/>
  <c r="M25" i="22"/>
  <c r="M24" i="22"/>
  <c r="M23" i="22"/>
  <c r="M21" i="22"/>
  <c r="M20" i="22"/>
  <c r="M19" i="22"/>
  <c r="M18" i="22"/>
  <c r="M17" i="22"/>
  <c r="M16" i="22"/>
  <c r="M13" i="22"/>
  <c r="M12" i="22"/>
  <c r="M11" i="22"/>
  <c r="M10" i="22"/>
  <c r="M9" i="22"/>
  <c r="M8" i="22"/>
  <c r="M7" i="22"/>
  <c r="M6" i="22"/>
  <c r="M5" i="22"/>
  <c r="M3" i="22"/>
  <c r="M2" i="22"/>
  <c r="BU595" i="20"/>
  <c r="BG595" i="20"/>
  <c r="BU631" i="20"/>
  <c r="BG631" i="20"/>
  <c r="BU576" i="20"/>
  <c r="BG576" i="20"/>
  <c r="BU575" i="20"/>
  <c r="BG575" i="20"/>
  <c r="BU574" i="20"/>
  <c r="BG574" i="20"/>
  <c r="BU573" i="20"/>
  <c r="BG573" i="20"/>
  <c r="BU572" i="20"/>
  <c r="BU571" i="20"/>
  <c r="BG571" i="20"/>
  <c r="BU570" i="20"/>
  <c r="BG570" i="20"/>
  <c r="BU569" i="20"/>
  <c r="BG569" i="20"/>
  <c r="BU568" i="20"/>
  <c r="BG568" i="20"/>
  <c r="BU567" i="20"/>
  <c r="BG567" i="20"/>
  <c r="BU566" i="20"/>
  <c r="BG566" i="20"/>
  <c r="BU565" i="20"/>
  <c r="BG565" i="20"/>
  <c r="BU564" i="20"/>
  <c r="BG564" i="20"/>
  <c r="BU563" i="20"/>
  <c r="BG563" i="20"/>
  <c r="BU562" i="20"/>
  <c r="BG562" i="20"/>
  <c r="BU561" i="20"/>
  <c r="BG561" i="20"/>
  <c r="BU560" i="20"/>
  <c r="BG560" i="20"/>
  <c r="BU559" i="20"/>
  <c r="BG559" i="20"/>
  <c r="BU558" i="20"/>
  <c r="BG558" i="20"/>
  <c r="BU557" i="20"/>
  <c r="BG557" i="20"/>
  <c r="BU556" i="20"/>
  <c r="BG556" i="20"/>
  <c r="BU555" i="20"/>
  <c r="BG555" i="20"/>
  <c r="BU554" i="20"/>
  <c r="BG554" i="20"/>
  <c r="BU553" i="20"/>
  <c r="BG553" i="20"/>
  <c r="BU630" i="20"/>
  <c r="BG630" i="20"/>
  <c r="BU552" i="20"/>
  <c r="BG552" i="20"/>
  <c r="BU551" i="20"/>
  <c r="BG551" i="20"/>
  <c r="BU550" i="20"/>
  <c r="BG550" i="20"/>
  <c r="BU549" i="20"/>
  <c r="BG549" i="20"/>
  <c r="BU548" i="20"/>
  <c r="BU547" i="20"/>
  <c r="BG547" i="20"/>
  <c r="BU546" i="20"/>
  <c r="BU545" i="20"/>
  <c r="BG545" i="20"/>
  <c r="BU544" i="20"/>
  <c r="BG544" i="20"/>
  <c r="BU543" i="20"/>
  <c r="BG543" i="20"/>
  <c r="BU542" i="20"/>
  <c r="BG542" i="20"/>
  <c r="BU541" i="20"/>
  <c r="BG541" i="20"/>
  <c r="BU629" i="20"/>
  <c r="BG629" i="20"/>
  <c r="BU540" i="20"/>
  <c r="BG540" i="20"/>
  <c r="BU539" i="20"/>
  <c r="BG539" i="20"/>
  <c r="BU538" i="20"/>
  <c r="BG538" i="20"/>
  <c r="BU537" i="20"/>
  <c r="BG537" i="20"/>
  <c r="BU536" i="20"/>
  <c r="BG536" i="20"/>
  <c r="BU535" i="20"/>
  <c r="BG535" i="20"/>
  <c r="BU534" i="20"/>
  <c r="BG534" i="20"/>
  <c r="BU533" i="20"/>
  <c r="BG533" i="20"/>
  <c r="BU532" i="20"/>
  <c r="BG532" i="20"/>
  <c r="BU531" i="20"/>
  <c r="BG531" i="20"/>
  <c r="BU530" i="20"/>
  <c r="BG530" i="20"/>
  <c r="BU529" i="20"/>
  <c r="BG529" i="20"/>
  <c r="BU528" i="20"/>
  <c r="BG528" i="20"/>
  <c r="BU527" i="20"/>
  <c r="BG527" i="20"/>
  <c r="BU526" i="20"/>
  <c r="BG526" i="20"/>
  <c r="BU525" i="20"/>
  <c r="BG525" i="20"/>
  <c r="BU524" i="20"/>
  <c r="BG524" i="20"/>
  <c r="BU523" i="20"/>
  <c r="BG523" i="20"/>
  <c r="BU628" i="20"/>
  <c r="BG628" i="20"/>
  <c r="BU522" i="20"/>
  <c r="BG522" i="20"/>
  <c r="BU521" i="20"/>
  <c r="BG521" i="20"/>
  <c r="BU520" i="20"/>
  <c r="BG520" i="20"/>
  <c r="BU519" i="20"/>
  <c r="BG519" i="20"/>
  <c r="BU518" i="20"/>
  <c r="BG518" i="20"/>
  <c r="BU517" i="20"/>
  <c r="BG517" i="20"/>
  <c r="BU516" i="20"/>
  <c r="BG516" i="20"/>
  <c r="BU515" i="20"/>
  <c r="BG515" i="20"/>
  <c r="BU514" i="20"/>
  <c r="BG514" i="20"/>
  <c r="BU513" i="20"/>
  <c r="BU512" i="20"/>
  <c r="BG512" i="20"/>
  <c r="BU511" i="20"/>
  <c r="BG511" i="20"/>
  <c r="BU510" i="20"/>
  <c r="BG510" i="20"/>
  <c r="BU509" i="20"/>
  <c r="BG509" i="20"/>
  <c r="BU508" i="20"/>
  <c r="BG508" i="20"/>
  <c r="BU507" i="20"/>
  <c r="BG507" i="20"/>
  <c r="BU506" i="20"/>
  <c r="BG506" i="20"/>
  <c r="BU505" i="20"/>
  <c r="BG505" i="20"/>
  <c r="BU504" i="20"/>
  <c r="BU503" i="20"/>
  <c r="BU594" i="20"/>
  <c r="BG594" i="20"/>
  <c r="BU502" i="20"/>
  <c r="BU501" i="20"/>
  <c r="BG501" i="20"/>
  <c r="BU500" i="20"/>
  <c r="BU499" i="20"/>
  <c r="BU498" i="20"/>
  <c r="BG498" i="20"/>
  <c r="BU497" i="20"/>
  <c r="BG497" i="20"/>
  <c r="BU496" i="20"/>
  <c r="BG496" i="20"/>
  <c r="BU495" i="20"/>
  <c r="BG495" i="20"/>
  <c r="BU494" i="20"/>
  <c r="BG494" i="20"/>
  <c r="BU493" i="20"/>
  <c r="BG493" i="20"/>
  <c r="BU627" i="20"/>
  <c r="BG627" i="20"/>
  <c r="BU492" i="20"/>
  <c r="BG492" i="20"/>
  <c r="BU491" i="20"/>
  <c r="BG491" i="20"/>
  <c r="BU490" i="20"/>
  <c r="BG490" i="20"/>
  <c r="BU489" i="20"/>
  <c r="BG489" i="20"/>
  <c r="BU488" i="20"/>
  <c r="BG488" i="20"/>
  <c r="BU487" i="20"/>
  <c r="BG487" i="20"/>
  <c r="BU486" i="20"/>
  <c r="BG486" i="20"/>
  <c r="BU485" i="20"/>
  <c r="BG485" i="20"/>
  <c r="BU484" i="20"/>
  <c r="BG484" i="20"/>
  <c r="BU483" i="20"/>
  <c r="BG483" i="20"/>
  <c r="BU482" i="20"/>
  <c r="BU481" i="20"/>
  <c r="BG481" i="20"/>
  <c r="BU480" i="20"/>
  <c r="BG480" i="20"/>
  <c r="BU479" i="20"/>
  <c r="BG479" i="20"/>
  <c r="BU478" i="20"/>
  <c r="BG478" i="20"/>
  <c r="BU477" i="20"/>
  <c r="BG477" i="20"/>
  <c r="BU476" i="20"/>
  <c r="BG476" i="20"/>
  <c r="BU475" i="20"/>
  <c r="BG475" i="20"/>
  <c r="BU474" i="20"/>
  <c r="BG474" i="20"/>
  <c r="BU473" i="20"/>
  <c r="BG473" i="20"/>
  <c r="BU472" i="20"/>
  <c r="BG472" i="20"/>
  <c r="BU471" i="20"/>
  <c r="BG471" i="20"/>
  <c r="BU470" i="20"/>
  <c r="BG470" i="20"/>
  <c r="BU469" i="20"/>
  <c r="BG469" i="20"/>
  <c r="BU468" i="20"/>
  <c r="BU467" i="20"/>
  <c r="BG467" i="20"/>
  <c r="BU466" i="20"/>
  <c r="BG466" i="20"/>
  <c r="BU465" i="20"/>
  <c r="BG465" i="20"/>
  <c r="BU464" i="20"/>
  <c r="BG464" i="20"/>
  <c r="BU463" i="20"/>
  <c r="BG463" i="20"/>
  <c r="BU462" i="20"/>
  <c r="BG462" i="20"/>
  <c r="BU461" i="20"/>
  <c r="BG461" i="20"/>
  <c r="BU626" i="20"/>
  <c r="BG626" i="20"/>
  <c r="BU460" i="20"/>
  <c r="BG460" i="20"/>
  <c r="BU459" i="20"/>
  <c r="BG459" i="20"/>
  <c r="BU597" i="20"/>
  <c r="BG597" i="20"/>
  <c r="BU458" i="20"/>
  <c r="BG458" i="20"/>
  <c r="BU457" i="20"/>
  <c r="BG457" i="20"/>
  <c r="BU456" i="20"/>
  <c r="BG456" i="20"/>
  <c r="BU455" i="20"/>
  <c r="BG455" i="20"/>
  <c r="BU454" i="20"/>
  <c r="BG454" i="20"/>
  <c r="BU453" i="20"/>
  <c r="BG453" i="20"/>
  <c r="BU452" i="20"/>
  <c r="BG452" i="20"/>
  <c r="BU451" i="20"/>
  <c r="BG451" i="20"/>
  <c r="BU450" i="20"/>
  <c r="BG450" i="20"/>
  <c r="BU449" i="20"/>
  <c r="BG449" i="20"/>
  <c r="BU448" i="20"/>
  <c r="BG448" i="20"/>
  <c r="BU447" i="20"/>
  <c r="BU446" i="20"/>
  <c r="BG446" i="20"/>
  <c r="BU445" i="20"/>
  <c r="BG445" i="20"/>
  <c r="BU444" i="20"/>
  <c r="BG444" i="20"/>
  <c r="BU443" i="20"/>
  <c r="BG443" i="20"/>
  <c r="BU442" i="20"/>
  <c r="BG442" i="20"/>
  <c r="BU441" i="20"/>
  <c r="BG441" i="20"/>
  <c r="BU440" i="20"/>
  <c r="BG440" i="20"/>
  <c r="BU610" i="20"/>
  <c r="BU439" i="20"/>
  <c r="BG439" i="20"/>
  <c r="BU438" i="20"/>
  <c r="BG438" i="20"/>
  <c r="BU437" i="20"/>
  <c r="BG437" i="20"/>
  <c r="BU436" i="20"/>
  <c r="BG436" i="20"/>
  <c r="BU435" i="20"/>
  <c r="BG435" i="20"/>
  <c r="BU434" i="20"/>
  <c r="BG434" i="20"/>
  <c r="BU433" i="20"/>
  <c r="BG433" i="20"/>
  <c r="BU432" i="20"/>
  <c r="BG432" i="20"/>
  <c r="BU431" i="20"/>
  <c r="BG431" i="20"/>
  <c r="BU430" i="20"/>
  <c r="BG430" i="20"/>
  <c r="BU429" i="20"/>
  <c r="BG429" i="20"/>
  <c r="BU428" i="20"/>
  <c r="BG428" i="20"/>
  <c r="BU427" i="20"/>
  <c r="BG427" i="20"/>
  <c r="BU426" i="20"/>
  <c r="BG426" i="20"/>
  <c r="BU425" i="20"/>
  <c r="BG425" i="20"/>
  <c r="BU424" i="20"/>
  <c r="BG424" i="20"/>
  <c r="BU423" i="20"/>
  <c r="BG423" i="20"/>
  <c r="BU422" i="20"/>
  <c r="BG422" i="20"/>
  <c r="BU421" i="20"/>
  <c r="BG421" i="20"/>
  <c r="BU420" i="20"/>
  <c r="BG420" i="20"/>
  <c r="BU419" i="20"/>
  <c r="BG419" i="20"/>
  <c r="BU418" i="20"/>
  <c r="BG418" i="20"/>
  <c r="BU417" i="20"/>
  <c r="BG417" i="20"/>
  <c r="BU416" i="20"/>
  <c r="BG416" i="20"/>
  <c r="BU415" i="20"/>
  <c r="BG415" i="20"/>
  <c r="BU414" i="20"/>
  <c r="BG414" i="20"/>
  <c r="BU413" i="20"/>
  <c r="BG413" i="20"/>
  <c r="BU412" i="20"/>
  <c r="BG412" i="20"/>
  <c r="BU411" i="20"/>
  <c r="BG411" i="20"/>
  <c r="BU410" i="20"/>
  <c r="BG410" i="20"/>
  <c r="BU409" i="20"/>
  <c r="BU408" i="20"/>
  <c r="BG408" i="20"/>
  <c r="BU407" i="20"/>
  <c r="BG407" i="20"/>
  <c r="BU406" i="20"/>
  <c r="BG406" i="20"/>
  <c r="BU405" i="20"/>
  <c r="BG405" i="20"/>
  <c r="BU404" i="20"/>
  <c r="BG404" i="20"/>
  <c r="BU403" i="20"/>
  <c r="BG403" i="20"/>
  <c r="BU402" i="20"/>
  <c r="BG402" i="20"/>
  <c r="BU401" i="20"/>
  <c r="BG401" i="20"/>
  <c r="BU400" i="20"/>
  <c r="BG400" i="20"/>
  <c r="BU399" i="20"/>
  <c r="BG399" i="20"/>
  <c r="BU398" i="20"/>
  <c r="BG398" i="20"/>
  <c r="BU397" i="20"/>
  <c r="BG397" i="20"/>
  <c r="BU593" i="20"/>
  <c r="BG593" i="20"/>
  <c r="BU396" i="20"/>
  <c r="BU625" i="20"/>
  <c r="BG625" i="20"/>
  <c r="BU395" i="20"/>
  <c r="BU394" i="20"/>
  <c r="BG394" i="20"/>
  <c r="BU624" i="20"/>
  <c r="BG624" i="20"/>
  <c r="BU393" i="20"/>
  <c r="BG393" i="20"/>
  <c r="BU392" i="20"/>
  <c r="BG392" i="20"/>
  <c r="BU391" i="20"/>
  <c r="BG391" i="20"/>
  <c r="BU390" i="20"/>
  <c r="BU389" i="20"/>
  <c r="BU388" i="20"/>
  <c r="BU623" i="20"/>
  <c r="BG623" i="20"/>
  <c r="BU387" i="20"/>
  <c r="BG387" i="20"/>
  <c r="BU386" i="20"/>
  <c r="BG386" i="20"/>
  <c r="BU385" i="20"/>
  <c r="BG385" i="20"/>
  <c r="BU384" i="20"/>
  <c r="BG384" i="20"/>
  <c r="BU383" i="20"/>
  <c r="BG383" i="20"/>
  <c r="BU382" i="20"/>
  <c r="BG382" i="20"/>
  <c r="BU381" i="20"/>
  <c r="BG381" i="20"/>
  <c r="BU380" i="20"/>
  <c r="BG380" i="20"/>
  <c r="BU379" i="20"/>
  <c r="BG379" i="20"/>
  <c r="BU378" i="20"/>
  <c r="BU377" i="20"/>
  <c r="BG377" i="20"/>
  <c r="BU376" i="20"/>
  <c r="BG376" i="20"/>
  <c r="BU375" i="20"/>
  <c r="BG375" i="20"/>
  <c r="BU374" i="20"/>
  <c r="BG374" i="20"/>
  <c r="BU373" i="20"/>
  <c r="BG373" i="20"/>
  <c r="BU372" i="20"/>
  <c r="BG372" i="20"/>
  <c r="BU371" i="20"/>
  <c r="BG371" i="20"/>
  <c r="BU370" i="20"/>
  <c r="BG370" i="20"/>
  <c r="BU369" i="20"/>
  <c r="BG369" i="20"/>
  <c r="BU592" i="20"/>
  <c r="BG592" i="20"/>
  <c r="BU368" i="20"/>
  <c r="BG368" i="20"/>
  <c r="BU367" i="20"/>
  <c r="BG367" i="20"/>
  <c r="BU366" i="20"/>
  <c r="BG366" i="20"/>
  <c r="BU365" i="20"/>
  <c r="BG365" i="20"/>
  <c r="BU364" i="20"/>
  <c r="BG364" i="20"/>
  <c r="BU363" i="20"/>
  <c r="BG363" i="20"/>
  <c r="BU362" i="20"/>
  <c r="BG362" i="20"/>
  <c r="BU591" i="20"/>
  <c r="BG591" i="20"/>
  <c r="BU361" i="20"/>
  <c r="BG361" i="20"/>
  <c r="BU360" i="20"/>
  <c r="BG360" i="20"/>
  <c r="BU359" i="20"/>
  <c r="BG359" i="20"/>
  <c r="BU358" i="20"/>
  <c r="BU357" i="20"/>
  <c r="BG357" i="20"/>
  <c r="BU356" i="20"/>
  <c r="BU355" i="20"/>
  <c r="BG355" i="20"/>
  <c r="BU354" i="20"/>
  <c r="BG354" i="20"/>
  <c r="BU353" i="20"/>
  <c r="BG353" i="20"/>
  <c r="BU352" i="20"/>
  <c r="BG352" i="20"/>
  <c r="BU351" i="20"/>
  <c r="BU350" i="20"/>
  <c r="BG350" i="20"/>
  <c r="BU349" i="20"/>
  <c r="BG349" i="20"/>
  <c r="BU348" i="20"/>
  <c r="BG348" i="20"/>
  <c r="BU347" i="20"/>
  <c r="BG347" i="20"/>
  <c r="BU346" i="20"/>
  <c r="BG346" i="20"/>
  <c r="BU345" i="20"/>
  <c r="BG345" i="20"/>
  <c r="BU344" i="20"/>
  <c r="BG344" i="20"/>
  <c r="BU343" i="20"/>
  <c r="BG343" i="20"/>
  <c r="BU342" i="20"/>
  <c r="BG342" i="20"/>
  <c r="BU341" i="20"/>
  <c r="BG341" i="20"/>
  <c r="BU590" i="20"/>
  <c r="BG590" i="20"/>
  <c r="BU340" i="20"/>
  <c r="BG340" i="20"/>
  <c r="BU339" i="20"/>
  <c r="BG339" i="20"/>
  <c r="BU601" i="20"/>
  <c r="BG601" i="20"/>
  <c r="BU589" i="20"/>
  <c r="BG589" i="20"/>
  <c r="BU338" i="20"/>
  <c r="BG338" i="20"/>
  <c r="BU337" i="20"/>
  <c r="BG337" i="20"/>
  <c r="BU336" i="20"/>
  <c r="BU335" i="20"/>
  <c r="BG335" i="20"/>
  <c r="BU334" i="20"/>
  <c r="BG334" i="20"/>
  <c r="BU333" i="20"/>
  <c r="BG333" i="20"/>
  <c r="BU332" i="20"/>
  <c r="BG332" i="20"/>
  <c r="BU331" i="20"/>
  <c r="BG331" i="20"/>
  <c r="BU330" i="20"/>
  <c r="BG330" i="20"/>
  <c r="BU329" i="20"/>
  <c r="BG329" i="20"/>
  <c r="BU328" i="20"/>
  <c r="BG328" i="20"/>
  <c r="BU327" i="20"/>
  <c r="BG327" i="20"/>
  <c r="BU588" i="20"/>
  <c r="BG588" i="20"/>
  <c r="BU326" i="20"/>
  <c r="BG326" i="20"/>
  <c r="BU325" i="20"/>
  <c r="BG325" i="20"/>
  <c r="BU324" i="20"/>
  <c r="BG324" i="20"/>
  <c r="BU323" i="20"/>
  <c r="BG323" i="20"/>
  <c r="BU322" i="20"/>
  <c r="BG322" i="20"/>
  <c r="BU321" i="20"/>
  <c r="BG321" i="20"/>
  <c r="BU320" i="20"/>
  <c r="BG320" i="20"/>
  <c r="BU319" i="20"/>
  <c r="BG319" i="20"/>
  <c r="BU318" i="20"/>
  <c r="BG318" i="20"/>
  <c r="BU317" i="20"/>
  <c r="BG317" i="20"/>
  <c r="BU316" i="20"/>
  <c r="BG316" i="20"/>
  <c r="BU315" i="20"/>
  <c r="BG315" i="20"/>
  <c r="BU314" i="20"/>
  <c r="BG314" i="20"/>
  <c r="BU609" i="20"/>
  <c r="BU313" i="20"/>
  <c r="BU312" i="20"/>
  <c r="BG312" i="20"/>
  <c r="BU311" i="20"/>
  <c r="BG311" i="20"/>
  <c r="BU310" i="20"/>
  <c r="BG310" i="20"/>
  <c r="BU309" i="20"/>
  <c r="BG309" i="20"/>
  <c r="BU308" i="20"/>
  <c r="BG308" i="20"/>
  <c r="BU307" i="20"/>
  <c r="BG307" i="20"/>
  <c r="BU306" i="20"/>
  <c r="BG306" i="20"/>
  <c r="BU305" i="20"/>
  <c r="BU304" i="20"/>
  <c r="BG304" i="20"/>
  <c r="BU303" i="20"/>
  <c r="BG303" i="20"/>
  <c r="BU302" i="20"/>
  <c r="BG302" i="20"/>
  <c r="BU622" i="20"/>
  <c r="BG622" i="20"/>
  <c r="BU301" i="20"/>
  <c r="BG301" i="20"/>
  <c r="BU300" i="20"/>
  <c r="BG300" i="20"/>
  <c r="BU299" i="20"/>
  <c r="BG299" i="20"/>
  <c r="BU298" i="20"/>
  <c r="BG298" i="20"/>
  <c r="BU297" i="20"/>
  <c r="BG297" i="20"/>
  <c r="BU296" i="20"/>
  <c r="BG296" i="20"/>
  <c r="BU295" i="20"/>
  <c r="BU621" i="20"/>
  <c r="BG621" i="20"/>
  <c r="BU294" i="20"/>
  <c r="BG294" i="20"/>
  <c r="BU587" i="20"/>
  <c r="BG587" i="20"/>
  <c r="BU293" i="20"/>
  <c r="BG293" i="20"/>
  <c r="BU292" i="20"/>
  <c r="BU291" i="20"/>
  <c r="BG291" i="20"/>
  <c r="BU290" i="20"/>
  <c r="BG290" i="20"/>
  <c r="BU289" i="20"/>
  <c r="BG289" i="20"/>
  <c r="BU288" i="20"/>
  <c r="BU287" i="20"/>
  <c r="BG287" i="20"/>
  <c r="BU286" i="20"/>
  <c r="BG286" i="20"/>
  <c r="BU285" i="20"/>
  <c r="BG285" i="20"/>
  <c r="BU284" i="20"/>
  <c r="BG284" i="20"/>
  <c r="BU283" i="20"/>
  <c r="BG283" i="20"/>
  <c r="BU282" i="20"/>
  <c r="BG282" i="20"/>
  <c r="BU281" i="20"/>
  <c r="BG281" i="20"/>
  <c r="BU280" i="20"/>
  <c r="BG280" i="20"/>
  <c r="BU586" i="20"/>
  <c r="BG586" i="20"/>
  <c r="BU279" i="20"/>
  <c r="BG279" i="20"/>
  <c r="BU278" i="20"/>
  <c r="BG278" i="20"/>
  <c r="BU277" i="20"/>
  <c r="BG277" i="20"/>
  <c r="BU585" i="20"/>
  <c r="BG585" i="20"/>
  <c r="BU276" i="20"/>
  <c r="BG276" i="20"/>
  <c r="BU275" i="20"/>
  <c r="BG275" i="20"/>
  <c r="BU274" i="20"/>
  <c r="BG274" i="20"/>
  <c r="BU273" i="20"/>
  <c r="BG273" i="20"/>
  <c r="BU272" i="20"/>
  <c r="BG272" i="20"/>
  <c r="BU271" i="20"/>
  <c r="BG271" i="20"/>
  <c r="BU270" i="20"/>
  <c r="BG270" i="20"/>
  <c r="BU269" i="20"/>
  <c r="BG269" i="20"/>
  <c r="BU268" i="20"/>
  <c r="BG268" i="20"/>
  <c r="BU267" i="20"/>
  <c r="BG267" i="20"/>
  <c r="BU266" i="20"/>
  <c r="BU265" i="20"/>
  <c r="BG265" i="20"/>
  <c r="BU264" i="20"/>
  <c r="BG264" i="20"/>
  <c r="BU620" i="20"/>
  <c r="BG620" i="20"/>
  <c r="BU263" i="20"/>
  <c r="BG263" i="20"/>
  <c r="BU262" i="20"/>
  <c r="BG262" i="20"/>
  <c r="BU261" i="20"/>
  <c r="BG261" i="20"/>
  <c r="BU260" i="20"/>
  <c r="BG260" i="20"/>
  <c r="BU259" i="20"/>
  <c r="BG259" i="20"/>
  <c r="BU258" i="20"/>
  <c r="BG258" i="20"/>
  <c r="BU257" i="20"/>
  <c r="BG257" i="20"/>
  <c r="BU256" i="20"/>
  <c r="BG256" i="20"/>
  <c r="BU255" i="20"/>
  <c r="BG255" i="20"/>
  <c r="BU254" i="20"/>
  <c r="BG254" i="20"/>
  <c r="BU253" i="20"/>
  <c r="BG253" i="20"/>
  <c r="BU252" i="20"/>
  <c r="BG252" i="20"/>
  <c r="BU251" i="20"/>
  <c r="BG251" i="20"/>
  <c r="BU250" i="20"/>
  <c r="BG250" i="20"/>
  <c r="BU249" i="20"/>
  <c r="BG249" i="20"/>
  <c r="BU248" i="20"/>
  <c r="BG248" i="20"/>
  <c r="BU596" i="20"/>
  <c r="BG596" i="20"/>
  <c r="BU247" i="20"/>
  <c r="BG247" i="20"/>
  <c r="BU246" i="20"/>
  <c r="BG246" i="20"/>
  <c r="BU245" i="20"/>
  <c r="BG245" i="20"/>
  <c r="BU244" i="20"/>
  <c r="BG244" i="20"/>
  <c r="BU584" i="20"/>
  <c r="BG584" i="20"/>
  <c r="BU243" i="20"/>
  <c r="BG243" i="20"/>
  <c r="BU242" i="20"/>
  <c r="BG242" i="20"/>
  <c r="BU241" i="20"/>
  <c r="BG241" i="20"/>
  <c r="BU240" i="20"/>
  <c r="BG240" i="20"/>
  <c r="BU632" i="20"/>
  <c r="BG632" i="20"/>
  <c r="BU239" i="20"/>
  <c r="BG239" i="20"/>
  <c r="BU238" i="20"/>
  <c r="BG238" i="20"/>
  <c r="BU237" i="20"/>
  <c r="BG237" i="20"/>
  <c r="BU583" i="20"/>
  <c r="BG583" i="20"/>
  <c r="BU236" i="20"/>
  <c r="BG236" i="20"/>
  <c r="BU235" i="20"/>
  <c r="BG235" i="20"/>
  <c r="BU234" i="20"/>
  <c r="BG234" i="20"/>
  <c r="BU233" i="20"/>
  <c r="BG233" i="20"/>
  <c r="BU232" i="20"/>
  <c r="BG232" i="20"/>
  <c r="BU231" i="20"/>
  <c r="BG231" i="20"/>
  <c r="BU230" i="20"/>
  <c r="BG230" i="20"/>
  <c r="BU229" i="20"/>
  <c r="BG229" i="20"/>
  <c r="BU228" i="20"/>
  <c r="BG228" i="20"/>
  <c r="BU227" i="20"/>
  <c r="BG227" i="20"/>
  <c r="BU226" i="20"/>
  <c r="BG226" i="20"/>
  <c r="BU225" i="20"/>
  <c r="BG225" i="20"/>
  <c r="BU619" i="20"/>
  <c r="BG619" i="20"/>
  <c r="BU224" i="20"/>
  <c r="BG224" i="20"/>
  <c r="BU223" i="20"/>
  <c r="BG223" i="20"/>
  <c r="BU222" i="20"/>
  <c r="BG222" i="20"/>
  <c r="BU221" i="20"/>
  <c r="BG221" i="20"/>
  <c r="BU220" i="20"/>
  <c r="BG220" i="20"/>
  <c r="BU219" i="20"/>
  <c r="BU218" i="20"/>
  <c r="BG218" i="20"/>
  <c r="BU217" i="20"/>
  <c r="BG217" i="20"/>
  <c r="BU216" i="20"/>
  <c r="BG216" i="20"/>
  <c r="BU215" i="20"/>
  <c r="BG215" i="20"/>
  <c r="BU214" i="20"/>
  <c r="BG214" i="20"/>
  <c r="BU213" i="20"/>
  <c r="BG213" i="20"/>
  <c r="BU212" i="20"/>
  <c r="BG212" i="20"/>
  <c r="BU211" i="20"/>
  <c r="BG211" i="20"/>
  <c r="BU210" i="20"/>
  <c r="BG210" i="20"/>
  <c r="BU209" i="20"/>
  <c r="BG209" i="20"/>
  <c r="BU208" i="20"/>
  <c r="BG208" i="20"/>
  <c r="BU207" i="20"/>
  <c r="BG207" i="20"/>
  <c r="BU206" i="20"/>
  <c r="BG206" i="20"/>
  <c r="BU205" i="20"/>
  <c r="BG205" i="20"/>
  <c r="BU204" i="20"/>
  <c r="BG204" i="20"/>
  <c r="BU203" i="20"/>
  <c r="BG203" i="20"/>
  <c r="BU202" i="20"/>
  <c r="BG202" i="20"/>
  <c r="BU201" i="20"/>
  <c r="BG201" i="20"/>
  <c r="BU200" i="20"/>
  <c r="BG200" i="20"/>
  <c r="BU199" i="20"/>
  <c r="BG199" i="20"/>
  <c r="BU198" i="20"/>
  <c r="BG198" i="20"/>
  <c r="BU197" i="20"/>
  <c r="BG197" i="20"/>
  <c r="BU196" i="20"/>
  <c r="BG196" i="20"/>
  <c r="BU195" i="20"/>
  <c r="BG195" i="20"/>
  <c r="BU194" i="20"/>
  <c r="BG194" i="20"/>
  <c r="BU193" i="20"/>
  <c r="BG193" i="20"/>
  <c r="BU192" i="20"/>
  <c r="BG192" i="20"/>
  <c r="BU191" i="20"/>
  <c r="BG191" i="20"/>
  <c r="BU190" i="20"/>
  <c r="BG190" i="20"/>
  <c r="BU189" i="20"/>
  <c r="BG189" i="20"/>
  <c r="BU188" i="20"/>
  <c r="BG188" i="20"/>
  <c r="BU187" i="20"/>
  <c r="BG187" i="20"/>
  <c r="BU186" i="20"/>
  <c r="BG186" i="20"/>
  <c r="BU185" i="20"/>
  <c r="BG185" i="20"/>
  <c r="BU184" i="20"/>
  <c r="BU183" i="20"/>
  <c r="BG183" i="20"/>
  <c r="BU182" i="20"/>
  <c r="BG182" i="20"/>
  <c r="BU181" i="20"/>
  <c r="BG181" i="20"/>
  <c r="BU582" i="20"/>
  <c r="BG582" i="20"/>
  <c r="BU180" i="20"/>
  <c r="BG180" i="20"/>
  <c r="BU179" i="20"/>
  <c r="BG179" i="20"/>
  <c r="BU178" i="20"/>
  <c r="BG178" i="20"/>
  <c r="BU177" i="20"/>
  <c r="BG177" i="20"/>
  <c r="BU176" i="20"/>
  <c r="BG176" i="20"/>
  <c r="BU175" i="20"/>
  <c r="BG175" i="20"/>
  <c r="BU174" i="20"/>
  <c r="BG174" i="20"/>
  <c r="BU173" i="20"/>
  <c r="BG173" i="20"/>
  <c r="BU172" i="20"/>
  <c r="BG172" i="20"/>
  <c r="BU171" i="20"/>
  <c r="BG171" i="20"/>
  <c r="BU170" i="20"/>
  <c r="BG170" i="20"/>
  <c r="BU169" i="20"/>
  <c r="BG169" i="20"/>
  <c r="BU168" i="20"/>
  <c r="BG168" i="20"/>
  <c r="BU167" i="20"/>
  <c r="BG167" i="20"/>
  <c r="BU166" i="20"/>
  <c r="BG166" i="20"/>
  <c r="BU165" i="20"/>
  <c r="BU164" i="20"/>
  <c r="BG164" i="20"/>
  <c r="BU163" i="20"/>
  <c r="BG163" i="20"/>
  <c r="BU162" i="20"/>
  <c r="BG162" i="20"/>
  <c r="BU161" i="20"/>
  <c r="BG161" i="20"/>
  <c r="BU160" i="20"/>
  <c r="BG160" i="20"/>
  <c r="BU159" i="20"/>
  <c r="BG159" i="20"/>
  <c r="BU158" i="20"/>
  <c r="BG158" i="20"/>
  <c r="BU157" i="20"/>
  <c r="BG157" i="20"/>
  <c r="BU156" i="20"/>
  <c r="BG156" i="20"/>
  <c r="BU155" i="20"/>
  <c r="BG155" i="20"/>
  <c r="BU618" i="20"/>
  <c r="BG618" i="20"/>
  <c r="BU154" i="20"/>
  <c r="BG154" i="20"/>
  <c r="BU153" i="20"/>
  <c r="BG153" i="20"/>
  <c r="BU152" i="20"/>
  <c r="BU151" i="20"/>
  <c r="BG151" i="20"/>
  <c r="BU150" i="20"/>
  <c r="BU581" i="20"/>
  <c r="BG581" i="20"/>
  <c r="BU149" i="20"/>
  <c r="BG149" i="20"/>
  <c r="BU148" i="20"/>
  <c r="BG148" i="20"/>
  <c r="BU147" i="20"/>
  <c r="BG147" i="20"/>
  <c r="BU146" i="20"/>
  <c r="BG146" i="20"/>
  <c r="BU145" i="20"/>
  <c r="BG145" i="20"/>
  <c r="BU144" i="20"/>
  <c r="BU143" i="20"/>
  <c r="BU142" i="20"/>
  <c r="BG142" i="20"/>
  <c r="BU141" i="20"/>
  <c r="BG141" i="20"/>
  <c r="BU140" i="20"/>
  <c r="BG140" i="20"/>
  <c r="BU139" i="20"/>
  <c r="BG139" i="20"/>
  <c r="BU138" i="20"/>
  <c r="BG138" i="20"/>
  <c r="BU137" i="20"/>
  <c r="BG137" i="20"/>
  <c r="BU136" i="20"/>
  <c r="BG136" i="20"/>
  <c r="BU135" i="20"/>
  <c r="BG135" i="20"/>
  <c r="BU134" i="20"/>
  <c r="BG134" i="20"/>
  <c r="BU133" i="20"/>
  <c r="BG133" i="20"/>
  <c r="BU132" i="20"/>
  <c r="BG132" i="20"/>
  <c r="BU131" i="20"/>
  <c r="BG131" i="20"/>
  <c r="BU580" i="20"/>
  <c r="BG580" i="20"/>
  <c r="BU579" i="20"/>
  <c r="BG579" i="20"/>
  <c r="BU130" i="20"/>
  <c r="BG130" i="20"/>
  <c r="BU129" i="20"/>
  <c r="BG129" i="20"/>
  <c r="BU128" i="20"/>
  <c r="BG128" i="20"/>
  <c r="BU127" i="20"/>
  <c r="BG127" i="20"/>
  <c r="BU600" i="20"/>
  <c r="BG600" i="20"/>
  <c r="BU126" i="20"/>
  <c r="BG126" i="20"/>
  <c r="BU125" i="20"/>
  <c r="BG125" i="20"/>
  <c r="BU124" i="20"/>
  <c r="BU123" i="20"/>
  <c r="BG123" i="20"/>
  <c r="BU122" i="20"/>
  <c r="BG122" i="20"/>
  <c r="BU121" i="20"/>
  <c r="BG121" i="20"/>
  <c r="BU120" i="20"/>
  <c r="BG120" i="20"/>
  <c r="BU119" i="20"/>
  <c r="BG119" i="20"/>
  <c r="BU118" i="20"/>
  <c r="BG118" i="20"/>
  <c r="BU117" i="20"/>
  <c r="BU116" i="20"/>
  <c r="BG116" i="20"/>
  <c r="BU115" i="20"/>
  <c r="BG115" i="20"/>
  <c r="BU114" i="20"/>
  <c r="BG114" i="20"/>
  <c r="BU113" i="20"/>
  <c r="BG113" i="20"/>
  <c r="BU112" i="20"/>
  <c r="BG112" i="20"/>
  <c r="BU111" i="20"/>
  <c r="BG111" i="20"/>
  <c r="BU110" i="20"/>
  <c r="BG110" i="20"/>
  <c r="BU109" i="20"/>
  <c r="BG109" i="20"/>
  <c r="BU108" i="20"/>
  <c r="BG108" i="20"/>
  <c r="BU107" i="20"/>
  <c r="BG107" i="20"/>
  <c r="BU106" i="20"/>
  <c r="BG106" i="20"/>
  <c r="BU105" i="20"/>
  <c r="BG105" i="20"/>
  <c r="BU104" i="20"/>
  <c r="BU103" i="20"/>
  <c r="BG103" i="20"/>
  <c r="BU102" i="20"/>
  <c r="BG102" i="20"/>
  <c r="BU101" i="20"/>
  <c r="BG101" i="20"/>
  <c r="BU100" i="20"/>
  <c r="BG100" i="20"/>
  <c r="BU99" i="20"/>
  <c r="BG99" i="20"/>
  <c r="BU98" i="20"/>
  <c r="BG98" i="20"/>
  <c r="BU97" i="20"/>
  <c r="BG97" i="20"/>
  <c r="BU96" i="20"/>
  <c r="BG96" i="20"/>
  <c r="BU95" i="20"/>
  <c r="BG95" i="20"/>
  <c r="BU94" i="20"/>
  <c r="BG94" i="20"/>
  <c r="BU617" i="20"/>
  <c r="BG617" i="20"/>
  <c r="BU93" i="20"/>
  <c r="BG93" i="20"/>
  <c r="BU92" i="20"/>
  <c r="BG92" i="20"/>
  <c r="BU91" i="20"/>
  <c r="BG91" i="20"/>
  <c r="BU90" i="20"/>
  <c r="BG90" i="20"/>
  <c r="BU89" i="20"/>
  <c r="BG89" i="20"/>
  <c r="BU88" i="20"/>
  <c r="BG88" i="20"/>
  <c r="BU87" i="20"/>
  <c r="BG87" i="20"/>
  <c r="BU86" i="20"/>
  <c r="BG86" i="20"/>
  <c r="BU85" i="20"/>
  <c r="BG85" i="20"/>
  <c r="BU84" i="20"/>
  <c r="BU83" i="20"/>
  <c r="BU82" i="20"/>
  <c r="BG82" i="20"/>
  <c r="BU81" i="20"/>
  <c r="BG81" i="20"/>
  <c r="BU80" i="20"/>
  <c r="BG80" i="20"/>
  <c r="BU79" i="20"/>
  <c r="BU78" i="20"/>
  <c r="BG78" i="20"/>
  <c r="BU77" i="20"/>
  <c r="BU616" i="20"/>
  <c r="BG616" i="20"/>
  <c r="BU76" i="20"/>
  <c r="BG76" i="20"/>
  <c r="BU75" i="20"/>
  <c r="BU608" i="20"/>
  <c r="BU615" i="20"/>
  <c r="BG615" i="20"/>
  <c r="BU74" i="20"/>
  <c r="BG74" i="20"/>
  <c r="BU614" i="20"/>
  <c r="BG614" i="20"/>
  <c r="BU73" i="20"/>
  <c r="BG73" i="20"/>
  <c r="BU72" i="20"/>
  <c r="BG72" i="20"/>
  <c r="BU71" i="20"/>
  <c r="BU613" i="20"/>
  <c r="BG613" i="20"/>
  <c r="BU607" i="20"/>
  <c r="BU70" i="20"/>
  <c r="BG70" i="20"/>
  <c r="BU599" i="20"/>
  <c r="BG599" i="20"/>
  <c r="BU606" i="20"/>
  <c r="BU69" i="20"/>
  <c r="BG69" i="20"/>
  <c r="BU68" i="20"/>
  <c r="BG68" i="20"/>
  <c r="BU67" i="20"/>
  <c r="BG67" i="20"/>
  <c r="BU66" i="20"/>
  <c r="BG66" i="20"/>
  <c r="BU65" i="20"/>
  <c r="BG65" i="20"/>
  <c r="BU64" i="20"/>
  <c r="BG64" i="20"/>
  <c r="BU63" i="20"/>
  <c r="BG63" i="20"/>
  <c r="BU605" i="20"/>
  <c r="BU62" i="20"/>
  <c r="BG62" i="20"/>
  <c r="BU612" i="20"/>
  <c r="BG612" i="20"/>
  <c r="BU61" i="20"/>
  <c r="BU60" i="20"/>
  <c r="BG60" i="20"/>
  <c r="BU59" i="20"/>
  <c r="BG59" i="20"/>
  <c r="BU58" i="20"/>
  <c r="BG58" i="20"/>
  <c r="BU57" i="20"/>
  <c r="BG57" i="20"/>
  <c r="BU56" i="20"/>
  <c r="BG56" i="20"/>
  <c r="BU55" i="20"/>
  <c r="BG55" i="20"/>
  <c r="BU54" i="20"/>
  <c r="BG54" i="20"/>
  <c r="BU53" i="20"/>
  <c r="BG53" i="20"/>
  <c r="BU52" i="20"/>
  <c r="BG52" i="20"/>
  <c r="BU51" i="20"/>
  <c r="BU50" i="20"/>
  <c r="BG50" i="20"/>
  <c r="BU578" i="20"/>
  <c r="BG578" i="20"/>
  <c r="BU49" i="20"/>
  <c r="BG49" i="20"/>
  <c r="BU48" i="20"/>
  <c r="BG48" i="20"/>
  <c r="BU604" i="20"/>
  <c r="BG604" i="20"/>
  <c r="BU47" i="20"/>
  <c r="BG47" i="20"/>
  <c r="BU46" i="20"/>
  <c r="BU45" i="20"/>
  <c r="BG45" i="20"/>
  <c r="BU44" i="20"/>
  <c r="BG44" i="20"/>
  <c r="BU43" i="20"/>
  <c r="BG43" i="20"/>
  <c r="BU42" i="20"/>
  <c r="BG42" i="20"/>
  <c r="BU41" i="20"/>
  <c r="BG41" i="20"/>
  <c r="BU40" i="20"/>
  <c r="BG40" i="20"/>
  <c r="BU39" i="20"/>
  <c r="BG39" i="20"/>
  <c r="BU38" i="20"/>
  <c r="BG38" i="20"/>
  <c r="BU37" i="20"/>
  <c r="BG37" i="20"/>
  <c r="BU36" i="20"/>
  <c r="BG36" i="20"/>
  <c r="BU35" i="20"/>
  <c r="BG35" i="20"/>
  <c r="BU34" i="20"/>
  <c r="BG34" i="20"/>
  <c r="BU33" i="20"/>
  <c r="BU32" i="20"/>
  <c r="BG32" i="20"/>
  <c r="BU31" i="20"/>
  <c r="BG31" i="20"/>
  <c r="BU603" i="20"/>
  <c r="BG603" i="20"/>
  <c r="BU611" i="20"/>
  <c r="BG611" i="20"/>
  <c r="BU30" i="20"/>
  <c r="BG30" i="20"/>
  <c r="BU29" i="20"/>
  <c r="BG29" i="20"/>
  <c r="BU28" i="20"/>
  <c r="BU27" i="20"/>
  <c r="BG27" i="20"/>
  <c r="BU26" i="20"/>
  <c r="BG26" i="20"/>
  <c r="BU602" i="20"/>
  <c r="BU25" i="20"/>
  <c r="BG25" i="20"/>
  <c r="BU598" i="20"/>
  <c r="BG598" i="20"/>
  <c r="BU24" i="20"/>
  <c r="BG24" i="20"/>
  <c r="BU23" i="20"/>
  <c r="BG23" i="20"/>
  <c r="BU22" i="20"/>
  <c r="BU21" i="20"/>
  <c r="BG21" i="20"/>
  <c r="BU20" i="20"/>
  <c r="BG20" i="20"/>
  <c r="BU19" i="20"/>
  <c r="BG19" i="20"/>
  <c r="BU18" i="20"/>
  <c r="BG18" i="20"/>
  <c r="BU17" i="20"/>
  <c r="BG17" i="20"/>
  <c r="BU16" i="20"/>
  <c r="BG16" i="20"/>
  <c r="BU15" i="20"/>
  <c r="BU14" i="20"/>
  <c r="BU13" i="20"/>
  <c r="BG13" i="20"/>
  <c r="BU12" i="20"/>
  <c r="BG12" i="20"/>
  <c r="BU11" i="20"/>
  <c r="BG11" i="20"/>
  <c r="BU10" i="20"/>
  <c r="BG10" i="20"/>
  <c r="BU9" i="20"/>
  <c r="BG9" i="20"/>
  <c r="BU8" i="20"/>
  <c r="BG8" i="20"/>
  <c r="BU7" i="20"/>
  <c r="BG7" i="20"/>
  <c r="BU577" i="20"/>
  <c r="BG577" i="20"/>
  <c r="BU6" i="20"/>
  <c r="BG6" i="20"/>
  <c r="BU5" i="20"/>
  <c r="BG5" i="20"/>
  <c r="BU4" i="20"/>
  <c r="BU3" i="20"/>
  <c r="BG3" i="20"/>
  <c r="BU2" i="20"/>
  <c r="BG2" i="20"/>
  <c r="BU542" i="18"/>
  <c r="BG542" i="18"/>
  <c r="BU503" i="18"/>
  <c r="BG503" i="18"/>
  <c r="BU500" i="18"/>
  <c r="BG500" i="18"/>
  <c r="BU420" i="18"/>
  <c r="BU373" i="18"/>
  <c r="BU360" i="18"/>
  <c r="BG360" i="18"/>
  <c r="BU251" i="18"/>
  <c r="BG251" i="18"/>
  <c r="BU231" i="18"/>
  <c r="BG231" i="18"/>
  <c r="BU153" i="18"/>
  <c r="BG153" i="18"/>
  <c r="BU96" i="18"/>
  <c r="BU77" i="18"/>
  <c r="BG77" i="18"/>
  <c r="BU58" i="18"/>
  <c r="BU16" i="18"/>
  <c r="BU246" i="18"/>
  <c r="BG246" i="18"/>
  <c r="BU578" i="18"/>
  <c r="BG578" i="18"/>
  <c r="BU553" i="18"/>
  <c r="BG553" i="18"/>
  <c r="BU44" i="18"/>
  <c r="BG44" i="18"/>
  <c r="BU520" i="18"/>
  <c r="BG520" i="18"/>
  <c r="BU518" i="18"/>
  <c r="BG518" i="18"/>
  <c r="BU278" i="18"/>
  <c r="BG278" i="18"/>
  <c r="BU310" i="18"/>
  <c r="BG310" i="18"/>
  <c r="BU374" i="18"/>
  <c r="BG374" i="18"/>
  <c r="BU236" i="18"/>
  <c r="BG236" i="18"/>
  <c r="BU488" i="18"/>
  <c r="BG488" i="18"/>
  <c r="BU91" i="18"/>
  <c r="BU365" i="18"/>
  <c r="BG365" i="18"/>
  <c r="BU83" i="18"/>
  <c r="BG83" i="18"/>
  <c r="BU299" i="18"/>
  <c r="BG299" i="18"/>
  <c r="BU86" i="18"/>
  <c r="BG86" i="18"/>
  <c r="BU34" i="18"/>
  <c r="BG34" i="18"/>
  <c r="BU309" i="18"/>
  <c r="BG309" i="18"/>
  <c r="BU529" i="18"/>
  <c r="BG529" i="18"/>
  <c r="BU382" i="18"/>
  <c r="BG382" i="18"/>
  <c r="BU628" i="18"/>
  <c r="BG628" i="18"/>
  <c r="BU545" i="18"/>
  <c r="BG545" i="18"/>
  <c r="BU515" i="18"/>
  <c r="BG515" i="18"/>
  <c r="BU502" i="18"/>
  <c r="BG502" i="18"/>
  <c r="BU489" i="18"/>
  <c r="BG489" i="18"/>
  <c r="BU433" i="18"/>
  <c r="BU409" i="18"/>
  <c r="BG409" i="18"/>
  <c r="BU243" i="18"/>
  <c r="BU210" i="18"/>
  <c r="BG210" i="18"/>
  <c r="BU132" i="18"/>
  <c r="BG132" i="18"/>
  <c r="BU100" i="18"/>
  <c r="BU70" i="18"/>
  <c r="BG70" i="18"/>
  <c r="BU68" i="18"/>
  <c r="BU23" i="18"/>
  <c r="BU22" i="18"/>
  <c r="BG22" i="18"/>
  <c r="BU4" i="18"/>
  <c r="BU590" i="18"/>
  <c r="BG590" i="18"/>
  <c r="BU585" i="18"/>
  <c r="BG585" i="18"/>
  <c r="BU552" i="18"/>
  <c r="BU431" i="18"/>
  <c r="BU345" i="18"/>
  <c r="BG345" i="18"/>
  <c r="BU344" i="18"/>
  <c r="BG344" i="18"/>
  <c r="BU31" i="18"/>
  <c r="BU460" i="18"/>
  <c r="BG460" i="18"/>
  <c r="BU339" i="18"/>
  <c r="BG339" i="18"/>
  <c r="BU72" i="18"/>
  <c r="BG72" i="18"/>
  <c r="BU30" i="18"/>
  <c r="BG30" i="18"/>
  <c r="BU18" i="18"/>
  <c r="BG18" i="18"/>
  <c r="BU600" i="18"/>
  <c r="BG600" i="18"/>
  <c r="BU106" i="18"/>
  <c r="BG106" i="18"/>
  <c r="BU29" i="18"/>
  <c r="BG29" i="18"/>
  <c r="BU577" i="18"/>
  <c r="BG577" i="18"/>
  <c r="BU422" i="18"/>
  <c r="BG422" i="18"/>
  <c r="BU240" i="18"/>
  <c r="BG240" i="18"/>
  <c r="BU412" i="18"/>
  <c r="BG412" i="18"/>
  <c r="BU127" i="18"/>
  <c r="BG127" i="18"/>
  <c r="BU314" i="18"/>
  <c r="BG314" i="18"/>
  <c r="BU215" i="18"/>
  <c r="BG215" i="18"/>
  <c r="BU470" i="18"/>
  <c r="BG470" i="18"/>
  <c r="BU547" i="18"/>
  <c r="BG547" i="18"/>
  <c r="BU47" i="18"/>
  <c r="BG47" i="18"/>
  <c r="BU40" i="18"/>
  <c r="BG40" i="18"/>
  <c r="BU55" i="18"/>
  <c r="BG55" i="18"/>
  <c r="BU509" i="18"/>
  <c r="BG509" i="18"/>
  <c r="BU395" i="18"/>
  <c r="BG395" i="18"/>
  <c r="BU188" i="18"/>
  <c r="BU172" i="18"/>
  <c r="BU155" i="18"/>
  <c r="BG155" i="18"/>
  <c r="BU369" i="18"/>
  <c r="BG369" i="18"/>
  <c r="BU364" i="18"/>
  <c r="BG364" i="18"/>
  <c r="BU79" i="18"/>
  <c r="BU349" i="18"/>
  <c r="BU605" i="18"/>
  <c r="BG605" i="18"/>
  <c r="BU582" i="18"/>
  <c r="BG582" i="18"/>
  <c r="BU451" i="18"/>
  <c r="BG451" i="18"/>
  <c r="BU350" i="18"/>
  <c r="BG350" i="18"/>
  <c r="BU149" i="18"/>
  <c r="BG149" i="18"/>
  <c r="BU607" i="18"/>
  <c r="BG607" i="18"/>
  <c r="BU201" i="18"/>
  <c r="BG201" i="18"/>
  <c r="BU496" i="18"/>
  <c r="BG496" i="18"/>
  <c r="BU166" i="18"/>
  <c r="BG166" i="18"/>
  <c r="BU62" i="18"/>
  <c r="BG62" i="18"/>
  <c r="BU467" i="18"/>
  <c r="BG467" i="18"/>
  <c r="BU550" i="18"/>
  <c r="BU548" i="18"/>
  <c r="BG548" i="18"/>
  <c r="BU494" i="18"/>
  <c r="BU347" i="18"/>
  <c r="BG347" i="18"/>
  <c r="BU280" i="18"/>
  <c r="BG280" i="18"/>
  <c r="BU242" i="18"/>
  <c r="BG242" i="18"/>
  <c r="BU171" i="18"/>
  <c r="BG171" i="18"/>
  <c r="BU163" i="18"/>
  <c r="BG163" i="18"/>
  <c r="BU142" i="18"/>
  <c r="BU51" i="18"/>
  <c r="BU610" i="18"/>
  <c r="BG610" i="18"/>
  <c r="BU284" i="18"/>
  <c r="BG284" i="18"/>
  <c r="BU589" i="18"/>
  <c r="BG589" i="18"/>
  <c r="BU519" i="18"/>
  <c r="BG519" i="18"/>
  <c r="BU424" i="18"/>
  <c r="BG424" i="18"/>
  <c r="BU385" i="18"/>
  <c r="BG385" i="18"/>
  <c r="BU300" i="18"/>
  <c r="BG300" i="18"/>
  <c r="BU576" i="18"/>
  <c r="BG576" i="18"/>
  <c r="BU194" i="18"/>
  <c r="BG194" i="18"/>
  <c r="BU458" i="18"/>
  <c r="BG458" i="18"/>
  <c r="BU398" i="18"/>
  <c r="BU388" i="18"/>
  <c r="BG388" i="18"/>
  <c r="BU60" i="18"/>
  <c r="BG60" i="18"/>
  <c r="BU427" i="18"/>
  <c r="BG427" i="18"/>
  <c r="BU165" i="18"/>
  <c r="BU490" i="18"/>
  <c r="BG490" i="18"/>
  <c r="BU485" i="18"/>
  <c r="BG485" i="18"/>
  <c r="BU497" i="18"/>
  <c r="BG497" i="18"/>
  <c r="BU27" i="18"/>
  <c r="BG27" i="18"/>
  <c r="BU415" i="18"/>
  <c r="BG415" i="18"/>
  <c r="BU396" i="18"/>
  <c r="BU379" i="18"/>
  <c r="BG379" i="18"/>
  <c r="BU372" i="18"/>
  <c r="BG372" i="18"/>
  <c r="BU351" i="18"/>
  <c r="BG351" i="18"/>
  <c r="BU325" i="18"/>
  <c r="BG325" i="18"/>
  <c r="BU418" i="18"/>
  <c r="BG418" i="18"/>
  <c r="BU492" i="18"/>
  <c r="BG492" i="18"/>
  <c r="BU256" i="18"/>
  <c r="BG256" i="18"/>
  <c r="BU425" i="18"/>
  <c r="BG425" i="18"/>
  <c r="BU45" i="18"/>
  <c r="BG45" i="18"/>
  <c r="BU222" i="18"/>
  <c r="BG222" i="18"/>
  <c r="BU17" i="18"/>
  <c r="BG17" i="18"/>
  <c r="BU481" i="18"/>
  <c r="BG481" i="18"/>
  <c r="BU579" i="18"/>
  <c r="BG579" i="18"/>
  <c r="BU455" i="18"/>
  <c r="BU378" i="18"/>
  <c r="BG378" i="18"/>
  <c r="BU340" i="18"/>
  <c r="BU399" i="18"/>
  <c r="BG399" i="18"/>
  <c r="BU491" i="18"/>
  <c r="BG491" i="18"/>
  <c r="BU161" i="18"/>
  <c r="BG161" i="18"/>
  <c r="BU244" i="18"/>
  <c r="BG244" i="18"/>
  <c r="BU168" i="18"/>
  <c r="BG168" i="18"/>
  <c r="BU173" i="18"/>
  <c r="BG173" i="18"/>
  <c r="BU527" i="18"/>
  <c r="BG527" i="18"/>
  <c r="BU24" i="18"/>
  <c r="BG24" i="18"/>
  <c r="BU366" i="18"/>
  <c r="BG366" i="18"/>
  <c r="BU626" i="18"/>
  <c r="BU507" i="18"/>
  <c r="BG507" i="18"/>
  <c r="BU452" i="18"/>
  <c r="BG452" i="18"/>
  <c r="BU348" i="18"/>
  <c r="BU324" i="18"/>
  <c r="BU320" i="18"/>
  <c r="BU204" i="18"/>
  <c r="BG204" i="18"/>
  <c r="BU206" i="18"/>
  <c r="BG206" i="18"/>
  <c r="BU182" i="18"/>
  <c r="BG182" i="18"/>
  <c r="BU99" i="18"/>
  <c r="BG99" i="18"/>
  <c r="BU38" i="18"/>
  <c r="BU581" i="18"/>
  <c r="BG581" i="18"/>
  <c r="BU237" i="18"/>
  <c r="BG237" i="18"/>
  <c r="BU426" i="18"/>
  <c r="BG426" i="18"/>
  <c r="BU290" i="18"/>
  <c r="BG290" i="18"/>
  <c r="BU154" i="18"/>
  <c r="BG154" i="18"/>
  <c r="BU94" i="18"/>
  <c r="BU107" i="18"/>
  <c r="BG107" i="18"/>
  <c r="BU170" i="18"/>
  <c r="BG170" i="18"/>
  <c r="BU477" i="18"/>
  <c r="BG477" i="18"/>
  <c r="BU202" i="18"/>
  <c r="BG202" i="18"/>
  <c r="BU158" i="18"/>
  <c r="BG158" i="18"/>
  <c r="BU335" i="18"/>
  <c r="BG335" i="18"/>
  <c r="BU196" i="18"/>
  <c r="BG196" i="18"/>
  <c r="BU392" i="18"/>
  <c r="BG392" i="18"/>
  <c r="BU207" i="18"/>
  <c r="BG207" i="18"/>
  <c r="BU564" i="18"/>
  <c r="BU535" i="18"/>
  <c r="BG535" i="18"/>
  <c r="BU319" i="18"/>
  <c r="BG319" i="18"/>
  <c r="BU84" i="18"/>
  <c r="BU48" i="18"/>
  <c r="BG48" i="18"/>
  <c r="BU92" i="18"/>
  <c r="BG92" i="18"/>
  <c r="BU413" i="18"/>
  <c r="BG413" i="18"/>
  <c r="BU232" i="18"/>
  <c r="BG232" i="18"/>
  <c r="BU19" i="18"/>
  <c r="BG19" i="18"/>
  <c r="BU551" i="18"/>
  <c r="BG551" i="18"/>
  <c r="BU157" i="18"/>
  <c r="BG157" i="18"/>
  <c r="BU160" i="18"/>
  <c r="BG160" i="18"/>
  <c r="BU580" i="18"/>
  <c r="BG580" i="18"/>
  <c r="BU308" i="18"/>
  <c r="BG308" i="18"/>
  <c r="BU591" i="18"/>
  <c r="BG591" i="18"/>
  <c r="BU417" i="18"/>
  <c r="BG417" i="18"/>
  <c r="BU33" i="18"/>
  <c r="BG33" i="18"/>
  <c r="BU288" i="18"/>
  <c r="BG288" i="18"/>
  <c r="BU587" i="18"/>
  <c r="BG587" i="18"/>
  <c r="BU286" i="18"/>
  <c r="BG286" i="18"/>
  <c r="BU625" i="18"/>
  <c r="BG625" i="18"/>
  <c r="BU305" i="18"/>
  <c r="BG305" i="18"/>
  <c r="BU512" i="18"/>
  <c r="BG512" i="18"/>
  <c r="BU401" i="18"/>
  <c r="BG401" i="18"/>
  <c r="BU273" i="18"/>
  <c r="BG273" i="18"/>
  <c r="BU608" i="18"/>
  <c r="BG608" i="18"/>
  <c r="BU323" i="18"/>
  <c r="BG323" i="18"/>
  <c r="BU180" i="18"/>
  <c r="BG180" i="18"/>
  <c r="BU588" i="18"/>
  <c r="BG588" i="18"/>
  <c r="BU516" i="18"/>
  <c r="BG516" i="18"/>
  <c r="BU370" i="18"/>
  <c r="BG370" i="18"/>
  <c r="BU596" i="18"/>
  <c r="BG596" i="18"/>
  <c r="BU619" i="18"/>
  <c r="BG619" i="18"/>
  <c r="BU439" i="18"/>
  <c r="BU76" i="18"/>
  <c r="BG76" i="18"/>
  <c r="BU482" i="18"/>
  <c r="BG482" i="18"/>
  <c r="BU87" i="18"/>
  <c r="BG87" i="18"/>
  <c r="BU317" i="18"/>
  <c r="BG317" i="18"/>
  <c r="BU333" i="18"/>
  <c r="BG333" i="18"/>
  <c r="BU275" i="18"/>
  <c r="BG275" i="18"/>
  <c r="BU575" i="18"/>
  <c r="BG575" i="18"/>
  <c r="BU559" i="18"/>
  <c r="BG559" i="18"/>
  <c r="BU501" i="18"/>
  <c r="BG501" i="18"/>
  <c r="BU510" i="18"/>
  <c r="BG510" i="18"/>
  <c r="BU594" i="18"/>
  <c r="BG594" i="18"/>
  <c r="BU476" i="18"/>
  <c r="BG476" i="18"/>
  <c r="BU556" i="18"/>
  <c r="BG556" i="18"/>
  <c r="BU604" i="18"/>
  <c r="BG604" i="18"/>
  <c r="BU561" i="18"/>
  <c r="BG561" i="18"/>
  <c r="BU530" i="18"/>
  <c r="BG530" i="18"/>
  <c r="BU517" i="18"/>
  <c r="BU329" i="18"/>
  <c r="BU267" i="18"/>
  <c r="BG267" i="18"/>
  <c r="BU241" i="18"/>
  <c r="BG241" i="18"/>
  <c r="BU229" i="18"/>
  <c r="BG229" i="18"/>
  <c r="BU213" i="18"/>
  <c r="BG213" i="18"/>
  <c r="BU176" i="18"/>
  <c r="BG176" i="18"/>
  <c r="BU130" i="18"/>
  <c r="BG130" i="18"/>
  <c r="BU101" i="18"/>
  <c r="BU64" i="18"/>
  <c r="BG64" i="18"/>
  <c r="BU15" i="18"/>
  <c r="BU10" i="18"/>
  <c r="BG10" i="18"/>
  <c r="BU146" i="18"/>
  <c r="BG146" i="18"/>
  <c r="BU257" i="18"/>
  <c r="BG257" i="18"/>
  <c r="BU37" i="18"/>
  <c r="BG37" i="18"/>
  <c r="BU217" i="18"/>
  <c r="BG217" i="18"/>
  <c r="BU238" i="18"/>
  <c r="BG238" i="18"/>
  <c r="BU11" i="18"/>
  <c r="BG11" i="18"/>
  <c r="BU177" i="18"/>
  <c r="BG177" i="18"/>
  <c r="BU483" i="18"/>
  <c r="BG483" i="18"/>
  <c r="BU616" i="18"/>
  <c r="BG616" i="18"/>
  <c r="BU473" i="18"/>
  <c r="BG473" i="18"/>
  <c r="BU174" i="18"/>
  <c r="BU65" i="18"/>
  <c r="BG65" i="18"/>
  <c r="BU61" i="18"/>
  <c r="BG61" i="18"/>
  <c r="BU354" i="18"/>
  <c r="BG354" i="18"/>
  <c r="BU504" i="18"/>
  <c r="BG504" i="18"/>
  <c r="BU227" i="18"/>
  <c r="BG227" i="18"/>
  <c r="BU74" i="18"/>
  <c r="BG74" i="18"/>
  <c r="BU566" i="18"/>
  <c r="BG566" i="18"/>
  <c r="BU471" i="18"/>
  <c r="BG471" i="18"/>
  <c r="BU368" i="18"/>
  <c r="BG368" i="18"/>
  <c r="BU301" i="18"/>
  <c r="BG301" i="18"/>
  <c r="BU103" i="18"/>
  <c r="BG103" i="18"/>
  <c r="BU264" i="18"/>
  <c r="BG264" i="18"/>
  <c r="BU544" i="18"/>
  <c r="BG544" i="18"/>
  <c r="BU135" i="18"/>
  <c r="BU617" i="18"/>
  <c r="BG617" i="18"/>
  <c r="BU119" i="18"/>
  <c r="BG119" i="18"/>
  <c r="BU383" i="18"/>
  <c r="BG383" i="18"/>
  <c r="BU508" i="18"/>
  <c r="BG508" i="18"/>
  <c r="BU259" i="18"/>
  <c r="BG259" i="18"/>
  <c r="BU456" i="18"/>
  <c r="BG456" i="18"/>
  <c r="BU584" i="18"/>
  <c r="BG584" i="18"/>
  <c r="BU555" i="18"/>
  <c r="BU453" i="18"/>
  <c r="BG453" i="18"/>
  <c r="BU199" i="18"/>
  <c r="BG199" i="18"/>
  <c r="BU327" i="18"/>
  <c r="BG327" i="18"/>
  <c r="BU110" i="18"/>
  <c r="BG110" i="18"/>
  <c r="BU606" i="18"/>
  <c r="BG606" i="18"/>
  <c r="BU526" i="18"/>
  <c r="BG526" i="18"/>
  <c r="BU184" i="18"/>
  <c r="BG184" i="18"/>
  <c r="BU35" i="18"/>
  <c r="BG35" i="18"/>
  <c r="BU514" i="18"/>
  <c r="BG514" i="18"/>
  <c r="BU445" i="18"/>
  <c r="BG445" i="18"/>
  <c r="BU466" i="18"/>
  <c r="BG466" i="18"/>
  <c r="BU304" i="18"/>
  <c r="BG304" i="18"/>
  <c r="BU630" i="18"/>
  <c r="BG630" i="18"/>
  <c r="BU113" i="18"/>
  <c r="BG113" i="18"/>
  <c r="BU281" i="18"/>
  <c r="BG281" i="18"/>
  <c r="BU78" i="18"/>
  <c r="BG78" i="18"/>
  <c r="BU627" i="18"/>
  <c r="BG627" i="18"/>
  <c r="BU624" i="18"/>
  <c r="BG624" i="18"/>
  <c r="BU613" i="18"/>
  <c r="BG613" i="18"/>
  <c r="BU609" i="18"/>
  <c r="BG609" i="18"/>
  <c r="BU603" i="18"/>
  <c r="BG603" i="18"/>
  <c r="BU602" i="18"/>
  <c r="BG602" i="18"/>
  <c r="BU599" i="18"/>
  <c r="BU597" i="18"/>
  <c r="BG597" i="18"/>
  <c r="BU592" i="18"/>
  <c r="BG592" i="18"/>
  <c r="BU586" i="18"/>
  <c r="BG586" i="18"/>
  <c r="BU573" i="18"/>
  <c r="BG573" i="18"/>
  <c r="BU563" i="18"/>
  <c r="BG563" i="18"/>
  <c r="BU562" i="18"/>
  <c r="BG562" i="18"/>
  <c r="BU560" i="18"/>
  <c r="BG560" i="18"/>
  <c r="BU549" i="18"/>
  <c r="BU546" i="18"/>
  <c r="BG546" i="18"/>
  <c r="BU539" i="18"/>
  <c r="BG539" i="18"/>
  <c r="BU537" i="18"/>
  <c r="BG537" i="18"/>
  <c r="BU525" i="18"/>
  <c r="BG525" i="18"/>
  <c r="BU524" i="18"/>
  <c r="BG524" i="18"/>
  <c r="BU522" i="18"/>
  <c r="BG522" i="18"/>
  <c r="BU521" i="18"/>
  <c r="BG521" i="18"/>
  <c r="BU513" i="18"/>
  <c r="BG513" i="18"/>
  <c r="BU511" i="18"/>
  <c r="BG511" i="18"/>
  <c r="BU499" i="18"/>
  <c r="BG499" i="18"/>
  <c r="BU479" i="18"/>
  <c r="BG479" i="18"/>
  <c r="BU474" i="18"/>
  <c r="BG474" i="18"/>
  <c r="BU469" i="18"/>
  <c r="BG469" i="18"/>
  <c r="BU468" i="18"/>
  <c r="BG468" i="18"/>
  <c r="BU464" i="18"/>
  <c r="BG464" i="18"/>
  <c r="BU463" i="18"/>
  <c r="BG463" i="18"/>
  <c r="BU459" i="18"/>
  <c r="BG459" i="18"/>
  <c r="BU440" i="18"/>
  <c r="BG440" i="18"/>
  <c r="BU438" i="18"/>
  <c r="BG438" i="18"/>
  <c r="BU434" i="18"/>
  <c r="BG434" i="18"/>
  <c r="BU432" i="18"/>
  <c r="BU429" i="18"/>
  <c r="BG429" i="18"/>
  <c r="BU416" i="18"/>
  <c r="BG416" i="18"/>
  <c r="BU406" i="18"/>
  <c r="BG406" i="18"/>
  <c r="BU400" i="18"/>
  <c r="BG400" i="18"/>
  <c r="BU394" i="18"/>
  <c r="BG394" i="18"/>
  <c r="BU390" i="18"/>
  <c r="BG390" i="18"/>
  <c r="BU362" i="18"/>
  <c r="BG362" i="18"/>
  <c r="BU359" i="18"/>
  <c r="BG359" i="18"/>
  <c r="BU355" i="18"/>
  <c r="BG355" i="18"/>
  <c r="BU353" i="18"/>
  <c r="BG353" i="18"/>
  <c r="BU334" i="18"/>
  <c r="BG334" i="18"/>
  <c r="BU331" i="18"/>
  <c r="BG331" i="18"/>
  <c r="BU326" i="18"/>
  <c r="BG326" i="18"/>
  <c r="BU322" i="18"/>
  <c r="BG322" i="18"/>
  <c r="BU318" i="18"/>
  <c r="BG318" i="18"/>
  <c r="BU312" i="18"/>
  <c r="BG312" i="18"/>
  <c r="BU296" i="18"/>
  <c r="BU295" i="18"/>
  <c r="BG295" i="18"/>
  <c r="BU283" i="18"/>
  <c r="BG283" i="18"/>
  <c r="BU282" i="18"/>
  <c r="BG282" i="18"/>
  <c r="BU277" i="18"/>
  <c r="BG277" i="18"/>
  <c r="BU272" i="18"/>
  <c r="BG272" i="18"/>
  <c r="BU270" i="18"/>
  <c r="BG270" i="18"/>
  <c r="BU268" i="18"/>
  <c r="BG268" i="18"/>
  <c r="BU253" i="18"/>
  <c r="BG253" i="18"/>
  <c r="BU250" i="18"/>
  <c r="BG250" i="18"/>
  <c r="BU247" i="18"/>
  <c r="BG247" i="18"/>
  <c r="BU233" i="18"/>
  <c r="BG233" i="18"/>
  <c r="BU228" i="18"/>
  <c r="BG228" i="18"/>
  <c r="BU225" i="18"/>
  <c r="BG225" i="18"/>
  <c r="BU220" i="18"/>
  <c r="BG220" i="18"/>
  <c r="BU214" i="18"/>
  <c r="BG214" i="18"/>
  <c r="BU208" i="18"/>
  <c r="BU203" i="18"/>
  <c r="BG203" i="18"/>
  <c r="BU192" i="18"/>
  <c r="BG192" i="18"/>
  <c r="BU190" i="18"/>
  <c r="BG190" i="18"/>
  <c r="BU175" i="18"/>
  <c r="BG175" i="18"/>
  <c r="BU164" i="18"/>
  <c r="BU159" i="18"/>
  <c r="BG159" i="18"/>
  <c r="BU152" i="18"/>
  <c r="BG152" i="18"/>
  <c r="BU147" i="18"/>
  <c r="BG147" i="18"/>
  <c r="BU131" i="18"/>
  <c r="BG131" i="18"/>
  <c r="BU129" i="18"/>
  <c r="BG129" i="18"/>
  <c r="BU124" i="18"/>
  <c r="BG124" i="18"/>
  <c r="BU121" i="18"/>
  <c r="BG121" i="18"/>
  <c r="BU122" i="18"/>
  <c r="BU123" i="18"/>
  <c r="BG123" i="18"/>
  <c r="BU120" i="18"/>
  <c r="BG120" i="18"/>
  <c r="BU115" i="18"/>
  <c r="BG115" i="18"/>
  <c r="BU105" i="18"/>
  <c r="BG105" i="18"/>
  <c r="BU97" i="18"/>
  <c r="BG97" i="18"/>
  <c r="BU85" i="18"/>
  <c r="BG85" i="18"/>
  <c r="BU69" i="18"/>
  <c r="BG69" i="18"/>
  <c r="BU52" i="18"/>
  <c r="BG52" i="18"/>
  <c r="BU41" i="18"/>
  <c r="BG41" i="18"/>
  <c r="BU32" i="18"/>
  <c r="BG32" i="18"/>
  <c r="BU14" i="18"/>
  <c r="BG14" i="18"/>
  <c r="BU13" i="18"/>
  <c r="BG13" i="18"/>
  <c r="BU9" i="18"/>
  <c r="BG9" i="18"/>
  <c r="BU2" i="18"/>
  <c r="BG2" i="18"/>
  <c r="BU66" i="18"/>
  <c r="BG66" i="18"/>
  <c r="BU245" i="18"/>
  <c r="BG245" i="18"/>
  <c r="BU186" i="18"/>
  <c r="BG186" i="18"/>
  <c r="BU356" i="18"/>
  <c r="BG356" i="18"/>
  <c r="BU450" i="18"/>
  <c r="BG450" i="18"/>
  <c r="BU205" i="18"/>
  <c r="BG205" i="18"/>
  <c r="BU541" i="18"/>
  <c r="BG541" i="18"/>
  <c r="BU480" i="18"/>
  <c r="BG480" i="18"/>
  <c r="BU408" i="18"/>
  <c r="BG408" i="18"/>
  <c r="BU622" i="18"/>
  <c r="BG622" i="18"/>
  <c r="BU109" i="18"/>
  <c r="BG109" i="18"/>
  <c r="BU162" i="18"/>
  <c r="BG162" i="18"/>
  <c r="BU393" i="18"/>
  <c r="BG393" i="18"/>
  <c r="BU88" i="18"/>
  <c r="BG88" i="18"/>
  <c r="BU377" i="18"/>
  <c r="BG377" i="18"/>
  <c r="BU572" i="18"/>
  <c r="BG572" i="18"/>
  <c r="BU436" i="18"/>
  <c r="BG436" i="18"/>
  <c r="BU133" i="18"/>
  <c r="BG133" i="18"/>
  <c r="BU108" i="18"/>
  <c r="BG108" i="18"/>
  <c r="BU472" i="18"/>
  <c r="BG472" i="18"/>
  <c r="BU505" i="18"/>
  <c r="BG505" i="18"/>
  <c r="BU461" i="18"/>
  <c r="BG461" i="18"/>
  <c r="BU56" i="18"/>
  <c r="BG56" i="18"/>
  <c r="BU95" i="18"/>
  <c r="BG95" i="18"/>
  <c r="BU533" i="18"/>
  <c r="BG533" i="18"/>
  <c r="BU82" i="18"/>
  <c r="BU6" i="18"/>
  <c r="BG6" i="18"/>
  <c r="BU266" i="18"/>
  <c r="BG266" i="18"/>
  <c r="BU419" i="18"/>
  <c r="BG419" i="18"/>
  <c r="BU442" i="18"/>
  <c r="BG442" i="18"/>
  <c r="BU414" i="18"/>
  <c r="BG414" i="18"/>
  <c r="BU46" i="18"/>
  <c r="BG46" i="18"/>
  <c r="BU200" i="18"/>
  <c r="BG200" i="18"/>
  <c r="BU7" i="18"/>
  <c r="BG7" i="18"/>
  <c r="BU538" i="18"/>
  <c r="BG538" i="18"/>
  <c r="BU291" i="18"/>
  <c r="BG291" i="18"/>
  <c r="BU183" i="18"/>
  <c r="BG183" i="18"/>
  <c r="BU343" i="18"/>
  <c r="BG343" i="18"/>
  <c r="BU371" i="18"/>
  <c r="BG371" i="18"/>
  <c r="BU361" i="18"/>
  <c r="BG361" i="18"/>
  <c r="BU116" i="18"/>
  <c r="BG116" i="18"/>
  <c r="BU601" i="18"/>
  <c r="BU493" i="18"/>
  <c r="BG493" i="18"/>
  <c r="BU441" i="18"/>
  <c r="BU258" i="18"/>
  <c r="BG258" i="18"/>
  <c r="BU140" i="18"/>
  <c r="BG140" i="18"/>
  <c r="BU54" i="18"/>
  <c r="BG54" i="18"/>
  <c r="BU21" i="18"/>
  <c r="BG21" i="18"/>
  <c r="BU269" i="18"/>
  <c r="BG269" i="18"/>
  <c r="BU302" i="18"/>
  <c r="BG302" i="18"/>
  <c r="BU448" i="18"/>
  <c r="BG448" i="18"/>
  <c r="BU117" i="18"/>
  <c r="BG117" i="18"/>
  <c r="BU80" i="18"/>
  <c r="BG80" i="18"/>
  <c r="BU8" i="18"/>
  <c r="BG8" i="18"/>
  <c r="BU444" i="18"/>
  <c r="BG444" i="18"/>
  <c r="BU307" i="18"/>
  <c r="BG307" i="18"/>
  <c r="BU287" i="18"/>
  <c r="BG287" i="18"/>
  <c r="BU139" i="18"/>
  <c r="BG139" i="18"/>
  <c r="BU134" i="18"/>
  <c r="BG134" i="18"/>
  <c r="BU125" i="18"/>
  <c r="BG125" i="18"/>
  <c r="BU75" i="18"/>
  <c r="BG75" i="18"/>
  <c r="BU150" i="18"/>
  <c r="BG150" i="18"/>
  <c r="BU151" i="18"/>
  <c r="BG151" i="18"/>
  <c r="BU358" i="18"/>
  <c r="BG358" i="18"/>
  <c r="BU313" i="18"/>
  <c r="BG313" i="18"/>
  <c r="BU81" i="18"/>
  <c r="BG81" i="18"/>
  <c r="BU478" i="18"/>
  <c r="BG478" i="18"/>
  <c r="BU330" i="18"/>
  <c r="BG330" i="18"/>
  <c r="BU20" i="18"/>
  <c r="BG20" i="18"/>
  <c r="BU598" i="18"/>
  <c r="BG598" i="18"/>
  <c r="BU249" i="18"/>
  <c r="BG249" i="18"/>
  <c r="BU531" i="18"/>
  <c r="BU193" i="18"/>
  <c r="BG193" i="18"/>
  <c r="BU191" i="18"/>
  <c r="BG191" i="18"/>
  <c r="BU118" i="18"/>
  <c r="BG118" i="18"/>
  <c r="BU570" i="18"/>
  <c r="BG570" i="18"/>
  <c r="BU375" i="18"/>
  <c r="BG375" i="18"/>
  <c r="BU620" i="18"/>
  <c r="BG620" i="18"/>
  <c r="BU498" i="18"/>
  <c r="BG498" i="18"/>
  <c r="BU428" i="18"/>
  <c r="BG428" i="18"/>
  <c r="BU274" i="18"/>
  <c r="BG274" i="18"/>
  <c r="BU255" i="18"/>
  <c r="BG255" i="18"/>
  <c r="BU389" i="18"/>
  <c r="BG389" i="18"/>
  <c r="BU387" i="18"/>
  <c r="BG387" i="18"/>
  <c r="BU50" i="18"/>
  <c r="BG50" i="18"/>
  <c r="BU145" i="18"/>
  <c r="BG145" i="18"/>
  <c r="BU39" i="18"/>
  <c r="BG39" i="18"/>
  <c r="BU404" i="18"/>
  <c r="BG404" i="18"/>
  <c r="BU614" i="18"/>
  <c r="BG614" i="18"/>
  <c r="BU185" i="18"/>
  <c r="BG185" i="18"/>
  <c r="BU218" i="18"/>
  <c r="BG218" i="18"/>
  <c r="BU12" i="18"/>
  <c r="BG12" i="18"/>
  <c r="BU593" i="18"/>
  <c r="BG593" i="18"/>
  <c r="BU341" i="18"/>
  <c r="BG341" i="18"/>
  <c r="BU230" i="18"/>
  <c r="BG230" i="18"/>
  <c r="BU615" i="18"/>
  <c r="BG615" i="18"/>
  <c r="BU285" i="18"/>
  <c r="BG285" i="18"/>
  <c r="BU402" i="18"/>
  <c r="BG402" i="18"/>
  <c r="BU226" i="18"/>
  <c r="BG226" i="18"/>
  <c r="BU252" i="18"/>
  <c r="BG252" i="18"/>
  <c r="BU179" i="18"/>
  <c r="BG179" i="18"/>
  <c r="BU332" i="18"/>
  <c r="BG332" i="18"/>
  <c r="BU212" i="18"/>
  <c r="BG212" i="18"/>
  <c r="BU289" i="18"/>
  <c r="BG289" i="18"/>
  <c r="BU271" i="18"/>
  <c r="BG271" i="18"/>
  <c r="BU144" i="18"/>
  <c r="BG144" i="18"/>
  <c r="BU367" i="18"/>
  <c r="BG367" i="18"/>
  <c r="BU618" i="18"/>
  <c r="BG618" i="18"/>
  <c r="BU248" i="18"/>
  <c r="BG248" i="18"/>
  <c r="BU632" i="18"/>
  <c r="BG632" i="18"/>
  <c r="BU303" i="18"/>
  <c r="BG303" i="18"/>
  <c r="BU574" i="18"/>
  <c r="BG574" i="18"/>
  <c r="BU486" i="18"/>
  <c r="BU447" i="18"/>
  <c r="BG447" i="18"/>
  <c r="BU435" i="18"/>
  <c r="BG435" i="18"/>
  <c r="BU421" i="18"/>
  <c r="BG421" i="18"/>
  <c r="BU411" i="18"/>
  <c r="BG411" i="18"/>
  <c r="BU410" i="18"/>
  <c r="BG410" i="18"/>
  <c r="BU391" i="18"/>
  <c r="BU381" i="18"/>
  <c r="BG381" i="18"/>
  <c r="BU262" i="18"/>
  <c r="BG262" i="18"/>
  <c r="BU216" i="18"/>
  <c r="BG216" i="18"/>
  <c r="BU137" i="18"/>
  <c r="BG137" i="18"/>
  <c r="BU114" i="18"/>
  <c r="BG114" i="18"/>
  <c r="BU90" i="18"/>
  <c r="BU71" i="18"/>
  <c r="BU28" i="18"/>
  <c r="BU423" i="18"/>
  <c r="BG423" i="18"/>
  <c r="BU53" i="18"/>
  <c r="BG53" i="18"/>
  <c r="BU311" i="18"/>
  <c r="BG311" i="18"/>
  <c r="BU234" i="18"/>
  <c r="BG234" i="18"/>
  <c r="BU612" i="18"/>
  <c r="BG612" i="18"/>
  <c r="BU239" i="18"/>
  <c r="BG239" i="18"/>
  <c r="BU224" i="18"/>
  <c r="BG224" i="18"/>
  <c r="BU543" i="18"/>
  <c r="BG543" i="18"/>
  <c r="BU156" i="18"/>
  <c r="BG156" i="18"/>
  <c r="BU181" i="18"/>
  <c r="BG181" i="18"/>
  <c r="BU141" i="18"/>
  <c r="BG141" i="18"/>
  <c r="BU260" i="18"/>
  <c r="BG260" i="18"/>
  <c r="BU73" i="18"/>
  <c r="BG73" i="18"/>
  <c r="BU25" i="18"/>
  <c r="BG25" i="18"/>
  <c r="BU595" i="18"/>
  <c r="BG595" i="18"/>
  <c r="BU532" i="18"/>
  <c r="BG532" i="18"/>
  <c r="BU148" i="18"/>
  <c r="BG148" i="18"/>
  <c r="BU449" i="18"/>
  <c r="BG449" i="18"/>
  <c r="BU294" i="18"/>
  <c r="BG294" i="18"/>
  <c r="BU265" i="18"/>
  <c r="BG265" i="18"/>
  <c r="BU506" i="18"/>
  <c r="BG506" i="18"/>
  <c r="BU363" i="18"/>
  <c r="BG363" i="18"/>
  <c r="BU297" i="18"/>
  <c r="BG297" i="18"/>
  <c r="BU57" i="18"/>
  <c r="BG57" i="18"/>
  <c r="BU167" i="18"/>
  <c r="BG167" i="18"/>
  <c r="BU49" i="18"/>
  <c r="BG49" i="18"/>
  <c r="BU523" i="18"/>
  <c r="BG523" i="18"/>
  <c r="BU128" i="18"/>
  <c r="BG128" i="18"/>
  <c r="BU583" i="18"/>
  <c r="BG583" i="18"/>
  <c r="BU178" i="18"/>
  <c r="BG178" i="18"/>
  <c r="BU569" i="18"/>
  <c r="BG569" i="18"/>
  <c r="BU169" i="18"/>
  <c r="BG169" i="18"/>
  <c r="BU443" i="18"/>
  <c r="BG443" i="18"/>
  <c r="BU397" i="18"/>
  <c r="BG397" i="18"/>
  <c r="BU342" i="18"/>
  <c r="BG342" i="18"/>
  <c r="BU42" i="18"/>
  <c r="BG42" i="18"/>
  <c r="BU376" i="18"/>
  <c r="BG376" i="18"/>
  <c r="BU89" i="18"/>
  <c r="BG89" i="18"/>
  <c r="BU3" i="18"/>
  <c r="BG3" i="18"/>
  <c r="BU405" i="18"/>
  <c r="BG405" i="18"/>
  <c r="BU384" i="18"/>
  <c r="BG384" i="18"/>
  <c r="BU293" i="18"/>
  <c r="BG293" i="18"/>
  <c r="BU292" i="18"/>
  <c r="BG292" i="18"/>
  <c r="BU279" i="18"/>
  <c r="BG279" i="18"/>
  <c r="BU254" i="18"/>
  <c r="BG254" i="18"/>
  <c r="BU198" i="18"/>
  <c r="BG198" i="18"/>
  <c r="BU197" i="18"/>
  <c r="BG197" i="18"/>
  <c r="BU143" i="18"/>
  <c r="BG143" i="18"/>
  <c r="BU138" i="18"/>
  <c r="BG138" i="18"/>
  <c r="BU111" i="18"/>
  <c r="BG111" i="18"/>
  <c r="BU104" i="18"/>
  <c r="BG104" i="18"/>
  <c r="BU336" i="18"/>
  <c r="BG336" i="18"/>
  <c r="BU386" i="18"/>
  <c r="BG386" i="18"/>
  <c r="BU189" i="18"/>
  <c r="BG189" i="18"/>
  <c r="BU126" i="18"/>
  <c r="BG126" i="18"/>
  <c r="BU540" i="18"/>
  <c r="BG540" i="18"/>
  <c r="BU534" i="18"/>
  <c r="BG534" i="18"/>
  <c r="BU623" i="18"/>
  <c r="BG623" i="18"/>
  <c r="BU621" i="18"/>
  <c r="BG621" i="18"/>
  <c r="BU195" i="18"/>
  <c r="BG195" i="18"/>
  <c r="BU43" i="18"/>
  <c r="BG43" i="18"/>
  <c r="BU316" i="18"/>
  <c r="BG316" i="18"/>
  <c r="BU571" i="18"/>
  <c r="BG571" i="18"/>
  <c r="BU219" i="18"/>
  <c r="BG219" i="18"/>
  <c r="BU112" i="18"/>
  <c r="BG112" i="18"/>
  <c r="BU276" i="18"/>
  <c r="BG276" i="18"/>
  <c r="BU631" i="18"/>
  <c r="BG631" i="18"/>
  <c r="BU557" i="18"/>
  <c r="BG557" i="18"/>
  <c r="BU380" i="18"/>
  <c r="BG380" i="18"/>
  <c r="BU221" i="18"/>
  <c r="BG221" i="18"/>
  <c r="BU475" i="18"/>
  <c r="BG475" i="18"/>
  <c r="BU465" i="18"/>
  <c r="BG465" i="18"/>
  <c r="BU487" i="18"/>
  <c r="BG487" i="18"/>
  <c r="BU298" i="18"/>
  <c r="BG298" i="18"/>
  <c r="BU407" i="18"/>
  <c r="BG407" i="18"/>
  <c r="BU568" i="18"/>
  <c r="BG568" i="18"/>
  <c r="BU554" i="18"/>
  <c r="BU528" i="18"/>
  <c r="BG528" i="18"/>
  <c r="BU495" i="18"/>
  <c r="BG495" i="18"/>
  <c r="BU454" i="18"/>
  <c r="BG454" i="18"/>
  <c r="BU430" i="18"/>
  <c r="BG430" i="18"/>
  <c r="BU357" i="18"/>
  <c r="BG357" i="18"/>
  <c r="BU352" i="18"/>
  <c r="BG352" i="18"/>
  <c r="BU315" i="18"/>
  <c r="BG315" i="18"/>
  <c r="BU261" i="18"/>
  <c r="BG261" i="18"/>
  <c r="BU211" i="18"/>
  <c r="BG211" i="18"/>
  <c r="BU93" i="18"/>
  <c r="BG93" i="18"/>
  <c r="BU67" i="18"/>
  <c r="BG67" i="18"/>
  <c r="BU346" i="18"/>
  <c r="BG346" i="18"/>
  <c r="BU223" i="18"/>
  <c r="BG223" i="18"/>
  <c r="BU187" i="18"/>
  <c r="BG187" i="18"/>
  <c r="BU36" i="18"/>
  <c r="BG36" i="18"/>
  <c r="BU235" i="18"/>
  <c r="BG235" i="18"/>
  <c r="BU136" i="18"/>
  <c r="BG136" i="18"/>
  <c r="BU337" i="18"/>
  <c r="BG337" i="18"/>
  <c r="BU306" i="18"/>
  <c r="BG306" i="18"/>
  <c r="BU59" i="18"/>
  <c r="BG59" i="18"/>
  <c r="BU558" i="18"/>
  <c r="BG558" i="18"/>
  <c r="BU484" i="18"/>
  <c r="BG484" i="18"/>
  <c r="BU446" i="18"/>
  <c r="BG446" i="18"/>
  <c r="BU321" i="18"/>
  <c r="BG321" i="18"/>
  <c r="BU437" i="18"/>
  <c r="BG437" i="18"/>
  <c r="BU457" i="18"/>
  <c r="BG457" i="18"/>
  <c r="BU5" i="18"/>
  <c r="BG5" i="18"/>
  <c r="BU328" i="18"/>
  <c r="BG328" i="18"/>
  <c r="BU98" i="18"/>
  <c r="BG98" i="18"/>
  <c r="BU611" i="18"/>
  <c r="BG611" i="18"/>
  <c r="BU536" i="18"/>
  <c r="BG536" i="18"/>
  <c r="BU462" i="18"/>
  <c r="BG462" i="18"/>
  <c r="BU403" i="18"/>
  <c r="BG403" i="18"/>
  <c r="BU63" i="18"/>
  <c r="BG63" i="18"/>
  <c r="BU629" i="18"/>
  <c r="BG629" i="18"/>
  <c r="BU26" i="18"/>
  <c r="BG26" i="18"/>
  <c r="BU565" i="18"/>
  <c r="BG565" i="18"/>
  <c r="BU102" i="18"/>
  <c r="BG102" i="18"/>
  <c r="BU567" i="18"/>
  <c r="BG567" i="18"/>
  <c r="BU263" i="18"/>
  <c r="BG263" i="18"/>
  <c r="BU209" i="18"/>
  <c r="BG209" i="18"/>
  <c r="BU338" i="18"/>
  <c r="BG338" i="18"/>
</calcChain>
</file>

<file path=xl/sharedStrings.xml><?xml version="1.0" encoding="utf-8"?>
<sst xmlns="http://schemas.openxmlformats.org/spreadsheetml/2006/main" count="112877" uniqueCount="16074">
  <si>
    <t>Authors</t>
  </si>
  <si>
    <t>Author(s) ID</t>
  </si>
  <si>
    <t>Title</t>
  </si>
  <si>
    <t>Year</t>
  </si>
  <si>
    <t>Source title</t>
  </si>
  <si>
    <t>Volume</t>
  </si>
  <si>
    <t>Issue</t>
  </si>
  <si>
    <t>Art. No.</t>
  </si>
  <si>
    <t>Page start</t>
  </si>
  <si>
    <t>Page end</t>
  </si>
  <si>
    <t>Page count</t>
  </si>
  <si>
    <t>Cited by</t>
  </si>
  <si>
    <t>DOI</t>
  </si>
  <si>
    <t>Link</t>
  </si>
  <si>
    <t>Affiliations</t>
  </si>
  <si>
    <t>Authors with affiliations</t>
  </si>
  <si>
    <t>Abstract</t>
  </si>
  <si>
    <t>Author Keywords</t>
  </si>
  <si>
    <t>Index Keywords</t>
  </si>
  <si>
    <t>Correspondence Address</t>
  </si>
  <si>
    <t>Editors</t>
  </si>
  <si>
    <t>Publisher</t>
  </si>
  <si>
    <t>ISSN</t>
  </si>
  <si>
    <t>ISBN</t>
  </si>
  <si>
    <t>CODEN</t>
  </si>
  <si>
    <t>PubMed ID</t>
  </si>
  <si>
    <t>Language of Original Document</t>
  </si>
  <si>
    <t>Abbreviated Source Title</t>
  </si>
  <si>
    <t>Document Type</t>
  </si>
  <si>
    <t>Publication Stage</t>
  </si>
  <si>
    <t>Open Access</t>
  </si>
  <si>
    <t>Source</t>
  </si>
  <si>
    <t>EID</t>
  </si>
  <si>
    <t>Thrilled by Your Progress! Large Language Models (GPT-4) No Longer Struggle to Pass Assessments in Higher Education Programming Courses</t>
  </si>
  <si>
    <t>ICER 2023 - Proceedings of the 2023 ACM Conference on International Computing Education Research V.1</t>
  </si>
  <si>
    <t>10.1145/3568813.3600142</t>
  </si>
  <si>
    <t>https://www.scopus.com/inward/record.uri?eid=2-s2.0-85169462375&amp;doi=10.1145%2f3568813.3600142&amp;partnerID=40&amp;md5=a22f2eaaae3e1c62d039bc28390d525a</t>
  </si>
  <si>
    <t>Carnegie Mellon University, Pittsburgh, PA, United States</t>
  </si>
  <si>
    <t>This paper studies recent developments in large language models' (LLM) abilities to pass assessments in introductory and intermediate Python programming courses at the postsecondary level. The emergence of ChatGPT resulted in heated debates of its potential uses (e.g., exercise generation, code explanation) as well as misuses in programming classes (e.g., cheating). Recent studies show that while the technology performs surprisingly well on diverse sets of assessment instruments employed in typical programming classes the performance is usually not sufficient to pass the courses. The release of GPT-4 largely emphasized notable improvements in the capabilities related to handling assessments originally designed for human test-takers. This study is the necessary analysis in the context of this ongoing transition towards mature generative AI systems. Specifically, we report the performance of GPT-4, comparing it to the previous generations of GPT models, on three Python courses with assessments ranging from simple multiple-choice questions (no code involved) to complex programming projects with code bases distributed into multiple files (599 exercises overall). Additionally, we analyze the assessments that were not handled well by GPT-4 to understand the current limitations of the model, as well as its capabilities to leverage feedback provided by an auto-grader. We found that the GPT models evolved from completely failing the typical programming class' assessments (the original GPT-3) to confidently passing the courses with no human involvement (GPT-4). While we identified certain limitations in GPT-4's handling of MCQs and coding exercises, the rate of improvement across the recent generations of GPT models strongly suggests their potential to handle almost any type of assessment widely used in higher education programming courses. These findings could be leveraged by educators and institutions to adapt the design of programming assessments as well as to fuel the necessary discussions into how programming classes should be updated to reflect the recent technological developments. This study provides evidence that programming instructors need to prepare for a world in which there is an easy-to-use widely accessible technology that can be utilized by learners to collect passing scores, with no effort whatsoever, on what today counts as viable programming knowledge and skills assessments. © 2023 Owner/Author.</t>
  </si>
  <si>
    <t>AI code generation; AlphaCode; ChatGPT; Codex; coding exercises; generative pre-trained transformers; GitHub Copilot; GPT; introductory and intermediate programming; MCQ; Multiple-choice question answering; programming knowledge assessment; Python course</t>
  </si>
  <si>
    <t>Computational linguistics; Curricula; Education computing; Engineering education; High level languages; AI code generation; Alphacode; ChatGPT; Codegeneration; Codex; Coding exercise; Generative pre-trained transformer; Github copilot; GPT; Introductory and intermediate programming; Knowledge assessment; MCQ; Multiple-choice question answering; Multiple-choice questions; Programming knowledge; Programming knowledge assessment; Python course; Question Answering; Python</t>
  </si>
  <si>
    <t>Association for Computing Machinery, Inc</t>
  </si>
  <si>
    <t>English</t>
  </si>
  <si>
    <t>ICER - Proc. ACM Conf. Int. Comput. Educ. Res. V.1</t>
  </si>
  <si>
    <t>Conference paper</t>
  </si>
  <si>
    <t>Final</t>
  </si>
  <si>
    <t>Scopus</t>
  </si>
  <si>
    <t>2-s2.0-85169462375</t>
  </si>
  <si>
    <t>Comunicar</t>
  </si>
  <si>
    <t>10.3916/C77-2023-04</t>
  </si>
  <si>
    <t>https://www.scopus.com/inward/record.uri?eid=2-s2.0-85179745137&amp;doi=10.3916%2fC77-2023-04&amp;partnerID=40&amp;md5=1b4a97fd8998f6840eea4e2faa903224</t>
  </si>
  <si>
    <t>Departamento de Didáctica de la Lengua y la Literatura, Universidad de Murcia, Spain; Departamento de Psicología Evolutiva y de la Educación, Universidad de Murcia, Spain; Departamento de Historia del Arte-Bellas Artes, Universidad de Salamanca, Spain; Departamento de Arte, Universidad Miguel Hernández de Elche, Spain</t>
  </si>
  <si>
    <t>The main objective of the research is to study the creative potential of Artificial Intelligence (AI) for writing skills in an educational context. The research aims to provide evidence on the use of AI and contribute to its integration in the classroom as a support for the teaching-learning process. Two types of research designs were established: a descriptive and comparative non-experimental quantitative research, and a quasi-experimental pretest-posttest study. The sample consisted of 20 AI systems and 193 university students who were given Games 2 and 3 of the Spanish PIC-A test (“Creative Imagination Test for Adults”). The students repeated the games, assisted by ChatGPT, to compare the possible improvement of their productions. The findings reveal statistically significant differences between the AIs and the students in the indicators of fluency, flexibility, and narrative originality in Game 2. Furthermore, significant differences are found between students’ pre-test and post-test scores in fluency, flexibility, and narrative originality in Game 2 and in fluency in Game 3. Finally, the assistance provided by AI in writing tasks and verbal creativity is highlighted, and this should be considered in language teaching; in any case, AI cannot replace human intelligence and creativity. © 2023, Oxbridge Publishing House Ltd. All rights reserved.</t>
  </si>
  <si>
    <t>ChatGPT; ChatGPT; creatividad verbal; enseñanza de lenguas; escritura; Inteligencia artificial; language teaching; Large Language Models; modelos de lenguaje extensivos. Artificial intelligence; verbal creativity; writing</t>
  </si>
  <si>
    <t>Oxbridge Publishing House Ltd</t>
  </si>
  <si>
    <t>Spanish</t>
  </si>
  <si>
    <t>Article</t>
  </si>
  <si>
    <t>2-s2.0-85179745137</t>
  </si>
  <si>
    <t>GPT-3 vs Object Oriented Programming Assignments: An Experience Report</t>
  </si>
  <si>
    <t>Annual Conference on Innovation and Technology in Computer Science Education, ITiCSE</t>
  </si>
  <si>
    <t>10.1145/3587102.3588814</t>
  </si>
  <si>
    <t>https://www.scopus.com/inward/record.uri?eid=2-s2.0-85166249787&amp;doi=10.1145%2f3587102.3588814&amp;partnerID=40&amp;md5=8fcbd5dfa30329f8ff27fcb398c3a0ce</t>
  </si>
  <si>
    <t>Lusófona University, COPELABS, Lisbon, Portugal</t>
  </si>
  <si>
    <t>GPT-3; large language models; object oriented programming; programming assignments; teaching</t>
  </si>
  <si>
    <t>Computational linguistics; Education computing; Engineering education; Open source software; Open systems; Students; Code generation tools; Design and implements; Experience report; GPT-3; Introductory programming; Language model; Large language model; Objectoriented programming (OOP); Programming assignments; Programming class; Object oriented programming</t>
  </si>
  <si>
    <t>Association for Computing Machinery</t>
  </si>
  <si>
    <t>1942647X</t>
  </si>
  <si>
    <t>Annu. Conf. Innov. Technol. Comput. Sci. Educ. ITiCSE</t>
  </si>
  <si>
    <t>2-s2.0-85166249787</t>
  </si>
  <si>
    <t>Using natural language processing to support peer-feedback in the age of artificial intelligence: A cross-disciplinary framework and a research agenda</t>
  </si>
  <si>
    <t>British Journal of Educational Technology</t>
  </si>
  <si>
    <t>10.1111/bjet.13336</t>
  </si>
  <si>
    <t>https://www.scopus.com/inward/record.uri?eid=2-s2.0-85159390030&amp;doi=10.1111%2fbjet.13336&amp;partnerID=40&amp;md5=72a1e59f0a1bc1c73ecdea963a6582b1</t>
  </si>
  <si>
    <t>Department of Psychology, Ludwig-Maximilians-Universität München, Munich, Germany; School of Social Sciences and Technology, Technical University of Munich, Munich, Germany; Faculty for Philosophy and Social Sciences, University of Augsburg, Augsburg, Germany; Ubiquitous Knowledge Processing Lab, Department of Computer Science and Hessian Center for AI (hessian.AI), Technical University of Darmstadt, Darmstadt, Germany; Institute of Medical Education, University Hospital of LMU Munich, Munich, Germany</t>
  </si>
  <si>
    <t>Advancements in artificial intelligence are rapidly increasing. The new-generation large language models, such as ChatGPT and GPT-4, bear the potential to transform educational approaches, such as peer-feedback. To investigate peer-feedback at the intersection of natural language processing (NLP) and educational research, this paper suggests a cross-disciplinary framework that aims to facilitate the development of NLP-based adaptive measures for supporting peer-feedback processes in digital learning environments. To conceptualize this process, we introduce a peer-feedback process model, which describes learners' activities and textual products. Further, we introduce a terminological and procedural scheme that facilitates systematically deriving measures to foster the peer-feedback process and how NLP may enhance the adaptivity of such learning support. Building on prior research on education and NLP, we apply this scheme to all learner activities of the peer-feedback process model to exemplify a range of NLP-based adaptive support measures. We also discuss the current challenges and suggest directions for future cross-disciplinary research on the effectiveness and other dimensions of NLP-based adaptive support for peer-feedback. Building on our suggested framework, future research and collaborations at the intersection of education and NLP can innovate peer-feedback in digital learning environments. Practitioner notes What is already known about this topic There is considerable research in educational science on peer-feedback processes. Natural language processing facilitates the analysis of students' textual data. There is a lack of systematic orientation regarding which NLP techniques can be applied to which data to effectively support the peer-feedback process. What this paper adds A comprehensive overview model that describes the relevant activities and products in the peer-feedback process. A terminological and procedural scheme for designing NLP-based adaptive support measures. An application of this scheme to the peer-feedback process results in exemplifying the use cases of how NLP may be employed to support each learner activity during peer-feedback. Implications for practice and/or policy To boost the effectiveness of their peer-feedback scenarios, instructors and instructional designers should identify relevant leverage points, corresponding support measures, adaptation targets and automation goals based on theory and empirical findings. Management and IT departments of higher education institutions should strive to provide digital tools based on modern NLP models and integrate them into the respective learning management systems; those tools should help in translating the automation goals requested by their instructors into prediction targets, take relevant data as input and allow for evaluating the predictions. © 2023 The Authors. British Journal of Educational Technology published by John Wiley &amp; Sons Ltd on behalf of British Educational Research Association.</t>
  </si>
  <si>
    <t>adaptivity; artificial intelligence; digital learning; large language models; learner support; natural language processing; peer-feedback</t>
  </si>
  <si>
    <t>Artificial intelligence; Computational linguistics; Computer aided instruction; E-learning; Learning systems; Terminology; Adaptivity; Digital-learning; Feedback process; Language model; Language processing; Large language model; Learner support; Natural language processing; Natural languages; Peer feedback; Natural language processing systems</t>
  </si>
  <si>
    <t>John Wiley and Sons Inc</t>
  </si>
  <si>
    <t>BJETD</t>
  </si>
  <si>
    <t>Br J Educ Technol</t>
  </si>
  <si>
    <t>2-s2.0-85159390030</t>
  </si>
  <si>
    <t>Revolutionizing Formative Assessment in STEM Fields: Leveraging AI and NLP Techniques</t>
  </si>
  <si>
    <t>2023 Asia Pacific Signal and Information Processing Association Annual Summit and Conference, APSIPA ASC 2023</t>
  </si>
  <si>
    <t>10.1109/APSIPAASC58517.2023.10317226</t>
  </si>
  <si>
    <t>https://www.scopus.com/inward/record.uri?eid=2-s2.0-85180008567&amp;doi=10.1109%2fAPSIPAASC58517.2023.10317226&amp;partnerID=40&amp;md5=32dcc788bf2a22422f36f6fbbbccbba0</t>
  </si>
  <si>
    <t>Faculty of Computing and Information Technology, Tunku Abdul Rahman University of Management and Technology, Setapak, Kuala Lumpur, 53300, Malaysia; Department of Computing and Information Technology, Tunku Abdul Rahman University of Management and Technology, Penang, Malaysia</t>
  </si>
  <si>
    <t>Artificial intelligence (AI) has been extensively studied in science, technology, engineering, and mathematics (STEM), but there is a disparity between AI-generated and human-written scientific content. To bridge this gap, a prototype utilizing Natural Language Processing (NLP) techniques and a large language model (LLM) generates assessment questions and evaluates student answers. This formative assessment system offers a user-friendly and scalable solution for higher education educators. It tailors' assessments to individual students, accommodates varying capabilities, and facilitates performance analysis. Through rigorous evaluation and benchmarking, the prototype ensures alignment with High-Level Performance (HLP) standards. This AI-assisted formative assessment system enhances efficiency and efficacy by providing accurate and timely feedback. It has the potential to significantly improve STEM education through scalable and personalized formative assessment experiences. AI and NLP enable educators to access tailored assessment options, enhancing learning outcomes and the overall educational experience. © 2023 IEEE.</t>
  </si>
  <si>
    <t>Benchmarking; Education computing; Engineering education; Natural language processing systems; Assessment system; Engineering and mathematics; Engineering fields; Formative assessment; Language processing techniques; Mathematic fields; Natural languages; Science technologies; Scientific content; Technology fields; Students</t>
  </si>
  <si>
    <t>Institute of Electrical and Electronics Engineers Inc.</t>
  </si>
  <si>
    <t>Asia Pac. Signal Inf. Process. Assoc. Annu. Summit Conf., APSIPA ASC</t>
  </si>
  <si>
    <t>2-s2.0-85180008567</t>
  </si>
  <si>
    <t>Communications in Computer and Information Science</t>
  </si>
  <si>
    <t>Springer Science and Business Media Deutschland GmbH</t>
  </si>
  <si>
    <t>Commun. Comput. Info. Sci.</t>
  </si>
  <si>
    <t>Sonkar, Shashank (57219741166); Mallick, Debshila Basu (57188562617); Liu, Naiming (57224097072); Baraniuk, Richard G. (35580714600)</t>
  </si>
  <si>
    <t>CLASS: A Design Framework for Building Intelligent Tutoring Systems Based on Learning Science Principles</t>
  </si>
  <si>
    <t>Findings of the Association for Computational Linguistics: EMNLP 2023</t>
  </si>
  <si>
    <t>https://www.scopus.com/inward/record.uri?eid=2-s2.0-85183294093&amp;partnerID=40&amp;md5=df998fc2a710ba258ffded662f041fb2</t>
  </si>
  <si>
    <t>Rice University, United States; OpenStax, Rice University, United States</t>
  </si>
  <si>
    <t>We present a design framework called Conversational Learning with Analytical Step-by-Step Strategies (CLASS) for building advanced Intelligent Tutoring Systems (ITS) powered by high-performance Large Language Models (LLMs). The CLASS framework empowers ITS with two key capabilities. First, through a carefully curated scaffolding dataset, CLASS equips ITS with essential problem-solving strategies, enabling it to provide tutor-like, step-by-step guidance to students. Second, by using a dynamic conversational dataset, CLASS assists ITS in facilitating natural language interactions, fostering engaging student-tutor conversations. The CLASS framework also provides valuable insights into ITS's internal decision-making process which allows seamless integration of user feedback, thus enabling continuous refinement and improvement. We also present a proof-of-concept ITS, referred to as SPOCK, which is trained using the CLASS framework with a focus on introductory college-level biology content. A carefully constructed protocol was developed for SPOCK's preliminary evaluation, examining aspects such as the factual accuracy and relevance of its responses. Experts in the field of biology offered favorable remarks, particularly highlighting SPOCK's capability to break down questions into manageable subproblems and provide encouraging responses to students. © 2023 Association for Computational Linguistics.</t>
  </si>
  <si>
    <t>Architectural design; Computational linguistics; Computer aided instruction; Decision making; Education computing; Intelligent vehicle highway systems; Learning systems; Problem solving; Scaffolds; Conversational learning; Design frameworks; Essential problems; Intelligent tutoring; Language model; Learning science; Performance; Problem-solving; Step-by-step strategy; Tutoring system; Students</t>
  </si>
  <si>
    <t>Association for Computational Linguistics (ACL)</t>
  </si>
  <si>
    <t>Find. Assoc. Comput. Linguist.: EMNLP</t>
  </si>
  <si>
    <t>2-s2.0-85183294093</t>
  </si>
  <si>
    <t>Not quite eye to A.I.: student and teacher perspectives on the use of generative artificial intelligence in the writing process</t>
  </si>
  <si>
    <t>International Journal of Educational Technology in Higher Education</t>
  </si>
  <si>
    <t>10.1186/s41239-023-00427-0</t>
  </si>
  <si>
    <t>https://www.scopus.com/inward/record.uri?eid=2-s2.0-85176125600&amp;doi=10.1186%2fs41239-023-00427-0&amp;partnerID=40&amp;md5=706bc84a69fd9162f0d20c20a3d29719</t>
  </si>
  <si>
    <t>Generative artificial intelligence (GenAI) can be used to author academic texts at a similar level to what humans are capable of, causing concern about its misuse in education. Addressing the role of GenAI in teaching and learning has become an urgent task. This study reports the results of a survey comparing educators’ (n = 68) and university students’ (n = 158) perceptions on the appropriate use of GenAI in the writing process. The survey included representations of user prompts and output from ChatGPT, a GenAI chatbot, for each of six tasks of the writing process (brainstorming, outlining, writing, revising, feedback, and evaluating). Survey respondents were asked to differentiate between various uses of GenAI for these tasks, which were divided between student and teacher use. Results indicate minor disagreement between students and teachers on acceptable use of GenAI tools in the writing process, as well as classroom and institutional-level lack of preparedness for GenAI. These results imply the need for explicit guidelines and teacher professional development on the use of GenAI in educational contexts. This study can contribute to evidence-based guidelines on the integration of GenAI in teaching and learning. © 2023, The Author(s).</t>
  </si>
  <si>
    <t>Academic integrity; Artificial intelligence; GPT; Large language model; Writing education</t>
  </si>
  <si>
    <t>Int. j. educ. technol. high. educ.</t>
  </si>
  <si>
    <t>2-s2.0-85176125600</t>
  </si>
  <si>
    <t>Nakanishi T.</t>
  </si>
  <si>
    <t>Nakanishi, Takafumi (7402644059)</t>
  </si>
  <si>
    <t>An Inquirer-Responder Architecture Using LLMs: Emulating Virtual Hearing Q&amp;A in Education</t>
  </si>
  <si>
    <t>Proceedings - 2023 22nd IEEE/WIC International Conference on Web Intelligence and Intelligent Agent Technology, WI-IAT 2023</t>
  </si>
  <si>
    <t>10.1109/WI-IAT59888.2023.00088</t>
  </si>
  <si>
    <t>https://www.scopus.com/inward/record.uri?eid=2-s2.0-85182524219&amp;doi=10.1109%2fWI-IAT59888.2023.00088&amp;partnerID=40&amp;md5=0f9028daa39c279c48f56d5724fb4675</t>
  </si>
  <si>
    <t>Musashino University, Department of Data Science, Tokyo, Japan</t>
  </si>
  <si>
    <t>This paper presents an Inquirer-Responder architecture consisting of multiple LLM instances and applies it to a method for automatically generating feedback comments on student reports by emulating virtual hearing Q&amp;A. This method uses faculty education materials and student reports as inputs for multiple LLM instances. In education, quickly returning personalized feedback to each student is crucial but burdensome for faculty. The implementation of a system that automatically and promptly returns feedback on student submissions can improve student learning efficiency and reduce the faculty workload. Our proposed architecture consists of two LLM instances, referred to as inquirer and responder. The inquirer is an LLM instance that reads the material (e.g., lecture materials) provided by the faculty, poses questions, and evaluates the responses from the responder. The responder is an LLM instance that reads student submissions (e.g., reports) and answers questions posed by the inquirer based on the contents of those submissions. This architecture uses faculty materials and student submissions to emulate a virtual hearing, with evaluation based on the knowledge extracted from both the faculty materials and student submissions. This architecture can be applied to various systems that automatically and quickly check submissions and return feedback. In this study, we established a hypothetical use case for a university class and conducted experiments. As a result, there were some cases in which the evaluation was difficult owing to the performance of the current LLM. However, the proposed architecture provides a new perspective on the design of automatic feedback systems and is a step toward their improvement.  © 2023 IEEE.</t>
  </si>
  <si>
    <t>automatic feedback comment generation; document understanding; educational applications; inquirer-responder architecture; Large Language Model (LLM)</t>
  </si>
  <si>
    <t>Architecture; Audition; E-learning; Education computing; Automatic feedback; Automatic feedback comment generation; Document understanding; Education material; Educational Applications; Inquirer-responder architecture; Language model; Large language model; Personalized feedback; Proposed architectures; Students</t>
  </si>
  <si>
    <t>Proc. - IEEE/WIC Int. Conf. Web Intell. Intell. Agent Technol., WI-IAT</t>
  </si>
  <si>
    <t>2-s2.0-85182524219</t>
  </si>
  <si>
    <t>Scientific Reports</t>
  </si>
  <si>
    <t>Nature Research</t>
  </si>
  <si>
    <t>Sci. Rep.</t>
  </si>
  <si>
    <t>Lecture Notes in Computer Science (including subseries Lecture Notes in Artificial Intelligence and Lecture Notes in Bioinformatics)</t>
  </si>
  <si>
    <t>Lect. Notes Comput. Sci.</t>
  </si>
  <si>
    <t>JMIR Publications Inc.</t>
  </si>
  <si>
    <t>Kuramitsu, Kimio (6603910588); Obara, Yui (58735209200); Sato, Miyu (58123946100); Obara, Momoka (57338213700)</t>
  </si>
  <si>
    <t>KOGI: A Seamless Integration of ChatGPT into Jupyter Environments for Programming Education</t>
  </si>
  <si>
    <t>SPLASH-E 2023 - Proceedings of the 2023 ACM SIGPLAN International Symposium on SPLASH-E, Co-located with: SPLASH 2023</t>
  </si>
  <si>
    <t>10.1145/3622780.3623648</t>
  </si>
  <si>
    <t>https://www.scopus.com/inward/record.uri?eid=2-s2.0-85178258738&amp;doi=10.1145%2f3622780.3623648&amp;partnerID=40&amp;md5=7db33fdef3ec889be22fb5a2400d9f83</t>
  </si>
  <si>
    <t>Japan Womens University, Tokyo, Japan</t>
  </si>
  <si>
    <t>The impact of ChatGPT has brought both anxiety and anticipation to schools and universities. Exploring a positive method to improve programming skills with ChatGPT is a new and pressing challenge. In pursuit of this goal, we have developed KOGI, a learning support system that integrates ChatGPT into the Jupyter environment. This paper demonstrates how KOGI enables students to receive timely advice from ChatGPT in response to errors and other questions they encounter. We immediately introduced KOGI in our two introductory courses: Algorithms and Data Science. The introduction of KOGI resulted in a significant decrease in the number of unresolved student errors. In addition, we report on student trends observed in the classroom regarding the type and frequency of help requested. Although our findings are preliminary, they are informative for programming instructors interested in using ChatGPT. © 2023 ACM.</t>
  </si>
  <si>
    <t>ChatGPT; classroom experience; LLM; programming education</t>
  </si>
  <si>
    <t>Education computing; ChatGPT; Classroom experience; Introductory course; Learning support systems; LLM; Pressung; Programming education; Programming skills; Seamless integration; Students</t>
  </si>
  <si>
    <t>SPLASH-E - Proc. ACM SIGPLAN Int. Symp. SPLASH-E, Co-located: SPLASH</t>
  </si>
  <si>
    <t>2-s2.0-85178258738</t>
  </si>
  <si>
    <t>Robot Debater: Debate-styled Text Auto-generation System Based on Large Foundation Language Models</t>
  </si>
  <si>
    <t>2023 IEEE 4th International Conference on Pattern Recognition and Machine Learning, PRML 2023</t>
  </si>
  <si>
    <t>10.1109/PRML59573.2023.10348335</t>
  </si>
  <si>
    <t>https://www.scopus.com/inward/record.uri?eid=2-s2.0-85182029390&amp;doi=10.1109%2fPRML59573.2023.10348335&amp;partnerID=40&amp;md5=382c26da78dd86d5cb614cc1e649f99a</t>
  </si>
  <si>
    <t>Shanghai Library (Institute of Scientific and Technical Information of Shanghai), Shanghai, China; Shanghai Xiangming High School, Shanghai, China; Shanghai Normal University Tianhua College, School of Artificial Intelligence, Shanghai, China; Institute of Image Processing and Pattern Recognition, Shanghai Jiaotong University, Shanghai, China</t>
  </si>
  <si>
    <t>We use a large foundation language model, which is fine-tuned with debate corpora, to develop a robot debater application. To address the limitations of requiring immense computational power in large base language models, this study takes advantage of the Low Rank Adaption characteristic prevalent in domain expert knowledge. By applying Low Rank Adaption technology and fine-tuning with a dedicated dataset, the computational load is reduced to just one-thousandth of what is needed for a large language model, greatly expanding the application scenarios of robot debaters using large language models. In view of the characteristics of debate competitions, this model can preset a variety of debate scenarios and supports personalized debate processes. It employs intelligent voice recognition technology combined with a multi-channel voice input method, allowing for precise localization of different human debaters and improving the accuracy of voice input recognition. The system can support multiple large-scale language generation models and utilize various different voice broadcasting systems, including male and female voice styles, as well as a range of voice emotions. This model can be applied to debate competitions held in universities, high schools, and various industries. It can support human-machine debates as well as machine-to-machine debates. © 2023 IEEE.</t>
  </si>
  <si>
    <t>Deep Learning; Large Foundation Model; Natural Language Process</t>
  </si>
  <si>
    <t>Computational linguistics; Deep learning; Emotion Recognition; Large dataset; Robots; Auto generations; Base language; Computational power; Deep learning; Domain expert knowledge; Foundation models; Generation systems; Language model; Large foundation model; Natural language process; Speech recognition</t>
  </si>
  <si>
    <t>IEEE Int. Conf. Pattern Recognit. Mach. Learn., PRML</t>
  </si>
  <si>
    <t>2-s2.0-85182029390</t>
  </si>
  <si>
    <t>Ivanov, Stanislav (19337727400); Soliman, Mohammad (56092403500)</t>
  </si>
  <si>
    <t>Game of algorithms: ChatGPT implications for the future of tourism education and research</t>
  </si>
  <si>
    <t>Journal of Tourism Futures</t>
  </si>
  <si>
    <t>10.1108/JTF-02-2023-0038</t>
  </si>
  <si>
    <t>https://www.scopus.com/inward/record.uri?eid=2-s2.0-85152066595&amp;doi=10.1108%2fJTF-02-2023-0038&amp;partnerID=40&amp;md5=b5c4eac36fb89c97ffb6af425332a70a</t>
  </si>
  <si>
    <t>Varna University of Management, Varna, Bulgaria; Zangador Research Institute, Varna, Bulgaria; University of Technology and Applied Sciences, Salalah, Oman; Fayoum University, Fayoum, Egypt</t>
  </si>
  <si>
    <t>Purpose: The paper aims to evaluate the ways ChatGPT is going to disrupt tourism education and research. Design/methodology/approach: This is a conceptual paper. Findings: ChatGPT has the potential to revolutionize tourism education and research because it can do what students and researchers should do, namely, generate text (assignments and research papers). Universities will need to reevaluate their teaching and assessment strategies and incorporate generative language models in teaching. Publishers will need to be more receptive toward manuscripts that are partially generated by artificial intelligence. In the future, digital teachers and research assistants will take over many of the cognitive tasks of tourism educators and researchers. Originality/value: To the authors’ best knowledge, this is one of the first academic papers that investigates the implications of ChatGPT to tourism education and research. © 2023, Stanislav Ivanov and Mohammad Soliman.</t>
  </si>
  <si>
    <t>ChatGPT; Intelligent automation; Large language models; Tourism education; Tourism research</t>
  </si>
  <si>
    <t>Emerald Publishing</t>
  </si>
  <si>
    <t>J. Tour. Futur.</t>
  </si>
  <si>
    <t>2-s2.0-85152066595</t>
  </si>
  <si>
    <t>Taju, Semmy Wellem (57193140038); Ferry Mandias, Green (58813072200); Moedjahedy, Jimmy Herawan (57211551601); Kusuma Wahyudi, Andria (58813160700); Rotikan, Reymon (57210460851); Putra, Edson Yahuda (57192379966)</t>
  </si>
  <si>
    <t>AI-powered Chatbot for Information Service at Klabat University by Integrating OpenAI GPT-3 with Intent Recognition and Semantic Search</t>
  </si>
  <si>
    <t>2023 5th International Conference on Cybernetics and Intelligent Systems, ICORIS 2023</t>
  </si>
  <si>
    <t>10.1109/ICORIS60118.2023.10352259</t>
  </si>
  <si>
    <t>https://www.scopus.com/inward/record.uri?eid=2-s2.0-85182404718&amp;doi=10.1109%2fICORIS60118.2023.10352259&amp;partnerID=40&amp;md5=9c5cfa8efe4bbd730159ce6bb4d39c89</t>
  </si>
  <si>
    <t>Klabat University, Department of Computer Science, Manado, Indonesia</t>
  </si>
  <si>
    <t>The rapid advancement of Artificial Intelligence (AI) in recent years has transformed numerous sectors, including information services. This study introduces Unklabot 1.0, an innovative AI-powered chatbot specially designed and proposed for information services at Klabat university. Unklabot 1.0 was developed to take advantage of an advanced large language model (LLM), namely OpenAI GPT-3 (text-davinci-003), and integrate it with intent recognition and knowledge-based context understanding using semantic search technique to provide accurate and efficient question answering capabilities about Klabat University. To enhance Unklabot's performance, intent recognition is integrated into the Unklabot system. Moreover, this intent recognition helps identify the purpose behind user queries, allowing the chatbot to understand user intentions more accurately. Furthermore, semantic search technique is employed to enhance the capabilities of the Unklabot by understanding the meaning behind user queries and retrieve information in external knowledge based on the closest context or chunk. Utilizing OpenAI GPT-3 API, Unklabot can processes natural language inputs, providing comprehensive and contextually relevant answers to user inquiries. This research successfully implemented the OpenAI GPT-3 API in information services, offering a valuable tool to increase the engagement of AI usage in educational institutions such as Klabat University.  © 2023 IEEE.</t>
  </si>
  <si>
    <t>artificial intelligence; chatbot; chroma database; intent recognition; large language model; machine learning; openai gpt; semantic search; unklabot</t>
  </si>
  <si>
    <t>Character recognition; Computational linguistics; Information services; Knowledge based systems; Learning systems; Machine learning; Natural language processing systems; Semantic Web; Chatbots; Chroma database; Intent recognition; Knowledge based; Language model; Large language model; Machine-learning; Openai gpt; Semantic search; Unklabot; Semantics</t>
  </si>
  <si>
    <t>Int. Conf. Cybern. Intell. Syst., ICORIS</t>
  </si>
  <si>
    <t>2-s2.0-85182404718</t>
  </si>
  <si>
    <t>Creative Use of OpenAI in Education: Case Studies from Game Development</t>
  </si>
  <si>
    <t>Multimodal Technologies and Interaction</t>
  </si>
  <si>
    <t>10.3390/mti7080081</t>
  </si>
  <si>
    <t>https://www.scopus.com/inward/record.uri?eid=2-s2.0-85169072019&amp;doi=10.3390%2fmti7080081&amp;partnerID=40&amp;md5=43b7dfea735ded9fc172468e7770a3cb</t>
  </si>
  <si>
    <t>School of Computing and Digital Media, London Metropolitan University, London, N7 8DB, United Kingdom</t>
  </si>
  <si>
    <t>Educators and students have shown significant interest in the potential for generative artificial intelligence (AI) technologies to support student learning outcomes, for example, by offering personalized experiences, 24 h conversational assistance, text editing and help with problem-solving. We review contemporary perspectives on the value of AI as a tool in an educational context and describe our recent research with undergraduate students, discussing why and how we integrated OpenAI tools ChatGPT and Dall-E into the curriculum during the 2022–2023 academic year. A small cohort of games programming students in the School of Computing and Digital Media at London Metropolitan University was given a research and development assignment that explicitly required them to engage with OpenAI. They were tasked with evaluating OpenAI tools in the context of game development, demonstrating a working solution and reporting on their findings. We present five case studies that showcase some of the outputs from the students and we discuss their work. This mode of assessment was both productive and popular, mapping to students’ interests and helping to refine their skills in programming, problem-solving, critical reflection and exploratory design. © 2023 by the authors.</t>
  </si>
  <si>
    <t>artificial intelligence; ChatGPT; Dall-E; education; game design; game programming; interaction design; LLM; OpenAI; procedural generation</t>
  </si>
  <si>
    <t>Multidisciplinary Digital Publishing Institute (MDPI)</t>
  </si>
  <si>
    <t>Multimodal Tech. Inter.</t>
  </si>
  <si>
    <t>2-s2.0-85169072019</t>
  </si>
  <si>
    <t>Bego C.R.</t>
  </si>
  <si>
    <t>Using ChatGPT for Homework: Does it Feel Like Cheating? (WIP)</t>
  </si>
  <si>
    <t>Proceedings - Frontiers in Education Conference, FIE</t>
  </si>
  <si>
    <t>10.1109/FIE58773.2023.10343397</t>
  </si>
  <si>
    <t>https://www.scopus.com/inward/record.uri?eid=2-s2.0-85183052849&amp;doi=10.1109%2fFIE58773.2023.10343397&amp;partnerID=40&amp;md5=2811eb71ab40f20127391f8f4ee6e466</t>
  </si>
  <si>
    <t>J. B. Speed School of Engineering, University of Louisville, Department of Engineering Fundamentals, United States</t>
  </si>
  <si>
    <t>This WIP paper disseminates the results of an anonymous survey given to first-year engineering students in February of 2023 about ChatGPT, the recently-developed artificial intelligence chatbot. Survey results showed that some engineering students had used ChatGPT to complete their homework assignments. Furthermore, only a few of those who used it for homework felt like they were 'cheating,' or acting unethically, by doing so. These results indicate that the higher education community should carefully consider the potential learning benefits and threats of this new tool, as it may be utilized by at least some portion of students on their assignments. Much more work is needed to understand the potential uses, threats, and limitations of large language model chatbots in engineering education. © 2023 IEEE.</t>
  </si>
  <si>
    <t>AI; ChatGPT; engineering education; ethics</t>
  </si>
  <si>
    <t>PFECD</t>
  </si>
  <si>
    <t>Proc. Front. Educ. Conf. FIE</t>
  </si>
  <si>
    <t>2-s2.0-85183052849</t>
  </si>
  <si>
    <t>Chovanec, Kevin (56974425000); Fields, John (58812587800); Madiraju, Praveen (6507994448)</t>
  </si>
  <si>
    <t>Combining Demographic Tabular Data with BERT Outputs for Multilabel Text Classification in Higher Education Survey Data</t>
  </si>
  <si>
    <t>Proceedings - 2023 IEEE International Conference on Big Data, BigData 2023</t>
  </si>
  <si>
    <t>10.1109/BigData59044.2023.10386843</t>
  </si>
  <si>
    <t>https://www.scopus.com/inward/record.uri?eid=2-s2.0-85184987047&amp;doi=10.1109%2fBigData59044.2023.10386843&amp;partnerID=40&amp;md5=e2eaae170d00b7827f71aa0e4d37a584</t>
  </si>
  <si>
    <t>Marquette University, Office of Instutional Research and Analysis, Milwaukee, WI, United States; Concordia University Wisconsin - Ann Arbor, Business Analytics, Mequon, WI, United States; Marquette University, Computer Science, Milwaukee, WI, United States</t>
  </si>
  <si>
    <t>Institutions of Higher Education (HEI) often possess rich text data in the form of student surveys. However, because these data are expensive to process, many universities have not yet capitalized on this resource. When working with student text data, researchers often desire to first label student responses with common categories of interest, a task in Natural Language Processing known as Multi-label Text Classification (MLTC). BERT and other Large Language Models have produced state of the art results on MLTC tasks; yet because MLTC generally presents challenges of data scarcity and data sparsity, accuracy often remains too low to fully automate the task. Unlike many common MLTC datasets, these student survey data can usually be paired with rich tabular data, both academic and demographic. In this paper, we show that a fusion approach combining tabular data with BERT outputs derived from student responses significantly improves model performance, increasing label ranking average precision from.75 to.84. The paper thus contributes to the open academic discussion of whether fusing tabular demographic data with BERT outputs improves performance, and also offers a practical approach for HEIs to automate survey labeling and thus incorporate more student text data into institutional research.  © 2023 IEEE.</t>
  </si>
  <si>
    <t>BERT; Higher Education; Multilabel Text Classification; Student Surveys</t>
  </si>
  <si>
    <t>Proc. - IEEE Int. Conf. Big Data, BigData</t>
  </si>
  <si>
    <t>2-s2.0-85184987047</t>
  </si>
  <si>
    <t>Can ChatGPT pass Glycobiology?</t>
  </si>
  <si>
    <t>Glycobiology</t>
  </si>
  <si>
    <t>10.1093/glycob/cwad064</t>
  </si>
  <si>
    <t>https://www.scopus.com/inward/record.uri?eid=2-s2.0-85173580426&amp;doi=10.1093%2fglycob%2fcwad064&amp;partnerID=40&amp;md5=176a97746d46c30d3529ba866bc19a35</t>
  </si>
  <si>
    <t>Department of Chemistry, Maynooth University, co. Kildare, Maynooth, Ireland; Hamilton Institute, Maynooth University, co. Kildare, Maynooth, Ireland</t>
  </si>
  <si>
    <t>The release of text-generating applications based on interactive Large Language Models (LLMs) in late 2022 triggered an unprecedented and ever-growing interest worldwide. The almost instantaneous success of LLMs stimulated lively discussions in public media and in academic fora alike not only on the value and potentials of such tools in all areas of knowledge and information acquisition and distribution but also on the dangers posed by their uncontrolled and indiscriminate use. This conversation is now particularly active in the higher education sector, where LLMs are seen as a potential threat to academic integrity at all levels, from facilitating cheating by students in assignments to plagiarizing academic writing in the case of researchers and administrators. Within this framework, we are interested in testing the boundaries of the LLM ChatGPT (www.openai.com) in areas of our scientific interest and expertise and in analyzing the results from different perspectives, i.e. of a final year BSc student, of a research scientist, and of a lecturer in higher education. To this end, in this paper, we present and discuss a systematic evaluation on how ChatGPT addresses progressively complex scientific writing tasks and exam-type questions in Carbohydrate Chemistry and Glycobiology. The results of this project allowed us to gain insight on: (i) the strengths and limitations of the ChatGPT model to provide relevant and (most importantly) correct scientific information, (ii) the format(s) and complexity of the query required to obtain the desired output, and (iii) strategies to integrate LLMs in teaching and learning. © The Author(s) 2023. Published by Oxford University Press. All rights reserved.</t>
  </si>
  <si>
    <t>AI; ChatGPT; Glycobiology; higher education; LLM</t>
  </si>
  <si>
    <t>Oxford University Press</t>
  </si>
  <si>
    <t>GLYCE</t>
  </si>
  <si>
    <t>2-s2.0-85173580426</t>
  </si>
  <si>
    <t>“Dr ChatGPT”: Is it a reliable and useful source for common rheumatic diseases?</t>
  </si>
  <si>
    <t>International Journal of Rheumatic Diseases</t>
  </si>
  <si>
    <t>10.1111/1756-185X.14749</t>
  </si>
  <si>
    <t>https://www.scopus.com/inward/record.uri?eid=2-s2.0-85159889928&amp;doi=10.1111%2f1756-185X.14749&amp;partnerID=40&amp;md5=3c5fecb276a9043b1a466a688bd03513</t>
  </si>
  <si>
    <t>Department of Physical Medicine and Rehabilitation, Etlik City Hospital, Ankara, Turkey</t>
  </si>
  <si>
    <t>Aim: It is inevitable that artificial intelligence applications will be used as a source of information in the field of health in the near future. For this reason, we aimed to evaluate whether ChatGPT, a new Large Language Model, can be used to obtain information about common rheumatic diseases. Materials and methods: Common rheumatic diseases were identified using the American College of Rheumatology and European League against Rheumatism guidelines. Osteoarthritis (OA), rheumatoid arthritis, ankylosing spondylitis (AS), systemic lupus erythematosus, psoriatic arthritis, fibromyalgia syndrome, and gout were identified by using Google trends for the four most frequently searched keywords on Google. The responses were evaluated with seven-point Likert-type reliability and usefulness scales developed by us. Results: The highest score in terms of reliability was OA (mean ± standard deviation 5.62 ± 1.17), whereas the highest score in terms of usefulness was AS (mean 5.87 ± 0.17). There was no significant difference in the reliability and usefulness of the answers given by the ChatGPT (p =.423 and p =.387, respectively). All scores ranged between 4 and 7. Conclusions: Although ChatGPT is reliable and useful for patients to obtain information about rheumatic diseases, it should be kept in mind that it may give false and misleading answers. © 2023 Asia Pacific League of Associations for Rheumatology and John Wiley &amp; Sons Australia, Ltd.</t>
  </si>
  <si>
    <t>artificial intelligence; chatbot; ChatGPT; large language model; rheumatic diseases</t>
  </si>
  <si>
    <t>Int. J. Rheum. Dis.</t>
  </si>
  <si>
    <t>2-s2.0-85159889928</t>
  </si>
  <si>
    <t>Evaluation of ChatGPT and Google Bard Using Prompt Engineering in Cancer Screening Algorithms</t>
  </si>
  <si>
    <t>Academic Radiology</t>
  </si>
  <si>
    <t>10.1016/j.acra.2023.11.002</t>
  </si>
  <si>
    <t>https://www.scopus.com/inward/record.uri?eid=2-s2.0-85180340892&amp;doi=10.1016%2fj.acra.2023.11.002&amp;partnerID=40&amp;md5=83720d73618ef8522591f9e9e28e7d1b</t>
  </si>
  <si>
    <t>University of Massachusetts Chan Medical School, Worcester, Massachusetts, United States; Department of Radiology, University of Massachusetts Chan Medical School, Worcester, Massachusetts, United States</t>
  </si>
  <si>
    <t>Large language models (LLMs) such as ChatGPT and Bard have emerged as powerful tools in medicine, showcasing strong results in tasks such as radiology report translations and research paper drafting. While their implementation in clinical practice holds promise, their response accuracy remains variable. This study aimed to evaluate the accuracy of ChatGPT and Bard in clinical decision-making based on the American College of Radiology Appropriateness Criteria for various cancers. Both LLMs were evaluated in terms of their responses to open-ended (OE) and select-all-that-apply (SATA) prompts. Furthermore, the study incorporated prompt engineering (PE) techniques to enhance the accuracy of LLM outputs. The results revealed similar performances between ChatGPT and Bard on OE prompts, with ChatGPT exhibiting marginally higher accuracy in SATA scenarios. The introduction of PE also marginally improved LLM outputs in OE prompts but did not enhance SATA responses. The results highlight the potential of LLMs in aiding clinical decision-making processes, especially when guided by optimally engineered prompts. Future studies in diverse clinical situations are imperative to better understand the impact of LLMs in radiology. © 2023 The Association of University Radiologists</t>
  </si>
  <si>
    <t>Elsevier Inc.</t>
  </si>
  <si>
    <t>ARADF</t>
  </si>
  <si>
    <t>Acad. Radiol.</t>
  </si>
  <si>
    <t>2-s2.0-85180340892</t>
  </si>
  <si>
    <t>Writing with AI: University Students' Use of ChatGPT</t>
  </si>
  <si>
    <t>Journal of Language and Education</t>
  </si>
  <si>
    <t>10.17323/jle.2023.17379</t>
  </si>
  <si>
    <t>https://www.scopus.com/inward/record.uri?eid=2-s2.0-85181468600&amp;doi=10.17323%2fjle.2023.17379&amp;partnerID=40&amp;md5=be9ad94ac5c156400f65c031b8b65b30</t>
  </si>
  <si>
    <t>RIT Croatia, Zagreb, Croatia</t>
  </si>
  <si>
    <t>Background: ChatGPT, a chatbot based on a large language model, captured global attention toward the end of 2022. With its potential to generate comprehensive texts of a variety of genres based on a string of straightforward prompts, it was soon perceived as a threat by many in various fields, including - and in particular - education. Schools across the world began banning its use as instructors started to receive suspiciously well-written essays and assignments from their students. Aim: This study aimed to investigate the prevalence of use of ChatGPT among university students for written assignments, explore the ways students utilize the tool, and examine students' perspectives on the ethical aspects of its use. Method: An online questionnaire was designed to collect data from 201 students from private and public universities in Croatia. Results: The results show that more than half of the participants use ChatGPT for written assignments, that most use it to generate ideas, while many use it to summarize, paraphrase, proofread, but also to write a part of the assignment for them. According to the participants, the most ethically acceptable use of ChatGPT is for generating ideas, while other uses are perceived by many as being unethical; this, however, has not prevented some students from engaging in behaviors they deem unethical. Conclusion: We conclude that universities and instructors need to take a decisive stand on artificial intelligence in education and provide clear guidelines to students regarding the ethical use of ChatGPT and emerging technologies. © 2023 National Research University Higher School of Economics. All rights reserved.</t>
  </si>
  <si>
    <t>academic honesty; academic integrity; artificial intelligence; ChatGPT; ethics; plagiarism</t>
  </si>
  <si>
    <t>National Research University, Higher School of Econoimics</t>
  </si>
  <si>
    <t>J. Lang. Edu.</t>
  </si>
  <si>
    <t>2-s2.0-85181468600</t>
  </si>
  <si>
    <t>Artificial Intelligence: A Blessing or a Threat for Language Service Providers in Portugal</t>
  </si>
  <si>
    <t>Informatics</t>
  </si>
  <si>
    <t>10.3390/informatics10040081</t>
  </si>
  <si>
    <t>https://www.scopus.com/inward/record.uri?eid=2-s2.0-85180659093&amp;doi=10.3390%2finformatics10040081&amp;partnerID=40&amp;md5=1bf0896fe4f9ba3feafe7cc3f7602f8e</t>
  </si>
  <si>
    <t>CEOS.PP, ISCAP Polytechnic of Porto, Porto, 4465-004, Portugal</t>
  </si>
  <si>
    <t>According to a recent study by OpenAI, Open Research, and the University of Pennsylvania, large language models (LLMs) based on artificial intelligence (AI), such as generative pretrained transformers (GPTs), may have potential implications for the job market, specifically regarding occupations that demand writing or programming skills. This research points out that interpreters and translators are one of the main occupations with greater exposure to AI in the US job market (76.5%), in a trend that is expected to affect other regions of the globe. This article, following a mixed-methods survey-based research approach, provides insights into the awareness and knowledge about AI among Portuguese language service providers (LSPs), specifically regarding neural machine translation (NMT) and large language models (LLM), their actual use and usefulness, as well as their potential influence on work performance and the labour market. The results show that most professionals are unable to identify whether AI and/or automation technologies support the tools that are most used in the profession. The usefulness of AI is essentially low to moderate and the professionals who are less familiar with it and less knowledgeable also demonstrate a lack of trust in it. Two thirds of the sample estimate negative or very negative effects of AI in their profession, expressing the devaluation and replacement of experts, the reduction of income, and the reconfiguration of the career of translator to mere post-editors as major concerns. © 2023 by the authors.</t>
  </si>
  <si>
    <t>artificial intelligence; interpreters; language service providers; large language models; neural machine translation; translators</t>
  </si>
  <si>
    <t>2-s2.0-85180659093</t>
  </si>
  <si>
    <t>Routledge</t>
  </si>
  <si>
    <t>Computers and Education: Artificial Intelligence</t>
  </si>
  <si>
    <t>Elsevier B.V.</t>
  </si>
  <si>
    <t>2666920X</t>
  </si>
  <si>
    <t>Comput. Educ.</t>
  </si>
  <si>
    <t>Proposals and Methods for Foreign Language Learning Using Machine Translation and Large Language Model</t>
  </si>
  <si>
    <t>Procedia Computer Science</t>
  </si>
  <si>
    <t>10.1016/j.procs.2023.10.474</t>
  </si>
  <si>
    <t>https://www.scopus.com/inward/record.uri?eid=2-s2.0-85183548420&amp;doi=10.1016%2fj.procs.2023.10.474&amp;partnerID=40&amp;md5=3c47ddc0157dcc4b50d24d08abc8aecd</t>
  </si>
  <si>
    <t>Graduate School of Science and Engineering, Ritsumeikan Univercity, 1-1-1 Noji-higashi, Shiga, Kusatsu, 525-8577, Japan; College of Life Sciences, Ritsumeikan Univercity, 1-1-1 Noji-higashi, Shiga, Kusatsu, 525-8577, Japan</t>
  </si>
  <si>
    <t>In this paper, we propose a new learning model that utilizes machine translation and large language models. While English education has traditionally been conducted through the relationship between English teachers and learners, replacing English teachers with machine translation and large language models may offer the potential to provide an equally or even more efficient and high-quality learning environment. The authors have developed a browser-based service to experience this educational environment for Japanese. To experience a new learning model that is high quality and efficient, we have implemented DeepL, a machine translation service that can translate with high accuracy, and ChatGPT, which uses a large language model that can generate natural sentences and adapt to a variety of tasks interactively. By combining these advanced services, it is now possible to provide explanations of the English translations and to evaluate the essays. This newly developed service is currently being experimentally used in English classes at a Japanese university. Interviews with users who used it revealed that they were easily exposed to English above their level. In other words, the results suggest that this proposed model can provide a better environment for English utilization than teachers. The developed service is available to anyone at the following URL. Transable: https://transable.net. © 2023 The Authors. Published by Elsevier B.V. This is an open access article under the CC BY-NC-ND license (https://creativecommons.org/licenses/by-nc-nd/4.0)</t>
  </si>
  <si>
    <t>English language learning; Foreign language teaching; Large language model; Machine Translation</t>
  </si>
  <si>
    <t>Procedia Comput. Sci.</t>
  </si>
  <si>
    <t>2-s2.0-85183548420</t>
  </si>
  <si>
    <t>Azaiz, Imen (57214246872); Deckarm, Oliver (58754058900); Strickroth, Sven (55336504600)</t>
  </si>
  <si>
    <t>AI-Enhanced Auto-Correction of Programming Exercises: How Effective is GPT-3.5?</t>
  </si>
  <si>
    <t>International Journal of Engineering Pedagogy</t>
  </si>
  <si>
    <t>10.3991/ijep.v13i8.45621</t>
  </si>
  <si>
    <t>https://www.scopus.com/inward/record.uri?eid=2-s2.0-85183535998&amp;doi=10.3991%2fijep.v13i8.45621&amp;partnerID=40&amp;md5=b833b66880e8dba052d79be65cec37a4</t>
  </si>
  <si>
    <t>LMU Munich, Munich, Germany</t>
  </si>
  <si>
    <t>Timely formative feedback is considered as one of the most important drivers for effective learning. Delivering timely and individualized feedback is particularly challenging in large classes in higher education. Recently Large Language Models such as GPT-3 became available to the public that showed promising results on various tasks such as code generation and code explanation. This paper investigates the potential of AI in providing personalized code correction and generating feedback. Based on existing student submissions of two different real-world assignments, the correctness of the AI-aided e-assessment as well as the characteristics such as fault localization, correctness of hints, and code style suggestions of the generated feedback are investigated. The results show that 73% of the submissions were correctly identified as either correct or incorrect. In 59% of these cases, GPT-3.5 also successfully generated effective and high-quality feedback. Additionally, GPT-3.5 exhibited weaknesses in its evaluation, including localization of errors that were not the actual errors, or even hallucinated errors. Implications and potential new usage scenarios are discussed. © 2023 by the authors of this article. Published under CC-BY.</t>
  </si>
  <si>
    <t>e-assessment; formative assessment; GPT-3.5; large language model; personalized feedback; programming education</t>
  </si>
  <si>
    <t>International Association of Online Engineering</t>
  </si>
  <si>
    <t>Int. J. Engi. Pedagogy</t>
  </si>
  <si>
    <t>2-s2.0-85183535998</t>
  </si>
  <si>
    <t>Exploring Social Biases of Large Language Models in a College Artificial Intelligence Course</t>
  </si>
  <si>
    <t>Proceedings of the 37th AAAI Conference on Artificial Intelligence, AAAI 2023</t>
  </si>
  <si>
    <t>https://www.scopus.com/inward/record.uri?eid=2-s2.0-85168247525&amp;partnerID=40&amp;md5=695d15563fb1addfe5f38970acfbfa8e</t>
  </si>
  <si>
    <t>Wellesley College, United States</t>
  </si>
  <si>
    <t>Large neural network-based language models play an increasingly important role in contemporary AI. Although these models demonstrate sophisticated text generation capabilities, they have also been shown to reproduce harmful social biases contained in their training data. This paper presents a project that guides students through an exploration of social biases in large language models. As a final project for an intermediate college course in AI, students developed a bias probe task for a previously-unstudied aspect of sociolinguistic or sociocultural bias. Through the process of constructing a dataset and evaluation metric to measure bias, students mastered key technical concepts, including how to run contemporary neural networks for natural language processing tasks; construct datasets and evaluation metrics; and analyze experimental results. Students reported their findings in an in-class presentation and a final report, recounting patterns of predictions that surprised, unsettled, and sparked interest in advocating for technology that reflects a more diverse set of backgrounds and experiences. Through this project, students engage with and even contribute to a growing body of scholarly work on social biases in large language models. Copyright © 2023, Association for the Advancement of Artificial Intelligence (www.aaai.org). All rights reserved.</t>
  </si>
  <si>
    <t>Computational linguistics; Natural language processing systems; Artificial intelligence course; College course; Evaluation metrics; Language model; Language processing; Natural languages; Network-based; Neural-networks; Text generations; Training data; Students</t>
  </si>
  <si>
    <t>AAAI Press</t>
  </si>
  <si>
    <t>Proc. AAAI Conf. Artif. Intell., AAAI</t>
  </si>
  <si>
    <t>2-s2.0-85168247525</t>
  </si>
  <si>
    <t>Kozov, Vasil (57192212695); Ivanova, Galina (57205695765); Atanasova, Desislava (57204949891)</t>
  </si>
  <si>
    <t>Practical Application of AI and Large Language Models in Software Engineering Education</t>
  </si>
  <si>
    <t>International Journal of Advanced Computer Science and Applications</t>
  </si>
  <si>
    <t>10.14569/IJACSA.2024.0150168</t>
  </si>
  <si>
    <t>Subjects with limited application in the software industry like AI have recently received tremendous boon due to the development and raise of publicity of LLMs. LLM-powered software has a wide array of practical applications that must be taught to Software Engineering students, so that they can be relevant in the field. The speed of technological change is extremely fast, and university curriculums must include those changes. Renewing and creating new methodologies and workshops is a difficult task to complete successfully in such a dynamic environment full of cutting-edge technologies. This paper aims to showcase our approach to using LLM-powered software for AI generated images, like Stable diffusion and code generation tools like ChatGPT in workshops for two relevant subjects - Analysis of Software Requirements and Specifications, as well as Artificial Intelligence. A comparison between the different available LLMs that generate images is made, and the choice between them is explained. Student feedback is shown and a general positive and motivational impact is noted during and after the workshop. A brief introduction that covers the subjects where AI is applied is made. The proposed solutions for several uses of AI in the field of higher education, more specifically software engineering, are presented. Several workshops have been made and included in the curriculum. The results of their application have been noted and an analysis is made. More propositions on further development based on the gained experience, feedback and retrieved data are made. Conclusions are made on the application of AI in higher education and different ways to utilize such tools are presented. © (2024), (Science and Information Organization). All Rights Reserved.</t>
  </si>
  <si>
    <t>AI generated images; Application of AI-powered software; higher education; software engineering; stable diffusion</t>
  </si>
  <si>
    <t>Science and Information Organization</t>
  </si>
  <si>
    <t>2158107X</t>
  </si>
  <si>
    <t>Leveraging ChatGPT for Enhancing Critical Thinking Skills</t>
  </si>
  <si>
    <t>Journal of Chemical Education</t>
  </si>
  <si>
    <t>10.1021/acs.jchemed.3c00505</t>
  </si>
  <si>
    <t>https://www.scopus.com/inward/record.uri?eid=2-s2.0-85178639069&amp;doi=10.1021%2facs.jchemed.3c00505&amp;partnerID=40&amp;md5=6a6a15dcb2d098adb4a33ab344677afb</t>
  </si>
  <si>
    <t>This article presents a study conducted at Georgia Gwinnett College (GGC) to explore the use of ChatGPT, a large language model, for fostering critical thinking skills in higher education. The study implemented a ChatGPT-based activity in introductory chemistry courses, where students engaged with ChatGPT in three stages: account setup and orientation, essay creation, and output revision and validation. The results showed significant improvements in students’ confidence to ask insightful questions, analyze information, and comprehend complex concepts. Students reported that ChatGPT provided diverse perspectives and challenged their current ways of thinking. They also expressed an increased utilization of ChatGPT to enhance critical thinking skills and a willingness to recommend it to others. However, challenges included low-quality student comments and difficulties in validating information sources. The study highlights the importance of comprehensive training for educators and access to reliable resources. Future research should focus on training educators in integrating ChatGPT effectively and ensuring student awareness of privacy and security considerations. In conclusion, this study provides valuable insights for leveraging AI technologies like ChatGPT to foster critical thinking skills in higher education. © 2023 The Authors. Published by American Chemical Society and Division of Chemical Education, Inc.</t>
  </si>
  <si>
    <t>Computer-Based Learning; Curriculum; First-Year Undergraduate/General; General Public; Interdisciplinary/Multidisciplinary; Internet/Web-Based Learning; Student-Centered Learning</t>
  </si>
  <si>
    <t>American Chemical Society</t>
  </si>
  <si>
    <t>JCEDA</t>
  </si>
  <si>
    <t>J Chem Educ</t>
  </si>
  <si>
    <t>2-s2.0-85178639069</t>
  </si>
  <si>
    <t>Mills, Anna (58394333300); Bali, Maha (36171609200); Eaton, Lance (58393545100)</t>
  </si>
  <si>
    <t>How do we respond to generative AI in education? Open educational practices give us a framework for an ongoing process</t>
  </si>
  <si>
    <t>Journal of Applied Learning and Teaching</t>
  </si>
  <si>
    <t>10.37074/jalt.2023.6.1.34</t>
  </si>
  <si>
    <t>https://www.scopus.com/inward/record.uri?eid=2-s2.0-85163399879&amp;doi=10.37074%2fjalt.2023.6.1.34&amp;partnerID=40&amp;md5=941c487c640bbe78e7f72a30a3bf3fea</t>
  </si>
  <si>
    <t>College of Marin, Kentfield, CA, United States; Center for Learning and Teaching, The American University in Cairo, Cairo, Egypt; College Unbound, Providence, RI, United States</t>
  </si>
  <si>
    <t>With the release of ChatGPT in November 2022, the field of higher education rapidly became aware that generative AI can complete or assist in many of the kinds of tasks traditionally used for assessment. This has come as a shock, on the heels of the shock of the pandemic. How should assessment practices change? Should we teach about generative AI or use it pedagogically? If so, how? Here, we propose that a set of open educational practices, inspired by both the Open Educational Resources (OER) movement and digital collaboration practices popularized in the pandemic, can help educators cope and perhaps thrive in an era of rapidly evolving AI. These practices include turning toward online communities that cross institutional and disciplinary boundaries. Social media, listservs, groups, and public annotation can be spaces for educators to share early, rough ideas and practices and reflect on these as we explore emergent responses to AI. These communities can facilitate crowdsourced curation of articles and learning materials. Licensing such resources for reuse and adaptation allows us to build on what others have done and update resources. Collaborating with students allows emergent, student-centered, and student-guided approaches as we learn together about AI and contribute to societal discussions about its future. We suggest approaching all these modes of response to AI as provisional and subject to reflection and revision with respect to core values and educational philosophies. In this way, we can be quicker and more agile even as the technology continues to change. We give examples of these practices from the Spring of 2023 and call for recognition of their value and for material support for them going forward. These open practices can help us collaborate across institutions, countries, and established power dynamics to enable a richer, more justly distributed emerging response to AI. © 2023. Anna Mills, Maha Bali, and Lance Eaton.</t>
  </si>
  <si>
    <t>ChatGPT; entangled pedagogy; generative AI; GPT-3; GPT-4; higher education; large language models; LLMs; OEP; OER; open educational practices; Open Educational Resources; open pedagogy; PICRAT</t>
  </si>
  <si>
    <t>Kaplan Singapore</t>
  </si>
  <si>
    <t>2591801X</t>
  </si>
  <si>
    <t>J. Appl. Learn. Teach.</t>
  </si>
  <si>
    <t>2-s2.0-85163399879</t>
  </si>
  <si>
    <t>Tsai, Meng-Lin (57953443700); Ong, Chong Wei (57203358105); Chen, Cheng-Liang (7501958595)</t>
  </si>
  <si>
    <t>Exploring the use of large language models (LLMs) in chemical engineering education: Building core course problem models with Chat-GPT</t>
  </si>
  <si>
    <t>Education for Chemical Engineers</t>
  </si>
  <si>
    <t>10.1016/j.ece.2023.05.001</t>
  </si>
  <si>
    <t>https://www.scopus.com/inward/record.uri?eid=2-s2.0-85160214425&amp;doi=10.1016%2fj.ece.2023.05.001&amp;partnerID=40&amp;md5=23f184207eb4faab02d1ded948474c39</t>
  </si>
  <si>
    <t>Department of Chemical Engineering, National Taiwan University, Taipei, Taiwan</t>
  </si>
  <si>
    <t>This study highlights the potential benefits of integrating Large Language Models (LLMs) into chemical engineering education. In this study, Chat-GPT, a user-friendly LLM, is used as a problem-solving tool. Chemical engineering education has traditionally focused on fundamental knowledge in the classroom with limited opportunities for hands-on problem-solving. To address this issue, our study proposes an LLMs-assisted problem-solving procedure. This approach promotes critical thinking, enhances problem-solving abilities, and facilitates a deeper understanding of core subjects. Furthermore, incorporating programming into chemical engineering education prepares students with vital Industry 4.0 skills for contemporary industrial practices. During our experimental lecture, we introduced a simple example of building a model to calculate steam turbine cycle efficiency, and assigned projects to students for exploring the possible use of LLMs in solving various aspect of chemical engineering problems. Although it received mixed feedback from students, it was found to be an accessible and practical tool for improving problem-solving efficiency. Analyzing the student projects, we identified five common difficulties and misconceptions and provided helpful suggestions for overcoming them. Our course has limitations regarding using advanced tools and addressing complex problems. We further provide two additional examples to better demonstrate how to integrate LLMs into core courses. We emphasize the importance of universities, professors, and students actively embracing and utilizing LLMs as tools for chemical engineering education. Students must develop critical thinking skills and a thorough understanding of the principles behind LLMs, taking responsibility for their use and creations. This study provides valuable insights for enhancing chemical engineering education's learning experience and outcomes by integrating LLMs. © 2023 Institution of Chemical Engineers</t>
  </si>
  <si>
    <t>Chat-GPT; Engineering education; Industry 4.0 skill; Large language models (LLMs); Problem-solving; Programming in chemical engineering</t>
  </si>
  <si>
    <t>Computational linguistics; Education computing; Efficiency; Engineering education; Industry 4.0; Chat-GPT; Chemical engineering education; Core course; Education buildings; Industry 4.0 skill; Language model; Large language model; Problem models; Problem-solving; Programming in chemical engineering; Students</t>
  </si>
  <si>
    <t>Educ. Chem. Eng.</t>
  </si>
  <si>
    <t>2-s2.0-85160214425</t>
  </si>
  <si>
    <t>Rudolph, Jürgen (57474074600); Tan, Shannon (57764872700); Tan, Samson (58199753600)</t>
  </si>
  <si>
    <t>War of the chatbots: Bard, Bing Chat, ChatGPT, Ernie and beyond. The new AI gold rush and its impact on higher education</t>
  </si>
  <si>
    <t>10.37074/jalt.2023.6.1.23</t>
  </si>
  <si>
    <t>https://www.scopus.com/inward/record.uri?eid=2-s2.0-85162822252&amp;doi=10.37074%2fjalt.2023.6.1.23&amp;partnerID=40&amp;md5=82354b12be050b344adee3f5990fb64c</t>
  </si>
  <si>
    <t>Director of Research, Kaplan, Singapore, Singapore</t>
  </si>
  <si>
    <t>Developments in the chatbot space have been accelerating at breakneck speed since late November 2022. Every day, there appears to be a plethora of news. A war of competitor chatbots is raging amidst an AI arms race and gold rush. These rapid developments impact higher education, as millions of students and academics have started using bots like ChatGPT, Bing Chat, Bard, Ernie and others for a large variety of purposes. In this article, we select some of the most promising chatbots in the English and Chinese-language spaces and provide their corporate backgrounds and brief histories. Following an up-to-date review of the Chinese and English-language academic literature, we describe our comparative method and systematically compare selected chatbots across a multi-disciplinary test relevant to higher education. The results of our test show that there are currently no A-students and no B-students in this bot cohort, despite all publicised and sensationalist claims to the contrary. The much-vaunted AI is not yet that intelligent, it would appear. GPT-4 and its predecessor did best, whilst Bing Chat and Bard were akin to at-risk students with F-grade averages. We conclude our article with four types of recommendations for key stakeholders in higher education: (1) faculty in terms of assessment and (2) teaching &amp; learning, (3) students and (4) higher education institutions. © 2023. Jürgen Rudolph, Shannon Tan and Samson Tan.</t>
  </si>
  <si>
    <t>Artificial intelligence (AI); assessment; Bard; Bing Chat; chatbots in higher education; ChatGPT; conversational agents; Ernie; generative pre-trained transformers (GPT); higher education; large language models (LLMs); learning &amp; teaching</t>
  </si>
  <si>
    <t>2-s2.0-85162822252</t>
  </si>
  <si>
    <t>Examining the potential and pitfalls of ChatGPT in science and engineering problem-solving</t>
  </si>
  <si>
    <t>Frontiers in Education</t>
  </si>
  <si>
    <t>10.3389/feduc.2023.1330486</t>
  </si>
  <si>
    <t>https://www.scopus.com/inward/record.uri?eid=2-s2.0-85183909215&amp;doi=10.3389%2ffeduc.2023.1330486&amp;partnerID=40&amp;md5=46614a40804cf67086ad7e5061938edf</t>
  </si>
  <si>
    <t>The study explores the capabilities of OpenAI's ChatGPT in solving different types of physics problems. ChatGPT (with GPT-4) was queried to solve a total of 40 problems from a college-level engineering physics course. These problems ranged from well-specified problems, where all data required for solving the problem was provided, to under-specified, real-world problems where not all necessary data were given. Our findings show that ChatGPT could successfully solve 62.5% of the well-specified problems, but its accuracy drops to 8.3% for under-specified problems. Analysis of the model's incorrect solutions revealed three distinct failure modes: (1) failure to construct accurate models of the physical world, (2) failure to make reasonable assumptions about missing data, and (3) calculation errors. The study offers implications for how to leverage LLM-augmented instructional materials to enhance STEM education. The insights also contribute to the broader discourse on AI's strengths and limitations, serving both educators aiming to leverage the technology and researchers investigating human-AI collaboration frameworks for problem-solving and decision-making. Copyright © 2024 Wang, Burkholder, Wieman, Salehi and Haber.</t>
  </si>
  <si>
    <t>authentic problems; ChatGPT; generative AI models; GPT-4; physics education; problem-solving; STEM education</t>
  </si>
  <si>
    <t>Frontiers Media SA</t>
  </si>
  <si>
    <t>2504284X</t>
  </si>
  <si>
    <t>Front. Educ.</t>
  </si>
  <si>
    <t>2-s2.0-85183909215</t>
  </si>
  <si>
    <t>Exploring the Impact of ChatGPT Literacy on User Satisfaction: The Mediating Role of User Motivations</t>
  </si>
  <si>
    <t>Cyberpsychology, Behavior, and Social Networking</t>
  </si>
  <si>
    <t>10.1089/cyber.2023.0312</t>
  </si>
  <si>
    <t>https://www.scopus.com/inward/record.uri?eid=2-s2.0-85179644094&amp;doi=10.1089%2fcyber.2023.0312&amp;partnerID=40&amp;md5=942ca44ade89bf6165d60531182d3a04</t>
  </si>
  <si>
    <t>Department of Media and Communication, Sungkyunkwan University, Jongno-Gu, South Korea; Department of Journalism and Media Studies, New Mexico State University, Las Cruces, NM, United States</t>
  </si>
  <si>
    <t>The introduction of chat generative pretrained transformer (ChatGPT), the fastest growing large language model, has changed the landscape of artificial intelligence-human interaction in everyday life. As the social influence of ChatGPT increases, competencies in it become important life skills. This study aims to explore the determinants of ChatGPT user satisfaction to provide practical implications by suggesting a significant independent variable and mediators between the independent variable and user satisfaction. To this end, this study recruited 822 college students with prior experience using ChatGPT (407 males and 415 females) and conducted an online survey. We tested the effects of ChatGPT literacy on user satisfaction and the mediating roles of different motives (i.e., information and knowledge acquisition and entertainment and leisure) in the relationship between ChatGPT literacy and user satisfaction. The results suggest that ChatGPT literacy significantly increases user satisfaction and that information and knowledge acquisition and entertainment and leisure partially mediate the relationship between the effect of ChatGPT literacy and user satisfaction. The results may have implications for large language model developers and practitioners, such as educators. © 2023 Mary Ann Liebert Inc.. All rights reserved.</t>
  </si>
  <si>
    <t>artificial intelligence; ChatGPT; ChatGPT literacy; large language model; user motivation; user satisfaction</t>
  </si>
  <si>
    <t>Mary Ann Liebert Inc.</t>
  </si>
  <si>
    <t>Cyberpsychol. Behav. Soc. Networking</t>
  </si>
  <si>
    <t>2-s2.0-85179644094</t>
  </si>
  <si>
    <t>Kumar, Harsh (57673888100); Yu, Kunzhi (58135552000); Chung, Andrew (58135771800); Shi, Jiakai (57672510900); Williams, Joseph Jay (56159570600)</t>
  </si>
  <si>
    <t>Exploring the Potential of Chatbots to Provide Mental Well-being Support for Computer Science Students</t>
  </si>
  <si>
    <t>SIGCSE 2023 - Proceedings of the 54th ACM Technical Symposium on Computer Science Education</t>
  </si>
  <si>
    <t>10.1145/3545947.3576285</t>
  </si>
  <si>
    <t>https://www.scopus.com/inward/record.uri?eid=2-s2.0-85149779953&amp;doi=10.1145%2f3545947.3576285&amp;partnerID=40&amp;md5=514edb10677e06f63ef20e96823307ae</t>
  </si>
  <si>
    <t>The University of Toronto, Toronto, ON, Canada</t>
  </si>
  <si>
    <t>Computer Science students are affected by a number of stressors, such as competition, which make it difficult for them to manage their mental well-being and mood. Students are often reluctant to use existing resources for support because they are difficult to access or perceived as ineffective. Conversational agents have shown potential to provide accessible and effective support to improve well-being. In this work, we explore the problem space to identify contexts in which chatbots could be beneficial for students and investigate how different types of chatbot could supplement existing resources provided by universities. © 2022 Owner/Author.</t>
  </si>
  <si>
    <t>chatbots; field study; gpt-3; large language models; mental well-being; stress</t>
  </si>
  <si>
    <t>Education computing; Chatbots; Computer science students; Conversational agents; Field studies; Gpt-3; Language model; Large language model; Mental well-being; Problem space; Well being; Students</t>
  </si>
  <si>
    <t>SIGCSE - Proc. ACM Tech. Symp. Comput. Sci. Educ.</t>
  </si>
  <si>
    <t>2-s2.0-85149779953</t>
  </si>
  <si>
    <t>A Context-based Chatbot Surpasses Radiologists and Generic ChatGPT in Following the ACR Appropriateness Guidelines</t>
  </si>
  <si>
    <t>Radiology</t>
  </si>
  <si>
    <t>e230970</t>
  </si>
  <si>
    <t>10.1148/radiol.230970</t>
  </si>
  <si>
    <t>https://www.scopus.com/inward/record.uri?eid=2-s2.0-85162019693&amp;doi=10.1148%2fradiol.230970&amp;partnerID=40&amp;md5=b0833e44ccbf1401357e8a269720b519</t>
  </si>
  <si>
    <t>The Department of Diagnostic and Interventional Radiology, Medical Center–University of Freiburg, Faculty of Medicine, University of Freiburg, Breisacher Str 64, Freiburg, 79106, Germany; Department of Neuroradiology, Medical Center–University of Freiburg, Faculty of Medicine, University of Freiburg, Breisacher Str 64, Freiburg, 79106, Germany; Medical Physics, Department of Diagnostic and Interventional Radiology, Medical Center–University of Freiburg, Faculty of Medicine, University of Freiburg, Breisacher Str 64, Freiburg, 79106, Germany; Department of Stereotactic and Functional Neurosurgery, Medical Center–University of Freiburg, Faculty of Medicine, University of Freiburg, Breisacher Str 64, Freiburg, 79106, Germany; Institute of Medical Biometry and Statistics, Faculty of Medicine, Medical Center–University of Freiburg, Freiburg, Germany; Freiburg Center for Data Analysis and Modelling, University of Freiburg, Freiburg, Germany</t>
  </si>
  <si>
    <t>Background: Radiologic imaging guidelines are crucial for accurate diagnosis and optimal patient care as they result in standardized decisions and thus reduce inappropriate imaging studies. Purpose: To investigate the potential to support clinical decision-making using an interactive chatbot designed to provide personalized imaging recommendations from American College of Radiology (ACR) appropriateness criteria documents using semantic similarity processing. Materials and Methods: The authors used 209 ACR appropriateness criteria documents as a specialized knowledge base and used LlamaIndex, a framework for connecting large language models with external data, and ChatGPT-3.5-turbo to create an appropriateness criteria context aware chatbot (accGPT). Fifty clinical case files were used to compare the performance of accGPT with that of general radiologists at varying experience levels and to generic ChatGPT-3.5 and 4.0. Results: The performance of all chatbots reached at least that of humans. For the 50 case files, accGPT performed best in providing correct recommendations that were “usually appropriate” according to the ACR criteria and also provided the highest proportion of consistently correct answers in comparison with the generic chatbots and radiologists. Furthermore, the chatbots provided substantial time and cost savings, with an average decision time of 5 minutes and a cost of €0.19 ($0.21) for all cases, compared with 50 minutes and €29.99 ($33.24) for radiologists (both P &lt; .01). Conclusion: ChatGPT-based algorithms have the potential to substantially improve the decision-making for clinical imaging studies in accordance with ACR guidelines. Specifically, the performance of a context-based algorithm was superior to that of its generic counterpart, demonstrating the value of tailoring artificial intelligence solutions to specific health care applications. © RSNA, 2023.</t>
  </si>
  <si>
    <t>Radiological Society of North America Inc.</t>
  </si>
  <si>
    <t>RADLA</t>
  </si>
  <si>
    <t>2-s2.0-85162019693</t>
  </si>
  <si>
    <t>Yeadon, Will (58033417500); Hardy, Tom (58632684700)</t>
  </si>
  <si>
    <t>The impact of AI in physics education: a comprehensive review from GCSE to university levels</t>
  </si>
  <si>
    <t>Physics Education</t>
  </si>
  <si>
    <t>10.1088/1361-6552/ad1fa2</t>
  </si>
  <si>
    <t>With the rapid evolution of artificial intelligence (AI), its potential implications for higher education have become a focal point of interest. This study delves into the capabilities of AI in physics education and offers actionable AI policy recommendations. Using openAI’s flagship gpt-3.5-turbo large language model (LLM), we assessed its ability to answer 1337 physics exam questions spanning general certificate of secondary education (GCSE), A-Level, and introductory university curricula. We employed various AI prompting techniques: Zero Shot, in context learning, and confirmatory checking, which merges chain of thought reasoning with reflection. The proficiency of gpt-3.5-turbo varied across academic levels: it scored an average of 83.4% on GCSE, 63.8% on A-Level, and 37.4% on university-level questions, with an overall average of 59.9% using the most effective prompting technique. In a separate test, the LLM’s accuracy on 5000 mathematical operations was found to be 45.2%. When evaluated as a marking tool, the LLM’s concordance with human markers averaged at 50.8%, with notable inaccuracies in marking straightforward questions, like multiple-choice. Given these results, our recommendations underscore caution: while current LLMs can consistently perform well on physics questions at earlier educational stages, their efficacy diminishes with advanced content and complex calculations. LLM outputs often showcase novel methods not in the syllabus, excessive verbosity, and miscalculations in basic arithmetic. This suggests that at university, there’s no substantial threat from LLMs for non-invigilated physics questions. However, given the LLMs’ considerable proficiency in writing physics essays and coding abilities, non-invigilated examinations of these skills in physics are highly vulnerable to automated completion by LLMs. This vulnerability also extends to pysics questions pitched at lower academic levels. It is thus recommended that educators be transparent about LLM capabilities with their students, while emphasizing caution against overreliance on their output due to its tendency to sound plausible but be incorrect. © 2024 The Author(s). Published by IOP Publishing Ltd.</t>
  </si>
  <si>
    <t>AI benchmark; AI in physics education; ChatGPT; Few Shot; higher education; prompt engineering; Zero Shot</t>
  </si>
  <si>
    <t>Agostini, Daniele (57190582936); Picasso, Federica (58308904900)</t>
  </si>
  <si>
    <t>Large Language Models for Sustainable Assessment and Feedback in Higher Education: Towards a Pedagogical and Technological Framework</t>
  </si>
  <si>
    <t>CEUR Workshop Proceedings</t>
  </si>
  <si>
    <t>https://www.scopus.com/inward/record.uri?eid=2-s2.0-85183207058&amp;partnerID=40&amp;md5=980513e31ae1f48174bfa2bce2a65e80</t>
  </si>
  <si>
    <t>University of Trento, Palazzo Fedrigotti, corso Bettini 31, Rovereto, 38068, Italy</t>
  </si>
  <si>
    <t>Nowadays, there is growing attention on enhancing the quality of teaching, learning and assessment processes. As a recent EU Report underlines, the assessment and feedback area remains a problematic issue regarding educational professionals’ training and adopting new practices. In fact, traditional summative assessment practices are predominantly used in European countries, against the recommendations of the Bologna Process guidelines that promote the implementation of alternative assessment practices that seem crucial in order to engage and provide lifelong learning skills for students, also with the use of technology. Looking at the literature, a series of sustainability problems arise when these requests meet real-world teaching, particularly when academic instructors face the assessment of extensive classes. With the fast advancement in Large Language Models (LLMs) and their increasing availability, affordability and capability, part of the solution to these problems might be at hand. In fact, LLMs can process large amounts of text, summarise and give feedback about it following predetermined criteria. The insights of that analysis can be used both for giving feedback to the student and helping the instructor assess the text. With the proper pedagogical and technological framework, LLMs can disengage instructors from some of the time-related sustainability issues and so from the only choice of the multiple-choice test and similar. For this reason, as a first step, we are proposing a starting point for such a framework to a panel of experts following the Delphi methodology and reporting the results. © 2022 Copyright for this paper by its authors. Use permitted under Creative Commons License Attribution 4.0 International (CC BY 4.0).</t>
  </si>
  <si>
    <t>Artificial Intelligence; Assessment; Educational Technology; Evaluation; Higher Education; Large Language Models; Technology-Enhanced Assessment</t>
  </si>
  <si>
    <t>Computational linguistics; Education computing; Engineering education; Sustainable development; Assessment; Assessment practices; Evaluation; High educations; Language model; Large language model; Quality of teaching; Sustainable assessment; Technological framework; Technology-enhanced assessment; Students</t>
  </si>
  <si>
    <t>CEUR-WS</t>
  </si>
  <si>
    <t>CEUR Workshop Proc.</t>
  </si>
  <si>
    <t>2-s2.0-85183207058</t>
  </si>
  <si>
    <t>Springer</t>
  </si>
  <si>
    <t>Curr. Psychol.</t>
  </si>
  <si>
    <t>Marron L.</t>
  </si>
  <si>
    <t>Exploring the potential of ChatGPT 3.5 in higher education: Benefits, limitations, and academic integrity</t>
  </si>
  <si>
    <t>Handbook of Research on Redesigning Teaching, Learning, and Assessment in the Digital Era</t>
  </si>
  <si>
    <t>10.4018/978-1-6684-8292-6.ch017</t>
  </si>
  <si>
    <t>https://www.scopus.com/inward/record.uri?eid=2-s2.0-85162659898&amp;doi=10.4018%2f978-1-6684-8292-6.ch017&amp;partnerID=40&amp;md5=36ff29495f918f29f81153a4eb3e1bbf</t>
  </si>
  <si>
    <t>Edge Hill University, United Kingdom</t>
  </si>
  <si>
    <t>This study examines the potential benefits and challenges of using ChatGPT, a large language model, in higher education (HE) and its impact on academic integrity. The study employed an exploratory research design and was divided into three phases. Phase 1 explored ChatGPT through the lecturer's lens, Phase 2 through the student's lens, and Phase 3 through the academic integrity lens. The study aimed to investigate whether ChatGPT could be used to create resources, facilitate group-based projects, and assist students in their academic pursuits. Additionally, it investigated how ChatGPT could potentially contribute to academic misconduct. The study proposes strategies for promoting transparency and responsible use of AI in HE and offers recommendations for future research. Overall, the study concludes that AI can be a valuable tool in higher education if it is used responsibly and in conjunction with effective pedagogy. © 2023 by IGI Global. All rights reserved.</t>
  </si>
  <si>
    <t>IGI Global</t>
  </si>
  <si>
    <t>Handb. of Res. on Redesigning Teach., Learn., and Assessment in the Dig. Era</t>
  </si>
  <si>
    <t>2-s2.0-85162659898</t>
  </si>
  <si>
    <t>Calafato R.</t>
  </si>
  <si>
    <t>Charting the motivation, self-efficacy beliefs, language learning strategies, and achievement of multilingual university students learning Arabic as a foreign language</t>
  </si>
  <si>
    <t>Asian-Pacific Journal of Second and Foreign Language Education</t>
  </si>
  <si>
    <t>10.1186/s40862-023-00194-5</t>
  </si>
  <si>
    <t>https://www.scopus.com/inward/record.uri?eid=2-s2.0-85164188926&amp;doi=10.1186%2fs40862-023-00194-5&amp;partnerID=40&amp;md5=f54d472b9d7f7e6f1774db874630cdca</t>
  </si>
  <si>
    <t>Department of Languages and Literature Studies, Faculty of Humanities, Sports, and Educational Science, University of South-Eastern Norway, Grønland, Drammen, 58 3045, Norway</t>
  </si>
  <si>
    <t>Research on the relationship between students’ language learning motivation (LLM), language learning strategies (LLS), self-efficacy beliefs (SEB), and achievement in non-European languages has been both limited and overwhelmingly cross-sectional, often with little attention paid to their multilingualism. Combining complex dynamic systems and sociocultural perspectives, this article reports on a study that explored changes in the LLM, LLS, and SEB trajectories of two multilingual students taking Arabic at a university in Norway over two semesters, including how these trajectories, alongside their multilingual competence, related to their achievement in the course. Data were gathered through weekly semi-structured interviews and a rating scale-based log that the participants kept of their LLM and SEB, as well as their exam scores over two semesters. The results indicated that, although their LLS remained fairly consistent or grew more diversified, the participants were not completely successful in maintaining or boosting their LLM, SEB, or achievement. However, the use of more varied digital LLS appeared to prevent their LLM and SEB from further weakening. Moreover, participants’ LLM and SEB trajectories were susceptible to changes based on different timescales in that mesogenetic events had a more pronounced effect on one participant while the other was more sensitive to microgenetic events. Finally, despite both participants being multilingual, they were unable to benefit from their multilingual competence past the first semester, indicating that not all manifestations of multilingual competence are useful over time, especially when such competence does not contain a multilingual morphosyntactic awareness component. © 2023, The Author(s).</t>
  </si>
  <si>
    <t>Arabic; Foreign languages; Language learning strategies; Motivation; Multilingual competence; Self-efficacy beliefs</t>
  </si>
  <si>
    <t>Springer Science and Business Media B.V.</t>
  </si>
  <si>
    <t>Asian Pac. J. Second Foreign Lang. Edu.</t>
  </si>
  <si>
    <t>2-s2.0-85164188926</t>
  </si>
  <si>
    <t>AI-Supported Academic Advising: Exploring ChatGPT’s Current State and Future Potential toward Student Empowerment</t>
  </si>
  <si>
    <t>Education Sciences</t>
  </si>
  <si>
    <t>10.3390/educsci13090885</t>
  </si>
  <si>
    <t>https://www.scopus.com/inward/record.uri?eid=2-s2.0-85172154840&amp;doi=10.3390%2feducsci13090885&amp;partnerID=40&amp;md5=c80ee3f321e45545c03df031e7aa0be0</t>
  </si>
  <si>
    <t>Artificial intelligence (AI), once a phenomenon primarily in the world of science fiction, has evolved rapidly in recent years, steadily infiltrating into our daily lives. ChatGPT, a freely accessible AI-powered large language model designed to generate human-like text responses to users, has been utilized in several areas, such as the healthcare industry, to facilitate interactive dissemination of information and decision-making. Academic advising has been essential in promoting success among university students, particularly those from disadvantaged backgrounds. Unfortunately, however, student advising has been marred with problems, with the availability and accessibility of adequate advising being among the hurdles. The current study explores how AI-powered tools like ChatGPT might serve to make academic advising more accessible, efficient, or effective. The authors compiled a list of questions frequently asked by current and prospective students in a teacher education bachelor’s degree program in the United States. Then, the questions were typed into the free version of ChatGPT, and the answers generated were explored and evaluated for their content and delivery. ChatGPT generated surprisingly high-quality answers, written in an authoritative yet supportive tone, and it was particularly adept at addressing general and open-ended career-related questions, such as career outlook, in a clear, comprehensive, and supportive manner using plain language. We argue that AI-powered tools, such as ChatGPT, may complement but not necessarily replace human academic advisers and that these tools may very well serve to promote educational equity by empowering individuals from a wide range of backgrounds with the means to initiate effective methods of seeking academic advice. © 2023 by the authors.</t>
  </si>
  <si>
    <t>academic advising; AI; artificial intelligence; ChatGPT; educational equity; higher education; large language model; student empowerment; student success</t>
  </si>
  <si>
    <t>Educ. Sci.</t>
  </si>
  <si>
    <t>2-s2.0-85172154840</t>
  </si>
  <si>
    <t>Arthrosis diagnosis and treatment recommendations in clinical practice: an exploratory investigation with the generative AI model GPT-4</t>
  </si>
  <si>
    <t>Journal of Orthopaedics and Traumatology</t>
  </si>
  <si>
    <t>10.1186/s10195-023-00740-4</t>
  </si>
  <si>
    <t>https://www.scopus.com/inward/record.uri?eid=2-s2.0-85178058916&amp;doi=10.1186%2fs10195-023-00740-4&amp;partnerID=40&amp;md5=d0c8cc670478f4489dede065aba5b051</t>
  </si>
  <si>
    <t>Department of Orthopaedic Surgery, University of Regensburg, Asklepios Klinikum, Bad Abbach, Germany; Department of Neonatology, University Children’s Hospital Regensburg, Hospital St. Hedwig of the Order of St. John, University of Regensburg, Regensburg, Germany</t>
  </si>
  <si>
    <t>Background: The spread of artificial intelligence (AI) has led to transformative advancements in diverse sectors, including healthcare. Specifically, generative writing systems have shown potential in various applications, but their effectiveness in clinical settings has been barely investigated. In this context, we evaluated the proficiency of ChatGPT-4 in diagnosing gonarthrosis and coxarthrosis and recommending appropriate treatments compared with orthopaedic specialists. Methods: A retrospective review was conducted using anonymized medical records of 100 patients previously diagnosed with either knee or hip arthrosis. ChatGPT-4 was employed to analyse these historical records, formulating both a diagnosis and potential treatment suggestions. Subsequently, a comparative analysis was conducted to assess the concordance between the AI’s conclusions and the original clinical decisions made by the physicians. Results: In diagnostic evaluations, ChatGPT-4 consistently aligned with the conclusions previously drawn by physicians. In terms of treatment recommendations, there was an 83% agreement between the AI and orthopaedic specialists. The therapeutic concordance was verified by the calculation of a Cohen’s Kappa coefficient of 0.580 (p &lt; 0.001). This indicates a moderate-to-good level of agreement. In recommendations pertaining to surgical treatment, the AI demonstrated a sensitivity and specificity of 78% and 80%, respectively. Multivariable logistic regression demonstrated that the variables reduced quality of life (OR 49.97, p &lt; 0.001) and start-up pain (OR 12.54, p = 0.028) have an influence on ChatGPT-4’s recommendation for a surgery. Conclusion: This study emphasises ChatGPT-4’s notable potential in diagnosing conditions such as gonarthrosis and coxarthrosis and in aligning its treatment recommendations with those of orthopaedic specialists. However, it is crucial to acknowledge that AI tools such as ChatGPT-4 are not meant to replace the nuanced expertise and clinical judgment of seasoned orthopaedic surgeons, particularly in complex decision-making scenarios regarding treatment indications. Due to the exploratory nature of the study, further research with larger patient populations and more complex diagnoses is necessary to validate the findings and explore the broader potential of AI in healthcare. Level of Evidence: Level III evidence. © 2023, The Author(s).</t>
  </si>
  <si>
    <t>Arthrosis; Artificial intelligence; ChatGPT-4; Large language model; Orthopaedics; Total joint replacement</t>
  </si>
  <si>
    <t>JOTOB</t>
  </si>
  <si>
    <t>J. Orthop. Traumatol.</t>
  </si>
  <si>
    <t>2-s2.0-85178058916</t>
  </si>
  <si>
    <t>A study of generative large language model for medical research and healthcare</t>
  </si>
  <si>
    <t>npj Digital Medicine</t>
  </si>
  <si>
    <t>10.1038/s41746-023-00958-w</t>
  </si>
  <si>
    <t>https://www.scopus.com/inward/record.uri?eid=2-s2.0-85177043166&amp;doi=10.1038%2fs41746-023-00958-w&amp;partnerID=40&amp;md5=f06447139be98245ab7a5d25fb263c56</t>
  </si>
  <si>
    <t>Department of Health Outcomes and Biomedical Informatics, College of Medicine, University of Florida, Gainesville, FL, United States; Cancer Informatics Shared Resource, University of Florida Health Cancer Center, Gainesville, FL, United States; NVIDIA, Santa Clara, CA, United States; Research Computing, University of Florida, Gainesville, FL, United States; Integrated Data Repository Research Services, University of Florida, Gainesville, FL, United States; Lillian S. Wells Department of Neurosurgery, Clinical and Translational Science Institute, University of Florida, Gainesville, FL, United States; Division of Endocrinology, Department of Medicine, College of Medicine, University of Florida, Gainesville, FL, United States; Division of Cardiovascular Medicine, Department of Medicine, College of Medicine, University of Florida, Gainesville, FL, United States</t>
  </si>
  <si>
    <t>There are enormous enthusiasm and concerns in applying large language models (LLMs) to healthcare. Yet current assumptions are based on general-purpose LLMs such as ChatGPT, which are not developed for medical use. This study develops a generative clinical LLM, GatorTronGPT, using 277 billion words of text including (1) 82 billion words of clinical text from 126 clinical departments and approximately 2 million patients at the University of Florida Health and (2) 195 billion words of diverse general English text. We train GatorTronGPT using a GPT-3 architecture with up to 20 billion parameters and evaluate its utility for biomedical natural language processing (NLP) and healthcare text generation. GatorTronGPT improves biomedical natural language processing. We apply GatorTronGPT to generate 20 billion words of synthetic text. Synthetic NLP models trained using synthetic text generated by GatorTronGPT outperform models trained using real-world clinical text. Physicians’ Turing test using 1 (worst) to 9 (best) scale shows that there are no significant differences in linguistic readability (p = 0.22; 6.57 of GatorTronGPT compared with 6.93 of human) and clinical relevance (p = 0.91; 7.0 of GatorTronGPT compared with 6.97 of human) and that physicians cannot differentiate them (p &lt; 0.001). This study provides insights into the opportunities and challenges of LLMs for medical research and healthcare. © 2023, The Author(s).</t>
  </si>
  <si>
    <t>npj Digit. Med.</t>
  </si>
  <si>
    <t>2-s2.0-85177043166</t>
  </si>
  <si>
    <t>Rasul, Tareq (57193616909); Nair, Sumesh (24332757800); Kalendra, Diane (57210913779); Robin, Mulyadi (57194432947); Santini, Fernando de Oliveira (56684504000); Ladeira, Wagner Junior (55176768900); Sun, Mingwei (58355352000); Day, Ingrid (58355997600); Rather, Raouf Ahmad (57199227902); Heathcote, Liz (35434722500)</t>
  </si>
  <si>
    <t>The role of ChatGPT in higher education: Benefits, challenges, and future research directions</t>
  </si>
  <si>
    <t>10.37074/jalt.2023.6.1.29</t>
  </si>
  <si>
    <t>https://www.scopus.com/inward/record.uri?eid=2-s2.0-85162949999&amp;doi=10.37074%2fjalt.2023.6.1.29&amp;partnerID=40&amp;md5=c99d56a6dc7aed575896f231ca95b798</t>
  </si>
  <si>
    <t>Australian Institute of Business (AIB), Adelaide, Australia; Universidade do Vale do Rio dos Sinos (UNISINOS), Sao Leopoldo, Brazil; Scientific Independent Researcher, Anantnag, J&amp;K, India</t>
  </si>
  <si>
    <t>This paper examines the potential benefits and challenges of using the generative AI model, ChatGPT, in higher education, in the backdrop of the constructivist theory of learning. This perspective-type study presents five benefits of ChatGPT: the potential to facilitate adaptive learning, provide personalised feedback, support research and data analysis, offer automated administrative services, and aid in developing innovative assessments. Additionally, the paper identifies five challenges: academic integrity concerns, reliability issues, inability to evaluate and reinforce graduate skill sets, limitations in assessing learning outcomes, and potential biases and falsified information in information processing. The paper argues that tertiary educators and students must exercise caution when using ChatGPT for academic purposes to ensure its ethical, reliable, and effective use. To achieve this, the paper proposes various propositions, such as prioritising education on the responsible and ethical use of ChatGPT, devising new assessment strategies, addressing bias and falsified information, and including AI literacy as part of graduate skills. By balancing the potential benefits and challenges, ChatGPT can enhance students’ learning experiences in higher education. © 2023. Tareq Rasul, Sumesh Nair, Diane Kalendra, Mulyadi Robin, Fernando de Oliveira Santini, Wagner Junior Ladeira, Mingwei Sun, Ingrid Day, Raouf Ahmad Rather, and Liz Heathcote.</t>
  </si>
  <si>
    <t>Academic integrity; ChatGPT; constructivist theory of learning; generative AI; higher education; Large Language Model (LLM)</t>
  </si>
  <si>
    <t>2-s2.0-85162949999</t>
  </si>
  <si>
    <t>From "Ban It Till We Understand It" to "Resistance is Futile": How University Programming Instructors Plan to Adapt as More Students Use AI Code Generation and Explanation Tools such as ChatGPT and GitHub Copilot</t>
  </si>
  <si>
    <t>10.1145/3568813.3600138</t>
  </si>
  <si>
    <t>https://www.scopus.com/inward/record.uri?eid=2-s2.0-85170635424&amp;doi=10.1145%2f3568813.3600138&amp;partnerID=40&amp;md5=0e425afccbff85f13197ad17ea92bce6</t>
  </si>
  <si>
    <t>Over the past year (2022-2023), recently-released AI tools such as ChatGPT and GitHub Copilot have gained significant attention from computing educators. Both researchers and practitioners have discovered that these tools can generate correct solutions to a variety of introductory programming assignments and accurately explain the contents of code. Given their current capabilities and likely advances in the coming years, how do university instructors plan to adapt their courses to ensure that students still learn well? To gather a diverse sample of perspectives, we interviewed 20 introductory programming instructors (9 women + 11 men) across 9 countries (Australia, Botswana, Canada, Chile, China, Rwanda, Spain, Switzerland, United States) spanning all 6 populated continents. To our knowledge, this is the first empirical study to gather instructor perspectives about how they plan to adapt to these AI coding tools that more students will likely have access to in the future. We found that, in the short-term, many planned to take immediate measures to discourage AI-assisted cheating. Then opinions diverged about how to work with AI coding tools longer-term, with one side wanting to ban them and continue teaching programming fundamentals, and the other side wanting to integrate them into courses to prepare students for future jobs. Our study findings capture a rare snapshot in time in early 2023 as computing instructors are just starting to form opinions about this fast-growing phenomenon but have not yet converged to any consensus about best practices. Using these findings as inspiration, we synthesized a diverse set of open research questions regarding how to develop, deploy, and evaluate AI coding tools for computing education. © 2023 Owner/Author.</t>
  </si>
  <si>
    <t>AI coding tools; ChatGPT; Copilot; instructor perspectives; LLM</t>
  </si>
  <si>
    <t>Education computing; AI coding tool; ChatGPT; Codegeneration; Coding tools; Copilot; Correct solution; Instructor perspective; Introductory programming; LLM; Programming assignments; Students</t>
  </si>
  <si>
    <t>2-s2.0-85170635424</t>
  </si>
  <si>
    <t>“Knock, Knock::: Who’s There?” ChatGPT and Artificial Intelligence-Powered Large Language Models: Reflections on Potential Impacts Within Health and Physical Education Teacher Education</t>
  </si>
  <si>
    <t>Journal of Teaching in Physical Education</t>
  </si>
  <si>
    <t>10.1123/jtpe.2023-0058</t>
  </si>
  <si>
    <t>https://www.scopus.com/inward/record.uri?eid=2-s2.0-85165202171&amp;doi=10.1123%2fjtpe.2023-0058&amp;partnerID=40&amp;md5=15fd4a255834a060e3fd76659bcc511a</t>
  </si>
  <si>
    <t>Department of Kinesiology, University of New Hampshire, Durham, NH, United States; School of Education, George Mason University, Fairfax, VA, United States; Department of Kinesiology, Towson University, Towson, MD, United States; Institute of Educational Technology, Open University, Milton Keynes, United Kingdom; School of Kinesiology and Recreation, Illinois State University, Normal, IL, United States</t>
  </si>
  <si>
    <t>This research note suggests the emergence of Artificial Intelligence-powered chatbots like ChatGPT pose challenges to the future of higher education. We as a field should pay attention to issues and opportunities associated with this technology across learning, teaching, and research spaces. We propose ignoring, or being indifferent to, predictions about what technologies like Artificial Intelligence-powered chatbots can do can cause us to do “dumb things.” All health and physical education teacher education faculty members should make efforts to learn about these tools to facilitate informed, solution-focused decisions about whether and where to leverage them. We highlight the importance of maintaining sociocritical perspectives when considering use of digital technologies to understand and address digital (in)equity and promote equitable practices. We conclude by emphasizing the need for field-specific consensus statements to guide ethical and appropriate use of Artificial Intelligence-powered chatbots, to ensure the value of these tools is harnessed for the good of the society. [Output by ChatGPT-3] © 2023 Human Kinetics, Inc.</t>
  </si>
  <si>
    <t>chatbots; digital technology; ethics; higher education; OpenAI</t>
  </si>
  <si>
    <t>Human Kinetics Publishers Inc.</t>
  </si>
  <si>
    <t>J. Teach. Phys. Educ.</t>
  </si>
  <si>
    <t>2-s2.0-85165202171</t>
  </si>
  <si>
    <t>Calonge, David Santandreu (55091052400); Smail, Linda (20434345600); Kamalov, Firuz (55821119700)</t>
  </si>
  <si>
    <t>Enough of the chit-chat: A comparative analysis of four AI chatbots for calculus and statistics</t>
  </si>
  <si>
    <t>10.37074/jalt.2023.6.2.22</t>
  </si>
  <si>
    <t>https://www.scopus.com/inward/record.uri?eid=2-s2.0-85178945661&amp;doi=10.37074%2fjalt.2023.6.2.22&amp;partnerID=40&amp;md5=cb48d94daafc9f0113df572a7b748f6a</t>
  </si>
  <si>
    <t>Department of Academic Development, Mohamed bin Zayed University of Artificial Intelligence, Abu Dhabi, United Arab Emirates; College of Interdisciplinary Studies, Zayed University, Dubai, United Arab Emirates; School of Engineering, Applied Science and Technology, Canadian University, Dubai, United Arab Emirates</t>
  </si>
  <si>
    <t>This article presents a comparative analysis of four AI chatbots with potential utilization in the fields of mathematics education and statistics, namely ChatGPT, GPT-4, Bard, and LLaMA. Our objective is to evaluate and compare the features, functionalities, and potential applications of these platforms within the domains of calculus and statistics. By examining their strengths and limitations, this study aims to provide insights into the selection and implementation of AI chatbots in calculus and statistics to enhance student learning. The results of the comparative analysis reveal that, while not perfect, GPT-4 outperforms ChatGPT, Bard, and LLaMA as a learning tool in calculus and statistics. Findings also reveal that chatbots may have a positive transformational impact on higher education. © 2023 David Santandreu Calonge, Linda Smail and Firuz Kamalov..</t>
  </si>
  <si>
    <t>AI chatbots; Bard; calculus; ChatGPT; comparative analysis; GPT-4; Large Language Models (LLMs); LlaMA; statistics; student learning</t>
  </si>
  <si>
    <t>2-s2.0-85178945661</t>
  </si>
  <si>
    <t>Moya, Beatriz Antonieta (58707826600); Eaton, Sarah Elaine (57192980851)</t>
  </si>
  <si>
    <t>RELIEVE - Revista Electronica de Investigacion y Evaluacion Educativa</t>
  </si>
  <si>
    <t>M1</t>
  </si>
  <si>
    <t>10.30827/RELIEVE.V29I2.29295</t>
  </si>
  <si>
    <t>https://www.scopus.com/inward/record.uri?eid=2-s2.0-85183095637&amp;doi=10.30827%2fRELIEVE.V29I2.29295&amp;partnerID=40&amp;md5=7904df014f149e320e754bf1f2cf1b72</t>
  </si>
  <si>
    <t>Universidad de Calgary, Canada</t>
  </si>
  <si>
    <t>New developments in the Artificial Intelligence (AI) field allowed the development of Generative Artificial Intelligence (GenAI), capable of creating text resembling what humans can produce. As a result, educators’ concerns in the higher education sector quickly emerged. Many organizations and experts have addressed these concerns through recommendations. In this conceptual paper, we draw from the Integrated Model for Academic Integrity through a Scholarship of Teaching and Learning Lens to examine and stimulate discussion from twelve documents that focus on using GenAI with integrity. We identified recommendations suitable for the individual (micro), the departmental/program (meso), the institutional (macro), and the interinstitutional/ national/ international (mega) levels concerning two core elements of the model: “high-impact professional learning for individuals and groups” and “local-level leadership and microcultures.” Suggestions around the core element “scholarship, research and inquiry” were lacking at the micro and meso levels; likewise, recommendations for the core element “learning spaces, pedagogies, and technologies” were also absent at the meso, macro, and mega levels. We acknowledge that these recommendations focus on learning, involve various stakeholders, and go beyond student conduct, which aligns with current approaches to academic integrity. However, some gaps need further exploration. We highlight the need to develop more specific and practical guidance and resources for educational stakeholders around GenAI issues related to academic integrity, explore how to better support networks and leaders in higher education in creating the conditions for ethical GenAI use, and emphasizing the need for an Equity, Diversity, and Inclusion lens on GenAI. © (2023), (Universidad de Granada). All Rights Reserved.</t>
  </si>
  <si>
    <t>Academic Integrity; Artificial Intelligence; Generative Artificial Intelligence (GenAI); Large Language Models; Scholarship of Teaching and Learning; Systems Approach</t>
  </si>
  <si>
    <t>Universidad de Granada</t>
  </si>
  <si>
    <t>RELIEVE Rev. Electron. Invest. Eval. Educ.</t>
  </si>
  <si>
    <t>2-s2.0-85183095637</t>
  </si>
  <si>
    <t>An exploratory survey about using ChatGPT in education, healthcare, and research</t>
  </si>
  <si>
    <t>PLoS ONE</t>
  </si>
  <si>
    <t>10 October</t>
  </si>
  <si>
    <t>e0292216</t>
  </si>
  <si>
    <t>10.1371/journal.pone.0292216</t>
  </si>
  <si>
    <t>https://www.scopus.com/inward/record.uri?eid=2-s2.0-85173645583&amp;doi=10.1371%2fjournal.pone.0292216&amp;partnerID=40&amp;md5=e860719d51b4d6a3458620982531ac8c</t>
  </si>
  <si>
    <t>Department of Preventive Medicine, Northwestern University Feinberg School of Medicine, Chicago, IL, United States; Division of Pulmonary and Critical Care, Department of Medicine, Northwestern University Feinberg School of Medicine, Chicago, IL, United States; Divisions of General Internal Medicine and Health and Biomedical Informatics, Department of Medicine, Northwestern University Feinberg School of Medicine, Chicago, IL, United States; Center for Medical Education in Digital Health and Data Science, Northwestern University Feinberg School of Medicine, Chicago, IL, United States; Division of Infectious Diseases, Department of Medicine, Northwestern University Feinberg School of Medicine, Chicago, IL, United States; Center for Pathogen Genomics &amp; Microbial Evolution, Northwestern University Feinberg School of Medicine, Chicago, IL, United States; Division of Cardiology, Department of Medicine, Northwestern University Feinberg School of Medicine, Chicago, IL, United States; Bluhm Cardiovascular Center for Artificial Intelligence, Northwestern Medicine, Northwestern University Feinberg School of Medicine, Chicago, IL, United States; Institute for Artificial Intelligence in Medicine, Northwestern University Feinberg School of Medicine, Chicago, IL, United States; Galter Health Sciences Library and Learning Center, Northwestern University Feinberg School of Medicine, Chicago, IL, United States</t>
  </si>
  <si>
    <t>Objective ChatGPT is the first large language model (LLM) to reach a large, mainstream audience. Its rapid adoption and exploration by the population at large has sparked a wide range of discussions regarding its acceptable and optimal integration in different areas. In a hybrid (virtual and in-person) panel discussion event, we examined various perspectives regarding the use of ChatGPT in education, research, and healthcare. Materials and methods We surveyed in-person and online attendees using an audience interaction platform (Slido). We quantitatively analyzed received responses on questions about the use of ChatGPT in various contexts. We compared pairwise categorical groups with a Fisher’s Exact. Furthermore, we used qualitative methods to analyze and code discussions. Results We received 420 responses from an estimated 844 participants (response rate 49.7%). Only 40% of the audience had tried ChatGPT. More trainees had tried ChatGPT compared with faculty. Those who had used ChatGPT were more interested in using it in a wider range of contexts going forwards. Of the three discussed contexts, the greatest uncertainty was shown about using ChatGPT in education. Pros and cons were raised during discussion for the use of this technology in education, research, and healthcare. Discussion There was a range of perspectives around the uses of ChatGPT in education, research, and healthcare, with still much uncertainty around its acceptability and optimal uses. There were different perspectives from respondents of different roles (trainee vs faculty vs staff). More discussion is needed to explore perceptions around the use of LLMs such as ChatGPT in vital sectors such as education, healthcare and research. Given involved risks and unforeseen challenges, taking a thoughtful and measured approach in adoption would reduce the likelihood of harm. Copyright: © 2023 Hosseini et al. This is an open access article distributed under the terms of the Creative Commons Attribution License, which permits unrestricted use, distribution, and reproduction in any medium, provided the original author and source are credited.</t>
  </si>
  <si>
    <t>Public Library of Science</t>
  </si>
  <si>
    <t>POLNC</t>
  </si>
  <si>
    <t>2-s2.0-85173645583</t>
  </si>
  <si>
    <t>Karunaratne, Thashmee (25822554100); Adesina, Adenike (58753481500)</t>
  </si>
  <si>
    <t>Is it the new Google: Impact of ChatGPT on Students' Information Search Habits</t>
  </si>
  <si>
    <t>Proceedings of the European Conference on e-Learning, ECEL</t>
  </si>
  <si>
    <t>2023-October</t>
  </si>
  <si>
    <t>https://www.scopus.com/inward/record.uri?eid=2-s2.0-85179140528&amp;partnerID=40&amp;md5=8867593bc785a91e26c9ae718f62c61a</t>
  </si>
  <si>
    <t>Department of Computer and Systems Sciences, Stockholm University, Kista, Sweden</t>
  </si>
  <si>
    <t>The traditional subject of information search and retrieval (IR) paradigm shifted to an entirely new era since artificial intelligence (AI) techniques were introduced into the field. Browser-based IR solutions powered by AI for personalised recommendations-based information retrieval, such as the Google search engine, were one of the early examples. The IR field has advanced to its next level with the newest conversational applications based on large language model (LLM) techniques. It is becoming clear that Generative Pretrained Transformer (GPT) applications such as ChatGPT will significantly impact information retrieval behaviour in the education sector. Though this application has become widespread in acclaim, no previous study has shown its impact on information seeking and retrieval. However, based on the observation of the fast penetration of this technology and the growth of public interest, a pre-assumption was built that it is essential to investigate if students may also be showing a similar interest in this new tool. Hence, this study is set up to systematically and empirically explore how ChatGPT influences the IR behaviour of students in HEIs. A survey approach is utilised to collect the perceived IR behaviour through a questionnaire administered to 60 students in HEIs. The findings reveal that the tool is already widely known among HEI students. They also perceived the use of the tool in the context of information retrieval and proclaimed its usefulness, acknowledging its efficiency (reduced time) in finding information. Furthermore, the technology has considerably affected the typical use of other conventional information retrieval and search engine tools. On the contrary, 10% of the respondents are less likely to use ChatGPT during information seeking for various reasons, from credibility and relevance to technology infrastructure issues such as connectivity. Although a deeper analysis is required to establish a general conclusion on how and in which ways GPT-based models will override contemporary IR practices, the study outcome provides evidence for a possible behavioural change among HEI students in their IR habits in the future. © 2023 Academic Conferences Limited. All rights reserved.</t>
  </si>
  <si>
    <t>Artificial Intelligence; ChatGPT; Higher Education; Information Retrieval; Student behaviour</t>
  </si>
  <si>
    <t>Artificial intelligence; Education computing; Information retrieval; Information use; Search engines; Artificial intelligence techniques; ChatGPT; Google search engine; Google+; High educations; Information search; Information search and retrieval; Information seeking; Personalized recommendation; Students' behaviors; Students</t>
  </si>
  <si>
    <t>Academic Conferences and Publishing International Limited</t>
  </si>
  <si>
    <t>Proc. Eur. Conf. e-Learn., ECEL</t>
  </si>
  <si>
    <t>2-s2.0-85179140528</t>
  </si>
  <si>
    <t>Extracting an expectation-based lexicon for UD treebanks</t>
  </si>
  <si>
    <t>https://www.scopus.com/inward/record.uri?eid=2-s2.0-85181173161&amp;partnerID=40&amp;md5=c15c590bb3eda41ed7731fcdfa677c08</t>
  </si>
  <si>
    <t>IUSS, P.zza Vittoria 15, Pavia, 27100, Italy</t>
  </si>
  <si>
    <t>In this paper, we present a refinement of the deterministic lexicon extraction algorithm discussed in [1]. This new version is able to infer categorial expectations from any University Dependency (UD) treebank [2] and recast non-trivial backward dependencies in terms of movement operations [3, 4]. The improvements with respect to a preliminary version of the algorithm are related to a more granular definition of the functional categories and a significant reduction in lexical ambiguity. These results might constitute a substantial baseline for (very) large language models assessment in terms of descriptive adequacy [5]. © 2023 Copyright for this paper by its authors. The use permitted unde Creative Commons License Attribution 4.0 International (CC BY 4.0).</t>
  </si>
  <si>
    <t>lexical; lexicon; minimalist grammars; parsing; structural ambiguity; universal dependencies</t>
  </si>
  <si>
    <t>Deterministics; Extraction algorithms; Lexical; Lexicon; Minimalist grammar; Non-trivial; Parsing; Structural ambiguity; Treebanks; Universal dependency; Computational linguistics</t>
  </si>
  <si>
    <t>2-s2.0-85181173161</t>
  </si>
  <si>
    <t>AI-generated feedback on writing: insights into efficacy and ENL student preference</t>
  </si>
  <si>
    <t>10.1186/s41239-023-00425-2</t>
  </si>
  <si>
    <t>https://www.scopus.com/inward/record.uri?eid=2-s2.0-85175095013&amp;doi=10.1186%2fs41239-023-00425-2&amp;partnerID=40&amp;md5=0bcf8ccafacec9619ab054c71d32b06f</t>
  </si>
  <si>
    <t>The question of how generative AI tools, such as large language models and chatbots, can be leveraged ethically and effectively in education is ongoing. Given the critical role that writing plays in learning and assessment within educational institutions, it is of growing importance for educators to make thoughtful and informed decisions as to how and in what capacity generative AI tools should be leveraged to assist in the development of students’ writing skills. This paper reports on two longitudinal studies. Study 1 examined learning outcomes of 48 university English as a new language (ENL) learners in a six-week long repeated measures quasi experimental design where the experimental group received writing feedback generated from ChatGPT (GPT-4) and the control group received feedback from their human tutor. Study 2 analyzed the perceptions of a different group of 43 ENLs who received feedback from both ChatGPT and their tutor. Results of study 1 showed no difference in learning outcomes between the two groups. Study 2 results revealed a near even split in preference for AI-generated or human-generated feedback, with clear advantages to both forms of feedback apparent from the data. The main implication of these studies is that the use of AI-generated feedback can likely be incorporated into ENL essay evaluation without affecting learning outcomes, although we recommend a blended approach that utilizes the strengths of both forms of feedback. The main contribution of this paper is in addressing generative AI as an automatic essay evaluator while incorporating learner perspectives. © 2023, The Author(s).</t>
  </si>
  <si>
    <t>Artificial intelligence; Automated writing evaluation; ChatGPT; Language education</t>
  </si>
  <si>
    <t>2-s2.0-85175095013</t>
  </si>
  <si>
    <t>Slater A.</t>
  </si>
  <si>
    <t>Post-Automation Poetics; or, How Cold-War Computers Discovered Poetry</t>
  </si>
  <si>
    <t>American Literature</t>
  </si>
  <si>
    <t>10.1215/00029831-10575035</t>
  </si>
  <si>
    <t>https://www.scopus.com/inward/record.uri?eid=2-s2.0-85164781783&amp;doi=10.1215%2f00029831-10575035&amp;partnerID=40&amp;md5=9927a03759a4f6e0dec4184a08838933</t>
  </si>
  <si>
    <t>This article examines early Cold War attempts to generate poetry using computers. Set between the end of World War II and the rise of personal computing, computer-generated poetry from this period was shaped not only by artists but also the university lab, the defensecontactor, and the corporation. Computer-generated poetry from this era often participated in the larger project of fostering public conception of the power and prestige of computers. This ethos of “post-automation poetics” was also informed by computer science experiments with computation’s linguistic-processing powers—from machine translation to early AI. This article contextualizes the computer poetry of Alison Knowles, Nanni Balestrini, and others within the scientific concerns of mathematicians like Theo Lutz and linguists like Margaret Masterman. Framed by governmental power, university funding, and corporate ambition, “post-automation poetics” engages with computation’s relevance to literary production: from Cold War mainframes to contemporary large language models (LLMs) like GPT-3. © 2023 by Duke University Press.</t>
  </si>
  <si>
    <t>Artificial intelligence (AI); automation; Cold War poetry; computer poetry; poetry and poetics</t>
  </si>
  <si>
    <t>Duke University Press</t>
  </si>
  <si>
    <t>Am. Lit.</t>
  </si>
  <si>
    <t>2-s2.0-85164781783</t>
  </si>
  <si>
    <t>Is GPT-4 a reliable rater? Evaluating consistency in GPT-4's text ratings</t>
  </si>
  <si>
    <t>10.3389/feduc.2023.1272229</t>
  </si>
  <si>
    <t>https://www.scopus.com/inward/record.uri?eid=2-s2.0-85180183813&amp;doi=10.3389%2ffeduc.2023.1272229&amp;partnerID=40&amp;md5=c2f86985e19ddef0a449cd3b1799e889</t>
  </si>
  <si>
    <t>Faculty of Social and Educational Sciences, University of Passau, Passau, Germany; Faculty of Law, University of Passau, Passau, Germany; Faculty of Computer Science and Mathematics, University of Passau, Passau, Germany</t>
  </si>
  <si>
    <t>This study reports the Intraclass Correlation Coefficients of feedback ratings produced by OpenAI's GPT-4, a large language model (LLM), across various iterations, time frames, and stylistic variations. The model was used to rate responses to tasks related to macroeconomics in higher education (HE), based on their content and style. Statistical analysis was performed to determine the absolute agreement and consistency of ratings in all iterations, and the correlation between the ratings in terms of content and style. The findings revealed high interrater reliability, with ICC scores ranging from 0.94 to 0.99 for different time periods, indicating that GPT-4 is capable of producing consistent ratings. The prompt used in this study is also presented and explained. Copyright © 2023 Hackl, Müller, Granitzer and Sailer.</t>
  </si>
  <si>
    <t>artificial intelligence; feedback; GPT-4; higher education; large language model; prompt engineering</t>
  </si>
  <si>
    <t>2-s2.0-85180183813</t>
  </si>
  <si>
    <t>Prentzas, Jim (55993265400); Sidiropoulou, Maretta (58806756700)</t>
  </si>
  <si>
    <t>Assessing the Use of Open AI Chat-GPT in a University Department of Education</t>
  </si>
  <si>
    <t>14th International Conference on Information, Intelligence, Systems and Applications, IISA 2023</t>
  </si>
  <si>
    <t>10.1109/IISA59645.2023.10345910</t>
  </si>
  <si>
    <t>https://www.scopus.com/inward/record.uri?eid=2-s2.0-85182023490&amp;doi=10.1109%2fIISA59645.2023.10345910&amp;partnerID=40&amp;md5=ec921258bb55368daddd815ddd8961a6</t>
  </si>
  <si>
    <t>Democritus University of Thrace, Dept. of Education Sciences in Early Childhood, Alexandroupolis, Greece</t>
  </si>
  <si>
    <t>ICT tools are often used in education in an effort to provide an added value to teaching, learning, productivity and handling of administrative issues. Artificial Intelligence methods may be integrated in the tools used to enhance their effectiveness. This trend is gaining importance due to the continuous advances in Artificial Intelligence. An Artificial Intelligence tool that has recently gained popularity concerns the OpenAI Chat-GPT. Chat-GPT is designed to generate human-like text responses according to the input it receives. This enables it to engage in conversational interactions with users and generate user-adapted text. This paper concerns work-in-progress about the impact of Chat-GPT usage in a University Department of Education. The research study will involve students enrolled in various courses and staff members. The paper first discusses indicative uses of Chat-GPT in a University Department. It then outlines the goals of the study and also presents preliminary assessment results obtained from senior pre-service teachers enrolled in the undergraduate course 'Creative Writing'. © 2023 IEEE.</t>
  </si>
  <si>
    <t>AI in education; Large language models; Natural language processing; Teacher education; Web-based learning</t>
  </si>
  <si>
    <t>Artificial intelligence; Computer aided instruction; Education computing; Natural language processing systems; Students; Teaching; AI in education; Department of Education; ICT-tools; Language model; Language processing; Large language model; Natural language processing; Natural languages; Teacher education; Web-based-learning; E-learning</t>
  </si>
  <si>
    <t>Int. Conf. Inf., Intell., Syst. Appl., IISA</t>
  </si>
  <si>
    <t>2-s2.0-85182023490</t>
  </si>
  <si>
    <t>AIxEDU 2023 - Proceedings of the 1st International Workshop on High-Performance Artificial Intelligence Systems in Education, co-located with 22nd International Conference of the Italian Association for Artificial Intelligence, AIxIA 2023</t>
  </si>
  <si>
    <t>https://www.scopus.com/inward/record.uri?eid=2-s2.0-85183305391&amp;partnerID=40&amp;md5=d3f84d2571ca7545ef5c236ac4a0328e</t>
  </si>
  <si>
    <t>The proceedings contain 10 papers. The topics discussed include: do not ask what instruction-following large language models can do for teaching; large language models for sustainable assessment and feedback in higher education: towards a pedagogical and technological framework; using ChatGPT to enhance students’ behavior in social media via the moral foundation theory; ai in board game-based learning; EasyDKT: an easy-to-use framework for deep knowledge tracing; developing and validating a multidimensional ai literacy questionnaire: operationalizing ai literacy for higher education; enhancing authentic assessment in higher education: leveraging digital transformation and artificial intelligence; forging tomorrow's education: AI literacy unveiling and the exploration of innovative learning pathways; metaverse and artificial intelligence: towards a pedagogical revolution in hybrid language teaching in a university context; and using artificial intelligence technologies to predict and identify the educational process.</t>
  </si>
  <si>
    <t>2-s2.0-85183305391</t>
  </si>
  <si>
    <t>Perception, performance, and detectability of conversational artificial intelligence across 32 university courses</t>
  </si>
  <si>
    <t>10.1038/s41598-023-38964-3</t>
  </si>
  <si>
    <t>https://www.scopus.com/inward/record.uri?eid=2-s2.0-85168704010&amp;doi=10.1038%2fs41598-023-38964-3&amp;partnerID=40&amp;md5=ce064fbb12c4a5c99418d9595da219b3</t>
  </si>
  <si>
    <t>Division of Science, New York University Abu Dhabi, Abu Dhabi, United Arab Emirates; Division of Social Science, New York University Abu Dhabi, Abu Dhabi, United Arab Emirates; Division of Engineering, New York University Abu Dhabi, Abu Dhabi, United Arab Emirates</t>
  </si>
  <si>
    <t>The emergence of large language models has led to the development of powerful tools such as ChatGPT that can produce text indistinguishable from human-generated work. With the increasing accessibility of such technology, students across the globe may utilize it to help with their school work—a possibility that has sparked ample discussion on the integrity of student evaluation processes in the age of artificial intelligence (AI). To date, it is unclear how such tools perform compared to students on university-level courses across various disciplines. Further, students’ perspectives regarding the use of such tools in school work, and educators’ perspectives on treating their use as plagiarism, remain unknown. Here, we compare the performance of the state-of-the-art tool, ChatGPT, against that of students on 32 university-level courses. We also assess the degree to which its use can be detected by two classifiers designed specifically for this purpose. Additionally, we conduct a global survey across five countries, as well as a more in-depth survey at the authors’ institution, to discern students’ and educators’ perceptions of ChatGPT’s use in school work. We find that ChatGPT’s performance is comparable, if not superior, to that of students in a multitude of courses. Moreover, current AI-text classifiers cannot reliably detect ChatGPT’s use in school work, due to both their propensity to classify human-written answers as AI-generated, as well as the relative ease with which AI-generated text can be edited to evade detection. Finally, there seems to be an emerging consensus among students to use the tool, and among educators to treat its use as plagiarism. Our findings offer insights that could guide policy discussions addressing the integration of artificial intelligence into educational frameworks. © 2023, The Author(s).</t>
  </si>
  <si>
    <t>2-s2.0-85168704010</t>
  </si>
  <si>
    <t>Evaluation of the Performance of Generative AI Large Language Models ChatGPT, Google Bard, and Microsoft Bing Chat in Supporting Evidence-Based Dentistry: Comparative Mixed Methods Study</t>
  </si>
  <si>
    <t>Journal of Medical Internet Research</t>
  </si>
  <si>
    <t>e51580</t>
  </si>
  <si>
    <t>10.2196/51580</t>
  </si>
  <si>
    <t>https://www.scopus.com/inward/record.uri?eid=2-s2.0-85181396069&amp;doi=10.2196%2f51580&amp;partnerID=40&amp;md5=75055e76438ae649744ae2f15ccbf56c</t>
  </si>
  <si>
    <t>School of Dentistry, European University Cyprus, Nicosia, Cyprus; Information Management Systems Institute, ATHENA Research and Innovation Center, Athens, Greece; School of Dentistry, Aristotle University of Thessaloniki, Thessaloniki, Greece; Mohammed Bin Rashid University of Medicine and Health Sciences, Dubai, United Arab Emirates</t>
  </si>
  <si>
    <t>Background: The increasing application of generative artificial intelligence large language models (LLMs) in various fields, including dentistry, raises questions about their accuracy. Objective: This study aims to comparatively evaluate the answers provided by 4 LLMs, namely Bard (Google LLC), ChatGPT-3.5 and ChatGPT-4 (OpenAI), and Bing Chat (Microsoft Corp), to clinically relevant questions from the field of dentistry. Methods: The LLMs were queried with 20 open-type, clinical dentistry-related questions from different disciplines, developed by the respective faculty of the School of Dentistry, European University Cyprus. The LLMs' answers were graded 0 (minimum) to 10 (maximum) points against strong, traditionally collected scientific evidence, such as guidelines and consensus statements, using a rubric, as if they were examination questions posed to students, by 2 experienced faculty members. The scores were statistically compared to identify the best-performing model using the Friedman and Wilcoxon tests. Moreover, the evaluators were asked to provide a qualitative evaluation of the comprehensiveness, scientific accuracy, clarity, and relevance of the LLMs' answers. Results: Overall, no statistically significant difference was detected between the scores given by the 2 evaluators; therefore, an average score was computed for every LLM. Although ChatGPT-4 statistically outperformed ChatGPT-3.5 (P=.008), Bing Chat (P=.049), and Bard (P=.045), all models occasionally exhibited inaccuracies, generality, outdated content, and a lack of source references. The evaluators noted instances where the LLMs delivered irrelevant information, vague answers, or information that was not fully accurate. Conclusions: This study demonstrates that although LLMs hold promising potential as an aid in the implementation of evidence-based dentistry, their current limitations can lead to potentially harmful health care decisions if not used judiciously. Therefore, these tools should not replace the dentist's critical thinking and in-depth understanding of the subject matter. Further research, clinical validation, and model improvements are necessary for these tools to be fully integrated into dental practice. Dental practitioners must be aware of the limitations of LLMs, as their imprudent use could potentially impact patient care. Regulatory measures should be established to oversee the use of these evolving technologies. © 2023 Journal of Medical Internet Research. All rights reserved.</t>
  </si>
  <si>
    <t>AI; artificial intelligence; ChatGPT; clinical decision-making; clinical practice; clinical practice guidelines; dental practice; dental professional; evidence-based dentistry; generative pretrained transformers; Google Bard; large language models; Microsoft Bing</t>
  </si>
  <si>
    <t>J. Med. Internet Res.</t>
  </si>
  <si>
    <t>2-s2.0-85181396069</t>
  </si>
  <si>
    <t>Artificial intelligence chatbots as sources of patient education material for obstructive sleep apnoea: ChatGPT versus Google Bard</t>
  </si>
  <si>
    <t>10.1007/s00405-023-08319-9</t>
  </si>
  <si>
    <t>ChatGPT for Sample-Size Calculation in Sports Medicine and Exercise Sciences: A Cautionary Note</t>
  </si>
  <si>
    <t>International Journal of Sports Physiology and Performance</t>
  </si>
  <si>
    <t>10.1123/ijspp.2023-0109</t>
  </si>
  <si>
    <t>https://www.scopus.com/inward/record.uri?eid=2-s2.0-85169510201&amp;doi=10.1123%2fijspp.2023-0109&amp;partnerID=40&amp;md5=cf05f25c8bebc2df3bb4f5e37e767794</t>
  </si>
  <si>
    <t>Faculty of Medicine of Sousse, University of Sousse, Sousse, Tunisia; High Institute of Sport and Physical Education, Ksar said University of Manouba, Ksar-said, Tunisia; Farhat HACHED Hospital, University of Sousse, Sousse, Tunisia; Primary Health Care Corporation (PHCC), Doha, Qatar; Aspetar, Orthopedic and Sports Medicine Hospital, FIFA Medical Center of Excellence, Doha, Qatar; Research Unit Physical Activity, Sport, and Health, UR18JS01, National Observatory of Sport, Tunis, Tunisia; High Institute of Sport and Physical Education, University of Sfax, Sfax, Tunisia; Service of Physiology and Functional Explorations, Farhat HACHED Hospital, University of Sousse, Sousse, Tunisia</t>
  </si>
  <si>
    <t>To investigate the accuracy of ChatGPT (Chat generative pretrained transformer), a large language model, in calculating sample size for sport-sciences and sports-medicine research studies. Methods: We conducted an analysis on 4 published papers (ie, examples 1–4) encompassing various study designs and approaches for calculating sample size in 3 sport-science and -medicine journals, including 3 randomized controlled trials and 1 survey paper. We provided ChatGPT with all necessary data such as mean, percentage SD, normal deviates (Zα/2 and Z1−β), and study design. Prompting from 1 example has subsequently been reused to gain insights into the reproducibility of the ChatGPT response. Results: ChatGPT correctly calculated the sample size for 1 randomized controlled trial but failed in the remaining 3 examples, including the incorrect identification of the formula in one example of a survey paper. After interaction with ChatGPT, the correct sample size was obtained for the survey paper. Intriguingly, when the prompt from Example 3 was reused, ChatGPT provided a completely different sample size than its initial response. Conclusions: While the use of artificial-intelligence tools holds great promise, it should be noted that it might lead to errors and inconsistencies in sample-size calculations even when the tool is fed with the necessary correct information. As artificial-intelligence technology continues to advance and learn from human feedback, there is hope for improvement in sample-size calculation and other research tasks. However, it is important for scientists to exercise caution in utilizing these tools. Future studies should assess more advanced/powerful versions of this tool (ie, ChatGPT4). © 2023 Human Kinetics Publishers Inc.. All rights reserved.</t>
  </si>
  <si>
    <t>artificial intelligence; effect size; higher education; large language model; methodology; natural language processing; peer review; power; precision; research; sport science; statistics</t>
  </si>
  <si>
    <t>Int. J. Sport Physiol. Perform.</t>
  </si>
  <si>
    <t>2-s2.0-85169510201</t>
  </si>
  <si>
    <t>Cheung, Billy Ho Hung (56516330600); Lau, Gary Kui Kai (58307574200); Wong, Gordon Tin Chun (19637815700); Lee, Elaine Yuen Phin (55330110400); Kulkarni, Dhananjay (55991853500); Seow, Choon Sheong (58584816400); Wong, Ruby (58307574400); Co, Michael Tiong-Hong (54915588000)</t>
  </si>
  <si>
    <t>ChatGPT versus human in generating medical graduate exam multiple choice questions—A multinational prospective study (Hong Kong S. A.R., Singapore, Ireland, and the United Kingdom)</t>
  </si>
  <si>
    <t>8 August</t>
  </si>
  <si>
    <t>e0290691</t>
  </si>
  <si>
    <t>10.1371/journal.pone.0290691</t>
  </si>
  <si>
    <t>https://www.scopus.com/inward/record.uri?eid=2-s2.0-85168979658&amp;doi=10.1371%2fjournal.pone.0290691&amp;partnerID=40&amp;md5=a1be378fa16f3df02388995e5ea9a9f9</t>
  </si>
  <si>
    <t>L.K.S. Faculty of Medicine, University of Hong Kong, Hong Kong, Hong Kong; Department of Surgery, University of Edinburgh, Edinburgh, United Kingdom; Department of Surgery, National University Cancer Institute Singapore, Singapore, Singapore; Department of Surgery, University of Galway, Galway, Ireland</t>
  </si>
  <si>
    <t>Introduction Large language models, in particular ChatGPT, have showcased remarkable language processing capabilities. Given the substantial workload of university medical staff, this study aims to assess the quality of multiple-choice questions (MCQs) produced by ChatGPT for use in graduate medical examinations, compared to questions written by university professoriate staffs based on standard medical textbooks. Methods 50 MCQs were generated by ChatGPT with reference to two standard undergraduate medical textbooks (Harrison’s, and Bailey &amp; Love’s). Another 50 MCQs were drafted by two university professoriate staff using the same medical textbooks. All 100 MCQ were individually numbered, randomized and sent to five independent international assessors for MCQ quality assessment using a standardized assessment score on five assessment domains, namely, appropriateness of the question, clarity and specificity, relevance, discriminative power of alternatives, and suitability for medical graduate examination. Results The total time required for ChatGPT to create the 50 questions was 20 minutes 25 seconds, while it took two human examiners a total of 211 minutes 33 seconds to draft the 50 questions. When a comparison of the mean score was made between the questions constructed by A.I. with those drafted by humans, only in the relevance domain that the A.I. was inferior to humans (A.I.: 7.56 +/- 0.94 vs human: 7.88 +/- 0.52; p = 0.04). There was no significant difference in question quality between questions drafted by A.I. versus humans, in the total assessment score as well as in other domains. Questions generated by A.I. yielded a wider range of scores, while those created by humans were consistent and within a narrower range. Conclusion ChatGPT has the potential to generate comparable-quality MCQs for medical graduate examinations within a significantly shorter time. © 2023 Cheung et al. This is an open access article distributed under the terms of the Creative Commons Attribution License, which permits unrestricted use, distribution, and reproduction in any medium, provided the original author and source are credited.</t>
  </si>
  <si>
    <t>2-s2.0-85168979658</t>
  </si>
  <si>
    <t>Richards Maldonado, Liam (58687019700); Abouzied, Azza (14832214000); Gleason, Nancy W. (57204069130)</t>
  </si>
  <si>
    <t>ReaderQuizzer: Augmenting Research Papers with Just-In-Time Learning Questions to Facilitate Deeper Understanding</t>
  </si>
  <si>
    <t>Proceedings of the ACM Conference on Computer Supported Cooperative Work, CSCW</t>
  </si>
  <si>
    <t>10.1145/3584931.3607494</t>
  </si>
  <si>
    <t>https://www.scopus.com/inward/record.uri?eid=2-s2.0-85176237588&amp;doi=10.1145%2f3584931.3607494&amp;partnerID=40&amp;md5=5e69ed947ec772e53d3fa31b81ca6c87</t>
  </si>
  <si>
    <t>New York University Abu Dhabi, Abu Dhabi, United Arab Emirates</t>
  </si>
  <si>
    <t>Academic reading is a key component of higher education, and serves as a basis for critical thinking, knowledge acquisition and effective communication. Research shows many students struggle with comprehension and analysis tasks with academic texts, despite the central importance of academic reading to success in higher education. Undergraduates and researchers need to internalize dense literature to scaffold their own work upon it. This reading task is time-consuming and difficult to do. Oftentimes, students struggle to actively and critically engage and as a result attain merely a cursory understanding of a paper's contents, or worse, incorrectly interpret the text. How, then, can we provide a means to more easily digest a text while also facilitating meaningful, critical engagement and understanding? This paper locates itself within the broader field of augmented reading interfaces to implement an augmented reading interface that leverages the power of large language models (LLM) to intelligently generate and co-locate comprehension and analysis questions in an academic paper, thereby making the paper more digestible with the end goal of facilitating deeper understanding, and developing critical reading skills. © 2023 ACM.</t>
  </si>
  <si>
    <t>academic papers; augmented reading interfaces; reading comprehension</t>
  </si>
  <si>
    <t>Education computing; Scaffolds; Academic paper; Augmented reading interface; Critical thinking; Effective communication; High educations; Just-in-time learning; Language model; Power; Reading comprehension; Research papers; Students</t>
  </si>
  <si>
    <t>Proc. ACM Conf. Comput. Support. Coop. Work CSCW</t>
  </si>
  <si>
    <t>2-s2.0-85176237588</t>
  </si>
  <si>
    <t>Domain-adapted Large Language Models for Classifying Nuclear Medicine Reports</t>
  </si>
  <si>
    <t>Radiology: Artificial Intelligence</t>
  </si>
  <si>
    <t>e220281</t>
  </si>
  <si>
    <t>10.1148/ryai.220281</t>
  </si>
  <si>
    <t>https://www.scopus.com/inward/record.uri?eid=2-s2.0-85178194951&amp;doi=10.1148%2fryai.220281&amp;partnerID=40&amp;md5=a7b454b7e4a645ff881edd21aa5e0bf8</t>
  </si>
  <si>
    <t>Purpose: To evaluate the impact of domain adaptation on the performance of language models in predicting five-point Deauville scores on the basis of clinical fluorine 18 fluorodeoxyglucose PET/CT reports. Materials and Methods: The authors retrospectively retrieved 4542 text reports and images for fluorodeoxyglucose PET/CT lymphoma examinations from 2008 to 2018 in the University of Wisconsin–Madison institutional clinical imaging database. Of these total reports, 1664 had Deauville scores that were extracted from the reports and served as training labels. The bidirectional encoder representations from transformers (BERT) model and initialized BERT models BioClinicalBERT, RadBERT, and RoBERTa were adapted to the nuclear medicine domain by pretraining using masked language modeling. These domain-adapted models were then compared with the non–domain-adapted versions on the task of five-point Deauville score prediction. The language models were compared against vision models, multimodal vision-language models, and a nuclear medicine physician, with sevenfold Monte Carlo cross-validation. Means and SDs for accuracy are reported, with P values from paired t testing. Results: Domain adaptation improved the performance of all language models (P = .01). For example, BERT improved from 61.3% ± 2.9 (SD) five-class accuracy to 65.7% ± 2.2 (P = .01) following domain adaptation. Domain-adapted RoBERTa (named DA RoBERTa) performed best, achieving 77.4% ± 3.4 five-class accuracy; this model performed similarly to its multimodal counterpart (named Multimodal DA RoBERTa) (77.2% ± 3.2) and outperformed the best vision-only model (48.1% ± 3.5, P ≤ .001). A physician given the task on a subset of the data had a five-class accuracy of 66%. Conclusion: Domain adaptation improved the performance of large language models in predicting Deauville scores in PET/CT reports. © RSNA, 2023.</t>
  </si>
  <si>
    <t>Artificial Intelligence; Convolutional Neural Network (CNN); Deauville; Language Modeling; Lymphoma; Machine Learning; Multimodal Learning; Natural Language Processing; Nuclear Medicine; PET; PET/CT; Transfer Learning; Unsupervised Learning</t>
  </si>
  <si>
    <t>fluorodeoxyglucose f 18; Article; human; language model; lymphoma; machine learning; nuclear medicine; positron emission tomography-computed tomography; sensitivity and specificity</t>
  </si>
  <si>
    <t>Radiology: Art. Int.</t>
  </si>
  <si>
    <t>2-s2.0-85178194951</t>
  </si>
  <si>
    <t>Artificial intelligence in higher education. A protocol paper for a systematic literature review</t>
  </si>
  <si>
    <t>10.37074/jalt.2023.6.2.34</t>
  </si>
  <si>
    <t>https://www.scopus.com/inward/record.uri?eid=2-s2.0-85178952010&amp;doi=10.37074%2fjalt.2023.6.2.34&amp;partnerID=40&amp;md5=ad4a1934bfa831b03701a096d362a8f2</t>
  </si>
  <si>
    <t>Kaplan Singapore, Singapore; Academic Division, Singapore Institute of Management, Singapore; University of Tasmania, Australia</t>
  </si>
  <si>
    <t>Higher education continues to be confronted with significant learning and teaching challenges. Still reeling from the effects of the pandemic, the sector has grappled for the past year with the advent and impact of generative artificial intelligence (AI). Since the introduction of ChatGPT by OpenAI in November 2022, a growing number of studies have discussed AI models and their impacts and influence on higher education. However, the novelty of what we aim to do in a future paper, outlined in the current one, lies in the systematicity of our approach. There is yet to be a study in which a systematic search strategy is developed to critically review extant research longitudinally across all available generative AI chatbot models within higher education. This protocol paper identifies a prospective systematic approach to reviewing the emergent literature. In addition, this protocol paper documents the structural approach to facilitate a systematic literature review. We seek to offer a systematic approach to create an open-access resource to support future learning and teaching scholars to gain timely access to pre-examined literature on different forms of generative AI and their impact on higher education. This protocol paper, as such, offers an approach that can be used to initiate closer scrutiny of the metadata of articles published on AI models in higher education since its initiation in November 2022. We also suggest that the protocol presented in this paper be considered a relevant and rigorous approach for conducting systematic literature reviews in other domains. © 2023, Kaplan Singapore. All rights reserved.</t>
  </si>
  <si>
    <t>Artificial Intelligence (AI); assessments; chatbots; ChatGPT; conversational agents; curriculum design; generative AI; GPT (Generative Pretrained Transformer); higher education; large language models (LLMs); systematic literature review</t>
  </si>
  <si>
    <t>2-s2.0-85178952010</t>
  </si>
  <si>
    <t>ChatGPT’s performance in German OB/GYN exams – paving the way for AI-enhanced medical education and clinical practice</t>
  </si>
  <si>
    <t>Frontiers in Medicine</t>
  </si>
  <si>
    <t>10.3389/fmed.2023.1296615</t>
  </si>
  <si>
    <t>https://www.scopus.com/inward/record.uri?eid=2-s2.0-85180912623&amp;doi=10.3389%2ffmed.2023.1296615&amp;partnerID=40&amp;md5=b7369dd79b93776e2a128f0bd6c2bf6b</t>
  </si>
  <si>
    <t>Department of Gynecology and Obstetrics, Klinikum Rechts der Isar, Technical University Munich (TU), Munich, Germany; Department of Gynecology and Obstetrics, Friedrich–Alexander-University Erlangen–Nuremberg (FAU), Erlangen, Germany; Department of Gynecology and Obstetrics, Bonn University Hospital, Bonn, Germany; Department of Gynecology and Obstetrics, Heidelberg University Hospital, Heidelberg, Germany</t>
  </si>
  <si>
    <t>Background: Chat Generative Pre-Trained Transformer (ChatGPT) is an artificial learning and large language model tool developed by OpenAI in 2022. It utilizes deep learning algorithms to process natural language and generate responses, which renders it suitable for conversational interfaces. ChatGPT’s potential to transform medical education and clinical practice is currently being explored, but its capabilities and limitations in this domain remain incompletely investigated. The present study aimed to assess ChatGPT’s performance in medical knowledge competency for problem assessment in obstetrics and gynecology (OB/GYN). Methods: Two datasets were established for analysis: questions (1) from OB/GYN course exams at a German university hospital and (2) from the German medical state licensing exams. In order to assess ChatGPT’s performance, questions were entered into the chat interface, and responses were documented. A quantitative analysis compared ChatGPT’s accuracy with that of medical students for different levels of difficulty and types of questions. Additionally, a qualitative analysis assessed the quality of ChatGPT’s responses regarding ease of understanding, conciseness, accuracy, completeness, and relevance. Non-obvious insights generated by ChatGPT were evaluated, and a density index of insights was established in order to quantify the tool’s ability to provide students with relevant and concise medical knowledge. Results: ChatGPT demonstrated consistent and comparable performance across both datasets. It provided correct responses at a rate comparable with that of medical students, thereby indicating its ability to handle a diverse spectrum of questions ranging from general knowledge to complex clinical case presentations. The tool’s accuracy was partly affected by question difficulty in the medical state exam dataset. Our qualitative assessment revealed that ChatGPT provided mostly accurate, complete, and relevant answers. ChatGPT additionally provided many non-obvious insights, especially in correctly answered questions, which indicates its potential for enhancing autonomous medical learning. Conclusion: ChatGPT has promise as a supplementary tool in medical education and clinical practice. Its ability to provide accurate and insightful responses showcases its adaptability to complex clinical scenarios. As AI technologies continue to evolve, ChatGPT and similar tools may contribute to more efficient and personalized learning experiences and assistance for health care providers. Copyright © 2023 Riedel, Kaefinger, Stuehrenberg, Ritter, Amann, Graf, Recker, Klein, Kiechle, Riedel and Meyer.</t>
  </si>
  <si>
    <t>artificial intelligence; ChatGPT; machine learning; medical education; obstetrics and gynecology; students</t>
  </si>
  <si>
    <t>accuracy; Article; artificial intelligence; ChatGPT; clinical practice; controlled study; data completeness; gynecology; human; Likert scale; medical education; medical student; multiple choice test; obstetrics; qualitative analysis; validation process</t>
  </si>
  <si>
    <t>2296858X</t>
  </si>
  <si>
    <t>Front. Med.</t>
  </si>
  <si>
    <t>2-s2.0-85180912623</t>
  </si>
  <si>
    <t>DataChat: Prototyping a Conversational Agent for Dataset Search and Visualization</t>
  </si>
  <si>
    <t>Proceedings of the Association for Information Science and Technology</t>
  </si>
  <si>
    <t>10.1002/pra2.820</t>
  </si>
  <si>
    <t>https://www.scopus.com/inward/record.uri?eid=2-s2.0-85174518185&amp;doi=10.1002%2fpra2.820&amp;partnerID=40&amp;md5=f76c4aba8ca96fb51a32be437f0f7799</t>
  </si>
  <si>
    <t>University of Michigan, United States</t>
  </si>
  <si>
    <t>data reuse; dataset search; knowledge graphs; large language model; research data management</t>
  </si>
  <si>
    <t>Computational linguistics; Data visualization; Graph theory; Information management; Information services; Knowledge graph; Search engines; Conversational agents; Data reuse; Dataset search; Knowledge graphs; Language model; Large language model; Learn+; Research data; Research data managements; Reuse; Metadata</t>
  </si>
  <si>
    <t>2-s2.0-85174518185</t>
  </si>
  <si>
    <t>ACM International Conference Proceeding Series</t>
  </si>
  <si>
    <t>ACM Int. Conf. Proc. Ser.</t>
  </si>
  <si>
    <t>Böhm, Karsten (8690366600); Schedlberger, Lisa-Maria (58788941300)</t>
  </si>
  <si>
    <t>The use of Generative AI in the domain of human creations – a case for co-evolution?</t>
  </si>
  <si>
    <t>https://www.scopus.com/inward/record.uri?eid=2-s2.0-85181134921&amp;partnerID=40&amp;md5=9e6d9dfbc3efaa13da3b8e8f8e75c582</t>
  </si>
  <si>
    <t>FH Kufstein Tirol, University of Applied Sciences, Andreas-Hofer-Str. 7, Kufstein, 6330, Austria</t>
  </si>
  <si>
    <t>The appearance and sudden success of generative technologies and, within this domain, Large Language Models (LLMs) have generated many open questions about the benefits and challenges of those technologies and the approaches to deal with them in the future. Put into context, we can see a new level of dialog ability and contextual understanding that is new to the interaction between the human user and the machine. This contribution uses the concept of co-evolution, originally from the biology field, to explore some of the implications of the new technologies, both on an individual and at a collective level. The perspective of co-evolution will be reflected in the application areas of Software Development and for the (higher) Education context to provide detailed insights. © 2023 CEUR-WS. All rights reserved.</t>
  </si>
  <si>
    <t>Co-evolution; Generative Technologies; Higher Education; Human Creativity; Software Development</t>
  </si>
  <si>
    <t>Engineering education; Software design; Application area; Benefit and challenges; Co-evolution; Contextual understanding; Generative technologies; High educations; Human creativity; Human users; Language model; Application programs</t>
  </si>
  <si>
    <t>2-s2.0-85181134921</t>
  </si>
  <si>
    <t>The promise and peril of using a large language model to obtain clinical information: ChatGPT performs strongly as a fertility counseling tool with limitations</t>
  </si>
  <si>
    <t>Fertility and Sterility</t>
  </si>
  <si>
    <t>10.1016/j.fertnstert.2023.05.151</t>
  </si>
  <si>
    <t>https://www.scopus.com/inward/record.uri?eid=2-s2.0-85161630677&amp;doi=10.1016%2fj.fertnstert.2023.05.151&amp;partnerID=40&amp;md5=3d753183ee83a98cf816a106ef3b5c3e</t>
  </si>
  <si>
    <t>Albert Einstein College of Medicine/Montefiore's Institute for Reproductive Medicine and Health, Hartsdale, New York, United States</t>
  </si>
  <si>
    <t>Objective: To compare the responses of the large language model-based “ChatGPT” to reputable sources when given fertility-related clinical prompts. Design: The “Feb 13” version of ChatGPT by OpenAI was tested against established sources relating to patient-oriented clinical information: 17 “frequently asked questions (FAQs)” about infertility on the Centers for Disease Control (CDC) Website, 2 validated fertility knowledge surveys, the Cardiff Fertility Knowledge Scale and the Fertility and Infertility Treatment Knowledge Score, as well as the American Society for Reproductive Medicine committee opinion “optimizing natural fertility.” Setting: Academic medical center. Patient(s): Online AI Chatbot. Intervention(s): Frequently asked questions, survey questions and rephrased summary statements were entered as prompts in the chatbot over a 1-week period in February 2023. Main Outcome Measure(s): For FAQs from CDC: words/response, sentiment analysis polarity and objectivity, total factual statements, rate of statements that were incorrect, referenced a source, or noted the value of consulting providers. For fertility knowledge surveys: Percentile according to published population data. For Committee Opinion: Whether response to conclusions rephrased as questions identified missing facts. Result(s): When administered the CDC's 17 infertility FAQ's, ChatGPT produced responses of similar length (207.8 ChatGPT vs. 181.0 CDC words/response), factual content (8.65 factual statements/response vs. 10.41), sentiment polarity (mean 0.11 vs. 0.11 on a scale of -1 (negative) to 1 (positive)), and subjectivity (mean 0.42 vs. 0.35 on a scale of 0 (objective) to 1 (subjective)). In total, 9 (6.12%) of 147 ChatGPT factual statements were categorized as incorrect, and only 1 (0.68%) statement cited a reference. ChatGPT would have been at the 87th percentile of Bunting's 2013 international cohort for the Cardiff Fertility Knowledge Scale and at the 95th percentile on the basis of Kudesia's 2017 cohort for the Fertility and Infertility Treatment Knowledge Score. ChatGPT reproduced the missing facts for all 7 summary statements from “optimizing natural fertility.” Conclusion(s): A February 2023 version of “ChatGPT” demonstrates the ability of generative artificial intelligence to produce relevant, meaningful responses to fertility-related clinical queries comparable to established sources. Although performance may improve with medical domain-specific training, limitations such as the inability to reliably cite sources and the unpredictable possibility of fabricated information may limit its clinical use. © 2023 The Authors</t>
  </si>
  <si>
    <t>Artificial intelligence; counseling; fertility knowledge; natural language processing; online</t>
  </si>
  <si>
    <t>FESTA</t>
  </si>
  <si>
    <t>Fertil. Steril.</t>
  </si>
  <si>
    <t>2-s2.0-85161630677</t>
  </si>
  <si>
    <t>Is ChatGPT Beneficial to Education? A Holistic Evaluation Framework Based on Intelligent Tutoring Systems</t>
  </si>
  <si>
    <t>10.1109/IISA59645.2023.10345949</t>
  </si>
  <si>
    <t>https://www.scopus.com/inward/record.uri?eid=2-s2.0-85182019187&amp;doi=10.1109%2fIISA59645.2023.10345949&amp;partnerID=40&amp;md5=cadd7471a4188b4b35924184497087a5</t>
  </si>
  <si>
    <t>University of Piraeus, Department of Informatics, Piraeus, Greece</t>
  </si>
  <si>
    <t>The recent launch of ChatGPT by OpenAI has created a profound global impact, initiating deep questions among educators about how it might affect education, syllabi and teaching methods. Currently, the full scope of potential benefits and risks associated with ChatGPT in education remains unclear, given that its impact surpasses the level of preparation educators and institutions may have had for such a pre-trained generative AI tool. While Artificial Intelligence in Education has long been a subject of research, with a particular focus on developing Intelligent Tutoring Systems, the emergence of ChatGPT marks a distinctive advancement in this field. Unlike dedicated Intelligent Tutoring Systems, ChatGPT is readily available to a diverse spectrum of educational stakeholders, including teachers, students, schools, universities, and educational institutions. Scholars have initiated assessments of ChatGPT's effectiveness across various educational disciplines, even though ChatGPT was not explicitly designed for educational purposes. However, the widespread accessibility of ChatGPT, coupled with its extensive knowledge base, necessitates the development of comprehensive evaluation frameworks. In this paper, we introduce a holistic evaluation framework tailored for ChatGPT. This framework takes into account both soft and hard skills, and it is designed to seamlessly incorporate ChatGPT into Intelligent Tutoring Systems, making it suitable for a wide range of educational fields. By establishing a connection between ITS and ChatGPT, as they are both AI tools, we can benefit from the substantial background work achieved by previous research in ITSs to evaluate the educational influence of ChatGPT. © 2023 IEEE.</t>
  </si>
  <si>
    <t>AI in Education; ChatGPT; e-learning; Educational Evaluation Frameworks; educational software; generative AI; Intelligent Tutoring Systems; large language models</t>
  </si>
  <si>
    <t>Education computing; Intelligent vehicle highway systems; Knowledge based systems; Teaching; AI in education; ChatGPT; E - learning; Educational evaluation; Educational evaluation framework; Educational software; Evaluation framework; Generative AI; Intelligent tutoring; Intelligent tutoring system; Language model; Large language model; Tutoring system; Computer aided instruction</t>
  </si>
  <si>
    <t>2-s2.0-85182019187</t>
  </si>
  <si>
    <t>De Paoli S.</t>
  </si>
  <si>
    <t>Performing an Inductive Thematic Analysis of Semi-Structured Interviews With a Large Language Model: An Exploration and Provocation on the Limits of the Approach</t>
  </si>
  <si>
    <t>Social Science Computer Review</t>
  </si>
  <si>
    <t>10.1177/08944393231220483</t>
  </si>
  <si>
    <t>https://www.scopus.com/inward/record.uri?eid=2-s2.0-85179340594&amp;doi=10.1177%2f08944393231220483&amp;partnerID=40&amp;md5=ccb7d6a13e958aff2c0e4f31bba9417b</t>
  </si>
  <si>
    <t>Abertay University, United Kingdom</t>
  </si>
  <si>
    <t>Large Language Models (LLMs) have emerged as powerful generative Artificial Intelligence solutions. This paper presents results and reflections of an experiment done with the LLM GPT 3.5-Turbo to perform an inductive Thematic Analysis (TA). Previous research has worked on conducting deductive analysis. Thematic Analysis is a qualitative method for analysis commonly used in social sciences and it is based on interpretations by the human analyst(s) and the identification of explicit and latent meanings in qualitative data. The paper presents the motivations for attempting this analysis; it reflects on how the six phases to a TA proposed by Braun and Clarke can partially be reproduced with the LLM and it reflects on what are the model’s outputs. The paper uses two datasets of open access semi-structured interviews, previously analysed by other researchers. The first dataset contains interviews with videogame players, and the second is a dataset of interviews with lecturers teaching data science in a University. This paper used the analyses previously conducted on these datasets to compare with the results produced by the LLM. The results show that the model can infer most of the main themes from previous research. This shows that using LLMs to perform an inductive TA is viable and offers a good degree of validity. The discussion offers some recommendations for working with LLMs in qualitative analysis. © The Author(s) 2023.</t>
  </si>
  <si>
    <t>human- AI collaboration; large language models; qualitative research; thematic analysis</t>
  </si>
  <si>
    <t>SAGE Publications Inc.</t>
  </si>
  <si>
    <t>Soc. Sci. Comput. Rev.</t>
  </si>
  <si>
    <t>2-s2.0-85179340594</t>
  </si>
  <si>
    <t>Artificial Intelligence (AI) for Research Lifecycle: Challenges and Opportunities</t>
  </si>
  <si>
    <t>University Library at a New Stage of Social Communications Development. Conference Proceedings</t>
  </si>
  <si>
    <t>10.15802/unilib/2023_294639</t>
  </si>
  <si>
    <t>https://www.scopus.com/inward/record.uri?eid=2-s2.0-85182783744&amp;doi=10.15802%2funilib%2f2023_294639&amp;partnerID=40&amp;md5=a263f311ebb3e4a34a18681eee732fdf</t>
  </si>
  <si>
    <t>National University of Kyiv Mohyla Academy, Kyiv, Ukraine</t>
  </si>
  <si>
    <t>Objective. This article aims to review the progress of AI technologies concerning their potential impact on academia, research processes, scientific communication, and libraries. Methods. AI tools for research lifecycle and their potential impact on academia and libraries were identified from various sources, mostly from the most influential recent scientific publications. Results. AI has become a driving force nowadays, creating both opportunities and challenges. Transformative AI-powered tools, exemplified by advanced models like ChatGPT, Llama-2, Google Bard, Microsoft Bing, and Jasper Chat, among others, find versatile utility across a broad spectrum of contexts, extending their impact to research process and publishing, as well as to librarianship. The enthusiastic embrace of AI in research is tempered by a pervasive concern over the potential for data fabrication, which can significantly compromise ethical standards and academic integrity. There is an urgent need to understand corresponding opportunities, challenges, and dangers. Some aspects of the use of AI tools for different stages of the research lifecycle are considered, and the main advantages and risks are analyzed. Conclusions. AI has the potential to drive innovation and progress in a wide range of fields and possesses significant potential to propel academia and librarianship into both exhilarating and challenging new frontiers. While AI-powered tools represent major advancements and potential to significantly impact academia, scholarly research, publishing, and university libraries. Privacy and bias are just two examples of the ethical considerations that need to be made. © T. O. Yaroshenko, O. I. Iaroshenko, 2023.</t>
  </si>
  <si>
    <t>AI; artificial intelligence; ChatGPT; Llama-2; LLM; research lifecycle; scholarly publishing; scientific communication; аcademic libraries</t>
  </si>
  <si>
    <t>Dnipro National University of Railway Transport named after Academician V. Lazaryan</t>
  </si>
  <si>
    <t>Univ. Libr.New. Stage. Soc. Commun. Dev. Conf. Proc.</t>
  </si>
  <si>
    <t>2-s2.0-85182783744</t>
  </si>
  <si>
    <t>Teaching and assessment of the future today: higher education and AI</t>
  </si>
  <si>
    <t>Microbiology Australia</t>
  </si>
  <si>
    <t>10.1071/MA23036</t>
  </si>
  <si>
    <t>https://www.scopus.com/inward/record.uri?eid=2-s2.0-85171849435&amp;doi=10.1071%2fMA23036&amp;partnerID=40&amp;md5=9fc02f599d81ee4ebc2474221dc0afd2</t>
  </si>
  <si>
    <t>Sheffield Hallam University, Howard Street, Sheffield, S1 1WB, United Kingdom</t>
  </si>
  <si>
    <t>article; artificial intelligence; ChatGPT; data analysis; human; human experiment; learning; problem solving; teaching; tertiary education</t>
  </si>
  <si>
    <t>CSIRO</t>
  </si>
  <si>
    <t>2-s2.0-85171849435</t>
  </si>
  <si>
    <t>Contextualized medication information extraction using Transformer-based deep learning architectures</t>
  </si>
  <si>
    <t>Journal of Biomedical Informatics</t>
  </si>
  <si>
    <t>10.1016/j.jbi.2023.104370</t>
  </si>
  <si>
    <t>https://www.scopus.com/inward/record.uri?eid=2-s2.0-85153577793&amp;doi=10.1016%2fj.jbi.2023.104370&amp;partnerID=40&amp;md5=d19cbfaa222f46f3892e229290c455e5</t>
  </si>
  <si>
    <t>Department of Health Outcomes and Biomedical Informatics, College of Medicine, University of Florida, Gainesville, FL, United States; Cancer Informatics Shared Resource, University of Florida Health Cancer Center, Gainesville, FL, United States</t>
  </si>
  <si>
    <t>Objective: To develop a natural language processing (NLP) system to extract medications and contextual information that help understand drug changes. This project is part of the 2022 n2c2 challenge. Materials and methods: We developed NLP systems for medication mention extraction, event classification (indicating medication changes discussed or not), and context classification to classify medication changes context into 5 orthogonal dimensions related to drug changes. We explored 6 state-of-the-art pretrained transformer models for the three subtasks, including GatorTron, a large language model pretrained using &gt; 90 billion words of text (including &gt; 80 billion words from &gt; 290 million clinical notes identified at the University of Florida Health). We evaluated our NLP systems using annotated data and evaluation scripts provided by the 2022 n2c2 organizers. Results: Our GatorTron models achieved the best F1-scores of 0.9828 for medication extraction (ranked 3rd), 0.9379 for event classification (ranked 2nd), and the best micro-average accuracy of 0.9126 for context classification. GatorTron outperformed existing transformer models pretrained using smaller general English text and clinical text corpora, indicating the advantage of large language models. Conclusion: This study demonstrated the advantage of using large transformer models for contextual medication information extraction from clinical narratives. © 2023</t>
  </si>
  <si>
    <t>Clinical natural language processing; Deep learning; Medication information extraction; Named entity recognition; Text classification</t>
  </si>
  <si>
    <t>Academic Press Inc.</t>
  </si>
  <si>
    <t>JBIOB</t>
  </si>
  <si>
    <t>J. Biomed. Informatics</t>
  </si>
  <si>
    <t>2-s2.0-85153577793</t>
  </si>
  <si>
    <t>Diagnosing psychiatric disorders from history of present illness using a large-scale linguistic model</t>
  </si>
  <si>
    <t>Psychiatry and Clinical Neurosciences</t>
  </si>
  <si>
    <t>10.1111/pcn.13580</t>
  </si>
  <si>
    <t>https://www.scopus.com/inward/record.uri?eid=2-s2.0-85170528194&amp;doi=10.1111%2fpcn.13580&amp;partnerID=40&amp;md5=05262aabe3995a60b1d4d78d4a151439</t>
  </si>
  <si>
    <t>Department of Psychiatry, Nara Medical University, Kashihara, Japan; Graduate School of Science and Technology, Nara Institute of Science and Technology, Ikoma, Japan</t>
  </si>
  <si>
    <t>Aim: Recent advances in natural language processing models are expected to provide diagnostic assistance in psychiatry from the history of present illness (HPI). However, existing studies have been limited, with the target diseases including only major diseases, small sample sizes, or no comparison with diagnoses made by psychiatrists to ensure accuracy. Therefore, we formulated an accurate diagnostic model that covers all psychiatric disorders. Methods: HPIs and diagnoses were extracted from discharge summaries of 2,642 cases at the Nara Medical University Hospital, Japan, from 21 May 2007, to 31 May 31 2021. The diagnoses were classified into 11 classes according to the code from ICD-10 Chapter V. Using UTH-BERT pre-trained on the electronic medical records of the University of Tokyo Hospital, Japan, we predicted the main diagnoses at discharge based on HPIs and compared the concordance rate with the results of psychiatrists. The psychiatrists were divided into two groups: semi-Designated with 3–4 years of experience and Residents with only 2 months of experience. Results: The model's match rate was 74.3%, compared to 71.5% for the semi-Designated psychiatrists and 69.4% for the Residents. If the cases were limited to those correctly answered by the semi-Designated group, the model and the Residents performed at 84.9% and 83.3%, respectively. Conclusion: We demonstrated that the model matched the diagnosis predicted from the HPI with a high probability to the principal diagnosis at discharge. Hence, the model can provide diagnostic suggestions in actual clinical practice. © 2023 The Authors. Psychiatry and Clinical Neurosciences published by John Wiley &amp; Sons Australia, Ltd on behalf of Japanese Society of Psychiatry and Neurology.</t>
  </si>
  <si>
    <t>BERT-based prediction; diagnostic prediction; history of present illness; natural language processing</t>
  </si>
  <si>
    <t>PCNEF</t>
  </si>
  <si>
    <t>Psychiatry Clin. Neurosci.</t>
  </si>
  <si>
    <t>2-s2.0-85170528194</t>
  </si>
  <si>
    <t>THE CRISIS OF ARTIFICIAL INTELLIGENCE: A NEW DIGITAL HUMANITIES CURRICULUM FOR HUMAN-CENTRED AI</t>
  </si>
  <si>
    <t>International Journal of Humanities and Arts Computing</t>
  </si>
  <si>
    <t>10.3366/ijhac.2023.0310</t>
  </si>
  <si>
    <t>https://www.scopus.com/inward/record.uri?eid=2-s2.0-85178898335&amp;doi=10.3366%2fijhac.2023.0310&amp;partnerID=40&amp;md5=d8c0531c3ee849c2ae55737aaa28197c</t>
  </si>
  <si>
    <t>This article outlines what a successful artificial intelligence digital humanities (AI DH) curriculum entails and why it is so critical now. Artificial intelligence is rapidly reshaping our world and is poised to exacerbate long-standing crises including (1) the crisis of higher education and the humanities, (2) the lack of diversity, equity and inclusion (DEI) in computer science and technology fields and (3) the wider social and economic crises facilitated by new technologies. We outline a number of ways in which an AI DH curriculum offers concrete and impactful responses to these many crises. AI DH yields meaningful new avenues of research for the humanities and the humanistic social sciences, and offers new ways that higher education can better prepare students for the world into which they graduate. DEI metrics show how an AI DH curriculum can engage students traditionally underserved by conventional STEM courses. Finally, AI DH educates all students for civic engagement in order to address both the social and economic impacts of emerging AI technologies. This article provides an overview of an AI DH curriculum, the motivating theory behind design decisions, and a detailed look into two sample courses. © Edinburgh University Press 2023.</t>
  </si>
  <si>
    <t>AI alignment; AI curriculum; AI ethics; AI safety; artificial intelligence; computational digital humanities; digital humanities; generative AI; large language models</t>
  </si>
  <si>
    <t>Edinburgh University Press</t>
  </si>
  <si>
    <t>Int. J. Humanit. Arts Comput.</t>
  </si>
  <si>
    <t>2-s2.0-85178898335</t>
  </si>
  <si>
    <t>Performance of ChatGPT on a Radiology Board-style Examination: Insights into Current Strengths and Limitations</t>
  </si>
  <si>
    <t>e230582</t>
  </si>
  <si>
    <t>10.1148/radiol.230582</t>
  </si>
  <si>
    <t>https://www.scopus.com/inward/record.uri?eid=2-s2.0-85163896892&amp;doi=10.1148%2fradiol.230582&amp;partnerID=40&amp;md5=7602f76400ca0128d395017c84084f39</t>
  </si>
  <si>
    <t>Background: ChatGPT is a powerful artificial intelligence large language model with great potential as a tool in medical practice and education, but its performance in radiology remains unclear. Purpose: To assess the performance of ChatGPT on radiology board–style examination questions without images and to explore its strengths and limitations. Materials and Methods: In this exploratory prospective study performed from February 25 to March 3, 2023, 150 multiple-choice questions designed to match the style, content, and difficulty of the Canadian Royal College and American Board of Radiology examinations were grouped by question type (lower-order [recall, understanding] and higher-order [apply, analyze, synthesize] thinking) and topic (physics, clinical). The higher-order thinking questions were further subclassified by type (description of imaging findings, clinical management, application of concepts, calculation and classification, disease associations). ChatGPT performance was evaluated overall, by question type, and by topic. Confidence of language in responses was assessed. Univariable analysis was performed. Results: ChatGPT answered 69% of questions correctly (104 of 150). The model performed better on questions requiring lower-order thinking (84%, 51 of 61) than on those requiring higher-order thinking (60%, 53 of 89) (P = .002). When compared with lower-order questions, the model performed worse on questions involving description of imaging findings (61%, 28 of 46; P = .04), calculation and classification (25%, two of eight; P = .01), and application of concepts (30%, three of 10; P = .01). ChatGPT performed as well on higher-order clinical management questions (89%, 16 of 18) as on lower-order questions (P = .88). It performed worse on physics questions (40%, six of 15) than on clinical questions (73%, 98 of 135) (P = .02). ChatGPT used confident language consistently, even when incorrect (100%, 46 of 46). Conclusion: Despite no radiology-specific pretraining, ChatGPT nearly passed a radiology board–style examination without images; it performed well on lower-order thinking questions and clinical management questions but struggled with higher-order thinking questions involving description of imaging findings, calculation and classification, and application of concepts. © RSNA, 2023.</t>
  </si>
  <si>
    <t>2-s2.0-85163896892</t>
  </si>
  <si>
    <t>Centralized provisioning of large language models for a research community</t>
  </si>
  <si>
    <t>10.1145/3624062.3624147</t>
  </si>
  <si>
    <t>https://www.scopus.com/inward/record.uri?eid=2-s2.0-85178143571&amp;doi=10.1145%2f3624062.3624147&amp;partnerID=40&amp;md5=80d6f5aedf8eec76d08c0299f189674d</t>
  </si>
  <si>
    <t>Arizona State University, Tempe, AZ, United States</t>
  </si>
  <si>
    <t>Local support for large language models (LLMs) in a research community can address unique technological and procedural challenges that arise in an academic setting. Platforms providing multi-GPU nodes, typically found in a centralized computational resource, such as a university datacenter, can manage the large memory footprint of the open-source LLMs. Customizations employing peripheral frameworks help extend the capabilities of these models. Further, the local implementation addresses the protection of researcher IP and control of restricted data sources. This report describes recent efforts toward provisioning this popular new tool and provides guidance for recreating our approach at Arizona State University. © 2023 ACM.</t>
  </si>
  <si>
    <t>HPC; large language models; LLMs; ML/AI; open-source; provisioning; Software engineering</t>
  </si>
  <si>
    <t>Air navigation; Computational linguistics; Open systems; Centralised; HPC; Language model; Large language model; ML/AI; Open-source; Provisioning; Research communities; Open source software</t>
  </si>
  <si>
    <t>2-s2.0-85178143571</t>
  </si>
  <si>
    <t>Computers’ Interpretations of Knowledge Representation Using Pre-Conceptual Schemas: An Approach Based on the BERT and Llama 2-Chat Models</t>
  </si>
  <si>
    <t>Big Data and Cognitive Computing</t>
  </si>
  <si>
    <t>10.3390/bdcc7040182</t>
  </si>
  <si>
    <t>https://www.scopus.com/inward/record.uri?eid=2-s2.0-85180700331&amp;doi=10.3390%2fbdcc7040182&amp;partnerID=40&amp;md5=080cbde132b1783b7bf6bcb375a73c3e</t>
  </si>
  <si>
    <t>Systems Engineering Department, University of Nariño, Pasto, 520001, Colombia; Computer and Decision Science Department, Universidad Nacional de Colombia, Medellín, 050034, Colombia</t>
  </si>
  <si>
    <t>Pre-conceptual schemas are a straightforward way to represent knowledge using controlled language regardless of context. Despite the benefits of using pre-conceptual schemas by humans, they present challenges when interpreted by computers. We propose an approach to making computers able to interpret the basic pre-conceptual schemas made by humans. To do that, the construction of a linguistic corpus is required to work with large language models—LLM. The linguistic corpus was mainly fed using Master’s and doctoral theses from the digital repository of the University of Nariño to produce a training dataset for re-training the BERT model; in addition, we complement this by explaining the elicited sentences in triads from the pre-conceptual schemas using one of the cutting-edge large language models in natural language processing: Llama 2-Chat by Meta AI. The diverse topics covered in these theses allowed us to expand the spectrum of linguistic use in the BERT model and empower the generative capabilities using the fine-tuned Llama 2-Chat model and the proposed solution. As a result, the first version of a computational solution was built to consume the language models based on BERT and Llama 2-Chat and thus automatically interpret pre-conceptual schemas by computers via natural language processing, adding, at the same time, generative capabilities. The validation of the computational solution was performed in two phases: the first one for detecting sentences and interacting with pre-conceptual schemas with students in the Formal Languages and Automata Theory course—the seventh semester of the systems engineering undergraduate program at the University of Nariño’s Tumaco campus. The second phase was for exploring the generative capabilities based on pre-conceptual schemas; this second phase was performed with students in the Object-oriented Design course—the second semester of the systems engineering undergraduate program at the University of Nariño’s Tumaco campus. This validation yielded favorable results in implementing natural language processing using the BERT and Llama 2-Chat models. In this way, some bases were laid for future developments related to this research topic. © 2023 by the authors.</t>
  </si>
  <si>
    <t>computational linguistics; language models; linguistic corpus; pre-conceptual schema</t>
  </si>
  <si>
    <t>Computational linguistics; Curricula; Formal languages; Large dataset; Modeling languages; Natural language processing systems; Students; Computational solutions; Conceptual schemas; Engineering undergraduates; Language model; Language processing; Linguistic corpus; Natural languages; Pre-conceptual schema; Second phase; Undergraduate projects; Knowledge representation</t>
  </si>
  <si>
    <t>Big Data Cogn. Computing</t>
  </si>
  <si>
    <t>2-s2.0-85180700331</t>
  </si>
  <si>
    <t>Kostka, Ilka (57003533400); Toncelli, Rachel (58609182700)</t>
  </si>
  <si>
    <t>Exploring Applications of ChatGPT to English Language Teaching: Opportunities, Challenges, and Recommendations</t>
  </si>
  <si>
    <t>TESL-EJ</t>
  </si>
  <si>
    <t>10.55593/ej.27107int</t>
  </si>
  <si>
    <t>https://www.scopus.com/inward/record.uri?eid=2-s2.0-85171800238&amp;doi=10.55593%2fej.27107int&amp;partnerID=40&amp;md5=a1539d497125a4340f19cb0cefd35d69</t>
  </si>
  <si>
    <t>Northeastern University, United States</t>
  </si>
  <si>
    <t>By utilizing a massive corpus of textual data, large language models can generate unique human-like outputs to questions and interact with users in a natural conversational way. ChatGPT is one such platform, and since it emerged into the public consciousness in November 2022, it has generated both excitement and concern among educators. A growing body of scholarship has considered the pedagogical use of ChatGPT and its ability to enhance teachers' roles (e.g., Kohnke et al., 2023; Rudolph et al., 2023). Scholars have also raised concerns about ChatGPT's impact on academic integrity and scholarly publishing (Teng, 2023). Nonetheless, AI has existed for some time (Holmes &amp; Tuomi, 2022) and, rather than a beginning of the end of education, it may guide educators into an era of pedagogical innovation (Heaven, 2023). In this paper, we explore the role of ChatGPT in English Language Teaching (ELT). We first provide background information about ChatGPT and its functions. We then draw from literature to describe current thinking on its benefits and challenges then describe how we have experimented with ChatGPT at our own university. We conclude by discussing implications for using ChatGPT in ELT and offering recommendations for future directions in teaching and research. © 2023 Editorial Board TESL - EJ. All rights reserved.</t>
  </si>
  <si>
    <t>21st century skills; ChatGPT; English language teaching; generative AI; higher education; human-machine collaboration</t>
  </si>
  <si>
    <t>Editorial Board TESL - EJ</t>
  </si>
  <si>
    <t>2-s2.0-85171800238</t>
  </si>
  <si>
    <t>How AI Responds to Common Lung Cancer Questions: ChatGPT versus Google Bard</t>
  </si>
  <si>
    <t>e230922</t>
  </si>
  <si>
    <t>10.1148/radiol.230922</t>
  </si>
  <si>
    <t>https://www.scopus.com/inward/record.uri?eid=2-s2.0-85163901732&amp;doi=10.1148%2fradiol.230922&amp;partnerID=40&amp;md5=e1f306b1f25390cade2ff928068c7228</t>
  </si>
  <si>
    <t>Background: The recent release of large language models for public use, such as ChatGPT and Google Bard, has opened up a multitude of potential benefits as well as challenges. Purpose: To evaluate and compare the accuracy and consistency of responses generated by publicly available ChatGPT and Google Bard to nonexpert questions related to lung cancer prevention, screening, and terminology commonly used in radiology reports based on the recommendation of Lung Imaging Reporting and Data System (Lung-RADS) version 2022 from the American College of Radiology and the Fleischner Society. Materials and Methods: Forty of the exact same questions were created and presented to ChatGPT-3.5 and Google Bard experimental version as well as Bing and Google search engines by three different authors of this article. Each answer was reviewed by two radiologists for accuracy. Responses were scored as correct, partially correct, incorrect, or unanswered. Consistency was also evaluated among the answers. Here, consistency was defined as the agreement between the three answers provided by ChatGPT-3.5, Google Bard experimental version, and Bing and Google search engines regardless of whether the concept conveyed was correct or incorrect. The accuracy among different tools was evaluated using statistical software. Results: ChatGPT-3.5 answered 120 questions, with 85 (70.8%) correct answers, 14 (11.7%) partially correct answers, and 21 (17.5%) incorrect answers. Google Bard did not answer 23 of the 120 questions (19.2%), while it provided an answer for 97 questions (80.8%). Google Bard’s answers were rated 62 (51.7%) correct, 11 (9.2%) partially correct, and 24 (20%) incorrect. Bing answered 120 questions, with 74 (61.7%) correct answers, 13 (10.8%) partially correct answers, and 33 (27.5%) incorrect answers. Google search engine answered 120 questions, with 66 (55%) correct answers, 27 (22.5%) partially correct answers, and 27 (22.5%) incorrect answers. ChatGPT-3.5 was more likely to provide correct or partially correct answers than Google Bard, by approximately 1.5-fold (odds ratio [OR] = 1.55, P = .004). ChatGPT-3.5 and the Google search engine were more likely to be consistent than Google Bard by approximately seven- and 29-fold (OR = 6.65 [P = .002] for ChatGPT-3.5 and 28.83 [P = .002] for the Google search engine). Conclusion: Although ChatGPT-3.5 had a higher accuracy in comparison with the other tools, neither ChatGPT nor Google Bard or the Bing and Google search engines answered all questions correctly and with 100% consistency. © RSNA, 2023.</t>
  </si>
  <si>
    <t>2-s2.0-85163901732</t>
  </si>
  <si>
    <t>Krüger, Tim (58550679800); Gref, Michael (57200080011)</t>
  </si>
  <si>
    <t>Performance of Large Language Models in a Computer Science Degree Program</t>
  </si>
  <si>
    <t>10.1007/978-3-031-50485-3_40</t>
  </si>
  <si>
    <t>Large language models such as ChatGPT-3.5 and GPT-4.0 are ubiquitous and dominate the current discourse. Their transformative capabilities have led to a paradigm shift in how we interact with and utilize (text-based) information. Each day, new possibilities to leverage the capabilities of these models emerge. This paper presents findings on the performance of different large language models in a university of applied sciences’ undergraduate computer science degree program. Our primary objective is to assess the effectiveness of these models within the curriculum by employing them as educational aids. By prompting the models with lecture material, exercise tasks, and past exams, we aim to evaluate their proficiency across different computer science domains. We showcase the strong performance of current large language models while highlighting limitations and constraints within the context of such a degree program. We found that ChatGPT-3.5 averaged 79.9% of the total score in 10 tested modules, BingAI achieved 68.4%, and LLaMa, in the 65 billion parameter variant, 20%. Despite these convincing results, even GPT-4.0 would not pass the degree program - due to limitations in mathematical calculations. © The Author(s), under exclusive license to Springer Nature Switzerland AG 2024.</t>
  </si>
  <si>
    <t>Large Language Models Only Pass Primary School Exams in Indonesia: A Comprehensive Test on IndoMMLU</t>
  </si>
  <si>
    <t>EMNLP 2023 - 2023 Conference on Empirical Methods in Natural Language Processing, Proceedings</t>
  </si>
  <si>
    <t>https://www.scopus.com/inward/record.uri?eid=2-s2.0-85184799846&amp;partnerID=40&amp;md5=79945fc6d257d7e146234068cbda9d4d</t>
  </si>
  <si>
    <t>Department Natural Language Processing, MBZUAI, United Arab Emirates; Quantic School of Business and Technology, United States; The University of Melbourne, Australia</t>
  </si>
  <si>
    <t>Although large language models (LLMs) are often pre-trained on large-scale multilingual texts, their reasoning abilities and real-world knowledge are mainly evaluated based on English datasets. Assessing LLM capabilities beyond English is increasingly vital but hindered due to the lack of suitable datasets. In this work, we introduce IndoMMLU, the first multi-task language understanding benchmark for Indonesian culture and languages, which consists of questions from primary school to university entrance exams in Indonesia. By employing professional teachers, we obtain 14,981 questions across 64 tasks and education levels, with 46% of the questions focusing on assessing proficiency in the Indonesian language and knowledge of nine local languages and cultures in Indonesia. Our empirical evaluations show that GPT-3.5 only manages to pass the Indonesian primary school level, with limited knowledge of local Indonesian languages and culture. Other smaller models such as BLOOMZ and Falcon perform at even lower levels. ©2023 Association for Computational Linguistics.</t>
  </si>
  <si>
    <t>Computational linguistics; Indonesia; Indonesian languages; Language model; Large-scales; Multi tasks; Multilingual texts; Primary schools; Real-world; Reasoning ability; World knowledge; Large datasets</t>
  </si>
  <si>
    <t>EMNLP - Conf. Empir. Methods Nat. Lang. Process., Proc.</t>
  </si>
  <si>
    <t>2-s2.0-85184799846</t>
  </si>
  <si>
    <t>Drori, Iddo (55941017400); Zhang, Sarah J. (57687137500); Shuttleworth, Reece (57685852500); Zhang, Sarah (58493470100); Tyser, Keith (57997553900); Chin, Zad (57997470000); Lantigua, Pedro (58493660200); Surbehera, Saisamrit (57997553800); Hunter, Gregory (57997298900); Austin, Derek (57764935900); Tang, Leonard (57353687000); Hicke, Yann (57765375300); Simhon, Sage (58493515400); Karnik, Sathwik (57750788600); Granberry, Darnell (58493515500); Udell, Madeleine (55985937900)</t>
  </si>
  <si>
    <t>From Human Days to Machine Seconds: Automatically Answering and Generating Machine Learning Final Exams</t>
  </si>
  <si>
    <t>Proceedings of the ACM SIGKDD International Conference on Knowledge Discovery and Data Mining</t>
  </si>
  <si>
    <t>10.1145/3580305.3599827</t>
  </si>
  <si>
    <t>https://www.scopus.com/inward/record.uri?eid=2-s2.0-85171348783&amp;doi=10.1145%2f3580305.3599827&amp;partnerID=40&amp;md5=81cf215bda0260f61ebc3c94bcbad377</t>
  </si>
  <si>
    <t>MIT, Columbia University, BU, Cambridge, United States; MIT, Cambridge, United States; Boston University, Boston, United States; Harvard University, Cambridge, United States; Columbia University, New York, United States; Cornell University, Ithaca, United States; Stanford University, Stanford, United States</t>
  </si>
  <si>
    <t>A final exam in machine learning at a top institution such as MIT, Harvard, or Cornell typically takes faculty days to write, and students hours to solve. We demonstrate that large language models pass machine learning finals at a human level on finals available online and automatically generate new human-quality final exam questions in seconds. Previous work has developed program synthesis and few-shot learning methods to solve university-level problem set questions in mathematics and STEM courses. In this work, we develop and compare methods that solve final exams, which differ from problem sets in several ways: the questions are longer, have multiple parts, are more complicated, and span a broader set of topics. We curate a dataset and benchmark of questions from machine learning final exams available online and code for answering these questions and generating new questions. We show how to generate new questions from other questions and course notes. For reproducibility and future research on this final exam benchmark, we use automatic checkers for multiple-choice, numeric, and questions with expression answers. A student survey comparing the quality, appropriateness, and difficulty of machine-generated questions with human-written questions shows that across multiple aspects, machine-generated questions are indistinguishable from human-generated questions and are suitable for final exams. We perform ablation studies comparing zero-shot learning with few-shot learning and chain-of-thought prompting using GPT-3, OPT, Codex, and ChatGPT across machine learning topics and find that few-shot learning methods perform best. We highlight the transformative potential of language models to streamline the writing and solution of large-scale assessments, significantly reducing the workload from human days to mere machine seconds. Our results suggest that rather than banning large language models such as ChatGPT in class, instructors should teach students to harness them by asking students meta-questions about correctness, completeness, and originality of the responses generated, encouraging critical thinking in academic studies.  © 2023 Owner/Author.</t>
  </si>
  <si>
    <t>few-shot learning; large language models; machine learning; program synthesis; quantitative reasoning</t>
  </si>
  <si>
    <t>Computational linguistics; Numerical methods; Zero-shot learning; Few-shot learning; Harvard; Human levels; Language model; Large language model; Learning methods; Machine-learning; Problem sets; Program synthesis; Quantitative reasoning; Students</t>
  </si>
  <si>
    <t>Proc. ACM SIGKDD Int. Conf. Knowl. Discov. Data Min.</t>
  </si>
  <si>
    <t>2-s2.0-85171348783</t>
  </si>
  <si>
    <t>Olney A.M.</t>
  </si>
  <si>
    <t>Olney, Andrew M. (57206567984)</t>
  </si>
  <si>
    <t>Generating multiple choice questions from a textbook: LLMs match human performance on most metrics</t>
  </si>
  <si>
    <t>https://www.scopus.com/inward/record.uri?eid=2-s2.0-85174188888&amp;partnerID=40&amp;md5=0854ac65dacb8eea7d167bfd92538bc1</t>
  </si>
  <si>
    <t>Multiple choice questions are traditionally expensive to produce. Recent advances in large language models (LLMs) have led to fine-tuned LLMs that generate questions competitive with human-authored questions. However, the relative capabilities of ChatGPT-family models have not yet been established for this task. We present a carefully-controlled human evaluation of three conditions: a fine-tuned, augmented version of Macaw, instruction-tuned Bing Chat with zero-shot prompting, and human-authored questions from a college science textbook. Our results indicate that on six of seven measures tested, both LLM's performance was not significantly different from human performance. Analysis of LLM errors further suggests that Macaw and Bing Chat have different failure modes for this task: Macaw tends to repeat answer options whereas Bing Chat tends to not include the specified answer in the answer options. For Macaw, removing error items from analysis results in performance on par with humans for all metrics; for Bing Chat, removing error items improves performance but does not reach human-level performance. © 2023 Copyright for this paper by its authors. Use permitted under Creative Commons License Attribution 4.0 International (CC BY 4.0).</t>
  </si>
  <si>
    <t>Bing Chat; LLM; Macaw; multiple choice; question generation</t>
  </si>
  <si>
    <t>Textbooks; Zero-shot learning; Bing chat; Human evaluation; Human performance; Language model; Large language model; Macaw; Multiple choice; Multiple-choice questions; Performance; Question generation; Errors</t>
  </si>
  <si>
    <t>2-s2.0-85174188888</t>
  </si>
  <si>
    <t>Perkins M.</t>
  </si>
  <si>
    <t>Perkins, Mike (56002001000)</t>
  </si>
  <si>
    <t>Academic Integrity considerations of AI Large Language Models in the post-pandemic era: ChatGPT and beyond</t>
  </si>
  <si>
    <t>Journal of University Teaching and Learning Practice</t>
  </si>
  <si>
    <t>10.53761/1.20.02.07</t>
  </si>
  <si>
    <t>https://www.scopus.com/inward/record.uri?eid=2-s2.0-85149335662&amp;doi=10.53761%2f1.20.02.07&amp;partnerID=40&amp;md5=c8f9de268ebf80409260408166dbdfef</t>
  </si>
  <si>
    <t>British University Vietnam, Viet Nam</t>
  </si>
  <si>
    <t>This paper explores the academic integrity considerations of students’ use of Artificial Intelligence (AI) tools using Large Language Models (LLMs) such as ChatGPT in formal assessments. We examine the evolution of these tools, and highlight the potential ways that LLMs can support in the education of students in digital writing and beyond, including the teaching of writing and composition, the possibilities of co-creation between humans and AI, supporting EFL learners, and improving Automated Writing Evaluations (AWE). We describe and demonstrate the potential that these tools have in creating original, coherent text that can avoid detection by existing technological methods of detection and trained academic staff alike, demonstrating a major academic integrity concern related to the use of these tools by students. Analysing the various issues related to academic integrity that LLMs raise for both Higher Education Institutions (HEIs) and students, we conclude that it is not the student use of any AI tools that defines whether plagiarism or a breach of academic integrity has occurred, but whether any use is made clear by the student. Deciding whether any particular use of LLMs by students can be defined as academic misconduct is determined by the academic integrity policies of any given HEI, which must be updated to consider how these tools will be used in future educational environments. Practitioner Notes 1. Students now have easy access to advanced Artificial Intelligence based tools such as ChatGPT. These tools use Large Language Models (LLMs) and can be used to create original written content that students may use in their assessments. 2. These tools can be accessed using commercial services built on this software, often targeted to students as a means of ‘assisting’ students with assessments. 3. The output created by these LLMs is coherent enough for it not to be detected by academic staff members, or traditional text-matching software used to detect plagiarism, but falsified references may hint at their use if unchanged by students. 4. The use of these tools may not necessarily be considered as plagiarism if students are transparent in how they have been used in any submission, however it may be a breach of academic integrity policies of any given Higher Education Institution (HEI). 5. There are legitimate uses of these tools in supporting the education of students, meaning HEIs must carefully consider how policies dealing with student use of this software are created. © 2023, University of Wollongong. All rights reserved.</t>
  </si>
  <si>
    <t>Artificial Intelligence; ChatGPT; GPT-3; Large Language Models; plagiarism</t>
  </si>
  <si>
    <t>University of Wollongong</t>
  </si>
  <si>
    <t>J. Univ. Teach. Learn. Pract.</t>
  </si>
  <si>
    <t>2-s2.0-85149335662</t>
  </si>
  <si>
    <t>Prototyping a Virtual Tutor with Modular Teaching Styles</t>
  </si>
  <si>
    <t>Lecture Notes in Informatics (LNI), Proceedings - Series of the Gesellschaft fur Informatik (GI)</t>
  </si>
  <si>
    <t>P-338</t>
  </si>
  <si>
    <t>10.18420/delfi2023-56</t>
  </si>
  <si>
    <t>https://www.scopus.com/inward/record.uri?eid=2-s2.0-85178629352&amp;doi=10.18420%2fdelfi2023-56&amp;partnerID=40&amp;md5=cde6fd032156d8896ee7284625135985</t>
  </si>
  <si>
    <t>FernUniversität Hagen, Data Science, Universitätsstr. 11, Hagen, 58097, Germany</t>
  </si>
  <si>
    <t>Digitization and artificial intelligence (AI) have entered education in several different ways. While the current development of large language models enables students to access vast knowledge, virtual tutors offer a more tailored approach and better support for time-independent and individualized learning. As several AI systems have become more common in higher education, we developed a concept to implement a virtual tutor with different teaching styles, using the conversational AI platform Rasa. This tutor teaches students basic Exploratory Data Analysis in linear, free, and modular learning phases. In the future, we will conduct comprehensive studies to determine the ability of the virtual tutor to support successful learning. © 2023 Gesellschaft fur Informatik (GI). All rights reserved.</t>
  </si>
  <si>
    <t>chatbot; learning analytics; learning phases; NLP; Rasa Framework; Virtual Tutor</t>
  </si>
  <si>
    <t>E-learning; Education computing; Software prototyping; 'current; Chatbots; Digitisation; Language model; Learning analytic; Learning phasis; Modular teachings; Rasa framework; Teaching styles; Virtual tutors; Students</t>
  </si>
  <si>
    <t>Gesellschaft fur Informatik (GI)</t>
  </si>
  <si>
    <t>Lect. Notes Informatics (LNI), Proc. - Series Ges. Inform. (GI)</t>
  </si>
  <si>
    <t>2-s2.0-85178629352</t>
  </si>
  <si>
    <t>Generative AI and the Automating of Academia</t>
  </si>
  <si>
    <t>Postdigital Science and Education</t>
  </si>
  <si>
    <t>10.1007/s42438-023-00440-6</t>
  </si>
  <si>
    <t>https://www.scopus.com/inward/record.uri?eid=2-s2.0-85175797450&amp;doi=10.1007%2fs42438-023-00440-6&amp;partnerID=40&amp;md5=89551ebb3288297b712567b2d20f08a1</t>
  </si>
  <si>
    <t>Centre for Higher Education Transformations, School of Education, University of Bristol, Bristol, United Kingdom; JISC and Keele Institute for Innovation and Teaching Excellence, Keele University, Keele, United Kingdom; Munster Technological University, Cork, Ireland; School of Education, University of Bristol, Bristol, United Kingdom</t>
  </si>
  <si>
    <t>The neoliberal transformation of higher education in the UK and an intertwined focus on the productive efficiency and prestige value of universities has led to an epidemic of overwork and precarity among academics. Many are found to be struggling with lofty performance expectations and an insistence that all dimensions of their work consistently achieve positional gains despite ferocious competition and the omnipresent threat of failure. Working under the current audit culture present across education, academics are thus found to overwork or commit to accelerated labour as pre-emptive compensation for the habitual inclemency of peer-review and vagaries of student evaluation, in accommodating the copiousness of ‘invisible’ tasks, and in eluding the myriad crevasses of their precarious labour. The proliferation of generative artificial intelligence (GAI) tools and more specifically, large language models (LLMs) like ChatGPT, offers potential relief for academics and a means to offset intensive demands and discover more of a work-based equilibrium. Through a recent survey of n = 284 UK academics and their use of GAI, we discover, however, that the digitalisation of higher education through GAI tools no more alleviates than extends the dysfunctions of neoliberal logic and deepens academia’s malaise. Notwithstanding, we argue that the proliferating use of GAI tools by academics may be harnessed as a source of positive disruption to the industrialisation of their labour and catalyst of (re)engagement with scholarly craftsmanship. © 2023, The Author(s).</t>
  </si>
  <si>
    <t>Academia; GAI; Generative artificial intelligence; Postdigital; Scholarly craftsmanship; Slow scholarship; Work intensification</t>
  </si>
  <si>
    <t>Springer International Publishing</t>
  </si>
  <si>
    <t>2524485X</t>
  </si>
  <si>
    <t>Postdigit Sci Educ</t>
  </si>
  <si>
    <t>2-s2.0-85175797450</t>
  </si>
  <si>
    <t>Feehily R.</t>
  </si>
  <si>
    <t>Problem-based learning and international commercial dispute resolution in the Indian Ocean</t>
  </si>
  <si>
    <t>Law Teacher</t>
  </si>
  <si>
    <t>10.1080/03069400.2016.1273457</t>
  </si>
  <si>
    <t>https://www.scopus.com/inward/record.uri?eid=2-s2.0-85011298679&amp;doi=10.1080%2f03069400.2016.1273457&amp;partnerID=40&amp;md5=e4c1bf11aee6cf512b584356faf1275f</t>
  </si>
  <si>
    <t>Middlesex University (Mauritius Branch Campus), Vacoas-Phoenix, Mauritius; Durham University, Durham, DH1 3LE, United Kingdom</t>
  </si>
  <si>
    <t>One of the primary challenges for a law lecturer is to take students beyond their own assumptions about the parameters of a subject and provide them with new opportunities for exploration and a broader vision to enhance learning. A significant feature of law as a discipline of study in higher education that has the potential to impact on the curriculum and the way in which it is taught is the academic/ vocational divide. Problem-based learning (PBL) activities make classroom settings unpredictable and surprising, and learning to deal with such uncertainty prepares students for one of the most crucial aspects of professional life: the ability to make judgements in a context of uncertainty. This article analyses the integration of PBL within an LLM module on International Commercial Dispute Resolution. The logic of using PBL in this module is to ensure that the more abstract and less engaging aspects of the course are learned in relation to a close involvement with problems that are highly relevant to students’ more concrete ideas of what the course is about and what competence would mean within it. The experience of the students with the PBL activities, captured in reflective narratives and anonymous questionnaires, is also discussed. © 2017 The Association of Law Teachers.</t>
  </si>
  <si>
    <t>Dispute resolution; Problem-based learning</t>
  </si>
  <si>
    <t>Law Teach.</t>
  </si>
  <si>
    <t>2-s2.0-85011298679</t>
  </si>
  <si>
    <t>Selection of foreign language teaching content in Russian Master of Laws (LLM) graduate programs</t>
  </si>
  <si>
    <t>Journal of Research in Applied Linguistics</t>
  </si>
  <si>
    <t>Special Issue</t>
  </si>
  <si>
    <t>https://www.scopus.com/inward/record.uri?eid=2-s2.0-85076577462&amp;partnerID=40&amp;md5=a4a806b44a3645b40db677be8b77b356</t>
  </si>
  <si>
    <t>The English Language Department, Faculty of Linguistics and Intercultural Communication, MGIMO University (Odintsovo branch), Moscow, Russian Federation; Foreign Languages Department, Institute for Economics, Management and Social Technologies, Kazan National Research Technical University named after A.N. Tupolev-KAI, Kazan, Russian Federation; Department of Contrastive Linguistics, Institute of Philology and Intercultural Communication, Kazan Federal University, Kazan, Russian Federation</t>
  </si>
  <si>
    <t>Master's degree was integrated into the system of Russian Higher Education several decades ago, however, teaching foreign languages at this level still needs further analysis including the postgraduate law students training. The article investigates the principal components of foreign language teaching in Master of laws Graduate Programs (considering the case of the English language) on the bases of various methods: the analysis of related regulatory and standard-setting documents, linguistic analysis of legal texts; content analysis of textbooks and other resources; methods of analysis and synthesis, classification and descriptive methods, theoretical analysis of methodological and applied research literature. As a result of the study the basic teaching content components were revealed, including linguistic and speech material; professional, linguistic, intercultural knowledge; the corresponding reproductive and productive skills. The findings reflect the factors of content-setting of LLM graduate programs concerning graduates' professional activity (law making, law enforcement, expert, consulting, organizational, managerial, research and pedagogical issues), professional duties; purposes and teaching duration; requirements as for the training output by federal educational standards. © 2019, RALs.</t>
  </si>
  <si>
    <t>Foreign language teaching; Master of laws programs; Teaching content components</t>
  </si>
  <si>
    <t>Shahid Chamran University of Ahvaz</t>
  </si>
  <si>
    <t>J. Res. Appl. Linguist. Stud.</t>
  </si>
  <si>
    <t>2-s2.0-85076577462</t>
  </si>
  <si>
    <t>Acceptance and User Needs of Coaching Chatbots: An Empirical Analysis of a StudiCoachBot’s Conversation Histories</t>
  </si>
  <si>
    <t>14060 LNCS</t>
  </si>
  <si>
    <t>10.1007/978-3-031-48060-7_14</t>
  </si>
  <si>
    <t>https://www.scopus.com/inward/record.uri?eid=2-s2.0-85178519980&amp;doi=10.1007%2f978-3-031-48060-7_14&amp;partnerID=40&amp;md5=9616a9c8fa743a492b98b93afc93512a</t>
  </si>
  <si>
    <t>TH Köln/University of Applied Sciences, Cologne, Germany</t>
  </si>
  <si>
    <t>As technology advances, AI-based coaching continues to offer new opportunities in supporting humans. The StudiCoachBot of TH Koeln/University of Applied Sciences is a coaching chatbot, that is designed to support students with exam anxiety through low-threshold self-reflection. It is an intent-based AI-supported chatbot and is developed in the Conversational AI framework Rasa. This paper gives insights into how iterative development of coaching chatbots can be a key factor for successful chatbot design in terms of acceptance and user needs. Our study consists of two parts: In the first part, we present the iterative development of our coaching chatbot, consisting of user testings with several hundred test users. In the second part, we present the results from our field test after the chatbot release. We collected and evaluated conversation histories and questionnaires from users for a period of 10 weeks. Our results include the evaluation of 242 conversations and 24 questionnaires. On the one hand, the results provide information about access numbers and rates as well as chatbot coaching topics accessed by users. On the other hand, the data shows high acceptance rates and that users can build a relationship in chatbot coaching (measured via working alliance). However, users perceived naturalness of the conversation only moderate. This is understandable, as our intent-based chatbot only allows us to react flexibly to a limited extent to free user input. In a next iteration, we will therefore improve the conversation with the help of large language models to make it more natural. © 2023, The Author(s), under exclusive license to Springer Nature Switzerland AG.</t>
  </si>
  <si>
    <t>Acceptance; AI-based Coaching; Conversational AI; Social Presence; Working Alliance</t>
  </si>
  <si>
    <t>Acceptance; AI-based coaching; Chatbots; Conversational AI; Empirical analysis; Iterative development; Social presence; Technology advances; User need; Working alliance; Artificial intelligence</t>
  </si>
  <si>
    <t>2-s2.0-85178519980</t>
  </si>
  <si>
    <t>22nd International Conference on Web-based Learning, ICWL 2023</t>
  </si>
  <si>
    <t>14409 LNCS</t>
  </si>
  <si>
    <t>https://www.scopus.com/inward/record.uri?eid=2-s2.0-85178572378&amp;partnerID=40&amp;md5=ea68bd763d1123339ecfb53fa9001bf9</t>
  </si>
  <si>
    <t>The proceedings contain 16 papers. The special focus in this conference is on Web-based Learning. The topics include: Intended Learning Outcomes and Taxonomy Mapping at University Level; mixed Reality Learning Visualizations Using Knowledge Graphs; tracking the Adaptive Learning Process with Topics Ontology; prompting Large Language Models to Power Educational Chatbots; motivating Learners with Gamified Chatbot-Assisted Learning Activities; a Transfer Learning Approach Interaction in an Academic Consortium; AI4T: A Teacher’s Dashboard for Visual Rendering of Students’ Assignments in Massive Open Online Courses; corpus-Based Translation Pedagogy: A Preliminary Case Study; investigating Student Profiles Related to Academic Learning Achievement; graduation Project Monitoring Platform Based on a Personalized Supervision Plan; an Online Tutoring and Assessment System for Teaching Relational Algebra in Database Classes; automatic and Authentic eAssessment of Online Database Design Theory Assignments; from Classroom to Metaverse: A Study on Gamified Constructivist Teaching in Higher Education; exploring the Transformative Potential of Virtual Reality in History Education: A Scoping Review.</t>
  </si>
  <si>
    <t>2-s2.0-85178572378</t>
  </si>
  <si>
    <t>23rd International Conference on Artificial Intelligence in Education, AIED 2022</t>
  </si>
  <si>
    <t>13355 LNCS</t>
  </si>
  <si>
    <t>https://www.scopus.com/inward/record.uri?eid=2-s2.0-85135878417&amp;partnerID=40&amp;md5=8ce5ec3396d4f228e30743edfbb8699c</t>
  </si>
  <si>
    <t>The proceedings contain 208 papers. The special focus in this conference is on Artificial Intelligence in Education. The topics include: Investigating the Effectiveness of Visual Learning Analytics in Active Video Watching; debiasing Politically Motivated Reasoning with Value-Adaptive Instruction; towards Human-Like Educational Question Generation with Large Language Models; towards the Automated Evaluation of Legal Casenote Essays; fully Automated Short Answer Scoring of the Trial Tests for Common Entrance Examinations for Japanese University; machine Learning Techniques to Evaluate Lesson Objectives; towards Generating Counterfactual Examples as Automatic Short Answer Feedback; combining Artificial Intelligence and Edge Computing to Reshape Distance Education (Case Study: K-12 Learners); plausibility and Faithfulness of Feature Attribution-Based Explanations in Automated Short Answer Scoring; a Causal Inference Study on the Effects of First Year Workload on the Dropout Rate of Undergraduates; experts’ View on Challenges and Needs for Fairness in Artificial Intelligence for Education; balancing Fined-Tuned Machine Learning Models Between Continuous and Discrete Variables - A Comprehensive Analysis Using Educational Data; “Teacher, Can You Say It Again?" Improving Automatic Speech Recognition Performance over Classroom Environments with Limited Data; deep Learning or Deep Ignorance? Comparing Untrained Recurrent Models in Educational Contexts; fine-grained Main Ideas Extraction and Clustering of Online Course Reviews; assessing Readability by Filling Cloze Items with Transformers; curriculumTutor: An Adaptive Algorithm for Mastering a Curriculum; pedagogical Agent Support and Its Relationship to Learners’ Self-regulated Learning Strategy Use with an Intelligent Tutoring System; Evaluating AI-Generated Questions: A Mixed-Methods Analysis Using Question Data and Student Perceptions; representing Scoring Rubrics as Graphs for Automatic Short Answer Grading; adaptive Scaffolding in Block-Based Programming via Synthesizing New Tasks as Pop Quizzes; Educational Equity Through Combined Human-AI Personalization: A Propensity Matching Evaluation; eye to Eye: Gaze Patterns Predict Remote Collaborative Problem Solving Behaviors in Triads.</t>
  </si>
  <si>
    <t>2-s2.0-85135878417</t>
  </si>
  <si>
    <t>Paradigm shift: Motivations for qualified legal professionals to undertake academic study</t>
  </si>
  <si>
    <t>10.1080/03069400.2018.1489995</t>
  </si>
  <si>
    <t>https://www.scopus.com/inward/record.uri?eid=2-s2.0-85054863211&amp;doi=10.1080%2f03069400.2018.1489995&amp;partnerID=40&amp;md5=bbc1aac8bacbbd3f5b30143c7d626750</t>
  </si>
  <si>
    <t>The Education Department, Law Society of Ireland, Dublin 7, Ireland; School of Law, Northumbria University, Newcastle on Tyne, United Kingdom; Sheffield Business School, Sheffield Hallam University, Sheffield, United Kingdom</t>
  </si>
  <si>
    <t>This paper considers the factors that motivate qualified legal professionals to undertake a further legal academic programme of study. The paper analyses the findings of a recent study concerning a post-graduate research degree collaboration between Northumbria University (NU) and the Law Society of Ireland (LSI) whereby NU’s longstanding LLM Advanced Legal Practice (LLM ALP) has been offered in Ireland through the LSI (LLM ALP (Ire)). The initial offering of the LLM ALP (Ire) has attracted a significant amount of interest from the profession, prompting the authors to consider (i) the factors that motivate ‘timepoor’ professionals to pursue the academic study of law at the post-professional level and (ii) the potential that such a course of study might have to inform and enrich the students’ practice of law. The LLM ALP (Ire) has attracted a significant amount of more established practitioners, whereas those who generally enrol on the LLM ALP in England are at the early stages of their careers, either enrolled on the Legal Practice Course (LPC) or having only recently qualified. Hence this research is focused on a particular student profile of post-professionals with established careers in legal practice. © 2018 The Association of Law Teachers.</t>
  </si>
  <si>
    <t>Continued professional legal education; Post-professional education; Student motivations</t>
  </si>
  <si>
    <t>2-s2.0-85054863211</t>
  </si>
  <si>
    <t>Li, Jingyue (8273831100); Meland, Per Hakon (19934033100); Notland, Jakob Svennevik (57218932972); Storhaug, Andre (58151088800); Tysse, Jostein Hjortland (58638896200)</t>
  </si>
  <si>
    <t>Evaluating the Impact of ChatGPT on Exercises of a Software Security Course</t>
  </si>
  <si>
    <t>International Symposium on Empirical Software Engineering and Measurement</t>
  </si>
  <si>
    <t>10.1109/ESEM56168.2023.10304857</t>
  </si>
  <si>
    <t>https://www.scopus.com/inward/record.uri?eid=2-s2.0-85178667789&amp;doi=10.1109%2fESEM56168.2023.10304857&amp;partnerID=40&amp;md5=92bba2ae5dd87c083c7df1b1a85660e9</t>
  </si>
  <si>
    <t>Norwegian Univ. of Science and Technology (NTNU), Dept. of Computer Science, Trondheim, Norway; Ntnu, Dept. of Computer Science, Trondheim, Norway</t>
  </si>
  <si>
    <t>Along with the development of large language models (LLMs), e.g., ChatGPT, many existing approaches and tools for software security are changing. It is, therefore, essential to understand how security-aware these models are and how these models impact software security practices and education. In exercises of a software security course at our university, we ask students to identify and fix vulnerabilities we insert in a web application using state-of-the-art tools. After ChatGPT, especially the GPT-4 version of the model, we want to know how the students can possibly use ChatGPT to complete the exercise tasks. We input the vulnerable code to ChatGPT and measure its accuracy in vulnerability identification and fixing. In addition, we investigated whether ChatGPT can provide a proper source of information to support its outputs. Results show that ChatGPT can identify 20 of the 28 vulnerabilities we inserted in the web application in a white-box setting, reported three false positives, and found four extra vulnerabilities beyond the ones we inserted. ChatGPT makes nine satisfactory penetration testing and fixing recommendations for the ten vulnerabilities we want students to fix and can often point to related sources of information.  © 2023 IEEE.</t>
  </si>
  <si>
    <t>artificial intelligence; ChatGPT; IT education; large language models; Software security</t>
  </si>
  <si>
    <t>Application programs; Computational linguistics; Curricula; Education computing; Engineering education; Technology transfer; ChatGPT; IT-education; Language model; Large language model; Security Practice; Security-aware; Software security; Sources of informations; WEB application; Web applications; Students</t>
  </si>
  <si>
    <t>IEEE Computer Society</t>
  </si>
  <si>
    <t>Int. Symp. Empir. Softw. Eng. Meas.</t>
  </si>
  <si>
    <t>2-s2.0-85178667789</t>
  </si>
  <si>
    <t>Li, Yuheng (58449430000); Sha, Lele (57270628400); Yan, Lixiang (57222734702); Lin, Jionghao (57211753281); Raković, Mladen (57190194054); Galbraith, Kirsten (8581449700); Lyons, Kayley (54888691500); Gašević, Dragan (8549413500); Chen, Guanliang (57189380941)</t>
  </si>
  <si>
    <t>Can large language models write reflectively</t>
  </si>
  <si>
    <t>10.1016/j.caeai.2023.100140</t>
  </si>
  <si>
    <t>https://www.scopus.com/inward/record.uri?eid=2-s2.0-85159351677&amp;doi=10.1016%2fj.caeai.2023.100140&amp;partnerID=40&amp;md5=aaa1fa32921117102f16d929976cd642</t>
  </si>
  <si>
    <t>Centre for Learning Analytics, Monash University, Australia; Experiential Development and Graduate Education, Faculty of Pharmacy and Pharmaceutical Sciences, Monash University, Australia; Centre for Digital Transformation of Health, University of Melbourne, Australia</t>
  </si>
  <si>
    <t>Generative Large Language Models (LLMs) demonstrate impressive results in different writing tasks and have already attracted much attention from researchers and practitioners. However, there is limited research to investigate the capability of generative LLMs for reflective writing. To this end, in the present study, we have extensively reviewed the existing literature and selected 9 representative prompting strategies for ChatGPT – the chatbot based on state-of-art generative LLMs to generate a diverse set of reflective responses, which are combined with student-written reflections. Next, those responses were evaluated by experienced teaching staff following a theory-aligned assessment rubric that was designed to evaluate student-generated reflections in several university-level pharmacy courses. Furthermore, we explored the extent to which Deep Learning classification methods can be utilised to automatically differentiate between reflective responses written by students vs. reflective responses generated by ChatGPT. To this end, we harnessed BERT, a state-of-art Deep Learning classifier, and compared the performance of this classifier to the performance of human evaluators and the AI content detector by OpenAI. Following our extensive experimentation, we found that (i) ChatGPT may be capable of generating high-quality reflective responses in writing assignments administered across different pharmacy courses, (ii) the quality of automatically generated reflective responses was higher in all six assessment criteria than the quality of student-written reflections; and (iii) a domain-specific BERT-based classifier could effectively differentiate between student-written and ChatGPT-generated reflections, greatly surpassing (up to 38% higher across four accuracy metrics) the classification performed by experienced teaching staff and general-domain classifier, even in cases where the testing prompts were not known at the time of model training. © 2023 The Authors</t>
  </si>
  <si>
    <t>ChatGPT; Generative language model; Natural language processing; Reflective writing</t>
  </si>
  <si>
    <t>2-s2.0-85159351677</t>
  </si>
  <si>
    <t>Evaluation of a Newly Established Layered Learning Model in an Ambulatory Care Practice Setting</t>
  </si>
  <si>
    <t>Currents in Pharmacy Teaching and Learning</t>
  </si>
  <si>
    <t>10.1016/j.cptl.2018.02.011</t>
  </si>
  <si>
    <t>https://www.scopus.com/inward/record.uri?eid=2-s2.0-85043978744&amp;doi=10.1016%2fj.cptl.2018.02.011&amp;partnerID=40&amp;md5=88acb3366925f65867c75fc7d14fc95e</t>
  </si>
  <si>
    <t>Background and Purpose: Given the need to accommodate overlapping longitudinal Introductory Pharmacy Practice Experience (IPPE) students and Advanced Pharmacy Practice Experience (APPE) students at regular intervals while meeting clinical demands, the opportunity to establish a layered learning model (LLM) became evident at University of Missouri - Kansas City School of Pharmacy. The purpose of this project was to establish an LLM at an ambulatory care site, observe the teaching-learning interactions between IPPE and APPE students, and evaluate student perceptions of the experience. Educational Activity and Setting: The LLM was implemented over the course of three traditional semesters during Spring 2016 through Spring 2017. Clinical services were offered 2.5 days per week. Overlapping student instructional time was established in conjunction with the provision of clinical pharmacy services and the structure of each rotation type. Third-year (P3) IPPE and fourth-year (P4) APPE students, who participated in the LLM at this site, completed a course evaluation pertaining to their experiences. The evaluation focused on APPE and practice readiness, as well as strengths and limitations of the LLM. Findings: All 16 students completed the evaluation (100% response rate). All IPPE students indicated the LLM prepared them for APPEs in either an excellent (n=3, 37.5%) or above average (n=5, 62.5%) manner. Of the APPE students, most indicated the LLM prepared IPPE students for APPEs in an excellent (n=3, 37.5%) or above average (n=4, 50%) manner. Similarly, the majority of APPE students indicated the LLM prepared APPE students for practice in an excellent (n=3, 37.5%) or above average (n=5, 62.5%) manner. In addition, the following common themes developed, which highlight the benefits of the experience: reinforcement of knowledge through instruction, enhanced understanding of APPE expectations, exposure to multiple teaching styles, and creation of a comfortable learning environment. Students suggested the LLM include increased time for interaction with other learners. An LLM involving P3 IPPE and P4 APPE pharmacy students, in an ambulatory care practice setting, was associated with positive student perceptions. Student feedback was best utilized to generate the hypothesis that this LLM may increase both APPE and practice readiness. However, further study is needed to confirm direct cause and effect. © 2018 Elsevier Inc.</t>
  </si>
  <si>
    <t>Ambulatory; APPE; Experiential; IPPE; Layered Learning</t>
  </si>
  <si>
    <t>Currents Pharm. Teach. Learn.</t>
  </si>
  <si>
    <t>2-s2.0-85043978744</t>
  </si>
  <si>
    <t>Thida M.</t>
  </si>
  <si>
    <t>Automated Analysis of Job Market Demands using Large Language Model</t>
  </si>
  <si>
    <t>10.14569/IJACSA.2023.01408103</t>
  </si>
  <si>
    <t>https://www.scopus.com/inward/record.uri?eid=2-s2.0-85170637602&amp;doi=10.14569%2fIJACSA.2023.01408103&amp;partnerID=40&amp;md5=c4377d826c692e88078c8d76d5b9ec35</t>
  </si>
  <si>
    <t>Department of Computer Engineering, Chiang Mai University, Chiang Mai, Thailand</t>
  </si>
  <si>
    <t>This paper presents a comprehensive analysis of labor market demands for Myanmar workers in Japan, and Thailand, focusing on opportunities for individuals without higher education degrees. Leveraging ChatGPT’s text classification and summarization capabilities, we extracted vital insights from extensive job advertisements and social media groups. The dataset comprises 152 job advertisements from Thailand and 30 from Japan, collected in 2023. Our research provides a valuable snapshot of skill demands and job opportunities, offering insights for informed decision-making by both job seekers and international non-governmental organizations. The innovative approach of using ChatGPT highlights its efficacy in understanding labor market dynamics. These findings serve as a foundation for tailored interventions to bridge employment challenges faced by marginalized Myanmar youths. © (2023), (Science and Information Organization). All Rights Reserved.</t>
  </si>
  <si>
    <t>ChatGPT; labour market analysis; online job adverts; skills demand; skills identification</t>
  </si>
  <si>
    <t>Classification (of information); Commerce; Decision making; Text processing; ChatGPT; Labor market analyse; Labour market; Market analysis; Market demand; Myanmars; Online job advert; Skill demand; Skill identification; Thailand; Employment</t>
  </si>
  <si>
    <t>2-s2.0-85170637602</t>
  </si>
  <si>
    <t>Sunarti T.</t>
  </si>
  <si>
    <t>Effectiveness of literacy learning model to improve skills of scientific literacy learning plan for physics teacher candidates</t>
  </si>
  <si>
    <t>Journal of Physics: Conference Series</t>
  </si>
  <si>
    <t>10.1088/1742-6596/1171/1/012004</t>
  </si>
  <si>
    <t>https://www.scopus.com/inward/record.uri?eid=2-s2.0-85063091495&amp;doi=10.1088%2f1742-6596%2f1171%2f1%2f012004&amp;partnerID=40&amp;md5=34af864d0326ed7d1b9179b28ab28508</t>
  </si>
  <si>
    <t>Department of Physics, Faculty of Mathematics and Natural Sciences, Universitas Negeri Surabaya, Kampus Unesa Ketintang, Surabaya, 60231, Indonesia</t>
  </si>
  <si>
    <t>The professionalism development of physics teacher candidates has been emphasized in their scientific literacy skills; so Skills of Scientific Literacy Learning Plan (SSLLP) is often ignored. Therefore, the purpose of this study was to analyze the effectiveness of the Literacy Learning Model (LLM) to improve the SSLLP for physics teacher candidates. This research used one group pre-test and post-test design toward 120 physics teacher candidates of Surabaya State University and Lambung Mangkurat University in academic year 2016/2017. The SSLLP was measured by using the Literacy Learning Plan assessment sheet and interviews. The data analyses used descriptive qualitative, n-gain, and Paired t-test / Wilcoxon test. The application of LLM in physics learning showed a significant increase in SSLLP at α = 5%; where the SSLLP was originally in the D / C criteria then became A and the mean n-gain value was in high criteria for each group. Thus, LLM is effective to be used to improve SSLLP for physics teacher candidates. © Published under licence by IOP Publishing Ltd.</t>
  </si>
  <si>
    <t>Gain values; Literacy learning; Physics learning; Post test; Scientific literacy; T-tests; Physics</t>
  </si>
  <si>
    <t>Institute of Physics Publishing</t>
  </si>
  <si>
    <t>J. Phys. Conf. Ser.</t>
  </si>
  <si>
    <t>2-s2.0-85063091495</t>
  </si>
  <si>
    <t>Annales Pharmaceutiques Francaises</t>
  </si>
  <si>
    <t>10.1016/j.pharma.2023.11.001</t>
  </si>
  <si>
    <t>https://www.scopus.com/inward/record.uri?eid=2-s2.0-85178579298&amp;doi=10.1016%2fj.pharma.2023.11.001&amp;partnerID=40&amp;md5=5ed6429acb1097f26b2da8a7c71882ba</t>
  </si>
  <si>
    <t>Service of Pharmacy, centre hospitalier universitaire Vaudois (CHUV), Lausanne, Switzerland; School of Pharmaceutical Sciences, University of Geneva, University of Lausanne, Geneva, Switzerland; Center for Research and Innovation in Clinical Pharmaceutical Sciences, Lausanne University Hospital and University of Lausanne, Lausanne, Switzerland</t>
  </si>
  <si>
    <t>Objectives: Clinical pharmacists rely on different scientific references to ensure appropriate, safe, and cost-effective drug use. Tools based on artificial intelligence (AI) such as ChatGPT (Generative Pre-trained Transformer) could offer valuable support. The objective of this study was to assess ChatGPT's capacity to correctly respond to clinical pharmacy questions asked by healthcare professionals in our university hospital. Material and methods: ChatGPT's capacity to respond correctly to the last 100 consecutive questions recorded in our clinical pharmacy database was assessed. Questions were copied from our FileMaker Pro database and pasted into ChatGPT March 14 version online platform. The generated answers were then copied verbatim into an Excel file. Two blinded clinical pharmacists reviewed all the questions and the answers given by the software. In case of disagreements, a third blinded pharmacist intervened to decide. Results: Documentation-related issues (n = 36) and drug administration mode (n = 30) were preponderantly recorded. Among 69 applicable questions, the rate of correct answers varied from 30 to 57.1% depending on questions type with a global rate of 44.9%. Regarding inappropriate answers (n = 38), 20 were incorrect, 18 gave no answers and 8 were incomplete with 8 answers belonging to 2 different categories. No better answers than the pharmacists were observed. Conclusions: ChatGPT demonstrated a mitigated performance in answering clinical pharmacy questions. It should not replace human expertise as a high rate of inappropriate answers was highlighted. Future studies should focus on the optimization of ChatGPT for specific clinical pharmacy questions and explore the potential benefits and limitations of integrating this technology into clinical practice. © 2023 Académie Nationale de Pharmacie</t>
  </si>
  <si>
    <t>Artificial intelligence; ChatGPT; Clinical pharmacy; Healthcare professionals’ issues; Large language models</t>
  </si>
  <si>
    <t>Elsevier Masson s.r.l.</t>
  </si>
  <si>
    <t>APFRA</t>
  </si>
  <si>
    <t>Ann. Pharm. Fr.</t>
  </si>
  <si>
    <t>2-s2.0-85178579298</t>
  </si>
  <si>
    <t>Using leadership to leverage ChatGPT and artificial intelligence for undergraduate and postgraduate research supervision</t>
  </si>
  <si>
    <t>Australasian Journal of Educational Technology</t>
  </si>
  <si>
    <t>10.14742/ajet.8598</t>
  </si>
  <si>
    <t>https://www.scopus.com/inward/record.uri?eid=2-s2.0-85178409098&amp;doi=10.14742%2fajet.8598&amp;partnerID=40&amp;md5=3d1d3a92a0f051b05bf3dac7d50b496c</t>
  </si>
  <si>
    <t>CQ University, Australia; University of Tasmania, Australia; Monash University, Australia; The University of Kansas, United States</t>
  </si>
  <si>
    <t>ChatGPT and other artificial intelligence (AI) and large language models (LLMs) have hit higher education by storm. Much of the research focuses on how this – and similar – tools can be leveraged for effective education of undergraduate coursework students. In this study, we explore the emerging benefits and limitations of ChatGPT and LLMs in the context of undergraduate and postgraduate research supervision. What we found was that psychological need fulfilment, research student autonomy and relatedness were key outcomes that could be cultivated at the student level. At a unit or subject level, the opportunity for formative feedback was seen as a strength. We also discuss some key limitations to the tool, including how limited its ability to deconstruct social injustice and generate content appropriate to context. We used an example of leadership research to highlight that it may preference good outcomes and likewise present information related to current and normative practices rather than desired future practices. We conclude by considering the broad implications of this work on research supervision relationships. Implications for practice or policy: • ChatGPT has the ability to enhance research higher degree research practices. • AI and LLMs may support student psychological need fulfilment, autonomy, competence and relatedness. • ChatGPT could provide preliminary formative feedback support for research and doctoral students prior to submitting drafts to supervisory teams. • Policy safeguards are needed to ensure research responses to lack of context, data bias, equity concerns and lack of an ethical framework. © (2023), (Australasian Society for Computers in Learning in Tertiary Education (ASCILITE)). All Rights Reserved.</t>
  </si>
  <si>
    <t>ChatGPT-3; doctoral student; generative AI; higher education; large language model; research student; research supervision</t>
  </si>
  <si>
    <t>Australasian Society for Computers in Learning in Tertiary Education (ASCILITE)</t>
  </si>
  <si>
    <t>Australas. J. Educ. Technol.</t>
  </si>
  <si>
    <t>2-s2.0-85178409098</t>
  </si>
  <si>
    <t>The effects of language learning and math mindsets on academic success in an engineering program</t>
  </si>
  <si>
    <t>Journal of Engineering Education</t>
  </si>
  <si>
    <t>10.1002/jee.20499</t>
  </si>
  <si>
    <t>https://www.scopus.com/inward/record.uri?eid=2-s2.0-85145284252&amp;doi=10.1002%2fjee.20499&amp;partnerID=40&amp;md5=091bcb37c885cd47fd5a33e48c55d91e</t>
  </si>
  <si>
    <t>Academy for Learning and Teaching Excellence, University of Bedfordshire, Luton, United Kingdom; Faculty of Wellbeing, Education &amp; Language Studies, Open University, Milton Keynes, United Kingdom; Department of Education, University of Bath, Bath, United Kingdom</t>
  </si>
  <si>
    <t>Background: Mindsets are based on two basic assumptions: some people think that their intellectual abilities can be developed through hard work and instruction (i.e., a growth mindset), whereas others believe that nothing can change their level of intellectual ability (i.e., a fixed mindset). The association between mindsets and academic achievement has been examined in different academic subjects, such as biology and math. However, no previous study has examined the effects of language learning mindsets (LLMs) and math mindsets (MMs) on academic success in an English medium instruction (EMI) setting in which English, rather than the first language of the students, is used for teaching content (e.g., mechatronics engineering). Purpose/Hypothesis: This study explores the relationship between Turkish mechatronics engineering undergraduate students' domain-specific mindsets, LLMs and MMs, and their academic success. Design/Method: Student test scores for English medium and first-language medium courses were collected from fourth-year students studying mechatronics engineering (n = 68) at a public university in Turkey. Students also completed the LLM and MM inventories. Results: Regression analyses revealed that growth LLM and MM were positive predictors of EMI and Turkish medium of instruction (TMI) academic success, whereas fixed LLM and MM were negative predictors of EMI and TMI academic success. Conclusions: In both EMI and TMI courses, a growth mindset in math and language learning can profoundly predict students' academic achievement in a mechatronics engineering program. We argue that domain-specific mindsets can effectively explain the self-theories of intelligence and achievement. © 2022 The Authors. Journal of Engineering Education published by Wiley Periodicals LLC on behalf of American Society for Engineering Education.</t>
  </si>
  <si>
    <t>academic achievement; engineering; English medium of instruction; higher education; language learning mindsets; math learning mindsets</t>
  </si>
  <si>
    <t>Curricula; Professional aspects; Regression analysis; Academic achievements; Engineering program; English medium of instruction; High educations; Intellectual ability; Language learning; Language learning mindset; Math learning mindset; Mechatronic engineering; Turkishs; Students</t>
  </si>
  <si>
    <t>JEEDE</t>
  </si>
  <si>
    <t>J. Eng. Educ.</t>
  </si>
  <si>
    <t>2-s2.0-85145284252</t>
  </si>
  <si>
    <t>Enhanced Ar-K X-ray emission observed in EBIT at electron energies around 6,500 eV</t>
  </si>
  <si>
    <t>X-Ray Spectrometry</t>
  </si>
  <si>
    <t>10.1002/xrs.3110</t>
  </si>
  <si>
    <t>https://www.scopus.com/inward/record.uri?eid=2-s2.0-85070714912&amp;doi=10.1002%2fxrs.3110&amp;partnerID=40&amp;md5=9334f9f391289f51755fac40bbc7ea46</t>
  </si>
  <si>
    <t>Institute of Physics, Jagiellonian University, Krakow, Poland</t>
  </si>
  <si>
    <t>Recently (2015) at the Institute of Physics of the Jagiellonian University, a commercial electron beam ion source (Dresden EBIT, DREEBIT Co.) was installed for teaching and scientific purposes. The first experiments were focused on observation of radiative recombination and dielectronic recombination (DR). A good resolution of the X-ray spectra for DR in argon encouraged a more detailed search. An investigation of higher order resonances, namely, trielectronic recombination (TR: KK-LLL, KK-LLM,…) in argon ions, was initiated. The present experiment was conducted while scanning the electron beam energy of the EBIT over the region 5,700–7200 eV. This electron energy region was expected to manifest an enhancement of the Ar-K X-ray emission due to TR processes mentioned above. Indeed, a maximum-like behavior of the radiation intensity was observed. © 2019 John Wiley &amp; Sons, Ltd.</t>
  </si>
  <si>
    <t>Dissociation; Electromagnetic wave emission; Electron beams; Electron energy levels; Electrons; Ion beams; Ion sources; X ray scattering; Dielectronic recombinations; Dresdens; Electron beam ion source; Electrons energy; Higher order resonances; Institute of Physics; Jagiellonian University; K X-ray emission; Radiative recombination; X ray spectrum; Argon</t>
  </si>
  <si>
    <t>John Wiley and Sons Ltd</t>
  </si>
  <si>
    <t>XRSPA</t>
  </si>
  <si>
    <t>X-Ray Spectrom.</t>
  </si>
  <si>
    <t>2-s2.0-85070714912</t>
  </si>
  <si>
    <t>Tilburg Law Rev.</t>
  </si>
  <si>
    <t>Benchmarking ChatGPT-4 on a radiation oncology in-training exam and Red Journal Gray Zone cases: potentials and challenges for ai-assisted medical education and decision making in radiation oncology</t>
  </si>
  <si>
    <t>Frontiers in Oncology</t>
  </si>
  <si>
    <t>10.3389/fonc.2023.1265024</t>
  </si>
  <si>
    <t>https://www.scopus.com/inward/record.uri?eid=2-s2.0-85173018162&amp;doi=10.3389%2ffonc.2023.1265024&amp;partnerID=40&amp;md5=ae7eccb7830f3009d2be3687cddeaaad</t>
  </si>
  <si>
    <t>Department of Radiation Oncology, University Hospital Erlangen, Friedrich-Alexander-Universität Erlangen-Nürnberg, Erlangen, Germany; Comprehensive Cancer Center Erlangen-EMN (CCC ER-EMN), Erlangen, Germany; Pattern Recognition Lab, Friedrich-Alexander-Universität Erlangen-Nürnberg, Erlangen, Germany</t>
  </si>
  <si>
    <t>Purpose: The potential of large language models in medicine for education and decision-making purposes has been demonstrated as they have achieved decent scores on medical exams such as the United States Medical Licensing Exam (USMLE) and the MedQA exam. This work aims to evaluate the performance of ChatGPT-4 in the specialized field of radiation oncology. Methods: The 38th American College of Radiology (ACR) radiation oncology in-training (TXIT) exam and the 2022 Red Journal Gray Zone cases are used to benchmark the performance of ChatGPT-4. The TXIT exam contains 300 questions covering various topics of radiation oncology. The 2022 Gray Zone collection contains 15 complex clinical cases. Results: For the TXIT exam, ChatGPT-3.5 and ChatGPT-4 have achieved the scores of 62.05% and 78.77%, respectively, highlighting the advantage of the latest ChatGPT-4 model. Based on the TXIT exam, ChatGPT-4’s strong and weak areas in radiation oncology are identified to some extent. Specifically, ChatGPT-4 demonstrates better knowledge of statistics, CNS &amp; eye, pediatrics, biology, and physics than knowledge of bone &amp; soft tissue and gynecology, as per the ACR knowledge domain. Regarding clinical care paths, ChatGPT-4 performs better in diagnosis, prognosis, and toxicity than brachytherapy and dosimetry. It lacks proficiency in in-depth details of clinical trials. For the Gray Zone cases, ChatGPT-4 is able to suggest a personalized treatment approach to each case with high correctness and comprehensiveness. Importantly, it provides novel treatment aspects for many cases, which are not suggested by any human experts. Conclusion: Both evaluations demonstrate the potential of ChatGPT-4 in medical education for the general public and cancer patients, as well as the potential to aid clinical decision-making, while acknowledging its limitations in certain domains. Owing to the risk of hallucinations, it is essential to verify the content generated by models such as ChatGPT for accuracy. Copyright © 2023 Huang, Gomaa, Semrau, Haderlein, Lettmaier, Weissmann, Grigo, Tkhayat, Frey, Gaipl, Distel, Maier, Fietkau, Bert and Putz.</t>
  </si>
  <si>
    <t>artificial intelligence; clinical decision support (CDS); Gray Zone; large language model; natural language processing; radiotherapy</t>
  </si>
  <si>
    <t>accuracy; Article; artificial intelligence; benchmarking; brachytherapy; cancer prognosis; cancer survival; ChatGPT; clinical decision making; clinical decision support system; dosimetry; human; medical education; natural language processing; radiation oncology; recurrence risk; self evaluation; toxicity; treatment planning</t>
  </si>
  <si>
    <t>2234943X</t>
  </si>
  <si>
    <t>Front. Oncol.</t>
  </si>
  <si>
    <t>2-s2.0-85173018162</t>
  </si>
  <si>
    <t>Fostering digital transformation in education: technology enhanced learning from professors’ experiences in emergency remote teaching</t>
  </si>
  <si>
    <t>10.3389/feduc.2023.1250461</t>
  </si>
  <si>
    <t>https://www.scopus.com/inward/record.uri?eid=2-s2.0-85169564311&amp;doi=10.3389%2ffeduc.2023.1250461&amp;partnerID=40&amp;md5=e4c6843099aff2799003708a42aa0d1b</t>
  </si>
  <si>
    <t>School of Engineering and Sciences, Tecnologico de Monterrey, Monterrey, Mexico; School of Engineering, Universidad de las Américas Puebla, Puebla, Mexico; Institute for the Future of Education, Tecnologico de Monterrey, Monterrey, Mexico</t>
  </si>
  <si>
    <t>In this work, we aim to understand professors’ perception of the key competences as well as the best educational strategies and technological tools to guide digital transformation (DT) in education, according to their experience in emergency remote teaching (ERT). In recent years, technological advancement has driven DT in many areas, with education being among them. ERT due to COVID-19 accelerated this transition. Restrictions and lockdowns forced higher education institutions to adopt remote teaching strategies and tools suited for a digital environment. We surveyed 100 professors from a private Mexican university with 15-month experience of online ERT. We asked them through Likert scale questions to self-evaluate their performance and whether they perceived it to be better in online or hybrid environments compared with face-to-face environments in different aspects. We performed correlation, cluster, and factor analysis to identify the relationships and patterns in their answers. Through open-ended questions, we also asked the participants about the challenges and achievements they experienced, and the educational strategies and technological tools they successfully incorporated during ERT. We also conducted text mining to extract the most relevant information from these answers and validated that they were not polarized with negative sentiment using a large language model. Our results showed social intelligence as an underlying competence for teaching performance was highlighted in the digital environment due to the physical interaction limitations. Participants found success in implementing information and communication technologies, resulting in maintaining student interest and building trust in the online environment. Professors recognized the relevance not only of learning management systems and communication platforms, as expected, but also hardware such as tablets, cameras, and headphones for the successful delivery of education in a digital environment. Technology Enhanced Learning transposes game-based, quizzing practices, and collaborative learning to digital environments. Furthermore, the professors recommended learning-by-doing, flipped learning, problem-based learning, game-based learning, and holistic education as some pedagogical methodologies that were successfully applied in ERT and could be implemented for DT. Understanding the gains concerning teaching learning strategies and technologies that were incorporated during ERT is of the utmost importance for driving DT and its benefits for current and future education. Copyright © 2023 Mondragon-Estrada, Kirschning, Nolazco-Flores and Camacho-Zuñiga.</t>
  </si>
  <si>
    <t>digital transformation in education; educational innovation; emergency remote teaching; faculty experiences; higher education; information and communication technologies; technology enhanced learning</t>
  </si>
  <si>
    <t>2-s2.0-85169564311</t>
  </si>
  <si>
    <t>From human writing to artificial intelligence generated text: examining the prospects and potential threats of ChatGPT in academic writing</t>
  </si>
  <si>
    <t>Biology of Sport</t>
  </si>
  <si>
    <t>10.5114/BIOLSPORT.2023.125623</t>
  </si>
  <si>
    <t>https://www.scopus.com/inward/record.uri?eid=2-s2.0-85153204653&amp;doi=10.5114%2fBIOLSPORT.2023.125623&amp;partnerID=40&amp;md5=72f951f36288364372691a144dec3114</t>
  </si>
  <si>
    <t>Primary Health Care Corporation (PHCC), Doha, Qatar; Research Unit Physical Activity, Sport, and Health, UR18JS01, National Observatory of Sport, Tunis, 1003, Tunisia; High Institute of Sport and Physical Education, University of Sfax, Sfax, Tunisia; Aspetar, Orthopaedic and Sports Medicine Hospital, FIFA Medical Centre of Excellence, Doha, Qatar; Jozef Pilsudski University of Physical Education in Warsaw, Warsaw, Poland; University of Sousse, Farhat HACHED hospital, Service of Physiology and Functional Explorations, Sousse, Tunisia; University of Sousse, Farhat HACHED Hospital, Research Laboratory LR12SP09 «Heart Failure», Sousse, Tunisia; University of Sousse, Faculty of Medicine of Sousse, Laboratory of Physiology, Sousse, Tunisia</t>
  </si>
  <si>
    <t>Natural language processing (NLP) has been studied in computing for decades. Recent technological advancements have led to the development of sophisticated artificial intelligence (AI) models, such as Chat Generative Pre-trained Transformer (ChatGPT). These models can perform a range of language tasks and generate human-like responses, which offers exciting prospects for academic efficiency. This manuscript aims at (i) exploring the potential benefits and threats of ChatGPT and other NLP technologies in academic writing and research publications; (ii) highlights the ethical considerations involved in using these tools, and (iii) consider the impact they may have on the authenticity and credibility of academic work. This study involved a literature review of relevant scholarly articles published in peer-reviewed journals indexed in Scopus as quartile 1. The search used keywords such as “ChatGPT,” “AI-generated text,” “academic writing,” and “natural language processing.” The analysis was carried out using a quasi-qualitative approach, which involved reading and critically evaluating the sources and identifying relevant data to support the research questions. The study found that ChatGPT and other NLP technologies have the potential to enhance academic writing and research efficiency. However, their use also raises concerns about the impact on the authenticity and credibility of academic work. The study highlights the need for comprehensive discussions on the potential use, threats, and limitations of these tools, emphasizing the importance of ethical and academic principles, with human intelligence and critical thinking at the forefront of the research process. This study highlights the need for comprehensive debates and ethical considerations involved in their use. The study also recommends that academics exercise caution when using these tools and ensure transparency in their use, emphasizing the importance of human intelligence and critical thinking in academic work. © 2023 Institute of Sport. All rights reserved.</t>
  </si>
  <si>
    <t>Artificial Intelligence; Chatbot; Deep Learning; Google Bard; Higher Education; LLaMA; LLM; Machine Learning; Natural Language Processing; NLM; NLP; Paperpal; Peer Review; QuillBot; Rayyan; Research; Sports Medicine</t>
  </si>
  <si>
    <t>Institute of Sport</t>
  </si>
  <si>
    <t>0860021X</t>
  </si>
  <si>
    <t>Biol. Sport</t>
  </si>
  <si>
    <t>2-s2.0-85153204653</t>
  </si>
  <si>
    <t>Assessment of Resident and AI Chatbot Performance on the University of Toronto Family Medicine Residency Progress Test: Comparative Study</t>
  </si>
  <si>
    <t>JMIR Medical Education</t>
  </si>
  <si>
    <t>e50514</t>
  </si>
  <si>
    <t>10.2196/50514</t>
  </si>
  <si>
    <t>https://www.scopus.com/inward/record.uri?eid=2-s2.0-85176799279&amp;doi=10.2196%2f50514&amp;partnerID=40&amp;md5=3f085251a03ecad3ab4a321038b23a3f</t>
  </si>
  <si>
    <t>Temerty Faculty of Medicine, University of Toronto, Toronto, ON, Canada; Department of Family and Community Medicine, University of Toronto, Toronto, ON, Canada; Division of Haematology, The Hospital for Sick Children, Toronto, ON, Canada</t>
  </si>
  <si>
    <t>Background: Large language model (LLM)–based chatbots are evolving at an unprecedented pace with the release of ChatGPT, specifically GPT-3.5, and its successor, GPT-4. Their capabilities in general-purpose tasks and language generation have advanced to the point of performing excellently on various educational examination benchmarks, including medical knowledge tests. Comparing the performance of these 2 LLM models to that of Family Medicine residents on a multiple-choice medical knowledge test can provide insights into their potential as medical education tools. Objective: This study aimed to quantitatively and qualitatively compare the performance of GPT-3.5, GPT-4, and Family Medicine residents in a multiple-choice medical knowledge test appropriate for the level of a Family Medicine resident. Methods: An official University of Toronto Department of Family and Community Medicine Progress Test consisting of multiple-choice questions was inputted into GPT-3.5 and GPT-4. The artificial intelligence chatbot’s responses were manually reviewed to determine the selected answer, response length, response time, provision of a rationale for the outputted response, and the root cause of all incorrect responses (classified into arithmetic, logical, and information errors). The performance of the artificial intelligence chatbots were compared against a cohort of Family Medicine residents who concurrently attempted the test. Results: GPT-4 performed significantly better compared to GPT-3.5 (difference 25.0%, 95% CI 16.3%-32.8%; McNemar test: P&lt;.001); it correctly answered 89/108 (82.4%) questions, while GPT-3.5 answered 62/108 (57.4%) questions correctly. Further, GPT-4 scored higher across all 11 categories of Family Medicine knowledge. In 86.1% (n=93) of the responses, GPT-4 provided a rationale for why other multiple-choice options were not chosen compared to the 16.7% (n=18) achieved by GPT-3.5. Qualitatively, for both GPT-3.5 and GPT-4 responses, logical errors were the most common, while arithmetic errors were the least common. The average performance of Family Medicine residents was 56.9% (95% CI 56.2%-57.6%). The performance of GPT-3.5 was similar to that of the average Family Medicine resident (P=.16), while the performance of GPT-4 exceeded that of the top-performing Family Medicine resident (P&lt;.001). Conclusions: GPT-4 significantly outperforms both GPT-3.5 and Family Medicine residents on a multiple-choice medical knowledge test designed for Family Medicine residents. GPT-4 provides a logical rationale for its response choice, ruling out other answer choices efficiently and with concise justification. Its high degree of accuracy and advanced reasoning capabilities facilitate its potential applications in medical education, including the creation of exam questions and scenarios as well as serving as a resource for medical knowledge or information on community services. ©Ryan ST Huang, Kevin Jia Qi Lu, Christopher Meaney, Joel Kemppainen, Angela Punnett, Fok-Han Leung.</t>
  </si>
  <si>
    <t>AI; artificial intelligence; community; education; education examination; family medicine; GPT-3.5; GPT-4; language model; large language model; LLM; machine learning, ChatGPT; medical education; medical knowledge exam; medical residents; natural language processing; NLP; test; testing; utility</t>
  </si>
  <si>
    <t>JMIR Med. Educ.</t>
  </si>
  <si>
    <t>2-s2.0-85176799279</t>
  </si>
  <si>
    <t>DISCOVERING INSIGHTS IN LEARNING ANALYTICS THROUGH A MIXED-METHODS FRAMEWORK: APPLICATION TO COMPUTER PROGRAMMING EDUCATION</t>
  </si>
  <si>
    <t>Journal of Information Technology Education: Research</t>
  </si>
  <si>
    <t>10.28945/5182</t>
  </si>
  <si>
    <t>https://www.scopus.com/inward/record.uri?eid=2-s2.0-85173949352&amp;doi=10.28945%2f5182&amp;partnerID=40&amp;md5=fd57ee1d41b4ae4276e98e6a5b656178</t>
  </si>
  <si>
    <t>Universidad Nacional de Colombia, Bogotá, Colombia</t>
  </si>
  <si>
    <t>Aim/Purpose This article proposes a framework based on a sequential explanatory mixed-methods design in the learning analytics domain to enhance the models used to support the success of the learning process and the learner. The framework consists of three main phases: (1) quantitative data analysis; (2) qualitative data analysis; and (3) integration and discussion of results. Furthermore, we illus-trated the application of this framework by examining the relationships between learning process metrics and academic performance in the subject of Computer Programming coupled with content analysis of the responses to a students’ per-ception questionnaire of their learning experiences in this subject. Background There is a prevalence of quantitative research designs in learning analytics, which limits the understanding of students’ learning processes. This is due to the abundance and ease of collection of quantitative data in virtual environ-ments and learning management systems compared to qualitative data. Methodology This study uses a mixed-methods, non-experimental, research design. The quan-titative phase of the framework aims to analyze the data to identify behaviors, trends, and relationships between measures using correlation or regression anal-ysis. On the other hand, the qualitative phase of the framework focuses on con-ducting a content analysis of the qualitative data. This framework was applied to historical quantitative and qualitative data from students’ use of an automated feedback and evaluation platform for programming exercises in a programming course at the National University of Colombia during 2019 and 2020. The re-search question of this study is: How can mixed-methods research applied to learning analytics generate a better understanding of the relationships between the variables generated throughout the learning process and the academic per-formance of students in the subject of Computer Programming? Contribution The main contribution of this work is the proposal of a mixed-methods learn-ing analytics framework applicable to computer programming courses, which al-lows for complementing, corroborating, or refuting quantitatively evidenced re-sults with qualitative data and generating hypotheses about possible causes or explanations for student behavior. In addition, the results provide a better un-derstanding of the learning processes in the Computer Programming course at the National University of Colombia. Findings A framework based on sequential explanatory mixed-methods design in the field of learning analytics has been proposed to improve the models used to support the success of the learning process and the learner. The answer to the research question posed corresponds to that the mixed methods effectively complement quantitative and qualitative data. From the analysis of the data of the application of the framework, it appears that the qualitative data, represent-ing the perceptions of the students, generally supported and extended the quan-titative data. The consistency between the two phases allowed us to generate hy-potheses about the possible causes of student behavior and provide a better un-derstanding of the learning processes in the course. Recommendations for Practitioners We suggest implementing the proposed mixed-methods learning analytics framework in various educational contexts and populations. By doing so, practi-tioners can gather more diverse data and insights, which can lead to a better un-derstanding of learning processes in different settings and with different groups of learners. Recommendations for Researchers Researchers can use the proposed approach in their learning analytics projects, usually based exclusively on quantitative data analysis, to complement their re-sults, find explanations for their students’ behaviors, and understand learning processes in depth thanks to the information provided by the complementary analysis of qualitative data. Impact on Society The prevalence of exclusively quantitative research designs in learning analytics can limit our understanding of students’ learning processes. Instead, the mixed-methods approach we propose suggests a more comprehensive approach to learning analytics that includes qualitative data, which can provide deeper in-sight into students’ learning experiences and processes. Ultimately, this can lead to more effective interventions and improvements in teaching and learning practices. Future Research Potential lines of research to continue the work on mixed-method learning ana-lytics methodology include the following: first, implementing the framework on a different population sample, such as students from other universities or other knowledge areas; second, using techniques to correct unbalanced data sets in learning analytics studies; third, analyzing student interactions with the auto-mated grading platform and their academic activities in relation with their activ-ity grades; last, using the findings to design interventions that positively impact academic performance and evaluating the impact statistically through experimental study designs. In the context of introductory programming educa-tion, AI/large language models have the potential to revolutionize teaching by enhancing the learning experience, providing personalized support, and ena-bling more efficient assessment and feedback mechanisms. Future research in this area is to implement the proposed framework on data from an introductory programming course using these models. © (2023), (Informing Science Institute). All Rights Reserved.</t>
  </si>
  <si>
    <t>computer programming; content analysis; correlation analysis; learning analytics; mixed methods</t>
  </si>
  <si>
    <t>Informing Science Institute</t>
  </si>
  <si>
    <t>J. Inf. Technol. Educ. Res.</t>
  </si>
  <si>
    <t>2-s2.0-85173949352</t>
  </si>
  <si>
    <t>“I'm a salesman and my client is China”: Language learning motivation, multicultural attitudes, and multilingualism among university students in Kazakhstan and Uzbekistan</t>
  </si>
  <si>
    <t>System</t>
  </si>
  <si>
    <t>10.1016/j.system.2021.102645</t>
  </si>
  <si>
    <t>https://www.scopus.com/inward/record.uri?eid=2-s2.0-85114916959&amp;doi=10.1016%2fj.system.2021.102645&amp;partnerID=40&amp;md5=863688f193696884ba07756620825b19</t>
  </si>
  <si>
    <t>Department of Foreign Languages, University of Bergen, HF‐bygget, Sydnesplassen 7, Bergen, 5020, Norway</t>
  </si>
  <si>
    <t>The Central Asian republics represent an interesting yet little-studied space for researching the interplay between language learning motivation (LLM), multiculturalism, and multilingualism given their cultural and linguistic diversity and official promotion of multilingualism and positive multicultural attitudes through language learning initiatives in schools and universities. This article reports on a questionnaire study that investigated the LLM of 235 university students in Kazakhstan and Uzbekistan, including their integrativeness and international posture. The students were learning Arabic, Chinese, English, French, German, Japanese, Russian, Spanish, and Turkish, with a majority of them learning two or more languages concurrently. The study also explored their views regarding the benefits of being multilingual and the extent to which their level of multilingualism, both formally and natively acquired, affected their multicultural attitudes and levels of prejudice towards outgroups. The findings revealed statistically significant gender differences in how the participants viewed the benefits of being multilingual, as well as statistically significant relationships between their levels of natively acquired multilingualism and their multicultural attitudes and levels of prejudice towards outgroups. International posture and integrativeness, meanwhile, were found to be distinct concepts with little overlap. © 2021 The Author(s)</t>
  </si>
  <si>
    <t>Foreign languages; Gender; Integrativeness; International posture; Multiculturalism; Multilingualism</t>
  </si>
  <si>
    <t>Elsevier Ltd</t>
  </si>
  <si>
    <t>0346251X</t>
  </si>
  <si>
    <t>2-s2.0-85114916959</t>
  </si>
  <si>
    <t>Self-Attention and Transformers: Driving the Evolution of Large Language Models</t>
  </si>
  <si>
    <t>2023 IEEE 6th International Conference on Electronic Information and Communication Technology, ICEICT 2023</t>
  </si>
  <si>
    <t>10.1109/ICEICT57916.2023.10245906</t>
  </si>
  <si>
    <t>https://www.scopus.com/inward/record.uri?eid=2-s2.0-85173847084&amp;doi=10.1109%2fICEICT57916.2023.10245906&amp;partnerID=40&amp;md5=c3558f7a3f19d5d0429b3451bce31735</t>
  </si>
  <si>
    <t>School of Computer Science and Engineering, Huizhou University, Guangdong, 516007, China; School of Computer Science, Yangtze University, Hubei, 451199, China</t>
  </si>
  <si>
    <t>generative pretrained transformer (GPT); large language model (LLM); natural language processing (NLP); Self-Attention; transformer</t>
  </si>
  <si>
    <t>Computational linguistics; Natural language processing systems; Attention mechanisms; Generative pretrained transformer; Language model; Language processing; Large language model; Machine translations; Natural language processing; Natural languages; Self-attention; Transformer; Students</t>
  </si>
  <si>
    <t>IEEE Int. Conf. Electron. Inf. Commun. Technol., ICEICT</t>
  </si>
  <si>
    <t>2-s2.0-85173847084</t>
  </si>
  <si>
    <t>Lewkowycz, Aitor (58464452100); Andreassen, Anders (56448451600); Dohan, David (57188568914); Dyer, Ethan (26032513300); Michalewski, Henryk (6701557012); Ramasesh, Vinay (57219758378); Slone, Ambrose (57803349000); Anil, Cem (57203314100); Schlag, Imanol (57201861913); Gutman-Solo, Theo (57809162300); Wu, Yuhuai (57193409950); Neyshabur, Behnam (55788626200); Gur-Ari, Guy (55180711600); Misra, Vedant (57222264995)</t>
  </si>
  <si>
    <t>Solving Quantitative Reasoning Problems with Language Models</t>
  </si>
  <si>
    <t>Advances in Neural Information Processing Systems</t>
  </si>
  <si>
    <t>https://www.scopus.com/inward/record.uri?eid=2-s2.0-85148450582&amp;partnerID=40&amp;md5=299f43e72d1203769c7ea9c452b8aa91</t>
  </si>
  <si>
    <t>Google Research</t>
  </si>
  <si>
    <t>Language models have achieved remarkable performance on a wide range of tasks that require natural language understanding. Nevertheless, state-of-the-art models have generally struggled with tasks that require quantitative reasoning, such as solving mathematics, science, and engineering problems at the college level. To help close this gap, we introduce Minerva, a large language model pretrained on general natural language data and further trained on technical content. The model achieves state-of-the-art performance on technical benchmarks without the use of external tools. We also evaluate our model on over two hundred undergraduate-level problems in physics, biology, chemistry, economics, and other sciences that require quantitative reasoning, and find that the model can correctly answer nearly a third of them. © 2022 Neural information processing systems foundation. All rights reserved.</t>
  </si>
  <si>
    <t>Computational linguistics; ART model; Engineering problems; Language model; Natural language understanding; Natural languages; Performance; Quantitative reasoning; Reasoning problems; Science and engineering; State of the art; Benchmarking</t>
  </si>
  <si>
    <t>Neural information processing systems foundation</t>
  </si>
  <si>
    <t>Adv. neural inf. proces. syst.</t>
  </si>
  <si>
    <t>2-s2.0-85148450582</t>
  </si>
  <si>
    <t>13356 LNCS</t>
  </si>
  <si>
    <t>https://www.scopus.com/inward/record.uri?eid=2-s2.0-85135936977&amp;partnerID=40&amp;md5=ffaff23598f69dfaf04ca45972810a11</t>
  </si>
  <si>
    <t>2-s2.0-85135936977</t>
  </si>
  <si>
    <t>Bernabei, Margherita (57280498100); Colabianchi, Silvia (57224642253); Falegnami, Andrea (57200073110); Costantino, Francesco (55229777600)</t>
  </si>
  <si>
    <t>Students’ use of large language models in engineering education: A case study on technology acceptance, perceptions, efficacy, and detection chances</t>
  </si>
  <si>
    <t>10.1016/j.caeai.2023.100172</t>
  </si>
  <si>
    <t>https://www.scopus.com/inward/record.uri?eid=2-s2.0-85173847244&amp;doi=10.1016%2fj.caeai.2023.100172&amp;partnerID=40&amp;md5=f3e7b2827c3a07ffb65ec72e05b610b9</t>
  </si>
  <si>
    <t>Department of Mechanical and Aerospace Engineering, Sapienza University of Rome, Via Eudossiana 18, Rome, 00184, Italy; Department of Computer, Control, and Management Engineering Antonio Ruberti, Sapienza University of Rome, Via Ariosto 25, Rome, 00185, Italy; Management Engineering Faculty, Uninettuno University, Corso Vittorio Emanuele II 39 00186, Rome, Italy</t>
  </si>
  <si>
    <t>The accessibility of advanced Artificial Intelligence-based tools, like ChatGPT, has made Large Language Models (LLMs) readily available to students. These LLMs can generate original written content to assist students in their academic assessments. With the rapid adoption of LLMs, exemplified by the popularity of OpenAI's ChatGPT, there is a growing need to explore their application in education. Few studies examine students' use of LLMs as learning tools. This paper focuses on the application of ChatGPT in engineering higher education through an in-depth case study. It investigates whether engineering students can generate high-quality university essays with LLMs assistance, whether existing LLMs identification systems can detect essays produced with LLMs, and how students perceive the usefulness and acceptance of LLMs in learning. The research adopts a deductive/inductive approach, combining conceptualization and empirical evidence analysis. The study involves mechanical and management engineering students, who compose essays using LLMs. The essay assessment showed good results, but some recommendations emerged for teachers and students. Thirteen LLMs detectors were tested without achieving satisfactory results, suggesting to avoid LLMs ban. In addition, students were administered a questionnaire based on constructs and items that follow the technology acceptance models available in the literature. The results contribute to qualitative evidence by highlighting possible future research and educational practices. © 2023 The Authors</t>
  </si>
  <si>
    <t>ChatGPT; Essay generation; Higher education; LLM</t>
  </si>
  <si>
    <t>Computational linguistics; Education computing; Engineering education; Learning systems; Application in education; Case-studies; ChatGPT; Essay generation; High educations; High quality; Language model; Large language model; Learning tool; Technology acceptance; Students</t>
  </si>
  <si>
    <t>2-s2.0-85173847244</t>
  </si>
  <si>
    <t>Sallam, Malik (58031424100); Salim, Nesreen A. (55100814300); Barakat, Muna (57216549396); Al-Mahzoum, Kholoud (57221541849); Al-Tammemi, Ala'a B. (57216892163); Malaeb, Diana (56117492000); Hallit, Rabih (37101532600); Hallit, Souheil (37101759800)</t>
  </si>
  <si>
    <t>Assessing Health Students' Attitudes and Usage of ChatGPT in Jordan: Validation Study</t>
  </si>
  <si>
    <t>e48254</t>
  </si>
  <si>
    <t>10.2196/48254</t>
  </si>
  <si>
    <t>https://www.scopus.com/inward/record.uri?eid=2-s2.0-85173941987&amp;doi=10.2196%2f48254&amp;partnerID=40&amp;md5=b23c3811c3e4728438d3aece352d1138</t>
  </si>
  <si>
    <t>Department of Pathology, Microbiology and Forensic Medicine, School of Medicine, The University of Jordan, Amman, Jordan; Department of Clinical Laboratories and Forensic Medicine, Jordan University Hospital, Amman, Jordan; Prosthodontic Department, School of Dentistry, The University of Jordan, Amman, Jordan; Prosthodontic Department, Jordan University Hospital, Amman, Jordan; Department of Clinical Pharmacy and Therapeutics, Faculty of Pharmacy, Applied Science Private University, Amman, Jordan; Middle East University Research Unit, Middle East University, Amman, Jordan; Migration Health Division, International Organization for Migration, The United Nations Migration Agency, Amman, Jordan; College of Pharmacy, Gulf Medical University, Ajman, United Arab Emirates; School of Medicine and Medical Sciences, Holy Spirit University of Kaslik, Jounieh, Lebanon; Department of Infectious Disease, Bellevue Medical Center, Mansourieh, Lebanon; Department of Infectious Disease, Notre Dame des Secours, University Hospital Center, Byblos, Lebanon; Research Department, Psychiatric Hospital of the Cross, Jal Eddib, Lebanon</t>
  </si>
  <si>
    <t>Background: ChatGPT is a conversational large language model that has the potential to revolutionize knowledge acquisition. However, the impact of this technology on the quality of education is still unknown considering the risks and concerns surrounding ChatGPT use. Therefore, it is necessary to assess the usability and acceptability of this promising tool. As an innovative technology, the intention to use ChatGPT can be studied in the context of the technology acceptance model (TAM). Objective: This study aimed to develop and validate a TAM-based survey instrument called TAME-ChatGPT (Technology Acceptance Model Edited to Assess ChatGPT Adoption) that could be employed to examine the successful integration and use of ChatGPT in health care education. Methods: The survey tool was created based on the TAM framework. It comprised 13 items for participants who heard of ChatGPT but did not use it and 23 items for participants who used ChatGPT. Using a convenient sampling approach, the survey link was circulated electronically among university students between February and March 2023. Exploratory factor analysis (EFA) was used to assess the construct validity of the survey instrument. Results: The final sample comprised 458 respondents, the majority among them undergraduate students (n=442, 96.5%). Only 109 (23.8%) respondents had heard of ChatGPT prior to participation and only 55 (11.3%) self-reported ChatGPT use before the study. EFA analysis on the attitude and usage scales showed significant Bartlett tests of sphericity scores (P&lt;.001) and adequate Kaiser-Meyer-Olkin measures (0.823 for the attitude scale and 0.702 for the usage scale), confirming the factorability of the correlation matrices. The EFA showed that 3 constructs explained a cumulative total of 69.3% variance in the attitude scale, and these subscales represented perceived risks, attitude to technology/social influence, and anxiety. For the ChatGPT usage scale, EFA showed that 4 constructs explained a cumulative total of 72% variance in the data and comprised the perceived usefulness, perceived risks, perceived ease of use, and behavior/cognitive factors. All the ChatGPT attitude and usage subscales showed good reliability with Cronbach α values &gt;.78 for all the deduced subscales. Conclusions: The TAME-ChatGPT demonstrated good reliability, validity, and usefulness in assessing health care students’ attitudes toward ChatGPT. The findings highlighted the importance of considering risk perceptions, usefulness, ease of use, attitudes toward technology, and behavioral factors when adopting ChatGPT as a tool in health care education. This information can aid the stakeholders in creating strategies to support the optimal and ethical use of ChatGPT and to identify the potential challenges hindering its successful implementation. Future research is recommended to guide the effective adoption of ChatGPT in health care education. ©Malik Sallam, Nesreen A Salim, Muna Barakat, Kholoud Al-Mahzoum, Ala'a B Al-Tammemi, Diana Malaeb, Rabih Hallit, Souheil Hallit.</t>
  </si>
  <si>
    <t>artificial intelligence; education; healthcare; KAP; knowledge; machine learning; opinion; practices; survey; technology</t>
  </si>
  <si>
    <t>2-s2.0-85173941987</t>
  </si>
  <si>
    <t>Performance of ChatGPT on UK Standardized Admission Tests: Insights from the BMAT, TMUA, LNAT, and TSA Examinations</t>
  </si>
  <si>
    <t>e47737</t>
  </si>
  <si>
    <t>10.2196/47737</t>
  </si>
  <si>
    <t>https://www.scopus.com/inward/record.uri?eid=2-s2.0-85159892886&amp;doi=10.2196%2f47737&amp;partnerID=40&amp;md5=c69e63c61b6cedbf6186300968dbab78</t>
  </si>
  <si>
    <t>Department of Life Sciences, Faculty of Natural Sciences, Imperial College London, London, United Kingdom; Promotion of Emerging and Evaluative Research Society, London, United Kingdom</t>
  </si>
  <si>
    <t>Background: Large language models, such as ChatGPT by OpenAI, have demonstrated potential in various applications, including medical education. Previous studies have assessed ChatGPT’s performance in university or professional settings. However, the model’s potential in the context of standardized admission tests remains unexplored. Objective: This study evaluated ChatGPT’s performance on standardized admission tests in the United Kingdom, including the BioMedical Admissions Test (BMAT), Test of Mathematics for University Admission (TMUA), Law National Aptitude Test (LNAT), and Thinking Skills Assessment (TSA), to understand its potential as an innovative tool for education and test preparation. Methods: Recent public resources (2019-2022) were used to compile a data set of 509 questions from the BMAT, TMUA, LNAT, and TSA covering diverse topics in aptitude, scientific knowledge and applications, mathematical thinking and reasoning, critical thinking, problem-solving, reading comprehension, and logical reasoning. This evaluation assessed ChatGPT’s performance using the legacy GPT-3.5 model, focusing on multiple-choice questions for consistency. The model’s performance was analyzed based on question difficulty, the proportion of correct responses when aggregating exams from all years, and a comparison of test scores between papers of the same exam using binomial distribution and paired-sample (2-tailed) t tests. Results: The proportion of correct responses was significantly lower than incorrect ones in BMAT section 2 (P&lt;.001) and TMUA paper 1 (P&lt;.001) and paper 2 (P&lt;.001). No significant differences were observed in BMAT section 1 (P=.2), TSA section 1 (P=.7), or LNAT papers 1 and 2, section A (P=.3). ChatGPT performed better in BMAT section 1 than section 2 (P=.047), with a maximum candidate ranking of 73% compared to a minimum of 1%. In the TMUA, it engaged with questions but had limited accuracy and no performance difference between papers (P=.6), with candidate rankings below 10%. In the LNAT, it demonstrated moderate success, especially in paper 2’s questions; however, student performance data were unavailable. TSA performance varied across years with generally moderate results and fluctuating candidate rankings. Similar trends were observed for easy to moderate difficulty questions (BMAT section 1, P=.3; BMAT section 2, P=.04; TMUA paper 1, P&lt;.001; TMUA paper 2, P=.003; TSA section 1, P=.8; and LNAT papers 1 and 2, section A, P&gt;.99) and hard to challenging ones (BMAT section 1, P=.7; BMAT section 2, P&lt;.001; TMUA paper 1, P=.007; TMUA paper 2, P&lt;.001; TSA section 1, P=.3; and LNAT papers 1 and 2, section A, P=.2). Conclusions: ChatGPT shows promise as a supplementary tool for subject areas and test formats that assess aptitude, problem-solving and critical thinking, and reading comprehension. However, its limitations in areas such as scientific and mathematical knowledge and applications highlight the need for continuous development and integration with conventional learning strategies in order to fully harness its potential. ©Panagiotis Giannos, Orestis Delardas.</t>
  </si>
  <si>
    <t>BMAT; ChatGPT; GPT; law; LNAT; medical education; medicine; natural language processing; standardized admissions tests; TMUA; TSA</t>
  </si>
  <si>
    <t>2-s2.0-85159892886</t>
  </si>
  <si>
    <t>Clinical characteristics, patterns of lipid-lowering medication use, and health care resource utilization and costs among patients with atherosclerotic cardiovascular disease</t>
  </si>
  <si>
    <t>Vascular Health and Risk Management</t>
  </si>
  <si>
    <t>10.2147/VHRM.S146266</t>
  </si>
  <si>
    <t>https://www.scopus.com/inward/record.uri?eid=2-s2.0-85041517680&amp;doi=10.2147%2fVHRM.S146266&amp;partnerID=40&amp;md5=e85bc015f974ae27265bb577e801be24</t>
  </si>
  <si>
    <t>AIM Specialty Health, Chicago, IL, United States; HealthCore, Inc., Wilmington, DE, United States; Eli Lilly and Company, Indianapolis, IN, United States; CGH Medical Center, Sterling, IL, United States; Johns Hopkins University School of Medicine, Baltimore, MD, United States</t>
  </si>
  <si>
    <t>Purpose: The aim of this study was to investigate real-world patient characteristics, medication use, and health care resource utilization (HCRU) and costs among patients with clinical atherosclerotic cardiovascular disease (ASCVD) as defined by 2013 American College of Cardiology/ American Heart Association (ACC/AHA) guidelines, to examine burden of disease and unmet needs, such as potential undertreatment. Patients and methods: This retrospective cohort study utilized a nationally representative managed care database to identify newly diagnosed ASCVD patients between January 1, 2007, and November 30, 2012 (index = first ASCVD diagnosis date) in the USA. Patients had ≥12- month pre-index (baseline) and ≥12-month post-index (follow-up) health plan enrollment and no baseline lipid-lowering medication (LLM). Patient characteristics, LLM utilization patterns, HCRU, and costs were examined for all patients and by subgroups based on LLM use pattern and/or follow-up low-density lipoprotein cholesterol (LDL-C) levels. Results: A total of 128,017 ASCVD patients were identified with a mean (SD) age of 59 (13) years, 43.1% female, and 48.8% with ≥36-month follow-up. Within 12-month follow-up, 10.6% had high-intensity statins and 56.9% had no LLM fills. Baseline mean (SD) all-cause costs were $8,852 ($25,608). At 12-month follow-up, mean (SD) all-cause and ASCVD-related costs were $31,443 ($54,040) and $20,289 ($45,159), respectively. The 36-month analyses showed similar distributions. Multivariable analyses showed that age, gender, region, health insurance type, baseline comorbidities, baseline use of specific medications, baseline lipid profiles, and index ASCVD type were significantly associated with all-cause and ASCVD-related health care costs. Conclusion: Patients have nonoptimal treatment for ASCVD and substantial HCRU and costs associated with residual risk. Unmet needs and cost burdens of ASCVD patients merit additional investigation. © 2018 Power et al.</t>
  </si>
  <si>
    <t>ASCVD; Guidelines; Health care resource utilization and costs; Lipid-lowering medications; Low-density lipoprotein cholesterol; Real-world evidence; Statins; Treatment patterns</t>
  </si>
  <si>
    <t>Dove Medical Press Ltd.</t>
  </si>
  <si>
    <t>Vasc. Health Risk Manage.</t>
  </si>
  <si>
    <t>2-s2.0-85041517680</t>
  </si>
  <si>
    <t>Wang, Rose E. (57310835000); Wirawarn, Pawan (58476808800); Goodman, Noah (12767629400); Demszky, Dorottya (57210871455)</t>
  </si>
  <si>
    <t>SIGHT: A Large Annotated Dataset on Student Insights Gathered from Higher Education Transcripts</t>
  </si>
  <si>
    <t>Proceedings of the Annual Meeting of the Association for Computational Linguistics</t>
  </si>
  <si>
    <t>https://www.scopus.com/inward/record.uri?eid=2-s2.0-85174531400&amp;partnerID=40&amp;md5=d2f980930af2fe78838aabf013f13105</t>
  </si>
  <si>
    <t>Stanford University, United States</t>
  </si>
  <si>
    <t>Lectures are a learning experience for both students and teachers. Students learn from teachers about the subject material, while teachers learn from students about how to refine their instruction. However, online student feedback is unstructured and abundant, making it challenging for teachers to learn and improve. We take a step towards tackling this challenge. First, we contribute a dataset for studying this problem: SIGHT is a large dataset of 288 math lecture transcripts and 15,784 comments collected from the Massachusetts Institute of Technology OpenCourseWare (MIT OCW) YouTube channel. Second, we develop a rubric for categorizing feedback types using qualitative analysis. Qualitative analysis methods are powerful in uncovering domain-specific insights, however they are costly to apply to large data sources. To overcome this challenge, we propose a set of best practices for using large language models (LLMs) to cheaply classify the comments at scale. We observe a striking correlation between the model’s and humans’ annotation: Categories with consistent human annotations (&gt;0.9 inter-rater reliability, IRR) also display higher human-model agreement (&gt;0.7), while categories with less consistent human annotations (0.7-0.8 IRR) correspondingly demonstrate lower human-model agreement (0.3-0.5). These techniques uncover useful student feedback from thousands of comments, costing around $0.002 per comment. We conclude by discussing exciting future directions on using online student feedback and improving automated annotation techniques for qualitative research. © 2023 Association for Computational Linguistics.</t>
  </si>
  <si>
    <t>Computational linguistics; Education computing; Large dataset; Annotated datasets; High educations; Human annotations; Human modelling; Interrater reliability; Learn+; Learning experiences; Qualitative analysis; Student feedback; Teachers'; Students</t>
  </si>
  <si>
    <t>0736587X</t>
  </si>
  <si>
    <t>Proc. Annu. Meet. Assoc. Comput Linguist.</t>
  </si>
  <si>
    <t>2-s2.0-85174531400</t>
  </si>
  <si>
    <t>The prognostic value of locoregional interventions for braf v600e metastatic colorectal cancer: A retrospective cohort analysis</t>
  </si>
  <si>
    <t>Biomolecules</t>
  </si>
  <si>
    <t>10.3390/biom11091268</t>
  </si>
  <si>
    <t>https://www.scopus.com/inward/record.uri?eid=2-s2.0-85113304079&amp;doi=10.3390%2fbiom11091268&amp;partnerID=40&amp;md5=afa2ecff2674e753298c2bfaa6aa1ed3</t>
  </si>
  <si>
    <t>Collaborative Innovation Center for Cancer Medicine, Sun Yat-sen University Cancer Center, State Key Laboratory of Oncology in South China, Sun Yat-sen University, Guangzhou, 510060, China; Research Unit of Precision Diagnosis and Treatment for Gastrointestinal Cancer, Chinese Academy of Medical Sciences, Guangzhou, 510060, China; Department of Medical Oncology, Sun Yat-sen University Cancer Center, Guangzhou, 510060, China; Department of Molecular Diagnostics, Sun Yat-sen University Cancer Center, Guangzhou, 510060, China; Department of Oncology, Jieyang Affiliated Hospital, Sun Yat-sen University, Jieyang, 522000, China; Department of Pathology, Sun Yat-sen University Cancer Center, Guangzhou, 510060, China</t>
  </si>
  <si>
    <t>The prognostic heterogeneity in patients with BRAF V600E metastatic colorectal cancer (mCRC) remains poorly defined. Real-world data of 93 BRAF V600E mCRC patients from Sun Yat-sen University Cancer Center were evaluated using the prognostic factors affecting overall survival (OS). Treatment of metastases served as an independent prognosticator, where curative locoregional interventions (LRIs) were associated with superior clinical outcomes (adjusted hazard ratio (HR): 0.46, 95% confidence interval (CI): 0.22–0.98; p = 0.044). The LRIs group showed an improved median OS of 49.4 months versus 18.3 months for the palliative treatments (PTs) group. The median OS of patients with colorectal liver metastasis (CRLM) was significantly prolonged after undergoing LRIs (42.4 vs. 23.7 months; HR: 0.11, 95% CI: 0.01–1.22; p = 0.030), and patients in the LRIs plus liver-limited or lung-limited metastasis (LLM) group benefited more than those in the LRIs plus non-LLM group when compared to the PTs group (LLM from LRIs vs. PTs, HR: 0.16, 95% CI: 0.04–0.68; p = 0.006. Non-LLM from LRIs vs. PTs, HR: 0.47, 95% CI: 0.21–1.05; p = 0.074). In conclusion, we confirmed the positive prognostic value of LRIs in BRAF V600E mCRC, particularly in patients with CRLM or LLM. © 2021 by the authors. Licensee MDPI, Basel, Switzerland.</t>
  </si>
  <si>
    <t>BRAF V600E; Heterogeneity; Locoregional interventions; Metastatic colorectal cancer; Prognosis</t>
  </si>
  <si>
    <t>MDPI AG</t>
  </si>
  <si>
    <t>2218273X</t>
  </si>
  <si>
    <t>2-s2.0-85113304079</t>
  </si>
  <si>
    <t>Lemke, Claudia (57220786224); Kirchner, Kathrin (35307613600); Anandarajah, Liadan (58001764100); Herfurth, Florian N. (58753685400)</t>
  </si>
  <si>
    <t>Exploring the Student Perspective: Assessing Technology Readiness and Acceptance for Adopting Large Language Models in Higher Education</t>
  </si>
  <si>
    <t>https://www.scopus.com/inward/record.uri?eid=2-s2.0-85179132345&amp;partnerID=40&amp;md5=a0a59cab7675f7ef54ad7c47b633bcd2</t>
  </si>
  <si>
    <t>Business Information Systems, Berlin School of Economics and Law, Berlin, Germany; Department of Technology, Management and Economics, Technical University of Denmark, Lyngby, Denmark; Humboldt-Universität zu Berlin, Berlin, Germany</t>
  </si>
  <si>
    <t>Digital technologies are changing and will continue to change how we learn and teach today and in the future. With the latest developments in the field of generative artificial intelligence (AI), particularly large language models (LLMs), the question of using AI-based tools in academic education is ruling the current discussions about the transformative impact of AI in higher education (HE). These discussions range from banning these technologies for learning and teaching in HE to guided study support. This study avoids taking up these multifarious and partly controversial debates. Instead, we show how students perceive using AI-based tools for automated text generation for their studies. Drawing on a synthesis of two theories: the 'Technology Readiness Index' (TRI) and 'Technology Acceptance Model' (TAM). The model is validated based on survey data collected among undergraduate first-semester students (N=111) of a computer science-related study programme in Germany in winter 2022/23. The students had to evaluate their relationship to that new technology focusing on their readiness for technology adoption and acceptance. By analysing the collected data with a partial least squares model, we find that the optimism toward the new technology positively influences technology acceptance, while discomfort with the technology negatively influences perceived ease of use. The paper concludes with recommendations for action for adopting LLMs in HE. A proper investment in building AI skills in academic teaching plays a valuable role in fostering the students' positive attitude and innovativeness towards this new technology. Additionally, there is a need for more education about the risks and challenges of using this technology to reduce the impact of factors such as discomfort on ease of use. This requires a factual discourse, away from the current hype-induced exaggerated and hyperbolic statements, for instance, in developing formal guidance for universities. © 2023 Academic Conferences Limited. All rights reserved.</t>
  </si>
  <si>
    <t>Higher Education; Large Language Models; Student Perspective; Technology Acceptance; Technology Readiness</t>
  </si>
  <si>
    <t>Computational linguistics; Education computing; Engineering education; Least squares approximations; 'current; Digital technologies; High educations; Language model; Large language model; Latest development; Learn+; Student perspectives; Technology acceptance; Technology readiness; Students</t>
  </si>
  <si>
    <t>2-s2.0-85179132345</t>
  </si>
  <si>
    <t>Enhancing Biomedical Text Summarization and Question-Answering: On the Utility of Domain-Specific Pre-Training University of Technology Sydney participation in BioASQ Task 11b Phase B</t>
  </si>
  <si>
    <t>https://www.scopus.com/inward/record.uri?eid=2-s2.0-85175638168&amp;partnerID=40&amp;md5=bc08dac7b28eb9b20c7e60593fe27ab7</t>
  </si>
  <si>
    <t>University of Technology Sydney (UTS), Australia</t>
  </si>
  <si>
    <t>Biomedical summarization requires large datasets to train for text generation. We show that while transfer learning offers a viable option for addressing this challenge, an in-domain pre-training does not always offer advantages in a BioASQ summarization task. We identify a suitable model architecture and use it to show a benefit of a general-domain pre-training followed by a task-specific fine-tuning in the context of a BioASQ summarization task, leading to a novel three-step fine-tuning approach that works with only a thousand in-domain examples. Our results indicate that a Large Language Model without domain-specific pre-training can have a significant edge in some domain-specific biomedical text generation tasks. © 2023 Copyright for this paper by its authors.</t>
  </si>
  <si>
    <t>BioASQ; biomedical question answering; biomedical summarization; CEUR-WS; domain-specific pre-training; language modeling; natural language processing; transfer learning</t>
  </si>
  <si>
    <t>Computational linguistics; Modeling languages; Natural language processing systems; Transfer learning; BioASQ; Biomedical question answering; Biomedical summarization; CEUR-WS; Domain specific; Domain-specific pre-training; Language model; Language processing; Natural language processing; Natural languages; Pre-training; Transfer learning; Large dataset</t>
  </si>
  <si>
    <t>2-s2.0-85175638168</t>
  </si>
  <si>
    <t>Siragusa, Irene (58636100700); Pirrone, Roberto (6603614874)</t>
  </si>
  <si>
    <t>Conditioning Chat-GPT for Information Retrieval: The Unipa-GPT Case Study</t>
  </si>
  <si>
    <t>https://www.scopus.com/inward/record.uri?eid=2-s2.0-85178352259&amp;partnerID=40&amp;md5=1d1354231fe569785be2e7e9a9a6203a</t>
  </si>
  <si>
    <t>Dipartimento di Ingegneria, Università Degli Studi di Palermo, Viale delle Scienze, Edificio 6, Palermo, 90128, Italy</t>
  </si>
  <si>
    <t>This paper illustrates the architecture and training of Unipa-GPT, a Large Language Model based chatbot developed for assisting students in choosing a bachelor/master degree course at the University of Palermo. Unipa-GPT relies on gpt-3.5-turbo, it was presented in the context of the European Researchers' Night SHARPER event. In our experiments we adopted both the Retrieval Augmented Generation (RAG) approach and fine-tuning to develop the system. The whole architecture of Unipa-GPT is presented, both the RAG and the fine-tuned systems are compared, and a brief discussion on their performance is reported.  © 2023 Copyright for this paper by its authors.</t>
  </si>
  <si>
    <t>ChatGPT; Fine-tuning; Large Language Model; RAG</t>
  </si>
  <si>
    <t>Case-studies; Chatbots; ChatGPT; Fine tuning; Language model; Large language model; Master degree; Model-based OPC; Retrieval augmented generation; University of Palermo; Computational linguistics</t>
  </si>
  <si>
    <t>2-s2.0-85178352259</t>
  </si>
  <si>
    <t>Kessler M.</t>
  </si>
  <si>
    <t>Investigating connections between teacher identity and pedagogy in a content-based classroom</t>
  </si>
  <si>
    <t>10.1016/j.system.2021.102551</t>
  </si>
  <si>
    <t>https://www.scopus.com/inward/record.uri?eid=2-s2.0-85107907444&amp;doi=10.1016%2fj.system.2021.102551&amp;partnerID=40&amp;md5=35d0dc1b2ca95c74325a8b2127130755</t>
  </si>
  <si>
    <t>University of South Florida, United States</t>
  </si>
  <si>
    <t>Though much scholarship has investigated the nexus of language teachers' identities and classroom pedagogies, such studies often have focused on novice teachers in training or experienced practitioners who are working within university IEP or EAP program contexts. Crucially, little scholarship has examined contexts involving content-based instruction (CBI), where many times, instructors are not linguistically trained yet may adopt discipline-specific practices and/or develop their own unique methods for teaching L2 learners. The current study explores this gap, examining a CBI instructor of a legal research and writing course in an L2 English legal education program (i.e., LLM program). For 16 weeks, the researcher conducted a classroom-based ethnography to investigate how an experienced law instructor's various role identities impacted his pedagogical practices as he taught LLM students to write a legal genre called the office memorandum. Data consisted of: in-class observations, fieldnotes, artifacts (e.g., syllabi, assignments), semi-structured interviews, and a visualization reflection. The findings illustrate how three primary role identities shaped the instructor's pedagogy in ways that permeated his curriculum design and his manner of lesson presentation. Implications for L2 educators and researchers are discussed. © 2021 Elsevier Ltd</t>
  </si>
  <si>
    <t>Beliefs; Genre; Identity; Law; Reading; Writing</t>
  </si>
  <si>
    <t>2-s2.0-85107907444</t>
  </si>
  <si>
    <t>BIT.UA at BioASQ 11B: Two-Stage IR with Synthetic Training and Zero-Shot Answer Generation</t>
  </si>
  <si>
    <t>https://www.scopus.com/inward/record.uri?eid=2-s2.0-85175640751&amp;partnerID=40&amp;md5=fa33d83b1fac566ffbd3785123af4055</t>
  </si>
  <si>
    <t>IEETA/DETI, LASI, University of Aveiro, Portugal</t>
  </si>
  <si>
    <t>This paper presents the efforts of the Biomedical Informatics and Technologies (BIT) group at the University of Aveiro in the eleventh edition of the BioASQ challenge. This paper presents our efforts in the eleventh edition of the BioASQ challenge. We addressed Task B in its two phases: document retrieval (phase A) and question answering (phase B). In phase A, we utilized a sparse retrieval method for initial document retrieval, implemented using Anserini, followed by a re-ranking step using transformer models, including monoT5 and PubMedBERT. Phase B featured the application of large language models (LLMs) to generate answers to questions based on a relevant article, with models such as Alpaca-LoRA, OA-Pythia, and OA-LLaMA. We also explored a variety of prompts and question types, as well as different generation strategies to optimize our system’s performance. Our systems, in phase A, achieved competitive results scoring at the top and close to the top for all the batches, and achieving the best results in terms of F1 for all the batches. Regarding the phase B, our systems underperformed according to the automatic measures. Code to reproduce our submissions is available at https://github.com/ieeta-pt/BioASQ_11B. © 2023 Copyright for this paper by its authors.</t>
  </si>
  <si>
    <t>Answer Generation; Dense Retrieval; Information Retrieval; Language model</t>
  </si>
  <si>
    <t>Bioinformatics; Computational linguistics; Natural language processing systems; Zero-shot learning; Answer generation; Biomedical informatics; Biomedical technologies; Dense retrieval; Document Retrieval; In-phase; Language model; Phase A; Question Answering; Two phase; Information retrieval</t>
  </si>
  <si>
    <t>2-s2.0-85175640751</t>
  </si>
  <si>
    <t>Willey, Lorrie (36057766500); White, Barbara Jo (55417495300); Deale, Cynthia S. (16240762200)</t>
  </si>
  <si>
    <t>Teaching AI in the college course: introducing the AI prompt development life cycle (PDLC)</t>
  </si>
  <si>
    <t>Issues in Information Systems</t>
  </si>
  <si>
    <t>10.48009/2_iis_2023_111</t>
  </si>
  <si>
    <t>https://www.scopus.com/inward/record.uri?eid=2-s2.0-85174247261&amp;doi=10.48009%2f2_iis_2023_111&amp;partnerID=40&amp;md5=bf90b1f416de9274e54eeea7de42393a</t>
  </si>
  <si>
    <t>Western Carolina University, United States; East Carolina University, United States</t>
  </si>
  <si>
    <t>This paper discusses how the public emergence of generative AI is compelling those in academia to rethink teaching and learning and to consider the impact AI has on higher education. The decision as to when to use generative AI in a college course, and when not to, is now a significant component in the development of student assessment and activities. Obviously, there are academic activities that require students to engage in original work. In those instances, generative AI is not appropriate, and faculty will need to consider how to avoid the tool. In those instances where generative AI is encouraged, teaching students to use the tools available to them effectively is necessary. For productive generative AI prompts, awareness of the thought process related to developing prompts, and techniques for writing prompts, is essential. This paper introduces the prompt development life cycle (PDLC) which provides a framework to introduce students to the cognitive aspects of writing a prompt and some basic techniques that can enhance their prompt development skills. Activities to assist in developing the PDLC mindset are also included. © 2023 International Association for Computer Information Systems.</t>
  </si>
  <si>
    <t>ChatGPT; generative AI; large language model; LLM; PDLC; prompt development life cycle; prompt engineering</t>
  </si>
  <si>
    <t>International Association for Computer Information Systems</t>
  </si>
  <si>
    <t>Issue. Inf. Syst.</t>
  </si>
  <si>
    <t>2-s2.0-85174247261</t>
  </si>
  <si>
    <t>Whitfield, Sharon (57210415729); Hofmann, Melissa A. (36482822200)</t>
  </si>
  <si>
    <t>Elicit: AI literature review research assistant</t>
  </si>
  <si>
    <t>Public Services Quarterly</t>
  </si>
  <si>
    <t>10.1080/15228959.2023.2224125</t>
  </si>
  <si>
    <t>https://www.scopus.com/inward/record.uri?eid=2-s2.0-85171659172&amp;doi=10.1080%2f15228959.2023.2224125&amp;partnerID=40&amp;md5=3d7af440639d05ea8ce7633862eb200b</t>
  </si>
  <si>
    <t>University Libraries at Rider University, Lawrenceville, NJ, United States</t>
  </si>
  <si>
    <t>Can Artificial Intelligence (AI) be used for good in the academic and creative worlds? This is a question that is being asked by educators who are concerned about student learning and academic integrity AI use in higher education. Numerous articles decry the potential of college students using AI to cheat on exam questions, discussion board posts, and research papers. Yet, through the use of language learning models (LLM), AI may be used as a tool to increase efficiency, perform repetitive tasks, and aid with research and analysis. It is through the lens of AI as a tool, not as a concern or replacement of human involvement, that the authors examined Elicit.org, a literature review search tool that uses LLM to aid the research process. © 2023 The Author(s). Published with license by Taylor &amp; Francis Group, LLC.</t>
  </si>
  <si>
    <t>Artificial intelligence; literature review; search engine</t>
  </si>
  <si>
    <t>Public Serv. Q.</t>
  </si>
  <si>
    <t>2-s2.0-85171659172</t>
  </si>
  <si>
    <t>Leung, Tiffany I. (57023066700); Sagar, Ankita (53865721000); Shroff, Swati (57488897900); Henry, Tracey L. (56599931800)</t>
  </si>
  <si>
    <t>Can AI Mitigate Bias in Writing Letters of Recommendation?</t>
  </si>
  <si>
    <t>e51494</t>
  </si>
  <si>
    <t>10.2196/51494</t>
  </si>
  <si>
    <t>https://www.scopus.com/inward/record.uri?eid=2-s2.0-85170842982&amp;doi=10.2196%2f51494&amp;partnerID=40&amp;md5=d401a758c8467e8576028bfcd7cba5b2</t>
  </si>
  <si>
    <t>Letters of recommendation play a significant role in higher education and career progression, particularly for women and underrepresented groups in medicine and science. Already, there is evidence to suggest that written letters of recommendation contain language that expresses implicit biases, or unconscious biases, and that these biases occur for all recommenders regardless of the recommender’s sex. Given that all individuals have implicit biases that may influence language use, there may be opportunities to apply contemporary technologies, such as large language models or other forms of generative artificial intelligence (AI), to augment and potentially reduce implicit biases in the written language of letters of recommendation. In this editorial, we provide a brief overview of existing literature on the manifestations of implicit bias in letters of recommendation, with a focus on academia and medical education. We then highlight potential opportunities and drawbacks of applying this emerging technology in augmenting the focused, professional task of writing letters of recommendation. We also offer best practices for integrating their use into the routine writing of letters of recommendation and conclude with our outlook for the future of generative AI applications in supporting this task. © 2023 JMIR Medical Education. All rights reserved.</t>
  </si>
  <si>
    <t>artificial intelligence; bias; career advancement; gender bias; implicit bias; large language models; leadership; letters of recommendation; medical education; promotion; sponsorship; tenure and promotion</t>
  </si>
  <si>
    <t>2-s2.0-85170842982</t>
  </si>
  <si>
    <t>A Wolf in Sheep’s Clothing? Critical Discourse Analysis of Five Online Automated Paraphrasing Sites</t>
  </si>
  <si>
    <t>10.53761/1.20.7.08</t>
  </si>
  <si>
    <t>https://www.scopus.com/inward/record.uri?eid=2-s2.0-85176796676&amp;doi=10.53761%2f1.20.7.08&amp;partnerID=40&amp;md5=d54594d0c8bfcf22823ba8e8fbd70036</t>
  </si>
  <si>
    <t>Auckland University of Technology, New Zealand</t>
  </si>
  <si>
    <t>Research on academic integrity used to focus more on student character and behaviour. Now this research includes wider viewing of this issue as a current teaching and learning challenge which requires pedagogical intervention. It is now the responsibility of staff and institutions to treat the creation of a learning environment supporting academic integrity as a teaching and learning priority. Plagiarism by simply copying other people’s work is a well-known misconduct which undermines academic integrity; moreover, technological developments have evolved plagiarism to include the generation and copying of computer-generated text. Automated paraphrasing tool (APT) websites have become increasingly common, offering students machine-generated rephrased text that students input from their own or others’ writing. These developments present a creeping erosion of academic integrity under the guise of legitimate academic assistance. This also has implications for arrival of large language model (LLM) generative AI tools. In accessing these sites, students must discern what is a legitimate use of the tool and what may constitute breaching academic integrity. This study critically analysed the text from five online paraphrasing websites to examine the discourses used to legitimise and encourage APT use in both appropriate and inappropriate ways. We conceptualised these competing discourses using Sheep and Wolf metaphors. In addition, we offer a metaphor of the Educator as a Shepherd to become aware of APT website claims and assist students to develop critical language awareness when exposed to these sites. Educators can assist students with this through knowledge of how these sites use language to entice users to circumvent learning. © by the authors.</t>
  </si>
  <si>
    <t>academic integrity; Automated paraphrasing tools; critical discourse analysis; generative AI; higher education</t>
  </si>
  <si>
    <t>2-s2.0-85176796676</t>
  </si>
  <si>
    <t>Friend or foe? Exploring the implications of large language models on the science system</t>
  </si>
  <si>
    <t>AI and Society</t>
  </si>
  <si>
    <t>10.1007/s00146-023-01791-1</t>
  </si>
  <si>
    <t>https://www.scopus.com/inward/record.uri?eid=2-s2.0-85174915037&amp;doi=10.1007%2fs00146-023-01791-1&amp;partnerID=40&amp;md5=0ddfb1eb8715bb84a24bf6babf1ceb6a</t>
  </si>
  <si>
    <t>Alexander von Humboldt Institute for Internet and Society, Berlin, Germany; Wissenschaft im Dialog, Berlin, Germany; DBU Digital Business University of Applied Sciences, Berlin, Germany</t>
  </si>
  <si>
    <t>The advent of ChatGPT by OpenAI has prompted extensive discourse on its potential implications for science and higher education. While the impact on education has been a primary focus, there is limited empirical research on the effects of large language models (LLMs) and LLM-based chatbots on science and scientific practice. To investigate this further, we conducted a Delphi study involving 72 researchers specializing in AI and digitization. The study focused on applications and limitations of LLMs, their effects on the science system, ethical and legal considerations, and the required competencies for their effective use. Our findings highlight the transformative potential of LLMs in science, particularly in administrative, creative, and analytical tasks. However, risks related to bias, misinformation, and quality assurance need to be addressed through proactive regulation and science education. This research contributes to informed discussions on the impact of generative AI in science and helps identify areas for future action. © 2023, The Author(s).</t>
  </si>
  <si>
    <t>Delphi study; Large language models; Scholarly communication; Science system</t>
  </si>
  <si>
    <t>Computational linguistics; Chatbots; DELPHI study; Empirical research; High educations; Language model; Large language model; Model-based OPC; Scholarly communication; Science education; Science systems; Quality assurance</t>
  </si>
  <si>
    <t>AI Soc.</t>
  </si>
  <si>
    <t>2-s2.0-85174915037</t>
  </si>
  <si>
    <t>Artificial intelligence for health message generation: an empirical study using a large language model (LLM) and prompt engineering</t>
  </si>
  <si>
    <t>Frontiers in Communication</t>
  </si>
  <si>
    <t>10.3389/fcomm.2023.1129082</t>
  </si>
  <si>
    <t>https://www.scopus.com/inward/record.uri?eid=2-s2.0-85161405789&amp;doi=10.3389%2ffcomm.2023.1129082&amp;partnerID=40&amp;md5=479314891447ac621e0486329631ece1</t>
  </si>
  <si>
    <t>Department of Communication, Michigan State University, East Lansing, MI, United States</t>
  </si>
  <si>
    <t>Introduction: This study introduces and examines the potential of an AI system to generate health awareness messages. The topic of folic acid, a vitamin that is critical during pregnancy, served as a test case. Method: We used prompt engineering to generate awareness messages about folic acid and compared them to the most retweeted human-generated messages via human evaluation with an university sample and another sample comprising of young adult women. We also conducted computational text analysis to examine the similarities between the AI-generated messages and human generated tweets in terms of content and semantic structure. Results: The results showed that AI-generated messages ranked higher in message quality and clarity across both samples. The computational analyses revealed that the AI generated messages were on par with human-generated ones in terms of sentiment, reading ease, and semantic content. Discussion: Overall, these results demonstrate the potential of large language models for message generation. Theoretical, practical, and ethical implications are discussed. Copyright © 2023 Lim and Schmälzle.</t>
  </si>
  <si>
    <t>artificial intelligence; folic acid (FA); health communication; message generation; prompt engineering; social media</t>
  </si>
  <si>
    <t>Frontiers Media S.A.</t>
  </si>
  <si>
    <t>2297900X</t>
  </si>
  <si>
    <t>Front. Commun.</t>
  </si>
  <si>
    <t>2-s2.0-85161405789</t>
  </si>
  <si>
    <t>24th International Conference on Artificial Intelligence in Education, AIED 2023</t>
  </si>
  <si>
    <t>13916 LNAI</t>
  </si>
  <si>
    <t>https://www.scopus.com/inward/record.uri?eid=2-s2.0-85164911495&amp;partnerID=40&amp;md5=a466d41843d6bfdb421d1aca1edec0ed</t>
  </si>
  <si>
    <t>The proceedings contain 79 papers. The special focus in this conference is on Artificial Intelligence in Education. The topics include: The Road Not Taken: Preempting Dropout in MOOCs; does Informativeness Matter? Active Learning for Educational Dialogue Act Classification; can Virtual Agents Scale Up Mentoring?: Insights from College Students’ Experiences Using the CareerFair.ai Platform at an American Hispanic-Serving Institution; Real-Time AI-Driven Assessment and Scaffolding that Improves Students’ Mathematical Modeling during Science Investigations; Improving Automated Evaluation of Student Text Responses Using GPT-3.5 for Text Data Augmentation; the Automated Model of Comprehension Version 3.0: Paying Attention to Context; smartPhone: Exploring Keyword Mnemonic with Auto-generated Verbal and Visual Cues; analysing Verbal Communication in Embodied Team Learning Using Multimodal Data and Ordered Network Analysis; improving Adaptive Learning Models Using Prosodic Speech Features; neural Automated Essay Scoring Considering Logical Structure; “Why My Essay Received a 4?”: A Natural Language Processing Based Argumentative Essay Structure Analysis; leveraging Deep Reinforcement Learning for Metacognitive Interventions Across Intelligent Tutoring Systems; enhancing Stealth Assessment in Collaborative Game-Based Learning with Multi-task Learning; how Peers Communicate Without Words-An Exploratory Study of Hand Movements in Collaborative Learning Using Computer-Vision-Based Body Recognition Techniques; scalable Educational Question Generation with Pre-trained Language Models; involving Teachers in the Data-Driven Improvement of Intelligent Tutors: A Prototyping Study; reflexive Expressions: Towards the Analysis of Reflexive Capability from Reflective Text; Implementing and Evaluating ASSISTments Online Math Homework Support At large Scale over Two Years: Findings and Lessons Learned; algebra Error Classification with Large Language Models; exploration of Annotation Strategies for Automatic Short Answer Grading; impact of Learning a Subgoal-Directed Problem-Solving Strategy Within an Intelligent Logic Tutor; Matching Exemplar as Next Sentence Prediction (MeNSP): Zero-Shot Prompt Learning for Automatic Scoring in Science Education; preface.</t>
  </si>
  <si>
    <t>2-s2.0-85164911495</t>
  </si>
  <si>
    <t>Cardiovascular risk management in people with type 1 diabetes: Performance using three guidelines</t>
  </si>
  <si>
    <t>BMJ Open Diabetes Research and Care</t>
  </si>
  <si>
    <t>bmjdrc-2022-002765</t>
  </si>
  <si>
    <t>10.1136/bmjdrc-2022-002765</t>
  </si>
  <si>
    <t>https://www.scopus.com/inward/record.uri?eid=2-s2.0-85134783154&amp;doi=10.1136%2fbmjdrc-2022-002765&amp;partnerID=40&amp;md5=d2b80be3e6438b647eb094e5e1e709fc</t>
  </si>
  <si>
    <t>Department of Endocrinology, University Medical Center Groningen, Groningen, Netherlands; Diabeter, Center for Focussed Diabetes Care and Research, Rotterdam, Netherlands; Department of Genetics, University Medical Center Groningen, Groningen, Netherlands</t>
  </si>
  <si>
    <t>diabetes complications; diabetes mellitus, type 1; guideline adherence</t>
  </si>
  <si>
    <t>BMJ Publishing Group</t>
  </si>
  <si>
    <t>BMJ Open Diabetes Res. Care</t>
  </si>
  <si>
    <t>2-s2.0-85134783154</t>
  </si>
  <si>
    <t>Holland B.J.</t>
  </si>
  <si>
    <t>ChatGPT 3.5 and 4: Its Ramifications on Librarianship, Academia, Education, Publishing, and the Workplace</t>
  </si>
  <si>
    <t>Handbook of Research on Advancements of Contactless Technology and Service Innovation in Library and Information Science</t>
  </si>
  <si>
    <t>10.4018/978-1-6684-7693-2.ch016</t>
  </si>
  <si>
    <t>https://www.scopus.com/inward/record.uri?eid=2-s2.0-85167751898&amp;doi=10.4018%2f978-1-6684-7693-2.ch016&amp;partnerID=40&amp;md5=e75f056755cc6d8d62836b054d4c4f70</t>
  </si>
  <si>
    <t>November 2022, ChatGPT, a powerful chat-like AI tool, was created by a company named Open AI. ChatGPT is a large language model (LLM) and a subset of machine learning that can identify, condense, translate, predict, and produce text. The large language model (LLM), sometimes called “autocomplete on steroids,” has drawn attention for its ability to present human-like answers to queries. Its work has received passing grades on university law and business exams and has been used in a Colombian court to help decide a legal ruling. Academia has expressed concern as to AI’s potential to undermine the education system or contribute to academic dishonesty if students use the technology in place of their thoughts, opinions, and research. Moreover, journal editors, researchers, and publishers are now debating the place of such AI tools in the published literature and whether it’s appropriate to cite the bot as an author. This chapter explores ChatGPT and its impact on librarianship, academia, scholarly research, the workplace, and other entities. © 2023 by IGI Global. All rights reserved.</t>
  </si>
  <si>
    <t>Handb. of Research on Advancements of Contactless Technology and Service Innovation in Library and Information Science</t>
  </si>
  <si>
    <t>2-s2.0-85167751898</t>
  </si>
  <si>
    <t>Leadership is needed for ethical ChatGPT: Character, assessment, and learning using artificial intelligence (AI)</t>
  </si>
  <si>
    <t>10.53761/1.20.3.02</t>
  </si>
  <si>
    <t>https://www.scopus.com/inward/record.uri?eid=2-s2.0-85151126783&amp;doi=10.53761%2f1.20.3.02&amp;partnerID=40&amp;md5=e6d6f855fc347dfc08147a3e571c3ca4</t>
  </si>
  <si>
    <t>University of Tasmania, Australia; Central Queensland University, Australia; Monash University, Australia</t>
  </si>
  <si>
    <t>The OpenAI’s ChatGPT-3, or Chat Generative Pre-Trained Transformer was released in November 2022 without significant warning, and has taken higher education by storm since. The artificial intelligence (AI)-powered chatbot has caused alarm for practitioners seeking to detect authenticity of student work. Whereas some educational doomsayers predict the end of education in its current form, we propose an alternate early view. We identify in this commentary a position where educators can leverage AI like ChatGPT to build supportive learning environments for students who have cultivated good character. Such students know how to use ChatGPT for good, and can engage effectively with the ChatGPT application. In building our ChatGPT argument, we acknowledge the existing literature on plagiarism and academic integrity, and consider leadership as a root support mechanism, character development as an antidote, and authentic assessment as an enabler. In doing so, we highlight that while ChatGPT – like papermills, and degree factories before it – can be used to cheat on university exams, it can also be used to support deeper learning and better learning outcomes for students. In doing so, we offer a commentary that offers opportunities for practitioners, and research potential for scholars. Practitioner Notes 1. OpenAI’s ChatGPT-3 has taken higher education by storm with threats of plagiarism and integrity as key concerns. 2. We argue that effective teacher leadership is needed to develop student character so they use ChatGPT for good, rather than for personal benefit. 3. ChatGPT can create new and innovative authentic assessment in higher education. 4. ChatGPT offers students the opportunity to simplify the learning process to create less distraction, and more flow. © 2023, University of Wollongong. All rights reserved.</t>
  </si>
  <si>
    <t>academic integrity; artificial intelligence; ChatGPT; large language model; OpenAI; student character</t>
  </si>
  <si>
    <t>2-s2.0-85151126783</t>
  </si>
  <si>
    <t>European Projects for Patients with Dementia and Their Caregivers</t>
  </si>
  <si>
    <t>Advances in Experimental Medicine and Biology</t>
  </si>
  <si>
    <t>10.1007/978-3-031-31986-0_59</t>
  </si>
  <si>
    <t>https://www.scopus.com/inward/record.uri?eid=2-s2.0-85168192011&amp;doi=10.1007%2f978-3-031-31986-0_59&amp;partnerID=40&amp;md5=d8c14dbceccab14393357f277850cba9</t>
  </si>
  <si>
    <t>Alzheimer Hellas, Thessaloniki, Greece; Laboratory of Neurodegenerative diseases, Center for Interdisciplinary Research and Innovation (CIRI-AUTh), Balkan Center, Aristotle University of Thessaloniki, Thessaloniki, Greece; Network Aging Research, Heidelberg University, Heidelberg, Germany</t>
  </si>
  <si>
    <t>As we all know there is no treatment that can stop or delay the progression of dementia. The treatment we use is only symptomatic. EFNS (European Federation of Neurological Societies) recommendations for dementia prevention by Sorbi et al. (2012) concluded that there is no treatment, no lifestyle, which could have an effect on prevention or delay of onset of different forms of dementia until today. The future studies in prevention must recruit younger people, larger sample, and for longer period. The last 10 years we have run, in collaboration with organizations in different European countries, many projects in order to support patients with neurodegenerative diseases, mainly patients with dementia and their caregivers. The first project was a 2-year prospective cohort study of antidementia drug non-persistency in mild-to-moderate Alzheimer’s disease (AD) in Europe: predictors of discontinuation and switch in the ICTUS (Impact of Cholinergic Treatment USe) study, an FP5 project with 1380 patients. Five studies were published. The second project was DESCRIPA study, an FP5 project to DEvelopment of Screening guidelines and clinical CRIteria for Predementia Alzheimer’s disease, with 881 patients with mild cognitive impairment (MCI). LLM (Long Lasting Memories) and VRADA (A virtual reality application for the exercise of dementia and Alzheimer patients) are two projects that include body and cognitive exercise for health for the elderly and patients with mild cognitive impairment. The next is the RECAGE (REspectful Caring for the AGitated Elderly) project (Horizon 2020), a prospective cohort study for coping with behavioral and psychological symptoms of dementia. With six European universities we finished a very interesting FP6 project, the AddNeuroMed one, which gives even now information about the progression of normal elderly MCI and AD patients, in collaboration with other consortia. A very interesting Innovative Medicines Initiative (IMI) project about digital biomarkers was entitled Remote Assessment of Disease and Relapse—Alzheimer’s Disease (RADAR project). The main goal of this project was the development and validation of technology-enabled, quantitative and sensitive measures of functional decline in people with early-stage AD. A running project is an Erasmus+ one in the higher education field, “Genetic counseling in European universities: The case of neurodegenerative diseases” (GECONEU project). The target of this study is to develop an online course for university students focusing on genetic counseling, and support people and society to better understand the aims of genetic testing and the usefulness of genetic counseling by involving students in an innovative learning and teaching setting. AD-gaming, BRIDGE, iCONNECT (Intergenerational CONtact between studeNts and people with dEmentia through CreaTive education), E.L.So.M.C.I (English Lessons with the Use of Songs for People with Mild Cognitive Impairment), Games4CoSkills, and De-Sign are all Erasmus+ projects that aim to improve the quality of life of patients with MCI or dementia. Story2remember, Dementia right, ASPAD (Augmentation of the Support of Patients suffering from Alzheimer’s Disease and their caregivers), INFOCARE (Supporting Informal Caregivers of People with Dementia), S.IN.CA.L.A (Supporting Informal Carers: A Whole-Family and Life course Approach), and PIA (Peer support workers as an Innovative force in Advocacy in dementia care) are all Erasmus+ projects for training and supporting caregivers of patients with dementia. © 2023, The Author(s), under exclusive license to Springer Nature Switzerland AG.</t>
  </si>
  <si>
    <t>AD-gaming; AddNeuroMed; ASPAD; BRIDGE; De-Sign; Dementia right; DESCRIPA; E.L.So.M.C.I; European projects; Games4CoSkills; GECONEU; iCONNECT; ICTUS; INFOCARE; LLM; PIA; RADAR; RECAGE; S.IN.CA.L.A; Story2remember; VRADA</t>
  </si>
  <si>
    <t>AEMBA</t>
  </si>
  <si>
    <t>Adv. Exp. Med. Biol.</t>
  </si>
  <si>
    <t>2-s2.0-85168192011</t>
  </si>
  <si>
    <t>Knowledge-Grounded and Self-extending NER</t>
  </si>
  <si>
    <t>1836 CCIS</t>
  </si>
  <si>
    <t>10.1007/978-3-031-36004-6_60</t>
  </si>
  <si>
    <t>https://www.scopus.com/inward/record.uri?eid=2-s2.0-85169467561&amp;doi=10.1007%2f978-3-031-36004-6_60&amp;partnerID=40&amp;md5=d3a3d232212544c1c736480de88ad4b3</t>
  </si>
  <si>
    <t>University of Applied Sciences, Ansbach, Germany; University of Applied Sciences, Heilbronn, Germany</t>
  </si>
  <si>
    <t>The wave of digitization has begun. Organizations deal with huge amounts of data, such as logs, websites, and documents. A common way to make the information contained in these sources machine-accessible for automated processing is to first extract the information and then store it in a knowledge graph. A key task in this approach is to recognize entities. While common named entity recognition (NER) models work well for common entity types, they typically fail to recognize custom entities. Custom entity recognition requires data to be manually annotated and custom NER models to be trained. To efficiently extract the information, this paper proposes an innovative solution: Our Gazetteer approach uses a knowledge graph to create a coarse and fast NER component, reducing the need for manual annotation and saving human effort. Focusing on a university use case, our Gazetteer is integrated into a chatbot for entity recognition. In addition, data can be annotated using the Gazetteer and an NER model can be trained. Subsequently, the NER model can be used to recognize unseen custom entities, which are then added to the knowledge graph. This will improve the knowledge graph and make it self-extending. © 2023, The Author(s), under exclusive license to Springer Nature Switzerland AG.</t>
  </si>
  <si>
    <t>Chatbots; Knowledge Graphs; Large Language Models; Named Entity Recognition (NER)</t>
  </si>
  <si>
    <t>Data mining; Automated processing; Chatbots; Digitisation; Entity recognition; Knowledge graphs; Language model; Large language model; Named entity recognition; Recognition models; Knowledge graph</t>
  </si>
  <si>
    <t>2-s2.0-85169467561</t>
  </si>
  <si>
    <t>PapagAI: Automated Feedback for Reflective Essays</t>
  </si>
  <si>
    <t>14236 LNAI</t>
  </si>
  <si>
    <t>10.1007/978-3-031-42608-7_16</t>
  </si>
  <si>
    <t>https://www.scopus.com/inward/record.uri?eid=2-s2.0-85174443259&amp;doi=10.1007%2f978-3-031-42608-7_16&amp;partnerID=40&amp;md5=9a39e88919e9c9a0aa4554dbd75735f8</t>
  </si>
  <si>
    <t>Freie Universität Berlin, Berlin, Germany; Friedrich-Alexander-Universität Erlangen-Nürnberg, Erlangen, Germany; Otto-Friedrich-Universität Bamberg, Bamberg, Germany</t>
  </si>
  <si>
    <t>Written reflective practice is a regular exercise pre-service teachers perform during their higher education. Usually, their lecturers are expected to provide individual feedback, which can be a challenging task to perform on a regular basis. In this paper, we present the first open-source automated feedback tool based on didactic theory and implemented as a hybrid AI system. We describe the components and discuss the advantages and disadvantages of our system compared to the state-of-art generative large language models. The main objective of our work is to enable better learning outcomes for students and to complement the teaching activities of lecturers. © 2023, The Author(s), under exclusive license to Springer Nature Switzerland AG.</t>
  </si>
  <si>
    <t>Automated feedback; Dialogue; Hybrid AI; NLP</t>
  </si>
  <si>
    <t>Artificial intelligence; Computational linguistics; Education computing; Open systems; AI systems; Automated feedback; Dialog; Feedback tool; High educations; Hybrid AI; Language model; Open-source; Preservice teachers; Reflective practise; Automation</t>
  </si>
  <si>
    <t>2-s2.0-85174443259</t>
  </si>
  <si>
    <t>Laato, Samuli (57195940928); Morschheuser, Benedikt (56902643500); Hamari, Juho (35361989600); Bjorne, Jari (16027873300)</t>
  </si>
  <si>
    <t>AI-Assisted Learning with ChatGPT and Large Language Models: Implications for Higher Education</t>
  </si>
  <si>
    <t>Proceedings - 2023 IEEE International Conference on Advanced Learning Technologies, ICALT 2023</t>
  </si>
  <si>
    <t>10.1109/ICALT58122.2023.00072</t>
  </si>
  <si>
    <t>https://www.scopus.com/inward/record.uri?eid=2-s2.0-85174404773&amp;doi=10.1109%2fICALT58122.2023.00072&amp;partnerID=40&amp;md5=0c2979f605818acdd2ec59ac90892a4c</t>
  </si>
  <si>
    <t>Tampere University, Gamification Group, Tampere, Finland; Inst. of Information Systems, Fau Erlangen-Nürnberg, Nuremberg, Germany; University of Turku, Dept. of Computing, Turku, Finland</t>
  </si>
  <si>
    <t>The recent progress in generative AI models, particularly large language models (LLMs), has brought about a transformation in the field of education. Conversational LLM services, such as Google's Bard and OpenAI's ChatGPT, offer students access to many abilities such as summarization and generation of text and code, and on-demand replies to questions on expert topics. In this paper, we observe ChatGPT to explore how LLM services impact learning and instruction in higher education. First, we mapped the capabilities of the system by reviewing the grey literature on ChatGPT and using the system ourselves for two months. Second, we selected a Bachelor level computer science curriculum from a Finnish university, and examined the impact of ChatGPT on the offered courses. As an outcome of this study, we highlight 13 implications for students' learning in higher education, and discuss the contemporary future of AI-assisted learning in universities and beyond.  © 2023 IEEE.</t>
  </si>
  <si>
    <t>Bard; ChatGPT; generative language models; GPT-4; higher education; large language models; learning</t>
  </si>
  <si>
    <t>Computational linguistics; Learning systems; Students; Bard; ChatGPT; Generative language model; GPT-4; High educations; Language model; Large language model; Learning; Recent progress; Education computing</t>
  </si>
  <si>
    <t>Proc. - IEEE Int. Conf. Adv. Learn. Technol., ICALT</t>
  </si>
  <si>
    <t>2-s2.0-85174404773</t>
  </si>
  <si>
    <t>AllyChat: Developing a VR Conversational AI Agent Using Few-Shot Learning to Support Individuals with Intellectual Disabilities</t>
  </si>
  <si>
    <t>14145 LNCS</t>
  </si>
  <si>
    <t>10.1007/978-3-031-42293-5_43</t>
  </si>
  <si>
    <t>https://www.scopus.com/inward/record.uri?eid=2-s2.0-85173057826&amp;doi=10.1007%2f978-3-031-42293-5_43&amp;partnerID=40&amp;md5=00b0567b8707b004a824c8a976d57461</t>
  </si>
  <si>
    <t>Virtual Reality (VR) environments have been used for training, education, and entertainment due to the interactive and embodied experiences the technology provides. Studies have shown that VR can be used to help support individuals with intellectual disabilities in various aspects of their lives. Likewise, conversational agents such as chatbots can be used to bolster competence training and well-being management for this user population. This paper addresses the need for inclusive job interview practice for individuals with intellectual disabilities by discussing the development of a VR application, AllyChat. A two-part development phase is presented with pilot testing included for each phase. First, a conversational AI chatbot is tested and with positive feedback iterated upon to develop an immersive mock job interview experience in VR. A second pilot study is conducted with university students to test the functionality of a high-fidelity prototype. Future work will include improvement upon the developed VR application and further testing. © 2023, The Author(s), under exclusive license to Springer Nature Switzerland AG.</t>
  </si>
  <si>
    <t>Intellectual Disabilities; Large Language Model; Virtual Reality Job Interview</t>
  </si>
  <si>
    <t>Chatbots; Conversational agents; Embodied experience; Intellectual disability; Job interviews; Language model; Large language model; Virtual reality job interview; Virtual-reality environment; Well being; Virtual reality</t>
  </si>
  <si>
    <t>2-s2.0-85173057826</t>
  </si>
  <si>
    <t>ChatGPT-Generated Differential Diagnosis Lists for Complex Case–Derived Clinical Vignettes: Diagnostic Accuracy Evaluation</t>
  </si>
  <si>
    <t>JMIR Medical Informatics</t>
  </si>
  <si>
    <t>e48808</t>
  </si>
  <si>
    <t>10.2196/48808</t>
  </si>
  <si>
    <t>https://www.scopus.com/inward/record.uri?eid=2-s2.0-85176744232&amp;doi=10.2196%2f48808&amp;partnerID=40&amp;md5=c3d88ebac18cca438b087564083c5c1a</t>
  </si>
  <si>
    <t>Department of Diagnostic and Generalist Medicine, Dokkyo Medical University, Tochigi, Japan; Department of General Medicine, Okayama University Graduate School of Medicine, Dentistry and Pharmaceutical Sciences, Okayama, Japan; Department of General Medicine, International University of Health, Welfare Narita Hospital, Chiba, Japan; Department of Hospital Medicine, Urasoe General Hospital, Okinawa, Japan</t>
  </si>
  <si>
    <t>Background: The diagnostic accuracy of differential diagnoses generated by artificial intelligence chatbots, including ChatGPT models, for complex clinical vignettes derived from general internal medicine (GIM) department case reports is unknown. Objective: This study aims to evaluate the accuracy of the differential diagnosis lists generated by both third-generation ChatGPT (ChatGPT-3.5) and fourth-generation ChatGPT (ChatGPT-4) by using case vignettes from case reports published by the Department of GIM of Dokkyo Medical University Hospital, Japan. Methods: We searched PubMed for case reports. Upon identification, physicians selected diagnostic cases, determined the final diagnosis, and displayed them into clinical vignettes. Physicians typed the determined text with the clinical vignettes in the ChatGPT-3.5 and ChatGPT-4 prompts to generate the top 10 differential diagnoses. The ChatGPT models were not specially trained or further reinforced for this task. Three GIM physicians from other medical institutions created differential diagnosis lists by reading the same clinical vignettes. We measured the rate of correct diagnosis within the top 10 differential diagnosis lists, top 5 differential diagnosis lists, and the top diagnosis. Results: In total, 52 case reports were analyzed. The rates of correct diagnosis by ChatGPT-4 within the top 10 differential diagnosis lists, top 5 differential diagnosis lists, and top diagnosis were 83% (43/52), 81% (42/52), and 60% (31/52), respectively. The rates of correct diagnosis by ChatGPT-3.5 within the top 10 differential diagnosis lists, top 5 differential diagnosis lists, and top diagnosis were 73% (38/52), 65% (34/52), and 42% (22/52), respectively. The rates of correct diagnosis by ChatGPT-4 were comparable to those by physicians within the top 10 (43/52, 83% vs 39/52, 75%, respectively; P=.47) and within the top 5 (42/52, 81% vs 35/52, 67%, respectively; P=.18) differential diagnosis lists and top diagnosis (31/52, 60% vs 26/52, 50%, respectively; P=.43) although the difference was not significant. The ChatGPT models’ diagnostic accuracy did not significantly vary based on open access status or the publication date (before 2011 vs 2022). Conclusions: This study demonstrates the potential diagnostic accuracy of differential diagnosis lists generated using ChatGPT-3.5 and ChatGPT-4 for complex clinical vignettes from case reports published by the GIM department. The rate of correct diagnoses within the top 10 and top 5 differential diagnosis lists generated by ChatGPT-4 exceeds 80%. Although derived from a limited data set of case reports from a single department, our findings highlight the potential utility of ChatGPT-4 as a supplementary tool for physicians, particularly for those affiliated with the GIM department. Further investigations should explore the diagnostic accuracy of ChatGPT by using distinct case materials beyond its training data. Such efforts will provide a comprehensive insight into the role of artificial intelligence in enhancing clinical decision-making. ©Takanobu Hirosawa, Ren Kawamura, Yukinori Harada, Kazuya Mizuta, Kazuki Tokumasu, Yuki Kaji, Tomoharu Suzuki, Taro Shimizu.</t>
  </si>
  <si>
    <t>accuracy; AI chatbot; artificial intelligence; case study; ChatGPT; clinical decision support; decision support; diagnosis; diagnostic; diagnostic excellence; language model; large language models; natural language processing; vignette</t>
  </si>
  <si>
    <t>JMIR Med. Inform.</t>
  </si>
  <si>
    <t>2-s2.0-85176744232</t>
  </si>
  <si>
    <t>Artificial Intelligence and Authorship Editor Policy: ChatGPT, Bard Bing AI, and beyond</t>
  </si>
  <si>
    <t>10.53761/1.20.5.01</t>
  </si>
  <si>
    <t>https://www.scopus.com/inward/record.uri?eid=2-s2.0-85161221342&amp;doi=10.53761%2f1.20.5.01&amp;partnerID=40&amp;md5=105d43c92b9ea04b606352899a88a2f6</t>
  </si>
  <si>
    <t>University of Tasmania, Australia; Central Queensland University, Australia; Southern Cross University, Australia; University of Wollongong, Australia</t>
  </si>
  <si>
    <t>Artificial intelligence and large-language model chatbots have generated significant attention in higher education, and in research practice. Whether ChatGPT, Bard, Jasper Chat, Socratic, Bing AI, DialoGPT, or something else, these are all shaping how education and research occur. In this Editorial, we offer five editorial principles to guide decision-making for editors, which will also become policy for the Journal of University Teaching and Learning Practice. First, we articulate that non-human authorship does not constitute authorship. Second, artificial intelligence should be leveraged to support authors. Third, artificial intelligence can offer useful feedback and pre-review. Fourth, transparency of artificial intelligence usage is an expectation. And fifth, the use of AI in research design, conduct, and dissemination must comply with established ethical principles. In these five principles, we articulate a position of optimism for the new forms of knowledge and research we might garner. We see AI as a mechanism that may augment our current practices but will not likely replace all of them. However, we do issue caution to the limitations of large language models including possible proliferation of poor-quality research, Stochastic Parroting, and data hallucinations. As with all research, authors should be comfortably familiar with the underlying methods being used to generate data and should ensure a clear understanding of the AI tools being used prior to deployment for research. Practitioner Notes 1. Artificial intelligence is not accountable for its research output and cannot be an author. 2. Large language models may offer useful support for feedback, editing, and pre-review. 3. When using artificial intelligence in research, use it transparently and articulate how it was used. 4. Artificial intelligence stems from third-party organisations and use with data should be in alignment with localised formal Institutional Review Board approval. 5. While useful, AI can have considerable limitations including hegemonic bias, inaccurate data, and ability to proliferate research with poor quality studies. © 2023, University of Wollongong. All rights reserved.</t>
  </si>
  <si>
    <t>academic integrity; AI contributions; AI-informed research; editorial policy; ethical research; Large language model</t>
  </si>
  <si>
    <t>2-s2.0-85161221342</t>
  </si>
  <si>
    <t>Adapting the layered learning model to a virtual international exchange program</t>
  </si>
  <si>
    <t>10.1016/j.cptl.2022.10.006</t>
  </si>
  <si>
    <t>https://www.scopus.com/inward/record.uri?eid=2-s2.0-85142411436&amp;doi=10.1016%2fj.cptl.2022.10.006&amp;partnerID=40&amp;md5=f63942cf8073aa10d521bdd2a0d18fe9</t>
  </si>
  <si>
    <t>Introduction: The layered learning model (LLM) is a well-established teaching approach designed for attending preceptors to train post-graduate learners and to precept students. The adaptation of a LLM to a virtual exchange program has not been previously described. The purpose of this study was to evaluate the effectiveness of the longitudinal virtual international exchange program in applying principles of the LLM to multiple levels of learners and instructors at West Virginia University (WVU) School of Pharmacy and Kitasato University (KU) School of Pharmacy. Methods: The online survey piloted the impact of applying the LLM to virtual international exchange sessions on improving participant knowledge in pharmacy practice, pharmacy education, cultural practices, and cultural awareness. The survey questions assessed the program's structure and effectiveness in achieving learning outcomes related to pharmacy residency topics and cultural competency using a five-point Likert scale. Results: Median scores of the effectiveness of the virtual international exchange program structure were high (≥ 4.0). Two questions evaluating the use of the LLM had median scores of 4.0. All nine residency-related questions were rated ≥3.0. The median scores for three questions evaluating small group discussions and the use of the LLM were rated significantly higher by WVU participants than KU participants. There were no significant differences in program structure and learning outcome ratings between participant groups (student vs. resident/fellow vs. preceptor/faculty). Conclusions: Application of the LLM to the virtual international exchange program was positively received by participants, particularly by United States participants. © 2022 Elsevier Inc.</t>
  </si>
  <si>
    <t>Exchange program; International; Layered learning model; Virtual</t>
  </si>
  <si>
    <t>2-s2.0-85142411436</t>
  </si>
  <si>
    <t>Performance of ChatGPT and Bard on the official part 1 FRCOphth practice questions</t>
  </si>
  <si>
    <t>British Journal of Ophthalmology</t>
  </si>
  <si>
    <t>bjo-2023-324091</t>
  </si>
  <si>
    <t>10.1136/bjo-2023-324091</t>
  </si>
  <si>
    <t>https://www.scopus.com/inward/record.uri?eid=2-s2.0-85177487906&amp;doi=10.1136%2fbjo-2023-324091&amp;partnerID=40&amp;md5=fc1f70d6786977b39ae6e954ffebb4a5</t>
  </si>
  <si>
    <t>Department of Medicine, Barking Havering and Redbridge University Hospitals NHS Trust, London, United Kingdom; Department of Anaesthetics, Princess Alexandra Hospital, Harlow, United Kingdom; Emergency Medicine, Royal Free Hospital, London, United Kingdom</t>
  </si>
  <si>
    <t>Background: Chat Generative Pre-trained Transformer (ChatGPT), a large language model by OpenAI, and Bard, Google's artificial intelligence (AI) chatbot, have been evaluated in various contexts. This study aims to assess these models' proficiency in the part 1 Fellowship of the Royal College of Ophthalmologists (FRCOphth) Multiple Choice Question (MCQ) examination, highlighting their potential in medical education. Methods: Both models were tested on a sample question bank for the part 1 FRCOphth MCQ exam. Their performances were compared with historical human performance on the exam, focusing on the ability to comprehend, retain and apply information related to ophthalmology. We also tested it on the book € MCQs for FRCOpth part 1', and assessed its performance across subjects. Results: ChatGPT demonstrated a strong performance, surpassing historical human pass marks and examination performance, while Bard underperformed. The comparison indicates the potential of certain AI models to match, and even exceed, human standards in such tasks. Conclusion: The results demonstrate the potential of AI models, such as ChatGPT, in processing and applying medical knowledge at a postgraduate level. However, performance varied among different models, highlighting the importance of appropriate AI selection. The study underlines the potential for AI applications in medical education and the necessity for further investigation into their strengths and limitations. © Author(s) (or their employer(s)) 2023. No commercial re-use. See rights and permissions. Published by BMJ.</t>
  </si>
  <si>
    <t>Medical Education</t>
  </si>
  <si>
    <t>BJOPA</t>
  </si>
  <si>
    <t>Br. J. Ophthalmol.</t>
  </si>
  <si>
    <t>2-s2.0-85177487906</t>
  </si>
  <si>
    <t>Fighting the Tide—GPT and an Alarming Sense of Déjà Vu</t>
  </si>
  <si>
    <t>Advanced Sciences and Technologies for Security Applications</t>
  </si>
  <si>
    <t>Part F15</t>
  </si>
  <si>
    <t>10.1007/978-3-031-33627-0_2</t>
  </si>
  <si>
    <t>https://www.scopus.com/inward/record.uri?eid=2-s2.0-85163721203&amp;doi=10.1007%2f978-3-031-33627-0_2&amp;partnerID=40&amp;md5=7e39f035a6a332db4d0e909dc996f399</t>
  </si>
  <si>
    <t>Professor of Digital Rights, Bournemouth University, Poole, United Kingdom; Professor of Socio-Technical Research, University of Suffolk, Ipswich, United Kingdom</t>
  </si>
  <si>
    <t>The emergence of Large Language Models such as GPT3 have caused ripples through academia around the impact of such tools on plagiarism and student assessment. There are claims that these tools will make the traditional assessment approaches obsolete and there has been something of a moral panic across the sector, with some universities already threatening students with academic misconduct hearings should they use these tools. However, we can see if we consider historical literature, that the same concerns were levelled at the widespread advent of search engines and, even further into history, electronic calculators. Rather than panic or try to ban the inevitable, we propose the approaches will have to adapt, but this is not the end of assessment as some have proposed. © 2023, The Author(s), under exclusive license to Springer Nature Switzerland AG.</t>
  </si>
  <si>
    <t>Artificial intelligence; Assessment; GPT; Moral panic; Technology adoption</t>
  </si>
  <si>
    <t>Adv. Sci. Tech. Sec. Appl.</t>
  </si>
  <si>
    <t>2-s2.0-85163721203</t>
  </si>
  <si>
    <t>Prompting Higher Education Towards AI-Augmented Teaching and Learning Practice</t>
  </si>
  <si>
    <t>10.53761/1.20.5.02</t>
  </si>
  <si>
    <t>https://www.scopus.com/inward/record.uri?eid=2-s2.0-85161144769&amp;doi=10.53761%2f1.20.5.02&amp;partnerID=40&amp;md5=55fcaa30b25c450388869b2d4ec98325</t>
  </si>
  <si>
    <t>University of Tasmania, Australia</t>
  </si>
  <si>
    <t>Large Language Models (LLMs) and conversational-style generative artificial intelligence (AI) are causing major disruption to higher education pedagogy. The emergence of tools like ChatGPT has raised concerns about plagiarism detection but also presents opportunities for educators to leverage AI to build supportive learning environments. In this commentary, we explore the potential of AI-augmented teaching and learning practice in higher education, discussing both the productive affordances and challenges associated with these technologies. We offer instructional advice for writing instructional text to guide the generation of quality outputs from AI models, as well as a case study to illustrate using AI for assessment design. Ultimately, we suggest that AI should be seen as one tool among many that can be used to enhance teaching and learning outcomes in higher education. Practitioner Notes 1. Learning to write effective instructional prompts for AI models will help augment learning and teaching practice. 2. AI models offer the potential for significant productive affordances, including personalised feedback, adaptive learning pathways, and enhanced student engagement. 3. To successfully integrate AI into higher education, institutions must prioritise faculty development programs that provide training and support for educators to effectively use these technologies in the classroom. 4. Institutions must ensure that AI is used in a way that aligns with their values and mission and that students are informed about how their data is being used. 5. It is important to recognise that AI is not a panacea for all of the challenges facing higher education. Rather, it should be seen as one tool among many that can be used to enhance teaching and learning outcomes. © 2023, University of Wollongong. All rights reserved.</t>
  </si>
  <si>
    <t>artificial intelligence; assessment design; ChatGPT; large language model; prompt engineering</t>
  </si>
  <si>
    <t>2-s2.0-85161144769</t>
  </si>
  <si>
    <t>Jankovic, Antonio (58761108800); Mincic, Dunja (58761159900); Petrovic, Nenad (57206900973); Tosic, Milorad (7006349903)</t>
  </si>
  <si>
    <t>ChatGPT Assisted Development of Laravel Applications</t>
  </si>
  <si>
    <t>2023 International Conference on Advanced Technologies, Systems and Services in Telecommunications, TELSIKS 2023</t>
  </si>
  <si>
    <t>10.1109/TELSIKS57806.2023.10316094</t>
  </si>
  <si>
    <t>https://www.scopus.com/inward/record.uri?eid=2-s2.0-85179622988&amp;doi=10.1109%2fTELSIKS57806.2023.10316094&amp;partnerID=40&amp;md5=20146377cdadafc285526ebca04b303e</t>
  </si>
  <si>
    <t>University of Nis, Faculty of Electronic Engineering, Niš, 18000, Serbia</t>
  </si>
  <si>
    <t>Rapid progress in machine learning has given rise to a multitude of approaches for various application domains. However, comparing the functionality and effectiveness of these approaches is crucial to obtain accurate and reliable results. In this study, we aim to explore the potential of ChatGPT, a cutting-edge conversational AI model, for coding applications. Our primary goal is to evaluate the effectiveness of ChatGPT in handling coding-related tasks. By conducting a systematic evaluation of the ten functions encompassed in our original dataset, we aim to gauge the effectiveness of ChatGPT in handling various coding tasks in case of Laravel Controller functions. This will enable us to critically examine the capabilities of ChatGPT in the context of our specific coding applications. Additionally, we conduct a survey among university students with a goal to assess adoption level of AI-based code assistance tools. © 2023 IEEE.</t>
  </si>
  <si>
    <t>ChatGPT; code completion; Laravel; Large Language Model (LLM)</t>
  </si>
  <si>
    <t>Artificial intelligence; Applications domains; ChatGPT; Code completions; Cutting edges; Language model; Laravel; Large language model; Machine-learning; Reliable results; Systematic evaluation; Function evaluation</t>
  </si>
  <si>
    <t>Int. Conf. Adv. Technol., Syst. Serv. Telecommun., TELSIKS</t>
  </si>
  <si>
    <t>2-s2.0-85179622988</t>
  </si>
  <si>
    <t>GrammarGPT: Exploring Open-Source LLMs for Native Chinese Grammatical Error Correction with Supervised Fine-Tuning</t>
  </si>
  <si>
    <t>14304 LNAI</t>
  </si>
  <si>
    <t>10.1007/978-3-031-44699-3_7</t>
  </si>
  <si>
    <t>https://www.scopus.com/inward/record.uri?eid=2-s2.0-85174517342&amp;doi=10.1007%2f978-3-031-44699-3_7&amp;partnerID=40&amp;md5=3406bdb7e1322e84331846db2af98008</t>
  </si>
  <si>
    <t>School of Data Science, The Chinese University of Hong Kong, Shenzhen, China; School of Computer Science and Technology, Soochow University, Suzhou, China; Shenzhen Research Institute of Big Data, Guangdong, Shenzhen, China; School of Information Science and Technology, University of Science and Technology of China, Hefei, China</t>
  </si>
  <si>
    <t>Grammatical error correction aims to correct ungrammatical sentences automatically. Recently, some work has demonstrated the excellent capabilities of closed-source Large Language Models (LLMs, e.g., ChatGPT) in grammatical error correction. However, the potential of open-source LLMs remains unexplored. In this paper, we introduced GrammarGPT, an open-source LLM, to preliminary explore its potential for native Chinese grammatical error correction. The core recipe of GrammarGPT is to leverage the hybrid dataset of ChatGPT-generated and human-annotated. For grammatical errors with clues, we proposed a heuristic method to guide ChatGPT to generate ungrammatical sentences by providing those clues. For grammatical errors without clues, we collected ungrammatical sentences from publicly available websites and manually corrected them. In addition, we employed an error-invariant augmentation method to enhance the ability of the model to correct native Chinese grammatical errors. We ultimately constructed about 1k parallel data and utilized these data to fine-tune open-source LLMs (e.g., Phoenix, released by The Chinese University of Hong Kong, Shenzhen) with instruction tuning. The experimental results show that GrammarGPT outperforms the existing SOTA system significantly. Although model parameters are 20x larger than the SOTA baseline, the required amount of data for instruction tuning is 1200x smaller, illustrating the potential of open-source LLMs on native CGEC. Our GrammarGPT ranks 3 rd on NLPCC2023 SharedTask1, demonstrating our approach’s effectiveness. The code and data are available at https://github.com/FreedomIntelligence/GrammarGPT. © 2023, The Author(s), under exclusive license to Springer Nature Switzerland AG.</t>
  </si>
  <si>
    <t>ChatGPT; Instruction tuning; Large language models; Native Chinese grammatical error correction</t>
  </si>
  <si>
    <t>Computational linguistics; Heuristic methods; ChatGPT; Closed source; Errors correction; Fine tuning; Grammatical errors; Instruction tuning; Language model; Large language model; Native chinese grammatical error correction; Open-source; Error correction</t>
  </si>
  <si>
    <t>2-s2.0-85174517342</t>
  </si>
  <si>
    <t>Kirwan A.</t>
  </si>
  <si>
    <t>ChatGPT and university teaching, learning and assessment: some initial reflections on teaching academic integrity in the age of Large Language Models</t>
  </si>
  <si>
    <t>Irish Educational Studies</t>
  </si>
  <si>
    <t>10.1080/03323315.2023.2284901</t>
  </si>
  <si>
    <t>https://www.scopus.com/inward/record.uri?eid=2-s2.0-85177696148&amp;doi=10.1080%2f03323315.2023.2284901&amp;partnerID=40&amp;md5=f3098bfd87f2af2369de68663f8ecf97</t>
  </si>
  <si>
    <t>Critical Skills, Office of the Dean of Teaching and Learning, Maynooth University, Maynooth, Ireland</t>
  </si>
  <si>
    <t>Since its arrival in late 2022, ChatGPT has occupied the minds of academics, administrators and students. Reactions to the emergence of Large Language Models (LLMs) have varied but significant anxieties about their impact on assessment have arisen. To address these concerns, this article serves three purposes; firstly, it seeks to gauge the discourse surrounding Large Language Models (LLMs) focusing on ChatGPT. In doing so, it explores general and academic responses to the technology and the challenges/opportunities that have been identified. Secondly, and building on this, it provides an overview of ChatGPT in action and seeks to moderate fears raised by some of the extreme claims that have been made about the potential of this technology. Finally, the article uses a case study to discuss the introduction of this technology to a group of first-year undergraduate students, offering guidance on how the topic of LLMs might be broached. It concludes by suggesting that while the technology has the ability to offer assistance in the completion of academic assessment, it does not replace the higher thinking skills that are central to teaching, learning and assessment in higher education. In turn, arguing that these must be central to assessment practices. © 2023 Educational Studies Association of Ireland.</t>
  </si>
  <si>
    <t>Academic integrity; Assessment; ChatGPT; Large Language Models</t>
  </si>
  <si>
    <t>Ir. Educ. Stud.</t>
  </si>
  <si>
    <t>2-s2.0-85177696148</t>
  </si>
  <si>
    <t>Ekiz O.</t>
  </si>
  <si>
    <t>Documenting the copyright sphere: Can festivals solve the problem of copyright clearance for documentaries?</t>
  </si>
  <si>
    <t>Queen Mary Journal of Intellectual Property</t>
  </si>
  <si>
    <t>10.4337//qmjip.2019.04.05</t>
  </si>
  <si>
    <t>https://www.scopus.com/inward/record.uri?eid=2-s2.0-85078923916&amp;doi=10.4337%2f%2fqmjip.2019.04.05&amp;partnerID=40&amp;md5=5260fd756176d14703489129dc2e25dd</t>
  </si>
  <si>
    <t>Queen Mary University of London, United Kingdom</t>
  </si>
  <si>
    <t>The starting point of this article is a short documentary film that I and five colleagues produced in the course of the Business of Film module at Queen Mary University of London’s Intellectual Property Law LLM Programme. During the process of production, we faced some borderline issues regarding our unauthorized uses of others’ copyright works. When we put ourselves into the copyright’s author’s shoes, three problems arose regarding our use of possible limitations and exceptions: the lack of guidance; the fear of liability; and the unharmonized status of limitations and exceptions at an international level. This article examines these problems from a copyright policy perspective and invites documentary festivals to undertake a mission of guiding new documentary directors through the complex, unharmonized world of copyright limitations and exceptions. © 2019 The Author and 2019 Edward Elgar Publishing Ltd.</t>
  </si>
  <si>
    <t>Copyright clearance; Documentary; Documentary film festivals; Freedom of panorama; Limitations and exceptions</t>
  </si>
  <si>
    <t>Edward Elgar Publishing Ltd.</t>
  </si>
  <si>
    <t>Queen Mary J. Intellect. Prop.</t>
  </si>
  <si>
    <t>2-s2.0-85078923916</t>
  </si>
  <si>
    <t>McCormack T.</t>
  </si>
  <si>
    <t>Contributions to international humanitarian law in the Philippines and beyond: Interview with his excellency judge Raul Pangalangan</t>
  </si>
  <si>
    <t>Asia-Pacific Perspectives on International Humanitarian Law</t>
  </si>
  <si>
    <t>10.1017/9781108667203.004</t>
  </si>
  <si>
    <t>https://www.scopus.com/inward/record.uri?eid=2-s2.0-85098029142&amp;doi=10.1017%2f9781108667203.004&amp;partnerID=40&amp;md5=dd9fab89e0e7c9f50bc1096ed9b8abe7</t>
  </si>
  <si>
    <t>International Criminal Court, The Hague, Netherlands; Faculty of Law, University of Tasmania, Australia; Melbourne Law School, Australia</t>
  </si>
  <si>
    <t>His Excellency Judge Raul Pangalangan currently serves as a judge of the International Criminal Court - the first Filipino national to hold that position. Judge Pangalangan is a Professor of Law and former Dean of the University of the Philippines Law School and he specialises in Constitutional Law and Public International Law. He was educated at the University of the Philippines (AB cum laude and LLB) and at Harvard University (LLM and SJD). He has taught at the Hague Academy of International Law and as Visiting Professor at Harvard Law School, Melbourne Law School and Hong Kong University, and has lectured at the Irish Centre for Human Rights, Japanese Society of International Law, Thessaloniki Institute of International Public Law and the International Committee of the Red Cross. Judge Pangalangan was a member of the Philippine delegation to the Diplomatic Conference to negotiate the Rome Statute to establish the International Criminal Court. © Cambridge University Press 2020.</t>
  </si>
  <si>
    <t>Cambridge University Press</t>
  </si>
  <si>
    <t>2-s2.0-85098029142</t>
  </si>
  <si>
    <t>Thirunavukarasu, Arun James (57219669690); Hassan, Refaat (57243967600); Mahmood, Shathar (58284312900); Sanghera, Rohan (57923732000); Barzangi, Kara (57779567100); El Mukashfi, Mohanned (58284149400); Shah, Sachin (58283347000)</t>
  </si>
  <si>
    <t>Trialling a Large Language Model (ChatGPT) in General Practice with the Applied Knowledge Test: Observational Study Demonstrating Opportunities and Limitations in Primary Care</t>
  </si>
  <si>
    <t>e46599</t>
  </si>
  <si>
    <t>10.2196/46599</t>
  </si>
  <si>
    <t>https://www.scopus.com/inward/record.uri?eid=2-s2.0-85159891977&amp;doi=10.2196%2f46599&amp;partnerID=40&amp;md5=c2772ec8042c4923172ffcd04001a2a3</t>
  </si>
  <si>
    <t>University of Cambridge School of Clinical Medicine, Cambridge, United Kingdom; Attenborough Surgery, Bushey Medical Centre, Bushey, United Kingdom</t>
  </si>
  <si>
    <t>Background: Large language models exhibiting human-level performance in specialized tasks are emerging; examples include Generative Pretrained Transformer 3.5, which underlies the processing of ChatGPT. Rigorous trials are required to understand the capabilities of emerging technology, so that innovation can be directed to benefit patients and practitioners. Objective: Here, we evaluated the strengths and weaknesses of ChatGPT in primary care using the Membership of the Royal College of General Practitioners Applied Knowledge Test (AKT) as a medium. Methods: AKT questions were sourced from a web-based question bank and 2 AKT practice papers. In total, 674 unique AKT questions were inputted to ChatGPT, with the model’s answers recorded and compared to correct answers provided by the Royal College of General Practitioners. Each question was inputted twice in separate ChatGPT sessions, with answers on repeated trials compared to gauge consistency. Subject difficulty was gauged by referring to examiners’ reports from 2018 to 2022. Novel explanations from ChatGPT—defined as information provided that was not inputted within the question or multiple answer choices—were recorded. Performance was analyzed with respect to subject, difficulty, question source, and novel model outputs to explore ChatGPT’s strengths and weaknesses. Results: Average overall performance of ChatGPT was 60.17%, which is below the mean passing mark in the last 2 years (70.42%). Accuracy differed between sources (P=.04 and .06). ChatGPT’s performance varied with subject category (P=.02 and .02), but variation did not correlate with difficulty (Spearman ρ=–0.241 and –0.238; P=.19 and .20). The proclivity of ChatGPT to provide novel explanations did not affect accuracy (P&gt;.99 and .23). Conclusions: Large language models are approaching human expert–level performance, although further development is required to match the performance of qualified primary care physicians in the AKT. Validated high-performance models may serve as assistants or autonomous clinical tools to ameliorate the general practice workforce crisis. ©Arun James Thirunavukarasu, Refaat Hassan, Shathar Mahmood, Rohan Sanghera, Kara Barzangi, Mohanned El Mukashfi, Sachin Shah.</t>
  </si>
  <si>
    <t>AI; artificial intelligence; chatbot; ChatGPT; decision support techniques; deep learning; family medicine; general practice; large language model; natural language processing; primary care</t>
  </si>
  <si>
    <t>2-s2.0-85159891977</t>
  </si>
  <si>
    <t>AIInFunds. Intelligent Services for Monitoring Tendencies of Alternative Investment Funds</t>
  </si>
  <si>
    <t>https://www.scopus.com/inward/record.uri?eid=2-s2.0-85176458254&amp;partnerID=40&amp;md5=0c33921a1394e24cedd0ee7e3d7f357d</t>
  </si>
  <si>
    <t>Emotion Analysis; Large Language Models; Natural Language Processing; Semantic Web; Sentiment Analysis</t>
  </si>
  <si>
    <t>Behavioral research; Sentiment analysis; Emotion analysis; Intelligent Services; Investment funds; Language model; Language processing; Large language model; Natural language processing; Natural languages; Semantic-Web; Sentiment analysis; Semantic Web</t>
  </si>
  <si>
    <t>2-s2.0-85176458254</t>
  </si>
  <si>
    <t>Sridhar, Pragnya (58500370900); Doyle, Aidan (58499616700); Agarwal, Arav (58155030600); Bogart, Christopher (25649133400); Savelka, Jaromir (54783405100); Sakr, Majd (57337410100)</t>
  </si>
  <si>
    <t>Harnessing LLMs in Curricular Design: Using GPT-4 to Support Authoring of Learning Objectives</t>
  </si>
  <si>
    <t>https://www.scopus.com/inward/record.uri?eid=2-s2.0-85166922012&amp;partnerID=40&amp;md5=f1a3b3aa6d8a91309667777ccb3aa97e</t>
  </si>
  <si>
    <t>Language Technology Institute, Carnegie Mellon University, Pittsburgh, PA, United States; Computer Science Department, Carnegie Mellon University, Pittsburgh, PA, United States</t>
  </si>
  <si>
    <t>We evaluated the capability of a generative pre-trained transformer (GPT-4) to automatically generate high-quality learning objectives (LOs) in the context of a practically oriented university course on Artificial Intelligence. Discussions of opportunities (e.g., content generation, explanation) and risks (e.g., cheating) of this emerging technology in education have intensified, but to date there has not been a study of the models' capabilities in supporting the course design and authoring of LOs. LOs articulate the knowledge and skills learners are intended to acquire by engaging with a course. To be effective, LOs must focus on what students are intended to achieve, focus on specific cognitive processes, and be measurable. Thus, authoring high-quality LOs is a challenging and time consuming (i.e., expensive) effort. We evaluated 127 LOs that were automatically generated based on a carefully crafted prompt (detailed guidelines on high-quality LOs authoring) submitted to GPT-4 for conceptual modules and projects of an AI Practitioner course. We analyzed the generated LOs if they follow certain best practices such as beginning with action verbs from Bloom's taxonomy in regards to the level of sophistication intended. Our analysis showed that the generated LOs are sensible, properly expressed (e.g., starting with an action verb), and that they largely operate at the appropriate level of Bloom's taxonomy, respecting the different nature of the conceptual modules (lower levels) and projects (higher levels). Our results can be leveraged by instructors and curricular designers wishing to take advantage of the state-of-the-art generative models to support their curricular and course design efforts. © 2023 Copyright for this paper by its authors. Use permitted under Creative Commons License Attribution 4.0 International (CC BY 4.0).</t>
  </si>
  <si>
    <t>Automated Content Generation; Automatic Generation; Course Design Automation; Curricular Development; GPT-4; Large Language Models; Learning Objectives; LLMs</t>
  </si>
  <si>
    <t>Artificial intelligence; Blooms (metal); Computer aided design; Curricula; Education computing; Learning systems; Taxonomies; Automated content generation; Automatic Generation; Course design; Course design automation; Curricular development; Design automations; GPT-4; Language model; Large language model; Learning objectives; LLM; Quality control</t>
  </si>
  <si>
    <t>2-s2.0-85166922012</t>
  </si>
  <si>
    <t>Large Language Model−Based Chatbot vs Surgeon-Generated Informed Consent Documentation for Common Procedures</t>
  </si>
  <si>
    <t>JAMA Network Open</t>
  </si>
  <si>
    <t>E2336997</t>
  </si>
  <si>
    <t>10.1001/jamanetworkopen.2023.36997</t>
  </si>
  <si>
    <t>https://www.scopus.com/inward/record.uri?eid=2-s2.0-85173350710&amp;doi=10.1001%2fjamanetworkopen.2023.36997&amp;partnerID=40&amp;md5=07667e45648224b0f603db1d85cc4622</t>
  </si>
  <si>
    <t>Department of Surgery, University of California, San Francisco, United States; Department of Medicine, University of California, San Francisco, United States; Department of Surgery, Institute for Health Informatics, Center for Learning Health System Sciences, University of Minnesota, Minneapolis, United States</t>
  </si>
  <si>
    <t>IMPORTANCE Informed consent is a critical component of patient care before invasive procedures, yet it is frequently inadequate. Electronic consent forms have the potential to facilitate patient comprehension if they provide information that is readable, accurate, and complete; it is not known if large language model (LLM)-based chatbots may improve informed consent documentation by generating accurate and complete information that is easily understood by patients. OBJECTIVE To compare the readability, accuracy, and completeness of LLM-based chatbot- vs surgeon-generated information on the risks, benefits, and alternatives (RBAs) of common surgical procedures. DESIGN, SETTING, AND PARTICIPANTS This cross-sectional study compared randomly selected surgeon-generated RBAs used in signed electronic consent forms at an academic referral center in San Francisco with LLM-based chatbot-generated (ChatGPT-3.5, OpenAI) RBAs for 6 surgical procedures (colectomy, coronary artery bypass graft, laparoscopic cholecystectomy, inguinal hernia repair, knee arthroplasty, and spinal fusion). MAIN OUTCOMES AND MEASURES Readability was measured using previously validated scales (Flesh-Kincaid grade level, Gunning Fog index, the Simple Measure of Gobbledygook, and the Coleman-Liau index). Scores range from 0 to greater than 20 to indicate the years of education required to understand a text. Accuracy and completeness were assessed using a rubric developed with recommendations from LeapFrog, the Joint Commission, and the American College of Surgeons. Both composite and RBA subgroup scores were compared. RESULTS The total sample consisted of 36 RBAs, with 1 RBA generated by the LLM-based chatbot and 5 RBAs generated by a surgeon for each of the 6 surgical procedures. The mean (SD) readability score for the LLM-based chatbot RBAs was 12.9 (2.0) vs 15.7 (4.0) for surgeon-generated RBAs (P = .10). The mean (SD) composite completeness and accuracy score was lower for surgeons’ RBAs at 1.6 (0.5) than for LLM-based chatbot RBAs at 2.2 (0.4) (P &lt; .001). The LLM-based chatbot scores were higher than the surgeon-generated scores for descriptions of the benefits of surgery (2.3 [0.7] vs 1.4 [0.7]; P &lt; .001) and alternatives to surgery (2.7 [0.5] vs 1.4 [0.7]; P &lt; .001). There was no significant difference in chatbot vs surgeon RBA scores for risks of surgery (1.7 [0.5] vs 1.7 [0.4]; P = .38). CONCLUSIONS AND RELEVANCE The findings of this cross-sectional study suggest that despite not being perfect, LLM-based chatbots have the potential to enhance informed consent documentation. If an LLM were embedded in electronic health records in a manner compliant with the Health Insurance Portability and Accountability Act, it could be used to provide personalized risk information while easing documentation burden for physicians. © 2023 American Medical Association. All rights reserved.</t>
  </si>
  <si>
    <t>American Medical Association</t>
  </si>
  <si>
    <t>JAMA Netw. Open</t>
  </si>
  <si>
    <t>2-s2.0-85173350710</t>
  </si>
  <si>
    <t>CHATGPT: A TOOL TOWARDS AN EDUCATION REVOLUTION?</t>
  </si>
  <si>
    <t>Scientia Paedagogica Experimentalis</t>
  </si>
  <si>
    <t>10.57028/S60-095-Z1035</t>
  </si>
  <si>
    <t>https://www.scopus.com/inward/record.uri?eid=2-s2.0-85171139373&amp;doi=10.57028%2fS60-095-Z1035&amp;partnerID=40&amp;md5=c7e91f84dee190049ed451b6f0ade98a</t>
  </si>
  <si>
    <t>Babbage Institute of Technology (Bikit)), Belgium; BIKEMA, Leiekaai 25-F2, Gent, 9000, Belgium</t>
  </si>
  <si>
    <t>In this article we start with elaborating the educational and cultural setting of the use of computers in general and of the additional impact of the ChatGPT in these. Their impact is changing the assessment of education in general. It is crucial to be aware of the related challenges when looking and studying ChatGPT. With this in mind we describe a case study involving the use of ChatGPT in elearning. The aim of this study is to gather usability impressions from system interactions during an e-learning session related to the domain of knowledge representation. This concerns in particular the aspects of fluency, understandability of the responses, and the adequacy of the provided knowledge. These aspects form the first part of the article, and in the second part we look at a broader range of related topics including the technologies behind ChatGPT, a literature study of the encountered ChatGPT limitations and errors, and the implied need of critical thinking when using ChatGPT. Moreover, key ethical aspects of using ChatGPT are discussed, and also state-of-the-art online tools concerning automatic detection of AI generated content. Our findings concerning the potential use of ChatGPT in e-learning are confirmed by the presented literature study. © 2023, ICIWO vzw. All rights reserved.</t>
  </si>
  <si>
    <t>Accusation; AI; AI chatbot; AI ethics; AI misuse; argumentation; assessment; case study; ChatGPT; computer-based education; defense; dyssocial; dyssocial techniques; e-learning; education; explanation; generating fake news; gnost; hidden curriculum; higher education; justification; Large Language Models; lying; manipulation; OpenAI; personality; plagiarism; prediction; primary school education; skills; ZeroGPT</t>
  </si>
  <si>
    <t>ICIWO vzw</t>
  </si>
  <si>
    <t>Sci. Paedagog. Exp.</t>
  </si>
  <si>
    <t>2-s2.0-85171139373</t>
  </si>
  <si>
    <t>'We Need To Talk About ChatGPT': The Future of AI and Higher Education</t>
  </si>
  <si>
    <t>Proceedings - 2023 IEEE/ACM 5th International Workshop on Software Engineering Education for the Next Generation, SEENG 2023</t>
  </si>
  <si>
    <t>10.1109/SEENG59157.2023.00010</t>
  </si>
  <si>
    <t>https://www.scopus.com/inward/record.uri?eid=2-s2.0-85168683291&amp;doi=10.1109%2fSEENG59157.2023.00010&amp;partnerID=40&amp;md5=737853ad0aecc58f5a9ebe8a194a7afd</t>
  </si>
  <si>
    <t>University of Applied Sciences and Arts Hannover, Hannover, Germany; University of Applied Sciences Emden/Leer, Emden, Germany</t>
  </si>
  <si>
    <t>AI influences; ChatGPT; GPT-3; higher education; large language model; position paper</t>
  </si>
  <si>
    <t>Software engineering; AI influence; Chatbots; ChatGPT; GPT-3; High educations; Language model; Large language model; Position papers; Real-time communication; Scientific writing; Computational linguistics</t>
  </si>
  <si>
    <t>Proc. - IEEE/ACM Int. Workshop Softw. Eng. Educ. Next Gener., SEENG</t>
  </si>
  <si>
    <t>2-s2.0-85168683291</t>
  </si>
  <si>
    <t>Longitudinal Associations of Serum 25-hydroxyvitamin D, Physical Activity, and Knee Pain and Dysfunction with Muscle Loss in Community-dwelling Older Adults</t>
  </si>
  <si>
    <t>Journals of Gerontology - Series A Biological Sciences and Medical Sciences</t>
  </si>
  <si>
    <t>10.1093/gerona/glx157</t>
  </si>
  <si>
    <t>https://www.scopus.com/inward/record.uri?eid=2-s2.0-85044245189&amp;doi=10.1093%2fgerona%2fglx157&amp;partnerID=40&amp;md5=1f1d42f26da0cba69d92b7944b470b95</t>
  </si>
  <si>
    <t>Aim To describe the associations of between-person and within-person variability in serum 25-hydroxyvitamin D (25(OH)D), physical activity (PA), and knee pain and dysfunction with muscle mass, strength, and muscle quality over 10 years in community-dwelling older adults. Method Participants (N = 1033; 51% women; mean age 63 ± 7.4 years) were measured at baseline, 2.5, 5, and 10 years. Lower limb lean mass (LLM) was assessed using dual energy X-ray absorptiometry, lower limb muscle strength (LMS) using a dynamometer, and lower limb muscle quality (LMQ) calculated as LMS/LLM. Knee pain and dysfunction were assessed using the Western Ontario and McMaster Universities Osteoarthritis (WOMAC) index. PA was measured using pedometers. Linear-mixed effect regression models, with adjustment for confounders, were used to estimate the association of within-person and between-person variability in PA, 25(OH)D, and WOMAC scores with muscle mass, strength, and muscle quality. Results Both between-person and within-person increases in PA were associated with LLM, LMS, and LMQ (all P &lt; 0.05). Within-person and between-person increases in knee pain and dysfunction were associated with LLS and LMQ, but not with LLM (all P &lt; 0.05). Between-person effects showed that higher average 25(OH)D was associated with a higher 10-year average LLM, LMS, and LMQ (all P &lt; 0.05), whereas within-person increases in average 25(OH)D were associated with a higher LMS and LMQ, but not with LLM. Conclusions Variability in 25(OH)D, pain, and dysfunction within an individual over time is related to muscle changes in that individual. Increasing one's own PA level further increases muscle mass, strength, and quality supporting the clinical recommendation of promoting PA to reduce age-related muscle loss. © The Author(s) 2017. Published by Oxford University Press on behalf of The Gerontological Society of America. All rights reserved.</t>
  </si>
  <si>
    <t>Body composition; Pain; Physical activity; Vitamin D</t>
  </si>
  <si>
    <t>JGASF</t>
  </si>
  <si>
    <t>J. Gerontol. Ser. A Biol. Sci. Med. Sci.</t>
  </si>
  <si>
    <t>2-s2.0-85044245189</t>
  </si>
  <si>
    <t>Farah, Juan Carlos (57203636644); Ingram, Sandy (58399425500); Spaenlehauer, Basile (57702846800); Lasne, Fanny Kim-Lan (58745319300); Gillet, Denis (57203238151)</t>
  </si>
  <si>
    <t>Prompting Large Language Models to Power Educational Chatbots</t>
  </si>
  <si>
    <t>10.1007/978-981-99-8385-8_14</t>
  </si>
  <si>
    <t>https://www.scopus.com/inward/record.uri?eid=2-s2.0-85178634464&amp;doi=10.1007%2f978-981-99-8385-8_14&amp;partnerID=40&amp;md5=c5ebf3a14a21ad580ae79b251133c982</t>
  </si>
  <si>
    <t>École Polytechnique Fédérale de Lausanne (EPFL), Lausanne, Switzerland; University of Applied Sciences (HES-SO), Fribourg, Switzerland</t>
  </si>
  <si>
    <t>The recent rise in both popularity and performance of large language models has garnered considerable interest regarding their applicability to education. Technologies like ChatGPT, which can engage in human-like dialog, have already disrupted educational practices given their ability to answer a wide array of questions. Nevertheless, integrating these technologies into learning contexts faces both technological and pedagogical challenges, such as providing appropriate user interfaces and configuring interactions to ensure that conversations stay on topic. To better understand the potential large language models have to power educational chatbots, we propose an architecture to support educational chatbots that can be powered by these models. Using this architecture, we created a chatbot interface that was integrated into a web application aimed at teaching software engineering best practices. The application was then used to conduct a case study comprising a controlled experiment with 26 university software engineering students. Half of the students interacted with a version of the application equipped with the chatbot, while the other half completed the same lesson without the chatbot. While the results of our quantitative analysis did not identify significant differences between conditions, qualitative insights suggest that learners appreciated the chatbot. These results could serve as a starting point to optimize strategies for integrating large language models into pedagogical scenarios. © 2023, The Author(s), under exclusive license to Springer Nature Singapore Pte Ltd.</t>
  </si>
  <si>
    <t>Digital Education; Educational Chatbots; GPT-3; Large Language Models; Prompting; Software Engineering Education</t>
  </si>
  <si>
    <t>Application programs; Computational linguistics; E-learning; Education computing; Engineering education; Students; Chatbots; Digital education; Educational chatbot; GPT-3; Language model; Large language model; Performance; Power; Prompting; Software engineering education; User interfaces</t>
  </si>
  <si>
    <t>2-s2.0-85178634464</t>
  </si>
  <si>
    <t>NUMBER</t>
  </si>
  <si>
    <t>Publication Type</t>
  </si>
  <si>
    <t>Book Authors</t>
  </si>
  <si>
    <t>Book Editors</t>
  </si>
  <si>
    <t>Book Group Authors</t>
  </si>
  <si>
    <t>Author Full Names</t>
  </si>
  <si>
    <t>Book Author Full Names</t>
  </si>
  <si>
    <t>Group Authors</t>
  </si>
  <si>
    <t>Article Title</t>
  </si>
  <si>
    <t>Source Title</t>
  </si>
  <si>
    <t>Book Series Title</t>
  </si>
  <si>
    <t>Book Series Subtitle</t>
  </si>
  <si>
    <t>Language</t>
  </si>
  <si>
    <t>Conference Title</t>
  </si>
  <si>
    <t>Conference Date</t>
  </si>
  <si>
    <t>Conference Location</t>
  </si>
  <si>
    <t>Conference Sponsor</t>
  </si>
  <si>
    <t>Conference Host</t>
  </si>
  <si>
    <t>Keywords Plus</t>
  </si>
  <si>
    <t>Addresses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</si>
  <si>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</si>
  <si>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</si>
  <si>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</si>
  <si>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</si>
  <si>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</si>
  <si>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</si>
  <si>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</si>
  <si>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</si>
  <si>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</si>
  <si>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</si>
  <si>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</si>
  <si>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</si>
  <si>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</si>
  <si>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 City</t>
  </si>
  <si>
    <t>Publisher Address</t>
  </si>
  <si>
    <t>eISSN</t>
  </si>
  <si>
    <t>Journal Abbreviation</t>
  </si>
  <si>
    <t>Journal ISO Abbreviation</t>
  </si>
  <si>
    <t>Publication Date</t>
  </si>
  <si>
    <t>Publication Year</t>
  </si>
  <si>
    <t>Part Number</t>
  </si>
  <si>
    <t>Supplement</t>
  </si>
  <si>
    <t>Meeting Abstract</t>
  </si>
  <si>
    <t>Start Page</t>
  </si>
  <si>
    <t>End Page</t>
  </si>
  <si>
    <t>Article Number</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</si>
  <si>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</si>
  <si>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</si>
  <si>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</si>
  <si>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</si>
  <si>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</si>
  <si>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</si>
  <si>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</si>
  <si>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</si>
  <si>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</si>
  <si>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</si>
  <si>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</si>
  <si>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</si>
  <si>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</si>
  <si>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</si>
  <si>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</si>
  <si>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</si>
  <si>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
  </si>
  <si>
    <t>CURRENT PSYCHOLOGY</t>
  </si>
  <si>
    <t>Article; Early Access</t>
  </si>
  <si>
    <t>No Statement Available</t>
  </si>
  <si>
    <t>SPRINGER</t>
  </si>
  <si>
    <t>NEW YORK</t>
  </si>
  <si>
    <t>ONE NEW YORK PLAZA, SUITE 4600, NEW YORK, NY, UNITED STATES</t>
  </si>
  <si>
    <t>1046-1310</t>
  </si>
  <si>
    <t>1936-4733</t>
  </si>
  <si>
    <t>CURR PSYCHOL</t>
  </si>
  <si>
    <t>Psychology, Multidisciplinary</t>
  </si>
  <si>
    <t>Social Science Citation Index (SSCI)</t>
  </si>
  <si>
    <t>Psychology</t>
  </si>
  <si>
    <t>DIGITAL DISCOVERY</t>
  </si>
  <si>
    <t>yaghi@berkeley.edu</t>
  </si>
  <si>
    <t>ROYAL SOC CHEMISTRY</t>
  </si>
  <si>
    <t>CAMBRIDGE</t>
  </si>
  <si>
    <t>THOMAS GRAHAM HOUSE, SCIENCE PARK, MILTON RD, CAMBRIDGE CB4 0WF, CAMBS, ENGLAND</t>
  </si>
  <si>
    <t>2635-098X</t>
  </si>
  <si>
    <t>DIGIT DISCOV</t>
  </si>
  <si>
    <t>Digit. Discov.</t>
  </si>
  <si>
    <t>Chemistry, Multidisciplinary; Computer Science, Interdisciplinary Applications</t>
  </si>
  <si>
    <t>Emerging Sources Citation Index (ESCI)</t>
  </si>
  <si>
    <t>Chemistry; Computer Science</t>
  </si>
  <si>
    <t>gold</t>
  </si>
  <si>
    <t>SPRINGER HEIDELBERG</t>
  </si>
  <si>
    <t>HEIDELBERG</t>
  </si>
  <si>
    <t>TIERGARTENSTRASSE 17, D-69121 HEIDELBERG, GERMANY</t>
  </si>
  <si>
    <t>Law</t>
  </si>
  <si>
    <t>Government &amp; Law</t>
  </si>
  <si>
    <t>hybrid</t>
  </si>
  <si>
    <t>TRANSACTIONS OF THE ASSOCIATION FOR COMPUTATIONAL LINGUISTICS</t>
  </si>
  <si>
    <t>MIT PRESS</t>
  </si>
  <si>
    <t>ONE ROGERS ST, CAMBRIDGE, MA 02142-1209 USA</t>
  </si>
  <si>
    <t>2307-387X</t>
  </si>
  <si>
    <t>T ASSOC COMPUT LING</t>
  </si>
  <si>
    <t>Trans. Assoc. Comput. Linguist.</t>
  </si>
  <si>
    <t>Computer Science, Artificial Intelligence; Linguistics; Language &amp; Linguistics</t>
  </si>
  <si>
    <t>Science Citation Index Expanded (SCI-EXPANDED); Social Science Citation Index (SSCI); Arts &amp; Humanities Citation Index (A&amp;HCI)</t>
  </si>
  <si>
    <t>Computer Science; Linguistics</t>
  </si>
  <si>
    <t>gold, Green Submitted</t>
  </si>
  <si>
    <t>JOHN WILEY &amp; SONS LTD</t>
  </si>
  <si>
    <t>CHICHESTER</t>
  </si>
  <si>
    <t>THE ATRIUM, SOUTHERN GATE, CHICHESTER PO19 8SQ, W SUSSEX, ENGLAND</t>
  </si>
  <si>
    <t>LONDON</t>
  </si>
  <si>
    <t>JAN 22</t>
  </si>
  <si>
    <t>Green Submitted, gold</t>
  </si>
  <si>
    <t>National Social Science Fund of China</t>
  </si>
  <si>
    <t>ROUTLEDGE JOURNALS, TAYLOR &amp; FRANCIS LTD</t>
  </si>
  <si>
    <t>ABINGDON</t>
  </si>
  <si>
    <t>2-4 PARK SQUARE, MILTON PARK, ABINGDON OX14 4RN, OXON, ENGLAND</t>
  </si>
  <si>
    <t>Education &amp; Educational Research</t>
  </si>
  <si>
    <t>WILEY</t>
  </si>
  <si>
    <t>HOBOKEN</t>
  </si>
  <si>
    <t>111 RIVER ST, HOBOKEN 07030-5774, NJ USA</t>
  </si>
  <si>
    <t>FRONTIERS IN EDUCATION</t>
  </si>
  <si>
    <t>The author(s) declare financial support was received for the research, authorship, and/or publication of this article. This research was supported by the Stanford Accelerator for Learning and the Stanford Institute for Human-Centered AI.</t>
  </si>
  <si>
    <t>FRONTIERS MEDIA SA</t>
  </si>
  <si>
    <t>LAUSANNE</t>
  </si>
  <si>
    <t>AVENUE DU TRIBUNAL FEDERAL 34, LAUSANNE, CH-1015, SWITZERLAND</t>
  </si>
  <si>
    <t>2504-284X</t>
  </si>
  <si>
    <t>FRONT EDUC</t>
  </si>
  <si>
    <t>JAN 18</t>
  </si>
  <si>
    <t>DORDRECHT</t>
  </si>
  <si>
    <t>VAN GODEWIJCKSTRAAT 30, 3311 GZ DORDRECHT, NETHERLANDS</t>
  </si>
  <si>
    <t>Mechanics</t>
  </si>
  <si>
    <t>Science Citation Index Expanded (SCI-EXPANDED)</t>
  </si>
  <si>
    <t>Green Submitted, hybrid</t>
  </si>
  <si>
    <t>TOKYO</t>
  </si>
  <si>
    <t>Computer Science, Information Systems</t>
  </si>
  <si>
    <t>Computer Science</t>
  </si>
  <si>
    <t>Computer Science; Engineering</t>
  </si>
  <si>
    <t>ELSEVIER</t>
  </si>
  <si>
    <t>AMSTERDAM</t>
  </si>
  <si>
    <t>RADARWEG 29, 1043 NX AMSTERDAM, NETHERLANDS</t>
  </si>
  <si>
    <t>OXFORD UNIV PRESS</t>
  </si>
  <si>
    <t>OXFORD</t>
  </si>
  <si>
    <t>GREAT CLARENDON ST, OXFORD OX2 6DP, ENGLAND</t>
  </si>
  <si>
    <t>Health Care Sciences &amp; Services; Medical Informatics</t>
  </si>
  <si>
    <t>ELSEVIER SCI LTD</t>
  </si>
  <si>
    <t>London</t>
  </si>
  <si>
    <t>125 London Wall, London, ENGLAND</t>
  </si>
  <si>
    <t>NATURE HUMAN BEHAVIOUR</t>
  </si>
  <si>
    <t>Fedorenko, Evelina/I-9868-2017</t>
  </si>
  <si>
    <t>NATURE PORTFOLIO</t>
  </si>
  <si>
    <t>BERLIN</t>
  </si>
  <si>
    <t>HEIDELBERGER PLATZ 3, BERLIN, 14197, GERMANY</t>
  </si>
  <si>
    <t>2397-3374</t>
  </si>
  <si>
    <t>NAT HUM BEHAV</t>
  </si>
  <si>
    <t>Nat. Hum. Behav.</t>
  </si>
  <si>
    <t>Psychology, Biological; Multidisciplinary Sciences; Neurosciences; Psychology, Experimental</t>
  </si>
  <si>
    <t>Science Citation Index Expanded (SCI-EXPANDED); Social Science Citation Index (SSCI)</t>
  </si>
  <si>
    <t>Psychology; Science &amp; Technology - Other Topics; Neurosciences &amp; Neurology</t>
  </si>
  <si>
    <t>Green Submitted</t>
  </si>
  <si>
    <t>SPRINGERNATURE</t>
  </si>
  <si>
    <t>CAMPUS, 4 CRINAN ST, LONDON, N1 9XW, ENGLAND</t>
  </si>
  <si>
    <t>Computer Science, Theory &amp; Methods</t>
  </si>
  <si>
    <t>IOP Publishing Ltd</t>
  </si>
  <si>
    <t>BRISTOL</t>
  </si>
  <si>
    <t>TEMPLE CIRCUS, TEMPLE WAY, BRISTOL BS1 6BE, ENGLAND</t>
  </si>
  <si>
    <t>JAN 1</t>
  </si>
  <si>
    <t>Astronomy &amp; Astrophysics</t>
  </si>
  <si>
    <t>MATHEMATICS</t>
  </si>
  <si>
    <t>MDPI</t>
  </si>
  <si>
    <t>BASEL</t>
  </si>
  <si>
    <t>ST ALBAN-ANLAGE 66, CH-4052 BASEL, SWITZERLAND</t>
  </si>
  <si>
    <t>2227-7390</t>
  </si>
  <si>
    <t>MATHEMATICS-BASEL</t>
  </si>
  <si>
    <t>Mathematics</t>
  </si>
  <si>
    <t>JAN</t>
  </si>
  <si>
    <t>ELECTRONICS</t>
  </si>
  <si>
    <t>HEALTH</t>
  </si>
  <si>
    <t>University of Piraeus Research Center</t>
  </si>
  <si>
    <t>2079-9292</t>
  </si>
  <si>
    <t>ELECTRONICS-SWITZ</t>
  </si>
  <si>
    <t>Electronics</t>
  </si>
  <si>
    <t>Computer Science, Information Systems; Engineering, Electrical &amp; Electronic; Physics, Applied</t>
  </si>
  <si>
    <t>Computer Science; Engineering; Physics</t>
  </si>
  <si>
    <t>IEEE ACCESS</t>
  </si>
  <si>
    <t>IEEE-INST ELECTRICAL ELECTRONICS ENGINEERS INC</t>
  </si>
  <si>
    <t>PISCATAWAY</t>
  </si>
  <si>
    <t>445 HOES LANE, PISCATAWAY, NJ 08855-4141 USA</t>
  </si>
  <si>
    <t>2169-3536</t>
  </si>
  <si>
    <t>IEEE Access</t>
  </si>
  <si>
    <t>Computer Science, Information Systems; Engineering, Electrical &amp; Electronic; Telecommunications</t>
  </si>
  <si>
    <t>Computer Science; Engineering; Telecommunications</t>
  </si>
  <si>
    <t>Liao, CY; Cao, XZ; Iyer, SS; Schauman, S; Zhou, ZH; Yan, XQ; Chen, Q; Li, ZT; Wang, N; Gong, T; Wu, Z; He, HJ; Zhong, JH; Yang, Y; Kerr, A; Grill-Spector, K; Setsompop, K</t>
  </si>
  <si>
    <t>Liao, Congyu; Cao, Xiaozhi; Iyer, Siddharth Srinivasan; Schauman, Sophie; Zhou, Zihan; Yan, Xiaoqian; Chen, Quan; Li, Zhitao; Wang, Nan; Gong, Ting; Wu, Zhe; He, Hongjian; Zhong, Jianhui; Yang, Yang; Kerr, Adam; Grill-Spector, Kalanit; Setsompop, Kawin</t>
  </si>
  <si>
    <t>High-resolution myelin-water fraction and quantitative relaxation mapping using 3D ViSTa-MR fingerprinting</t>
  </si>
  <si>
    <t>MAGNETIC RESONANCE IN MEDICINE</t>
  </si>
  <si>
    <t>high resolution; myelin-water fraction; quantitative MRI</t>
  </si>
  <si>
    <t>IN-VIVO; SLIDING-WINDOW; BRAIN; RECONSTRUCTION; VISUALIZATION; ACQUISITION; CONTRAST</t>
  </si>
  <si>
    <t>Purpose: This study aims to develop a high-resolution whole-brain multi-parametric quantitative MRI approach for simultaneous mapping of myelin-water fraction (MWF), T-1, T-2, and proton-density (PD), all within a clinically feasible scan time.Methods: We developed 3D visualization of short transverse relaxation time component (ViSTa)-MRF, which combined ViSTa technique with MR fingerprinting (MRF), to achieve high-fidelity whole-brain MWF and T-1/T-2/PD mapping on a clinical 3T scanner. To achieve fast acquisition and memory-efficient reconstruction, the ViSTa-MRF sequence leverages an optimized 3D tiny-golden-angle-shuffling spiral-projection acquisition and joint spatial-temporal subspace reconstruction with optimized preconditioning algorithm. With the proposed ViSTa-MRF approach, high-fidelity direct MWF mapping was achieved without a need for multicompartment fitting that could introduce bias and/or noise from additional assumptions or priors.Results: The in vivo results demonstrate the effectiveness of the proposed acquisition and reconstruction framework to provide fast multi-parametric mapping with high SNR and good quality. The in vivo results of 1 mm- and 0.66 mm-isotropic resolution datasets indicate that the MWF values measured by the proposed method are consistent with standard ViSTa results that are 30x slower with lower SNR. Furthermore, we applied the proposed method to enable 5-min whole-brain 1 mm-iso assessment of MWF and T-1/T-2/PD mappings for infant brain development and for post-mortem brain samples.Conclusions: In this work, we have developed a 3D ViSTa-MRF technique that enables the acquisition of whole-brain MWF, quantitative T-1, T-2, and PD maps at 1 and 0.66 mm isotropic resolution in 5 and 15 min, respectively. This advancement allows for quantitative investigations of myelination changes in the brain.</t>
  </si>
  <si>
    <t>[Cao, Xiaozhi] Room 301, Packard Elect Engn Bldg, 350 Jane Stanfo, Stanford, CA 94305 USA; [Liao, Congyu; Cao, Xiaozhi; Iyer, Siddharth Srinivasan; Schauman, Sophie; Zhou, Zihan; Chen, Quan; Li, Zhitao; Wang, Nan; Setsompop, Kawin] Stanford Univ, Dept Radiol, Stanford, CA USA; [Liao, Congyu; Cao, Xiaozhi; Schauman, Sophie; Chen, Quan; Wang, Nan; Kerr, Adam; Setsompop, Kawin] Stanford Univ, Dept Elect Engn, Stanford, CA USA; [Iyer, Siddharth Srinivasan] MIT, Dept Elect Engn &amp; Comp Sci, Cambridge, MA USA; [Zhou, Zihan; He, Hongjian; Zhong, Jianhui] Zhejiang Univ, Coll Biomed Engn &amp; Instrument Sci, Ctr Brain Imaging Sci &amp; Technol, Hangzhou, Peoples R China; [Yan, Xiaoqian; Grill-Spector, Kalanit] Stanford Univ, Dept Psychol, Stanford, CA USA; [Yan, Xiaoqian] Fudan Univ, Inst Sci &amp; Technol Brain Inspired Intelligence, Shanghai, Peoples R China; [Gong, Ting] Massachusetts Gen Hosp, Athinoula A Martinos Ctr Biomed Imaging, Boston, MA USA; [Gong, Ting] Harvard Med Sch, Boston, MA USA; [Wu, Zhe] Univ Hlth Network, Techna Inst, Toronto, ON, Canada; [He, Hongjian] Zhejiang Univ, Sch Phys, Hangzhou, Peoples R China; [Zhong, Jianhui] Univ Rochester, Dept Imaging Sci, Rochester, NY USA; [Yang, Yang] Univ Calif San Francisco, Dept Radiol &amp; Biomed Imaging, San Francisco, CA USA; [Kerr, Adam] Stanford Univ, Stanford Ctr Cognit &amp; Neurobiol Imaging, Stanford, CA USA</t>
  </si>
  <si>
    <t>Stanford University; Stanford University; Massachusetts Institute of Technology (MIT); Zhejiang University; Stanford University; Fudan University; Harvard University; Massachusetts General Hospital; Harvard University; Harvard Medical School; University of Toronto; University Health Network Toronto; Zhejiang University; University of Rochester; University of California System; University of California San Francisco; Stanford University</t>
  </si>
  <si>
    <t>Cao, XZ (corresponding author), Room 301, Packard Elect Engn Bldg, 350 Jane Stanfo, Stanford, CA 94305 USA.</t>
  </si>
  <si>
    <t>xiaozhic@stanford.edu</t>
  </si>
  <si>
    <t>National Institutes of Health; [R01MH116173]; [R01EB019437]; [U01EB025162]; [P41EB030006]</t>
  </si>
  <si>
    <t>National Institutes of Health(United States Department of Health &amp; Human ServicesNational Institutes of Health (NIH) - USA); ; ; ;</t>
  </si>
  <si>
    <t>We thank Dr. Vaidehi Subhash Natu, Sarah Shi Tung, Clara Maria Bacmeister, and Bella Fascendini from Stanford University for their invaluable assistance in preparing the experiments. In the preparation of this manuscript, the OpenAI's Large Language Model (LLM), specifically the GPT-4 architecture, was used for grammar check. This work is supported in part by National Institutes of Health research grants (R01MH116173, R01EB019437, U01EB025162, P41EB030006).</t>
  </si>
  <si>
    <t>0740-3194</t>
  </si>
  <si>
    <t>1522-2594</t>
  </si>
  <si>
    <t>MAGN RESON MED</t>
  </si>
  <si>
    <t>Magn. Reson. Med.</t>
  </si>
  <si>
    <t>10.1002/mrm.29990</t>
  </si>
  <si>
    <t>DEC 2023</t>
  </si>
  <si>
    <t>Radiology, Nuclear Medicine &amp; Medical Imaging</t>
  </si>
  <si>
    <t>WOS:001134125600001</t>
  </si>
  <si>
    <t>Giannakopoulos, K; Kavadella, A; Salim, AA; Stamatopoulos, V; Kaklamanos, EG</t>
  </si>
  <si>
    <t>Giannakopoulos, Kostis; Kavadella, Argyro; Salim, Anas Aaqel; Stamatopoulos, Vassilis; Kaklamanos, Eleftherios G.</t>
  </si>
  <si>
    <t>JOURNAL OF MEDICAL INTERNET RESEARCH</t>
  </si>
  <si>
    <t>artificial intelligence; AI; large language models; generative pretrained transformers; evidence-based dentistry; ChatGPT; Google Bard; Microsoft Bing; clinical practice; dental professional; dental practice; clinical decision-making; clinical practice guidelines</t>
  </si>
  <si>
    <t>ARTIFICIAL-INTELLIGENCE; CHALLENGES</t>
  </si>
  <si>
    <t>Background: The increasing application of generative artificial intelligence large language models (LLMs) in various fields, including dentistry, raises questions about their accuracy. Objective: This study aims to comparatively evaluate the answers provided by 4 LLMs, namely Bard (Google LLC), ChatGPT-3.5 and ChatGPT-4 (OpenAI), and Bing Chat (Microsoft Corp), to clinically relevant questions from the field of dentistry. Methods: The LLMs were queried with 20 open-type, clinical dentistry-related questions from different disciplines, developed by the respective faculty of the School of Dentistry, European University Cyprus. The LLMs' answers were graded 0 (minimum) to 10 (maximum) points against strong, traditionally collected scientific evidence, such as guidelines and consensus statements, using a rubric, as if they were examination questions posed to students, by 2 experienced faculty members. The scores were statistically compared to identify the best-performing model using the Friedman and Wilcoxon tests. Moreover, the evaluators were asked to provide a qualitative evaluation of the comprehensiveness, scientific accuracy, clarity, and relevance of the LLMs' answers. Results: Overall, no statistically significant difference was detected between the scores given by the 2 evaluators; therefore, an average score was computed for every LLM. Although ChatGPT-4 statistically outperformed ChatGPT-3.5 (P=.008), Bing Chat (P=.049), and Bard (P=.045), all models occasionally exhibited inaccuracies, generality, outdated content, and a lack of source references. The evaluators noted instances where the LLMs delivered irrelevant information, vague answers, or information that was not fully accurate. Conclusions: This study demonstrates that although LLMs hold promising potential as an aid in the implementation of evidence-based dentistry, their current limitations can lead to potentially harmful health care decisions if not used judiciously. Therefore, these tools should not replace the dentist's critical thinking and in-depth understanding of the subject matter. Further research, clinical validation, and model improvements are necessary for these tools to be fully integrated into dental practice. Dental practitioners must be aware of the limitations of LLMs, as their imprudent use could potentially impact patient care. Regulatory measures should be established to oversee the use of these evolving technologies.</t>
  </si>
  <si>
    <t>[Giannakopoulos, Kostis; Kavadella, Argyro; Salim, Anas Aaqel; Kaklamanos, Eleftherios G.] European Univ Cyprus, Sch Dent, 6 Diogenis St, CY-2404 Engomi, Nicosia, Cyprus; [Stamatopoulos, Vassilis] ATHENA Res &amp; Innovat Ctr, Informat Management Syst Inst, Athens, Greece; [Kaklamanos, Eleftherios G.] Aristotle Univ Thessaloniki, Sch Dent, Thessaloniki, Greece; [Kaklamanos, Eleftherios G.] Mohammed Bin Rashid Univ Med &amp; Hlth Sci, Dubai, U Arab Emirates</t>
  </si>
  <si>
    <t>European University Cyprus; Aristotle University of Thessaloniki</t>
  </si>
  <si>
    <t>Giannakopoulos, K (corresponding author), European Univ Cyprus, Sch Dent, 6 Diogenis St, CY-2404 Engomi, Nicosia, Cyprus.</t>
  </si>
  <si>
    <t>k.giannakopoulos@euc.ac.cy</t>
  </si>
  <si>
    <t>European University Cyprus</t>
  </si>
  <si>
    <t>This study was funded by the authors and the European University Cyprus and received no specific grant from any funding agency in the public, commercial, or not-for-profit sector. The authors declare that generative artificial intelligence was not used in the writing of any portion the manuscript.</t>
  </si>
  <si>
    <t>JMIR PUBLICATIONS, INC</t>
  </si>
  <si>
    <t>TORONTO</t>
  </si>
  <si>
    <t>130 QUEENS QUAY East, Unit 1100, TORONTO, ON M5A 0P6, CANADA</t>
  </si>
  <si>
    <t>1438-8871</t>
  </si>
  <si>
    <t>J MED INTERNET RES</t>
  </si>
  <si>
    <t>DEC 28</t>
  </si>
  <si>
    <t>FN4G3</t>
  </si>
  <si>
    <t>Green Published, gold</t>
  </si>
  <si>
    <t>WOS:001146489700003</t>
  </si>
  <si>
    <t>Iwasaki, M</t>
  </si>
  <si>
    <t>Iwasaki, Masaki</t>
  </si>
  <si>
    <t>Digital Cloning of the Dead: Exploring the Optimal Default Rule</t>
  </si>
  <si>
    <t>ASIAN JOURNAL OF LAW AND ECONOMICS</t>
  </si>
  <si>
    <t>digital clone; digital resurrection; deep learning; large language model; default rule</t>
  </si>
  <si>
    <t>We conducted a survey experiment in the U.S. to analyze how the consent or dissent of a deceased individual influences the social acceptability of digital resurrection. The results showed a substantial relative treatment effect of consent versus dissent, with a 2-point difference in acceptability on a 5-point scale. When the deceased had consented, 58 % of respondents viewed digital resurrection as socially acceptable, whereas this number was only 3 % when the deceased had dissented. These findings suggest that relevant legal regulations should respect the decision of the deceased. Our study then explored the optimal default rule using observational research: 59 % of respondents were against the idea of their own digital resurrection. An opt-in rule seems socially desirable, where the default is the prohibition of digital resurrection, and exceptions allow it only with consent from the deceased.</t>
  </si>
  <si>
    <t>[Iwasaki, Masaki] Seoul Natl Univ, Sch Law, Seoul, South Korea</t>
  </si>
  <si>
    <t>Seoul National University (SNU)</t>
  </si>
  <si>
    <t>Iwasaki, M (corresponding author), Seoul Natl Univ, Sch Law, Seoul, South Korea.</t>
  </si>
  <si>
    <t>miwasaki@sjd.law.harvard.edu</t>
  </si>
  <si>
    <t>Iwasaki, Masaki/0000-0003-3569-2425</t>
  </si>
  <si>
    <t>Seoul National University</t>
  </si>
  <si>
    <t>The author is grateful to Haksoo Ko, Keun-Gwan Lee, Yijia Lu, Sangchul Park, and the participants of the 2023 SNU-KYU Joint Symposium for their comments, and to Qi Wang for her research assistance.</t>
  </si>
  <si>
    <t>WALTER DE GRUYTER GMBH</t>
  </si>
  <si>
    <t>GENTHINER STRASSE 13, D-10785 BERLIN, GERMANY</t>
  </si>
  <si>
    <t>2194-6086</t>
  </si>
  <si>
    <t>2154-4611</t>
  </si>
  <si>
    <t>ASIAN J LAW ECON</t>
  </si>
  <si>
    <t>Asian J. Law Econ.</t>
  </si>
  <si>
    <t>10.1515/ajle-2023-0125</t>
  </si>
  <si>
    <t>WOS:001131721500001</t>
  </si>
  <si>
    <t>Cheng, SL; Tsai, SJ; Bai, YM; Ko, CH; Hsu, CW; Yang, FC; Tsai, CK; Tu, YK; Yang, SN; Tseng, PT; Hsu, TW; Liang, CS; Su, KP</t>
  </si>
  <si>
    <t>Cheng, Shu-Li; Tsai, Shih-Jen; Bai, Ya-Mei; Ko, Chih-Hung; Hsu, Chih-Wei; Yang, Fu-Chi; Tsai, Chia-Kuang; Tu, Yu-Kang; Yang, Szu-Nian; Tseng, Ping-Tao; Hsu, Tien-Wei; Liang, Chih-Sung; Su, Kuan-Pin</t>
  </si>
  <si>
    <t>Comparisons of Quality, Correctness, and Similarity Between ChatGPT-Generated and Human-Written Abstracts for Basic Research: Cross-Sectional Study</t>
  </si>
  <si>
    <t>ChatGPT; abstract; AI-generated scientific content; plagiarism; artificial intelligence; NLP; natural language processing; LLM; language model; language models; text; textual; generation; generative; extract; extraction; scientific research; academic research; publication; publications; abstracts</t>
  </si>
  <si>
    <t>Background: ChatGPT may act as a research assistant to help organize the direction of thinking and summarize research findings. However, few studies have examined the quality, similarity (abstracts being similar to the original one), and accuracy of the abstracts generated by ChatGPT when researchers provide full-text basic research papers.Objective: We aimed to assess the applicability of an artificial intelligence (AI) model in generating abstracts for basic preclinical research. Methods: We selected 30 basic research papers from Nature, Genome Biology, and Biological Psychiatry. Excluding abstracts, we inputted the full text into ChatPDF, an application of a language model based on ChatGPT, and we prompted it to generate abstracts with the same style as used in the original papers. A total of 8 experts were invited to evaluate the quality of these abstracts (based on a Likert scale of 0-10) and identify which abstracts were generated by ChatPDF, using a blind approach. These abstracts were also evaluated for their similarity to the original abstracts and the accuracy of the AI content. Results: The quality of ChatGPT-generated abstracts was lower than that of the actual abstracts (10-point Likert scale: mean 4.72, SD 2.09 vs mean 8.09, SD 1.03; P&lt;.001). The difference in quality was significant in the unstructured format (mean difference -4.33; 95% CI -4.79 to -3.86; P&lt;.001) but minimal in the 4-subheading structured format (mean difference -2.33; 95% CI -2.79 to -1.86). Among the 30 ChatGPT-generated abstracts, 3 showed wrong conclusions, and 10 were identified as AI content. The mean percentage of similarity between the original and the generated abstracts was not high (2.10%-4.40%). The blinded reviewers achieved a 93% (224/240) accuracy rate in guessing which abstracts were written using ChatGPT. Conclusions: Using ChatGPT to generate a scientific abstract may not lead to issues of similarity when using real full texts written by humans. However, the quality of the ChatGPT-generated abstracts was suboptimal, and their accuracy was not 100%.</t>
  </si>
  <si>
    <t>[Cheng, Shu-Li] Mackay Med Coll, Dept Nursing, Taipei, Taiwan; [Tsai, Shih-Jen; Bai, Ya-Mei] Taipei Vet Gen Hosp, Dept Psychiat, Taipei, Taiwan; [Cheng, Shu-Li; Tsai, Shih-Jen] Natl Yang Ming Univ, Sch Med, Div Psychiat, Taipei, Taiwan; [Ko, Chih-Hung] Kaohsiung Med Univ Hosp, Dept Psychiat, Kaohsiung, Taiwan; [Ko, Chih-Hung] Kaohsiung Med Univ, Coll Med, Dept Psychiat, Kaohsiung, Taiwan; [Ko, Chih-Hung] Kaohsiung Med Univ, Kaohsiung Municipal Siaogang Hosp, Dept Psychiat, Kaohsiung, Taiwan; [Hsu, Chih-Wei] Kaohsiung Chang Gung Mem Hosp, Dept Psychiat, Kaohsiung, Taiwan; [Yang, Fu-Chi; Tsai, Chia-Kuang] Triserv Gen Hosp, Natl Def Med Ctr, Dept Neurol, Taipei, Taiwan; [Tu, Yu-Kang] Natl Taiwan Univ, Inst Epidemiol &amp; Prevent Med, Coll Publ Hlth, Taipei, Taiwan; [Tu, Yu-Kang] Natl Taiwan Univ Hosp, Dept Dent, Taipei, Taiwan; [Yang, Szu-Nian; Liang, Chih-Sung] Triserv Hosp, Dept Psychiat, Beitou branch, Taipei, Taiwan; [Yang, Szu-Nian] Armed Forces Taoyuan Gen Hosp, Dept Psychiat, Taoyuan, Taiwan; [Yang, Szu-Nian] Natl Yang Ming Chiao Tung Univ, Grad Inst Hlth &amp; Welf Policy, Taipei, Taiwan; [Tseng, Ping-Tao] Natl Sun Yat sen Univ, Inst Biomed Sci, Inst Precis Med, Kaohsiung, Taiwan; [Tseng, Ping-Tao] Asia Univ, Coll Med &amp; Hlth Sci, Dept Psychol, Taichung, Taiwan; [Tseng, Ping-Tao] Prospect Clin Otorhinolaryngol &amp; Neurol, Kaohsiung, Taiwan; [Hsu, Tien-Wei] I Shou Univ, E Da Dachang Hosp, Dept Psychiat, 305,Dachang 1st Rd, Kaohsiung 807, Taiwan; [Hsu, Tien-Wei] I Shou Univ, E Da Hosp, Dept Psychiat, Kaohsiung, Taiwan; Natl Def Med Ctr, Dept Psychiat, Taipei, Taiwan; [Liang, Chih-Sung] China Med Univ, Coll Med, Taichung, Taiwan; [Su, Kuan-Pin] China Med Univ Hosp, Mind Body Interface Lab, Taichung, Taiwan; [Su, Kuan-Pin] China Med Univ, An Nan Hosp, Tainan, Taiwan</t>
  </si>
  <si>
    <t>Hsu, TW (corresponding author), I Shou Univ, E Da Dachang Hosp, Dept Psychiat, 305,Dachang 1st Rd, Kaohsiung 807, Taiwan.</t>
  </si>
  <si>
    <t>s9801101@gmail.com</t>
  </si>
  <si>
    <t>MacKay Medical College in Taiwan [MMC-RD-111-1B-P003]; National Science and Technology Council in Taiwan (NSTC) [112-2314-B-715-003]</t>
  </si>
  <si>
    <t>MacKay Medical College in Taiwan; National Science and Technology Council in Taiwan (NSTC)</t>
  </si>
  <si>
    <t>This work is supported by MacKay Medical College in Taiwan (MMC-RD-111-1B-P003, for SLC) and the National Science and Technology Council in Taiwan (NSTC 112-2314-B-715-003, for SLC) . The funding source had no role in any process of our study. TWH and CSL are co-corresponding authors on this article.</t>
  </si>
  <si>
    <t>DEC 25</t>
  </si>
  <si>
    <t>e51229</t>
  </si>
  <si>
    <t>10.2196/51229</t>
  </si>
  <si>
    <t>FN7F9</t>
  </si>
  <si>
    <t>WOS:001146575700003</t>
  </si>
  <si>
    <t>Weber-Wulff, D; Anohina-Naumeca, A; Bjelobaba, S; Foltynek, T; Guerrero-Dib, J; Popoola, O; Sigut, P; Waddington, L</t>
  </si>
  <si>
    <t>Weber-Wulff, Debora; Anohina-Naumeca, Alla; Bjelobaba, Sonja; Foltynek, Tomas; Guerrero-Dib, Jean; Popoola, Olumide; Sigut, Petr; Waddington, Lorna</t>
  </si>
  <si>
    <t>Testing of detection tools for AI-generated text</t>
  </si>
  <si>
    <t>INTERNATIONAL JOURNAL FOR EDUCATIONAL INTEGRITY</t>
  </si>
  <si>
    <t>Artificial intelligence; Generative pre-trained transformers; Machine-generated text; Detection of AI-generated text; Academic integrity; ChatGPT; AI detectors</t>
  </si>
  <si>
    <t>Recent advances in generative pre-trained transformer large language models have emphasised the potential risks of unfair use of artificial intelligence (AI) generated content in an academic environment and intensified efforts in searching for solutions to detect such content. The paper examines the general functionality of detection tools for AI-generated text and evaluates them based on accuracy and error type analysis. Specifically, the study seeks to answer research questions about whether existing detection tools can reliably differentiate between human-written text and ChatGPT-generated text, and whether machine translation and content obfuscation techniques affect the detection of AI-generated text. The research covers 12 publicly available tools and two commercial systems (Turnitin and PlagiarismCheck) that are widely used in the academic setting. The researchers conclude that the available detection tools are neither accurate nor reliable and have a main bias towards classifying the output as human-written rather than detecting AI-generated text. Furthermore, content obfuscation techniques significantly worsen the performance of tools. The study makes several significant contributions. First, it summarises up-to-date similar scientific and non-scientific efforts in the field. Second, it presents the result of one of the most comprehensive tests conducted so far, based on a rigorous research methodology, an original document set, and a broad coverage of tools. Third, it discusses the implications and drawbacks of using detection tools for AI-generated text in academic settings.</t>
  </si>
  <si>
    <t>[Weber-Wulff, Debora] Univ Appl Sci HTW Berlin, Berlin, Germany; [Anohina-Naumeca, Alla] Riga Tech Univ, Riga, Latvia; [Bjelobaba, Sonja] Uppsala Univ, Uppsala, Sweden; [Foltynek, Tomas; Sigut, Petr] Masaryk Univ, Brno, Czech Republic; [Guerrero-Dib, Jean] Univ Monterrey, San Pedro Garza Garcia, Mexico; [Popoola, Olumide] Queen Mary Univ London, London, England; [Waddington, Lorna] Univ Leeds, Leeds, England</t>
  </si>
  <si>
    <t>Riga Technical University; Uppsala University; Masaryk University Brno; Universidad de Monterrey; Tecnologico de Monterrey; University of London; Queen Mary University London; University of Leeds</t>
  </si>
  <si>
    <t>Bjelobaba, S (corresponding author), Uppsala Univ, Uppsala, Sweden.</t>
  </si>
  <si>
    <t>sonja.bjelobaba@crb.uu.se</t>
  </si>
  <si>
    <t>Uppsala University</t>
  </si>
  <si>
    <t>Open access funding provided by Uppsala University. The authors had no funding for this research other than from their respective institutions.</t>
  </si>
  <si>
    <t>BMC</t>
  </si>
  <si>
    <t>CAMPUS, 4 CRINAN ST, LONDON N1 9XW, ENGLAND</t>
  </si>
  <si>
    <t>1833-2595</t>
  </si>
  <si>
    <t>INT J EDUC INTEGR</t>
  </si>
  <si>
    <t>Int. J. Educ. Intege.</t>
  </si>
  <si>
    <t>10.1007/s40979-023-00146-z</t>
  </si>
  <si>
    <t>DA1W4</t>
  </si>
  <si>
    <t>WOS:001129231700001</t>
  </si>
  <si>
    <t>Zou, WX; Li, JX; Yang, YK; Tang, L</t>
  </si>
  <si>
    <t>Zou, Wenxue; Li, Jinxu; Yang, Yunkang; Tang, Lu</t>
  </si>
  <si>
    <t>Exploring the Early Adoption of Open AI among Laypeople and Technical Professionals: An Analysis of Twitter Conversations on #ChatGPT and #GPT3</t>
  </si>
  <si>
    <t>INTERNATIONAL JOURNAL OF HUMAN-COMPUTER INTERACTION</t>
  </si>
  <si>
    <t>ChatGPT; gpt-3; twitter; structural topic modeling; sentiment analysis</t>
  </si>
  <si>
    <t>Large language models (LLMs) such as GPT-3 and their derivative products such as ChatGPT have garnered significant attention for their remarkable ability to process texts and conduct human-like conversations. Guided by the Diffusion of Innovation theory, this study examines the early discussions about LLMs on Twitter, specifically about ChatGPT and GPT-3, during the first three months following the release of ChatGPT. By utilizing topic structural modeling and sentiment analysis on a sample of 42,273 #ChatGPT tweets and 17,639 #GPT3 tweets, we explore how laypeople and technical professionals differ in their attitudes in the early stage of the adoption of LLMs. Our findings suggest that the discussion surrounding ChatGPT and GPT-3 primarily revolves around relative advantage and compatibility, with the majority of #ChatGPT conversations demonstrating negative sentiment and #GPT3 discussions containing more positive topics. The Twitter discussion using #ChatGPT is highly business-oriented, while the discussion of #GPT3 covers a broader range of topics in terms of the characteristics, applications, and potential ethical concerns of LLMs. This study offers implications for government agencies and policymakers, suggesting that further research is needed to fully understand the potential applications and risks of LLMs.</t>
  </si>
  <si>
    <t>[Zou, Wenxue] Coastal Carolina Univ, Dept Commun, Conway, SC USA; [Li, Jinxu; Yang, Yunkang; Tang, Lu] Texas A&amp;M Univ, Dept Commun &amp; Journalism, College Stn, TX USA</t>
  </si>
  <si>
    <t>Coastal Carolina University; Texas A&amp;M University System; Texas A&amp;M University College Station</t>
  </si>
  <si>
    <t>Tang, L (corresponding author), Texas A&amp;M Univ, Dept Commun, College Stn, TX 77843 USA.</t>
  </si>
  <si>
    <t>ltang@tamu.edu</t>
  </si>
  <si>
    <t>National Institutes of Health</t>
  </si>
  <si>
    <t>National Institutes of Health(United States Department of Health &amp; Human ServicesNational Institutes of Health (NIH) - USA)</t>
  </si>
  <si>
    <t>TAYLOR &amp; FRANCIS INC</t>
  </si>
  <si>
    <t>PHILADELPHIA</t>
  </si>
  <si>
    <t>530 WALNUT STREET, STE 850, PHILADELPHIA, PA 19106 USA</t>
  </si>
  <si>
    <t>1044-7318</t>
  </si>
  <si>
    <t>1532-7590</t>
  </si>
  <si>
    <t>INT J HUM-COMPUT INT</t>
  </si>
  <si>
    <t>Int. J. Hum.-Comput. Interact.</t>
  </si>
  <si>
    <t>2023 DEC 22</t>
  </si>
  <si>
    <t>10.1080/10447318.2023.2295725</t>
  </si>
  <si>
    <t>Computer Science, Cybernetics; Ergonomics</t>
  </si>
  <si>
    <t>DC2F4</t>
  </si>
  <si>
    <t>WOS:001129761000001</t>
  </si>
  <si>
    <t>Boiko, DA; Macknight, R; Kline, B; Gomes, G</t>
  </si>
  <si>
    <t>Boiko, Daniil A.; Macknight, Robert; Kline, Ben; Gomes, Gabe</t>
  </si>
  <si>
    <t>Autonomous chemical research with large language models</t>
  </si>
  <si>
    <t>NATURE</t>
  </si>
  <si>
    <t>Transformer-based large language models are making significant strides in various fields, such as natural language processing1-5, biology6,7, chemistry8-10 and computer programming11,12. Here, we show the development and capabilities of Coscientist, an artificial intelligence system driven by GPT-4 that autonomously designs, plans and performs complex experiments by incorporating large language models empowered by tools such as internet and documentation search, code execution and experimental automation. Coscientist showcases its potential for accelerating research across six diverse tasks, including the successful reaction optimization of palladium-catalysed cross-couplings, while exhibiting advanced capabilities for (semi-)autonomous experimental design and execution. Our findings demonstrate the versatility, efficacy and explainability of artificial intelligence systems like Coscientist in advancing research. Coscientist is an artificial intelligence system driven by GPT-4 that autonomously designs, plans and performs experiments by incorporating large language models empowered by tools such as internet and documentation search, code execution and experimental automation.</t>
  </si>
  <si>
    <t>[Boiko, Daniil A.; Macknight, Robert; Gomes, Gabe] Carnegie Mellon Univ, Dept Chem Engn, Pittsburgh, PA 15213 USA; [Kline, Ben] Emerald Cloud Lab, South San Francisco, CA USA; [Gomes, Gabe] Carnegie Mellon Univ, Dept Chem, Pittsburgh, PA 15213 USA; [Gomes, Gabe] Carnegie Mellon Univ, Wilton E Scott Inst Energy Innovat, Pittsburgh, PA 15213 USA</t>
  </si>
  <si>
    <t>Carnegie Mellon University; Carnegie Mellon University; Carnegie Mellon University</t>
  </si>
  <si>
    <t>Gomes, G (corresponding author), Carnegie Mellon Univ, Dept Chem Engn, Pittsburgh, PA 15213 USA.;Gomes, G (corresponding author), Carnegie Mellon Univ, Dept Chem, Pittsburgh, PA 15213 USA.;Gomes, G (corresponding author), Carnegie Mellon Univ, Wilton E Scott Inst Energy Innovat, Pittsburgh, PA 15213 USA.</t>
  </si>
  <si>
    <t>gabegomes@cmu.edu</t>
  </si>
  <si>
    <t>dos Passos Gomes, Gabriel/0000-0002-8235-5969; Boiko, Daniil/0000-0003-4140-4645</t>
  </si>
  <si>
    <t>Carnegie Mellon University Cloud Lab Initiative; Carnegie Mellon University; Mellon College of Sciences and its Department of Chemistry; College of Engineering - National Science Foundation Center for Chemoenzymatic Synthesis [2221346]; National Science Foundation Center for Computer-Assisted Synthesis [2202693]</t>
  </si>
  <si>
    <t>Carnegie Mellon University Cloud Lab Initiative; Carnegie Mellon University; Mellon College of Sciences and its Department of Chemistry; College of Engineering - National Science Foundation Center for Chemoenzymatic Synthesis; National Science Foundation Center for Computer-Assisted Synthesis</t>
  </si>
  <si>
    <t>We thank the following Carnegie Mellon University Chemistry groups for their assistance with providing the chemicals needed for the Coscientist's experiments: Sydlik, Garcia Borsch, Matyjaszewski and Ly. We give special thanks to the Noonan group (K. Noonan and D. Sharma) for providing access to chemicals and gas chromatography-mass spectrometry analysis. We also thank the team at Emerald Cloud Lab (with special attention to Y. Benslimane, H. Gronlund, B. Smith and B. Frezza) for assisting us with parsing their documentation and executing experiments. G.G. is grateful to the Carnegie Mellon University Cloud Lab Initiative led by the Mellon College of Science for its vision of the future of physical sciences. G.G. thanks Carnegie Mellon University; the Mellon College of Sciences and its Department of Chemistry; and the College of Engineering and its Department of Chemical Engineering for the start-up support. D.A.B. was partially funded by the National Science Foundation Center for Chemoenzymatic Synthesis (Grant no. 2221346). R.M. was funded by the National Science Foundation Center for Computer-Assisted Synthesis (Grant no. 2202693).</t>
  </si>
  <si>
    <t>0028-0836</t>
  </si>
  <si>
    <t>1476-4687</t>
  </si>
  <si>
    <t>Nature</t>
  </si>
  <si>
    <t>DEC 21</t>
  </si>
  <si>
    <t>+</t>
  </si>
  <si>
    <t>10.1038/s41586-023-06792-0</t>
  </si>
  <si>
    <t>Multidisciplinary Sciences</t>
  </si>
  <si>
    <t>Science &amp; Technology - Other Topics</t>
  </si>
  <si>
    <t>CY8A1</t>
  </si>
  <si>
    <t>Niloy, AC; Akter, S; Sultana, N; Sultana, J; Rahman, SIU</t>
  </si>
  <si>
    <t>Niloy, Ahnaf Chowdhury; Akter, Salma; Sultana, Nayeema; Sultana, Jakia; Rahman, Sayed Imran Ur</t>
  </si>
  <si>
    <t>Is Chatgpt a menace for creative writing ability? An experiment</t>
  </si>
  <si>
    <t>JOURNAL OF COMPUTER ASSISTED LEARNING</t>
  </si>
  <si>
    <t>AI; ChatGPT; creative writing; creativity; experiment; writing ability</t>
  </si>
  <si>
    <t>ARTIFICIAL-INTELLIGENCE; APPROPRIATENESS; ORIGINALITY; WORK</t>
  </si>
  <si>
    <t>BackgroundThe increasing prevalence of Artificial Intelligence (AI) language models, exemplified by ChatGPT, has sparked inquiries into their influence on creative writing skills in educational contexts. This study aims to quantitatively investigate whether ChatGPT's use negatively affects university students' creative writing abilities, focusing on originality, content presentation, accuracy, and elaboration in essays. The research adopts an experimental approach to shed light on this concern.ObjectiveThis study aims to quantitatively investigate whether the utilization of ChatGPT, an AI chatbot, adversely affects specific dimensions of creative writing skills among university students, with an emphasis on originality, content presentation, accuracy, and elaboration.MethodThe experimental study involves 600 students from 10 universities, divided into a control and an experimental group (EGp). The EGp incorporates ChatGPT in their creative writing process as an intervention. The study evaluates originality, content presentation, accuracy, and elaboration, utilizing the Wilcoxon Signed-Rank Test for analysis.Results and ConclusionThe findings reveal a detrimental association between ChatGPT use and university students' creative writing abilities. Analysing both machine-based and human-based assessments substantiates earlier qualitative observations regarding ChatGPT's adverse impact on creative writing. This study highlights the necessity of approaching AI integration, particularly in creative writing disciplines, with caution. While AI tools have merits, their integration should be thoughtful, considering the potential drawbacks. These insights inform future research and educational practices, guiding the effective incorporation of AI while nurturing students' writing skills. What is already known about this topicChatGPT poses an ethical dilemma regarding its use in the field of academiaQualitative claims and opinions have been raised in prior studies regarding its use in the creative writing processPrior studies have both supported and opposed its use but with very limited quantitative approaches while most of the opinions remain qualitativeSome prior studies opine in support of ChatGPT's ability as an authorSeveral factors measuring creativity has been identified by previous studies but a constructive approach in the light of advanced Artificial Intelligence (AI) based chatbots like ChatGPT is missing in such literatureAn experimental approach to provide a valid quantitative proof of the qualitative claims over ChatGPT's detrimental effect towards creativity in writing, which was absent in prior studiesA multifactor-based formula to measure creativity in a quantitative formA quantitative view of the factors that are affected in either a positive way or a negative way in a user by ChatGPT, providing a holistic picture to determine its extent of useA statistical and theoretical understanding over an unexplored topic like creative writing in the light of ChatGPTA quantitative proof why ChatGPT should not be considered as an authorImplications for practice and/or policyEducators may implement changes in assigning tasks to students compared to their earlier practices, based on the identified factors that are being affected negatively, to ensure ChatGPT does not hinder a student's creativity at a greater extentThe extent of using ChatGPT should be limited to self-learning as positive effect was experienced through the experimentPolicymakers may use the findings of the study to impose strict policies in academia for ensuring academic integrity (Example: must use of plagiarism detecting software for checking scripts, assigning tasks to students which require more analytical abilities, providing tasks which are not properly readable by LLM's like ChatGPT such as image-based questions, case studies etc.)</t>
  </si>
  <si>
    <t>[Niloy, Ahnaf Chowdhury] KPMG, Management Consulting, Dhaka, Bangladesh; [Akter, Salma; Sultana, Nayeema] East West Univ, Dept Business Adm, Dhaka, Bangladesh; [Sultana, Jakia] BRAC Univ, Inst Educ Dev, Dhaka, Bangladesh; [Rahman, Sayed Imran Ur] BUP, Fac Business Studies, Dhaka, Bangladesh; [Niloy, Ahnaf Chowdhury] KPMG, Management Consulting, Dhaka 1212, Bangladesh</t>
  </si>
  <si>
    <t>East West University Bangladesh; Bangladesh Rural Advancement Committee BRAC; BRAC University</t>
  </si>
  <si>
    <t>Niloy, AC (corresponding author), KPMG, Management Consulting, Dhaka 1212, Bangladesh.</t>
  </si>
  <si>
    <t>contact.ahnafniloy@gmail.com</t>
  </si>
  <si>
    <t>Sadid Al Amaz (Doctoral Candidate)</t>
  </si>
  <si>
    <t>The study acknowledges the effort of Juby Marcus (Lecturer, University of Pecs, Hungary), Kohinoor Biswas (Asst. Professor, East West University, Bangladesh), Md. Arefin Rabbi Emon (Lecturer, Islamic University of Technology, Bangladesh), Asst. Professor M. Abullah Al Mamun (Doctoral Candidate, Universiti Putra Malaysia, Malaysia), Dr. Md. Abdul Momen (Retired Asst. Professor, East West University, Bangladesh), and Sadid Al Amaz (Doctoral Candidate, University of Hawaii, U.S.A) for performing as the panel members of blind reviewers for the human review process of the study. The study also acknowledges the effort of Reaz Hafiz (Senior Lecturer, East West University, Bangladesh) for significantly assisting the authors in gathering responses.</t>
  </si>
  <si>
    <t>0266-4909</t>
  </si>
  <si>
    <t>1365-2729</t>
  </si>
  <si>
    <t>J COMPUT ASSIST LEAR</t>
  </si>
  <si>
    <t>J. Comput. Assist. Learn.</t>
  </si>
  <si>
    <t>10.1111/jcal.12929</t>
  </si>
  <si>
    <t>WOS:001128464800001</t>
  </si>
  <si>
    <t>Saka, A; Taiwo, R; Saka, N; Salami, BA; Ajayi, S; Akande, K; Kazemi, H</t>
  </si>
  <si>
    <t>Saka, Abdullahi; Taiwo, Ridwan; Saka, Nurudeen; Salami, Babatunde Abiodun; Ajayi, Saheed; Akande, Kabiru; Kazemi, Hadi</t>
  </si>
  <si>
    <t>GPT models in construction industry: Opportunities, limitations, and a use case validation</t>
  </si>
  <si>
    <t>DEVELOPMENTS IN THE BUILT ENVIRONMENT</t>
  </si>
  <si>
    <t>LLMs; ChatGPT; GPT; Artificial intelligence; Generative AI</t>
  </si>
  <si>
    <t>ARTIFICIAL-INTELLIGENCE; BIG DATA; MANAGEMENT; BUILDINGS; PROJECTS; OPTIMIZATION; PERFORMANCE; DESIGN</t>
  </si>
  <si>
    <t>Large Language Models (LLMs) trained on large data sets came into prominence in 2018 after Google introduced BERT. Subsequently, different LLMs such as GPT models from OpenAI have been released. These models perform well on diverse tasks and have been gaining widespread applications in fields such as business and education. However, little is known about the opportunities and challenges of using LLMs in the construction industry. Thus, this study aims to assess GPT models in the construction industry. A critical review, expert discussion and case study validation are employed to achieve the study's objectives. The findings revealed opportunities for GPT models throughout the project lifecycle. The challenges of leveraging GPT models are highlighted and a use case prototype is developed for materials selection and optimization. The findings of the study would be of benefit to researchers, practitioners and stakeholders, as it presents research vistas for LLMs in the construction industry.</t>
  </si>
  <si>
    <t>[Saka, Abdullahi; Saka, Nurudeen; Ajayi, Saheed; Kazemi, Hadi] Leeds Beckett Univ, Sch Built Environm Engn &amp; Comp, Leeds, England; [Taiwo, Ridwan] Hong Kong Polytech Univ, Dept Bldg &amp; Real Estate, Hong Kong, Peoples R China; [Salami, Babatunde Abiodun] Cardiff Metropolitan Univ, Cardiff Sch Management, Llandaff Campus, Cardiff, Wales; [Akande, Kabiru] OVO Energy, London, England</t>
  </si>
  <si>
    <t>Leeds Beckett University; Hong Kong Polytechnic University; Cardiff Metropolitan University</t>
  </si>
  <si>
    <t>Ajayi, S (corresponding author), Leeds Beckett Univ, Sch Built Environm Engn &amp; Comp, Leeds, England.</t>
  </si>
  <si>
    <t>a.saka@leedsbeckett.ac.uk; ridwan-a.taiwo@connect.polyu.hk; n.o.saka@leedsbeckett.ac.uk; basalami@cardiffmet.ac.uk; s.ajayi@leedsbeckett.ac.uk; koakande@gmail.com; h.kazemi@leedsbeckett.ac.uk</t>
  </si>
  <si>
    <t>Leeds Beckett University</t>
  </si>
  <si>
    <t>The authors would like to acknowledge and express their sincere gratitude to Leeds Beckett University for providing financial support for this study.</t>
  </si>
  <si>
    <t>2666-1659</t>
  </si>
  <si>
    <t>DEV BUILT ENVIRON</t>
  </si>
  <si>
    <t>Dev. Built Environ.</t>
  </si>
  <si>
    <t>10.1016/j.dibe.2023.100300</t>
  </si>
  <si>
    <t>Construction &amp; Building Technology; Engineering, Civil</t>
  </si>
  <si>
    <t>Construction &amp; Building Technology; Engineering</t>
  </si>
  <si>
    <t>FR1C3</t>
  </si>
  <si>
    <t>WOS:001147477500001</t>
  </si>
  <si>
    <t>Uceda-Gómez, G; Chmel, K; Janecková, P; Mlikovsky, J; Klomberg, Y; Ewome, FL; Molua, LL; Njie, MM; Tropek, R; Janecek, S</t>
  </si>
  <si>
    <t>Uceda-Gomez, Guillermo; Chmel, Krystof; Janeckova, Petra; Mlikovsky, Jiri; Klomberg, Yannick; Ewome, Francis Luma; Molua, Lucas Lyonga; Njie, Marcus Mokake; Tropek, Robert; Janecek, Stepan</t>
  </si>
  <si>
    <t>Drivers of sunbird-plant interactions on Mount Cameroon: Between neutrality and niche-based processes</t>
  </si>
  <si>
    <t>BIOTROPICA</t>
  </si>
  <si>
    <t>Afrotropics; floral traits; Nectariniidae; nectarivory; niche overlap; ornithophily; pollination; tropical rainforest</t>
  </si>
  <si>
    <t>POLLINATION ECOLOGY; NECTAR PROPERTIES; SPECIALIZATION; MORPHOLOGY; SELECTION; NETWORKS; CONSEQUENCES; HUMMINGBIRDS; EVOLUTIONARY; BEHAVIOR</t>
  </si>
  <si>
    <t>The drivers behind plant-pollinator interactions still need to be fully understood. Previous research has suggested that observed interactions result from either neutral interaction between species based on their abundance or from niche-based processes, which are reflected in the adaptations of both plants and pollinators. Furthermore, the importance of both scenarios can differ depending on seasonal dynamics translated into differences in resource availability. Extensive research has been conducted on New-World hummingbirds (Trochilidae), whereas much less is known about Old World nectar-feeding sunbirds (Nectariniidae). Our study aimed to explore whether sunbird-plant interactions are explained by neutral and/or niche-based processes. Thus, we tested the effects of abundance, morphology, and nectar sugar content on the observed interactions and the link between sunbirds and plant traits. Moreover, we explored the effects of robbing on these mechanisms. Finally, we investigated the partitioning of bird pollination niches, based on floral traits. We used a dataset of sunbird-plant interactions collected at Mount Cameroon during two seasons (dry and wet seasons). Our study shows that sunbird-plant interactions are influenced by both neutral and niche-based processes. Neutral processes and nectar reward were the main mechanisms underlaying the observed interactions in the dry season. However, as more ornithophilous plants bloom during the rainy season, morphological trait-matching becomes more important. We found a correlation between bill length and floral tube dimensions and observed niche overlap among the sunbird species. Considering this and other research, we suggest that plant-pollinator interactions are influenced by a combination of both neutral and niche-based processes.</t>
  </si>
  <si>
    <t>[Uceda-Gomez, Guillermo; Chmel, Krystof; Janeckova, Petra; Klomberg, Yannick; Tropek, Robert; Janecek, Stepan] Charles Univ Prague, Fac Sci, Dept Ecol, Vinicna 7, CZ-128 44 Prague 2, Czech Republic; [Mlikovsky, Jiri] Ctr Hist Ornithol, Prague, Czech Republic; [Ewome, Francis Luma; Molua, Lucas Lyonga; Njie, Marcus Mokake; Tropek, Robert] Inst Entomol, Czech Acad Sci, Biol Ctr, Ceske Budejovice, Czech Republic</t>
  </si>
  <si>
    <t>Charles University Prague; Czech Academy of Sciences; Biology Centre of the Czech Academy of Sciences</t>
  </si>
  <si>
    <t>Uceda-Gómez, G (corresponding author), Charles Univ Prague, Fac Sci, Dept Ecol, Vinicna 7, CZ-128 44 Prague 2, Czech Republic.</t>
  </si>
  <si>
    <t>guillermoug1203@gmail.com</t>
  </si>
  <si>
    <t>Grant Agency Charles University [18-10781S, 20-16499S]; Czech Science Foundation [383521]; Grant Agency Charles University (GAUK)</t>
  </si>
  <si>
    <t>Grant Agency Charles University; Czech Science Foundation(Grant Agency of the Czech Republic); Grant Agency Charles University (GAUK)</t>
  </si>
  <si>
    <t>We want to thank Francis Teke, Eko Mwende, Marcus Ngotto, John Ngotto, Peter Abieja, Rodulf Mokake, and Klaus Elive for their help during the fieldwork. We also thank Mount Cameroon National Park and the Bokwango community for their long-term collaboration and hospitality. We would also like to thank Sailee Shakhalkar for providing us with the drawings of the sunbird's silhouettes used in the figures. The English language was proofread using PaperPal large language model. This research was supported by the Czech Science Foundation (projects no.18-10781S and 20-16499S) and Grant Agency Charles University (GAUK no.383521).</t>
  </si>
  <si>
    <t>0006-3606</t>
  </si>
  <si>
    <t>1744-7429</t>
  </si>
  <si>
    <t>Biotropica</t>
  </si>
  <si>
    <t>2023 DEC 20</t>
  </si>
  <si>
    <t>10.1111/btp.13290</t>
  </si>
  <si>
    <t>Ecology</t>
  </si>
  <si>
    <t>Environmental Sciences &amp; Ecology</t>
  </si>
  <si>
    <t>CY0M9</t>
  </si>
  <si>
    <t>WOS:001128676000001</t>
  </si>
  <si>
    <t>Zhao, Q; Zhou, X; Wu, JX; Cai, JY; Bao, XQ; Tang, L; Wang, CY; Liu, CL; Wang, YK; Teng, YY; Zheng, MH; Mu, WP; Zuo, ZX; Xie, YB; Luo, XT; Ren, J</t>
  </si>
  <si>
    <t>Zhao, Qi; Zhou, Xin; Wu, Jingxing; Cai, Jieyi; Bao, Xiaoqiong; Tang, Lin; Wang, Chaoye; Liu, Chunlei; Wang, Yukai; Teng, Yuyan; Zheng, Mohan; Mu, Weiping; Zuo, Zhixiang; Xie, Yubin; Luo, Xiaotong; Ren, Jian</t>
  </si>
  <si>
    <t>BioTreasury: a community-based repository enabling indexing and rating of bioinformatics tools</t>
  </si>
  <si>
    <t>SCIENCE CHINA-LIFE SCIENCES</t>
  </si>
  <si>
    <t>bioinformatics tools index; tool database; rating system; large language model; tool collections sharing</t>
  </si>
  <si>
    <t>NATIONAL CENTER; ACCESS</t>
  </si>
  <si>
    <t>The exponential growth of bioinformatics tools in recent years has posed challenges for scientists in selecting the most suitable one for their data analysis assignments. Therefore, to aid scientists in making informed choices, a community-based platform that indexes and rates bioinformatics tools is urgently needed. In this study, we introduce BioTreasury (http://biotreasury.rjmart.cn), an integrated community-based repository that provides an interactive platform for users and developers to share their experiences in various bioinformatics tools. BioTreasury offers a comprehensive collection of well-indexed bioinformatics software, tools, and databases, totaling over 10,000 entries. In the past two years, we have continuously improved and maintained BioTreasury, adding several exciting features, including creating structured homepages for every tool and user, a hierarchical category of bioinformatics tools and classifying tools using large language model (LLM). BioTreasury streamlines the tool submission process with intelligent auto-completion. Additionally, BioTreasury provides a wide range of social features, for example, enabling users to participate in interactive discussions, rate tools, build and share tool collections for the public. We believe BioTreasury can be a valuable resource and knowledge-sharing platform for the biomedical community. It empowers researchers to effectively discover and evaluate bioinformatics tools, fostering collaboration and advancing bioinformatics research.</t>
  </si>
  <si>
    <t>[Zhao, Qi; Zhou, Xin; Wu, Jingxing; Cai, Jieyi; Bao, Xiaoqiong; Tang, Lin; Wang, Chaoye; Wang, Yukai; Teng, Yuyan; Zheng, Mohan; Mu, Weiping; Zuo, Zhixiang; Ren, Jian] Sun Yat Sen Univ, Guangdong Prov Clin Res Ctr Canc, State Key Lab Oncol South China, Canc Ctr,Sch Life Sci, Guangzhou 510060, Peoples R China; [Liu, Chunlei; Xie, Yubin] Sun Yat Sen Univ, Affiliated Hosp 1, Inst Precis Med, Guangzhou 510080, Peoples R China; [Luo, Xiaotong] Sun Yat Sen Univ, Affiliated Hosp 6, Guangdong Inst Gastroenterol, Dept Gen Surg,Guangdong Prov Key Lab Colorectal &amp;, Guangzhou 510275, Peoples R China</t>
  </si>
  <si>
    <t>Ren, J (corresponding author), Sun Yat Sen Univ, Guangdong Prov Clin Res Ctr Canc, State Key Lab Oncol South China, Canc Ctr,Sch Life Sci, Guangzhou 510060, Peoples R China.;Luo, XT (corresponding author), Sun Yat Sen Univ, Affiliated Hosp 6, Guangdong Inst Gastroenterol, Dept Gen Surg,Guangdong Prov Key Lab Colorectal &amp;, Guangzhou 510275, Peoples R China.</t>
  </si>
  <si>
    <t>luoxt36@mail.sysu.edu.cn; renjian@sysucc.org.cn</t>
  </si>
  <si>
    <t>National Key Research and Development Program of China [2021YFA1302100]; National Natural Science Foundation of China [82172861, 32200542]; Young Elite Scientists Sponsorship Program by Guangzhou Association for Science and Technology [QT-2023-045]; Youth Talent Support Program of Guangdong Provincial Association for Science and Technology [SKXRC202313]; Young Talents Program of Sun Yat-sen University Cancer Center [YTP-SYSUCC-0033]</t>
  </si>
  <si>
    <t>National Key Research and Development Program of China; National Natural Science Foundation of China(National Natural Science Foundation of China (NSFC)); Young Elite Scientists Sponsorship Program by Guangzhou Association for Science and Technology; Youth Talent Support Program of Guangdong Provincial Association for Science and Technology; Young Talents Program of Sun Yat-sen University Cancer Center</t>
  </si>
  <si>
    <t>The work was supported by the National Key Research and Development Program of China (2021YFA1302100), the National Natural Science Foundation of China (82172861, 32200542), the Young Elite Scientists Sponsorship Program by Guangzhou Association for Science and Technology (QT-2023-045), the Youth Talent Support Program of Guangdong Provincial Association for Science and Technology (SKXRC202313) and the Young Talents Program of Sun Yat-sen University Cancer Center (YTP-SYSUCC-0033).</t>
  </si>
  <si>
    <t>SCIENCE PRESS</t>
  </si>
  <si>
    <t>BEIJING</t>
  </si>
  <si>
    <t>16 DONGHUANGCHENGGEN NORTH ST, BEIJING 100717, PEOPLES R CHINA</t>
  </si>
  <si>
    <t>1674-7305</t>
  </si>
  <si>
    <t>1869-1889</t>
  </si>
  <si>
    <t>SCI CHINA LIFE SCI</t>
  </si>
  <si>
    <t>Sci. China-Life Sci.</t>
  </si>
  <si>
    <t>10.1007/s11427-023-2509-x</t>
  </si>
  <si>
    <t>Biology</t>
  </si>
  <si>
    <t>Life Sciences &amp; Biomedicine - Other Topics</t>
  </si>
  <si>
    <t>WOS:001133741600002</t>
  </si>
  <si>
    <t>Acharya, S; Shinada, NK; Koyama, N; Ikemori, M; Nishioka, T; Hitaoka, S; Hakura, A; Asakura, S; Matsuoka, Y; Palaniappan, SK</t>
  </si>
  <si>
    <t>Acharya, Sathwik; Shinada, Nicolas K.; Koyama, Naoki; Ikemori, Megumi; Nishioka, Tomoki; Hitaoka, Seiji; Hakura, Atsushi; Asakura, Shoji; Matsuoka, Yukiko; Palaniappan, Sucheendra K.</t>
  </si>
  <si>
    <t>Asking the right questions for mutagenicity prediction from BioMedical text</t>
  </si>
  <si>
    <t>NPJ SYSTEMS BIOLOGY AND APPLICATIONS</t>
  </si>
  <si>
    <t>Assessing the mutagenicity of chemicals is an essential task in the drug development process. Usually, databases and other structured sources for AMES mutagenicity exist, which have been carefully and laboriously curated from scientific publications. As knowledge accumulates over time, updating these databases is always an overhead and impractical. In this paper, we first propose the problem of predicting the mutagenicity of chemicals from textual information in scientific publications. More simply, given a chemical and evidence in the natural language form from publications where the mutagenicity of the chemical is described, the goal of the model/algorithm is to predict if it is potentially mutagenic or not. For this, we first construct a golden standard data set and then propose MutaPredBERT, a prediction model fine-tuned on BioLinkBERT based on a question-answering formulation of the problem. We leverage transfer learning and use the help of large transformer-based models to achieve a Macro F1 score of &gt;0.88 even with relatively small data for fine-tuning. Our work establishes the utility of large language models for the construction of structured sources of knowledge bases directly from scientific publications.</t>
  </si>
  <si>
    <t>[Acharya, Sathwik; Shinada, Nicolas K.; Matsuoka, Yukiko; Palaniappan, Sucheendra K.] Syst Biol Inst, Tokyo, Japan; [Shinada, Nicolas K.; Matsuoka, Yukiko; Palaniappan, Sucheendra K.] SBX Corp, Tokyo, Japan; [Koyama, Naoki; Hakura, Atsushi; Asakura, Shoji] Eisai &amp; Co Ltd, Global Drug Safety, Tokyo, Japan; [Ikemori, Megumi] Eisai &amp; Co Ltd, Hhc Data Creat Ctr, Planning Operat, Tokyo, Japan; [Nishioka, Tomoki; Hitaoka, Seiji] Eisai &amp; Co Ltd, Hhc Data Creat Ctr, 5D Integrat Unit, Tokyo, Japan</t>
  </si>
  <si>
    <t>Eisai Co Ltd; Eisai Co Ltd; Eisai Co Ltd</t>
  </si>
  <si>
    <t>Palaniappan, SK (corresponding author), Syst Biol Inst, Tokyo, Japan.;Palaniappan, SK (corresponding author), SBX Corp, Tokyo, Japan.</t>
  </si>
  <si>
    <t>sucheendra@sbi.jp</t>
  </si>
  <si>
    <t>Palaniappan, Sucheendra Kumar/0000-0002-2829-2311</t>
  </si>
  <si>
    <t>United States Department of Defense | United States Navy | ONR | Office of Naval Research Global (ONR Global) [N62909-21-1-2032]; ONRG Grant for the Nobel Turing challenge to The Systems Biology Institute</t>
  </si>
  <si>
    <t>United States Department of Defense | United States Navy | ONR | Office of Naval Research Global (ONR Global); ONRG Grant for the Nobel Turing challenge to The Systems Biology Institute</t>
  </si>
  <si>
    <t>The authors thank the ONRG Grant for the Nobel Turing challenge to The Systems Biology Institute (Grant number: N62909-21-1-2032). Sathwik Acharya was an undergraduate student intern from PES University, India for 6 months at the Systems Biology Institute during the period of this research.</t>
  </si>
  <si>
    <t>2056-7189</t>
  </si>
  <si>
    <t>NPJ SYST BIOL APPL</t>
  </si>
  <si>
    <t>npj Syst. Biol. Appl.</t>
  </si>
  <si>
    <t>DEC 18</t>
  </si>
  <si>
    <t>10.1038/s41540-023-00324-2</t>
  </si>
  <si>
    <t>Mathematical &amp; Computational Biology</t>
  </si>
  <si>
    <t>CS5W6</t>
  </si>
  <si>
    <t>WOS:001127253400001</t>
  </si>
  <si>
    <t>Sachan, S; Liu, X</t>
  </si>
  <si>
    <t>Sachan, Swati; Liu (Lisa), Xi</t>
  </si>
  <si>
    <t>Blockchain-based auditing of legal decisions supported by explainable AI and generative AI tools</t>
  </si>
  <si>
    <t>ENGINEERING APPLICATIONS OF ARTIFICIAL INTELLIGENCE</t>
  </si>
  <si>
    <t>Legal; Law; Explainable AI; Blockchain; Generative AI; Responsible AI</t>
  </si>
  <si>
    <t>EVIDENTIAL REASONING APPROACH; SCHEME; SECURE; RULE</t>
  </si>
  <si>
    <t>Generative AI tools powered by Large Language Models (LLMs) have demonstrated advanced capabilities in understanding and articulating legal facts closer to the level of legal practitioners. However, scholars hold contrasting views on the reliability of the reasoning behind a decision derived from LLMs due to its black-box nature. Law firms are vigilant in recognizing the potential risks of violating confidentiality and inappropriate exposure of sensitive legal data through the prompt sent to Generative AI. This research attempts to find an equilibrium between responsible usage and control of human legal professionals over content produced by Generative AI through regular audits. It investigates the potential of Generative AI in drafting correspondence for pre-litigation decisions derived from an eXplainable AI (XAI) algorithm. This research presents an end-to-end process of designing the architecture and methodology for a blockchain-based auditing system. It detects unauthorized alterations of data repositories containing the decisions by an XAI model and automated textual explanation by Generative AI. The automated auditing by blockchain facilitates responsible usage of AI technologies and reduces discrepancies in tracing the accountability of adversarial decisions. It conceptualizes the two algorithms. First, strategic on-chain (within blockchain) and off-chain (outside blockchain) data storage in compliance with the data protection laws and critical requirements of stakeholders in a legal firm. Second, auditing by comparison of the unique signature as Merkle roots of files stored off-chain with their immutable blockchain counterpart. A case study on liability cases under tort law demonstrates the system implementation results.</t>
  </si>
  <si>
    <t>[Sachan, Swati] Univ Liverpool, Management Sch, Artificial Intelligence Finance, Financial Technol FinTech &amp; Blockchain, Chatham St, Liverpool L69 7ZH, England; [Liu (Lisa), Xi] Kennedys Law LLP, 16 John Dalton St, Manchester M2 6HY, England</t>
  </si>
  <si>
    <t>University of Liverpool</t>
  </si>
  <si>
    <t>Sachan, S (corresponding author), Univ Liverpool, Management Sch, Artificial Intelligence Finance, Financial Technol FinTech &amp; Blockchain, Chatham St, Liverpool L69 7ZH, England.</t>
  </si>
  <si>
    <t>Swati.Sachan@liverpool.ac.uk; Lisa.Liu@kennedysiq.com</t>
  </si>
  <si>
    <t>University of Liverpool [106897]</t>
  </si>
  <si>
    <t>We are grateful to the four anonymous reviewers for their insightful comments, which significantly improved our manuscript. This work is fully funded by the University of Liverpool by the research grant 106897. We want to express gratitude to the law students who partici-pated in our experimental study; their contributions were invaluable.; their contributions were invaluable. The first author is thankful to Prof Walter Davis Jr. and Mr. Graham Fairclough for valuable advice on the integration of AI and Blockchain in legal practices.</t>
  </si>
  <si>
    <t>PERGAMON-ELSEVIER SCIENCE LTD</t>
  </si>
  <si>
    <t>THE BOULEVARD, LANGFORD LANE, KIDLINGTON, OXFORD OX5 1GB, ENGLAND</t>
  </si>
  <si>
    <t>0952-1976</t>
  </si>
  <si>
    <t>1873-6769</t>
  </si>
  <si>
    <t>ENG APPL ARTIF INTEL</t>
  </si>
  <si>
    <t>Eng. Appl. Artif. Intell.</t>
  </si>
  <si>
    <t>10.1016/j.engappai.2023.107666</t>
  </si>
  <si>
    <t>Automation &amp; Control Systems; Computer Science, Artificial Intelligence; Engineering, Multidisciplinary; Engineering, Electrical &amp; Electronic</t>
  </si>
  <si>
    <t>Automation &amp; Control Systems; Computer Science; Engineering</t>
  </si>
  <si>
    <t>DZ9O6</t>
  </si>
  <si>
    <t>WOS:001136038900001</t>
  </si>
  <si>
    <t>Lee, S; Lee, J; Park, J; Park, J; Kim, D; Lee, J; Oh, J</t>
  </si>
  <si>
    <t>Lee, Siryeol; Lee, Juncheol; Park, Juntae; Park, Jiwoo; Kim, Dohoon; Lee, Joohyun; Oh, Jaehoon</t>
  </si>
  <si>
    <t>Deep learning-based natural language processing for detecting medical symptoms and histories in emergency patient triage</t>
  </si>
  <si>
    <t>AMERICAN JOURNAL OF EMERGENCY MEDICINE</t>
  </si>
  <si>
    <t>Natural language processing; Electronic health record; Large language models; eXplainable artificial intelligence; Turing test</t>
  </si>
  <si>
    <t>ACUITY; SCALE</t>
  </si>
  <si>
    <t>Objective: The manual recording of electronic health records (EHRs) by clinicians in the emergency department (ED) is time-consuming and challenging. In light of recent advancements in large language models (LLMs) such as GPT and BERT, this study aimed to design and validate LLMs for automatic clinical diagnoses. The models were designed to identify 12 medical symptoms and 2 patient histories from simulated clinician-patient conversations within 6 primary symptom scenarios in emergency triage rooms.Materials and method: We developed classification models by fine-tuning BERT, a transformer-based pre-trained model. We subsequently analyzed these models using eXplainable artificial intelligence (XAI) and the Shapley additive explanation (SHAP) method. A Turing test was conducted to ascertain the reliability of the XAI results by comparing them to the outcomes of tasks performed and explained by medical workers. An emergency medicine specialist assessed the results of both XAI and the medical workers.Results: We fine-tuned four pre-trained LLMs and compared their classification performance. The KLUERoBERTa-based model demonstrated the highest performance (F1-score: 0.965, AUROC: 0.893) on humantranscribed script data. The XAI results using SHAP showed an average Jaccard similarity of 0.722 when compared with explanations of medical workers for 15 samples. The Turing test results revealed a small 6% gap, with XAI and medical workers receiving the mean scores of 3.327 and 3.52, respectively.Conclusion: This paper highlights the potential of LLMs for automatic EHR recording in Korean EDs. The KLUERoBERTa-based model demonstrated superior classification performance. Furthermore, XAI using SHAP provided reliable explanations for model outputs. The reliability of these explanations was confirmed by a Turing test.(c) 2023 Elsevier Inc. All rights reserved.</t>
  </si>
  <si>
    <t>[Lee, Siryeol; Lee, Joohyun] Hanyang Univ, Dept Appl Arti ficial Intelligence, ERICA, Ansan, South Korea; [Lee, Juncheol; Oh, Jaehoon] Hanyang Univ, Coll Med, Dept Emergency Med, Seoul, South Korea; [Park, Juntae; Lee, Joohyun] Hanyang Univ, Sch Elect Engn, ERICA, Ansan, South Korea; [Park, Jiwoo] Hanyang Univ Hosp, Dept Emergency Med, Seoul, South Korea; [Kim, Dohoon] Hanyang Univ, Dept Translat Med Biomed Sci &amp; Engn, Seoul, South Korea; [Lee, Joohyun] Hanyang Univ, Sch Elect Engn, 55 Hanyangdaehak Ro, Ansan 15588, South Korea; [Oh, Jaehoon] Hanyang Univ, Coll Med, Dept Emergency Med, 222-1 Wangsimni Ro, Seoul 04763, South Korea</t>
  </si>
  <si>
    <t>Hanyang University; Hanyang University; Hanyang University; Hanyang University; Hanyang University Hospital; Hanyang University; Hanyang University; Hanyang University</t>
  </si>
  <si>
    <t>Oh, J (corresponding author), Hanyang Univ, Coll Med, Dept Emergency Med, Seoul, South Korea.;Lee, J (corresponding author), Hanyang Univ, Sch Elect Engn, 55 Hanyangdaehak Ro, Ansan 15588, South Korea.;Oh, J (corresponding author), Hanyang Univ, Coll Med, Dept Emergency Med, 222-1 Wangsimni Ro, Seoul 04763, South Korea.</t>
  </si>
  <si>
    <t>joohyunlee@hanyang.ac.kr; ojjai@hanyang.ac.kr</t>
  </si>
  <si>
    <t>National Research Foundation of Korea (NRF) - Korea government (MSIT) [2021R1C1C1005126, 2022R1A2C1012627]; Institute of Information &amp; Communications Technology Planning &amp; Evaluation (IITP) - Korea government (MSIT) [RS-2022-00155885]</t>
  </si>
  <si>
    <t>National Research Foundation of Korea (NRF) - Korea government (MSIT)(National Research Foundation of KoreaMinistry of Science, ICT &amp; Future Planning, Republic of KoreaMinistry of Science &amp; ICT (MSIT), Republic of Korea); Institute of Information &amp; Communications Technology Planning &amp; Evaluation (IITP) - Korea government (MSIT)(Institute for Information &amp; Communication Technology Planning &amp; Evaluation (IITP), Republic of KoreaMinistry of Science &amp; ICT (MSIT), Republic of Korea)</t>
  </si>
  <si>
    <t>This work was supported by the National Research Foundation of Korea (NRF) grant funded by the Korea government (MSIT) (No.2021R1C1C1005126, 2022R1A2C1012627) and the Institute of Information &amp; Communications Technology Planning &amp; Evaluation (IITP) grant funded by the Korea government (MSIT) (No.RS-2022-00155885, Artificial Intelligence Convergence Innovation Human Resources Development (Hanyang University ERICA) ) .</t>
  </si>
  <si>
    <t>W B SAUNDERS CO-ELSEVIER INC</t>
  </si>
  <si>
    <t>1600 JOHN F KENNEDY BOULEVARD, STE 1800, PHILADELPHIA, PA 19103-2899 USA</t>
  </si>
  <si>
    <t>0735-6757</t>
  </si>
  <si>
    <t>1532-8171</t>
  </si>
  <si>
    <t>AM J EMERG MED</t>
  </si>
  <si>
    <t>Am. J. Emerg. Med.</t>
  </si>
  <si>
    <t>10.1016/j.ajem.2023.11.063</t>
  </si>
  <si>
    <t>Emergency Medicine</t>
  </si>
  <si>
    <t>EF6L6</t>
  </si>
  <si>
    <t>WOS:001137546400001</t>
  </si>
  <si>
    <t>Riedel, M; Kaefinger, K; Stuehrenberg, A; Ritter, V; Amann, N; Graf, A; Recker, F; Klein, E; Kiechle, M; Riedel, F; Meyer, B</t>
  </si>
  <si>
    <t>Riedel, Maximilian; Kaefinger, Katharina; Stuehrenberg, Antonia; Ritter, Viktoria; Amann, Niklas; Graf, Anna; Recker, Florian; Klein, Evelyn; Kiechle, Marion; Riedel, Fabian; Meyer, Bastian</t>
  </si>
  <si>
    <t>ChatGPT's performance in German OB/GYN exams - paving the way for AI-enhanced medical education and clinical practice</t>
  </si>
  <si>
    <t>FRONTIERS IN MEDICINE</t>
  </si>
  <si>
    <t>artificial intelligence; ChatGPT; medical education; machine learning; obstetrics and gynecology; students</t>
  </si>
  <si>
    <t>BackgroundChat Generative Pre-Trained Transformer (ChatGPT) is an artificial learning and large language model tool developed by OpenAI in 2022. It utilizes deep learning algorithms to process natural language and generate responses, which renders it suitable for conversational interfaces. ChatGPT's potential to transform medical education and clinical practice is currently being explored, but its capabilities and limitations in this domain remain incompletely investigated. The present study aimed to assess ChatGPT's performance in medical knowledge competency for problem assessment in obstetrics and gynecology (OB/GYN).MethodsTwo datasets were established for analysis: questions (1) from OB/GYN course exams at a German university hospital and (2) from the German medical state licensing exams. In order to assess ChatGPT's performance, questions were entered into the chat interface, and responses were documented. A quantitative analysis compared ChatGPT's accuracy with that of medical students for different levels of difficulty and types of questions. Additionally, a qualitative analysis assessed the quality of ChatGPT's responses regarding ease of understanding, conciseness, accuracy, completeness, and relevance. Non-obvious insights generated by ChatGPT were evaluated, and a density index of insights was established in order to quantify the tool's ability to provide students with relevant and concise medical knowledge.ResultsChatGPT demonstrated consistent and comparable performance across both datasets. It provided correct responses at a rate comparable with that of medical students, thereby indicating its ability to handle a diverse spectrum of questions ranging from general knowledge to complex clinical case presentations. The tool's accuracy was partly affected by question difficulty in the medical state exam dataset. Our qualitative assessment revealed that ChatGPT provided mostly accurate, complete, and relevant answers. ChatGPT additionally provided many non-obvious insights, especially in correctly answered questions, which indicates its potential for enhancing autonomous medical learning.ConclusionChatGPT has promise as a supplementary tool in medical education and clinical practice. Its ability to provide accurate and insightful responses showcases its adaptability to complex clinical scenarios. As AI technologies continue to evolve, ChatGPT and similar tools may contribute to more efficient and personalized learning experiences and assistance for health care providers.</t>
  </si>
  <si>
    <t>[Riedel, Maximilian; Kaefinger, Katharina; Stuehrenberg, Antonia; Ritter, Viktoria; Graf, Anna; Klein, Evelyn; Kiechle, Marion; Meyer, Bastian] Tech Univ Munich TU, Klinikum Rechts Isar, Dept Gynecol &amp; Obstet, Munich, Germany; [Amann, Niklas] Friedrich Alexander Univ Erlangen Nuremberg FAU, Dept Gynecol &amp; Obstet, Erlangen, Germany; [Recker, Florian] Bonn Univ Hosp, Dept Gynecol &amp; Obstet, Bonn, Germany; [Riedel, Fabian] Heidelberg Univ Hosp, Dept Gynecol &amp; Obstet, Heidelberg, Germany</t>
  </si>
  <si>
    <t>Technical University of Munich; University of Erlangen Nuremberg; University of Bonn; Ruprecht Karls University Heidelberg</t>
  </si>
  <si>
    <t>Riedel, M (corresponding author), Tech Univ Munich TU, Klinikum Rechts Isar, Dept Gynecol &amp; Obstet, Munich, Germany.</t>
  </si>
  <si>
    <t>maximilian.riedel@mri.tum.de</t>
  </si>
  <si>
    <t>Recker, Florian/0000-0001-9135-4338</t>
  </si>
  <si>
    <t>2296-858X</t>
  </si>
  <si>
    <t>FRONT MED-LAUSANNE</t>
  </si>
  <si>
    <t>DEC 13</t>
  </si>
  <si>
    <t>Medicine, General &amp; Internal</t>
  </si>
  <si>
    <t>General &amp; Internal Medicine</t>
  </si>
  <si>
    <t>DE2U7</t>
  </si>
  <si>
    <t>gold, Green Published</t>
  </si>
  <si>
    <t>WOS:001130296800001</t>
  </si>
  <si>
    <t>Shu, LP; He, QS; Yan, B; Wu, D; Wang, ML; Wang, CS; Zhang, L</t>
  </si>
  <si>
    <t>Shu, Linping; He, Qunshan; Yan, Bing; Wu, Di; Wang, Menglin; Wang, Chengshuo; Zhang, Luo</t>
  </si>
  <si>
    <t>Human-in-the-loop: Human involvement in enhancing medical inquiry performance in large language models</t>
  </si>
  <si>
    <t>ALLERGY</t>
  </si>
  <si>
    <t>[Shu, Linping; Yan, Bing; Wu, Di; Wang, Menglin; Wang, Chengshuo; Zhang, Luo] Capital Med Univ, Beijing TongRen Hosp, Dept Otolaryngol Head &amp; Neck Surg, 1 Dongjiaominxiang, Beijing 100730, Peoples R China; [Shu, Linping; Yan, Bing; Wang, Menglin; Wang, Chengshuo; Zhang, Luo] Capital Med Univ, Beijing Inst Otolaryngol, Beijing Lab Allerg Dis, Beijing Key Lab Nasal Dis,Key Lab Otolaryngol Head, Beijing, Peoples R China; [Shu, Linping; Yan, Bing; Wang, Menglin; Wang, Chengshuo; Zhang, Luo] Chinese Acad Med Sci, Res Unit Diag &amp; Treatment Chron Nasal Dis, Beijing, Peoples R China; [He, Qunshan] Zhejiang Univ, Coll Control Sci &amp; Engn, Hangzhou, Peoples R China; [Zhang, Luo] Capital Med Univ, Beijing TongRen Hosp, Dept Allergy, Beijing, Peoples R China; [Wang, Chengshuo] Capital Med Univ, Beijing Inst Otolaryngol, 17 HouGouHuTong, Beijing 100005, Peoples R China</t>
  </si>
  <si>
    <t>Capital Medical University; Capital Medical University; Chinese Academy of Medical Sciences - Peking Union Medical College; Zhejiang University; Capital Medical University; Capital Medical University</t>
  </si>
  <si>
    <t>Wang, CS; Zhang, L (corresponding author), Capital Med Univ, Beijing TongRen Hosp, Dept Otolaryngol Head &amp; Neck Surg, 1 Dongjiaominxiang, Beijing 100730, Peoples R China.;Wang, CS (corresponding author), Capital Med Univ, Beijing Inst Otolaryngol, 17 HouGouHuTong, Beijing 100005, Peoples R China.</t>
  </si>
  <si>
    <t>wangcs830@126.com; dr.luozhang@139.com</t>
  </si>
  <si>
    <t>National Natural Science Foundation of China [81,900,917, 82,171,108, 82,025,010, 82,201,252, 81,870,698]; Changjiang Scholars and Innovative Research Team [IRT13082]; CAMS Innovation Fund for Medical Sciences [2019-I2M-5-022]; Beijing Municipal Science and Technology Project [Z181100001618002, Z211100002921057]; Capital's Funds for Health Improvement and Research [CFH2022- 1-1091]; Beijing Municipal Administration of Hospitals'Mission Plan [SML20150203]; Beijing Municipal Administration of Hospitals' Dengfeng plan [DFL20190202]; Dongcheng District Outstanding Talent Nurturing Program [2022-dchrcpyzz-3]</t>
  </si>
  <si>
    <t>National Natural Science Foundation of China(National Natural Science Foundation of China (NSFC)); Changjiang Scholars and Innovative Research Team(Program for Changjiang Scholars &amp; Innovative Research Team in University (PCSIRT)); CAMS Innovation Fund for Medical Sciences; Beijing Municipal Science and Technology Project; Capital's Funds for Health Improvement and Research; Beijing Municipal Administration of Hospitals'Mission Plan; Beijing Municipal Administration of Hospitals' Dengfeng plan; Dongcheng District Outstanding Talent Nurturing Program</t>
  </si>
  <si>
    <t>This work was supported by grants from National Natural Science Foundation of China (81,900,917, 82,171,108, 82,025,010, 82,201,252 and 81,870,698); Changjiang Scholars and Innovative Research Team (IRT13082); CAMS Innovation Fund for Medical Sciences (2019-I2M-5-022); Beijing Municipal Science and Technology Project (Z181100001618002 and Z211100002921057); Capital's Funds for Health Improvement and Research (CFH2022- 1-1091); Beijing Municipal Administration of Hospitals'Mission Plan (SML20150203); Beijing Municipal Administration of Hospitals' Dengfeng plan (DFL20190202), and Dongcheng District Outstanding Talent Nurturing Program (2022-dchrcpyzz-3).</t>
  </si>
  <si>
    <t>0105-4538</t>
  </si>
  <si>
    <t>1398-9995</t>
  </si>
  <si>
    <t>Allergy</t>
  </si>
  <si>
    <t>2023 DEC 11</t>
  </si>
  <si>
    <t>10.1111/all.15976</t>
  </si>
  <si>
    <t>Allergy; Immunology</t>
  </si>
  <si>
    <t>AZ3I9</t>
  </si>
  <si>
    <t>WOS:001122225300001</t>
  </si>
  <si>
    <t>Wang, L; Chen, XY; Wang, C; Xu, LN; Shadiev, R; Li, Y</t>
  </si>
  <si>
    <t>Wang, Li; Chen, Xinya; Wang, Chung; Xu, Lingna; Shadiev, Rustam; Li, Yan</t>
  </si>
  <si>
    <t>ChatGPT's capabilities in providing feedback on undergraduate students' argumentation: A case study</t>
  </si>
  <si>
    <t>THINKING SKILLS AND CREATIVITY</t>
  </si>
  <si>
    <t>ChatGPT (ChatGPT 3.5); Feedback capabilities; Teacher's feedback; Argumentation teaching; Undergraduate students</t>
  </si>
  <si>
    <t>AUTOMATED ESSAY EVALUATION; COLLABORATIVE ARGUMENTATION; KNOWLEDGE; SCIENCE; ONLINE; DESIGN; ENVIRONMENTS; SKILLS; MODEL</t>
  </si>
  <si>
    <t>In argumentation teaching, providing timely and high-quality feedback is always a challenging task for teachers because of the high complexity and large volume of students' argumentation contents. ChatGPT, a large language model introduced in November 2022, offers a potential solution for this problem. To examine the potential reliability and credibility of leveraging ChatGPT for argumentation feedback, the study conducted a retrospective analysis by applying ChatGPT to generate feedback on 50 sets of argumentation contents that human teachers had previously assessed. The study first assessed the feedback accuracy of ChatGPT and the factors that influenced the evaluation of arguments. The findings showed that ChatGPT demonstrated impressive precision rate (91.8 %) and recall rate (63.2 %) when providing feedback on arguments, indicating that ChatGPT possesses a fundamental capability to provide feedback on arguments. However, this capability of ChatGPT was significantly affected by the length of arguments and the discourse markers used in the arguments. The study then qualitatively compared the ChatGPT's feedback and teacher's feedback. The results revealed that these two types of feedback each had their own advantages and disadvantages. While ChatGPT could potentially generate comprehensive feedback and textual-based feedback, and limited to the linguistic level when provide affective feedback, teacher's feedback was more focused on student's overall learning progress, based on personal teaching experience to correctly identify immediate critical problem of the student, and consideration on the humanistic empathy interaction. Although the overall findings suggested that ChatGPT exhibited potential reliability and credibility for argumentation feedback, the study did identify several limitations.</t>
  </si>
  <si>
    <t>[Wang, Li; Wang, Chung; Xu, Lingna; Shadiev, Rustam; Li, Yan] Zhejiang Univ, Coll Educ, Hangzhou 310058, Peoples R China; [Wang, Li] Minist Educ, 1 North Buona Vista Dr,Podium Block, Singapore 138675, Singapore; [Chen, Xinya] Henan Univ, Fac Educ, Jinming Rd, Kaifeng 475000, Peoples R China</t>
  </si>
  <si>
    <t>Zhejiang University; Henan University</t>
  </si>
  <si>
    <t>Li, Y (corresponding author), Zhejiang Univ, Coll Educ, Hangzhou 310058, Peoples R China.</t>
  </si>
  <si>
    <t>yanli@zju.edu.cn</t>
  </si>
  <si>
    <t>Shadiev, Rustam/G-5083-2010</t>
  </si>
  <si>
    <t>Shadiev, Rustam/0000-0001-5571-1158</t>
  </si>
  <si>
    <t>National Natural Science Foundation of China [61977057]; Social Science Research Council Graduate Research Fellowship [MOE SSRC GRF 3/23]; Basic Research Funding of Zhejiang University of China [S20230157]</t>
  </si>
  <si>
    <t>National Natural Science Foundation of China(National Natural Science Foundation of China (NSFC)); Social Science Research Council Graduate Research Fellowship; Basic Research Funding of Zhejiang University of China</t>
  </si>
  <si>
    <t>The authors would like to thank the reviewers for their valuable comments and all of the research participants. In addition, we acknowledge the funding supported by the Precision Teaching Model and Mechanism Based on Intelligent Teaching System under National Natural Science Foundation of China (61977057), the Social Science Research Council Graduate Research Fellowship adminstered by Nanyang Technological University of Singapore (Reference No. MOE SSRC GRF 3/23 WL) and the Basic Research Funding of Zhejiang University of China (S20230157).</t>
  </si>
  <si>
    <t>1871-1871</t>
  </si>
  <si>
    <t>1878-0423</t>
  </si>
  <si>
    <t>THINK SKILLS CREAT</t>
  </si>
  <si>
    <t>Think. Skills Creat.</t>
  </si>
  <si>
    <t>10.1016/j.tsc.2023.101440</t>
  </si>
  <si>
    <t>EP6U6</t>
  </si>
  <si>
    <t>WOS:001140175900001</t>
  </si>
  <si>
    <t>Blomqvist, S; Alexanderson, K; Vahtera, J; Westerlund, H; Hanson, LLM; Mahmoud, AB; Mahmoud, AB; Mahmoud, AB; Mahmoud, AB; Mahmoud, AB</t>
  </si>
  <si>
    <t>Blomqvist, Sandra; Alexanderson, Kristina; Vahtera, Jussi; Westerlund, Hugo; Magnusson Hanson, Linda L.; Mahmoud, Ali B.; Mahmoud, Ali B.; Mahmoud, Ali B.; Mahmoud, Ali B.; Mahmoud, Ali B.</t>
  </si>
  <si>
    <t>Downsizing and purchases of psychotropic drugs: A longitudinal study of stayers, changers and unemployed</t>
  </si>
  <si>
    <t>PLOS ONE</t>
  </si>
  <si>
    <t>SELF-RATED HEALTH; ORGANIZATIONAL-CHANGE; JOB CHANGE; EMPLOYEES; WOMEN; DEPRESSION; DISORDERS; ANXIETY; IMPACT; CARE</t>
  </si>
  <si>
    <t>BackgroundThe evidence is insufficient regarding the association between organizational downsizing and employee mental health. Our aim was to analyze trajectories of prescribed sedatives and anxiolytics with a sufficiently long follow-up time to capture anticipation, implementation and adaption to a downsizing event among stayers, changers and those who become unemployed compared to unexposed employees.MethodResidents in Sweden aged 20-54 years in 2007, with stable employment between 2004 and 2007, were followed between 2005 and 2013 (n = 2,305,795). Employment at a workplace with staff reductions &gt;= 18% between two subsequent years in 2007-2011 (n = 915,461) indicated exposure to, and timing of, downsizing. The unexposed (n = 1,390,334) were randomized into four corresponding sub-cohorts. With generalized estimating equations, we calculated the odds ratios (OR) of purchasing prescribed anxiolytics or sedatives within nine 12-month periods, from four years before to four years after downsizing. In order to investigate whether the groups changed their probability of purchases over time, odds ratios (OR) and their 95% confidence intervals (95% CI) were calculated contrasting the prevalence of purchases during the first and the last 12-month period within four time periods for each exposure group.ResultsThe odds of purchasing psychotropic drugs increased more for changers (sedatives OR 1.08, 95% CI 1.05-1.11) and unemployed (anxiolytics OR 1.08, 95% CI 1.03-1.14), compared to unexposed before downsizing, while for stayers purchases increased more than for unexposed during and after downsizing. Among those without previous sickness absence, stayers increased their purchases of psychotropic drugs from the year before the event up to four years after the event.ConclusionThis study indicates that being exposed to downsizing is associated with increased use of sedatives and anxiolytics, before the event among those who leave, but especially thereafter for employees who stay in the organization.</t>
  </si>
  <si>
    <t>[Blomqvist, Sandra; Westerlund, Hugo; Magnusson Hanson, Linda L.] Stockholm Univ, Stress Res Inst, Stockholm, Sweden; [Alexanderson, Kristina; Westerlund, Hugo] Karolinska Inst, Dept Clin Neurosci, Stockholm, Sweden; [Vahtera, Jussi] Univ Turku, Dept Publ Hlth, Turku, Finland</t>
  </si>
  <si>
    <t>Stockholm University; Karolinska Institutet; University of Turku</t>
  </si>
  <si>
    <t>Blomqvist, S (corresponding author), Stockholm Univ, Stress Res Inst, Stockholm, Sweden.</t>
  </si>
  <si>
    <t>sandra.blomqvist@su.se</t>
  </si>
  <si>
    <t>Forskningsrdet om Hlsa, Arbetsliv och Vlfrd; Swedish Research Council for Health, Working Life and Welfare (FORTE); Division of Insurance Medicine at Karolinska Institute</t>
  </si>
  <si>
    <t>Forskningsrdet om Hlsa, Arbetsliv och Vlfrd; Swedish Research Council for Health, Working Life and Welfare (FORTE)(Swedish Research Council for Health Working Life &amp; Welfare (Forte)); Division of Insurance Medicine at Karolinska Institute</t>
  </si>
  <si>
    <t>The authors want to thank Jaana Pentti, statistician at the Department of Public Health University of Turku, for valuable contributions on statistical analysis and coding. We also thank Tatjana von Rosen at the Department of Statistics, Stockholm University, for her comments on data management and coding of key variables. The authors are grateful to the Swedish Research Council for Health, Working Life and Welfare (FORTE) and colleagues at the Stress Research Institute and Division of Insurance Medicine at Karolinska Institute for enabling this work.</t>
  </si>
  <si>
    <t>PUBLIC LIBRARY SCIENCE</t>
  </si>
  <si>
    <t>SAN FRANCISCO</t>
  </si>
  <si>
    <t>1160 BATTERY STREET, STE 100, SAN FRANCISCO, CA 94111 USA</t>
  </si>
  <si>
    <t>1932-6203</t>
  </si>
  <si>
    <t>PLoS One</t>
  </si>
  <si>
    <t>DEC 8</t>
  </si>
  <si>
    <t>e0295383</t>
  </si>
  <si>
    <t>10.1371/journal.pone.0295383</t>
  </si>
  <si>
    <t>AX9H2</t>
  </si>
  <si>
    <t>WOS:001121859600027</t>
  </si>
  <si>
    <t>Kosonocky, CW; Feller, AL; Wilke, CO; Ellington, AD</t>
  </si>
  <si>
    <t>Kosonocky, Clayton W.; Feller, Aaron L.; Wilke, Claus O.; Ellington, Andrew D.</t>
  </si>
  <si>
    <t>Using alternative SMILES representations to identify novel functional analogues in chemical similarity vector searches</t>
  </si>
  <si>
    <t>PATTERNS</t>
  </si>
  <si>
    <t>RECEPTOR; INHIBITOR; DISCOVERY; IDENTIFICATION; ZIDOVUDINE; LANGUAGE; KINASE; LSD</t>
  </si>
  <si>
    <t>Chemical similarity searches are a widely used family of in silico methods for identifying pharmaceutical leads. These methods historically relied on structure-based comparisons to compute similarity. Here, we use a chemical language model to create a vector-based chemical search. We extend previous implementations by creating a prompt engineering strategy that utilizes two different chemical string representation algorithms: one for the query and the other for the database. We explore this method by reviewing search results from nine queries with diverse targets. We find that the method identifies molecules with similar patent-derived function-ality to the query, as determined by our validated LLM-assisted patent summarization pipeline. Further, many of these functionally similar molecules have different structures and scaffolds from the query, making them unlikely to be found with traditional chemical similarity searches. This method may serve as a new tool for the discovery of novel molecular structural classes that achieve target functionality.</t>
  </si>
  <si>
    <t>[Kosonocky, Clayton W.; Feller, Aaron L.; Ellington, Andrew D.] Univ Texas Austin, Dept Mol Biosci, Austin, TX 78705 USA; [Wilke, Claus O.] Univ Texas Austin, Dept Integrat Biol, Austin, TX 78705 USA; [Ellington, Andrew D.] Univ Texas Austin, Ctr Syst &amp; Synthet Biol, Austin, TX 78712 USA</t>
  </si>
  <si>
    <t>University of Texas System; University of Texas Austin; University of Texas System; University of Texas Austin; University of Texas System; University of Texas Austin</t>
  </si>
  <si>
    <t>Wilke, CO (corresponding author), Univ Texas Austin, Dept Integrat Biol, Austin, TX 78705 USA.</t>
  </si>
  <si>
    <t>wilke@austin.utexas.edu</t>
  </si>
  <si>
    <t>Kosonocky, Clayton/0000-0002-6420-8615</t>
  </si>
  <si>
    <t>Welch Foundation [F-1654]; NIH [R01GM146093]; Blumberg Centennial Professorship in Molecular Evolution; Reeder Centennial Fellowship in Systematic and Evolutionary Biology at The University of Texas at Austin</t>
  </si>
  <si>
    <t>Welch Foundation(The Welch Foundation); NIH(United States Department of Health &amp; Human ServicesNational Institutes of Health (NIH) - USA); Blumberg Centennial Professorship in Molecular Evolution; Reeder Centennial Fellowship in Systematic and Evolutionary Biology at The University of Texas at Austin</t>
  </si>
  <si>
    <t>The authors acknowledge the Texas Advanced Computing Center and the Biomedical Research Computing Facility at The University of Texasat Austin for providing high-performance computing resources. We would also like to thank AMD for the donation of critical hardware and support resources from its HPC Fund. This work was supported by the Welch Foundation (F-1654), the NIH (R01GM146093), the Blumberg Centennial Professorship in Molecular Evolution, and the Reeder Centennial Fellowship in Systematic and Evolutionary Biology at The University of Texas at Austin. The authors would like to thank Charlie D. Johnson for useful criticism and discussion during the development of this project.</t>
  </si>
  <si>
    <t>CELL PRESS</t>
  </si>
  <si>
    <t>50 HAMPSHIRE ST, FLOOR 5, CAMBRIDGE, MA 02139 USA</t>
  </si>
  <si>
    <t>2666-3899</t>
  </si>
  <si>
    <t>Patterns</t>
  </si>
  <si>
    <t>10.1016/j.patter.2023.100865</t>
  </si>
  <si>
    <t>Computer Science, Artificial Intelligence; Computer Science, Information Systems; Computer Science, Interdisciplinary Applications</t>
  </si>
  <si>
    <t>DQ7D8</t>
  </si>
  <si>
    <t>Green Submitted, gold, Green Published</t>
  </si>
  <si>
    <t>WOS:001133582500001</t>
  </si>
  <si>
    <t>Li, ZL; Ning, H</t>
  </si>
  <si>
    <t>Li, Zhenlong; Ning, Huan</t>
  </si>
  <si>
    <t>Autonomous GIS: the next-generation AI-powered GIS</t>
  </si>
  <si>
    <t>INTERNATIONAL JOURNAL OF DIGITAL EARTH</t>
  </si>
  <si>
    <t>Spatial analysis; autonomous agent; artificial intelligence; large language models; ChatGPT</t>
  </si>
  <si>
    <t>Large Language Models (LLMs), such as ChatGPT, demonstrate a strong understanding of human natural language and have been explored and applied in various fields, including reasoning, creative writing, code generation, translation, and information retrieval. By adopting LLM as the reasoning core, we introduce Autonomous GIS as an AI-powered geographic information system (GIS) that leverages the LLM's general abilities in natural language understanding, reasoning, and coding for addressing spatial problems with automatic spatial data collection, analysis, and visualization. We envision that autonomous GIS will need to achieve five autonomous goals: self-generating, self-organizing, self-verifying, self-executing, and self-growing. We developed a prototype system called LLM-Geo using the GPT-4 API, demonstrating what an autonomous GIS looks like and how it delivers expected results without human intervention using three case studies. For all case studies, LLM-Geo returned accurate results, including aggregated numbers, graphs, and maps.. Although still in its infancy and lacking several important modules such as logging and code testing, LLM-Geo demonstrates a potential path toward the next-generation AI-powered GIS. We advocate for the GIScience community to devote more efforts to the research and development of autonomous GIS, making spatial analysis easier, faster, and more accessible to a broader audience.</t>
  </si>
  <si>
    <t>[Li, Zhenlong; Ning, Huan] Univ South Carolina, Dept Geog, Geoinformat &amp; Big Data Res Lab, Columbia, SC USA; [Ning, Huan] Penn State Univ, Dept Geog, University Pk, PA USA; [Li, Zhenlong] Univ South Carolina, Dept Geog, Geoinformat &amp; Big Data Res Lab, Columbia, SC 29072 USA</t>
  </si>
  <si>
    <t>University of South Carolina System; University of South Carolina Columbia; Pennsylvania Commonwealth System of Higher Education (PCSHE); Pennsylvania State University; Pennsylvania State University - University Park; University of South Carolina System; University of South Carolina Columbia</t>
  </si>
  <si>
    <t>Li, ZL (corresponding author), Univ South Carolina, Dept Geog, Geoinformat &amp; Big Data Res Lab, Columbia, SC 29072 USA.</t>
  </si>
  <si>
    <t>zhenlong@sc.edu</t>
  </si>
  <si>
    <t>We thank Professor Gregory J. Carbone for helping revise an earlier draft of this manuscript.</t>
  </si>
  <si>
    <t>TAYLOR &amp; FRANCIS LTD</t>
  </si>
  <si>
    <t>2-4 PARK SQUARE, MILTON PARK, ABINGDON OR14 4RN, OXON, ENGLAND</t>
  </si>
  <si>
    <t>1753-8947</t>
  </si>
  <si>
    <t>1753-8955</t>
  </si>
  <si>
    <t>INT J DIGIT EARTH</t>
  </si>
  <si>
    <t>Int. J. Digit. Earth</t>
  </si>
  <si>
    <t>10.1080/17538947.2023.2278895</t>
  </si>
  <si>
    <t>Geography, Physical; Remote Sensing</t>
  </si>
  <si>
    <t>Physical Geography; Remote Sensing</t>
  </si>
  <si>
    <t>X7YP5</t>
  </si>
  <si>
    <t>WOS:001100562400001</t>
  </si>
  <si>
    <t>De Paoli, S</t>
  </si>
  <si>
    <t>De Paoli, Stefano</t>
  </si>
  <si>
    <t>SOCIAL SCIENCE COMPUTER REVIEW</t>
  </si>
  <si>
    <t>large language models; thematic analysis; qualitative research; human- AI collaboration</t>
  </si>
  <si>
    <t>Large Language Models (LLMs) have emerged as powerful generative Artificial Intelligence solutions. This paper presents results and reflections of an experiment done with the LLM GPT 3.5-Turbo to perform an inductive Thematic Analysis (TA). Previous research has worked on conducting deductive analysis. Thematic Analysis is a qualitative method for analysis commonly used in social sciences and it is based on interpretations by the human analyst(s) and the identification of explicit and latent meanings in qualitative data. The paper presents the motivations for attempting this analysis; it reflects on how the six phases to a TA proposed by Braun and Clarke can partially be reproduced with the LLM and it reflects on what are the model's outputs. The paper uses two datasets of open access semi-structured interviews, previously analysed by other researchers. The first dataset contains interviews with videogame players, and the second is a dataset of interviews with lecturers teaching data science in a University. This paper used the analyses previously conducted on these datasets to compare with the results produced by the LLM. The results show that the model can infer most of the main themes from previous research. This shows that using LLMs to perform an inductive TA is viable and offers a good degree of validity. The discussion offers some recommendations for working with LLMs in qualitative analysis.</t>
  </si>
  <si>
    <t>[De Paoli, Stefano] Abertay Univ, Digital Soc, Dundee, Scotland; [De Paoli, Stefano] Abertay Univ, Sociol Div, Bell St, Dundee DD1 1HG, Scotland</t>
  </si>
  <si>
    <t>University of Abertay Dundee; University of Abertay Dundee</t>
  </si>
  <si>
    <t>De Paoli, S (corresponding author), Abertay Univ, Sociol Div, Bell St, Dundee DD1 1HG, Scotland.</t>
  </si>
  <si>
    <t>s.depaoli@abertay.ac.uk</t>
  </si>
  <si>
    <t>SAGE PUBLICATIONS INC</t>
  </si>
  <si>
    <t>THOUSAND OAKS</t>
  </si>
  <si>
    <t>2455 TELLER RD, THOUSAND OAKS, CA 91320 USA</t>
  </si>
  <si>
    <t>0894-4393</t>
  </si>
  <si>
    <t>1552-8286</t>
  </si>
  <si>
    <t>SOC SCI COMPUT REV</t>
  </si>
  <si>
    <t>2023 DEC 7</t>
  </si>
  <si>
    <t>Computer Science, Interdisciplinary Applications; Information Science &amp; Library Science; Social Sciences, Interdisciplinary</t>
  </si>
  <si>
    <t>Computer Science; Information Science &amp; Library Science; Social Sciences - Other Topics</t>
  </si>
  <si>
    <t>AC9Y5</t>
  </si>
  <si>
    <t>WOS:001116391300001</t>
  </si>
  <si>
    <t>Holguin, A</t>
  </si>
  <si>
    <t>Holguin, Adolfo</t>
  </si>
  <si>
    <t>1/2 BPS structure constants and random matrices</t>
  </si>
  <si>
    <t>JOURNAL OF HIGH ENERGY PHYSICS</t>
  </si>
  <si>
    <t>1/N Expansion; AdS-CFT Correspondence; D-Branes; Matrix Models</t>
  </si>
  <si>
    <t>We study three point functions of half BPS operators in N = 4 super Yang-Mills theory focusing on correlators of two of the operators with dimension of order Delta similar to N-2 and a light single trace operator. These describe vacuum expectation values of type IIB supergravity modes in LLM backgrounds that do not necessarily preserve the same symmetries as the background solution. We propose a class of complex matrix models that fully capture the combinatorics of the problem, and describe their solution in the large N limit. In simple regimes when the dual description is in terms of widely separated condensates of giant gravitons we find that the models are solvable in the large N and can be approximated by unitary Jacobi ensembles; we describe how these distributions are reproduced in the dual bubbling geometry picture for large droplets. In the case of two eigenvalue droplets the model is exactly solvable at finite N. As a result we compute all half-BPS structure constants of heavy-heavy-light type, and reproduce the formulas found via holographic renormalization in the large N limit. We also comment on structure constants of three heavy operators.</t>
  </si>
  <si>
    <t>[Holguin, Adolfo] Univ Calif Santa Barbara, Dept Phys, Santa Barbara, CA 93106 USA</t>
  </si>
  <si>
    <t>University of California System; University of California Santa Barbara</t>
  </si>
  <si>
    <t>Holguin, A (corresponding author), Univ Calif Santa Barbara, Dept Phys, Santa Barbara, CA 93106 USA.</t>
  </si>
  <si>
    <t>adolfoholguin@physics.ucsb.edu</t>
  </si>
  <si>
    <t>Holguin, Adolfo/0000-0003-3394-9514</t>
  </si>
  <si>
    <t>University of California</t>
  </si>
  <si>
    <t>University of California(University of California System)</t>
  </si>
  <si>
    <t>We would like to thank David Berenstein, Sanjaye Ramgoolam, and Antal Jevicki for discussions. We are pleased to thank Kwinten Fransen, Shota Komatsu, Robert de Mello Koch, and Wayne Weng for comments on an earlier draft. A.H. is supported in part by funds from the University of California.</t>
  </si>
  <si>
    <t>1029-8479</t>
  </si>
  <si>
    <t>J HIGH ENERGY PHYS</t>
  </si>
  <si>
    <t>J. High Energy Phys.</t>
  </si>
  <si>
    <t>DEC 7</t>
  </si>
  <si>
    <t>10.1007/JHEP12(2023)046</t>
  </si>
  <si>
    <t>Physics, Particles &amp; Fields</t>
  </si>
  <si>
    <t>Physics</t>
  </si>
  <si>
    <t>AT2E7</t>
  </si>
  <si>
    <t>WOS:001120634400001</t>
  </si>
  <si>
    <t>Back, S; Aspuru-Guzik, A; Ceriotti, M; Gryn'ova, G; Grzybowski, B; Gu, GH; Hein, J; Hippalgaonkar, K; Hormázabal, R; Jung, Y; Kim, S; Kim, WY; Moosavi, SM; Noh, J; Park, C; Schrier, J; Schwaller, P; Tsuda, K; Vegge, T; von Lilienfeld, OA; Walsh, A</t>
  </si>
  <si>
    <t>Back, Seoin; Aspuru-Guzik, Alan; Ceriotti, Michele; Gryn'ova, Ganna; Grzybowski, Bartosz; Gu, Geun Ho; Hein, Jason; Hippalgaonkar, Kedar; Hormazabal, Rodrigo; Jung, Yousung; Kim, Seonah; Kim, Woo Youn; Moosavi, Seyed Mohamad; Noh, Juhwan; Park, Changyoung; Schrier, Joshua; Schwaller, Philippe; Tsuda, Koji; Vegge, Tejs; von Lilienfeld, O. Anatole; Walsh, Aron</t>
  </si>
  <si>
    <t>Accelerated chemical science with AI</t>
  </si>
  <si>
    <t>MACHINE; UNCERTAINTY; CHEMISTRY; EXPERIMENTATION; VISUALIZATION; TRANSFORMER; CHALLENGES; DESIGN; MODELS</t>
  </si>
  <si>
    <t>In light of the pressing need for practical materials and molecular solutions to renewable energy and health problems, to name just two examples, one wonders how to accelerate research and development in the chemical sciences, so as to address the time it takes to bring materials from initial discovery to commercialization. Artificial intelligence (AI)-based techniques, in particular, are having a transformative and accelerating impact on many if not most, technological domains. To shed light on these questions, the authors and participants gathered in person for the ASLLA Symposium on the theme of 'Accelerated Chemical Science with AI' at Gangneung, Republic of Korea. We present the findings, ideas, comments, and often contentious opinions expressed during four panel discussions related to the respective general topics: 'Data', 'New applications', 'Machine learning algorithms', and 'Education'. All discussions were recorded, transcribed into text using Open AI's Whisper, and summarized using LG AI Research's EXAONE LLM, followed by revision by all authors. For the broader benefit of current researchers, educators in higher education, and academic bodies such as associations, publishers, librarians, and companies, we provide chemistry-specific recommendations and summarize the resulting conclusions. The ASLLA Symposium focused on accelerating chemical science with AI. Discussions on data, new applications, algorithms, and education were summarized. Recommendations for researchers, educators, and academic bodies were provided.</t>
  </si>
  <si>
    <t>[Back, Seoin] Sogang Univ, Inst Emergent Mat, Dept Chem &amp; Biomol Engn, Seoul, South Korea; [Aspuru-Guzik, Alan] Univ Toronto, Dept Chem, Comp Sci, St George Campus, Toronto, ON, Canada; [Aspuru-Guzik, Alan; von Lilienfeld, O. Anatole] Accelerat Consortium, Toronto, ON M5S 1M1, Canada; [Aspuru-Guzik, Alan; von Lilienfeld, O. Anatole] Vector Inst Articial Intelligence, Toronto, ON M5S 1M1, Canada; [Ceriotti, Michele] Ecole Polytech Fed Lausanne, Lab Computat Sci &amp; Modeling COSMO, Lausanne, Switzerland; [Gryn'ova, Ganna] Heidelberg Inst Theoret Studies HITS gGmbH, D-69118 Heidelberg, Germany; [Gryn'ova, Ganna] Heidelberg Univ, Interdisciplinary Ctr Sci Comp, D-69120 Heidelberg, Germany; [Grzybowski, Bartosz] Inst Basic Sci IBS, Ctr Algorithm &amp; Robotized Synth CARS, Ulsan, South Korea; [Grzybowski, Bartosz] Polish Acad Sci, Inst Organ Chem, Warsaw, Poland; [Grzybowski, Bartosz] Ulsan Natl Inst Sci &amp; Technol, Dept Chem, Ulsan, South Korea; [Gu, Geun Ho] Korea Inst Energy Technol KENTECH, Dept Energy Engn, Naju 58330, South Korea; [Hein, Jason] Univ British Columbia, Dept Chem, Vancouver, BC V6T 1Z1, Canada; [Hippalgaonkar, Kedar] Nanyang Technol Univ, Sch Mat Sci &amp; Engn, 50 Nanyang Ave, Singapore 639798, Singapore; [Hippalgaonkar, Kedar] Agcy Sci Technol &amp; Res, Inst Mat Res &amp; Engn, 2 Fusionopolis Way,08-03, Singapore 138634, Singapore; [Hormazabal, Rodrigo; Park, Changyoung] LG AI Res, Seoul, South Korea; [Jung, Yousung] Korea Adv Inst Sci &amp; Technol, Dept Chem &amp; Biomol Engn, Daejeon, South Korea; [Jung, Yousung] Seoul Natl Univ, Sch Chem &amp; Biol Engn, Interdisciplinary Program Artificial Intelligence, 1 Gwanak Ro, Seoul 08826, South Korea; [Kim, Seonah] Colorado State Univ, Dept Chem, 1301 Ctr Ave, Ft Collins, CO 80523 USA; [Kim, Woo Youn] Korea Adv Inst Sci &amp; Technol, Dept Chem, Daejeon, South Korea; [Moosavi, Seyed Mohamad] Univ Toronto, Chem Engn &amp; Appl Chem, Toronto, ON M5S 3E5, Canada; [Noh, Juhwan] Korea Res Inst Chem Technol, Chem Data Driven Res Ctr, Daejeon 34114, South Korea; [Schrier, Joshua] Fordham Univ, Dept Chem, The Bronx, NY 10458 USA; [Schwaller, Philippe] Ecole Polytech Fed Lausanne, Lab Artificial Chem Intelligence LIAC, Lausanne, Switzerland; [Schwaller, Philippe] Ecole Polytech Fed Lausanne, Natl Ctr Competence Res NCCR Catalysis, Lausanne, Switzerland; [Tsuda, Koji] Univ Tokyo, Grad Sch Frontier Sci, Kashiwa, Chiba 2778561, Japan; [Tsuda, Koji] Natl Inst Mat Sci, Ctr Basic Res Mat, Tsukuba, Ibaraki 3050044, Japan; [Tsuda, Koji] RIKEN, Ctr Adv Intelligence Project, Tokyo 1030027, Japan; [Vegge, Tejs] Tech Univ Denmark, Dept Energy Convers &amp; Storage, 301 Anker Engelunds Vej, DK-2800 Copenhagen, Denmark; [von Lilienfeld, O. Anatole] Univ Toronto, Dept Chem, St George Campus, Toronto, ON, Canada; [von Lilienfeld, O. Anatole] Univ Toronto, Dept Mat Sci &amp; Engn, St George Campus, Toronto, ON, Canada; [von Lilienfeld, O. Anatole] Univ Toronto, Dept Phys, St George Campus, Toronto, ON, Canada; [von Lilienfeld, O. Anatole] Tech Univ Berlin, Machine Learning Grp, D-10587 Berlin, Germany; [von Lilienfeld, O. Anatole] Berlin Inst Fdn Learning &amp; Data, D-10587 Berlin, Germany; [Walsh, Aron] Imperial Coll London, Dept Mat, London SW7 2AZ, England; [Walsh, Aron] Ewha Womans Univ, Dept Phys, Seoul, South Korea</t>
  </si>
  <si>
    <t>Back, S (corresponding author), Sogang Univ, Inst Emergent Mat, Dept Chem &amp; Biomol Engn, Seoul, South Korea.</t>
  </si>
  <si>
    <t>sback@sogang.ac.kr</t>
  </si>
  <si>
    <t>NCCR Catalysis; KIST [2021-0-01343]; IITP Korea [2021-0-02068]; Artificial Intelligence Graduate School Program for Seoul National University [RS-2023-00283902]; NRF of Korea - Ministry of Science and ICT [180544]; NCCR Catalysis; National Centre of Competence in Research - Swiss National Science Foundation; Acceleration Consortium, a Canada First Research Excellence Fund at the University of Toronto</t>
  </si>
  <si>
    <t>NCCR Catalysis; KIST(Korea Institute of Science &amp; Technology Information (KISTI)); IITP Korea(Institute for Information &amp; Communication Technology Planning &amp; Evaluation (IITP), Republic of Korea); Artificial Intelligence Graduate School Program for Seoul National University; NRF of Korea - Ministry of Science and ICT(National Research Foundation of KoreaMinistry of Science, ICT &amp; Future Planning, Republic of Korea); NCCR Catalysis; National Centre of Competence in Research - Swiss National Science Foundation(Swiss National Science Foundation (SNSF)); Acceleration Consortium, a Canada First Research Excellence Fund at the University of Toronto</t>
  </si>
  <si>
    <t>The symposium organizers (YJ, AAG, and AVL) are grateful to KIST for generous financial support to organize the symposium. YJ acknowledges support from IITP Korea (No. 2021-0-01343, Artificial Intelligence Graduate School Program for Seoul National University &amp; No. 2021-0-02068, Artificial Intelligence Innovation Hub) and NRF of Korea funded by Ministry of Science and ICT (RS-2023-00283902). PS acknowledges support from the NCCR Catalysis (grant number 180544), a National Centre of Competence in Research funded by the Swiss National Science Foundation. A. A.-G. acknowledges support from the Acceleration Consortium, a Canada First Research Excellence Fund at the University of Toronto as well as Anders G. Fr &amp; oslash;seth.</t>
  </si>
  <si>
    <t>10.1039/d3dd00213f</t>
  </si>
  <si>
    <t>FC5K1</t>
  </si>
  <si>
    <t>WOS:001129394000001</t>
  </si>
  <si>
    <t>Fins, IS; Davies, H; Farrell, S; Torres, JR; Pinchbeck, G; Radford, AD; Noble, PJ</t>
  </si>
  <si>
    <t>Fins, Ivo S.; Davies, Heather; Farrell, Sean; Torres, Jose R.; Pinchbeck, Gina; Radford, Alan D.; Noble, Peter-John</t>
  </si>
  <si>
    <t>Evaluating ChatGPT text mining of clinical records for companion animal obesity monitoring</t>
  </si>
  <si>
    <t>VETERINARY RECORD</t>
  </si>
  <si>
    <t>BackgroundVeterinary clinical narratives remain a largely untapped resource for addressing complex diseases. Here we compare the ability of a large language model (ChatGPT) and a previously developed regular expression (RegexT) to identify overweight body condition scores (BCS) in veterinary narratives pertaining to companion animals.MethodsBCS values were extracted from 4415 anonymised clinical narratives using either RegexT or by appending the narrative to a prompt sent to ChatGPT, prompting the model to return the BCS information. Data were manually reviewed for comparison.ResultsThe precision of RegexT was higher (100%, 95% confidence interval [CI] 94.81%-100%) than that of ChatGPT (89.3%, 95% CI 82.75%-93.64%). However, the recall of ChatGPT (100%, 95% CI 96.18%-100%) was considerably higher than that of RegexT (72.6%, 95% CI 63.92%-79.94%).LimitationsPrior anonymisation and subtle prompt engineering are needed to improve ChatGPT output.ConclusionsLarge language models create diverse opportunities and, while complex, present an intuitive interface to information. However, they require careful implementation to avoid unpredictable errors.</t>
  </si>
  <si>
    <t>[Fins, Ivo S.; Davies, Heather; Pinchbeck, Gina; Radford, Alan D.; Noble, Peter-John] Univ Liverpool, Inst Infect Vet &amp; Ecol Sci, Small Anim Vet Surveillance Network, Liverpool, England; [Farrell, Sean] Univ Durham, Dept Comp Sci, Durham, England; [Torres, Jose R.] Univ Las Palmas Gran De Canaria, Inst Anim Hlth &amp; Food Safety, Las Palmas Gran Canaria, Gran Canaria, Spain</t>
  </si>
  <si>
    <t>University of Liverpool; Durham University; Universidad de Las Palmas de Gran Canaria</t>
  </si>
  <si>
    <t>Noble, PJ (corresponding author), Univ Liverpool, Inst Infect Vet &amp; Ecol Sci, Small Anim Vet Surveillance Network, Liverpool, England.</t>
  </si>
  <si>
    <t>rtnorle@liverpool.ac.uk</t>
  </si>
  <si>
    <t>Davies, Heather/0000-0001-6905-4718; Salgueiro Fins, Ivo/0000-0002-1519-7550</t>
  </si>
  <si>
    <t>Dogs Trust; BSAVA; BBSRC - University of Liverpool [BBSRC-DTP]; Petplan Charitable Trust; Dogs Trust (SAVSNET-Agile grant)</t>
  </si>
  <si>
    <t>Dogs Trust; BSAVA; BBSRC - University of Liverpool; Petplan Charitable Trust; Dogs Trust (SAVSNET-Agile grant)</t>
  </si>
  <si>
    <t>Ivo S. Fins is currently funded by Dogs Trust. We are also grateful for prior support and major funding from BSAVA and BBSRC. Heather Davies is funded by the University of Liverpool and the Veterinary Medicines Directorate. Sean Farrell is funded as part of a BBSRC-DTP. Jose R. Torres is funded by Petplan Charitable Trust. We wish to thank data providers both in veterinary practice (VetSolutions, Teleos, CVS, and other practitioners) and in veterinary diagnostic laboratories, without whose support and participation this research would not be possible. This project was funded in part by Dogs Trust (SAVSNET-Agile grant).</t>
  </si>
  <si>
    <t>0042-4900</t>
  </si>
  <si>
    <t>2042-7670</t>
  </si>
  <si>
    <t>VET REC</t>
  </si>
  <si>
    <t>Vet. Rec.</t>
  </si>
  <si>
    <t>10.1002/vetr.3669</t>
  </si>
  <si>
    <t>Veterinary Sciences</t>
  </si>
  <si>
    <t>HA6L1</t>
  </si>
  <si>
    <t>WOS:001114664100001</t>
  </si>
  <si>
    <t>Hackl, V; Müller, AE; Granitzer, M; Sailer, M</t>
  </si>
  <si>
    <t>Hackl, Veronika; Mueller, Alexandra Elena; Granitzer, Michael; Sailer, Maximilian</t>
  </si>
  <si>
    <t>artificial intelligence; GPT-4; large language model; prompt engineering; feedback; higher education</t>
  </si>
  <si>
    <t>This study reports the Intraclass Correlation Coefficients of feedback ratings produced by OpenAI's GPT-4, a large language model (LLM), across various iterations, time frames, and stylistic variations. The model was used to rate responses to tasks related to macroeconomics in higher education (HE), based on their content and style. Statistical analysis was performed to determine the absolute agreement and consistency of ratings in all iterations, and the correlation between the ratings in terms of content and style. The findings revealed high interrater reliability, with ICC scores ranging from 0.94 to 0.99 for different time periods, indicating that GPT-4 is capable of producing consistent ratings. The prompt used in this study is also presented and explained.</t>
  </si>
  <si>
    <t>[Hackl, Veronika; Sailer, Maximilian] Univ Passau, Fac Social &amp; Educ Sci, Passau, Germany; [Mueller, Alexandra Elena] Univ Passau, Fac Law, Passau, Germany; [Granitzer, Michael] Univ Passau, Fac Comp Sci &amp; Math, Passau, Germany</t>
  </si>
  <si>
    <t>University of Passau; University of Passau; University of Passau</t>
  </si>
  <si>
    <t>Hackl, V (corresponding author), Univ Passau, Fac Social &amp; Educ Sci, Passau, Germany.</t>
  </si>
  <si>
    <t>veronika.hackl@uni-passau.de</t>
  </si>
  <si>
    <t>Bundesministerium fr Bildung und Forschung10.13039/501100002347</t>
  </si>
  <si>
    <t>Bundesministerium fr Bildung und Forschung10.13039/501100002347(Federal Ministry of Education &amp; Research (BMBF))</t>
  </si>
  <si>
    <t>This investigation served as a preliminary study preceding an extensive field study conducted as part of the BMBF-funded DeepWrite project at the University of Passau. The primary objective was to ascertain the consistency of GPT-4's assessments before their integration into authentic scenarios involving students within the realm of HE. We extend our gratitude toward Johann Graf von Lambsdorff, Deborah Voss, and Stephan Geschwind for their contributions in designing the questions, sample solutions, and the field study associated with this investigation.</t>
  </si>
  <si>
    <t>DEC 5</t>
  </si>
  <si>
    <t>CR2T8</t>
  </si>
  <si>
    <t>WOS:001126912400001</t>
  </si>
  <si>
    <t>Liu, FL; Zhu, TT; Wu, X; Yang, B; You, CY; Wang, CY; Lu, L; Liu, ZDH; Zheng, YF; Sun, X; Yang, Y; Clifton, L; Clifton, DA</t>
  </si>
  <si>
    <t>Liu, Fenglin; Zhu, Tingting; Wu, Xian; Yang, Bang; You, Chenyu; Wang, Chenyang; Lu, Lei; Liu, Zhangdaihong; Zheng, Yefeng; Sun, Xu; Yang, Yang; Clifton, Lei; Clifton, David A.</t>
  </si>
  <si>
    <t>A medical multimodal large language model for future pandemics</t>
  </si>
  <si>
    <t>NPJ DIGITAL MEDICINE</t>
  </si>
  <si>
    <t>TECHNOLOGY; CT</t>
  </si>
  <si>
    <t>Deep neural networks have been integrated into the whole clinical decision procedure which can improve the efficiency of diagnosis and alleviate the heavy workload of physicians. Since most neural networks are supervised, their performance heavily depends on the volume and quality of available labels. However, few such labels exist for rare diseases (e.g., new pandemics). Here we report a medical multimodal large language model (Med-MLLM) for radiograph representation learning, which can learn broad medical knowledge (e.g., image understanding, text semantics, and clinical phenotypes) from unlabelled data. As a result, when encountering a rare disease, our Med-MLLM can be rapidly deployed and easily adapted to them with limited labels. Furthermore, our model supports medical data across visual modality (e.g., chest X-ray and CT) and textual modality (e.g., medical report and free-text clinical note); therefore, it can be used for clinical tasks that involve both visual and textual data. We demonstrate the effectiveness of our Med-MLLM by showing how it would perform using the COVID-19 pandemic in replay. In the retrospective setting, we test the model on the early COVID-19 datasets; and in the prospective setting, we test the model on the new variant COVID-19-Omicron. The experiments are conducted on 1) three kinds of input data; 2) three kinds of downstream tasks, including disease reporting, diagnosis, and prognosis; 3) five COVID-19 datasets; and 4) three different languages, including English, Chinese, and Spanish. All experiments show that our model can make accurate and robust COVID-19 decision-support with little labelled data.</t>
  </si>
  <si>
    <t>[Liu, Fenglin; Zhu, Tingting; Wang, Chenyang; Lu, Lei; Liu, Zhangdaihong; Clifton, David A.] Univ Oxford, Inst Biomed Engn, Dept Engn Sci, Oxford, England; [Wu, Xian; Zheng, Yefeng] Tencent YouTu Lab, Jarvis Res Ctr, Beijing, Peoples R China; [Yang, Bang; Sun, Xu] Peking Univ, Sch Comp Sci, Beijing, Peoples R China; [You, Chenyu] Yale Univ, New Haven, CT USA; [Liu, Zhangdaihong; Clifton, David A.] Oxford Suzhou Ctr Adv Res, Suzhou, Peoples R China; [Yang, Yang] Shanghai Jiao Tong Univ, Sch Med, Sch Publ Hlth, Shanghai, Peoples R China; [Clifton, Lei] Univ Oxford, Nuffield Dept Populat Hlth, Oxford, England</t>
  </si>
  <si>
    <t>University of Oxford; Tencent; Peking University; Yale University; Shanghai Jiao Tong University; University of Oxford</t>
  </si>
  <si>
    <t>Liu, FL; Clifton, DA (corresponding author), Univ Oxford, Inst Biomed Engn, Dept Engn Sci, Oxford, England.;Clifton, DA (corresponding author), Oxford Suzhou Ctr Adv Res, Suzhou, Peoples R China.</t>
  </si>
  <si>
    <t>fenglin.liu@eng.ox.ac.uk; david.clifton@eng.ox.ac.uk</t>
  </si>
  <si>
    <t>Royal Academy of Engineering; NIHR Research Professorship; Royal Academy of Engineering Research Chair; NIHR Oxford Biomedical Research Centre; Hong Kong Centre for Cerebro-cardiovascular Engineering; Pandemic Sciences Institute, University of Oxford, Oxford, UK; Clarendon Fund; Magdalen Graduate Scholarship; Royal Academy of Engineering; Sloane Robinson Scholarship [23ZR1436400]; Science and Technology Committee of Shanghai Municipality</t>
  </si>
  <si>
    <t>Royal Academy of Engineering(Royal Academy of Engineering - UK); NIHR Research Professorship; Royal Academy of Engineering Research Chair; NIHR Oxford Biomedical Research Centre(National Institutes of Health Research (NIHR)); Hong Kong Centre for Cerebro-cardiovascular Engineering; Pandemic Sciences Institute, University of Oxford, Oxford, UK; Clarendon Fund; Magdalen Graduate Scholarship; Royal Academy of Engineering(Royal Academy of Engineering - UK); Sloane Robinson Scholarship; Science and Technology Committee of Shanghai Municipality(Shanghai Science &amp; Technology Committee)</t>
  </si>
  <si>
    <t>DAC was supported by an NIHR Research Professorship and a Royal Academy of Engineering Research Chair; the NIHR Oxford Biomedical Research Centre; the Hong Kong Centre for Cerebro-cardiovascular Engineering (COCHE); and the Pandemic Sciences Institute, University of Oxford, Oxford, UK. F.L. gratefully acknowledges funding from the Clarendon Fund and the Magdalen Graduate Scholarship. T.Z. was supported by the Royal Academy of Engineering under the Research Fellowship scheme. C.W. gratefully acknowledges funding from the Clarendon Fund and the Sloane Robinson Scholarship. Y.Y. was supported by the Science and Technology Committee of Shanghai Municipality (23ZR1436400). We sincerely thank all the anonymous reviewers and editors for their constructive comments and suggestions that substantially improved this paper. D.A.C. and F.L. are the corresponding authors of this paper.</t>
  </si>
  <si>
    <t>2398-6352</t>
  </si>
  <si>
    <t>NPJ DIGIT MED</t>
  </si>
  <si>
    <t>DEC 2</t>
  </si>
  <si>
    <t>10.1038/s41746-023-00952-2</t>
  </si>
  <si>
    <t>Z5EG5</t>
  </si>
  <si>
    <t>WOS:001112300500002</t>
  </si>
  <si>
    <t>Bottega, JA; Kich, VA; de Jesus, JC; Steinmetz, R; Kolling, AH; Grando, RB; Guerra, RD; Gamarra, DFT</t>
  </si>
  <si>
    <t>Bottega, Jair Augusto; Kich, Victor Augusto; de Jesus, Junior Costa; Steinmetz, Raul; Kolling, Alisson Henrique; Grando, Ricardo Bedin; Guerra, Rodrigo da Silva; Gamarra, Daniel Fernando Tello</t>
  </si>
  <si>
    <t>Jubileo: An Immersive Simulation Framework for Social Robot Design</t>
  </si>
  <si>
    <t>JOURNAL OF INTELLIGENT &amp; ROBOTIC SYSTEMS</t>
  </si>
  <si>
    <t>Human-robot interaction; Virtual reality; Learning game; English language learning; Large language models</t>
  </si>
  <si>
    <t>This paper introduces Jubileo, an open-source simulated humanoid robot as a framework for the development of human-robot interaction applications. By leveraging the power of the Robot Operating System (ROS) and Unity in a virtual reality environment, this simulation establishes a strong connection to real robotics, faithfully replicating the robot's physical components down to its motors and enabling communication with servo-actuators to control both the animatronic face and the joints of a real humanoid robot. To validate the capabilities of the framework, we propose English teaching games that integrate Virtual Reality (VR), game-based Human-Robot Interaction (HRI), and advanced large language models such as Generative Pre-trained Transformer (GPT). These games aim to foster linguistic competence within dynamic and interactive virtual environments. The incorporation of large language models bolsters the robot's capability to generate human-like responses, thus facilitating a more realistic conversational experience. Moreover, the simulation framework reduces real-world testing risks and offers a cost-effective, efficient, and scalable platform for developing new HRI applications. The paper underscores the transformative potential of converging VR, large language models, and HRI, particularly in educational applications.</t>
  </si>
  <si>
    <t>[Bottega, Jair Augusto; Kich, Victor Augusto] Univ Tsukuba, Intelligent Robot Lab, Tsukuba, Ibaraki, Japan; [de Jesus, Junior Costa] Korea Adv Inst Sci &amp; Technol, Daejeon 34141, South Korea; [Steinmetz, Raul; Gamarra, Daniel Fernando Tello] Univ Fed Santa Maria, Santa Maria, RS, Brazil; [Kolling, Alisson Henrique; Grando, Ricardo Bedin; Guerra, Rodrigo da Silva] Fed Univ Rio Grande, Rio Grande, RS, Brazil; [Grando, Ricardo Bedin] Technol Univ Uruguay, Rivera, Uruguay</t>
  </si>
  <si>
    <t>University of Tsukuba; Korea Advanced Institute of Science &amp; Technology (KAIST); Universidade Federal de Santa Maria (UFSM); Universidade Federal do Rio Grande</t>
  </si>
  <si>
    <t>Bottega, JA (corresponding author), Univ Tsukuba, Intelligent Robot Lab, Tsukuba, Ibaraki, Japan.</t>
  </si>
  <si>
    <t>jairaugustobottega@gmail.com; daniel.gamarra@ufsm.br</t>
  </si>
  <si>
    <t>University of Tsukuba</t>
  </si>
  <si>
    <t>The authors would like to thank the VersusAI team. This work was partly supported by the University of Tsukuba.</t>
  </si>
  <si>
    <t>0921-0296</t>
  </si>
  <si>
    <t>1573-0409</t>
  </si>
  <si>
    <t>J INTELL ROBOT SYST</t>
  </si>
  <si>
    <t>J. Intell. Robot. Syst.</t>
  </si>
  <si>
    <t>DEC</t>
  </si>
  <si>
    <t>10.1007/s10846-023-01991-3</t>
  </si>
  <si>
    <t>Computer Science, Artificial Intelligence; Robotics</t>
  </si>
  <si>
    <t>Computer Science; Robotics</t>
  </si>
  <si>
    <t>AH6U7</t>
  </si>
  <si>
    <t>WOS:001117621200001</t>
  </si>
  <si>
    <t>Gill, J; Chetty, M; Lim, S; Hallinan, J</t>
  </si>
  <si>
    <t>Gill, Jaskaran; Chetty, Madhu; Lim, Suryani; Hallinan, Jennifer</t>
  </si>
  <si>
    <t>Knowledge-Based Intelligent Text Simplification for Biological Relation Extraction</t>
  </si>
  <si>
    <t>INFORMATICS-BASEL</t>
  </si>
  <si>
    <t>sentence simplification; named entity recognition; relation extraction; BioBERT; BERN2</t>
  </si>
  <si>
    <t>NETWORK</t>
  </si>
  <si>
    <t>Relation extraction from biological publications plays a pivotal role in accelerating scientific discovery and advancing medical research. While vast amounts of this knowledge is stored within the published literature, extracting it manually from this continually growing volume of documents is becoming increasingly arduous. Recently, attention has been focused towards automatically extracting such knowledge using pre-trained Large Language Models (LLM) and deep-learning algorithms for automated relation extraction. However, the complex syntactic structure of biological sentences, with nested entities and domain-specific terminology, and insufficient annotated training corpora, poses major challenges in accurately capturing entity relationships from the unstructured data. To address these issues, in this paper, we propose a Knowledge-based Intelligent Text Simplification (KITS) approach focused on the accurate extraction of biological relations. KITS is able to precisely and accurately capture the relational context among various binary relations within the sentence, alongside preventing any potential changes in meaning for those sentences being simplified by KITS. The experiments show that the proposed technique, using well-known performance metrics, resulted in a 21% increase in precision, with only 25% of sentences simplified in the Learning Language in Logic (LLL) dataset. Combining the proposed method with BioBERT, the popular pre-trained LLM was able to outperform other state-of-the-art methods.</t>
  </si>
  <si>
    <t>[Gill, Jaskaran; Chetty, Madhu; Lim, Suryani; Hallinan, Jennifer] Federat Univ, Hlth Innovat &amp; Transformat Ctr, Ballarat, Vic 3842, Australia; [Hallinan, Jennifer] BioThink Pty Ltd, Brisbane, Qld 4020, Australia</t>
  </si>
  <si>
    <t>Federation University Australia</t>
  </si>
  <si>
    <t>Gill, J; Chetty, M (corresponding author), Federat Univ, Hlth Innovat &amp; Transformat Ctr, Ballarat, Vic 3842, Australia.</t>
  </si>
  <si>
    <t>jaskarankaurgill@students.federation.edu.au; madhu.chetty@federation.edu.au; suryani.lim@federation.edu.au; j.hallinan@biothink.net</t>
  </si>
  <si>
    <t>Chetty, Madhu/0000-0001-7052-0413</t>
  </si>
  <si>
    <t>Federation University; Health Innovative and Transformation Centre (HITC); Federation University Australia</t>
  </si>
  <si>
    <t>The first author acknowledges the support for the tuition fee waiver scholarship from Federation University and the stipend scholarship from Health Innovative and Transformation Centre (HITC), Federation University Australia.</t>
  </si>
  <si>
    <t>2227-9709</t>
  </si>
  <si>
    <t>Informatics-Basel</t>
  </si>
  <si>
    <t>10.3390/informatics10040089</t>
  </si>
  <si>
    <t>Computer Science, Interdisciplinary Applications</t>
  </si>
  <si>
    <t>DH2P5</t>
  </si>
  <si>
    <t>WOS:001131075800001</t>
  </si>
  <si>
    <t>Insuasti, J; Roa, F; Zapata-Jaramillo, CM</t>
  </si>
  <si>
    <t>Insuasti, Jesus; Roa, Felipe; Zapata-Jaramillo, Carlos Mario</t>
  </si>
  <si>
    <t>Computers' Interpretations of Knowledge Representation Using Pre-Conceptual Schemas: An Approach Based on the BERT and Llama 2-Chat Models</t>
  </si>
  <si>
    <t>BIG DATA AND COGNITIVE COMPUTING</t>
  </si>
  <si>
    <t>pre-conceptual schema; computational linguistics; linguistic corpus; language models</t>
  </si>
  <si>
    <t>Pre-conceptual schemas are a straightforward way to represent knowledge using controlled language regardless of context. Despite the benefits of using pre-conceptual schemas by humans, they present challenges when interpreted by computers. We propose an approach to making computers able to interpret the basic pre-conceptual schemas made by humans. To do that, the construction of a linguistic corpus is required to work with large language models-LLM. The linguistic corpus was mainly fed using Master's and doctoral theses from the digital repository of the University of Narino to produce a training dataset for re-training the BERT model; in addition, we complement this by explaining the elicited sentences in triads from the pre-conceptual schemas using one of the cutting-edge large language models in natural language processing: Llama 2-Chat by Meta AI. The diverse topics covered in these theses allowed us to expand the spectrum of linguistic use in the BERT model and empower the generative capabilities using the fine-tuned Llama 2-Chat model and the proposed solution. As a result, the first version of a computational solution was built to consume the language models based on BERT and Llama 2-Chat and thus automatically interpret pre-conceptual schemas by computers via natural language processing, adding, at the same time, generative capabilities. The validation of the computational solution was performed in two phases: the first one for detecting sentences and interacting with pre-conceptual schemas with students in the Formal Languages and Automata Theory course-the seventh semester of the systems engineering undergraduate program at the University of Narino's Tumaco campus. The second phase was for exploring the generative capabilities based on pre-conceptual schemas; this second phase was performed with students in the Object-oriented Design course-the second semester of the systems engineering undergraduate program at the University of Narino's Tumaco campus. This validation yielded favorable results in implementing natural language processing using the BERT and Llama 2-Chat models. In this way, some bases were laid for future developments related to this research topic.</t>
  </si>
  <si>
    <t>[Insuasti, Jesus; Roa, Felipe] Univ Narino, Syst Engn Dept, Pasto 520001, Colombia; [Zapata-Jaramillo, Carlos Mario] Univ Nacl Colombia, Comp &amp; Decis Sci Dept, Medellin 050034, Colombia</t>
  </si>
  <si>
    <t>Universidad Nacional de Colombia</t>
  </si>
  <si>
    <t>Insuasti, J (corresponding author), Univ Narino, Syst Engn Dept, Pasto 520001, Colombia.</t>
  </si>
  <si>
    <t>insuasti@udenar.edu.co; feliperoa@udenar.edu.co; cmzapata@unal.edu.co</t>
  </si>
  <si>
    <t>2504-2289</t>
  </si>
  <si>
    <t>BIG DATA COGN COMPUT</t>
  </si>
  <si>
    <t>Big Data Cogn. Comput.</t>
  </si>
  <si>
    <t>Computer Science, Artificial Intelligence; Computer Science, Information Systems; Computer Science, Theory &amp; Methods</t>
  </si>
  <si>
    <t>EG8H8</t>
  </si>
  <si>
    <t>WOS:001137855700001</t>
  </si>
  <si>
    <t>Lankford, S; Afli, H; Way, A</t>
  </si>
  <si>
    <t>Lankford, Seamus; Afli, Haithem; Way, Andy</t>
  </si>
  <si>
    <t>adaptMLLM: Fine-Tuning Multilingual Language Models on Low-Resource Languages with Integrated LLM Playgrounds</t>
  </si>
  <si>
    <t>INFORMATION</t>
  </si>
  <si>
    <t>MLLMs; LLMs; multilingual language models; large language models; low-resource languages; neural machine translation; human evaluation; Irish; Marathi</t>
  </si>
  <si>
    <t>The advent of Multilingual Language Models (MLLMs) and Large Language Models (LLMs) has spawned innovation in many areas of natural language processing. Despite the exciting potential of this technology, its impact on developing high-quality Machine Translation (MT) outputs for low-resource languages remains relatively under-explored. Furthermore, an open-source application, dedicated to both fine-tuning MLLMs and managing the complete MT workflow for low-resources languages, remains unavailable. We aim to address these imbalances through the development of adaptMLLM, which streamlines all processes involved in the fine-tuning of MLLMs for MT. This open-source application is tailored for developers, translators, and users who are engaged in MT. It is particularly useful for newcomers to the field, as it significantly streamlines the configuration of the development environment. An intuitive interface allows for easy customisation of hyperparameters, and the application offers a range of metrics for model evaluation and the capability to deploy models as a translation service directly within the application. As a multilingual tool, we used adaptMLLM to fine-tune models for two low-resource language pairs: English to Irish (EN &lt;-&gt; GA) and English to Marathi (EN &lt;-&gt; MR). Compared with baselines from the LoResMT2021 Shared Task, the adaptMLLM system demonstrated significant improvements. In the EN -&gt; GA direction, an improvement of 5.2 BLEU points was observed and an increase of 40.5 BLEU points was recorded in the GA -&gt; EN direction representing relative improvements of 14% and 117%, respectively. Significant improvements in the translation performance of the EN &lt;-&gt; MR pair were also observed notably in the MR -&gt; EN direction with an increase of 21.3 BLEU points which corresponds to a relative improvement of 68%. Finally, a fine-grained human evaluation of the MLLM output on the EN -&gt; GA pair was conducted using the Multidimensional Quality Metrics and Scalar Quality Metrics error taxonomies. The application and models are freely available.</t>
  </si>
  <si>
    <t>[Lankford, Seamus; Way, Andy] Dublin City Univ, ADAPT Ctr, Sch Comp, Dublin D09 DXA0, Ireland; [Lankford, Seamus; Afli, Haithem] Munster Technol Univ, Dept Comp Sci, Cork T12 P928, Ireland</t>
  </si>
  <si>
    <t>Dublin City University</t>
  </si>
  <si>
    <t>Lankford, S (corresponding author), Dublin City Univ, ADAPT Ctr, Sch Comp, Dublin D09 DXA0, Ireland.;Lankford, S (corresponding author), Munster Technol Univ, Dept Comp Sci, Cork T12 P928, Ireland.</t>
  </si>
  <si>
    <t>seamus.lankford@mtu.ie</t>
  </si>
  <si>
    <t>Science Foundation Ireland through ADAPT Centre at Dublin City University [13/RC/2106]; Staff Doctorate Scheme at the Munster Technological University</t>
  </si>
  <si>
    <t>Science Foundation Ireland through ADAPT Centre at Dublin City University(Science Foundation Ireland); Staff Doctorate Scheme at the Munster Technological University</t>
  </si>
  <si>
    <t>This research is supported by Science Foundation Ireland through ADAPT Centre (Grant 13/RC/2106) (https://www.adaptcentre.ie, accessed on 22 November 2023) at Dublin City University. This research was also funded by the Staff Doctorate Scheme at the Munster Technological University.</t>
  </si>
  <si>
    <t>2078-2489</t>
  </si>
  <si>
    <t>Information</t>
  </si>
  <si>
    <t>10.3390/info14120638</t>
  </si>
  <si>
    <t>DG8L6</t>
  </si>
  <si>
    <t>WOS:001130965600001</t>
  </si>
  <si>
    <t>Lynch, CJ; Jensen, EJ; Zamponi, V; O'Brien, K; Frydenlund, E; Gore, R</t>
  </si>
  <si>
    <t>Lynch, Christopher J.; Jensen, Erik J.; Zamponi, Virginia; O'Brien, Kevin; Frydenlund, Erika; Gore, Ross</t>
  </si>
  <si>
    <t>A Structured Narrative Prompt for Prompting Narratives from Large Language Models: Sentiment Assessment of ChatGPT-Generated Narratives and Real Tweets</t>
  </si>
  <si>
    <t>FUTURE INTERNET</t>
  </si>
  <si>
    <t>narrative generation; simulation; large language models; natural language generation; ChatGPT; structured prompt; prompt engineering; prompt design</t>
  </si>
  <si>
    <t>NEGATIVE AFFECT; VALIDATION; PANAS</t>
  </si>
  <si>
    <t>Large language models (LLMs) excel in providing natural language responses that sound authoritative, reflect knowledge of the context area, and can present from a range of varied perspectives. Agent-based models and simulations consist of simulated agents that interact within a simulated environment to explore societal, social, and ethical, among other, problems. Simulated agents generate large volumes of data and discerning useful and relevant content is an onerous task. LLMs can help in communicating agents' perspectives on key life events by providing natural language narratives. However, these narratives should be factual, transparent, and reproducible. Therefore, we present a structured narrative prompt for sending queries to LLMs, we experiment with the narrative generation process using OpenAI's ChatGPT, and we assess statistically significant differences across 11 Positive and Negative Affect Schedule (PANAS) sentiment levels between the generated narratives and real tweets using chi-squared tests and Fisher's exact tests. The narrative prompt structure effectively yields narratives with the desired components from ChatGPT. In four out of forty-four categories, ChatGPT generated narratives which have sentiment scores that were not discernibly different, in terms of statistical significance (alpha level alpha=0.05), from the sentiment expressed in real tweets. Three outcomes are provided: (1) a list of benefits and challenges for LLMs in narrative generation; (2) a structured prompt for requesting narratives of an LLM chatbot based on simulated agents' information; (3) an assessment of statistical significance in the sentiment prevalence of the generated narratives compared to real tweets. This indicates significant promise in the utilization of LLMs for helping to connect a simulated agent's experiences with real people.</t>
  </si>
  <si>
    <t>[Lynch, Christopher J.; Zamponi, Virginia; O'Brien, Kevin; Frydenlund, Erika; Gore, Ross] Old Dominion Univ, Virginia Modeling Anal &amp; Simulat Ctr, 1030 Univ Blvd, Suffolk, VA 23435 USA; [Jensen, Erik J.] Old Dominion Univ, Computat Modeling &amp; Simulat Engn Dept, Norfolk, VA 23508 USA</t>
  </si>
  <si>
    <t>Old Dominion University; Old Dominion University</t>
  </si>
  <si>
    <t>Lynch, CJ (corresponding author), Old Dominion Univ, Virginia Modeling Anal &amp; Simulat Ctr, 1030 Univ Blvd, Suffolk, VA 23435 USA.</t>
  </si>
  <si>
    <t>cjlynch@odu.edu; ejens005@odu.edu; vzamponi@odu.edu; kobrien@odu.edu; efrydenl@odu.edu; rgore@odu.edu</t>
  </si>
  <si>
    <t>Old Dominion University</t>
  </si>
  <si>
    <t>1999-5903</t>
  </si>
  <si>
    <t>Future Internet</t>
  </si>
  <si>
    <t>10.3390/fi15120375</t>
  </si>
  <si>
    <t>DG1J7</t>
  </si>
  <si>
    <t>WOS:001130781600001</t>
  </si>
  <si>
    <t>Madyatmadja, ED; Sianipar, CPM; Wijaya, C; Sembiring, DJM</t>
  </si>
  <si>
    <t>Madyatmadja, Evaristus D.; Sianipar, Corinthias P. M.; Wijaya, Cristofer; Sembiring, David J. M.</t>
  </si>
  <si>
    <t>Classifying Crowdsourced Citizen Complaints through Data Mining: Accuracy Testing of k-Nearest Neighbors, Random Forest, Support Vector Machine, and AdaBoost</t>
  </si>
  <si>
    <t>public complaint; citizen science; crowdsourcing; sustainable city; machine learning; smart city; knowledge extraction; text mining; large language model; generative AI</t>
  </si>
  <si>
    <t>E-GOVERNMENT; CLASSIFICATION; SVM; MANAGEMENT; ALGORITHM; CHINA; KNN</t>
  </si>
  <si>
    <t>Crowdsourcing has gradually become an effective e-government process to gather citizen complaints over the implementation of various public services. In practice, the collected complaints form a massive dataset, making it difficult for government officers to analyze the big data effectively. It is consequently vital to use data mining algorithms to classify the citizen complaint data for efficient follow-up actions. However, different classification algorithms produce varied classification accuracies. Thus, this study aimed to compare the accuracy of several classification algorithms on crowdsourced citizen complaint data. Taking the case of the LAKSA app in Tangerang City, Indonesia, this study included k-Nearest Neighbors, Random Forest, Support Vector Machine, and AdaBoost for the accuracy assessment. The data were taken from crowdsourced citizen complaints submitted to the LAKSA app, including those aggregated from official social media channels, from May 2021 to April 2022. The results showed SVM with a linear kernel as the most accurate among the assessed algorithms (89.2%). In contrast, AdaBoost (base learner: Decision Trees) produced the lowest accuracy. Still, the accuracy levels of all algorithms varied in parallel to the amount of training data available for the actual classification categories. Overall, the assessments on all algorithms indicated that their accuracies were insignificantly different, with an overall variation of 4.3%. The AdaBoost-based classification, in particular, showed its large dependence on the choice of base learners. Looking at the method and results, this study contributes to e-government, data mining, and big data discourses. This research recommends that governments continuously conduct supervised training of classification algorithms over their crowdsourced citizen complaints to seek the highest accuracy possible, paving the way for smart and sustainable governance.</t>
  </si>
  <si>
    <t>[Madyatmadja, Evaristus D.; Wijaya, Cristofer] Bina Nusantara Univ, Informat Syst Dept, Jakarta 11530, Indonesia; [Sianipar, Corinthias P. M.] Kyoto Univ, Dept Global Ecol, Kyoto 6068501, Japan; [Sianipar, Corinthias P. M.] Kyoto Univ, Div Environm Sci &amp; Technol, Sakyo Ku, Kyoto 6068502, Japan; [Sembiring, David J. M.] Indonesian Inst Technol &amp; Business ITBI, Deli Serdang 20374, Indonesia</t>
  </si>
  <si>
    <t>Universitas Bina Nusantara; Kyoto University; Kyoto University</t>
  </si>
  <si>
    <t>Madyatmadja, ED (corresponding author), Bina Nusantara Univ, Informat Syst Dept, Jakarta 11530, Indonesia.;Sianipar, CPM (corresponding author), Kyoto Univ, Dept Global Ecol, Kyoto 6068501, Japan.;Sianipar, CPM (corresponding author), Kyoto Univ, Div Environm Sci &amp; Technol, Sakyo Ku, Kyoto 6068502, Japan.</t>
  </si>
  <si>
    <t>emadyatmadja@binus.edu; iam@cpmsianipar.com</t>
  </si>
  <si>
    <t>Sianipar, Corinthias P. M./J-4952-2012</t>
  </si>
  <si>
    <t>Sianipar, Corinthias P. M./0000-0003-0718-6162</t>
  </si>
  <si>
    <t>Research and Technology Transfer Office (RTTO), Bina Nusantara University</t>
  </si>
  <si>
    <t>The authors would like to thank the government officers of Tangerang City for their help in the acquisition of the crowdsourced citizen complaint data used in this research.</t>
  </si>
  <si>
    <t>10.3390/informatics10040084</t>
  </si>
  <si>
    <t>DF4G2</t>
  </si>
  <si>
    <t>WOS:001130595500001</t>
  </si>
  <si>
    <t>So, RTY; Chu, DKW; Hui, KPY; Mok, CKP; Shum, MHH; Sanyal, S; Nicholls, JM; Ho, JCW; Cheung, MC; Ng, KC; Yeung, HW; Chan, MCW; Poon, LLM; Zhao, JC; Lam, TTY; Peiris, M</t>
  </si>
  <si>
    <t>So, Ray T. Y.; Chu, Daniel K. W.; Hui, Kenrie P. Y.; Mok, Chris K. P.; Shum, Marcus H. H.; Sanyal, Sumana; Nicholls, John M.; Ho, John C. W.; Cheung, Man-chun; Ng, Ka-chun; Yeung, Hin-Wo; Chan, Michael C. W.; Poon, Leo L. M.; Zhao, Jincun; Lam, Tommy T. Y.; Peiris, Malik</t>
  </si>
  <si>
    <t>Amino acid substitution L232F in non-structural protein 6 identified as a possible human-adaptive mutation in clade B MERS coronaviruses</t>
  </si>
  <si>
    <t>JOURNAL OF VIROLOGY</t>
  </si>
  <si>
    <t>MERS-CoV; coronavirus; virus evolution; nsp6</t>
  </si>
  <si>
    <t>RESPIRATORY SYNDROME CORONAVIRUS; DROMEDARY CAMELS; OUTBREAK</t>
  </si>
  <si>
    <t>Middle East respiratory syndrome coronavirus (MERS-CoV) causes zoonotic disease. Dromedary camels are the source of zoonotic infection. We performed sequence analysis of clade B MERS-CoV after excluding potential bias arising multiple sequences from a single zoonotic transmission chain and identified a substitution of amino acid leucine to phenylalanine in the codon 232 position of the non-structural protein 6 (nsp6) (nsp6 L232F) that occurs preferentially in human clade B MERS-CoV, with a rate of 16.9% (20/118) in human sequences vs a 0.6% (1/160) in camel sequences. Using a human clade B MERS-CoV strain GD01 as backbone, we generated a pair of isogenic recombinant MERS-CoV with nsp6 232L and 232F residues, respectively, and showed that the nsp6 L232F substitution confers higher replication competence in ex vivo culture of human nasal and bronchial tissues and in lungs of mice experimentally infected in vivo. Mechanistically, the nsp6 L232F substitution was found to associate with higher exocytic virus egress, while innate immune responses, autophagic restriction, and zippering activity of the endoplasmic reticulum remained unaffected. Our study suggests an adaptive mutation that occurs in clade B MERS-CoV associated with inter-species transmission to humans that may facilitate higher viral replication in the human respiratory tract. This highlights the importance of MERS-CoV as a zoonotic threat and the need for continued virus surveillance in camels and humans.IMPORTANCEViral host adaptation plays an important role in inter-species transmission of coronaviruses and influenza viruses. Multiple human-adaptive mutations have been identified in influenza viruses but not so far in MERS-CoV that circulates widely in dromedary camels in the Arabian Peninsula leading to zoonotic transmission. Here, we analyzed clade B MERS-CoV sequences and identified an amino acid substitution L232F in nsp6 that repeatedly occurs in human MERS-CoV. Using a loss-of-function reverse genetics approach, we found the nsp6 L232F conferred increased viral replication competence in vitro, in cultures of the upper human respiratory tract ex vivo, and in lungs of mice infected in vivo. Our results showed that nsp6 L232F may be an adaptive mutation associated with zoonotic transmission of MERS-CoV. This study highlighted the capacity of MERS-CoV to adapt to transmission to humans and also the need for continued surveillance of MERS-CoV in camels. Viral host adaptation plays an important role in inter-species transmission of coronaviruses and influenza viruses. Multiple human-adaptive mutations have been identified in influenza viruses but not so far in MERS-CoV that circulates widely in dromedary camels in the Arabian Peninsula leading to zoonotic transmission. Here, we analyzed clade B MERS-CoV sequences and identified an amino acid substitution L232F in nsp6 that repeatedly occurs in human MERS-CoV. Using a loss-of-function reverse genetics approach, we found the nsp6 L232F conferred increased viral replication competence in vitro, in cultures of the upper human respiratory tract ex vivo, and in lungs of mice infected in vivo. Our results showed that nsp6 L232F may be an adaptive mutation associated with zoonotic transmission of MERS-CoV. This study highlighted the capacity of MERS-CoV to adapt to transmission to humans and also the need for continued surveillance of MERS-CoV in camels.</t>
  </si>
  <si>
    <t>[So, Ray T. Y.; Chu, Daniel K. W.; Hui, Kenrie P. Y.; Shum, Marcus H. H.; Ho, John C. W.; Cheung, Man-chun; Ng, Ka-chun; Yeung, Hin-Wo; Chan, Michael C. W.; Poon, Leo L. M.; Lam, Tommy T. Y.; Peiris, Malik] Univ Hong Kong, Li Ka Shing Fac Med, Sch Publ Hlth, Pokfulam, Hong Kong, Peoples R China; [So, Ray T. Y.; Poon, Leo L. M.; Peiris, Malik] Univ Hong Kong, Li Ka Shing Fac Med, Sch Publ Hlth, HKU Pasteur Res Pole, Hong Kong, Peoples R China; [Chu, Daniel K. W.] UK Hlth Secur Agcy, London, England; [Mok, Chris K. P.] Chinese Univ Hong Kong, Jockey Club Sch Publ Hlth &amp; Primary Care, Hong Kong, Peoples R China; [Mok, Chris K. P.] Chinese Univ Hong Kong, Li Ka Shing Inst Hlth Sci, Fac Med, Hong Kong, Peoples R China; [Sanyal, Sumana] Univ Oxford, Sir William Dunn Sch Pathol, Oxford, England; [Nicholls, John M.] Univ Hong Kong, Li Ka Shing Fac Med, Dept Pathol, Pokfulam, Hong Kong, Peoples R China; [Zhao, Jincun] Guangzhou Med Univ, Affiliated Hosp 1, Guangzhou Inst Resp Hlth, Natl Clin Res Ctr Resp Dis,State Key Lab Resp Dis, Guangzhou, Peoples R China</t>
  </si>
  <si>
    <t>University of Hong Kong; University of Hong Kong; UK Health Security Agency (UKHSA); Chinese University of Hong Kong; Chinese University of Hong Kong; University of Oxford; University of Hong Kong; State Key Laboratory of Respiratory Disease; Guangzhou Medical University</t>
  </si>
  <si>
    <t>Peiris, M (corresponding author), Univ Hong Kong, Li Ka Shing Fac Med, Sch Publ Hlth, Pokfulam, Hong Kong, Peoples R China.;Peiris, M (corresponding author), Univ Hong Kong, Li Ka Shing Fac Med, Sch Publ Hlth, HKU Pasteur Res Pole, Hong Kong, Peoples R China.</t>
  </si>
  <si>
    <t>malik@hku.hk</t>
  </si>
  <si>
    <t>Health and Medical Research Fund (HMRF); University of Hong Kong</t>
  </si>
  <si>
    <t>Health and Medical Research Fund (HMRF); University of Hong Kong(University of Hong Kong)</t>
  </si>
  <si>
    <t>We acknowledge Prof. Stanley Perlman for providing critical comments on results of this study and Dr. Eric H.Y. Lau for advice on statistical analysis. We acknowledge Mr. Garrick Yip and Dr. Tomas Lyu for the technical discussion on generating the mutagenesis in pBAC. We acknowledge the Centre for PanorOmic Sciences, the University of Hong Kong, for the technical support of the confocal system.</t>
  </si>
  <si>
    <t>AMER SOC MICROBIOLOGY</t>
  </si>
  <si>
    <t>WASHINGTON</t>
  </si>
  <si>
    <t>1752 N ST NW, WASHINGTON, DC 20036-2904 USA</t>
  </si>
  <si>
    <t>0022-538X</t>
  </si>
  <si>
    <t>1098-5514</t>
  </si>
  <si>
    <t>J VIROL</t>
  </si>
  <si>
    <t>J. Virol.</t>
  </si>
  <si>
    <t>10.1128/jvi.01369-23</t>
  </si>
  <si>
    <t>Virology</t>
  </si>
  <si>
    <t>CK8S6</t>
  </si>
  <si>
    <t>Green Published, hybrid</t>
  </si>
  <si>
    <t>WOS:001112203200004</t>
  </si>
  <si>
    <t>Tavares, C; Oliveira, L; Duarte, P; da Silva, MM</t>
  </si>
  <si>
    <t>Tavares, Celia; Oliveira, Luciana; Duarte, Pedro; da Silva, Manuel Moreira</t>
  </si>
  <si>
    <t>artificial intelligence; neural machine translation; large language models; language service providers; translators; interpreters</t>
  </si>
  <si>
    <t>According to a recent study by OpenAI, Open Research, and the University of Pennsylvania, large language models (LLMs) based on artificial intelligence (AI), such as generative pretrained transformers (GPTs), may have potential implications for the job market, specifically regarding occupations that demand writing or programming skills. This research points out that interpreters and translators are one of the main occupations with greater exposure to AI in the US job market (76.5%), in a trend that is expected to affect other regions of the globe. This article, following a mixed-methods survey-based research approach, provides insights into the awareness and knowledge about AI among Portuguese language service providers (LSPs), specifically regarding neural machine translation (NMT) and large language models (LLM), their actual use and usefulness, as well as their potential influence on work performance and the labour market. The results show that most professionals are unable to identify whether AI and/or automation technologies support the tools that are most used in the profession. The usefulness of AI is essentially low to moderate and the professionals who are less familiar with it and less knowledgeable also demonstrate a lack of trust in it. Two thirds of the sample estimate negative or very negative effects of AI in their profession, expressing the devaluation and replacement of experts, the reduction of income, and the reconfiguration of the career of translator to mere post-editors as major concerns.</t>
  </si>
  <si>
    <t>[Tavares, Celia; Oliveira, Luciana; Duarte, Pedro; da Silva, Manuel Moreira] Polytech Porto, CEOSPP, ISCAP, P-4465004 Porto, Portugal</t>
  </si>
  <si>
    <t>Oliveira, L (corresponding author), Polytech Porto, CEOSPP, ISCAP, P-4465004 Porto, Portugal.</t>
  </si>
  <si>
    <t>celiat@iscap.ipp.pt; lgo@eu.ipp.pt; pduarte@iscap.ipp.pt; mdasilva@iscap.ipp.pt</t>
  </si>
  <si>
    <t>FCT-Fundao para a Cincia e Tecnologia</t>
  </si>
  <si>
    <t>DG9K4</t>
  </si>
  <si>
    <t>WOS:001130992000001</t>
  </si>
  <si>
    <t>Waller, K; Del Villar, K; Willmott, L; White, BP</t>
  </si>
  <si>
    <t>Waller, Katherine; Del Villar, Katrine; Willmott, Lindy; White, Ben P.</t>
  </si>
  <si>
    <t>VOLUNTARY ASSISTED DYING IN AUSTRALIA: A COMPARATIVE AND CRITICAL ANALYSIS OF STATE LAWS</t>
  </si>
  <si>
    <t>UNIVERSITY OF NEW SOUTH WALES LAW JOURNAL</t>
  </si>
  <si>
    <t>In the last five years, voluntary assisted dying ('VAD') has been legalised in all six Australian states, after more than two decades of unsuccessful law reform efforts. After Victoria first legalised VAD, other Australian states largely followed the Victorian framework. The resultant 'Australian model' of VAD is highly prescriptive and includes narrow eligibility requirements, a highly regulated request and assessment process, pre-authorisation before administration of VAD in four states, and contemporaneous reporting throughout the process. However, in light of the early Victorian experience, some state laws have significantly departed from the Victorian model: notably introducing more flexible eligibility criteria, different criteria to choose practitioner administration of VAD, and provisions regulating non participation by facilities. This article compares and evaluates the key variations between Australian VAD laws and identifies opportunities for reform, which may inform the legislatively mandated reviews of each state's VAD laws and potential law reform in the territories.</t>
  </si>
  <si>
    <t>[Waller, Katherine; Del Villar, Katrine; Willmott, Lindy] Queensland Univ Technol, Fac Business &amp; Law, Australian Ctr Hlth Law Res, Brisbane, Australia; [White, Ben P.] Queensland Univ Technol, Fac Business &amp; Law, Australian Ctr Hlth Law Res, End Of Life Law &amp; Regulat, Brisbane, Australia</t>
  </si>
  <si>
    <t>Queensland University of Technology (QUT); Queensland University of Technology (QUT)</t>
  </si>
  <si>
    <t>Waller, K (corresponding author), Queensland Univ Technol, Fac Business &amp; Law, Australian Ctr Hlth Law Res, Brisbane, Australia.</t>
  </si>
  <si>
    <t>Australian Research Council Future Fellowship [FT190100410]; Australian Government</t>
  </si>
  <si>
    <t>Australian Research Council Future Fellowship(Australian Research Council); Australian Government(Australian Government)</t>
  </si>
  <si>
    <t>Lindy Willmott, BCom (UQ), LLB (Hons) (UQ), LLM (Cambridge), PhD (QUT); Professor, Australian Centre for Health Law Research, Faculty of Business and Law, Queensland University of Technology.**** Ben P White, LLB (Hons) (QUT), DPhil (Oxford); Professor of End-of-Life Law and Regulation, Australian Centre for Health Law Research, Faculty of Business and Law, Queensland University of Technology. He is supported by an Australian Research Council Future Fellowship (project number FT190100410) 'Enhancing End-of-Life Decision-Making: Optimal Regulation of Voluntary Assisted Dying', funded by the Australian Government</t>
  </si>
  <si>
    <t>UNIV NEW SOUTH WALES, FAC LAW</t>
  </si>
  <si>
    <t>KENSINGTON</t>
  </si>
  <si>
    <t>PO BOX 1, KENSINGTON, NSW 2033, AUSTRALIA</t>
  </si>
  <si>
    <t>0313-0096</t>
  </si>
  <si>
    <t>1839-2881</t>
  </si>
  <si>
    <t>U NSW LAW J</t>
  </si>
  <si>
    <t>Univ. NSW Law J.</t>
  </si>
  <si>
    <t>CL5B7</t>
  </si>
  <si>
    <t>WOS:001125409100007</t>
  </si>
  <si>
    <t>Wei, Y; Hou, YY</t>
  </si>
  <si>
    <t>Wei, Yu; Hou, Yueyuan</t>
  </si>
  <si>
    <t>Forest Visitors' Multisensory Perception and Restoration Effects: A Study of China's National Forest Parks by Introducing Generative Large Language Model</t>
  </si>
  <si>
    <t>FORESTS</t>
  </si>
  <si>
    <t>multisensory perception; restoration effects; forest recreation; generative large language model; National Forest Parks</t>
  </si>
  <si>
    <t>SENSE; ENVIRONMENTS; GREEN</t>
  </si>
  <si>
    <t>Sensory perception of forests is closely related to human health and well-being. Based on attention recovery theory and stress relief theory, this paper investigates the influence of sensory perception of forests on visitors' restoration effects from a multidimensional and multisensory perspective, integrating the use of a generative large language model, regression analysis, and semantic analysis. The results of the study show that (1) the application of a generative large language model provides new ideas and methods to solve the dilemma caused by the traditional self-report scale measurement and provides a possible way to explore a new research paradigm in the context of the rapid development of generative artificial intelligence; (2) the effects of each sensory quantity differed, with the sensory quantities of sight, hearing, touch, and taste having a significant positive effect on visitors' restoration effects, and the sense of smell having a significant negative effect on visitors' restoration effects; (3) sensory psychological distance partially had a significant effect on visitors' restoration effects, both proximal psychological distance and distal psychological distance were significantly correlated with visitors' restoration effects, and intermediate psychological distance had a negative effect on visitors' restoration effects, but the effect was not significant; (4) the sensory dimension has a significant positive effect on visitors' restoration effects, the integration and synergistic effect of the senses are enhanced, and multidimensional sensory cross-perception has a positive effect on visitors' restoration effects at the social health level; and (5) the sensory elements of National Forest Parks that influence visitors' restoration effects are mainly natural attributes, and the elements related to people also play an important role in visitors' restoration effects. This study provides a useful complement to the study of forest sensory perception, and at the same time has an important reference value for exploring the management of forest recreation experience and sensory marketing practices.</t>
  </si>
  <si>
    <t>[Wei, Yu] Nanjing Forestry Univ, Coll Econ &amp; Management, Nanjing 210037, Peoples R China; [Wei, Yu] NJFU Acad Chinese Ecol Progress &amp; Forestry Dev Stu, Nanjing 210037, Peoples R China; [Hou, Yueyuan] Swarma Res Ctr, Beijing 102300, Peoples R China</t>
  </si>
  <si>
    <t>Nanjing Forestry University</t>
  </si>
  <si>
    <t>Wei, Y (corresponding author), Nanjing Forestry Univ, Coll Econ &amp; Management, Nanjing 210037, Peoples R China.;Wei, Y (corresponding author), NJFU Acad Chinese Ecol Progress &amp; Forestry Dev Stu, Nanjing 210037, Peoples R China.</t>
  </si>
  <si>
    <t>weiyutour@njfu.edu.com; houyy.cm@gmail.com</t>
  </si>
  <si>
    <t>Nanjing Forestry University Metasequoia Research Fund</t>
  </si>
  <si>
    <t>1999-4907</t>
  </si>
  <si>
    <t>Forests</t>
  </si>
  <si>
    <t>10.3390/f14122412</t>
  </si>
  <si>
    <t>Forestry</t>
  </si>
  <si>
    <t>DG4W5</t>
  </si>
  <si>
    <t>WOS:001130872500001</t>
  </si>
  <si>
    <t>Ock, J; Guntuboina, C; Farimani, AB</t>
  </si>
  <si>
    <t>Ock, Janghoon; Guntuboina, Chakradhar; Farimani, Amir Barati</t>
  </si>
  <si>
    <t>Catalyst Energy Prediction with CatBERTa: Unveiling Feature Exploration Strategies through Large Language Models</t>
  </si>
  <si>
    <t>ACS CATALYSIS</t>
  </si>
  <si>
    <t>computational catalysis; catalyst screening; renewable energy; machine learning; Transformer; large language model</t>
  </si>
  <si>
    <t>DESIGN</t>
  </si>
  <si>
    <t>Efficient catalyst screening necessitates predictive models for adsorption energy, which is a key descriptor of reactivity. Prevailing methods, notably graph neural networks (GNNs), demand precise atomic coordinates for constructing graph representations, while the integration of observable attributes remains challenging. This research introduces CatBERTa, an energy prediction Transformer model that uses textual inputs. Built on a Transformer encoder pretrained for language modeling purposes, CatBERTa processes human-interpretable text, incorporating target features. Attention score analysis reveals CatBERTa's focus on tokens related to adsorbates, bulk composition, and their interacting atoms. Moreover, interacting atoms emerge as effective descriptors for adsorption configurations, while factors such as the bond length and atomic properties of these atoms offer limited predictive contributions. In predicting the adsorption energy from textual representations of initial structures, CatBERTa exhibits a precision comparable to that of conventional GNNs. Notably, in subsets recognized for their high accuracy with GNNs, CatBERTa consistently achieves a mean absolute error of 0.35 eV. Furthermore, the subtraction of the CatBERTa-predicted energies effectively cancels out their systematic errors by as much as 19.3% for chemically similar systems, surpassing the error reduction observed in GNNs. This outcome highlights its potential to enhance the accuracy of the energy difference predictions. This research establishes a fundamental framework for text-based catalyst property prediction without relying on graph representations while also unveiling intricate feature-property relationships.</t>
  </si>
  <si>
    <t>[Ock, Janghoon] Carnegie Mellon Univ, Dept Chem Engn, Pittsburgh, PA 15213 USA; [Guntuboina, Chakradhar] Carnegie Mellon Univ, Dept Elect &amp; Comp Engn, Pittsburgh, PA 15213 USA; [Farimani, Amir Barati] Carnegie Mellon Univ, Dept Mech Engn, Pittsburgh, PA 15213 USA</t>
  </si>
  <si>
    <t>Farimani, AB (corresponding author), Carnegie Mellon Univ, Dept Mech Engn, Pittsburgh, PA 15213 USA.</t>
  </si>
  <si>
    <t>barati@cmu.edu</t>
  </si>
  <si>
    <t>Barati Farimani, Amir/0000-0002-2952-8576</t>
  </si>
  <si>
    <t>Carnegie Mellon University; Bradford and Diane Smith Fellowship</t>
  </si>
  <si>
    <t>The authors acknowledge the Bradford and Diane Smith Fellowship for their pivotal funding support. Additionally, the authors express gratitude to Rishikesh Magar and Yayati Jadhav for enlightening discussions on Transformer-based models and commend Brook Wander for her valuable guidance in analyzing the Open Catalyst 2020 data set.</t>
  </si>
  <si>
    <t>AMER CHEMICAL SOC</t>
  </si>
  <si>
    <t>1155 16TH ST, NW, WASHINGTON, DC 20036 USA</t>
  </si>
  <si>
    <t>2155-5435</t>
  </si>
  <si>
    <t>ACS CATAL</t>
  </si>
  <si>
    <t>ACS Catal.</t>
  </si>
  <si>
    <t>NOV 30</t>
  </si>
  <si>
    <t>10.1021/acscatal.3c04956</t>
  </si>
  <si>
    <t>Chemistry, Physical</t>
  </si>
  <si>
    <t>Chemistry</t>
  </si>
  <si>
    <t>EU1X4</t>
  </si>
  <si>
    <t>WOS:001141366800001</t>
  </si>
  <si>
    <t>Kirwan, A</t>
  </si>
  <si>
    <t>Kirwan, Adrian</t>
  </si>
  <si>
    <t>IRISH EDUCATIONAL STUDIES</t>
  </si>
  <si>
    <t>ChatGPT; Large Language Models; Academic integrity; Assessment</t>
  </si>
  <si>
    <t>Since its arrival in late 2022, ChatGPT has occupied the minds of academics, administrators and students. Reactions to the emergence of Large Language Models (LLMs) have varied but significant anxieties about their impact on assessment have arisen. To address these concerns, this article serves three purposes; firstly, it seeks to gauge the discourse surrounding Large Language Models (LLMs) focusing on ChatGPT. In doing so, it explores general and academic responses to the technology and the challenges/opportunities that have been identified. Secondly, and building on this, it provides an overview of ChatGPT in action and seeks to moderate fears raised by some of the extreme claims that have been made about the potential of this technology. Finally, the article uses a case study to discuss the introduction of this technology to a group of first-year undergraduate students, offering guidance on how the topic of LLMs might be broached. It concludes by suggesting that while the technology has the ability to offer assistance in the completion of academic assessment, it does not replace the higher thinking skills that are central to teaching, learning and assessment in higher education. In turn, arguing that these must be central to assessment practices.</t>
  </si>
  <si>
    <t>[Kirwan, Adrian] Maynooth Univ, Crit Skills, Off Dean Teaching &amp; Learning, Maynooth, Ireland; [Kirwan, Adrian] Maynooth Univ, Crit Skills, Off theDean Teaching &amp; Learning, Room 8,Rowan House, Maynooth, Ireland</t>
  </si>
  <si>
    <t>Maynooth University; Maynooth University</t>
  </si>
  <si>
    <t>Kirwan, A (corresponding author), Maynooth Univ, Crit Skills, Off theDean Teaching &amp; Learning, Room 8,Rowan House, Maynooth, Ireland.</t>
  </si>
  <si>
    <t>adrian.kirwan@mu.ie</t>
  </si>
  <si>
    <t>0332-3315</t>
  </si>
  <si>
    <t>1747-4965</t>
  </si>
  <si>
    <t>IRISH EDUC STUD</t>
  </si>
  <si>
    <t>2023 NOV 24</t>
  </si>
  <si>
    <t>NOV 2023</t>
  </si>
  <si>
    <t>Y5HU4</t>
  </si>
  <si>
    <t>WOS:001105574000001</t>
  </si>
  <si>
    <t>Simon, FM</t>
  </si>
  <si>
    <t>Simon, Felix M.</t>
  </si>
  <si>
    <t>Escape Me If You Can: How AI Reshapes News Organisations' Dependency on Platform Companies</t>
  </si>
  <si>
    <t>DIGITAL JOURNALISM</t>
  </si>
  <si>
    <t>AI; artificial intelligence; autonomy; isomorphism; journalism; LLM; news; platforms</t>
  </si>
  <si>
    <t>MEDIA</t>
  </si>
  <si>
    <t>Platform companies play a crucial role in the creation, dissemination, and business of news. They are also central actors in artificial intelligence (AI) which has led some to argue that the increasing use of AI in journalism may heighten the news industry's dependence on platform companies. This article evaluates this argument. Drawing on 121 interviews with news workers at 33 leading publishers in the US, UK, and Germany, as well as 31 expert interviews, and secondary material it finds that AI reshapes the dependency of publishers on platform companies by exacerbating existing dependencies in distribution and creating new dependencies in production. News organisations rely on platforms for AI for various reasons, such as high development costs, lack of resources, and varying visions over their mission. The findings show that while increasing dependence on platforms is acknowledged, there is disagreement over its extent and impact. The reliance on platforms' AI shows isomorphic tendencies and potentially limits publishers' autonomy.</t>
  </si>
  <si>
    <t>[Simon, Felix M.] Univ Oxford, Oxford Internet Inst, Oxford, England</t>
  </si>
  <si>
    <t>University of Oxford</t>
  </si>
  <si>
    <t>Simon, FM (corresponding author), Univ Oxford, Oxford Internet Inst, Oxford, England.</t>
  </si>
  <si>
    <t>felix.simon@oii.ox.ac.uk</t>
  </si>
  <si>
    <t>Leverhulme Trust; OII-Dieter Schwarz Scholarship; Knight News Innovation Fellowship at Columbia University's Tow Centre for Digital Journalism; Minderoo-Oxford Challenge Fund in AI Governance</t>
  </si>
  <si>
    <t>Leverhulme Trust(Leverhulme Trust); OII-Dieter Schwarz Scholarship; Knight News Innovation Fellowship at Columbia University's Tow Centre for Digital Journalism; Minderoo-Oxford Challenge Fund in AI Governance</t>
  </si>
  <si>
    <t>The author would like to thank the Leverhulme Trust and the OII-Dieter Schwarz Scholarship for supporting his doctoral studies. As well, the author gratefully acknowledges support for this article from a Knight News Innovation Fellowship at Columbia University's Tow Centre for Digital Journalism and the Minderoo-Oxford Challenge Fund in AI Governance. Any opinions, findings, and conclusions or recommendations expressed in this material are those of the author and do not necessarily reflect the views of these bodies.</t>
  </si>
  <si>
    <t>2167-0811</t>
  </si>
  <si>
    <t>2167-082X</t>
  </si>
  <si>
    <t>DIGIT JOURNAL</t>
  </si>
  <si>
    <t>Digit. Journal.</t>
  </si>
  <si>
    <t>10.1080/21670811.2023.2287464</t>
  </si>
  <si>
    <t>Communication</t>
  </si>
  <si>
    <t>WOS:001151613600001</t>
  </si>
  <si>
    <t>Sandnes, FE</t>
  </si>
  <si>
    <t>Sandnes, Frode Eika</t>
  </si>
  <si>
    <t>Can we identify prominent scholars using ChatGPT?</t>
  </si>
  <si>
    <t>SCIENTOMETRICS</t>
  </si>
  <si>
    <t>Evaluating; Research impact; Research visibility; ChatGPT; Large language models; Scientometrics; Bibliometrics</t>
  </si>
  <si>
    <t>It may be tempting to learn about scholars using ChatGPT. To validate ChatGPT for this task a small experiment was conducted based on the 50 most cited researchers at the author's university. The results show that ChatGPT (GPT-3.5) only recognized an adhoc subset of the scholars with no obvious connection to the respective authors' citation attributes or internet footprint. Moreover, details about the recognized scholars were often erroneous.</t>
  </si>
  <si>
    <t>[Sandnes, Frode Eika] Oslo Metropolitan Univ, Dept Comp Sci, N-0130 Oslo, Norway</t>
  </si>
  <si>
    <t>Oslo Metropolitan University (OsloMet)</t>
  </si>
  <si>
    <t>Sandnes, FE (corresponding author), Oslo Metropolitan Univ, Dept Comp Sci, N-0130 Oslo, Norway.</t>
  </si>
  <si>
    <t>frodes@oslomet.no</t>
  </si>
  <si>
    <t>Sandnes, Frode Eika/0000-0001-7781-748X</t>
  </si>
  <si>
    <t>0138-9130</t>
  </si>
  <si>
    <t>1588-2861</t>
  </si>
  <si>
    <t>Scientometrics</t>
  </si>
  <si>
    <t>10.1007/s11192-023-04882-4</t>
  </si>
  <si>
    <t>Computer Science, Interdisciplinary Applications; Information Science &amp; Library Science</t>
  </si>
  <si>
    <t>Computer Science; Information Science &amp; Library Science</t>
  </si>
  <si>
    <t>ES5M9</t>
  </si>
  <si>
    <t>WOS:001107757700001</t>
  </si>
  <si>
    <t>Seong, B; Song, K</t>
  </si>
  <si>
    <t>Seong, Baekryun; Song, Kyungwoo</t>
  </si>
  <si>
    <t>Sentiment analysis of online responses in the performing arts with large language models</t>
  </si>
  <si>
    <t>HELIYON</t>
  </si>
  <si>
    <t>Opinion mining is a technique extracting and analyzing people's opinions from online communities, and sentiment analysis is a kind of opinion mining analyzing attitudes of people toward an object, whether positive, negative, or neutral. Sentiment analysis has evolved alongside natural language processing models and applied to targets such as movie reviews. However, the performing arts have not been subjected to sentiment analysis as movie reviews, despite the apparent need for it. In this study, we used the Korean Funnel Transformer11 language model to perform sentiment analysis on performing arts. This study looks at people's reactions to performing arts in online communities, not just whether they agree or disagree, and shows the problems with applying existing sentiment analysis to performing arts.</t>
  </si>
  <si>
    <t>[Seong, Baekryun] Univ Seoul, Dept Artificial Intelligence, Seoul, South Korea; [Song, Kyungwoo] Yonsei Univ, Dept Stat &amp; Data Sci, Dept Appl Stat, Seoul, South Korea</t>
  </si>
  <si>
    <t>University of Seoul; Yonsei University</t>
  </si>
  <si>
    <t>Song, K (corresponding author), Yonsei Univ, Dept Stat &amp; Data Sci, Dept Appl Stat, Seoul, South Korea.</t>
  </si>
  <si>
    <t>sizzflair97@gmail.com; kyungwoo.song@yonsei.ac.kr</t>
  </si>
  <si>
    <t>National Research Foundation of Korea (NRF) - Korea government (MSIT) [2021R1F1A1060117, 2022R1A4A3033874]; Ministry of Food and Drug Safety; Yonsei University [22183MFDS431]; [2023-22-0123]</t>
  </si>
  <si>
    <t>National Research Foundation of Korea (NRF) - Korea government (MSIT)(National Research Foundation of KoreaMinistry of Science, ICT &amp; Future Planning, Republic of KoreaMinistry of Science &amp; ICT (MSIT), Republic of Korea); Ministry of Food and Drug Safety(Ministry of Food &amp; Drug Safety (MFDS), Republic of Korea); Yonsei University;</t>
  </si>
  <si>
    <t>This work was supported by the National Research Foundation of Korea (NRF) grant funded by the Korea government (MSIT) (No.2021R1F1A1060117 and No.2022R1A4A3033874) , and also supported by a grant (22183MFDS431) from Ministry of Food and Drug Safety in 2023, and also supported by the Yonsei University Research Fund of 2023-22-0123.</t>
  </si>
  <si>
    <t>2405-8440</t>
  </si>
  <si>
    <t>Heliyon</t>
  </si>
  <si>
    <t>e22457</t>
  </si>
  <si>
    <t>10.1016/j.heliyon.2023.e22457</t>
  </si>
  <si>
    <t>CU8X1</t>
  </si>
  <si>
    <t>WOS:001127852800001</t>
  </si>
  <si>
    <t>Guo, Y; Lee, D</t>
  </si>
  <si>
    <t>Guo, Ying; Lee, Daniel</t>
  </si>
  <si>
    <t>JOURNAL OF CHEMICAL EDUCATION</t>
  </si>
  <si>
    <t>General Public; First-Year Undergraduate/General; Curriculum; Interdisciplinary/Multidisciplinary; Computer-Based Learning; Internet/Web-Based Learning; Student-Centered Learning</t>
  </si>
  <si>
    <t>EDUCATION</t>
  </si>
  <si>
    <t>This article presents a study conducted at Georgia Gwinnett College (GGC) to explore the use of ChatGPT, a large language model, for fostering critical thinking skills in higher education. The study implemented a ChatGPT-based activity in introductory chemistry courses, where students engaged with ChatGPT in three stages: account setup and orientation, essay creation, and output revision and validation. The results showed significant improvements in students' confidence to ask insightful questions, analyze information, and comprehend complex concepts. Students reported that ChatGPT provided diverse perspectives and challenged their current ways of thinking. They also expressed an increased utilization of ChatGPT to enhance critical thinking skills and a willingness to recommend it to others. However, challenges included low-quality student comments and difficulties in validating information sources. The study highlights the importance of comprehensive training for educators and access to reliable resources. Future research should focus on training educators in integrating ChatGPT effectively and ensuring student awareness of privacy and security considerations. In conclusion, this study provides valuable insights for leveraging AI technologies like ChatGPT to foster critical thinking skills in higher education.</t>
  </si>
  <si>
    <t>[Guo, Ying] Georgia Gwinnett Coll, Sch Sci &amp; Technol, Dept Chem, Lawrenceville, GA 30043 USA; [Lee, Daniel] George Walton Comprehens High Sch, STEM Acad, Marietta, GA 30062 USA</t>
  </si>
  <si>
    <t>University System of Georgia; Georgia Gwinnett College</t>
  </si>
  <si>
    <t>Guo, Y (corresponding author), Georgia Gwinnett Coll, Sch Sci &amp; Technol, Dept Chem, Lawrenceville, GA 30043 USA.</t>
  </si>
  <si>
    <t>yguo1@ggc.edu</t>
  </si>
  <si>
    <t>Guo, Ying/0000-0002-0343-1207</t>
  </si>
  <si>
    <t>0021-9584</t>
  </si>
  <si>
    <t>1938-1328</t>
  </si>
  <si>
    <t>J CHEM EDUC</t>
  </si>
  <si>
    <t>J. Chem. Educ.</t>
  </si>
  <si>
    <t>NOV 20</t>
  </si>
  <si>
    <t>Chemistry, Multidisciplinary; Education, Scientific Disciplines</t>
  </si>
  <si>
    <t>Chemistry; Education &amp; Educational Research</t>
  </si>
  <si>
    <t>CK7K9</t>
  </si>
  <si>
    <t>WOS:001125210200001</t>
  </si>
  <si>
    <t>Wang, JW</t>
  </si>
  <si>
    <t>Wang, Jiawen</t>
  </si>
  <si>
    <t>Joinder Mechanism in International Commercial Arbitration: A Trend in the Digital Age?</t>
  </si>
  <si>
    <t>INTERNATIONAL JOURNAL FOR THE SEMIOTICS OF LAW-REVUE INTERNATIONALE DE SEMIOTIQUE JURIDIQUE</t>
  </si>
  <si>
    <t>International Commercial Arbitration; Joinder; Multi-party Dispute; Digitalisation</t>
  </si>
  <si>
    <t>In recent years, the phenomenal development and application of technology have given rise to new means and forms of international commercial dispute resolution. In particular, in the post-COVID era, the demand for efficient, flexible and cost-saving dispute resolution methods has increased significantly. Therefore, technology-enabled digital methods such as online arbitration, have become more widely accepted and applied. At the same time, globalisation has turned international commercial disputes increasingly complex, which often involves the interests of third parties. According to data released by arbitral institutes, about 40% of arbitration cases worldwide involve more than two parties. As there is an increasing number of multi-party arbitration cases, multi-party dispute resolution mechanisms have played a more prominent role in such circumstances. Digitalisation and globalisation have facilitated multi-party projects, but they have also inevitably increased risks in multi-party disputes. For instance, arbitration is a business-friendly process, but the consensual nature of arbitration does not easily accommodate multi-party disputes. Although digitalisation in the conduction of arbitrations has made it more efficient and increased the access of multi-party commercial disputes to resolution, it still has not helped arbitration overcome the basis of party's consent. This paper will examine the joinder mechanism in international commercial arbitration, focusing on its interaction with traditional theories and principles of arbitration, the joinder provisions in the rules of several leading arbitral institutions (e.g. ICC, LCIA, HKIAC and SCAI), and the value of the joinder mechanism in the context of digitalisation.</t>
  </si>
  <si>
    <t>[Wang, Jiawen] Kings Coll London, Dickson Poon Sch Law, London, England</t>
  </si>
  <si>
    <t>University of London; King's College London</t>
  </si>
  <si>
    <t>Wang, JW (corresponding author), Kings Coll London, Dickson Poon Sch Law, London, England.</t>
  </si>
  <si>
    <t>jiawen.wang@kcl.ac.uk</t>
  </si>
  <si>
    <t>The original version of this paper was my LLM dissertation at King's College London. I wish to thank my mentor Dr Manuel Penades Fons for his inspiring supervision and support. I am grateful for the thoughtful advice I received from Dr Diana Camps, Ms Narg</t>
  </si>
  <si>
    <t>The original version of this paper was my LLM dissertation at King's College London. I wish to thank my mentor Dr Manuel Penades Fons for his inspiring supervision and support. I am grateful for the thoughtful advice I received from Dr Diana Camps, Ms Narges Keshavarz Bahadori and Mr Jiayuan Yao and constructive comments from the reviewers.</t>
  </si>
  <si>
    <t>0952-8059</t>
  </si>
  <si>
    <t>1572-8722</t>
  </si>
  <si>
    <t>INT J SEMIOTIC LAW</t>
  </si>
  <si>
    <t>Int. J. Semiotics Law</t>
  </si>
  <si>
    <t>2023 NOV 16</t>
  </si>
  <si>
    <t>10.1007/s11196-023-10068-1</t>
  </si>
  <si>
    <t>Law; Language &amp; Linguistics; Social Sciences, Interdisciplinary</t>
  </si>
  <si>
    <t>Government &amp; Law; Linguistics; Social Sciences - Other Topics</t>
  </si>
  <si>
    <t>Y4LU5</t>
  </si>
  <si>
    <t>WOS:001105001600002</t>
  </si>
  <si>
    <t>Choi, W</t>
  </si>
  <si>
    <t>Choi, Woong</t>
  </si>
  <si>
    <t>Assessment of the capacity of ChatGPT as a self-learning tool in medical pharmacology: a study using MCQs</t>
  </si>
  <si>
    <t>BMC MEDICAL EDUCATION</t>
  </si>
  <si>
    <t>ChatGPT; Large language model; Self-directed learning; Performance; Multiple-choice questions; Rationale; Referencing</t>
  </si>
  <si>
    <t>BackgroundChatGPT is a large language model developed by OpenAI that exhibits a remarkable ability to simulate human speech. This investigation attempts to evaluate the potential of ChatGPT as a standalone self-learning tool, with specific attention on its efficacy in answering multiple-choice questions (MCQs) and providing credible rationale for its responses.MethodsThe study used 78 test items from the Korean Comprehensive Basic Medical Sciences Examination (K-CBMSE) for years 2019 to 2021. 78 test items translated from Korean to English with four lead-in prompts per item resulted in a total of 312 MCQs. The MCQs were submitted to ChatGPT and the responses were analyzed for correctness, consistency, and relevance.ResultsChatGPT responded with an overall accuracy of 76.0%. Compared to its performance on recall and interpretation questions, the model performed poorly on problem-solving questions. ChatGPT offered correct rationales for 77.8% (182/234) of the responses, with errors primarily arising from faulty information and flawed reasoning. In terms of references, ChatGPT provided incorrect citations for 69.7% (191/274) of the responses. While the veracity of reference paragraphs could not be ascertained, 77.0% (47/61) were deemed pertinent and accurate with respect to the answer key.ConclusionThe current version of ChatGPT has limitations in accurately answering MCQs and generating correct and relevant rationales, particularly when it comes to referencing. To avoid possible threats such as spreading inaccuracies and decreasing critical thinking skills, ChatGPT should be used with supervision.</t>
  </si>
  <si>
    <t>[Choi, Woong] Chungbuk Natl Univ, Coll Med, Dept Pharmacol, Cheongju 28644, Chungbuk, South Korea</t>
  </si>
  <si>
    <t>Chungbuk National University</t>
  </si>
  <si>
    <t>Choi, W (corresponding author), Chungbuk Natl Univ, Coll Med, Dept Pharmacol, Cheongju 28644, Chungbuk, South Korea.</t>
  </si>
  <si>
    <t>wchoi@chungbuk.ac.kr</t>
  </si>
  <si>
    <t>WC is grateful to the Medical Education Assessment Corporation in Korea (MEAC) for providing the K-CBMSE test items and quality control data for this study. MEAC has kindly granted permission for some of the K-CBMSE test items to be included in this resear; Medical Education Assessment Corporation in Korea; Chungbuk National University</t>
  </si>
  <si>
    <t>WC is grateful to the Medical Education Assessment Corporation in Korea (MEAC) for providing the K-CBMSE test items and quality control data for this study. MEAC has kindly granted permission for some of the K-CBMSE test items to be included in this research manuscript. WC also thanks to Chungbuk National University for its support.</t>
  </si>
  <si>
    <t>1472-6920</t>
  </si>
  <si>
    <t>BMC MED EDUC</t>
  </si>
  <si>
    <t>BMC Med. Educ.</t>
  </si>
  <si>
    <t>NOV 13</t>
  </si>
  <si>
    <t>10.1186/s12909-023-04832-x</t>
  </si>
  <si>
    <t>Education &amp; Educational Research; Education, Scientific Disciplines</t>
  </si>
  <si>
    <t>Y3AP6</t>
  </si>
  <si>
    <t>gold, Green Published, Green Submitted</t>
  </si>
  <si>
    <t>WOS:001104030200001</t>
  </si>
  <si>
    <t>Guntuboina, C; Das, A; Mollaei, P; Kim, S; Farimani, AB</t>
  </si>
  <si>
    <t>Guntuboina, Chakradhar; Das, Adrita; Mollaei, Parisa; Kim, Seongwon; Farimani, Amir Barati</t>
  </si>
  <si>
    <t>PeptideBERT: A Language Model Based on Transformers for Peptide Property Prediction</t>
  </si>
  <si>
    <t>JOURNAL OF PHYSICAL CHEMISTRY LETTERS</t>
  </si>
  <si>
    <t>NONSPECIFIC INTERACTIONS; THERAPEUTICS</t>
  </si>
  <si>
    <t>Recent advances in language models have enabled the protein modeling community with a powerful tool that uses transformers to represent protein sequences as text. This breakthrough enables a sequence-to-property prediction for peptides without relying on explicit structural data. Inspired by the recent progress in the field of large language models, we present PeptideBERT, a protein language model specifically tailored for predicting essential peptide properties such as hemolysis, solubility, and nonfouling. The PeptideBERT utilizes the ProtBERT pretrained transformer model with 12 attention heads and 12 hidden layers. Through fine-tuning the pretrained model for the three downstream tasks, our model is state of the art (SOTA) in predicting hemolysis, which is crucial for determining a peptide's potential to induce red blood cells as well as nonfouling properties. Leveraging primarily shorter sequences and a data set with negative samples predominantly associated with insoluble peptides, our model showcases remarkable performance.</t>
  </si>
  <si>
    <t>[Guntuboina, Chakradhar] Carnegie Mellon Univ, Dept Elect &amp; Comp Engn, Pittsburgh, PA 15213 USA; [Das, Adrita; Farimani, Amir Barati] Carnegie Mellon Univ, Dept Biomed Engn, Pittsburgh, PA 15213 USA; [Mollaei, Parisa] Carnegie Mellon Univ, Dept Mech Engn, Pittsburgh, PA 15213 USA; [Kim, Seongwon; Farimani, Amir Barati] Carnegie Mellon Univ, Dept Chem Engn, Pittsburgh, PA 15213 USA; [Farimani, Amir Barati] Carnegie Mellon Univ, Machine Learning Dept, Pittsburgh, PA 15213 USA</t>
  </si>
  <si>
    <t>Carnegie Mellon University; Carnegie Mellon University; Carnegie Mellon University; Carnegie Mellon University; Carnegie Mellon University</t>
  </si>
  <si>
    <t>Farimani, AB (corresponding author), Carnegie Mellon Univ, Dept Biomed Engn, Pittsburgh, PA 15213 USA.;Farimani, AB (corresponding author), Carnegie Mellon Univ, Dept Chem Engn, Pittsburgh, PA 15213 USA.;Farimani, AB (corresponding author), Carnegie Mellon Univ, Machine Learning Dept, Pittsburgh, PA 15213 USA.</t>
  </si>
  <si>
    <t>Department of Mechanical Engineering, Carnegie Mellon University; Center for Machine Learning in Health; Carnegie Mellon University; Mechanical Engineering Department at CMU</t>
  </si>
  <si>
    <t>This work is supported by the Center for Machine Learning in Health (CMLH) at Carnegie Mellon University and a start-up fund from the Mechanical Engineering Department at CMU.</t>
  </si>
  <si>
    <t>1948-7185</t>
  </si>
  <si>
    <t>J PHYS CHEM LETT</t>
  </si>
  <si>
    <t>J. Phys. Chem. Lett.</t>
  </si>
  <si>
    <t>10.1021/acs.jpclett.3c02398</t>
  </si>
  <si>
    <t>Chemistry, Physical; Nanoscience &amp; Nanotechnology; Materials Science, Multidisciplinary; Physics, Atomic, Molecular &amp; Chemical</t>
  </si>
  <si>
    <t>Chemistry; Science &amp; Technology - Other Topics; Materials Science; Physics</t>
  </si>
  <si>
    <t>EV0W9</t>
  </si>
  <si>
    <t>WOS:001141601000001</t>
  </si>
  <si>
    <t>Wilson, M; Petty, J; Frank, R</t>
  </si>
  <si>
    <t>Wilson, Michael; Petty, Jackson; Frank, Robert</t>
  </si>
  <si>
    <t>How Abstract Is Linguistic Generalization in Large Language Models? Experiments with Argument Structure</t>
  </si>
  <si>
    <t>Language models are typically evaluated on their success at predicting the distribution of specific words in specific contexts. Yet linguistic knowledge also encodes relationships between contexts, allowing inferences between word distributions. We investigate the degree to which pre-trained transformer-based large language models (LLMs) represent such relationships, focusing on the domain of argument structure. We find that LLMs perform well in generalizing the distribution of a novel noun argument between related contexts that were seen during pre-training (e.g., the active object and passive subject of the verb spray), succeeding by making use of the semantically organized structure of the embedding space for word embeddings. However, LLMs fail at generalizations between related contexts that have not been observed during pre-training, but which instantiate more abstract, but well-attested structural generalizations (e.g., between the active object and passive subject of an arbitrary verb). Instead, in this case, LLMs show a bias to generalize based on linear order. This finding points to a limitation with current models and points to a reason for which their training is data-intensive.1</t>
  </si>
  <si>
    <t>[Wilson, Michael; Frank, Robert] Yale Univ, New Haven, CT 06520 USA; [Petty, Jackson] NYU, New York, NY USA</t>
  </si>
  <si>
    <t>Yale University; New York University</t>
  </si>
  <si>
    <t>Wilson, M (corresponding author), Yale Univ, New Haven, CT 06520 USA.</t>
  </si>
  <si>
    <t>michael.a.wilson@yale.edu; petty@nyu.edu; bob.frank@yale.edu</t>
  </si>
  <si>
    <t>National Science Foundation [BCS-1919321]</t>
  </si>
  <si>
    <t>National Science Foundation(National Science Foundation (NSF))</t>
  </si>
  <si>
    <t>For helpful comments, critiques and suggestions, we would like to thank Tal Linzen, Alec Marantz, the members of the Computational Linguistics at Yale (CLAY) lab and the Computation and Psycholinguistics lab at NYU, and the audiences at the Jabberwocky Words in Linguistics workshop and at the University of Toronto, Northwestern University, Stony Brook University, UCLA, and Heinrich Heine University Dusseldorf. The comments and suggestions of the anonymous TACL reviewers were also invaluable. This work was made possible by support from National Science Foundation grant BCS-1919321.</t>
  </si>
  <si>
    <t>10.1162/tacl_a_00608</t>
  </si>
  <si>
    <t>Y4EO6</t>
  </si>
  <si>
    <t>WOS:001104813600003</t>
  </si>
  <si>
    <t>Lappin, S</t>
  </si>
  <si>
    <t>Lappin, Shalom</t>
  </si>
  <si>
    <t>Assessing the Strengths and Weaknesses of Large Language Models</t>
  </si>
  <si>
    <t>JOURNAL OF LOGIC LANGUAGE AND INFORMATION</t>
  </si>
  <si>
    <t>Deep learning; Transformers; Artifical intelligence; Natural language processing</t>
  </si>
  <si>
    <t>The transformers that drive chatbots and other AI systems constitute large language models (LLMs). These are currently the focus of a lively discussion in both the scientific literature and the popular media. This discussion ranges from hyperbolic claims that attribute general intelligence and sentience to LLMs, to the skeptical view that these devices are no more than stochastic parrots. I present an overview of some of the weak arguments that have been presented against LLMs, and I consider several of the more compelling criticisms of these devices. The former significantly underestimate the capacity of transformers to achieve subtle inductive inferences required for high levels of performance on complex, cognitively significant tasks. In some instances, these arguments misconstrue the nature of deep learning. The latter criticisms identify significant limitations in the way in which transformers learn and represent patterns in data. They also point out important differences between the procedures through which deep neural networks and humans acquire knowledge of natural language. It is necessary to look carefully at both sets of arguments in order to achieve a balanced assessment of the potential and the limitations of LLMs.</t>
  </si>
  <si>
    <t>[Lappin, Shalom] Queen Mary Univ London, Sch Elect Engn &amp; Compuer Sci, London, England; [Lappin, Shalom] Univ Gothenburg, Ctr Linguist Theory &amp; Studies Probabil, Gothenburg, Sweden; [Lappin, Shalom] Kings Coll London, Dept Informat, London, England</t>
  </si>
  <si>
    <t>University of London; Queen Mary University London; University of Gothenburg; University of London; King's College London</t>
  </si>
  <si>
    <t>Lappin, S (corresponding author), Queen Mary Univ London, Sch Elect Engn &amp; Compuer Sci, London, England.;Lappin, S (corresponding author), Univ Gothenburg, Ctr Linguist Theory &amp; Studies Probabil, Gothenburg, Sweden.;Lappin, S (corresponding author), Kings Coll London, Dept Informat, London, England.</t>
  </si>
  <si>
    <t>s.lappin@qmul.ac.uk</t>
  </si>
  <si>
    <t>Many of the ideas proposed here were developed in discussion with Richard Sproat. I am grateful to him for his contribution to my thinking on these issues. I am also indebted to Katrin Erk, Steven Piantadosi, and two anonymous reviewers for valuable remark [2014-39]; Swedish Research Council; Centre for Linguistic Theory and Studies in Probability (CLASP) in the Department of Philosophy</t>
  </si>
  <si>
    <t>Many of the ideas proposed here were developed in discussion with Richard Sproat. I am grateful to him for his contribution to my thinking on these issues. I am also indebted to Katrin Erk, Steven Piantadosi, and two anonymous reviewers for valuable remark; Swedish Research Council(Swedish Research Council); Centre for Linguistic Theory and Studies in Probability (CLASP) in the Department of Philosophy</t>
  </si>
  <si>
    <t>Many of the ideas proposed here were developed in discussion with Richard Sproat. I am grateful to him for his contribution to my thinking on these issues. I am also indebted to Katrin Erk, Steven Piantadosi, and two anonymous reviewers for valuable remarks and suggestions on previous drafts. An earlier version of this paper was presented in the Cognitive Science Seminar of the School of Electronic Engineering and Computer Science at Queen Mary University of London, on June 21, 2023. I thank the audience of this talk for helpful questions and comments. I bear sole responsibility for any errors that remain. My research reported in this paper was supported by grant 2014-39 from the Swedish Research Council, which funds the Centre for Linguistic Theory and Studies in Probability (CLASP) in the Department of Philosophy, Linguistics, and Theory of Science at the University of Gothenburg.</t>
  </si>
  <si>
    <t>0925-8531</t>
  </si>
  <si>
    <t>1572-9583</t>
  </si>
  <si>
    <t>J LOGIC LANG INFORM</t>
  </si>
  <si>
    <t>J. Log. Lang. Inf.</t>
  </si>
  <si>
    <t>10.1007/s10849-023-09409-x</t>
  </si>
  <si>
    <t>Computer Science, Artificial Intelligence; Computer Science, Theory &amp; Methods; Language &amp; Linguistics; Logic; Philosophy</t>
  </si>
  <si>
    <t>Science Citation Index Expanded (SCI-EXPANDED); Arts &amp; Humanities Citation Index (A&amp;HCI)</t>
  </si>
  <si>
    <t>Computer Science; Linguistics; Science &amp; Technology - Other Topics; Philosophy</t>
  </si>
  <si>
    <t>hybrid, Green Submitted</t>
  </si>
  <si>
    <t>WOS:001100636300002</t>
  </si>
  <si>
    <t>Barrett, A; Pack, A</t>
  </si>
  <si>
    <t>Barrett, Alex; Pack, Austin</t>
  </si>
  <si>
    <t>Not quite eye to AI: student and teacher perspectives on the use of generative artificial intelligence in the writing process</t>
  </si>
  <si>
    <t>INTERNATIONAL JOURNAL OF EDUCATIONAL TECHNOLOGY IN HIGHER EDUCATION</t>
  </si>
  <si>
    <t>Artificial intelligence; Large language model; GPT; Writing education; Academic integrity</t>
  </si>
  <si>
    <t>PLAGIARISM</t>
  </si>
  <si>
    <t>Generative artificial intelligence (GenAI) can be used to author academic texts at a similar level to what humans are capable of, causing concern about its misuse in education. Addressing the role of GenAI in teaching and learning has become an urgent task. This study reports the results of a survey comparing educators' (n = 68) and university students' (n = 158) perceptions on the appropriate use of GenAI in the writing process. The survey included representations of user prompts and output from ChatGPT, a GenAI chatbot, for each of six tasks of the writing process (brainstorming, outlining, writing, revising, feedback, and evaluating). Survey respondents were asked to differentiate between various uses of GenAI for these tasks, which were divided between student and teacher use. Results indicate minor disagreement between students and teachers on acceptable use of GenAI tools in the writing process, as well as classroom and institutional-level lack of preparedness for GenAI. These results imply the need for explicit guidelines and teacher professional development on the use of GenAI in educational contexts. This study can contribute to evidence-based guidelines on the integration of GenAI in teaching and learning.</t>
  </si>
  <si>
    <t>[Barrett, Alex] Florida State Univ, Coll Educ, Stone Bldg,114 West Call St, Tallahassee, FL 32306 USA; [Pack, Austin] Brigham Young Univ Hawaii, Fac Educ &amp; Social Work, 55-220 Kulanui St, Laie, HI 96762 USA</t>
  </si>
  <si>
    <t>State University System of Florida; Florida State University; Brigham Young University; Brigham Young University - Hawaii</t>
  </si>
  <si>
    <t>Barrett, A (corresponding author), Florida State Univ, Coll Educ, Stone Bldg,114 West Call St, Tallahassee, FL 32306 USA.</t>
  </si>
  <si>
    <t>abarrett3@fsu.edu</t>
  </si>
  <si>
    <t>Barrett, Alex/0000-0003-1229-9743</t>
  </si>
  <si>
    <t>Not applicable.</t>
  </si>
  <si>
    <t>2365-9440</t>
  </si>
  <si>
    <t>INT J EDUC TECHNOL H</t>
  </si>
  <si>
    <t>Int. J. Educ. Technol. High. Educ.</t>
  </si>
  <si>
    <t>NOV 10</t>
  </si>
  <si>
    <t>X5WO5</t>
  </si>
  <si>
    <t>WOS:001099156200001</t>
  </si>
  <si>
    <t>Friederici, L; Koch, A; Martens, P; Pantzke, J; Di Bucchianico, S; Streibel, T; Rüger, CP; Zimmermann, R</t>
  </si>
  <si>
    <t>Friederici, Lukas; Koch, Arne; Martens, Patrick; Pantzke, Jana; Di Bucchianico, Sebastiano; Streibel, Thorsten; Rueger, Christopher P.; Zimmermann, Ralf</t>
  </si>
  <si>
    <t>Recycling of fiber reinforced composites: Online mass spectrometric tracing, offline physicochemical speciation and toxicological evaluation of a pilot plant pyrolytic conversion</t>
  </si>
  <si>
    <t>WASTE MANAGEMENT</t>
  </si>
  <si>
    <t>Carbon/glass-fiber reinforced composites; Pyrolysis; Thermal analysis; Evolved gas analysis; Mass spectrometry; In vitro toxicity</t>
  </si>
  <si>
    <t>ENHANCED MULTIPHOTON IONIZATION; SINGLE-PHOTON IONIZATION; EVOLVED GAS-ANALYSIS; THERMAL-ANALYSIS; ENERGY RECOVERY; EPOXY-RESIN; WASTE; TECHNOLOGIES; DEGRADATION; POLYMERS</t>
  </si>
  <si>
    <t>The increasing demand for lightweight materials with exceptional stability and durability has resulted in a significant rise in fiber-reinforced plastic (FRP) production. These materials find applications in various fields. However, the exceptional properties and diverse compositional range of FRPs pose challenges to conventional recycling strategies. Pyrolysis has emerged as a highly promising approach for separating the fibers from the polymer matrix. In this study, we employed thermal analysis coupled with high-resolution mass spectrometry to investigate the pyrolysis process. Representative FRP showed a starting decomposition temperature of 300 C and bisphenol A, styrene, alkenes, and phenols could be identified. The identified parameters were used to operate a pilot plant with a capacity of up to 50 kg/h FRP, and reactor products were directly analyzed with soft photoionization mass spectrometry. The findings demonstrated good agreement between the pilot plant results and laboratory experiments, particularly for smaller compounds (m/z&lt;2 0 0). The non-condensable fraction showed a range of 17 to 22 MJ/m(3) as lower heating value. Analysis of the recovered fibers (diameter between 6.20 and 8.05 mu m) revealed residual coke, but no toxic fibers were detected, according to the World Health Organization's definition. Yet, the organic coating of the fibers contained small amounts of potentially harmful PAHs. A toxicological assessment using a multicellular in vitro model confirmed the low hazardous potential of the recovered fibers. The findings contribute to developing sustainable and environmentally friendly recycling strategies for FRP while addressing important aspects related to the safety and toxicological implications of the resulting chemicals and fibers.</t>
  </si>
  <si>
    <t>[Friederici, Lukas; Koch, Arne; Martens, Patrick; Pantzke, Jana; Di Bucchianico, Sebastiano; Streibel, Thorsten; Rueger, Christopher P.; Zimmermann, Ralf] Univ Rostock, Chair Analyt Chem, Joint Mass Spectrometry Ctr, D-18059 Rostock, Germany; [Friederici, Lukas; Di Bucchianico, Sebastiano; Rueger, Christopher P.; Zimmermann, Ralf] Univ Rostock, Dept Life Light &amp; Matter LLM, D-18059 Rostock, Germany; [Pantzke, Jana; Di Bucchianico, Sebastiano; Streibel, Thorsten; Zimmermann, Ralf] Helmholtz Zentrum Munchen, Cooperat Grp Comprehens Mol Analyt CMA, Joint Mass Spectrometry Ctr, D-85764 Neuherberg, Germany</t>
  </si>
  <si>
    <t>University of Rostock; University of Rostock; Helmholtz Association; Helmholtz-Center Munich - German Research Center for Environmental Health</t>
  </si>
  <si>
    <t>Rüger, CP (corresponding author), Univ Rostock, Chair Analyt Chem, Joint Mass Spectrometry Ctr, D-18059 Rostock, Germany.</t>
  </si>
  <si>
    <t>Horizon 2020 program for the EU FT-ICR MS project [731077]; German Research Foundation (DFG) [INST 264/56]</t>
  </si>
  <si>
    <t>Horizon 2020 program for the EU FT-ICR MS project; German Research Foundation (DFG)(German Research Foundation (DFG))</t>
  </si>
  <si>
    <t>Funding by the Horizon 2020 program for the EU FT-ICR MS project (European Network of Fourier-Transform Ion-Cyclotron-Resonance Mass Spectrometry Centers, Grant agreement ID: 731077) is gratefully acknowledged. The authors thank the German Research Foundation (DFG) for funding of the Bruker FTICR MS (INST 264/56) . Special thanks to the members of KUG company for managing the operation of the pyrolysis plant and TAB for providing the sample material. We appreciate the support from Dr. Marcus Frank and Dr. Armin Springer (Electron Microscopy Centre, University medicine Rostock) .</t>
  </si>
  <si>
    <t>0956-053X</t>
  </si>
  <si>
    <t>1879-2456</t>
  </si>
  <si>
    <t>WASTE MANAGE</t>
  </si>
  <si>
    <t>Waste Manage.</t>
  </si>
  <si>
    <t>10.1016/j.wasman.2023.11.002</t>
  </si>
  <si>
    <t>Engineering, Environmental; Environmental Sciences</t>
  </si>
  <si>
    <t>Engineering; Environmental Sciences &amp; Ecology</t>
  </si>
  <si>
    <t>AA8F6</t>
  </si>
  <si>
    <t>WOS:001115816700001</t>
  </si>
  <si>
    <t>Zheng, ZL; Zhang, OF; Nguyen, H; Rampal, N; Alawadhi, AH; Rong, ZC; Head-Gordon, T; Borgs, C; Chayes, JT; Yaghi, OM</t>
  </si>
  <si>
    <t>Zheng, Zhiling; Zhang, Oufan; Nguyen, Ha L.; Rampal, Nakul; Alawadhi, Ali H.; Rong, Zichao; Head-Gordon, Teresa; Borgs, Christian; Chayes, Jennifer T.; Yaghi, Omar M.</t>
  </si>
  <si>
    <t>ChatGPT Research Group for Optimizing the Crystallinity of MOFs and COFs</t>
  </si>
  <si>
    <t>ACS CENTRAL SCIENCE</t>
  </si>
  <si>
    <t>METAL-ORGANIC FRAMEWORKS; OPTIMIZATION; CHEMISTRY</t>
  </si>
  <si>
    <t>We leveraged the power of ChatGPT and Bayesian optimization in the development of a multi-AI-driven system, backed by seven large language model-based assistants and equipped with machine learning algorithms, that seamlessly orchestrates a multitude of research aspects in a chemistry laboratory (termed the ChatGPT Research Group). Our approach accelerated the discovery of optimal microwave synthesis conditions, enhancing the crystallinity of MOF-321, MOF-322, and COF-323 and achieving the desired porosity and water capacity. In this system, human researchers gained assistance from these diverse AI collaborators, each with a unique role within the laboratory environment, spanning strategy planning, literature search, coding, robotic operation, labware design, safety inspection, and data analysis. Such a comprehensive approach enables a single researcher working in concert with AI to achieve productivity levels analogous to those of an entire traditional scientific team. Furthermore, by reducing human biases in screening experimental conditions and deftly balancing the exploration and exploitation of synthesis parameters, our Bayesian search approach precisely zeroed in on optimal synthesis conditions from a pool of 6 million within a significantly shortened time scale. This work serves as a compelling proof of concept for an AI-driven revolution in the chemistry laboratory, painting a future where AI becomes an efficient collaborator, liberating us from routine tasks to focus on pushing the boundaries of innovation.</t>
  </si>
  <si>
    <t>[Zheng, Zhiling; Zhang, Oufan; Nguyen, Ha L.; Rampal, Nakul; Alawadhi, Ali H.; Rong, Zichao; Head-Gordon, Teresa; Yaghi, Omar M.] Univ Calif Berkeley, Dept Chem, Berkeley, CA 94720 USA; [Zheng, Zhiling; Nguyen, Ha L.; Rampal, Nakul; Alawadhi, Ali H.; Rong, Zichao; Yaghi, Omar M.] Univ Calif Berkeley, Kavli Energy Nanosci Inst, Berkeley, CA 94720 USA; [Zheng, Zhiling; Rampal, Nakul; Rong, Zichao; Borgs, Christian; Chayes, Jennifer T.; Yaghi, Omar M.] Univ Calif Berkeley, Bakar Inst Digital Mat Planet, Coll Comp Data Sci &amp; Soc, Berkeley, CA 94720 USA; [Zhang, Oufan; Head-Gordon, Teresa] Univ Calif Berkeley, Kenneth S Pitzer Ctr Theoret Chem, Berkeley, CA 94720 USA; [Head-Gordon, Teresa] Univ Calif Berkeley, Dept Chem &amp; Biomol Engn, Berkeley, CA 94720 USA; [Head-Gordon, Teresa] Univ Calif Berkeley, Dept Bioengn, Berkeley, CA 94720 USA; [Borgs, Christian; Chayes, Jennifer T.] Univ Calif Berkeley, Dept Elect Engn &amp; Comp Sci, Berkeley, CA 94720 USA; [Chayes, Jennifer T.] Univ Calif Berkeley, Dept Math, Berkeley, CA 94720 USA; [Chayes, Jennifer T.] Univ Calif Berkeley, Dept Stat, Berkeley, CA 94720 USA; [Chayes, Jennifer T.] Univ Calif Berkeley, Sch Informat, Berkeley, CA 94720 USA; [Yaghi, Omar M.] King Abdulaziz City Sci &amp; Technol, KACST UC Berkeley Ctr Excellence Nanomat Clean Ene, Riyadh 11442, Saudi Arabia</t>
  </si>
  <si>
    <t>University of California System; University of California Berkeley; University of California System; University of California Berkeley; University of California System; University of California Berkeley; University of California System; University of California Berkeley; University of California System; University of California Berkeley; University of California System; University of California Berkeley; University of California System; University of California Berkeley; University of California System; University of California Berkeley; University of California System; University of California Berkeley; University of California System; University of California Berkeley</t>
  </si>
  <si>
    <t>Yaghi, OM (corresponding author), Univ Calif Berkeley, Dept Chem, Berkeley, CA 94720 USA.;Yaghi, OM (corresponding author), Univ Calif Berkeley, Kavli Energy Nanosci Inst, Berkeley, CA 94720 USA.;Yaghi, OM (corresponding author), Univ Calif Berkeley, Bakar Inst Digital Mat Planet, Coll Comp Data Sci &amp; Soc, Berkeley, CA 94720 USA.;Yaghi, OM (corresponding author), King Abdulaziz City Sci &amp; Technol, KACST UC Berkeley Ctr Excellence Nanomat Clean Ene, Riyadh 11442, Saudi Arabia.</t>
  </si>
  <si>
    <t>National Institute of General Medical Sciences [HR0011-21-C-0020]; Defense Advanced Research Projects Agency (DARPA) [5R01GM127627-05]; National Institutes of Health (NIH); Kavli ENSI Graduate Student Fellowship; Bakar Institute of Digital Materials for the Planet (BIDMaP)</t>
  </si>
  <si>
    <t>National Institute of General Medical Sciences(United States Department of Health &amp; Human ServicesNational Institutes of Health (NIH) - USANIH National Institute of General Medical Sciences (NIGMS)); Defense Advanced Research Projects Agency (DARPA)(United States Department of DefenseDefense Advanced Research Projects Agency (DARPA)); National Institutes of Health (NIH)(United States Department of Health &amp; Human ServicesNational Institutes of Health (NIH) - USA); Kavli ENSI Graduate Student Fellowship; Bakar Institute of Digital Materials for the Planet (BIDMaP)</t>
  </si>
  <si>
    <t>Z.Z. extends special gratitude to Jiayi Weng (OpenAI) for valuable discussions on harnessing the potential of ChatGPT. In addition, Z.Z. acknowledges the inspiring guidance and input from Kefan Dong (Stanford University), Long Lian (University of California, Berkeley), and Yifan Deng (Carnegie Mellon University) in shaping the design of this study and enhancing ChatGPT's performance. We express our gratitude for the financial support received from the Defense Advanced Research Projects Agency (DARPA) under contract HR0011-21-C-0020. Any opinions, findings, conclusions, or recommendations expressed in this material are those of the author(s) and do not necessarily reflect the views of DARPA. O.Z. and T.H.-G. acknowledge funding and extend thanks for the support provided by the National Institutes of Health (NIH) under grant 5R01GM127627-05. Additionally, Z.Z. is grateful for the financial support received through a Kavli ENSI Graduate Student Fellowship and the Bakar Institute of Digital Materials for the Planet (BIDMaP).</t>
  </si>
  <si>
    <t>2374-7943</t>
  </si>
  <si>
    <t>2374-7951</t>
  </si>
  <si>
    <t>ACS CENTRAL SCI</t>
  </si>
  <si>
    <t>ACS Central Sci.</t>
  </si>
  <si>
    <t>10.1021/acscentsci.3c01087</t>
  </si>
  <si>
    <t>Chemistry, Multidisciplinary</t>
  </si>
  <si>
    <t>Y9QR3</t>
  </si>
  <si>
    <t>WOS:001108538200001</t>
  </si>
  <si>
    <t>Zhou, HX; Austin, R; Lu, SC; Silverman, GM; Zhou, YQ; Kilicoglu, H; Xu, H; Zhang, R</t>
  </si>
  <si>
    <t>Zhou, Huixue; Austin, Robin; Lu, Sheng-Chieh; Silverman, Greg Marc; Zhou, Yuqi; Kilicoglu, Halil; Xu, Hua; Zhang, Rui</t>
  </si>
  <si>
    <t>Complementary and Integrative Health Information in the literature: its lexicon and named entity recognition</t>
  </si>
  <si>
    <t>JOURNAL OF THE AMERICAN MEDICAL INFORMATICS ASSOCIATION</t>
  </si>
  <si>
    <t>Complementary and Integrative Health; terminology; Unified Medical Language System; named entity recognition</t>
  </si>
  <si>
    <t>ALTERNATIVE MEDICINE; UMLS</t>
  </si>
  <si>
    <t>Objective To construct an exhaustive Complementary and Integrative Health (CIH) Lexicon (CIHLex) to help better represent the often underrepresented physical and psychological CIH approaches in standard terminologies, and to also apply state-of-the-art natural language processing (NLP) techniques to help recognize them in the biomedical literature.Materials and methods We constructed the CIHLex by integrating various resources, compiling and integrating data from biomedical literature and relevant sources of knowledge. The Lexicon encompasses 724 unique concepts with 885 corresponding unique terms. We matched these concepts to the Unified Medical Language System (UMLS), and we developed and utilized BERT models comparing their efficiency in CIH named entity recognition to well-established models including MetaMap and CLAMP, as well as the large language model GPT3.5-turbo.Results Of the 724 unique concepts in CIHLex, 27.2% could be matched to at least one term in the UMLS. About 74.9% of the mapped UMLS Concept Unique Identifiers were categorized as Therapeutic or Preventive Procedure. Among the models applied to CIH named entity recognition, BLUEBERT delivered the highest macro-average F1-score of 0.91, surpassing other models.Conclusion Our CIHLex significantly augments representation of CIH approaches in biomedical literature. Demonstrating the utility of advanced NLP models, BERT notably excelled in CIH entity recognition. These results highlight promising strategies for enhancing standardization and recognition of CIH terminology in biomedical contexts.</t>
  </si>
  <si>
    <t>[Zhou, Huixue; Zhou, Yuqi] Univ Minnesota, Inst Hlth Informat, Minneapolis, MN 55455 USA; [Austin, Robin] Univ Minnesota, Sch Nursing, Minneapolis, MN 55455 USA; [Lu, Sheng-Chieh] Univ Texas MD Anderson Canc Ctr, Dept Symptom Res, Houston, TX USA; [Silverman, Greg Marc; Zhang, Rui] Univ Minnesota, Dept Surg, Minneapolis, MN 55455 USA; [Zhou, Yuqi] Univ Minnesota, Dept Pharmaceut Care &amp; Hlth Syst, Minneapolis, MN 55455 USA; [Kilicoglu, Halil] Univ Illinois, Sch Informat Sci, Champaign, IL USA; [Xu, Hua] Yale Univ, Sch Med, Sect Biomed Informat &amp; Data Sci, New Haven, CT USA; [Zhang, Rui] Univ Minnesota, Dept Surg, Div Computat Hlth Sci, 11-132 Phillips Wangensteen Bldg,516 Delaware St S, Minneapolis, MN 55455 USA</t>
  </si>
  <si>
    <t>University of Minnesota System; University of Minnesota Twin Cities; University of Minnesota System; University of Minnesota Twin Cities; University of Texas System; UTMD Anderson Cancer Center; University of Minnesota System; University of Minnesota Twin Cities; University of Minnesota System; University of Minnesota Twin Cities; University of Illinois System; University of Illinois Urbana-Champaign; Yale University; University of Minnesota System; University of Minnesota Twin Cities</t>
  </si>
  <si>
    <t>Zhang, R (corresponding author), Univ Minnesota, Dept Surg, Div Computat Hlth Sci, 11-132 Phillips Wangensteen Bldg,516 Delaware St S, Minneapolis, MN 55455 USA.</t>
  </si>
  <si>
    <t>zhan1386@umn.edu</t>
  </si>
  <si>
    <t>Lu, Sheng-Chieh/HTO-1308-2023</t>
  </si>
  <si>
    <t>Lu, Sheng-Chieh/0000-0002-6685-1524; Zhou, Huixue/0000-0002-6524-5506; Austin, Robin/0000-0003-1993-4623</t>
  </si>
  <si>
    <t>We would also like to acknowledge the Doctor of Nursing Practice Nursing Informatics students from the School of Nursing, University of Minnesota who contributed to the terminology review process.</t>
  </si>
  <si>
    <t>1067-5027</t>
  </si>
  <si>
    <t>1527-974X</t>
  </si>
  <si>
    <t>J AM MED INFORM ASSN</t>
  </si>
  <si>
    <t>J. Am. Med. Inf. Assoc.</t>
  </si>
  <si>
    <t>10.1093/jamia/ocad216</t>
  </si>
  <si>
    <t>Computer Science, Information Systems; Computer Science, Interdisciplinary Applications; Health Care Sciences &amp; Services; Information Science &amp; Library Science; Medical Informatics</t>
  </si>
  <si>
    <t>Computer Science; Health Care Sciences &amp; Services; Information Science &amp; Library Science; Medical Informatics</t>
  </si>
  <si>
    <t>WOS:001100511500001</t>
  </si>
  <si>
    <t>Triguero, I; Molina, D; Poyatos, J; Del Ser, J; Herrera, F</t>
  </si>
  <si>
    <t>Triguero, Isaac; Molina, Daniel; Poyatos, Javier; Del Ser, Javier; Herrera, Francisco</t>
  </si>
  <si>
    <t>General Purpose Artificial Intelligence Systems (GPAIS): Properties, definition, taxonomy, societal implications and responsible governance</t>
  </si>
  <si>
    <t>INFORMATION FUSION</t>
  </si>
  <si>
    <t>General-purpose AI; Meta -learning; Reinforcement learning; Neuroevolution; Few -shot learning; AutoML; Transfer learning; Generative AI; Large language models</t>
  </si>
  <si>
    <t>NEURAL-NETWORKS</t>
  </si>
  <si>
    <t>Most applications of Artificial Intelligence (AI) are designed for a confined and specific task. However, there are many scenarios that call for a more general AI, capable of solving a wide array of tasks without being specifically designed for them. The term General Purpose Artificial Intelligence Systems (GPAIS) has been defined to refer to these AI systems. To date, the possibility of an Artificial General Intelligence, powerful enough to perform any intellectual task as if it were human, or even improve it, has remained an aspiration, fiction, and considered a risk for our society. Whilst we might still be far from achieving that, GPAIS is a reality and sitting at the forefront of AI research. This work discusses existing definitions for GPAIS and proposes a new definition that allows for a gradual differentiation among types of GPAIS according to their properties and limitations. We distinguish between closed-world and open-world GPAIS, characterising their degree of autonomy and ability based on several factors such as adaptation to new tasks, competence in domains not intentionally trained for, ability to learn from few data, or proactive acknowledgement of their own limitations. We then propose a taxonomy of approaches to realise GPAIS, describing research trends such as the use of AI techniques to improve another AI (commonly referred to as AI-powered AI) or (single) foundation models. As a prime example, we delve into generative AI (GenAI), aligning them with the terms and concepts presented in the taxonomy. Similarly, we explore the challenges and prospects of multi-modality, which involves fusing various types of data sources to expand the capabilities of GPAIS. Through the proposed definition and taxonomy, our aim is to facilitate research collaboration across different areas that are tackling general purpose tasks, as they share many common aspects. Finally, with the goal of providing a holistic view of GPAIS, we discuss the current state of GPAIS, its prospects, implications for our society, and the need for regulation and governance of GPAIS to ensure their responsible and trustworthy development.</t>
  </si>
  <si>
    <t>[Triguero, Isaac; Molina, Daniel; Poyatos, Javier; Herrera, Francisco] Univ Granada, Andalusian Res Inst Data Sci &amp; Computat Intelligen, Dept Comp Sci &amp; Artificial Intelligence, Granada 18071, Spain; [Del Ser, Javier] TECNALIA, Basque Res &amp; Technol Alliance BRTA, Derio 48160, Spain; [Del Ser, Javier] Univ Basque Country UPV EHU, Bilbao 48013, Spain; [Triguero, Isaac] Univ Nottingham, Sch Comp Sci, Nottingham NG8 1BB, England</t>
  </si>
  <si>
    <t>University of Granada; University of Basque Country; University of Nottingham</t>
  </si>
  <si>
    <t>Triguero, I (corresponding author), Univ Granada, Andalusian Res Inst Data Sci &amp; Computat Intelligen, Dept Comp Sci &amp; Artificial Intelligence, Granada 18071, Spain.</t>
  </si>
  <si>
    <t>triguero@decsai.ugr.es; dmolina@decsai.ugr.es; jpoyatosamador@ugr.es; javier.delser@tecnalia.com; herrera@decsai.ugr.es</t>
  </si>
  <si>
    <t>Maria Zambrano Senior Fellowship at the University of Granada; R&amp;D and Innovation project [PID2020-119478GB-I00]; Spain's Ministry of Science and Innovation; European Regional Development Fund (ERDF); Basque Government, Spain [KK-2023/00012, IT1456-22]; Department of Education of this institution</t>
  </si>
  <si>
    <t>Maria Zambrano Senior Fellowship at the University of Granada; R&amp;D and Innovation project; Spain's Ministry of Science and Innovation(Spanish Government); European Regional Development Fund (ERDF)(European Union (EU)); Basque Government, Spain(Basque Government); Department of Education of this institution</t>
  </si>
  <si>
    <t>I. Triguero is funded by a Maria Zambrano Senior Fellowship at the University of Granada. I. Triguero, F. Herrera, D. Molina, and J. Poyatos are supported by the R&amp;D and Innovation project with reference PID2020-119478GB-I00 granted by Spain's Ministry of Science and Innovation and European Regional Development Fund (ERDF) . J. Del Ser would like to thank the Basque Government, Spain for the funding support received through the EMAITEK and ELKARTEK programs (ref. KK-2023/00012) , as well as the Consolidated Research Group MATHMODE (IT1456-22) granted by the Department of Education of this institution.</t>
  </si>
  <si>
    <t>1566-2535</t>
  </si>
  <si>
    <t>1872-6305</t>
  </si>
  <si>
    <t>INFORM FUSION</t>
  </si>
  <si>
    <t>Inf. Fusion</t>
  </si>
  <si>
    <t>10.1016/j.inffus.2023.102135</t>
  </si>
  <si>
    <t>Computer Science, Artificial Intelligence; Computer Science, Theory &amp; Methods</t>
  </si>
  <si>
    <t>Z5GF8</t>
  </si>
  <si>
    <t>WOS:001112351800001</t>
  </si>
  <si>
    <t>van der Gaag, MAE</t>
  </si>
  <si>
    <t>van der Gaag, Mandy A. E.</t>
  </si>
  <si>
    <t>A person-centered approach in developmental science: Why this is the future and how to get there</t>
  </si>
  <si>
    <t>INFANT AND CHILD DEVELOPMENT</t>
  </si>
  <si>
    <t>IDENTITY DEVELOPMENT; DYNAMIC-SYSTEMS; PSYCHOPATHOLOGY; COMMITMENT; MODEL</t>
  </si>
  <si>
    <t>This paper argues for a person-centered approach in developmental science and presents theoretical and empirical techniques to help shift the focus to the individual. The need for a person-centered approach is urgent, because of widespread nonergodicity in developmental psychology: traditional between-individual, group-level statistics often cannot be used to understand individuals over time. Evidence for nonergodicity has been gathered in domains such as personality, emotions, identity, performance and intelligence. This highlights a mismatch between our typical research methods-group-level analyses-and a core aim of developmental science: understanding the development of individuals. The implications are profound. Without insights into within-individual processes, our understanding of development remains incomplete and perhaps even incorrect, which could hinder the design of effective interventions. Many of our developmental theories might need to be adjusted to accurately capture individual-level development. The theory of complex dynamic systems and person-centered simulations offer promising avenues to do this. In addition, many promising person-centered analysis techniques, that typically use long time series of data, are available to enhance our understanding of individual-level development. Together, these person-centered theoretical and empirical tools have the potential to help shift developmental science towards an understanding of development that genuinely reflects individual processes.</t>
  </si>
  <si>
    <t>[van der Gaag, Mandy A. E.] Univ Groningen, Fac Behav &amp; Social Sci, Dept Dev Psychol, Groningen, Netherlands; [van der Gaag, Mandy A. E.] Univ Groningen, Fac Behav &amp; Social Sci, Dept Dev Psychol, Grote Kruisstr 2-1, NL-9712 TS Groningen, Netherlands</t>
  </si>
  <si>
    <t>University of Groningen; University of Groningen</t>
  </si>
  <si>
    <t>van der Gaag, MAE (corresponding author), Univ Groningen, Fac Behav &amp; Social Sci, Dept Dev Psychol, Grote Kruisstr 2-1, NL-9712 TS Groningen, Netherlands.</t>
  </si>
  <si>
    <t>m.a.e.van.der.gaag@rug.nl</t>
  </si>
  <si>
    <t>van der Gaag, Mandy/0000-0002-1957-1183</t>
  </si>
  <si>
    <t>The author owes much thanks to all the colleagues at the Developmental Psychology department of the University of Groningen. The perspective presented in this paper has been shaped in the context of their dedicated work on the edge of psychological science [GPT-4, 2023]</t>
  </si>
  <si>
    <t>The author owes much thanks to all the colleagues at the Developmental Psychology department of the University of Groningen. The perspective presented in this paper has been shaped in the context of their dedicated work on the edge of psychological science</t>
  </si>
  <si>
    <t>The author owes much thanks to all the colleagues at the Developmental Psychology department of the University of Groningen. The perspective presented in this paper has been shaped in the context of their dedicated work on the edge of psychological science using person-centered studies and complex dynamic systems theory. A special thanks to professor Paul van Geert who has been particularly relentless in this pursuit and so far ahead of his time that it shall take developmental science many years to catch up. The language of this paper has been refined with the assistance of ChatGPT (GPT-4; openAI, 2023), a generative AI large language model.</t>
  </si>
  <si>
    <t>1522-7227</t>
  </si>
  <si>
    <t>1522-7219</t>
  </si>
  <si>
    <t>INFANT CHILD DEV</t>
  </si>
  <si>
    <t>Infant Child Dev.</t>
  </si>
  <si>
    <t>10.1002/icd.2478</t>
  </si>
  <si>
    <t>Psychology, Developmental</t>
  </si>
  <si>
    <t>CL3H8</t>
  </si>
  <si>
    <t>WOS:001102040500001</t>
  </si>
  <si>
    <t>Crowther, GJ; Sankar, U; Knight, LS; Myers, DL; Patton, KT; Jenkins, LD; Knight, TA</t>
  </si>
  <si>
    <t>Crowther, Gregory J.; Sankar, Usha; Knight, Leena S.; Myers, Deborah L.; Patton, Kevin T.; Jenkins, Lekelia D.; Knight, Thomas A.</t>
  </si>
  <si>
    <t>Chatbot responses suggest that hypothetical biology questions are harder than realistic ones</t>
  </si>
  <si>
    <t>JOURNAL OF MICROBIOLOGY &amp; BIOLOGY EDUCATION</t>
  </si>
  <si>
    <t>artificial intelligence (AI); Google Bard; Bloom's taxonomy; cheating; exams; HOCS/LOCS; summative assessment; YouChat</t>
  </si>
  <si>
    <t>BLOOMS TAXONOMY; CORE CONCEPTS; PHYSIOLOGY; TOOL</t>
  </si>
  <si>
    <t>The biology education literature includes compelling assertions that unfamiliar problems are especially useful for revealing students' true understanding of biology. However, there is only limited evidence that such novel problems have different cognitive requirements than more familiar problems. Here, we sought additional evidence by using chatbots based on large language models as models of biology students. For human physiology and cell biology, we developed sets of realistic and hypothetical problems matched to the same lesson learning objectives (LLOs). Problems were considered hypothetical if (i) known biological entities (molecules and organs) were given atypical or counterfactual properties (redefinition) or (ii) fictitious biological entities were introduced (invention). Several chatbots scored significantly worse on hypothetical problems than on realistic problems, with scores declining by an average of 13%. Among hypothetical questions, redefinition questions appeared especially difficult, with many chatbots scoring as if guessing randomly. These results suggest that, for a given LLO, hypothetical problems may have different cognitive demands than realistic problems and may more accurately reveal students' ability to apply biology core concepts to diverse contexts. The Test Question Templates (TQT) framework, which explicitly connects LLOs with examples of assessment questions, can help educators generate problems that are challenging (due to their novelty), yet fair (due to their alignment with pre-specified LLOs). Finally, ChatGPT's rapid improvement toward expert-level answers suggests that future educators cannot reasonably expect to ignore or outwit chatbots but must do what we can to make assessments fair and equitable.</t>
  </si>
  <si>
    <t>[Crowther, Gregory J.; Myers, Deborah L.] Everett Community Coll, Life Sci Dept, Everett, WA 98201 USA; [Sankar, Usha] Fordham Univ, Dept Biol Sci, Bronx, NY USA; [Knight, Leena S.; Knight, Thomas A.] Whitman Coll, Biol Dept, Walla Walla, WA USA; [Patton, Kevin T.] St Charles Community Coll, Biol Dept, Cottleville, MO USA; [Jenkins, Lekelia D.] Arizona State Univ, Sch Future Innovat Soc, Tempe, AZ USA</t>
  </si>
  <si>
    <t>Fordham University; Whitman College; Arizona State University; Arizona State University-Tempe</t>
  </si>
  <si>
    <t>Crowther, GJ (corresponding author), Everett Community Coll, Life Sci Dept, Everett, WA 98201 USA.</t>
  </si>
  <si>
    <t>gcrowther@everettcc.edu</t>
  </si>
  <si>
    <t>We thank Benjamin Wiggins (Shoreline Community College) for his encouragement and advice on publishing this project. We thank Susan Wick (University of Minnesota, emerita) for spearheading the NSF-funded Promoting Active Learning and Mentoring (PALM) progr; NSF-funded Promoting Active Learning and Mentoring (PALM) program; American Physiological Society; Everett Community College; Whitman College</t>
  </si>
  <si>
    <t>We thank Benjamin Wiggins (Shoreline Community College) for his encouragement and advice on publishing this project. We thank Susan Wick (University of Minnesota, emerita) for spearheading the NSF-funded Promoting Active Learning and Mentoring (PALM) program to support collaboration between G.J.C. and U.S. Finally, G.J.C. thanks the American Physiological Society for its Teaching Career Enhancement Award to cover publication costs and Everett Community College (G.J.C.) and Whitman College (L.S.K. and T.A.K.) for supporting sabbaticals during which the bulk of this project was conducted.</t>
  </si>
  <si>
    <t>1935-7877</t>
  </si>
  <si>
    <t>1935-7885</t>
  </si>
  <si>
    <t>J MICROBIOL BIOL EDU</t>
  </si>
  <si>
    <t>J. Microbiol. Biol. Educ.</t>
  </si>
  <si>
    <t>10.1128/jmbe.00153-23</t>
  </si>
  <si>
    <t>Education, Scientific Disciplines</t>
  </si>
  <si>
    <t>CT0I0</t>
  </si>
  <si>
    <t>WOS:001095972600001</t>
  </si>
  <si>
    <t>Fowler, T; Pullen, S; Birkett, L</t>
  </si>
  <si>
    <t>Fowler, Thomas; Pullen, Simon; Birkett, Liam</t>
  </si>
  <si>
    <t>BRITISH JOURNAL OF OPHTHALMOLOGY</t>
  </si>
  <si>
    <t>BackgroundChat Generative Pre-trained Transformer (ChatGPT), a large language model by OpenAI, and Bard, Google's artificial intelligence (AI) chatbot, have been evaluated in various contexts. This study aims to assess these models' proficiency in the part 1 Fellowship of the Royal College of Ophthalmologists (FRCOphth) Multiple Choice Question (MCQ) examination, highlighting their potential in medical education.MethodsBoth models were tested on a sample question bank for the part 1 FRCOphth MCQ exam. Their performances were compared with historical human performance on the exam, focusing on the ability to comprehend, retain and apply information related to ophthalmology. We also tested it on the book 'MCQs for FRCOpth part 1', and assessed its performance across subjects.ResultsChatGPT demonstrated a strong performance, surpassing historical human pass marks and examination performance, while Bard underperformed. The comparison indicates the potential of certain AI models to match, and even exceed, human standards in such tasks.ConclusionThe results demonstrate the potential of AI models, such as ChatGPT, in processing and applying medical knowledge at a postgraduate level. However, performance varied among different models, highlighting the importance of appropriate AI selection. The study underlines the potential for AI applications in medical education and the necessity for further investigation into their strengths and limitations.</t>
  </si>
  <si>
    <t>[Fowler, Thomas] Barking Havering &amp; Redbridge Univ Hosp NHS Trust, Dept Med, London, England; [Pullen, Simon] Princess Alexandra Hosp, Dept Anaesthet, Harlow, England; [Birkett, Liam] Royal Free Hosp, Emergency Med, London, England; [Fowler, Thomas] Barking Havering &amp; Redbridge Univ Hosp NHS Trust, London, England</t>
  </si>
  <si>
    <t>Princess Alexandra Hospital NHS Trust; University of London; University College London; Royal Free London NHS Foundation Trust; UCL Medical School</t>
  </si>
  <si>
    <t>Fowler, T (corresponding author), Barking Havering &amp; Redbridge Univ Hosp NHS Trust, London, England.</t>
  </si>
  <si>
    <t>thomas.fowler6@nhs.net</t>
  </si>
  <si>
    <t>We would like to acknowledge OpenAI for providing access to the ChatGPT model and the memorisation effects Levenshtein detector (MELD) algorithm, which were used in this study.</t>
  </si>
  <si>
    <t>BMJ PUBLISHING GROUP</t>
  </si>
  <si>
    <t>BRITISH MED ASSOC HOUSE, TAVISTOCK SQUARE, LONDON WC1H 9JR, ENGLAND</t>
  </si>
  <si>
    <t>0007-1161</t>
  </si>
  <si>
    <t>1468-2079</t>
  </si>
  <si>
    <t>BRIT J OPHTHALMOL</t>
  </si>
  <si>
    <t>2023 NOV 6</t>
  </si>
  <si>
    <t>Ophthalmology</t>
  </si>
  <si>
    <t>X3OG6</t>
  </si>
  <si>
    <t>WOS:001097575500001</t>
  </si>
  <si>
    <t>Cheong, RCT; Unadkat, S; Mcneillis, V; Williamson, A; Joseph, J; Randhawa, P; Andrews, P; Paleri, V</t>
  </si>
  <si>
    <t>Cheong, Ryan Chin Taw; Unadkat, Samit; Mcneillis, Venkata; Williamson, Andrew; Joseph, Jonathan; Randhawa, Premjit; Andrews, Peter; Paleri, Vinidh</t>
  </si>
  <si>
    <t>EUROPEAN ARCHIVES OF OTO-RHINO-LARYNGOLOGY</t>
  </si>
  <si>
    <t>Artificial intelligence; Large language models; ChatGPT; Google Bard; Obstructive sleep apnoea; Patient education material</t>
  </si>
  <si>
    <t>Purpose To perform the first head-to-head comparative evaluation of patient education material for obstructive sleep apnoea generated by two artificial intelligence chatbots, ChatGPT and its primary rival Google Bard.Methods Fifty frequently asked questions on obstructive sleep apnoea in English were extracted from the patient information webpages of four major sleep organizations and categorized as input prompts. ChatGPT and Google Bard responses were selected and independently rated using the Patient Education Materials Assessment Tool-Printable (PEMAT-P) Auto-Scoring Form by two otolaryngologists, with a Fellowship of the Royal College of Surgeons (FRCS) and a special interest in sleep medicine and surgery. Responses were subjectively screened for any incorrect or dangerous information as a secondary outcome. The Flesch-Kincaid Calculator was used to evaluate the readability of responses for both ChatGPT and Google Bard.Results A total of 46 questions were curated and categorized into three domains: condition (n = 14), investigation (n = 9) and treatment (n = 23). Understandability scores for ChatGPT versus Google Bard on the various domains were as follows: condition 90.86% vs.76.32% (p &lt; 0.001); investigation 89.94% vs. 71.67% (p &lt; 0.001); treatment 90.78% vs.73.74% (p &lt; 0.001). Actionability scores for ChatGPT versus Google Bard on the various domains were as follows: condition 77.14% vs. 51.43% (p &lt; 0.001); investigation 72.22% vs. 54.44% (p = 0.05); treatment 73.04% vs. 54.78% (p = 0.002). The mean Flesch-Kincaid Grade Level for ChatGPT was 9.0 and Google Bard was 5.9. No incorrect or dangerous information was identified in any of the generated responses from both ChatGPT and Google Bard.Conclusion Evaluation of ChatGPT and Google Bard patient education material for OSA indicates the former to offer superior information across several domains.</t>
  </si>
  <si>
    <t>[Cheong, Ryan Chin Taw; Williamson, Andrew; Paleri, Vinidh] Royal Marsden NHS Fdn Trust, Otolaryngol Head &amp; Neck Surg Dept, Fulham Rd, London SW3 6JJ, England; [Unadkat, Samit; Mcneillis, Venkata; Joseph, Jonathan; Randhawa, Premjit; Andrews, Peter] Univ Coll London Hosp NHS Fdn Trust, Royal Natl ENT &amp; Eastman Dent Hosp, Otolaryngol Head &amp; Neck Surg Dept, London, England</t>
  </si>
  <si>
    <t>Cheong, RCT (corresponding author), Royal Marsden NHS Fdn Trust, Otolaryngol Head &amp; Neck Surg Dept, Fulham Rd, London SW3 6JJ, England.</t>
  </si>
  <si>
    <t>ryan.cheong@nhs.net</t>
  </si>
  <si>
    <t>0937-4477</t>
  </si>
  <si>
    <t>1434-4726</t>
  </si>
  <si>
    <t>EUR ARCH OTO-RHINO-L</t>
  </si>
  <si>
    <t>Eur. Arch. Oto-Rhino-Laryn.</t>
  </si>
  <si>
    <t>Otorhinolaryngology</t>
  </si>
  <si>
    <t>FD4N0</t>
  </si>
  <si>
    <t>WOS:001098005800002</t>
  </si>
  <si>
    <t>de Zarzà, I; de Curtò, J; Roig, G; Calafate, CT</t>
  </si>
  <si>
    <t>de Zarza, I.; de Curto, J.; Roig, Gemma; Calafate, Carlos T.</t>
  </si>
  <si>
    <t>LLM Multimodal Traffic Accident Forecasting</t>
  </si>
  <si>
    <t>SENSORS</t>
  </si>
  <si>
    <t>LLM; VLM; LLaVA; accident forecasting; transformers; time series analysis; PCA loadings</t>
  </si>
  <si>
    <t>With the rise in traffic congestion in urban centers, predicting accidents has become paramount for city planning and public safety. This work comprehensively studied the efficacy of modern deep learning (DL) methods in forecasting traffic accidents and enhancing Level-4 and Level-5 (L-4 and L-5) driving assistants with actionable visual and language cues. Using a rich dataset detailing accident occurrences, we juxtaposed the Transformer model against traditional time series models like ARIMA and the more recent Prophet model. Additionally, through detailed analysis, we delved deep into feature importance using principal component analysis (PCA) loadings, uncovering key factors contributing to accidents. We introduce the idea of using real-time interventions with large language models (LLMs) in autonomous driving with the use of lightweight compact LLMs like LLaMA-2 and Zephyr-7b-alpha. Our exploration extends to the realm of multimodality, through the use of Large Language-and-Vision Assistant (LLaVA)-a bridge between visual and linguistic cues by means of a Visual Language Model (VLM)-in conjunction with deep probabilistic reasoning, enhancing the real-time responsiveness of autonomous driving systems. In this study, we elucidate the advantages of employing large multimodal models within DL and deep probabilistic programming for enhancing the performance and usability of time series forecasting and feature weight importance, particularly in a self-driving scenario. This work paves the way for safer, smarter cities, underpinned by data-driven decision making.</t>
  </si>
  <si>
    <t>[de Zarza, I.; de Curto, J.; Roig, Gemma] GOETHE Univ Frankfurt Main, Informat &amp; Math, D-60323 Frankfurt, Germany; [de Zarza, I.; de Curto, J.; Calafate, Carlos T.] Univ Politecn Valencia, Dept Informat Sistemas &amp; Comp, Valencia 46022, Spain; [de Zarza, I.; de Curto, J.] Univ Oberta Catalunya, Estudis Informat Multimedia &amp; Telecomunicac, Barcelona 08018, Spain; [Roig, Gemma] HESSIAN Ctr AI Hessian AI, D-64289 Darmstadt, Germany</t>
  </si>
  <si>
    <t>Goethe University Frankfurt; Universitat Politecnica de Valencia; UOC Universitat Oberta de Catalunya</t>
  </si>
  <si>
    <t>de Curtò, J (corresponding author), GOETHE Univ Frankfurt Main, Informat &amp; Math, D-60323 Frankfurt, Germany.;de Curtò, J (corresponding author), Univ Politecn Valencia, Dept Informat Sistemas &amp; Comp, Valencia 46022, Spain.;de Curtò, J (corresponding author), Univ Oberta Catalunya, Estudis Informat Multimedia &amp; Telecomunicac, Barcelona 08018, Spain.</t>
  </si>
  <si>
    <t>dezarza@em.uni-frankfurt.de; decurto@em.uni-frankfurt.de; roig@cs.uni-frankfurt.de; calafate@disca.upv.es</t>
  </si>
  <si>
    <t>GOETHE-University Frankfurt am Main; xAIBiology-Hessian.AI</t>
  </si>
  <si>
    <t>1424-8220</t>
  </si>
  <si>
    <t>SENSORS-BASEL</t>
  </si>
  <si>
    <t>Sensors</t>
  </si>
  <si>
    <t>NOV</t>
  </si>
  <si>
    <t>10.3390/s23229225</t>
  </si>
  <si>
    <t>Chemistry, Analytical; Engineering, Electrical &amp; Electronic; Instruments &amp; Instrumentation</t>
  </si>
  <si>
    <t>Chemistry; Engineering; Instruments &amp; Instrumentation</t>
  </si>
  <si>
    <t>AQ4Z7</t>
  </si>
  <si>
    <t>WOS:001119927100001</t>
  </si>
  <si>
    <t>Demszky, D; Yang, DY; Yeager, DS; Bryan, CJ; Clapper, M; Chandhok, S; Eichstaedt, JC; Hecht, C; Jamieson, J; Johnson, M; Jones, M; Krettek-Cobb, D; Lai, LS; Jonesmitchell, N; Ong, DC; Dweck, CS; Gross, JJ; Pennebaker, JW</t>
  </si>
  <si>
    <t>Demszky, Dorottya; Yang, Diyi; Yeager, David; Bryan, Christopher; Clapper, Margarett; Chandhok, Susannah; Eichstaedt, Johannes; Hecht, Cameron; Jamieson, Jeremy; Johnson, Meghann; Jones, Michaela; Krettek-Cobb, Danielle; Lai, Leslie; Jonesmitchell, Nirel; Ong, Desmond; Dweck, Carol; Gross, James; Pennebaker, James</t>
  </si>
  <si>
    <t>Using large language models in psychology</t>
  </si>
  <si>
    <t>NATURE REVIEWS PSYCHOLOGY</t>
  </si>
  <si>
    <t>RESPONSES; MINDSET; STRESS; BIAS</t>
  </si>
  <si>
    <t>Large language models (LLMs), such as OpenAI's GPT-4, Google's Bard or Meta's LLaMa, have created unprecedented opportunities for analysing and generating language data on a massive scale. Because language data have a central role in all areas of psychology, this new technology has the potential to transform the field. In this Perspective, we review the foundations of LLMs. We then explain how the way that LLMs are constructed enables them to effectively generate human-like linguistic output without the ability to think or feel like a human. We argue that although LLMs have the potential to advance psychological measurement, experimentation and practice, they are not yet ready for many of the most transformative psychological applications - but further research and development may enable such use. Next, we examine four major concerns about the application of LLMs to psychology, and how each might be overcome. Finally, we conclude with recommendations for investments that could help to address these concerns: field-initiated 'keystone' datasets; increased standardization of performance benchmarks; and shared computing and analysis infrastructure to ensure that the future of LLM-powered research is equitable. Large language models (LLMs), which can generate and score text in human-like ways, have the potential to advance psychological measurement, experimentation and practice. In this Perspective, Demszky and colleagues describe how LLMs work, concerns about using them for psychological purposes, and how these concerns might be addressed.</t>
  </si>
  <si>
    <t>[Demszky, Dorottya] Stanford Univ, Grad Sch Educ, Stanford, CA 94305 USA; [Yang, Diyi] Stanford Univ, Dept Comp Sci, Stanford, CA 94305 USA; [Yeager, David; Bryan, Christopher; Clapper, Margarett; Hecht, Cameron; Johnson, Meghann; Jones, Michaela; Jonesmitchell, Nirel; Ong, Desmond] Univ Texas Austin, Texas Behav Sci &amp; Policy Inst, Austin, TX 78712 USA; [Yeager, David; Clapper, Margarett; Hecht, Cameron; Ong, Desmond; Pennebaker, James] Univ Texas Austin, Dept Psychol, Austin, TX 78712 USA; [Bryan, Christopher] Univ Texas Austin, Dept Business Govt &amp; Soc, Austin, TX 78712 USA; [Chandhok, Susannah; Krettek-Cobb, Danielle; Lai, Leslie] Google LLC, Mountain View, CA USA; [Eichstaedt, Johannes; Dweck, Carol; Gross, James] Stanford Univ, Dept Psychol, Stanford, CA USA; [Eichstaedt, Johannes] Stanford Univ, Inst Human Ctr AI, Stanford, CA USA; [Jamieson, Jeremy] Univ Rochester, Dept Psychol, Rochester, NY USA</t>
  </si>
  <si>
    <t>Stanford University; Stanford University; University of Texas System; University of Texas Austin; University of Texas System; University of Texas Austin; University of Texas System; University of Texas Austin; Google Incorporated; Stanford University; Stanford University; University of Rochester</t>
  </si>
  <si>
    <t>Demszky, D (corresponding author), Stanford Univ, Grad Sch Educ, Stanford, CA 94305 USA.;Yang, DY (corresponding author), Stanford Univ, Dept Comp Sci, Stanford, CA 94305 USA.;Yeager, DS (corresponding author), Univ Texas Austin, Texas Behav Sci &amp; Policy Inst, Austin, TX 78712 USA.;Yeager, DS (corresponding author), Univ Texas Austin, Dept Psychol, Austin, TX 78712 USA.</t>
  </si>
  <si>
    <t>ddemszky@stanford.edu; diyiy@stanford.edu; yeagerds@austin.utexas.edu</t>
  </si>
  <si>
    <t>This work was supported by the National Science Foundation under award numbers 1761179 and 2201928 (PI: D.S.Y.), by the National Institutes of Health under award numbers R01HD084772 (PI: D.S.Y.) and P2CHD042849 (Population Research Center), and by the William and Melinda Gates Foundation under awards INV-047751 and INV-004519 (PI: D.S.Y.). This work was also supported by an Advanced Research Fellowship from the Jacobs Foundation to D.S.Y., and the Institute for Human-Centered A.I. at Stanford University to J.C.E. The content is solely the responsibility of the authors and does not necessarily represent the official views of the funding agencies. The authors also thank C. Smith for creating the original version of the figures included with the original submission. The glossary definitions were generated by GPT-4 in May 2023 and edited by the authors.</t>
  </si>
  <si>
    <t>2731-0574</t>
  </si>
  <si>
    <t>NAT REV PSYCHOL</t>
  </si>
  <si>
    <t>Nat. Rev. Psychol.</t>
  </si>
  <si>
    <t>10.1038/s44159-023-00241-5</t>
  </si>
  <si>
    <t>CJ1N6</t>
  </si>
  <si>
    <t>WOS:001124794900011</t>
  </si>
  <si>
    <t>Gabor-Siatkowska, K; Sowanski, M; Rzatkiewicz, R; Stefaniak, I; Kozlowski, M; Janicki, A</t>
  </si>
  <si>
    <t>Gabor-Siatkowska, Karolina; Sowanski, Marcin; Rzatkiewicz, Rafal; Stefaniak, Izabela; Kozlowski, Marek; Janicki, Artur</t>
  </si>
  <si>
    <t>AI to Train AI: Using ChatGPT to Improve the Accuracy of a Therapeutic Dialogue System</t>
  </si>
  <si>
    <t>spoken dialogue system; speech recognition; ChatGPT; data augmentation; computer-aided therapy; cognitive-behavioral therapy</t>
  </si>
  <si>
    <t>In this work, we present the use of one artificial intelligence (AI) application (ChatGPT) to train another AI-based application. As the latter one, we show a dialogue system named Terabot, which was used in the therapy of psychiatric patients. Our study was motivated by the fact that for such a domain-specific system, it was difficult to acquire large real-life data samples to increase the training database: this would require recruiting more patients, which is both time-consuming and costly. To address this gap, we have employed a neural large language model: ChatGPT version 3.5, to generate data solely for training our dialogue system. During initial experiments, we identified intents that were most often misrecognized. Next, we fed ChatGPT with a series of prompts, which triggered the language model to generate numerous additional training entries, e.g., alternatives to the phrases that had been collected during initial experiments with healthy users. This way, we have enlarged the training dataset by 112%. In our case study, for testing, we used 2802 speech recordings originating from 32 psychiatric patients. As an evaluation metric, we used the accuracy of intent recognition. The speech samples were converted into text using automatic speech recognition (ASR). The analysis showed that the patients' speech challenged the ASR module significantly, resulting in deteriorated speech recognition and, consequently, low accuracy of intent recognition. However, thanks to the augmentation of the training data with ChatGPT-generated data, the intent recognition accuracy increased by 13% relatively, reaching 86% in total. We also emulated the case of an error-free ASR and showed the impact of ASR misrecognitions on the intent recognition accuracy. Our study showcased the potential of using generative language models to develop other AI-based tools, such as dialogue systems.</t>
  </si>
  <si>
    <t>[Gabor-Siatkowska, Karolina; Sowanski, Marcin; Rzatkiewicz, Rafal; Kozlowski, Marek; Janicki, Artur] Warsaw Univ Technol, Fac Elect &amp; Informat Technol, Nowowiejska 15-19, PL-00665 Warsaw, Poland; [Stefaniak, Izabela] Lazarski Univ, Fac Med, Ul Swieradowska 43, PL-02662 Warsaw, Poland</t>
  </si>
  <si>
    <t>Warsaw University of Technology; Uczelnia Lazarskiego w Warszawie</t>
  </si>
  <si>
    <t>Gabor-Siatkowska, K; Janicki, A (corresponding author), Warsaw Univ Technol, Fac Elect &amp; Informat Technol, Nowowiejska 15-19, PL-00665 Warsaw, Poland.</t>
  </si>
  <si>
    <t>karolina.gabor-siatkowska.dokt@pw.edu.pl; artur.janicki@pw.edu.pl</t>
  </si>
  <si>
    <t>Janicki, Artur/0000-0002-9937-4402</t>
  </si>
  <si>
    <t>Center for Priority Research Area Artificial Intelligence and Robotics of the Warsaw University of Technology</t>
  </si>
  <si>
    <t>10.3390/electronics12224694</t>
  </si>
  <si>
    <t>AT7G7</t>
  </si>
  <si>
    <t>WOS:001120766500001</t>
  </si>
  <si>
    <t>Kauf, C; Ivanova, AA; Rambelli, G; Chersoni, E; She, JS; Chowdhury, Z; Fedorenko, E; Lenci, A</t>
  </si>
  <si>
    <t>Kauf, Carina; Ivanova, Anna A.; Rambelli, Giulia; Chersoni, Emmanuele; She, Jingyuan Selena; Chowdhury, Zawad; Fedorenko, Evelina; Lenci, Alessandro</t>
  </si>
  <si>
    <t>Event Knowledge in Large Language Models: The Gap Between the Impossible and the Unlikely</t>
  </si>
  <si>
    <t>COGNITIVE SCIENCE</t>
  </si>
  <si>
    <t>Generalized event knowledge; World knowledge; Plausibility; Typicality; Artificial neural networks; Language models; Syntax; Semantics</t>
  </si>
  <si>
    <t>EYE-MOVEMENTS; INTEGRATION; PREDICTION; VERBS; REPRESENTATION; PERCEPTION; VIOLATIONS; MEMORY</t>
  </si>
  <si>
    <t>Word co-occurrence patterns in language corpora contain a surprising amount of conceptual knowledge. Large language models (LLMs), trained to predict words in context, leverage these patterns to achieve impressive performance on diverse semantic tasks requiring world knowledge. An important but understudied question about LLMs' semantic abilities is whether they acquire generalized knowledge of common events. Here, we test whether five pretrained LLMs (from 2018's BERT to 2023's MPT) assign a higher likelihood to plausible descriptions of agent-patient interactions than to minimally different implausible versions of the same event. Using three curated sets of minimal sentence pairs (total n = 1215), we found that pretrained LLMs possess substantial event knowledge, outperforming other distributional language models. In particular, they almost always assign a higher likelihood to possible versus impossible events (The teacher bought the laptop vs. The laptop bought the teacher). However, LLMs show less consistent preferences for likely versus unlikely events (The nanny tutored the boy vs. The boy tutored the nanny). In follow-up analyses, we show that (i) LLM scores are driven by both plausibility and surface-level sentence features, (ii) LLM scores generalize well across syntactic variants (active vs. passive constructions) but less well across semantic variants (synonymous sentences), (iii) some LLM errors mirror human judgment ambiguity, and (iv) sentence plausibility serves as an organizing dimension in internal LLM representations. Overall, our results show that important aspects of event knowledge naturally emerge from distributional linguistic patterns, but also highlight a gap between representations of possible/impossible and likely/unlikely events.</t>
  </si>
  <si>
    <t>[Kauf, Carina; Ivanova, Anna A.; She, Jingyuan Selena; Fedorenko, Evelina] MIT, Dept Brain &amp; Cognit Sci, Cambridge, MA USA; [Kauf, Carina; Ivanova, Anna A.; She, Jingyuan Selena; Fedorenko, Evelina] MIT, McGovern Inst Brain Res, Cambridge, MA USA; [Ivanova, Anna A.] MIT, Comp Sci &amp; Artificial Intelligence Lab, Cambridge, MA USA; [Rambelli, Giulia] Univ Bologna, Dept Modern Languages Literatures &amp; Cultures, Bologna, Italy; [Chersoni, Emmanuele] Hong Kong Polytech Univ, Dept Chinese &amp; Bilingual Studies, Hong Kong, Peoples R China; [Chowdhury, Zawad] Univ Washington, Dept Math, Seattle, WA USA; [Lenci, Alessandro] Univ Pisa, Dept Philol Literature &amp; Linguist, Pisa, Italy; [Kauf, Carina] MIT, Dept Brain &amp; Cognit Sci, 43 Vassar St, Cambridge, MA 02139 USA</t>
  </si>
  <si>
    <t>Massachusetts Institute of Technology (MIT); Massachusetts Institute of Technology (MIT); Massachusetts Institute of Technology (MIT); University of Bologna; Hong Kong Polytechnic University; University of Washington; University of Washington Seattle; University of Pisa; Massachusetts Institute of Technology (MIT)</t>
  </si>
  <si>
    <t>Kauf, C (corresponding author), MIT, Dept Brain &amp; Cognit Sci, 43 Vassar St, Cambridge, MA 02139 USA.</t>
  </si>
  <si>
    <t>ckauf@mit.edu</t>
  </si>
  <si>
    <t>MISTI Global Seed Fund (the MIT-Italy program); K. Lisa Yang Integrative Computational Neuroscience (ICoN) Center at MIT; Whitaker Health Sciences Fund Fellowship from MIT; MIT Quest for Intelligence; University of Pisa; General Research Fund Modeling Generalized Event Knowledge for Noun Compound Interpretation and Prediction with Vector Spaces and Transformers (B-Q0AH); NIH [R01-DC016607, R01-DC016950, U01-NS121471]; McGovern Institute for Brain Research; Brain and Cognitive Sciences Department; Simons Center for the Social Brain; Middleton Professorship; PNRR-M4C2-Investimento 1.3, Partenariato Esteso-FAIR-Future Artificial Intelligence Research-Spoke 1 Human-centered AI by the European Commission under the NextGeneration EU programme [PE00000013]</t>
  </si>
  <si>
    <t>MISTI Global Seed Fund (the MIT-Italy program); K. Lisa Yang Integrative Computational Neuroscience (ICoN) Center at MIT; Whitaker Health Sciences Fund Fellowship from MIT; MIT Quest for Intelligence; University of Pisa; General Research Fund Modeling Generalized Event Knowledge for Noun Compound Interpretation and Prediction with Vector Spaces and Transformers (B-Q0AH); NIH(United States Department of Health &amp; Human ServicesNational Institutes of Health (NIH) - USA); McGovern Institute for Brain Research; Brain and Cognitive Sciences Department; Simons Center for the Social Brain; Middleton Professorship; PNRR-M4C2-Investimento 1.3, Partenariato Esteso-FAIR-Future Artificial Intelligence Research-Spoke 1 Human-centered AI by the European Commission under the NextGeneration EU programme</t>
  </si>
  <si>
    <t>We thank Josh Tenenbaum, Roger Levy, Jacob Andreas, and HuthLab members for helpful comments. This collaborative work was made possible thanks to the MIT-UNIPI Project, a grant from the MISTI Global Seed Fund (the MIT-Italy program). CK was supported by the K. Lisa Yang Integrative Computational Neuroscience (ICoN) Center at MIT. AI was supported by the Whitaker Health Sciences Fund Fellowship from MIT and by MIT Quest for Intelligence. GR contributed to this work during her PhD granted by the University of Pisa. EC was supported by the General Research Fund Modeling Generalized Event Knowledge for Noun Compound Interpretation and Prediction with Vector Spaces and Transformers (B-Q0AH). EF was supported by NIH awards R01-DC016607, R01-DC016950, and U01-NS121471, as well as by research funds from the McGovern Institute for Brain Research, the Brain and Cognitive Sciences Department, the Simons Center for the Social Brain, and the Middleton Professorship. This research was also partly funded by PNRR-M4C2-Investimento 1.3, Partenariato Esteso PE00000013-FAIR-Future Artificial Intelligence Research-Spoke 1 Human-centered AI, funded by the European Commission under the NextGeneration EU programme. For the specific concerns of the Italian academic attribution system, GR is responsible for Section 2.3.2.</t>
  </si>
  <si>
    <t>0364-0213</t>
  </si>
  <si>
    <t>1551-6709</t>
  </si>
  <si>
    <t>COGNITIVE SCI</t>
  </si>
  <si>
    <t>Cogn. Sci.</t>
  </si>
  <si>
    <t>e13386</t>
  </si>
  <si>
    <t>10.1111/cogs.13386</t>
  </si>
  <si>
    <t>Psychology, Experimental</t>
  </si>
  <si>
    <t>Z0BG5</t>
  </si>
  <si>
    <t>WOS:001108816900001</t>
  </si>
  <si>
    <t>Kim, G; Yoo, J; Kang, S</t>
  </si>
  <si>
    <t>Kim, Gyunyeop; Yoo, Joon; Kang, Sangwoo</t>
  </si>
  <si>
    <t>Efficient Federated Learning with Pre-Trained Large Language Model Using Several Adapter Mechanisms</t>
  </si>
  <si>
    <t>federated learning; deep learning; transfer learning; adapter transformer</t>
  </si>
  <si>
    <t>Recent advancements in deep learning have led to various challenges, one of which is the issue of data privacy in training data. To address this issue, federated learning, a technique that merges models trained by clients on servers, has emerged as an attractive solution. However, federated learning faces challenges related to data heterogeneity and system heterogeneity. Recent observations suggest that incorporating pre-trained models into federated learning can mitigate some of these challenges. Nonetheless, the main drawback of pre-trained models lies in their typically large model size, leading to excessive data transmission when clients send these models to the server. Additionally, federated learning involves multiple global steps, which means transmitting a large language model to multiple clients results in too much data exchange. In this paper, we propose a novel approach to address this challenge using adapters. Adapters demonstrate training efficiency by training a small capacity adapter layer alongside a large language model. This unique characteristic reduces the volume of data transmission, offering a practical solution to the problem. The evaluation results demonstrate that the proposed method achieves a reduction in training time of approximately 20-40% and a transmission speed improvement of over 98% compared to previous approaches.</t>
  </si>
  <si>
    <t>[Kim, Gyunyeop; Yoo, Joon; Kang, Sangwoo] Gachon Univ, Sch Comp, 1342 Seongnam Daero, Seongnam Si 13120, South Korea</t>
  </si>
  <si>
    <t>Gachon University</t>
  </si>
  <si>
    <t>Yoo, J; Kang, S (corresponding author), Gachon Univ, Sch Comp, 1342 Seongnam Daero, Seongnam Si 13120, South Korea.</t>
  </si>
  <si>
    <t>gyop0817@gachon.ac.kr; joon.yoo@gachon.ac.kr; swkang@gachon.ac.kr</t>
  </si>
  <si>
    <t>Kim, Gyunyeop/0000-0002-9604-8134; Yoo, Joon/0000-0002-9520-5855; Kang, Sangwoo/0000-0002-0281-1726</t>
  </si>
  <si>
    <t>National Research Foundation of Korea (NRF) - Korean government (MSIT) [2022R1A2C1005316, 2021R1F1A1063640]; Gachon University research fund [GCU-202300660001]</t>
  </si>
  <si>
    <t>National Research Foundation of Korea (NRF) - Korean government (MSIT)(National Research Foundation of KoreaMinistry of Science &amp; ICT (MSIT), Republic of Korea); Gachon University research fund</t>
  </si>
  <si>
    <t>This work was supported in part by the National Research Foundation of Korea (NRF)grant funded by the Korean government (MSIT) (2022R1A2C1005316 and 2021R1F1A1063640) and inpart by the Gachon University research fund of 2023 (GCU-202300660001).</t>
  </si>
  <si>
    <t>10.3390/math11214479</t>
  </si>
  <si>
    <t>X7TY2</t>
  </si>
  <si>
    <t>WOS:001100441000001</t>
  </si>
  <si>
    <t>Mole, J; Nelson, A; Chan, ED; Cipolotti, L; Nachev, P</t>
  </si>
  <si>
    <t>Mole, Joe; Nelson, Amy; Chan, Edgar; Cipolotti, Lisa; Nachev, Parashkev</t>
  </si>
  <si>
    <t>Characterizing phonemic fluency by transfer learning with deep language models</t>
  </si>
  <si>
    <t>BRAIN COMMUNICATIONS</t>
  </si>
  <si>
    <t>fluency; frontal lobes; machine learning; language modelling; executive functions</t>
  </si>
  <si>
    <t>VERBAL FLUENCY; FRONTAL-LOBE; COGNITIVE PERFORMANCE; PERSEVERATION; INFORMATION; LESIONS; CORTEX</t>
  </si>
  <si>
    <t>Though phonemic fluency tasks are traditionally indexed by the number of correct responses, the underlying disorder may shape the specific choice of words-both correct and erroneous. We report the first comprehensive qualitative analysis of incorrect and correct words generated on the phonemic ('S') fluency test, in a large sample of patients (n = 239) with focal, unilateral frontal or posterior lesions and healthy controls (n = 136). We conducted detailed qualitative analyses of the single words generated in the phonemic fluency task using categorical descriptions for different types of errors, low-frequency words and clustering/switching. We further analysed patients' and healthy controls' entire sequences of words by employing stochastic block modelling of Generative Pretrained Transformer 3-based deep language representations. We conducted predictive modelling to investigate whether deep language representations of word sequences improved the accuracy of detecting the presence of frontal lesions using the phonemic fluency test. Our qualitative analyses of the single words generated revealed several novel findings. For the different types of errors analysed, we found a non-lateralized frontal effect for profanities, left frontal effects for proper nouns and permutations and a left posterior effect for perseverations. For correct words, we found a left frontal effect for low-frequency words. Our novel large language model-based approach found five distinct communities whose varied word selection patterns reflected characteristic demographic and clinical features. Predictive modelling showed that a model based on Generative Pretrained Transformer 3-derived word sequence representations predicted the presence of frontal lesions with greater fidelity than models of native features. Our study reveals a characteristic pattern of phonemic fluency responses produced by patients with frontal lesions. These findings demonstrate the significant inferential and diagnostic value of characterizing qualitative features of phonemic fluency performance with large language models and stochastic block modelling. Mole, Nelson and colleagues report on the largest analysis of the quality of phonemic fluency responses in focally lesioned patients. A novel transfer learning approach, capable of identifying left frontal patients based on quality of responses, is discussed. This approach predicted frontal dysfunction with far greater accuracy than other features. Graphical Abstract</t>
  </si>
  <si>
    <t>[Mole, Joe; Chan, Edgar; Cipolotti, Lisa] Natl Hosp Neurol &amp; Neurosurg, Dept Neuropsychol, 33 Queen Sq, London WC1N 3BG, England; [Mole, Joe; Nelson, Amy; Chan, Edgar; Cipolotti, Lisa; Nachev, Parashkev] UCL, Inst Neurol, London WC1N 3BG, England</t>
  </si>
  <si>
    <t>University of London; University College London; UCL Medical School; University College London Hospitals NHS Foundation Trust; University of London; University College London</t>
  </si>
  <si>
    <t>Mole, J (corresponding author), Natl Hosp Neurol &amp; Neurosurg, Dept Neuropsychol, 33 Queen Sq, London WC1N 3BG, England.</t>
  </si>
  <si>
    <t>joe.mole@nhs.net</t>
  </si>
  <si>
    <t>Wellcome Trust [089231/A/09/Z]; Department of Health's National Institute for Health Research Biomedical Research Centre; Wellcome [213038]; National Brain Appeal</t>
  </si>
  <si>
    <t>Wellcome Trust(Wellcome Trust); Department of Health's National Institute for Health Research Biomedical Research Centre(National Institutes of Health Research (NIHR)); Wellcome(Wellcome Trust); National Brain Appeal</t>
  </si>
  <si>
    <t>This work was supported by a Wellcome Trust Grant (089231/A/09/Z). It was undertaken at University College London Hospitals NHS Foundation Trust/University College London, which received a proportion of funding from the Department of Health's National Institute for Health Research Biomedical Research Centre's funding scheme. P.N. is supported by Wellcome (213038). J.M. was funded by the National Brain Appeal.</t>
  </si>
  <si>
    <t>2632-1297</t>
  </si>
  <si>
    <t>BRAIN COMMUN</t>
  </si>
  <si>
    <t>Brain Commun.</t>
  </si>
  <si>
    <t>NOV 1</t>
  </si>
  <si>
    <t>fcad318</t>
  </si>
  <si>
    <t>10.1093/braincomms/fcad318</t>
  </si>
  <si>
    <t>Clinical Neurology; Neurosciences</t>
  </si>
  <si>
    <t>Neurosciences &amp; Neurology</t>
  </si>
  <si>
    <t>CR2H5</t>
  </si>
  <si>
    <t>WOS:001126899900008</t>
  </si>
  <si>
    <t>Barash, Y; Klang, E; Konen, E; Sorin, V</t>
  </si>
  <si>
    <t>Barash, Yiftach; Klang, Eyal; Konen, Eli; Sorin, Vera</t>
  </si>
  <si>
    <t>ChatGPT-4 Assistance in Optimizing Emergency Department Radiology Referrals and Imaging Selection</t>
  </si>
  <si>
    <t>JOURNAL OF THE AMERICAN COLLEGE OF RADIOLOGY</t>
  </si>
  <si>
    <t>Large language models; ChatGPT; radiology; referrals; AI</t>
  </si>
  <si>
    <t>REQUEST</t>
  </si>
  <si>
    <t>Purpose: The quality of radiology referrals influences patient management and imaging interpretation by radiologists. The aim of this study was to evaluate ChatGPT-4 as a decision support tool for selecting imaging examinations and generating radiology referrals in the emergency department (ED).Methods: Five consecutive clinical notes from the ED were retrospectively extracted, for each of the following pathologies: pulmonary embolism, obstructing kidney stones, acute appendicitis, diverticulitis, small bowel obstruction, acute cholecystitis, acute hip fracture, and testicular torsion. A total of 40 cases were included. These notes were entered into ChatGPT-4, requesting recommendations on the most appropriate imaging examinations and protocols. The chatbot was also asked to generate radiology referrals. Two independent radiologists graded the referral on a scale ranging from 1 to 5 for clarity, clinical relevance, and differential diagnosis. The chatbot's imaging recommendations were compared with the ACR Appropriateness Criteria (AC) and with the examinations performed in the ED. Agreement between readers was assessed using linear weighted Cohen's k coefficient.Results: ChatGPT-4's imaging recommendations aligned with the ACR AC and ED examinations in all cases. Protocol discrepancies between ChatGPT and the ACR AC were observed in two cases (5%). ChatGPT-4-generated referrals received mean scores of 4.6 and 4.8 for clarity, 4.5 and 4.4 for clinical relevance, and 4.9 from both reviewers for differential diagnosis. Agreement between readers was moderate for clinical relevance and clarity and substantial for differential diagnosis grading.Conclusions: ChatGPT-4 has shown potential in aiding imaging study selection for select clinical cases. As a complementary tool, large language models may improve radiology referral quality. Radiologists should stay informed about this technology and be mindful of potential challenges and risks.</t>
  </si>
  <si>
    <t>[Barash, Yiftach; Klang, Eyal; Sorin, Vera] Chaim Sheba Med Ctr, Dept Diagnost Imaging, Tel Hashomer, Israel; [Barash, Yiftach; Klang, Eyal; Konen, Eli; Sorin, Vera] Tel Aviv Univ, Sackler Sch Med, Tel Aviv, Israel; [Konen, Eli] Chaim Sheba Med Ctr, Dept Diagnost Imaging, Tel Hashomer, Israel; [Klang, Eyal] Chaim Sheba Med Ctr, ARC, Sami Sagol AI Hub, Tel Hashomer, Israel; [Barash, Yiftach; Klang, Eyal; Sorin, Vera] Chaim Sheba Med Ctr, DeepVis Lab, Tel Hashomer, Israel; [Barash, Yiftach] Chaim Sheba Med Ctr, Dept Diagnost Imaging, Emek Haela St 1, IL-52621 Ramat Gan, Israel</t>
  </si>
  <si>
    <t>Barash, Y (corresponding author), Chaim Sheba Med Ctr, Dept Diagnost Imaging, Emek Haela St 1, IL-52621 Ramat Gan, Israel.</t>
  </si>
  <si>
    <t>yibarash@gmail.com</t>
  </si>
  <si>
    <t>Sorin, Vera/IAR-4247-2023</t>
  </si>
  <si>
    <t>Sorin, Vera/0000-0003-0509-4686; Barash, Yiftach/0000-0002-7242-1328</t>
  </si>
  <si>
    <t>ELSEVIER SCIENCE INC</t>
  </si>
  <si>
    <t>STE 800, 230 PARK AVE, NEW YORK, NY 10169 USA</t>
  </si>
  <si>
    <t>1546-1440</t>
  </si>
  <si>
    <t>1558-349X</t>
  </si>
  <si>
    <t>J AM COLL RADIOL</t>
  </si>
  <si>
    <t>J. Am. Coll. Radiol.</t>
  </si>
  <si>
    <t>OCT</t>
  </si>
  <si>
    <t>10.1016/j.jacr.2023.06.009</t>
  </si>
  <si>
    <t>OCT 2023</t>
  </si>
  <si>
    <t>X9CQ4</t>
  </si>
  <si>
    <t>WOS:001101353300001</t>
  </si>
  <si>
    <t>Lim, C; Kim, Y; Shim, Y; Cho, SH; Yang, TJ; Song, YH; Kang, KY; Paek, NC</t>
  </si>
  <si>
    <t>Lim, Chaemyeong; Kim, Youngoh; Shim, Yejin; Cho, Sung-Hwan; Yang, Tae-Jin; Song, Young Hun; Kang, Kiyoon; Paek, Nam-Chon</t>
  </si>
  <si>
    <t>Rice OsGATA16 is a positive regulator for chlorophyll biosynthesis and chloroplast development</t>
  </si>
  <si>
    <t>PLANT JOURNAL</t>
  </si>
  <si>
    <t>rice; OsGATA16; chlorophyll biosynthesis; chloroplast development; OsHEMA; OsCHLH; OsPORA; OsPORB; OsFtsZ</t>
  </si>
  <si>
    <t>NADPH-PROTOCHLOROPHYLLIDE OXIDOREDUCTASE; DNA INSERTIONAL MUTAGENESIS; TRANSCRIPTION FACTORS; GENE-EXPRESSION; GATA FAMILY; LLM-DOMAIN; ARABIDOPSIS; LIGHT; DIVISION; PROTEINS</t>
  </si>
  <si>
    <t>Chloroplasts are essential organelles in plants that contain chlorophylls and facilitate photosynthesis for growth and development. As photosynthetic efficiency significantly impacts crop productivity, understanding the regulatory mechanisms of chloroplast development has been crucial in increasing grain and biomass production. This study demonstrates the involvement of OsGATA16, an ortholog of Arabidopsis GATA, NITRATE INDUCIBLE, CARBON-METABOLISM INVOLVED (GNC), and GNC-LIKE/CYTOKININ-RESPONSIVE GATA FACTOR 1 (GNL/CGA1), in chlorophyll biosynthesis and chloroplast development in rice (Oryza sativa). The osgata16-1 knockdown mutants produced pale-green leaves, while OsGATA16-overexpressed plants (OsGATA16-OE1) generated dark-green leaves, compared to their parental japonica rice. Reverse transcription and quantitative PCR analysis revealed downregulation of genes related to chloroplast division, chlorophyll biosynthesis, and photosynthesis in the leaves of osgata16-1 and upregulation in those of OsGATA16-OE1. Additionally, in vivo binding assays showed that OsGATA16 directly binds to the promoter regions of OsHEMA, OsCHLH, OsPORA, OsPORB, and OsFtsZ, and upregulates their expression. These findings indicate that OsGATA16 serves as a positive regulator controlling chlorophyll biosynthesis and chloroplast development in rice.</t>
  </si>
  <si>
    <t>[Lim, Chaemyeong; Kim, Youngoh; Shim, Yejin; Cho, Sung-Hwan; Yang, Tae-Jin; Paek, Nam-Chon] Seoul Natl Univ, Plant Genom &amp; Breeding Inst, Res Inst Agr &amp; Life Sci, Dept Agr Forestry &amp; Bioresources, Seoul, South Korea; [Song, Young Hun] Seoul Natl Univ, Dept Agr Biotechnol, Seoul, South Korea; [Kang, Kiyoon] Incheon Natl Univ, Div Life Sci, Incheon, South Korea</t>
  </si>
  <si>
    <t>Seoul National University (SNU); Seoul National University (SNU); Incheon National University</t>
  </si>
  <si>
    <t>Paek, NC (corresponding author), Seoul Natl Univ, Plant Genom &amp; Breeding Inst, Res Inst Agr &amp; Life Sci, Dept Agr Forestry &amp; Bioresources, Seoul, South Korea.;Kang, KY (corresponding author), Incheon Natl Univ, Div Life Sci, Incheon, South Korea.</t>
  </si>
  <si>
    <t>kykang@inu.ac.kr; ncpaek@snu.ac.kr</t>
  </si>
  <si>
    <t>Yang, Tae-Jin/0000-0002-9676-8801</t>
  </si>
  <si>
    <t>We thank Gynheung An for providing the seeds of T-DNA mutants. This work was supported by the National Research Foundation of Korea (NRF) grants (2021R1A4A1032888 and 2022R1A2C1091553 to N.C.P.), and the Incheon National University Research Grant (20200297 [2021R1A4A1032888, 2022R1A2C1091553]; National Research Foundation of Korea (NRF) [20200297]; Incheon National University Research Grant</t>
  </si>
  <si>
    <t>We thank Gynheung An for providing the seeds of T-DNA mutants. This work was supported by the National Research Foundation of Korea (NRF) grants (2021R1A4A1032888 and 2022R1A2C1091553 to N.C.P.), and the Incheon National University Research Grant (20200297; National Research Foundation of Korea (NRF)(National Research Foundation of Korea); Incheon National University Research Grant</t>
  </si>
  <si>
    <t>We thank Gynheung An for providing the seeds of T-DNA mutants. This work was supported by the National Research Foundation of Korea (NRF) grants (2021R1A4A1032888 and 2022R1A2C1091553 to N.C.P.), and the Incheon National University Research Grant (20200297 to K.K.).</t>
  </si>
  <si>
    <t>0960-7412</t>
  </si>
  <si>
    <t>1365-313X</t>
  </si>
  <si>
    <t>PLANT J</t>
  </si>
  <si>
    <t>Plant J.</t>
  </si>
  <si>
    <t>10.1111/tpj.16517</t>
  </si>
  <si>
    <t>Plant Sciences</t>
  </si>
  <si>
    <t>GN4L1</t>
  </si>
  <si>
    <t>WOS:001092672500001</t>
  </si>
  <si>
    <t>Nazario-Johnson, L; Zaki, HA; Tung, GA</t>
  </si>
  <si>
    <t>Nazario-Johnson, Lleayem; Zaki, Hossam A.; Tung, Glenn A.</t>
  </si>
  <si>
    <t>Use of Large Language Models to Predict Neuroimaging</t>
  </si>
  <si>
    <t>Artificial intelligence; clinical decision making; ChatGPT</t>
  </si>
  <si>
    <t>Purpose: Large language models (LLMs) have demonstrated a level of competency within the medical field. The aim of this study was to explore the ability of LLMs to predict the best neuroradiologic imaging modality given specific clinical presentations. In addition, the authors seek to determine if LLMs can outperform an experienced neuroradiologist in this regard. Methods: ChatGPT and Glass AI, a health care-based LLM by Glass Health, were used. ChatGPT was prompted to rank the three best neuroimaging modalities while taking the best responses from Glass AI and the neuroradiologist. The responses were compared with the ACR Appropriateness Criteria for 147 conditions. Clinical scenarios were passed into each LLM twice to account for stochasticity. Each output was scored out of 3 on the basis of the criteria. Partial scores were given for nonspecific answers. Results: ChatGPT and Glass AI scored 1.75 and 1.83, respectively, with no statistically significant difference. The neuroradiologist scored 2.20, significantly outperforming both LLMs. ChatGPT was also found to be the more inconsistent of the two LLMs, with the score difference between both outputs being statistically significant. Additionally, scores between different ranks output by ChatGPT were statistically significant. Conclusions: LLMs perform well in selecting appropriate neuroradiologic imaging procedures when prompted with specific clinical scenarios. ChatGPT performed the same as Glass AI, suggesting that with medical text training, ChatGPT could significantly improve its function in this application. LLMs did not outperform an experienced neuroradiologist, indicating the need for continued improvement in the medical context.</t>
  </si>
  <si>
    <t>[Nazario-Johnson, Lleayem; Zaki, Hossam A.] Brown Univ, Rhode Isl Hosp, Warren Alpert Med Sch, Dept Diagnost Imaging, Providence, RI USA; [Tung, Glenn A.] Brown Univ, Rhode Isl Hosp, Warren Alpert Med Sch, Dept Diagnost Imaging,Clin Affairs, Providence, RI USA; [Zaki, Hossam A.] Brown Univ, Warren Alpert Med Sch, Dept Diagnost Imaging, 222 Richmond St, Providence, RI 02903 USA</t>
  </si>
  <si>
    <t>Brown University; Lifespan Health Rhode Island; Rhode Island Hospital; Brown University; Lifespan Health Rhode Island; Rhode Island Hospital; Brown University</t>
  </si>
  <si>
    <t>Zaki, HA (corresponding author), Brown Univ, Warren Alpert Med Sch, Dept Diagnost Imaging, 222 Richmond St, Providence, RI 02903 USA.</t>
  </si>
  <si>
    <t>hossam_zaki@brown.edu</t>
  </si>
  <si>
    <t>Nazario-Johnson, Lleayem/0009-0006-6876-1334; Zaki, Hossam/0000-0003-2391-2689</t>
  </si>
  <si>
    <t>10.1016/j.jacr.2023.06.008</t>
  </si>
  <si>
    <t>X9DT9</t>
  </si>
  <si>
    <t>WOS:001101382800001</t>
  </si>
  <si>
    <t>Rao, A; Kim, J; Kamineni, M; Pang, M; Lie, W; Dreyer, KJ; Succi, MD</t>
  </si>
  <si>
    <t>Rao, Arya; Kim, John; Kamineni, Meghana; Pang, Michael; Lie, Winston; Dreyer, Keith J.; Succi, Marc D.</t>
  </si>
  <si>
    <t>Evaluating GPT as an Adjunct for Radiologic Decision Making: GPT-4 Versus GPT-3.5 in a Breast Imaging Pilot</t>
  </si>
  <si>
    <t>AI; breast imaging; ChatGPT; clinical decision making; clinical decision support</t>
  </si>
  <si>
    <t>CANCER; OVERUTILIZATION; CHATGPT</t>
  </si>
  <si>
    <t>Objective: Despite rising popularity and performance, studies evaluating the use of large language models for clinical decision support are lacking. Here, we evaluate ChatGPT (Generative Pre-trained Transformer)-3.5 and GPT-4's (OpenAI, San Francisco, California) capacity for clinical decision support in radiology via the identification of appropriate imaging services for two important clinical presentations: breast cancer screening and breast pain.Methods: We compared ChatGPT's responses to the ACR Appropriateness Criteria for breast pain and breast cancer screening. Our prompt formats included an open-ended (OE) and a select all that apply (SATA) format. Scoring criteria evaluated whether proposed imaging modalities were in accordance with ACR guidelines. Three replicate entries were conducted for each prompt, and the average of these was used to determine final scores.Results: Both ChatGPT-3.5 and ChatGPT-4 achieved an average OE score of 1.830 (out of 2) for breast cancer screening prompts. ChatGPT-3.5 achieved a SATA average percentage correct of 88.9%, compared with ChatGPT-4's average percentage correct of 98.4% for breast cancer screening prompts. For breast pain, ChatGPT-3.5 achieved an average OE score of 1.125 (out of 2) and a SATA average percentage correct of 58.3%, as compared with an average OE score of 1.666 (out of 2) and a SATA average percentage correct of 77.7%.Discussion: Our results demonstrate the eventual feasibility of using large language models like ChatGPT for radiologic decision making, with the potential to improve clinical workflow and responsible use of radiology services. More use cases and greater accuracy are necessary to evaluate and implement such tools.</t>
  </si>
  <si>
    <t>[Rao, Arya; Kim, John; Kamineni, Meghana; Pang, Michael; Lie, Winston; Dreyer, Keith J.; Succi, Marc D.] Harvard Med Sch, Boston, MA USA; [Rao, Arya; Kim, John; Kamineni, Meghana; Pang, Michael; Lie, Winston; Dreyer, Keith J.] Massachusetts Gen Hosp, Medically Engn Solut Healthcare Incubator Innovat, Boston, MA USA; [Dreyer, Keith J.; Succi, Marc D.] Massachusetts Gen Hosp, Dept Radiol, Boston, MA USA; [Dreyer, Keith J.] Mass Gen Brigham, Boston, MA USA; [Succi, Marc D.] Mass Gen Brigham Enterprise Radiol, Medically Engn Solut Healthcare Innovat Operat Res, Boston, MA USA; [Succi, Marc D.] Massachusetts Gen Hosp, MESH Incubator, Boston, MA USA; [Succi, Marc D.] Massachusetts Gen Hosp, Dept Radiol, 55 Fruit St, Boston, MA 02114 USA</t>
  </si>
  <si>
    <t>Harvard University; Harvard Medical School; Harvard University; Massachusetts General Hospital; Harvard University; Massachusetts General Hospital; Harvard University; Massachusetts General Hospital; Harvard University; Massachusetts General Hospital</t>
  </si>
  <si>
    <t>Succi, MD (corresponding author), Massachusetts Gen Hosp, Dept Radiol, 55 Fruit St, Boston, MA 02114 USA.</t>
  </si>
  <si>
    <t>msucci@mgh.harvard.edu</t>
  </si>
  <si>
    <t>National Institute of General Medical Sciences [T32GM144273]</t>
  </si>
  <si>
    <t>National Institute of General Medical Sciences(United States Department of Health &amp; Human ServicesNational Institutes of Health (NIH) - USANIH National Institute of General Medical Sciences (NIGMS))</t>
  </si>
  <si>
    <t>ACKNOWLEDGMENT The project described was supported in part by award Number T32GM144273 from the National Institute of General Medical Sciences. The content is solely the re-sponsibility of the authors and does not necessarily represent the of fi cial views of the National Institute of General Medical Sciences or the National Institutes of Health.</t>
  </si>
  <si>
    <t>10.1016/j.jacr.2023.05.003</t>
  </si>
  <si>
    <t>X9DB6</t>
  </si>
  <si>
    <t>WOS:001101364500001</t>
  </si>
  <si>
    <t>Escalante, J; Pack, A; Barrett, A</t>
  </si>
  <si>
    <t>Escalante, Juan; Pack, Austin; Barrett, Alex</t>
  </si>
  <si>
    <t>Automated writing evaluation; ChatGPT; Artificial intelligence; Language education</t>
  </si>
  <si>
    <t>The question of how generative AI tools, such as large language models and chatbots, can be leveraged ethically and effectively in education is ongoing. Given the critical role that writing plays in learning and assessment within educational institutions, it is of growing importance for educators to make thoughtful and informed decisions as to how and in what capacity generative AI tools should be leveraged to assist in the development of students' writing skills. This paper reports on two longitudinal studies. Study 1 examined learning outcomes of 48 university English as a new language (ENL) learners in a six-week long repeated measures quasi experimental design where the experimental group received writing feedback generated from ChatGPT (GPT-4) and the control group received feedback from their human tutor. Study 2 analyzed the perceptions of a different group of 43 ENLs who received feedback from both ChatGPT and their tutor. Results of study 1 showed no difference in learning outcomes between the two groups. Study 2 results revealed a near even split in preference for AI-generated or human-generated feedback, with clear advantages to both forms of feedback apparent from the data. The main implication of these studies is that the use of AI-generated feedback can likely be incorporated into ENL essay evaluation without affecting learning outcomes, although we recommend a blended approach that utilizes the strengths of both forms of feedback. The main contribution of this paper is in addressing generative AI as an automatic essay evaluator while incorporating learner perspectives.</t>
  </si>
  <si>
    <t>[Escalante, Juan; Pack, Austin] Brigham Young Univ Hawaii, Fac Educ &amp; Social Work, 55-220 Kulanui St, Laie, HI 96762 USA; [Barrett, Alex] Florida State Univ, Coll Educ, Stone Bldg, 114 West Call St, Tallahassee, FL 32306 USA</t>
  </si>
  <si>
    <t>Brigham Young University; Brigham Young University - Hawaii; State University System of Florida; Florida State University</t>
  </si>
  <si>
    <t>Escalante, J (corresponding author), Brigham Young Univ Hawaii, Fac Educ &amp; Social Work, 55-220 Kulanui St, Laie, HI 96762 USA.</t>
  </si>
  <si>
    <t>Juan.escalante@byuh.edu</t>
  </si>
  <si>
    <t>Escalante, Juan/0009-0009-8534-2504</t>
  </si>
  <si>
    <t>We would like to extend our sincere gratitude to our Research Assistant.</t>
  </si>
  <si>
    <t>OCT 27</t>
  </si>
  <si>
    <t>U9JC9</t>
  </si>
  <si>
    <t>WOS:001087884500001</t>
  </si>
  <si>
    <t>Wei, YH; Guo, L; Lian, C; Chen, J</t>
  </si>
  <si>
    <t>Wei, Yaohui; Guo, Lei; Lian, Cheng; Chen, Jue</t>
  </si>
  <si>
    <t>ChatGPT: Opportunities, risks and priorities for psychiatry</t>
  </si>
  <si>
    <t>ASIAN JOURNAL OF PSYCHIATRY</t>
  </si>
  <si>
    <t>Artificial intelligence; ChatGPT; Large language model; Psychiatry</t>
  </si>
  <si>
    <t>The advancement of large language models such as ChatGPT, opens new possibilities in psychiatry but also invites scrutiny. This paper examines the potential opportunities, risks, and crucial areas of focus within this area. The active engagement of the mental health community is seen as critical to ensure ethical practice, equal access, and a patient-centric approach.</t>
  </si>
  <si>
    <t>[Wei, Yaohui; Lian, Cheng; Chen, Jue] Shanghai Jiao Tong Univ, Shanghai Mental Hlth Ctr, Sch Med, Shanghai, Peoples R China; [Wei, Yaohui] Tech Univ Munich, Univ Hosp Rechts Der Isar, Dept Psychiat &amp; Psychotherapy, Munich, Germany</t>
  </si>
  <si>
    <t>Chen, J (corresponding author), Shanghai Jiao Tong Univ, Shanghai Mental Hlth Ctr, Sch Med, Shanghai, Peoples R China.</t>
  </si>
  <si>
    <t>chenjue2088@163.com</t>
  </si>
  <si>
    <t>Guo, Lei/0000-0003-1624-9604</t>
  </si>
  <si>
    <t>National Natural Science Foundation of China [82071545]; Science and Technology Commission of Shanghai Municipality, Medical Innovation Research Special Project [20Y11906500]; Shanghai Clinical Research Center for Mental Health [19MC1911100]; Shanghai Jiao Tong University [YG2022ZD026]; Shanghai Municipal Hospital Development Center [SHDC12023122]</t>
  </si>
  <si>
    <t>National Natural Science Foundation of China(National Natural Science Foundation of China (NSFC)); Science and Technology Commission of Shanghai Municipality, Medical Innovation Research Special Project; Shanghai Clinical Research Center for Mental Health; Shanghai Jiao Tong University; Shanghai Municipal Hospital Development Center</t>
  </si>
  <si>
    <t>This work was supported by the National Natural Science Foundation of China (82071545) ; the Science and Technology Commission of Shanghai Municipality, Medical Innovation Research Special Project (20Y11906500) ; the Shanghai Clinical Research Center for Mental Health (19MC1911100) ; the Shanghai Jiao Tong University (YG2022ZD026) ; and the Shanghai Municipal Hospital Development Center (SHDC12023122) .</t>
  </si>
  <si>
    <t>1876-2018</t>
  </si>
  <si>
    <t>1876-2026</t>
  </si>
  <si>
    <t>ASIAN J PSYCHIATR</t>
  </si>
  <si>
    <t>Asian J. Psychiatr.</t>
  </si>
  <si>
    <t>10.1016/j.ajp.2023.103808</t>
  </si>
  <si>
    <t>Psychiatry</t>
  </si>
  <si>
    <t>Y9AW4</t>
  </si>
  <si>
    <t>WOS:001108124800001</t>
  </si>
  <si>
    <t>Fecher, B; Hebing, M; Laufer, M; Pohle, J; Sofsky, F</t>
  </si>
  <si>
    <t>Fecher, Benedikt; Hebing, Marcel; Laufer, Melissa; Pohle, Joerg; Sofsky, Fabian</t>
  </si>
  <si>
    <t>AI &amp; SOCIETY</t>
  </si>
  <si>
    <t>Large language models; Science system; Delphi study; Scholarly communication</t>
  </si>
  <si>
    <t>The advent of ChatGPT by OpenAI has prompted extensive discourse on its potential implications for science and higher education. While the impact on education has been a primary focus, there is limited empirical research on the effects of large language models (LLMs) and LLM-based chatbots on science and scientific practice. To investigate this further, we conducted a Delphi study involving 72 researchers specializing in AI and digitization. The study focused on applications and limitations of LLMs, their effects on the science system, ethical and legal considerations, and the required competencies for their effective use. Our findings highlight the transformative potential of LLMs in science, particularly in administrative, creative, and analytical tasks. However, risks related to bias, misinformation, and quality assurance need to be addressed through proactive regulation and science education. This research contributes to informed discussions on the impact of generative AI in science and helps identify areas for future action.</t>
  </si>
  <si>
    <t>[Fecher, Benedikt; Hebing, Marcel; Laufer, Melissa; Pohle, Joerg; Sofsky, Fabian] Alexander von Humboldt Inst Internet &amp; Soc, Berlin, Germany; [Fecher, Benedikt] Wissensch Dialog, Berlin, Germany; [Hebing, Marcel] DBU Digital Business Univ Appl Sci, Berlin, Germany</t>
  </si>
  <si>
    <t>Fecher, B (corresponding author), Alexander von Humboldt Inst Internet &amp; Soc, Berlin, Germany.;Fecher, B (corresponding author), Wissensch Dialog, Berlin, Germany.</t>
  </si>
  <si>
    <t>fecher@hiig.de; marcel.hebing@hiig.de; melissa.laufer@hiig.de; joerg.pohle@hiig.de; fabian.sofsky@hiig.de</t>
  </si>
  <si>
    <t>Alexander von Humboldt Institute for Internet and Society</t>
  </si>
  <si>
    <t>This study was funded and primarily conducted by the Alexander von Humboldt Institute for Internet and Society</t>
  </si>
  <si>
    <t>0951-5666</t>
  </si>
  <si>
    <t>1435-5655</t>
  </si>
  <si>
    <t>AI SOC</t>
  </si>
  <si>
    <t>2023 OCT 26</t>
  </si>
  <si>
    <t>Computer Science, Artificial Intelligence</t>
  </si>
  <si>
    <t>AL4D5</t>
  </si>
  <si>
    <t>WOS:001118598200001</t>
  </si>
  <si>
    <t>Czech, H; Popovicheva, O; Chernov, DG; Kozlov, A; Schneider, E; Shmargunov, VP; Sueur, M; Rüger, CP; Afonso, C; Uzhegov, V; Kozlov, VS; Panchenko, MV; Zimmermann, R</t>
  </si>
  <si>
    <t>Czech, Hendryk; Popovicheva, Olga; Chernov, Dmitriy G.; Kozlov, Alexander; Schneider, Eric; Shmargunov, Vladimir P.; Sueur, Maxime; Rueger, Christopher P.; Afonso, Carlos; Uzhegov, Viktor; Kozlov, Valerii S.; Panchenko, Mikhail V.; Zimmermann, Ralf</t>
  </si>
  <si>
    <t>Wildfire plume ageing in the Photochemical Large Aerosol Chamber (PHOTO-LAC)</t>
  </si>
  <si>
    <t>ENVIRONMENTAL SCIENCE-PROCESSES &amp; IMPACTS</t>
  </si>
  <si>
    <t>SECONDARY ORGANIC AEROSOL; LONG-RANGE TRANSPORT; POLYCYCLIC AROMATIC-HYDROCARBONS; BIOMASS BURNING AEROSOL; FOREST-FIRES; BLACK CARBON; ATMOSPHERIC CHEMISTRY; COMBUSTION EMISSIONS; SMOG CHAMBER; MASS</t>
  </si>
  <si>
    <t>Plumes from wildfires are transported over large distances from remote to populated areas and threaten sensitive ecosystems. Dense wildfire plumes are processed by atmospheric oxidants and complex multiphase chemistry, differing from processes at typical ambient concentrations. For studying dense biomass burning plume chemistry in the laboratory, we establish a Photochemical Large Aerosol Chamber (PHOTO-LAC) being the world's largest aerosol chamber with a volume of 1800 m3 and provide its figures of merit. While the photolysis rate of NO2 (jNO2) is comparable to that of other chambers, the PHOTO-LAC and its associated low surface-to-volume ratio lead to exceptionally low losses of particles to the walls. Photochemical ageing of toluene under high-NOx conditions induces substantial formation of secondary organic aerosols (SOAs) and brown carbon (BrC). Several individual nitrophenolic compounds could be detected by high resolution mass spectrometry, demonstrating similar photochemistry to other environmental chambers. Biomass burning aerosols are generated from pine wood and debris under flaming and smouldering combustion conditions and subsequently aged under photochemical and dark ageing conditions, thus resembling day- and night-time atmospheric chemistry. In the unprecedented long ageing with alternating photochemical and dark ageing conditions, the temporal evolution of particulate matter and its chemical composition is shown by ultra-high resolution mass spectrometry. Due to the spacious cavity, the PHOTO-LAC may be used for applications requiring large amounts of particulate matter, such as comprehensive chemical aerosol characterisation or cell exposures under submersed conditions. We establish laboratory-photochemical ageing in the 1800 m3 environmental chamber PHOTO-LAC to study the atmospheric processing of dense wildfire plumes.</t>
  </si>
  <si>
    <t>[Czech, Hendryk; Schneider, Eric; Rueger, Christopher P.; Zimmermann, Ralf] Univ Rostock, Chair Analyt Chem, Joint Mass Spectrometry Ctr JMSC, Dept Analyt &amp; Tech Chem, D-18059 Rostock, Germany; [Popovicheva, Olga] Lomonosov Moscow State Univ, Skobeltsyn Inst Nucl Phys, Moscow 119991, Russia; [Chernov, Dmitriy G.; Shmargunov, Vladimir P.; Uzhegov, Viktor; Kozlov, Valerii S.; Panchenko, Mikhail V.] Russian Acad Sci, VE Zuev Inst Atmospher Opt, Siberian Branch, Tomsk 634055, Russia; [Kozlov, Alexander] Russian Acad Sci, Voevodsky Inst Chem Kinet &amp; Combust, Siberian Branch, Novosibirsk 630090, Russia; [Schneider, Eric; Rueger, Christopher P.; Zimmermann, Ralf] Univ Rostock, Dept Life Light &amp; Matter LLM, D-18059 Rostock, Germany; [Sueur, Maxime; Afonso, Carlos] Normandie Univ, COBRA, CNRS, UNIROUEN,INSA Rouen, F-76000 Rouen, France; [Sueur, Maxime; Afonso, Carlos] Int Joint Lab iC2MC Complex Matr Mol Characterizat, F-76700 Harfleur, France</t>
  </si>
  <si>
    <t>Czech, H (corresponding author), Univ Rostock, Chair Analyt Chem, Joint Mass Spectrometry Ctr JMSC, Dept Analyt &amp; Tech Chem, D-18059 Rostock, Germany.;Popovicheva, O (corresponding author), Lomonosov Moscow State Univ, Skobeltsyn Inst Nucl Phys, Moscow 119991, Russia.</t>
  </si>
  <si>
    <t>hendryk.czech@uni-rostock.de; olga.popovicheva@gmail.com</t>
  </si>
  <si>
    <t>Afonso, Carlos/0000-0002-2406-5664; Chernov, Dmitriy/0000-0003-1877-6678</t>
  </si>
  <si>
    <t>This work was supported by the Russian Foundation for Basic Research (RFBR) and the German Research Foundation (DFG) under the grants 20-55-12001 and ZI 764/24-1. RSF project 19-77-3004-Pi funding is appreciated for support of developing the custom-made; Russian Foundation for Basic Research (RFBR) [20-55-12001, ZI 764/24-1]; German Research Foundation (DFG) [19-77-3004-Pi, 121031500342-0]; RSF; Atmosfera Shared Use Centre [075-15-2021-661]; Ministry of Education and Science of Russia [FR2054]; Interdisciplinary Scientific and Educational School of M. V. Lomonosov Moscow State University &lt;&lt; Future Planet and Global Environmental Change &gt;&gt; with a purpose of comprehensive evaluation of wildfire imp</t>
  </si>
  <si>
    <t>This work was supported by the Russian Foundation for Basic Research (RFBR) and the German Research Foundation (DFG) under the grants 20-55-12001 and ZI 764/24-1. RSF project 19-77-3004-Pi funding is appreciated for support of developing the custom-made; Russian Foundation for Basic Research (RFBR)(Russian Foundation for Basic Research (RFBR)); German Research Foundation (DFG)(German Research Foundation (DFG)); RSF(Russian Science Foundation (RSF)); Atmosfera Shared Use Centre; Ministry of Education and Science of Russia(Ministry of Education and Science, Russian Federation); Interdisciplinary Scientific and Educational School of M. V. Lomonosov Moscow State University &lt;&lt; Future Planet and Global Environmental Change &gt;&gt; with a purpose of comprehensive evaluation of wildfire imp</t>
  </si>
  <si>
    <t>This work was supported by the Russian Foundation for Basic Research (RFBR) and the German Research Foundation (DFG) under the grants 20-55-12001 and ZI 764/24-1. RSF project 19-77-3004-Pi funding is appreciated for support of developing the custom-made aethalometer methodology. Long-term work on the development of the large aerosol chamber and the creation of optical instruments used in experiments was carried out within the framework of the State task for IAO SB RAS No. 121031500342-0. The modernisation of the LAC ventilation and control system was carried out using the equipment of the Atmosfera Shared Use Centre with partial financial support from the Ministry of Education and Science of Russia (contract No. 075-15-2021-661). Research of fundamental photochemistry on the combustion aerosol was performed according to the Development program of the Interdisciplinary Scientific and Educational School of M. V. Lomonosov Moscow State University &lt;&lt; Future Planet and Global Environmental Change &gt;&gt; with a purpose of comprehensive evaluation of wildfire impact on aerosol pollution in the global atmosphere. Access to the CNRS research infrastructure infranalytics (FR2054) is gratefully acknowledged.</t>
  </si>
  <si>
    <t>2050-7887</t>
  </si>
  <si>
    <t>2050-7895</t>
  </si>
  <si>
    <t>ENVIRON SCI-PROC IMP</t>
  </si>
  <si>
    <t>Environ. Sci.-Process Impacts</t>
  </si>
  <si>
    <t>10.1039/d3em00280b</t>
  </si>
  <si>
    <t>Chemistry, Analytical; Environmental Sciences</t>
  </si>
  <si>
    <t>Chemistry; Environmental Sciences &amp; Ecology</t>
  </si>
  <si>
    <t>FQ4W7</t>
  </si>
  <si>
    <t>WOS:001087836700001</t>
  </si>
  <si>
    <t>Tan, TF; Thirunavukarasu, AJ; Campbell, JP; Keane, PA; Pasquale, LR; Abramoff, MD; Kalpathy-Cramer, J; Lum, F; Kim, JE; Baxter, SL; Ting, DSW</t>
  </si>
  <si>
    <t>Tan, Ting Fang; Thirunavukarasu, Arun James; Campbell, J. Peter; Keane, Pearse A.; Pasquale, Louis R.; Abramoff, Michael D.; Kalpathy-Cramer, Jayashree; Lum, Flora; Kim, Judy E.; Baxter, Sally L.; Ting, Daniel Shu Wei</t>
  </si>
  <si>
    <t>Generative Artificial Intelligence Through ChatGPT and Other Large Language Models in Ophthalmology Clinical Applications and Challenges</t>
  </si>
  <si>
    <t>OPHTHALMOLOGY SCIENCE</t>
  </si>
  <si>
    <t>The rapid progress of large language models (LLMs) driving generative artificial intelligence applications heralds the potential of opportunities in health care. We conducted a review up to April 2023 on Google Scholar, Embase, MEDLINE, and Scopus using the following terms: large language models, generative artificial intelligence, ophthalmology, ChatGPT, and eye, based on relevance to this review. From a clinical viewpoint specific to ophthalmologists, we explore from the different stakeholders' perspectivesdincluding patients, physicians, and policymakersdthe potential LLM applications in education, research, and clinical domains specific to ophthal-mology. We also highlight the foreseeable challenges of LLM implementation into clinical practice, including the concerns of accuracy, interpretability, perpetuating bias, and data security. As LLMs continue to mature, it is essential for stakeholders to jointly establish standards for best practices to safeguard patient safety.</t>
  </si>
  <si>
    <t>[Tan, Ting Fang; Ting, Daniel Shu Wei] Singapore Natl Eye Ctr, Singapore Eye Res Inst, Singapore, Singapore; [Thirunavukarasu, Arun James] Univ Cambridge, Sch Clin Med, Cambridge, England; [Thirunavukarasu, Arun James] Univ Cambridge, Corpus Christi Coll, Cambridge, England; [Campbell, J. Peter] Oregon Hlth &amp; Sci Univ, Casey Eye Inst, Dept Ophthalmol, Portland, OR USA; [Keane, Pearse A.] UCL, Moorfields Eye Hosp, London, England; [Pasquale, Louis R.] Icahn Sch Med Mt Sinai, Dept Ophthalmol, New York, NY USA; [Abramoff, Michael D.] Amer Med Assoc, Digital Med Payment Advisory Grp DMPAG Artificial, Chicago, IL USA; [Abramoff, Michael D.] Univ Iowa, Dept Ophthalmol, Iowa City, IA USA; [Abramoff, Michael D.] Digital Diagnost Inc, Coralville, IA USA; [Kalpathy-Cramer, Jayashree] Univ Colorado, Dept Ophthalmol, Anschutz Med Campus, Aurora, CO USA; [Lum, Flora] Amer Acad Ophthalmol, San Francisco, CA USA; [Kim, Judy E.] Med Coll Wisconsin, Dept Ophthalmol, Milwaukee, WI USA; [Baxter, Sally L.] Shiley Eye Inst, Viterbi Family Dept Ophthalmol, Div Ophthalmol Informat &amp; Data Sci, La Jolla, CA USA; [Baxter, Sally L.] Univ Calif San Diego, Hlth Dept Biomed Informat, La Jolla, CA USA; [Ting, Daniel Shu Wei] Stanford Univ, Byers Eye Inst, Stanford, CA USA; [Ting, Daniel Shu Wei] Singapore Eye Res Inst SERI, Singapore Eye Res Inst, Duke NUS Med Sch AI &amp; Digital Innovat, 20 Coll Rd,Level 6,Discovery Tower, Singapore 169856, Singapore</t>
  </si>
  <si>
    <t>Ting, DSW (corresponding author), Singapore Eye Res Inst SERI, Singapore Eye Res Inst, Duke NUS Med Sch AI &amp; Digital Innovat, 20 Coll Rd,Level 6,Discovery Tower, Singapore 169856, Singapore.</t>
  </si>
  <si>
    <t>daniel.ting@duke-nus.edu.sg</t>
  </si>
  <si>
    <t>Research &amp; Innovation Future Leaders Fellowship [MR/T019050/1]; Research to Prevent Blindness (RPB); Glaucoma Foundation (New York); Topcon [NMRC/HSRG/0087/2018, MOH-000655-00, MOH-001014-00]; Duke-NUS Medical School, Singapore [Duke-NUS/RSF/2021/0018, 05/FY2020/EX/15-A58]; Agency for Sci-ence, Technology and Research, Singapore [A20H4g2141, H20C6a0032]</t>
  </si>
  <si>
    <t>Research &amp; Innovation Future Leaders Fellowship; Research to Prevent Blindness (RPB)(Research to Prevent Blindness (RPB)); Glaucoma Foundation (New York); Topcon; Duke-NUS Medical School, Singapore(National University of Singapore); Agency for Sci-ence, Technology and Research, Singapore(Agency for Science Technology &amp; Research (A*STAR))</t>
  </si>
  <si>
    <t>Research &amp; Innovation Future Leaders Fellowship (MR/T019050/1) . L.R.P.: Consultant-Twenty-Twenty, Character Bio; Grant support-National Eye Institute (NEI) , Research to Prevent Blindness (RPB) , The Glaucoma Foundation (New York) . M.D.A.: Investor, director, and consultant-Digital Diagnostics Inc, Coralville, Iowa; Patents and patent applications assigned to the University of Iowa and Digital Diagnostics that are relevant to the subject matter of this manuscript; Chair of Healthcare-AI Coalition, Washington DC, Foundational Principles of AI CCOI Workgroup; Member of the American Academy of Ophthalmology (Academy) Committee on Artificial Intelligence, AI Workgroup Digital Medicine Payment Advisory Group (DMPAG) , Collaborative Community for Ophthalmic Imaging (CCOI) , Washington DC. S.L.B.: Consulting fees-VoxelCloud; Speaking fees-iVista Medical Education; Equipment support-Optomed, Topcon. D.S.W.T.: Patent-a deep-learning system for the detection of retinal diseases; Supported by grants-National Medical Research Council, Singapore, (NMRC/HSRG/0087/2018; MOH-000655-00; MOH-001014-00) , Duke-NUS Medical School, Singapore, (Duke-NUS/RSF/2021/0018; 05/FY2020/EX/15-A58) , Agency for Sci-ence, Technology and Research, Singapore, (A20H4g2141; H20C6a0032) , for research in artificial intelligence.</t>
  </si>
  <si>
    <t>2666-9145</t>
  </si>
  <si>
    <t>OPHTHALMOL SCI</t>
  </si>
  <si>
    <t>Ophthalmol. Sci.</t>
  </si>
  <si>
    <t>10.1016/j.xops.2023.100394</t>
  </si>
  <si>
    <t>X9OY8</t>
  </si>
  <si>
    <t>WOS:001101673900001</t>
  </si>
  <si>
    <t>Bellini-Leite, SC</t>
  </si>
  <si>
    <t>Bellini-Leite, Samuel C.</t>
  </si>
  <si>
    <t>Dual Process Theory for Large Language Models: An overview of using Psychology to address hallucination and reliability issues</t>
  </si>
  <si>
    <t>ADAPTIVE BEHAVIOR</t>
  </si>
  <si>
    <t>Large Language Models; Chain-of-Thoughts; Tree-of-Thoughts; hallucinations; Dual Process Theory</t>
  </si>
  <si>
    <t>WORKING-MEMORY CAPACITY; INDIVIDUAL-DIFFERENCES; CREATIVE COGNITION; SITUATED AGENTS; 2 SYSTEMS; FUTURE; EVANS; OPERATIONS; BELIEF; NEED</t>
  </si>
  <si>
    <t>State-of-the-art Large Language Models have recently exhibited extraordinary linguistic abilities which have surprisingly extended to reasoning. However, responses that are unreliable, false, or invented are still a frequent issue. It has been argued that scaling up strategies, as in increasing model size or hardware power, might not be enough to resolve the issue. Recent research has implemented Type 2 strategies (such as Chain-of-Thought and Tree-of-Thought), as strategies that mimic Type 2 reasoning, from Dual Process Theory, to interact with Large Language Models for improved results. The current paper reviews these strategies in light of the Predicting and Reflecting Framework for understanding Dual Process Theory and suggests what Psychology, drawing from research in executive functions, thinking disposition and creativity, can further contribute to possible implementations that address hallucination and reliability issues.</t>
  </si>
  <si>
    <t>[Bellini-Leite, Samuel C.] Minas Gerais State Univ, Belo Horizonte, Brazil; [Bellini-Leite, Samuel C.] Minas Gerais State Univ, R Goncalves Dias 1434 Lourdes, BR-30140092 Belo Horizonte, Brazil</t>
  </si>
  <si>
    <t>Bellini-Leite, SC (corresponding author), Minas Gerais State Univ, R Goncalves Dias 1434 Lourdes, BR-30140092 Belo Horizonte, Brazil.</t>
  </si>
  <si>
    <t>samuel.leite@uemg.br</t>
  </si>
  <si>
    <t>Minas Gerais State University</t>
  </si>
  <si>
    <t>The author(s) disclosed receipt of the following financial support for the research, authorship, and/or publication of this article: This work was supported by Minas Gerais State University.</t>
  </si>
  <si>
    <t>SAGE PUBLICATIONS LTD</t>
  </si>
  <si>
    <t>1 OLIVERS YARD, 55 CITY ROAD, LONDON EC1Y 1SP, ENGLAND</t>
  </si>
  <si>
    <t>1059-7123</t>
  </si>
  <si>
    <t>1741-2633</t>
  </si>
  <si>
    <t>ADAPT BEHAV</t>
  </si>
  <si>
    <t>Adapt. Behav.</t>
  </si>
  <si>
    <t>2023 OCT 23</t>
  </si>
  <si>
    <t>10.1177/10597123231206604</t>
  </si>
  <si>
    <t>Computer Science, Artificial Intelligence; Psychology, Experimental; Social Sciences, Interdisciplinary</t>
  </si>
  <si>
    <t>Computer Science; Psychology; Social Sciences - Other Topics</t>
  </si>
  <si>
    <t>W3QZ3</t>
  </si>
  <si>
    <t>WOS:001090820300001</t>
  </si>
  <si>
    <t>Elhafsi, A; Sinha, R; Agia, C; Schmerling, E; Nesnas, IAD; Pavone, M</t>
  </si>
  <si>
    <t>Elhafsi, Amine; Sinha, Rohan; Agia, Christopher; Schmerling, Edward; Nesnas, Issa A. D.; Pavone, Marco</t>
  </si>
  <si>
    <t>Semantic anomaly detection with large language models</t>
  </si>
  <si>
    <t>AUTONOMOUS ROBOTS</t>
  </si>
  <si>
    <t>Semantic reasoning; OOD detection; Fault monitoring</t>
  </si>
  <si>
    <t>As robots acquire increasingly sophisticated skills and see increasingly complex and varied environments, the threat of an edge case or anomalous failure is ever present. For example, Tesla cars have seen interesting failure modes ranging from autopilot disengagements due to inactive traffic lights carried by trucks to phantom braking caused by images of stop signs on roadside billboards. These system-level failures are not due to failures of any individual component of the autonomy stack but rather system-level deficiencies in semantic reasoning. Such edge cases, which we call semantic anomalies, are simple for a human to disentangle yet require insightful reasoning. To this end, we study the application of large language models (LLMs), endowed with broad contextual understanding and reasoning capabilities, to recognize such edge cases and introduce a monitoring framework for semantic anomaly detection in vision-based policies. Our experiments apply this framework to a finite state machine policy for autonomous driving and a learned policy for object manipulation. These experiments demonstrate that the LLM-based monitor can effectively identify semantic anomalies in a manner that shows agreement with human reasoning. Finally, we provide an extended discussion on the strengths and weaknesses of this approach and motivate a research outlook on how we can further use foundation models for semantic anomaly detection. Our project webpage can be found at https://sites.google.com/view/llm-anomaly-detection.</t>
  </si>
  <si>
    <t>[Elhafsi, Amine; Sinha, Rohan; Agia, Christopher; Schmerling, Edward; Pavone, Marco] Stanford Univ, Autonomous Syst Lab, 496 Lomita Mall, Stanford, CA 94305 USA; [Nesnas, Issa A. D.] Jet Prop Lab, 4800 Oak Grove Dr, La Canada Flintridge, CA 91109 USA</t>
  </si>
  <si>
    <t>Stanford University; National Aeronautics &amp; Space Administration (NASA); NASA Jet Propulsion Laboratory (JPL)</t>
  </si>
  <si>
    <t>Elhafsi, A (corresponding author), Stanford Univ, Autonomous Syst Lab, 496 Lomita Mall, Stanford, CA 94305 USA.</t>
  </si>
  <si>
    <t>amine@stanford.com; rhnsinha@stanford.edu; cagia@stanford.edu; schmrlng@stanford.edu; issa.a.nesnas@jpl.nasa.gov; pavone@stanford.edu</t>
  </si>
  <si>
    <t>Pavone, Marco/0000-0002-0206-4337</t>
  </si>
  <si>
    <t>NASA University Leadership initiative [80NSSC20M0163]; NASA NSTGRO fellowship [80NSSC19K1143]</t>
  </si>
  <si>
    <t>NASA University Leadership initiative; NASA NSTGRO fellowship</t>
  </si>
  <si>
    <t>The NASA University Leadership initiative(Grant #80NSSC20M0163) provided funds to assist the authors withtheir research. Amine Elhafsi is supported by a NASA NSTGRO fellowship (Grant #80NSSC19K1143). This article solely reflects the opinions and conclusions of its authors and not any NASA entity</t>
  </si>
  <si>
    <t>0929-5593</t>
  </si>
  <si>
    <t>1573-7527</t>
  </si>
  <si>
    <t>AUTON ROBOT</t>
  </si>
  <si>
    <t>Auton. Robot.</t>
  </si>
  <si>
    <t>10.1007/s10514-023-10132-6</t>
  </si>
  <si>
    <t>WOS:001097671300001</t>
  </si>
  <si>
    <t>Biri, SK; Kumar, S; Panigrahi, M; Mondal, S; Behera, JK; Himel, M</t>
  </si>
  <si>
    <t>Biri, Sairavi Kiran; Kumar, Subir; Panigrahi, Muralidhar; Mondal, Shaikat; Behera, Joshil Kumar; Himel, Mondal</t>
  </si>
  <si>
    <t>Assessing the Utilization of Large Language Models in Medical Education: Insights From Undergraduate Medical Students</t>
  </si>
  <si>
    <t>CUREUS JOURNAL OF MEDICAL SCIENCE</t>
  </si>
  <si>
    <t>medical students; practice; attitude; knowledge; chatgpt; intelligence; surveys and questionnaires; search engine; artificial intelligence</t>
  </si>
  <si>
    <t>BackgroundArtificial intelligence (AI) has the potential to be integrated into medical education. Among AI-based technology, large language models (LLMs) such as ChatGPT, Google Bard, Microsoft Bing, and Perplexity have emerged as powerful tools with capabilities in natural language processing. With this background, this study investigates the knowledge, attitude, and practice of undergraduate medical students regarding the utilization of LLMs in medical education in a medical college in Jharkhand, India.MethodsA cross-sectional online survey was sent to 370 undergraduate medical students on Google Forms. The questionnaire comprised the following three domains: knowledge, attitude, and practice, each containing six questions. Cronbach's alphas for knowledge, attitude, and practice domains were 0.703, 0.707, and 0.809, respectively. Intraclass correlation coefficients for knowledge, attitude, and practice domains were 0.82, 0.87, and 0.78, respectively. The average scores in the three domains were compared using ANOVA.ResultsA total of 172 students participated in the study (response rate: 46.49%). The majority of the students (45.93%) rarely used the LLMs for their teaching-learning purposes (chi-square (3) = 41.44, p &lt; 0.0001). The overall score of knowledge (3.21+0.55), attitude (3.47+0.54), and practice (3.26+0.61) were statistically significantly different (ANOVA F (2, 513) = 10.2, p &lt; 0.0001), with the highest score in attitude and lowest in knowledge.ConclusionWhile there is a generally positive attitude toward the incorporation of LLMs in medical education, concerns about overreliance and potential inaccuracies are evident. LLMs offer the potential to enhance learning resources and provide accessible education, but their integration requires further planning. Further studies are required to explore the long-term impact of LLMs in diverse educational contexts.</t>
  </si>
  <si>
    <t>[Biri, Sairavi Kiran] Phulo Jhano Med Coll, Biochem, Dumka, India; [Kumar, Subir] Phulo Jhano Med Coll, Pharmacol, Dumka, India; [Panigrahi, Muralidhar] Bhima Bhoi Med Coll &amp; Hosp, Pharmacol, Balangir, India; [Mondal, Shaikat] Raiganj Govt Med Coll &amp; Hosp, Physiol, Raiganj, India; [Behera, Joshil Kumar] Nagaland Inst Med Sci &amp; Res, Physiol, Kohima, India; [Himel, Mondal] All India Inst Med Sci, Physiol, Deoghar, India</t>
  </si>
  <si>
    <t>Himel, M (corresponding author), All India Inst Med Sci, Physiol, Deoghar, India.</t>
  </si>
  <si>
    <t>himelmkcg@gmail.com</t>
  </si>
  <si>
    <t>Mondal, Himel/G-5111-2017</t>
  </si>
  <si>
    <t>Mondal, Himel/0000-0001-6950-5857</t>
  </si>
  <si>
    <t>2168-8184</t>
  </si>
  <si>
    <t>CUREUS J MED SCIENCE</t>
  </si>
  <si>
    <t>Cureus J Med Sci</t>
  </si>
  <si>
    <t>OCT 22</t>
  </si>
  <si>
    <t>e47468</t>
  </si>
  <si>
    <t>10.7759/cureus.47468</t>
  </si>
  <si>
    <t>Z1FJ4</t>
  </si>
  <si>
    <t>WOS:001109606100002</t>
  </si>
  <si>
    <t>Kirshner, SN</t>
  </si>
  <si>
    <t>Kirshner, Samuel N.</t>
  </si>
  <si>
    <t>GPT and CLT: The impact of ChatGPT's level of abstraction on consumer recommendations</t>
  </si>
  <si>
    <t>JOURNAL OF RETAILING AND CONSUMER SERVICES</t>
  </si>
  <si>
    <t>ChatGPT; Construal level theory; Consumer recommendations; LLMs; Bard</t>
  </si>
  <si>
    <t>CONSTRUAL-LEVEL; PSYCHOLOGICAL DISTANCE; TEMPORAL DISTANCE; REPRESENTATION; FEASIBILITY; FOREST; CHOICE; TREES; SEE</t>
  </si>
  <si>
    <t>This study explores how ChatGPT interprets information through the lens of Construal Level Theory (CLT). The findings show that ChatGPT exhibits an abstraction bias, generating responses consistent with a high-level construal. This abstraction bias results in ChatGPT prioritising high-level construal features (e.g., desirability) over low-level construal features (e.g., feasibility) in consumer evaluation scenarios. Thus, ChatGPT recommendations differ significantly from traditional results based on human decision-making. Applying CLT concepts to large language models provides essential insights into how consumer behaviour may evolve with the increasing prevalence and capability of AI and offers many promising avenues for future research.</t>
  </si>
  <si>
    <t>[Kirshner, Samuel N.] Univ New South Wales, Sch Informat Syst &amp; Technol Management, UNSW Business Sch, Level 2,West Wing,Quadrangle Bldg,UNSW Kensington, Sydney, NSW 2052, Australia</t>
  </si>
  <si>
    <t>University of New South Wales Sydney</t>
  </si>
  <si>
    <t>Kirshner, SN (corresponding author), Univ New South Wales, Sch Informat Syst &amp; Technol Management, UNSW Business Sch, Level 2,West Wing,Quadrangle Bldg,UNSW Kensington, Sydney, NSW 2052, Australia.</t>
  </si>
  <si>
    <t>s.kirshner@unsw.edu.au</t>
  </si>
  <si>
    <t>UNSW Business School; UNSW Bizlab</t>
  </si>
  <si>
    <t>I thank the editors, four anonymous reviewers, and participants from seminars at UNSW, Frankfurt School of Finance &amp; Management, University of Cologne, and University College Cork for helping to develop this research. I also thank the UNSW Business School and UNSW Bizlab for funding this research.</t>
  </si>
  <si>
    <t>0969-6989</t>
  </si>
  <si>
    <t>1873-1384</t>
  </si>
  <si>
    <t>J RETAIL CONSUM SERV</t>
  </si>
  <si>
    <t>J. Retail. Consum. Serv.</t>
  </si>
  <si>
    <t>10.1016/j.jretconser.2023.103580</t>
  </si>
  <si>
    <t>Business</t>
  </si>
  <si>
    <t>Business &amp; Economics</t>
  </si>
  <si>
    <t>Y9RQ4</t>
  </si>
  <si>
    <t>WOS:001108563800001</t>
  </si>
  <si>
    <t>Jensen, TZT; Yeomans, L; Le Meillour, L; Nielsen, PW; Ramsoe, M; Mackie, M; Bangsgaard, P; Kinzel, M; Thuesen, I; Collins, MJ; Taurozzi, AJ</t>
  </si>
  <si>
    <t>Jensen, Theis Zetner Trolle; Yeomans, Lisa; Le Meillour, Louise; Nielsen, Pia Wistoft; Ramsoe, Max; Mackie, Meaghan; Bangsgaard, Pernille; Kinzel, Moritz; Thuesen, Ingolf; Collins, Matthew J.; Taurozzi, Alberto J.</t>
  </si>
  <si>
    <t>Tryps-IN: A streamlined palaeoproteomics workflow enables ZooMS analysis of 10,000-year-old petrous bones from Jordan rift-valley</t>
  </si>
  <si>
    <t>JOURNAL OF ARCHAEOLOGICAL SCIENCE-REPORTS</t>
  </si>
  <si>
    <t>Zoogeography; Zooarchaeology; Palaeoproteomics; MPPNB; LC-MS/MS; ZooMS; Shka over bar rat Msaied</t>
  </si>
  <si>
    <t>SPECIES IDENTIFICATION; SHEEP; DECAY; CAVE</t>
  </si>
  <si>
    <t>Poor preservation of collagen in dry and/or arid environments has hindered the application of Zooarchaeology by mass spectrometry (ZooMS) analysis in many regions of the world. As a result, many zooarchaeological investigations have relied exclusively on morphological assessment of fragmentary remains due to the inadequate preservation of biomolecules. The climatic conditions of Southwest Asia include extreme temperature fluctuations unconducive to preservation of proteins and DNA. We performed zooarchaeological analysis of remains from the 10,000-year-old site of Shka over bar rat Msaied in Jordan and sub-sampled twenty-eight petrous bones, the hardest bone in the mammalian skeleton, for species identification by ZooMS. Using an unconventional and simplified extraction protocol we call Tryps-IN, in which digestion was performed without removal of the demineralising EDTA, we taxonomically identified several fragments, outperforming an established ZooMS workflow. A subset of identifications was subsequently confirmed using liquid chromatography coupled to tandem mass spectrometry (LC-MS/MS) protein sequencing. The new methodology presented here opens the possibility of further bioarchaeological investigation of other fragmentary faunal assemblages within this region of archaeological significance.</t>
  </si>
  <si>
    <t>[Jensen, Theis Zetner Trolle; Le Meillour, Louise; Nielsen, Pia Wistoft; Ramsoe, Max; Mackie, Meaghan; Bangsgaard, Pernille; Collins, Matthew J.; Taurozzi, Alberto J.] Univ Copenhagen, Globe Inst, Fac Hlth &amp; Med Sci, Copenhagen, Denmark; [Yeomans, Lisa] Univ York, Dept Archaeol, BioArCh, Environm Bldg,Wentworth Way, York YO10 5NG, England; [Yeomans, Lisa; Thuesen, Ingolf] Univ Copenhagen, Dept Cross Cultural &amp; Reg Studies, Karen Blixens Plads 8, DK-2300 Copenhagen, Denmark; [Mackie, Meaghan] Univ Copenhagen, Novo Nord Fdn Ctr Prot Res, Blegdamsvej 3b, DK-2200 Copenhagen N, Denmark; [Ramsoe, Max; Kinzel, Moritz] German Archaeol Inst Istanbul, Inonu Cad 10, TR-34437 Istanbul, Turkiye; [Collins, Matthew J.] Univ Cambridge, McDonald Inst Archaeol Res, West Tower,Downing St, Cambridge CB2 3ER, England</t>
  </si>
  <si>
    <t>University of Copenhagen; University of York - UK; University of Copenhagen; University of Copenhagen; University of Cambridge</t>
  </si>
  <si>
    <t>Taurozzi, AJ (corresponding author), Univ Copenhagen, Globe Inst, Fac Hlth &amp; Med Sci, Copenhagen, Denmark.;Yeomans, L (corresponding author), Univ York, Dept Archaeol, BioArCh, Environm Bldg,Wentworth Way, York YO10 5NG, England.;Yeomans, L (corresponding author), Univ Copenhagen, Dept Cross Cultural &amp; Reg Studies, Karen Blixens Plads 8, DK-2300 Copenhagen, Denmark.</t>
  </si>
  <si>
    <t>zhr605@hum.ku.dk; ajtaurozzi@palaeome.org</t>
  </si>
  <si>
    <t>European Union [676154]; Independent Research Fund Denmark grant [1024-00032B]; Fyssen Foundation postdoctoral fellowship; Carlsberg Foundation Semper Ardens 'ArcHives' [CF18-1110]; PROTEIOS [DNRF128]; Danish National Research Foundation; Novo Nordisk Foundation [NNF14CC0001]</t>
  </si>
  <si>
    <t>European Union(European Union (EU)); Independent Research Fund Denmark grant(Det Frie Forskningsrad (DFF)); Fyssen Foundation postdoctoral fellowship; Carlsberg Foundation Semper Ardens 'ArcHives'; PROTEIOS; Danish National Research Foundation(Danmarks Grundforskningsfond); Novo Nordisk Foundation(Novo Nordisk FoundationNovocure Limited)</t>
  </si>
  <si>
    <t>TZTJ was funded by Grant Agreement no. 676154 (ArchSci2020) from the European Union's EU Framework Programme for Research and Innovation Horizon 2020. LY is supported by an Independent Research Fund Denmark grant (1024-00032B) . LLM was supported by a Fyssen Foundation postdoctoral fellowship (2021-2023) . MR was supported by Carlsberg Foundation Semper Ardens 'ArcHives' (CF18-1110) . MM, MJC &amp; AJT were funded by PROTEIOS (DNRF128) awarded by the Danish National Research Foundation. We thank The Centre for Excellence in Mass Spectrometry, University of York, and Prof. Jesper Velgaard Olsen (Novo Nordisk Center for Protein Research funded in part by a donation from the Novo Nordisk Foundation (Grant No. NNF14CC0001) ) for MALDI-TOF-MS and access to LC-MS/MS in-struments and resources respectively.</t>
  </si>
  <si>
    <t>2352-409X</t>
  </si>
  <si>
    <t>J ARCHAEOL SCI-REP</t>
  </si>
  <si>
    <t>J. Archaeol. Sci.-Rep.</t>
  </si>
  <si>
    <t>10.1016/j.jasrep.2023.104238</t>
  </si>
  <si>
    <t>Archaeology</t>
  </si>
  <si>
    <t>Arts &amp; Humanities Citation Index (A&amp;HCI)</t>
  </si>
  <si>
    <t>X9CL8</t>
  </si>
  <si>
    <t>WOS:001101348700001</t>
  </si>
  <si>
    <t>Kim, JH</t>
  </si>
  <si>
    <t>Kim, Jang Ho</t>
  </si>
  <si>
    <t>What if ChatGPT were a quant asset manager</t>
  </si>
  <si>
    <t>FINANCE RESEARCH LETTERS</t>
  </si>
  <si>
    <t>ChatGPT; Portfolio optimization; Economic indicators; Asset allocation</t>
  </si>
  <si>
    <t>Even though large language models such as ChatGPT are not specifically trained for analyzing asset returns or recommending stocks, it may still provide additional insight into making investment decisions. In this study, we propose a quantitative investment approach that incorporates recommendations from ChatGPT. Based on ChatGPT's general understanding of economy and financial market movements, we ask ChatGPT to recommend asset classes under various economic conditions. Our empirical results show that asset class recommendations based on economic indicators of ChatGPT can improve portfolio efficiency.</t>
  </si>
  <si>
    <t>[Kim, Jang Ho] Kyung Hee Univ, Coll Engn, Dept Ind &amp; Management Syst Engn, 1732 Deogyeong Daero, Yongin 17104, South Korea; [Kim, Jang Ho] Kyung Hee Univ, Grad Sch, Dept Big Data Analyt, 1732, Deogyeong Daero, Yongin 17104, South Korea</t>
  </si>
  <si>
    <t>Kyung Hee University; Kyung Hee University</t>
  </si>
  <si>
    <t>Kim, JH (corresponding author), Kyung Hee Univ, Coll Engn, Dept Ind &amp; Management Syst Engn, 1732 Deogyeong Daero, Yongin 17104, South Korea.</t>
  </si>
  <si>
    <t>janghokim@khu.ac.kr</t>
  </si>
  <si>
    <t>BK21 FOUR - Ministry of Education (MOE, Korea); National Research Foundation of Korea (NRF); Institute of Information &amp; communications Technology Planning &amp; Evaluation (IITP) - Korea government (MSIT) [RS-2022-00155911]; BK21 FOUR - Ministry of Education (MOE, Korea); National Research Foundation of Korea (NRF); Institute of Information &amp; communications Technology Planning &amp; Evaluation (IITP) - Korea government (MSIT) [RS-2022-00155911]</t>
  </si>
  <si>
    <t>BK21 FOUR - Ministry of Education (MOE, Korea)(Ministry of Education (MOE), Republic of Korea); National Research Foundation of Korea (NRF)(National Research Foundation of Korea); Institute of Information &amp; communications Technology Planning &amp; Evaluation (IITP) - Korea government (MSIT)(Institute for Information &amp; Communication Technology Planning &amp; Evaluation (IITP), Republic of KoreaMinistry of Science &amp; ICT (MSIT), Republic of Korea); BK21 FOUR - Ministry of Education (MOE, Korea)(Ministry of Education (MOE), Republic of Korea); National Research Foundation of Korea (NRF)(National Research Foundation of Korea); Institute of Information &amp; communications Technology Planning &amp; Evaluation (IITP) - Korea government (MSIT)(Institute for Information &amp; Communication Technology Planning &amp; Evaluation (IITP), Republic of KoreaMinistry of Science &amp; ICT (MSIT), Republic of Korea)</t>
  </si>
  <si>
    <t>This research was supported by the BK21 FOUR (Fostering Outstanding Universities for Research) funded by the Ministry of Education (MOE, Korea) and National Research Foundation of Korea (NRF) , and partly supported by Institute of Information &amp; communications Technology Planning &amp; Evaluation (IITP) grant funded by the Korea government (MSIT) (No.RS-2022-00155911, Artificial Intelligence Convergence Innovation Human Resources Development (Kyung Hee University) ) .</t>
  </si>
  <si>
    <t>ACADEMIC PRESS INC ELSEVIER SCIENCE</t>
  </si>
  <si>
    <t>SAN DIEGO</t>
  </si>
  <si>
    <t>525 B ST, STE 1900, SAN DIEGO, CA 92101-4495 USA</t>
  </si>
  <si>
    <t>1544-6123</t>
  </si>
  <si>
    <t>1544-6131</t>
  </si>
  <si>
    <t>FINANC RES LETT</t>
  </si>
  <si>
    <t>Financ. Res. Lett.</t>
  </si>
  <si>
    <t>D</t>
  </si>
  <si>
    <t>10.1016/j.frl.2023.104580</t>
  </si>
  <si>
    <t>Business, Finance</t>
  </si>
  <si>
    <t>X4UW9</t>
  </si>
  <si>
    <t>WOS:001098428500001</t>
  </si>
  <si>
    <t>Rodman, E</t>
  </si>
  <si>
    <t>Rodman, Emma</t>
  </si>
  <si>
    <t>On Political Theory and Large Language Models</t>
  </si>
  <si>
    <t>POLITICAL THEORY</t>
  </si>
  <si>
    <t>methodology in political theory; creativity; judgment; computational linguistics; text-as-data</t>
  </si>
  <si>
    <t>SOCIAL MEDIA; THOUGHT</t>
  </si>
  <si>
    <t>Political theory as a discipline has long been skeptical of computational methods. In this paper, I argue that it is time for theory to make a perspectival shift on these methods. Specifically, we should consider integrating recently developed generative large language models like GPT-4 as tools to support our creative work as theorists. Ultimately, I suggest that political theorists should embrace this technology as a method of supporting our capacity for creativity-but that we should do so in a way that is mindful of the content and value of theorizing, the technical constraints of the models, and the ethical questions that the technology raises.</t>
  </si>
  <si>
    <t>[Rodman, Emma] Univ Massachusetts Lowell, Dept Polit Sci, Lowell, MA USA; [Rodman, Emma] Univ Massachusetts Lowell, Dept Polit Sci, Dugan Hall,Suite 201,883 Broadway St, Lowell, MA 01854 USA</t>
  </si>
  <si>
    <t>University of Massachusetts System; University of Massachusetts Lowell; University of Massachusetts System; University of Massachusetts Lowell</t>
  </si>
  <si>
    <t>Rodman, E (corresponding author), Univ Massachusetts Lowell, Dept Polit Sci, Dugan Hall,Suite 201,883 Broadway St, Lowell, MA 01854 USA.</t>
  </si>
  <si>
    <t>emma_rodman@uml.edu</t>
  </si>
  <si>
    <t>The paper was greatly improved by comments and suggestions from the editors and reviewers at Political Theory, as well as from audience members at the Western Political Science Association conference and the Politics and Computational Soci</t>
  </si>
  <si>
    <t>The paper was greatly improved by comments and suggestions from the editors and reviewers at Political Theory, as well as from audience members at the Western Political Science Association conference and the Politics and Computational Social Science conference. Tom Arnold-Forster, Anna Daily, Lisa Gilson, E. Stephen Kehlenbach, Greg Koutnik, Alison McQueen, Christopher Rytting, Noah Stengl, Liz Taylor, Seth Trenchard, Jack Turner, and John Wilkerson also gave helpful suggestions and encouragement. I am especially grateful for the close attention Phil Yaure gave to the manuscript in its early stages and for the rare confluence of theorists and methodologists who came together to workshop a later draft at the University of Wisconsin - Madison. AI Disclosure: GPT-3 was used to produce examples in this work, as noted, as well as to brainstorm ideas, poems, and motivational speeches throughout the writing process. No language presented as my own in the final version was generated by AI.</t>
  </si>
  <si>
    <t>0090-5917</t>
  </si>
  <si>
    <t>1552-7476</t>
  </si>
  <si>
    <t>POLIT THEORY</t>
  </si>
  <si>
    <t>Polit. Theory</t>
  </si>
  <si>
    <t>2023 OCT 17</t>
  </si>
  <si>
    <t>10.1177/00905917231200826</t>
  </si>
  <si>
    <t>Political Science</t>
  </si>
  <si>
    <t>U8CP1</t>
  </si>
  <si>
    <t>WOS:001087029700001</t>
  </si>
  <si>
    <t>D'Hollander, CJ; Keown-Stoneman, CDG; Birken, CS; O'Connor, DL; Maguire, JL</t>
  </si>
  <si>
    <t>D'Hollander, Curtis J.; Keown-Stoneman, Charles D. G.; Birken, Catherine S.; O'Connor, Deborah L.; Maguire, Jonathon L.</t>
  </si>
  <si>
    <t>TARGet Kids Collaboration</t>
  </si>
  <si>
    <t>Timing of introduction to solid food, eczema and wheezing in later childhood: a longitudinal cohort study</t>
  </si>
  <si>
    <t>BMC PEDIATRICS</t>
  </si>
  <si>
    <t>Timing of introduction to solid food; Atopic disease; Allergy; Atopic dermatitis; Wheeze; Breastfeeding; Eczema</t>
  </si>
  <si>
    <t>ATOPIC-DERMATITIS; ALLERGIC DISEASE; RISK; CHILDREN; INFANTS; NUTRITION; EQUATIONS; ASTHMA; BIRTH; ISAAC</t>
  </si>
  <si>
    <t>Background The timing of introduction to solid food has been associated with eczema and wheezing in childhood. Our aim was to determine whether differences persist within the recommended 4 to 6 month age range.Methods A longitudinal cohort study with repeated measures was conducted among children from birth to 10 years of age who were participating in the TARGet Kids! practice based research network in Toronto, Canada. The primary exposure was the timing of introduction to infant cereal as the first solid food. The primary outcome was eczema and the secondary outcome was wheezing collected by parent report using the validated International Study of Asthma and Allergies in Childhood (ISAAC) questionnaire. Multinomial generalized estimating equations were used and effect modification by family history of asthma and breastfeeding duration were explored.Results Of the 7843 children included, the mean (standard deviation) age of introduction to infant cereal was 5.7 (1.9) months. There was evidence for family history of asthma and breastfeeding duration to be effect modifiers in the eczema (P = 0.04) and wheezing (P = 0.05) models. Introduction to infant cereal at 4 vs. 6 months of age was associated with higher odds of eczema (OR 1.62; 95% CI: 1.12, 2.35; P = 0.01) among children without a family history of asthma who were not breastfeeding when solid foods were introduced. Introduction to infant cereal at 4 vs. 6 months of age was associated with a higher odds of wheezing (OR 1.31; 95% CI: 1.13, 1.52; P &lt; .001) among children without a family history of asthma who were breastfeeding when solid foods were introduced. There was little evidence of an association among the remaining strata for either outcome.Conclusion The findings of this study support recommendations to introduce solid food around 6 months of age.</t>
  </si>
  <si>
    <t>[D'Hollander, Curtis J.; O'Connor, Deborah L.] Univ Toronto, Dept Nutr Sci, Toronto, ON, Canada; [D'Hollander, Curtis J.; Maguire, Jonathon L.] St Michaels Hosp, Dept Pediat, Toronto, ON, Canada; [D'Hollander, Curtis J.; Keown-Stoneman, Charles D. G.] Unity Hlth Toronto, Appl Hlth Res Ctr, Toronto, ON, Canada; [Keown-Stoneman, Charles D. G.] Univ Toronto, Dalla Lana Sch Publ Hlth, Toronto, ON, Canada; [Birken, Catherine S.] Hosp Sick Children, Div Pediat Med, Toronto, ON, Canada; [Birken, Catherine S.] SickKids Res Inst, Child Hlth Evaluat Sci, Toronto, ON, Canada; [Birken, Catherine S.; Maguire, Jonathon L.] Univ Toronto, Fac Med, Dept Pediat, Toronto, ON, Canada; [Birken, Catherine S.; Maguire, Jonathon L.] Univ Toronto, Inst Hlth Policy Management &amp; Evaluat, Toronto, ON, Canada; [Birken, Catherine S.; Maguire, Jonathon L.] Univ Toronto, Joannah &amp; Brian Lawson Ctr Child Nutr, Dept Nutr Sci, Toronto, ON, Canada; [O'Connor, Deborah L.] Hosp Sick Children, Translat Med Program, Toronto, ON, Canada; [Maguire, Jonathon L.] St Michaels Hosp, Li Ka Shing Knowledge Inst, Toronto, ON, Canada</t>
  </si>
  <si>
    <t>Maguire, JL (corresponding author), St Michaels Hosp, Dept Pediat, Toronto, ON, Canada.;Maguire, JL (corresponding author), Univ Toronto, Fac Med, Dept Pediat, Toronto, ON, Canada.;Maguire, JL (corresponding author), Univ Toronto, Inst Hlth Policy Management &amp; Evaluat, Toronto, ON, Canada.;Maguire, JL (corresponding author), Univ Toronto, Joannah &amp; Brian Lawson Ctr Child Nutr, Dept Nutr Sci, Toronto, ON, Canada.;Maguire, JL (corresponding author), St Michaels Hosp, Li Ka Shing Knowledge Inst, Toronto, ON, Canada.</t>
  </si>
  <si>
    <t>jonathon.maguire@utoronto.ca</t>
  </si>
  <si>
    <t>D'Hollander, Curtis/0000-0003-0375-138X</t>
  </si>
  <si>
    <t>Offord Centre for Child Studies Collaboration: Magdalena Janus, PhD14; Eric Duku, PhD14; Caroline Reid-Westoby, PhD14; Patricia Raso, MSc14; and Amanda Offord, MSc14. [14]</t>
  </si>
  <si>
    <t>Offord Centre for Child Studies Collaboration: Magdalena Janus, PhD14; Eric Duku, PhD14; Caroline Reid-Westoby, PhD14; Patricia Raso, MSc14; and Amanda Offord, MSc14.</t>
  </si>
  <si>
    <t>Site Investigators: Emy Abraham, MD17; Sara Ali, MD17; Kelly Anderson, MD18; Gordon Arbess, MD18; Jillian Baker, MD18; Tony Barozzino, MD18; Sylvie Bergeron, MD17; Gary Bloch, MD18; Joey Bonifacio, MD18; Ashna Bowry, MD18; Caroline Calpin, MD19; Douglas Campbell, MD18; Sohail Cheema, MD18; Elaine Cheng18, MD; Brian Chisamore, MD20; Evelyn Constantin, MD16; Karoon Danayan, MD21; Paul Das, MD18; Viveka De Guerra, MD17; Mary Beth Derocher, MD18; Anh Do, MD22; Kathleen Doukas, MD18; Anne Egger, BScN18; Allison Farber, MD18; Amy Freedman, MD18; Sloane Freeman, MD18; Sharon Gazeley, MD18; Karen Grewal, MD17; Charlie Guiang, MD18; Dan Ha, MD18; Curtis Handford, MD18; Laura Hanson, BScN, RN18; Leah Harrington, MD19; Sheila Jacobson, MD23; Lukasz Jagiello, MD18; Gwen Jansz, MD18; Paul Kadar, MD21; Lukas Keiswetter, MD18; Tara Kiran, MD18; Holly Knowles, MD18; Bruce Kwok, MD18; Piya Lahiry, MD21; Sheila Lakhoo, MD24; Margarita Lam-Antoniades, MD18; Eddy Lau, MD20; Denis Leduc, MD25; Fok-Han Leung, MD18; Alan Li, MD18; Patricia Li, MD16; Roy Male, MD18; Aleks Meret, MD21; Elise Mok, MD16; Rosemary Moodie, MD17; Katherine Nash, BScN, RN18; James Owen, MD18; Michael Peer, MD23; Marty Perlmutar, MD21; Nav Persaud, MD12; Andrew Pinto, MD18; Michelle Porepa, MD22; Vikky Qi, MD18; Noor Ramji, MD18; Danyaal Raza, MD18; Katherine Rouleau, MD18; Caroline Ruderman, MD18; Janet Saunderson, MD22; Vanna Schiralli, MD18; Michael Sgro, MD18; Hafiz Shuja, MD26; Farah Siam, MD17; Susan Shepherd, MD18; Cinntha Srikanthan, MD18; Carolyn Taylor, MD23; Stephen Treherne, MD25; Suzanne Turner, MD27; Fatima Uddin, MD18; Meta van den Heuvel, MD17; Thea Weisdorf, MD18; Peter Wong, MD17; John Yaremko, MD25; Ethel Ying, MD18; Elizabeth Young, MD18; and Michael Zajdman, MD26.r Applied Health Research Centre: Esmot Ara Begum, PhD12; Gurpreet Lakhanpal, MSc12; Gerald Lebovic, PhD12; Ifeayinchukwu (Shawn) Nnorom, BSc12; Marc Denzel Nunez, HBSc12; Audra Stitt, MSc12; and Kevin Thorpe, MMath12.r Mount Sinai Services Laboratory: Raya Assan, MSc, MLT28; Homa Bondar, BSc28; George Charames, PhD, FACMG28; Andrea Djolovic, MSc, CCGC28; Chelseas Gorscak-Dunn28; Mary Hassan, MLT28; Rita Kandel, MD28; and Michelle Rodrigues, BSc, MLT28.r 12University of Toronto, Toronto, Canada. 13TARGet Kids!, Toronto, Canada. 14McMaster University, Hamilton, Canada. 15Queens University, Kingston, Canada. 16McGill University, Montreal, Canada.; 17Pediatrics at Humber, Toronto, Canada. 18St. Michael's Hospital, Toronto, Canada. 19Westway Children's Clinic, Toronto, Canada. 20Village Park Pediatrics, Toronto, Canada. 21Danforth Pediatrics, Toronto, Canada. 22Pediatric Experience, Toronto, Canada. 23Clairhurst Pediatrics, Toronto, Canada. 24Union Health, Toronto, Canada. 25Melville Pediatric Center, Montreal, Canada. 26Trillium Pediatrics, Mississauga, Canada. 27Stonechurch Family Health Center, Hamilton, Canada. 28Mount Sinai Hospital, Toronto, Canada.r We thank all of the participating families for their time and involvement in TARGet Kids! and are grateful to all collaborators and practitioners who are currently involved in the TARGet Kids! practice-based research network.r Consortiumr TARGet Kids! collaborationr Co-Leads: Catherine S. Birken, MD12, and Jonathon L. Maguire, MD12.r Executive Committee: Christopher Allen, BSc13; Laura N. Anderson, PhD14; Danielle D'Annunzio, BA, LLM, PMP13; Mateenah Jaleel, BSc13; Charles Keown-Stoneman, PhD12; Natricha Levy McFarlane, MPhil13; Jessica A. Omand RD, PhD12; and Sharon Thadani, MLA/T13.r Investigators and Trainees: Mary Aglipay, MSc12; Imaan Bayoumi, MD, MSc15; Cornelia M. Borkhoff, PhD12; Sarah Carsley, PhD12; Alice Charach, MD12; Katherine Cost, PhD12; Curtis D'Hollander RD, MSc12; Anne Fuller, MD, MSc12,14; Laura Kinlin, MD, MPH12; Michaela Kucab RD, MSc12; Patricia Li, MD, MSc16; Pat Parkin, MD12; Nav Persaud, MD, MSc12; Sarah Rae, BHSc, MSc12; Izabela Socynska, RD, MSc12; Shelley Vanderhout, RD, PhD12; Leigh Vanderloo, PhD12; and Peter Wong, MD, PhD12.r Research Staff: Piyumi Konara Mudiyanselage, MSc13; Xuedi Li, MSc13; Jenny Liu, BHSc13; Michelle Mitchell, BA13; Yulika Yoshida-Montezuma, MPH13; and Nusrat Zaffar, MBBS13.r Clinical Site Research Staff: Tiffany Bondoc13, Trudy-Ann Buckley, BSc13; Pamela Ruth Flores, MD13; Kardelen Kurt, BSc13; Sangeetha Loganathan, BPT13; Tarandeep Mali, BSc13; and Laurie Thompson, MLT13.r Parent Partners: Jennifer Batten; Jennifer Chan; John Clark; Amy Craig; Kim De Castris-Garcia; Sharon Dharman; Sarah Kelleher; Salimah Nasser; Tammara Pabon; Michelle Rhodes; Rafael Salsa; Julie Skelding; Daniel Stern; Kerry Stewart; Erika Sendra Tavares; Shannon Weir; and Maria Zaccaria Cho.r Offord Centre for Child Studies Collaboration: Magdalena Janus, PhD14; Eric Duku, PhD14; Caroline Reid-Westoby, PhD14; Patricia Raso, MSc14; and Amanda Offord, MSc14.</t>
  </si>
  <si>
    <t>1471-2431</t>
  </si>
  <si>
    <t>BMC PEDIATR</t>
  </si>
  <si>
    <t>BMC Pediatr.</t>
  </si>
  <si>
    <t>OCT 16</t>
  </si>
  <si>
    <t>10.1186/s12887-023-04262-0</t>
  </si>
  <si>
    <t>Pediatrics</t>
  </si>
  <si>
    <t>U7QI9</t>
  </si>
  <si>
    <t>WOS:001086711300001</t>
  </si>
  <si>
    <t>Thirunavukarasu, AJ; Elangovan, K; Gutierrez, L; Li, Y; Tan, I; Keane, PA; Korot, E; Ting, DSW</t>
  </si>
  <si>
    <t>Thirunavukarasu, Arun James; Elangovan, Kabilan; Gutierrez, Laura; Li, Yong; Tan, Iris; Keane, Pearse A.; Korot, Edward; Ting, Daniel Shu Wei</t>
  </si>
  <si>
    <t>Democratizing Artificial Intelligence Imaging Analysis With Automated Machine Learning: Tutorial</t>
  </si>
  <si>
    <t>machine learning; automated machine learning; autoML; artificial intelligence; democratization; autonomous AI; imaging; image analysis; automation; AI engineering</t>
  </si>
  <si>
    <t>HEALTH-CARE PROFESSIONALS; MODELS</t>
  </si>
  <si>
    <t>Deep learning-based clinical imaging analysis underlies diagnostic artificial intelligence (AI) models, which can match or even exceed the performance of clinical experts, having the potential to revolutionize clinical practice. A wide variety of automated machine learning (autoML) platforms lower the technical barrier to entry to deep learning, extending AI capabilities to clinicians with limited technical expertise, and even autonomous foundation models such as multimodal large language models. Here, we provide a technical overview of autoML with descriptions of how autoML may be applied in education, research, and clinical practice. Each stage of the process of conducting an autoML project is outlined, with an emphasis on ethical and technical best practices. Specifically, data acquisition, data partitioning, model training, model validation, analysis, and model deployment are considered. The strengths and limitations of available code-free, code-minimal, and code-intensive autoML platforms are considered. AutoML has great potential to democratize AI in medicine, improving AI literacy by enabling hands-on education. AutoML may serve as a useful adjunct in research by facilitating rapid testing and benchmarking before significant computational resources are committed. AutoML may also be applied in clinical contexts, provided regulatory requirements are met. The abstraction by autoML of arduous aspects of AI engineering promotes prioritization of data set curation, supporting the transition from conventional model-driven approaches to data-centric development. To fulfill its potential, clinicians must be educated on how to apply these technologies ethically, rigorously, and effectively; this tutorial represents a comprehensive summary of relevant considerations.</t>
  </si>
  <si>
    <t>[Thirunavukarasu, Arun James] Univ Cambridge, Sch Clin Med, Cambridge, England; [Thirunavukarasu, Arun James; Elangovan, Kabilan; Gutierrez, Laura; Li, Yong; Tan, Iris; Ting, Daniel Shu Wei] Singapore Eye Res Inst, Artificial Intelligence &amp; Digital Innovat Res Grp, Singapore, Singapore; [Keane, Pearse A.] Moorfields Eye Hosp NHS Fdn Trust, London, England; [Korot, Edward; Ting, Daniel Shu Wei] Stanford Univ, Byers Eye Inst, Palo Alto, CA USA; [Korot, Edward] Retina Specialists Michigan, Grand Rapids, MI USA; [Ting, Daniel Shu Wei] Singapore Natl Eye Ctr, Singapore, Singapore; [Thirunavukarasu, Arun James] Univ Cambridge, Addenbrookes Hosp, Sch Clin Med, Hills Rd, Cambridge CB2 0SP, England</t>
  </si>
  <si>
    <t>University of Cambridge; Singapore National Eye Center; National University of Singapore; University of London; University College London; Moorfields Eye Hospital NHS Foundation Trust; Stanford University; Singapore National Eye Center; Cambridge University Hospitals NHS Foundation Trust; Addenbrooke's Hospital; University of Cambridge</t>
  </si>
  <si>
    <t>Thirunavukarasu, AJ (corresponding author), Univ Cambridge, Addenbrookes Hosp, Sch Clin Med, Hills Rd, Cambridge CB2 0SP, England.</t>
  </si>
  <si>
    <t>ajt205@cantab.ac.uk</t>
  </si>
  <si>
    <t>Royal College of Surgeons in Edinburgh (RCSED Bursary 2022); Royal College of Physicians (MSEB 2022); Corpus Christi College, University of Cambridge (Gordon Award) [MOH-000655-00]; National Medical Research Council, Singapore [MOH-001014-00, Duke-NUS/RSF/2021/0018, 05/FY2020/EX/15-A58]; Duke-NUS Medical School [A20H4g2141, H20C6a0032]; Agency for Science, Technology and Research; [1083874682]; [NMCR/HSRG/0087/2018]</t>
  </si>
  <si>
    <t>Royal College of Surgeons in Edinburgh (RCSED Bursary 2022); Royal College of Physicians (MSEB 2022); Corpus Christi College, University of Cambridge (Gordon Award); National Medical Research Council, Singapore(National Medical Research Council, SingaporeUK Research &amp; Innovation (UKRI)Medical Research Council UK (MRC)); Duke-NUS Medical School; Agency for Science, Technology and Research(Agency for Science Technology &amp; Research (A*STAR)); ;</t>
  </si>
  <si>
    <t>The authors extend their thanks to Timing Liu for his insights into automated machine learning and artificial intelligence more broadly. AJT is supported by The Royal College of Surgeons in Edinburgh (RCSED Bursary 2022) , the Royal College of Physicians (MSEB 2022) , and Corpus Christi College, University of Cambridge (Gordon Award 1083874682) . DSWT is supported by the National Medical Research Council, Singapore (NMCR/HSRG/0087/2018; MOH-000655-00; MOH-001014-00) ; Duke-NUS Medical School (Duke-NUS/RSF/2021/0018; 05/FY2020/EX/15-A58) ; and Agency for Science, Technology and Research (A20H4g2141; H20C6a0032) . These funders were not involved in the conception, execution, or reporting of this study.</t>
  </si>
  <si>
    <t>OCT 12</t>
  </si>
  <si>
    <t>e49949</t>
  </si>
  <si>
    <t>10.2196/49949</t>
  </si>
  <si>
    <t>W5QR7</t>
  </si>
  <si>
    <t>WOS:001092176300007</t>
  </si>
  <si>
    <t>Yang, YR; Chen, SS; Zhu, YP; Zhu, H; Chen, ZG</t>
  </si>
  <si>
    <t>Yang, Yangrui; Chen, Sisi; Zhu, Yaping; Zhu, Hao; Chen, Zhigang</t>
  </si>
  <si>
    <t>Knowledge graph empowerment from knowledge learning to graduation requirements achievement</t>
  </si>
  <si>
    <t>COMPLETION</t>
  </si>
  <si>
    <t>A deep understanding of the relationship between the knowledge acquired and the graduation requirements is essential for students to precisely meet the graduation requirements and to become human resources with specific knowledge, skills and professionalism. In this paper, we define the ontology layer of the knowledge graph by deeply analyzing the relationship between graduation requirement, course and knowledge. Based on the implementation of the concept of Outcome Based Education, we use Knowledge extraction, fusion, reasoning techniques to construct a hierarchical knowledge graph with the main line of knowledge-course-graduation requirements. In the process of knowledge extraction, in order to alleviate the huge labor overhead brought by traditional extraction methods, this paper adopts a transfer learning method to extract triadic knowledge using the multi-task framework EERJE, Finally, knowledge reasoning was also performed with the help of LLM to further expand the knowledge scope. The comprehensiveness, correctness and relatedness of the data were evaluated through the experiment, and the F1 value of the ternary group extraction was 87.76%, the accuracy rate of entity classification was 85.42%, the data coverage was more comprehensive, and the results showed that the data quality was better, and the knowledge graph constructed in this way can fully optimize the organization and management of teaching resources, help students intuitively and comprehensively grasp the correlation and difference between graduation requirements and various knowledge points, and let the Students can carry out personalized independent learning through the navigation mode of knowledge graph, strengthen their weak links, and complete the relevant graduation requirements, which effectively improves the degree of students' graduation requirements achievement. This new paradigm of knowledge graph enabled teaching is of reference significance for engineering education majors to improve the degree of graduation requirements achievement.</t>
  </si>
  <si>
    <t>[Yang, Yangrui; Chen, Sisi; Zhu, Yaping] North China Univ Water Resources &amp; Elect Power, Dept Informat Engn, Zhengzhou, Henan, Peoples R China; [Zhu, Hao; Chen, Zhigang] North China Univ Water Resources &amp; Elect Power, Dept Informatizat Off, Zhengzhou, Henan, Peoples R China</t>
  </si>
  <si>
    <t>North China University of Water Resources &amp; Electric Power; North China University of Water Resources &amp; Electric Power</t>
  </si>
  <si>
    <t>Chen, SS (corresponding author), North China Univ Water Resources &amp; Elect Power, Dept Informat Engn, Zhengzhou, Henan, Peoples R China.</t>
  </si>
  <si>
    <t>chensisi@stu.ncwu.edu.cn</t>
  </si>
  <si>
    <t>Chen, Sisi/0009-0001-3414-0875</t>
  </si>
  <si>
    <t>Henan Provincial Higher Education Teaching Reform Research and Practice Project [2021SJGLX017]; North China University of Water Resources and Electric Power Education Reform Project</t>
  </si>
  <si>
    <t>Henan Provincial Higher Education Teaching Reform Research and Practice Project; North China University of Water Resources and Electric Power Education Reform Project</t>
  </si>
  <si>
    <t>This research was funded by the Henan Provincial Higher Education Teaching Reform Research and Practice Project (2021SJGLX017), and the North China University of Water Resources and Electric Power Education Reform Project. They played a role in the decision to publish this step.</t>
  </si>
  <si>
    <t>e0292903</t>
  </si>
  <si>
    <t>10.1371/journal.pone.0292903</t>
  </si>
  <si>
    <t>W6EW6</t>
  </si>
  <si>
    <t>WOS:001092548300091</t>
  </si>
  <si>
    <t>Argyle, LP; Bail, CA; Busby, EC; Gubler, JR; Howe, T; Rytting, C; Sorensen, T; Wingate, D</t>
  </si>
  <si>
    <t>Argyle, Lisa P.; Bail, Christopher A.; Busby, Ethan C.; Gubler, Joshua R.; Howe, Thomas; Rytting, Christopher; Sorensen, Taylor; Wingate, David</t>
  </si>
  <si>
    <t>Leveraging AI for democratic discourse: Chat interventions can improve online political conversations at scale</t>
  </si>
  <si>
    <t>PROCEEDINGS OF THE NATIONAL ACADEMY OF SCIENCES OF THE UNITED STATES OF AMERICA</t>
  </si>
  <si>
    <t>democratic deliberation; computational social science; generative AI; political science</t>
  </si>
  <si>
    <t>SOCIAL MEDIA; PARTISAN; CONFLICT; HEALTH</t>
  </si>
  <si>
    <t>Political discourse is the soul of democracy, but misunderstanding and conflict can fester in divisive conversations. The widespread shift to online discourse exacerbates many of these problems and corrodes the capacity of diverse societies to cooperate in solving social problems. Scholars and civil society groups promote interventions that make conversations less divisive or more productive, but scaling these efforts to online discourse is challenging. We conduct a large-scale experiment that demonstrates how online conversations about divisive topics can be improved with AI tools. Specifically, we employ a large language model to make real-time, evidence-based recommendations intended to improve participants' perception of feeling understood. These interventions improve reported conversation quality, promote democratic reciprocity, and improve the tone, without systematically changing the content of the conversation or moving people's policy attitudes.</t>
  </si>
  <si>
    <t>[Argyle, Lisa P.; Busby, Ethan C.; Gubler, Joshua R.] Brigham Young Univ, Dept Polit Sci, Provo, UT 84602 USA; [Bail, Christopher A.] Duke Univ, Dept Sociol Polit Sci &amp; Publ Policy, Durham, NC 27708 USA; [Howe, Thomas; Rytting, Christopher; Wingate, David] Brigham Young Univ, Dept Comp Sci, Provo, UT 84602 USA; [Sorensen, Taylor] Univ Washington, Dept Comp Sci, Seattle, WA 98195 USA</t>
  </si>
  <si>
    <t>Brigham Young University; Duke University; Brigham Young University; University of Washington; University of Washington Seattle</t>
  </si>
  <si>
    <t>Argyle, LP (corresponding author), Brigham Young Univ, Dept Polit Sci, Provo, UT 84602 USA.;Bail, CA (corresponding author), Duke Univ, Dept Sociol Polit Sci &amp; Publ Policy, Durham, NC 27708 USA.</t>
  </si>
  <si>
    <t>lpargyle@byu.edu; christopher.bail@duke.edu</t>
  </si>
  <si>
    <t>; Busby, Ethan/M-3369-2015</t>
  </si>
  <si>
    <t>NSF [2141680]; Duke University; Brigham Young University</t>
  </si>
  <si>
    <t>NSF(National Science Foundation (NSF)); Duke University; Brigham Young University</t>
  </si>
  <si>
    <t>Funds for this research were provided by the NSF (award number 2141680) , Duke University, and Brigham Young University.</t>
  </si>
  <si>
    <t>NATL ACAD SCIENCES</t>
  </si>
  <si>
    <t>2101 CONSTITUTION AVE NW, WASHINGTON, DC 20418 USA</t>
  </si>
  <si>
    <t>0027-8424</t>
  </si>
  <si>
    <t>1091-6490</t>
  </si>
  <si>
    <t>P NATL ACAD SCI USA</t>
  </si>
  <si>
    <t>Proc. Natl. Acad. Sci. U. S. A.</t>
  </si>
  <si>
    <t>OCT 10</t>
  </si>
  <si>
    <t>e2311627120</t>
  </si>
  <si>
    <t>10.1073/pnas.2311627120</t>
  </si>
  <si>
    <t>W0WV4</t>
  </si>
  <si>
    <t>WOS:001088928400004</t>
  </si>
  <si>
    <t>Buchberger, B</t>
  </si>
  <si>
    <t>Buchberger, Bruno</t>
  </si>
  <si>
    <t>Automated programming, symbolic computation, machine learning: my personal view</t>
  </si>
  <si>
    <t>ANNALS OF MATHEMATICS AND ARTIFICIAL INTELLIGENCE</t>
  </si>
  <si>
    <t>Automated programming; Symbolic computation; Automated reasoning; Machine learning; Artificial intelligence; Artificial general intelligence; Pretrained large language models; Software industry; Programming assistant.; .</t>
  </si>
  <si>
    <t>In this note, I present my personal view on the interaction of the three areas Automated Programming, Symbolic Computation, and Machine Learning. Programming is the activity of finding a (hopefully) correct program (algorithm) for a given problem. Programming is central to automation in all areas and is considered one of the most creative human activities. However, already very early in the history of programming, people started to jump to the meta-level of programming, i.e., started to develop procedures that automate, or semi-automate, (various aspects or parts of) the process of programming. This area has various names like Automated Programming, Automated Algorithm Synthesis, etc. Developing compilers can be considered an early example of a problem in automated programming. Automated reasoners for proving the correctness of programs with respect to a specification is an advanced example of a topic in automated programming. ChatGPT producing (amazingly good) programs from problem specifications in natural language is a recent example of automated programming. Programming tends to become the most important activity as the level of technological sophistication increases. Therefore, automating programming is maybe the most exciting and relevant technological endeavor today. It also will have enormous impact on the global job market in the software industry. Roughly, I see two main approaches to automated programming:symbolic computationand machine learning. In this note, I explain how the two approaches work and that they are fundamentally different because they address two completely different ways of how problems are specified. Together, the two approaches constitute (part of) what some people like to call artificial intelligence. In my analysis, both approaches are just part of (algorithmic) mathematics. The approaches, like all non-trivial mathematical methods, need quite some intelligence on the side of the human inventors of the methods. However, applying the methods is just machine execution of algorithms. It is misleading to call the application machine intelligence or artificial intelligence. The analysis of the two approaches to automated programming also suggests that the two approaches, in the future, should be combined to achieve even higher levels of sophistication. At the end of this note, I propose some research questions for this new direction.</t>
  </si>
  <si>
    <t>[Buchberger, Bruno] Johannes Kepler Univ Linz, Res Inst Symbol Computat RISC, Linz, Austria</t>
  </si>
  <si>
    <t>Johannes Kepler University Linz</t>
  </si>
  <si>
    <t>Buchberger, B (corresponding author), Johannes Kepler Univ Linz, Res Inst Symbol Computat RISC, Linz, Austria.</t>
  </si>
  <si>
    <t>bruno.buchberger@jku.at</t>
  </si>
  <si>
    <t>Open access funding provided by Johannes Kepler University Linz.</t>
  </si>
  <si>
    <t>1012-2443</t>
  </si>
  <si>
    <t>1573-7470</t>
  </si>
  <si>
    <t>ANN MATH ARTIF INTEL</t>
  </si>
  <si>
    <t>Ann. Math. Artif. Intell.</t>
  </si>
  <si>
    <t>2023 OCT 10</t>
  </si>
  <si>
    <t>10.1007/s10472-023-09894-7</t>
  </si>
  <si>
    <t>Computer Science, Artificial Intelligence; Mathematics, Applied</t>
  </si>
  <si>
    <t>Computer Science; Mathematics</t>
  </si>
  <si>
    <t>T8PZ2</t>
  </si>
  <si>
    <t>WOS:001080562200001</t>
  </si>
  <si>
    <t>Ibrahim, H; Liu, FY; Asim, R; Battu, B; Benabderrahmane, S; Alhafni, B; Adnan, W; Alhanai, T; AlShebli, B; Baghdadi, R; Bélanger, JJ; Beretta, E; Celik, K; Chaqfeh, M; Daqaq, MF; El Bernoussi, Z; Fougnie, D; de Soto, BG; Gandolfi, A; Gyorgy, A; Habash, N; Harris, JA; Kaufman, A; Kirousis, L; Kocak, K; Lee, K; Lee, SS; Malik, S; Maniatakos, M; Melcher, D; Mourad, A; Park, M; Rasras, M; Reuben, A; Zantout, D; Gleason, NW; Makovi, K; Rahwan, T; Zaki, Y</t>
  </si>
  <si>
    <t>Ibrahim, Hazem; Liu, Fengyuan; Asim, Rohail; Battu, Balaraju; Benabderrahmane, Sidahmed; Alhafni, Bashar; Adnan, Wifag; Alhanai, Tuka; AlShebli, Bedoor; Baghdadi, Riyadh; Belanger, Jocelyn J.; Beretta, Elena; Celik, Kemal; Chaqfeh, Moumena; Daqaq, Mohammed F.; El Bernoussi, Zaynab; Fougnie, Daryl; de Soto, Borja Garcia; Gandolfi, Alberto; Gyorgy, Andras; Habash, Nizar; Harris, J. Andrew; Kaufman, Aaron; Kirousis, Lefteris; Kocak, Korhan; Lee, Kangsan; Lee, Seungah S.; Malik, Samreen; Maniatakos, Michail; Melcher, David; Mourad, Azzam; Park, Minsu; Rasras, Mahmoud; Reuben, Alicja; Zantout, Dania; Gleason, Nancy W.; Makovi, Kinga; Rahwan, Talal; Zaki, Yasir</t>
  </si>
  <si>
    <t>SCIENTIFIC REPORTS</t>
  </si>
  <si>
    <t>NORMS</t>
  </si>
  <si>
    <t>The emergence of large language models has led to the development of powerful tools such as ChatGPT that can produce text indistinguishable from human-generated work. With the increasing accessibility of such technology, students across the globe may utilize it to help with their school work-a possibility that has sparked ample discussion on the integrity of student evaluation processes in the age of artificial intelligence (AI). To date, it is unclear how such tools perform compared to students on university-level courses across various disciplines. Further, students' perspectives regarding the use of such tools in school work, and educators' perspectives on treating their use as plagiarism, remain unknown. Here, we compare the performance of the state-of-the-art tool, ChatGPT, against that of students on 32 university-level courses. We also assess the degree to which its use can be detected by two classifiers designed specifically for this purpose. Additionally, we conduct a global survey across five countries, as well as a more in-depth survey at the authors' institution, to discern students' and educators' perceptions of ChatGPT's use in school work. We find that ChatGPT's performance is comparable, if not superior, to that of students in a multitude of courses. Moreover, current AI-text classifiers cannot reliably detect ChatGPT's use in school work, due to both their propensity to classify human-written answers as AI-generated, as well as the relative ease with which AI-generated text can be edited to evade detection. Finally, there seems to be an emerging consensus among students to use the tool, and among educators to treat its use as plagiarism. Our findings offer insights that could guide policy discussions addressing the integration of artificial intelligence into educational frameworks.</t>
  </si>
  <si>
    <t>[Ibrahim, Hazem; Liu, Fengyuan; Asim, Rohail; Battu, Balaraju; Benabderrahmane, Sidahmed; Alhafni, Bashar; Baghdadi, Riyadh; Belanger, Jocelyn J.; Beretta, Elena; Chaqfeh, Moumena; Fougnie, Daryl; Gandolfi, Alberto; Habash, Nizar; Kirousis, Lefteris; Melcher, David; Mourad, Azzam; Zantout, Dania; Rahwan, Talal; Zaki, Yasir] New York Univ Abu Dhabi, Div Sci, Abu Dhabi, U Arab Emirates; [Adnan, Wifag; AlShebli, Bedoor; El Bernoussi, Zaynab; Harris, J. Andrew; Kaufman, Aaron; Kocak, Korhan; Lee, Kangsan; Lee, Seungah S.; Malik, Samreen; Park, Minsu; Reuben, Alicja; Gleason, Nancy W.; Makovi, Kinga] New York Univ Abu Dhabi, Div Social Sci, Abu Dhabi, U Arab Emirates; [Alhanai, Tuka; Celik, Kemal; Daqaq, Mohammed F.; de Soto, Borja Garcia; Gyorgy, Andras; Maniatakos, Michail; Rasras, Mahmoud] New York Univ Abu Dhabi, Div Engn, Abu Dhabi, U Arab Emirates</t>
  </si>
  <si>
    <t>New York University Abu Dhabi; New York University Abu Dhabi; New York University Abu Dhabi</t>
  </si>
  <si>
    <t>Rahwan, T; Zaki, Y (corresponding author), New York Univ Abu Dhabi, Div Sci, Abu Dhabi, U Arab Emirates.</t>
  </si>
  <si>
    <t>talal.rahwan@nyu.edu; yasir.zaki@nyu.edu</t>
  </si>
  <si>
    <t>NYUAD Center for Interacting Urban Networks (CITIES) - Tamkeen under the NYUAD Research Institute [CG001]</t>
  </si>
  <si>
    <t>NYUAD Center for Interacting Urban Networks (CITIES) - Tamkeen under the NYUAD Research Institute</t>
  </si>
  <si>
    <t>K.M. acknowledges funding from the NYUAD Center for Interacting Urban Networks (CITIES), funded by Tamkeen under the NYUAD Research Institute Award CG001.</t>
  </si>
  <si>
    <t>2045-2322</t>
  </si>
  <si>
    <t>SCI REP-UK</t>
  </si>
  <si>
    <t>Sci Rep</t>
  </si>
  <si>
    <t>X5TW1</t>
  </si>
  <si>
    <t>WOS:001099084800001</t>
  </si>
  <si>
    <t>Decker, H; Trang, K; Ramirez, J; Colley, A; Pierce, L; Coleman, M; Bongiovanni, T; Melton, GB; Wick, E</t>
  </si>
  <si>
    <t>Decker, Hannah; Trang, Karen; Ramirez, Joel; Colley, Alexis; Pierce, Logan; Coleman, Melissa; Bongiovanni, Tasce; Melton, Genevieve B.; Wick, Elizabeth</t>
  </si>
  <si>
    <t>Large Language Model-Based Chatbot vs Surgeon-Generated Informed Consent Documentation for Common Procedures</t>
  </si>
  <si>
    <t>JAMA NETWORK OPEN</t>
  </si>
  <si>
    <t>READABILITY</t>
  </si>
  <si>
    <t>Importance Informed consent is a critical component of patient care before invasive procedures, yet it is frequently inadequate. Electronic consent forms have the potential to facilitate patient comprehension if they provide information that is readable, accurate, and complete; it is not known if large language model (LLM)-based chatbots may improve informed consent documentation by generating accurate and complete information that is easily understood by patients.Objective To compare the readability, accuracy, and completeness of LLM-based chatbot- vs surgeon-generated information on the risks, benefits, and alternatives (RBAs) of common surgical procedures.Design, Setting, and Participants This cross-sectional study compared randomly selected surgeon-generated RBAs used in signed electronic consent forms at an academic referral center in San Francisco with LLM-based chatbot-generated (ChatGPT-3.5, OpenAI) RBAs for 6 surgical procedures (colectomy, coronary artery bypass graft, laparoscopic cholecystectomy, inguinal hernia repair, knee arthroplasty, and spinal fusion).Main Outcomes and Measures Readability was measured using previously validated scales (Flesh-Kincaid grade level, Gunning Fog index, the Simple Measure of Gobbledygook, and the Coleman-Liau index). Scores range from 0 to greater than 20 to indicate the years of education required to understand a text. Accuracy and completeness were assessed using a rubric developed with recommendations from LeapFrog, the Joint Commission, and the American College of Surgeons. Both composite and RBA subgroup scores were compared.Results The total sample consisted of 36 RBAs, with 1 RBA generated by the LLM-based chatbot and 5 RBAs generated by a surgeon for each of the 6 surgical procedures. The mean (SD) readability score for the LLM-based chatbot RBAs was 12.9 (2.0) vs 15.7 (4.0) for surgeon-generated RBAs (P = .10). The mean (SD) composite completeness and accuracy score was lower for surgeons' RBAs at 1.6 (0.5) than for LLM-based chatbot RBAs at 2.2 (0.4) (P &lt; .001). The LLM-based chatbot scores were higher than the surgeon-generated scores for descriptions of the benefits of surgery (2.3 [0.7] vs 1.4 [0.7]; P &lt; .001) and alternatives to surgery (2.7 [0.5] vs 1.4 [0.7]; P &lt; .001). There was no significant difference in chatbot vs surgeon RBA scores for risks of surgery (1.7 [0.5] vs 1.7 [0.4]; P = .38).Conclusions and Relevance The findings of this cross-sectional study suggest that despite not being perfect, LLM-based chatbots have the potential to enhance informed consent documentation. If an LLM were embedded in electronic health records in a manner compliant with the Health Insurance Portability and Accountability Act, it could be used to provide personalized risk information while easing documentation burden for physicians.</t>
  </si>
  <si>
    <t>[Decker, Hannah] Univ Calif San Francisco, Philip R Lee Inst Hlth Policy Studies, Mission Bay Campus,Valley Tower,490 Illinois St,7t, San Francisco, CA 94158 USA; [Decker, Hannah; Trang, Karen; Ramirez, Joel; Colley, Alexis; Coleman, Melissa; Bongiovanni, Tasce; Wick, Elizabeth] Univ Calif San Francisco, Dept Surg, San Francisco, CA 94158 USA; [Pierce, Logan] Univ Calif San Francisco, Dept Med, San Francisco, CA 94158 USA; [Melton, Genevieve B.] Univ Minnesota, Inst Hlth Informat, Dept Surg, Minneapolis, MN USA; [Melton, Genevieve B.] Univ Minnesota, Ctr Learning Hlth Syst Sci, Minneapolis, MN USA</t>
  </si>
  <si>
    <t>University of California System; University of California San Francisco; UCSF Medical Center; UCSF Medical Center Mission Bay; University of California System; University of California San Francisco; University of California System; University of California San Francisco; University of Minnesota System; University of Minnesota Twin Cities; University of Minnesota System; University of Minnesota Twin Cities</t>
  </si>
  <si>
    <t>Decker, H (corresponding author), Univ Calif San Francisco, Philip R Lee Inst Hlth Policy Studies, Mission Bay Campus,Valley Tower,490 Illinois St,7t, San Francisco, CA 94158 USA.</t>
  </si>
  <si>
    <t>58hannah.decker@ucsf.edu</t>
  </si>
  <si>
    <t>Melton-Meaux, Genevieve B/HSE-3064-2023</t>
  </si>
  <si>
    <t>Melton-Meaux, Genevieve B/0000-0001-5193-1663</t>
  </si>
  <si>
    <t>AMER MEDICAL ASSOC</t>
  </si>
  <si>
    <t>CHICAGO</t>
  </si>
  <si>
    <t>330 N WABASH AVE, STE 39300, CHICAGO, IL 60611-5885 USA</t>
  </si>
  <si>
    <t>2574-3805</t>
  </si>
  <si>
    <t>JAMA NETW OPEN</t>
  </si>
  <si>
    <t>OCT 9</t>
  </si>
  <si>
    <t>e2336997</t>
  </si>
  <si>
    <t>U5WU3</t>
  </si>
  <si>
    <t>WOS:001085513300004</t>
  </si>
  <si>
    <t>Feng, XG; Zhang, YJ; Meng, MH; Li, YS; Joe, CE; Wang, Z; Bai, GD</t>
  </si>
  <si>
    <t>Feng, Xinguo; Zhang, Yanjun; Meng, Mark Huasong; Li, Yansong; Joe, Chegne Eu; Wang, Zhe; Bai, Guangdong</t>
  </si>
  <si>
    <t>Detecting contradictions from IoT protocol specification documents based on neural generated knowledge graph</t>
  </si>
  <si>
    <t>ISA TRANSACTIONS</t>
  </si>
  <si>
    <t>Internet of things; Natural language processing; Web protocol; Contradiction detection; Large language models</t>
  </si>
  <si>
    <t>VULNERABILITY; FRAMEWORK</t>
  </si>
  <si>
    <t>Due to the boom of Internet of Things (IoT) in recent years, various IoT devices are connected to the Internet and communicate with each other through network protocols such as the Constrained Application Protocol (CoAP). These protocols are typically defined and described in specification documents, such as Request for Comments (RFC), which are written in natural or semi-formal languages. Since developers largely follow the specification documents when implementing web protocols, they have become the de facto protocol specifications. Therefore, it must be ensured that the descriptions in them are consistent to avoid technological issues, incompatibility, security risks, or even legal concerns. In this work, we propose Neural RFC Knowledge Graph (NRFCKG), a neural network-generated knowledge graph based contradictions detection tool for IoT protocol specification documents. Our approach can automatically parse the specification documents and construct knowledge graphs from them through entity extraction, relation extraction, and rule extraction with large language models. It then conducts an intra-entity and inter-entity contradiction detection over the generated knowledge graph. We implement NRFCKG and apply it to the most extensively used messaging protocols in IoT, including the main RFC (RFC7252) of CoAP, the specification document of MQTT, and the specification document of AMQP. Our evaluation shows that NRFCKG generalizes well to other specification documents and it manages to detect contradictions from these IoT protocol specification documents.(c) 2023 ISA. Published by Elsevier Ltd. All rights reserved.</t>
  </si>
  <si>
    <t>[Feng, Xinguo; Li, Yansong; Joe, Chegne Eu; Bai, Guangdong] Univ Queensland, Brisbane, Australia; [Zhang, Yanjun] Deakin Univ, Cyber Secur Res &amp; Innovat CSRI, Geelong, Australia; [Meng, Mark Huasong] ASTAR, Inst Infocomm Res, Singapore, Singapore; [Meng, Mark Huasong] Natl Univ Singapore, Singapore, Singapore; [Wang, Zhe] Griffith Univ, Griffith, NSW, Australia</t>
  </si>
  <si>
    <t>University of Queensland; Deakin University; Agency for Science Technology &amp; Research (A*STAR); A*STAR - Institute for Infocomm Research (I2R); National University of Singapore; Griffith University</t>
  </si>
  <si>
    <t>Feng, XG (corresponding author), Univ Queensland, Brisbane, Australia.</t>
  </si>
  <si>
    <t>s.feng@uq.edu.au</t>
  </si>
  <si>
    <t>Zhang, Yanjun/0000-0001-5611-3483</t>
  </si>
  <si>
    <t>University of Queensland, Australia</t>
  </si>
  <si>
    <t>University of Queensland, Australia(University of Queensland)</t>
  </si>
  <si>
    <t>The authors declare that they have no known competing financial interests or personal relationships that could have appeared to influence the work reported in this paper. This work is funded by the university research fund of the University of Queensland, Australia.</t>
  </si>
  <si>
    <t>0019-0578</t>
  </si>
  <si>
    <t>1879-2022</t>
  </si>
  <si>
    <t>ISA T</t>
  </si>
  <si>
    <t>ISA Trans.</t>
  </si>
  <si>
    <t>10.1016/j.isatra.2023.04.025</t>
  </si>
  <si>
    <t>Automation &amp; Control Systems; Engineering, Multidisciplinary; Instruments &amp; Instrumentation</t>
  </si>
  <si>
    <t>Automation &amp; Control Systems; Engineering; Instruments &amp; Instrumentation</t>
  </si>
  <si>
    <t>X5NI0</t>
  </si>
  <si>
    <t>WOS:001098911300001</t>
  </si>
  <si>
    <t>Doo, FX; Cook, TS; Siegel, EL; Joshi, A; Parekh, V; Elahi, A; Yi, PH</t>
  </si>
  <si>
    <t>Doo, Florence X.; Cook, Tessa S.; Siegel, Eliot L.; Joshi, Anupam; Parekh, Vishwa; Elahi, Ameena; Yi, Paul H.</t>
  </si>
  <si>
    <t>Exploring the Clinical Translation of Generative Models Like ChatGPT: Promise and Pitfalls in Radiology, From Patients to Population Health</t>
  </si>
  <si>
    <t>generative artificial intelligence; radiology; limitations; large language models; ChatGPT</t>
  </si>
  <si>
    <t>ARTIFICIAL-INTELLIGENCE; CLIMATE</t>
  </si>
  <si>
    <t>Generative artificial intelligence (AI) tools such as GPT-4, and the chatbot interface ChatGPT, show promise for a variety of applications in radiology and health care. However, like other AI tools, ChatGPT has limitations and potential pitfalls that must be considered before adopting it for teaching, clinical practice, and beyond. We summarize five major emerging use cases for ChatGPT and generative AI in radiology across the levels of increasing data complexity, along with pitfalls associated with each. As the use of AI in health care continues to grow, it is crucial for radiologists (and all physicians) to stay informed and ensure the safe translation of these new technologies.</t>
  </si>
  <si>
    <t>[Doo, Florence X.] Univ Maryland, Med Intelligent Imaging Ctr UM2ii, Innovat, Baltimore, MD USA; [Doo, Florence X.] ACR Commiss Econ, Comm Econ Acad Radiol, Baltimore, MD USA; [Cook, Tessa S.] Emory Univ, Perelman Sch Med, Dept Radiol, Practice Informat, Atlanta, GA USA; [Cook, Tessa S.] Penn Med, Dept Radiol, Imaging Informat, Philadelphia, PA USA; [Cook, Tessa S.] Penn Med, Dept Radiol, 3D &amp; Advanced Imaging, Philadelphia, PA USA; [Cook, Tessa S.] ACR Commiss Patient and Family Ctr Care, RAHSR Affin Grp, Philadelphia, PA USA; [Siegel, Eliot L.] Univ Maryland, Res Informat Syst, Baltimore, MD USA; [Siegel, Eliot L.] US Dept Vet Affairs Maryland Healthcare Syst, USDepartment Vet Affairs Vet Integrated Serv Netwo, Radiol &amp; Nucl Med Diagnost, Baltimore, MD USA; [Joshi, Anupam] Univ Maryland, Comp Sci &amp; Elect Engn, Baltimore, MD USA; [Joshi, Anupam] Univ Maryland Baltimore Cty, Ctr Cybersecur, Baltimore, MD USA; [Parekh, Vishwa] Univ Maryland, Med Intelligent Imaging UM2ii Ctr, Baltimore, MD USA; [Elahi, Ameena] Univ Penn, Philadelphia, PA USA; [Elahi, Ameena] Penn Med, Informat Serv, Philadelphia, PA USA; [Yi, Paul H.] RAD AID Int, Philadelphia, PA USA; [Doo, Florence X.] Stanford Univ, 500 Pasteur Dr, Palo Alto, CA 94304 USA</t>
  </si>
  <si>
    <t>University System of Maryland; University of Maryland Baltimore; Emory University; University of Pennsylvania; Pennsylvania Medicine; University of Pennsylvania; Pennsylvania Medicine; University System of Maryland; University of Maryland Baltimore; University System of Maryland; University of Maryland Baltimore; University System of Maryland; University of Maryland Baltimore County; University System of Maryland; University of Maryland Baltimore; University of Pennsylvania; University of Pennsylvania; Pennsylvania Medicine; Stanford University</t>
  </si>
  <si>
    <t>Doo, FX (corresponding author), Stanford Univ, 500 Pasteur Dr, Palo Alto, CA 94304 USA.</t>
  </si>
  <si>
    <t>fdoo@som.umaryland.edu</t>
  </si>
  <si>
    <t>AUR GERRAF; NIH,; IBC; RSNA; NIH; ACR</t>
  </si>
  <si>
    <t>AUR GERRAF; NIH,(United States Department of Health &amp; Human ServicesNational Institutes of Health (NIH) - USA); IBC; RSNA; NIH(United States Department of Health &amp; Human ServicesNational Institutes of Health (NIH) - USA); ACR</t>
  </si>
  <si>
    <t>Dr Doo declares support from AUR GERRAF; honoraria from AIRE; and a leadership role in the University of Maryland Medical Intelligent Imaging (UM2ii) Center, and membership on the ABR Initial Certifiying Advisory Committee. Dr Cook declares support from NIH, IBC, RSNA; honoraria from ISMIE, Icahn, MGH, BJR, Sectra; SIIM Board meeting travel reimbursement, PRS Board meeting travel reimbursement; and leadership roles as SIIM Board Chair, PRRS and PRS Board Member. Dr Joshi declares institutional support from MIPS, DoD, NSF. Dr Elahi declares leadership roles as SIIM Board of Directors-Chair of the Membership Committee, ABII-Item writer, 10 year review committee. RAD-AID International. Dr Yi declares support from NIH, ACR, RSNA; honoraria from SIIM, SNMI; and leadership roles as Vice Chair of Annual Program Planning Committee, SIIM-Board of Directors, Director of UM2ii, Associate Editor of Radiology:Artificial Intelligence, and University of Maryland Baltimore Digital Health Faculty Advisory Board. All other authors state that they have no conflict of interest related to the material discussed in this article. The authors are non-partner/non-partnership track/employees.</t>
  </si>
  <si>
    <t>10.1016/j.jacr.2023.07.007</t>
  </si>
  <si>
    <t>W1FP2</t>
  </si>
  <si>
    <t>WOS:001089157200001</t>
  </si>
  <si>
    <t>VanGessel, FG; Perry, E; Mohan, S; Barham, OM; Cavolowsky, M</t>
  </si>
  <si>
    <t>VanGessel, Francis G.; Perry, Efrem; Mohan, Salil; Barham, Oliver M.; Cavolowsky, Mark</t>
  </si>
  <si>
    <t>Natural language processing for knowledge discovery and information extraction from energetics corpora</t>
  </si>
  <si>
    <t>PROPELLANTS EXPLOSIVES PYROTECHNICS</t>
  </si>
  <si>
    <t>detonation science; energetics; knowledge discovery; large language models; NLP</t>
  </si>
  <si>
    <t>We present a demonstration of the utility of Natural Language Processing (NLP) for aiding research into energetic materials and associated systems. The NLP method enables machine understanding of textual data, offering an automated route to knowledge discovery and information extraction from energetics text. We apply three established unsupervised NLP models: Latent Dirichlet Allocation, Word2Vec, and the Transformer to a large curated dataset of energetics-related scientific articles. We demonstrate that each NLP algorithm is capable of identifying energetic topics and concepts, generating a language model which aligns with Subject Matter Expert knowledge. Furthermore, we present a document classification pipeline for energetics text. Our classification pipeline achieves 59-76 % accuracy depending on the NLP model used, with the highest performing Transformer model rivaling inter-annotator agreement metrics. The NLP approaches studied in this work can identify concepts germane to energetics and therefore hold promise as a tool for accelerating energetics research efforts and energetics material development. image</t>
  </si>
  <si>
    <t>[VanGessel, Francis G.; Perry, Efrem; Mohan, Salil; Barham, Oliver M.; Cavolowsky, Mark] Naval Surface Warfare Ctr, Indian Head Div, Indian Head, MD 20640 USA</t>
  </si>
  <si>
    <t>VanGessel, FG (corresponding author), Naval Surface Warfare Ctr, Indian Head Div, Indian Head, MD 20640 USA.</t>
  </si>
  <si>
    <t>francis.g.vangessel.civ@us.navy.mil</t>
  </si>
  <si>
    <t>We thank Peter Chung (University of Maryland), Zois Boukavalas (American University), and Mark Fuge (University of Maryland) for helpful discussion. We thank Kenneth Conley as well as Will Durant, along with the Energetics Technology Center team, for facil [N00014-21-C-1016]; Office of Naval Research [2054-001-002]; Energetics Technology Center</t>
  </si>
  <si>
    <t>We thank Peter Chung (University of Maryland), Zois Boukavalas (American University), and Mark Fuge (University of Maryland) for helpful discussion. We thank Kenneth Conley as well as Will Durant, along with the Energetics Technology Center team, for facil; Office of Naval Research(Office of Naval Research); Energetics Technology Center</t>
  </si>
  <si>
    <t>We thank Peter Chung (University of Maryland), Zois Boukavalas (American University), and Mark Fuge (University of Maryland) for helpful discussion. We thank Kenneth Conley as well as Will Durant, along with the Energetics Technology Center team, for facilitating the Automated Global Energetics project and providing helpful discussion. We thank Ruth Doherty and American University for generating, and sharing, labeled energetic research article abstracts. Support is gratefully acknowledged for this research from the Office of Naval Research under contract N00014-21-C-1016 and the Energetics Technology Center under contract 2054-001-002.</t>
  </si>
  <si>
    <t>WILEY-V C H VERLAG GMBH</t>
  </si>
  <si>
    <t>WEINHEIM</t>
  </si>
  <si>
    <t>POSTFACH 101161, 69451 WEINHEIM, GERMANY</t>
  </si>
  <si>
    <t>0721-3115</t>
  </si>
  <si>
    <t>1521-4087</t>
  </si>
  <si>
    <t>PROPELL EXPLOS PYROT</t>
  </si>
  <si>
    <t>Propellants Explos. Pyrotech.</t>
  </si>
  <si>
    <t>2023 OCT 6</t>
  </si>
  <si>
    <t>10.1002/prep.202300109</t>
  </si>
  <si>
    <t>Chemistry, Applied; Engineering, Chemical</t>
  </si>
  <si>
    <t>Chemistry; Engineering</t>
  </si>
  <si>
    <t>T2JL9</t>
  </si>
  <si>
    <t>WOS:001076295500001</t>
  </si>
  <si>
    <t>Hagendorff, T; Fabi, S; Kosinski, M</t>
  </si>
  <si>
    <t>Hagendorff, Thilo; Fabi, Sarah; Kosinski, Michal</t>
  </si>
  <si>
    <t>Human-like intuitive behavior and reasoning biases emerged in large language models but disappeared in ChatGPT</t>
  </si>
  <si>
    <t>NATURE COMPUTATIONAL SCIENCE</t>
  </si>
  <si>
    <t>COGNITIVE REFLECTION TEST; HEURISTICS</t>
  </si>
  <si>
    <t>We design a battery of semantic illusions and cognitive reflection tests, aimed to elicit intuitive yet erroneous responses. We administer these tasks, traditionally used to study reasoning and decision-making in humans, to OpenAI's generative pre-trained transformer model family. The results show that as the models expand in size and linguistic proficiency they increasingly display human-like intuitive system 1 thinking and associated cognitive errors. This pattern shifts notably with the introduction of ChatGPT models, which tend to respond correctly, avoiding the traps embedded in the tasks. Both ChatGPT-3.5 and 4 utilize the input-output context window to engage in chain-of-thought reasoning, reminiscent of how people use notepads to support their system 2 thinking. Yet, they remain accurate even when prevented from engaging in chain-of-thought reasoning, indicating that their system-1-like next-word generation processes are more accurate than those of older models. Our findings highlight the value of applying psychological methodologies to study large language models, as this can uncover previously undetected emergent characteristics. The reasoning capabilities of OpenAI's generative pre-trained transformer family were tested using semantic illusions and cognitive reflection tests that are typically used in human studies. While early models were prone to human-like cognitive errors, ChatGPT decisively outperformed humans, avoiding the cognitive traps embedded in the tasks.</t>
  </si>
  <si>
    <t>[Hagendorff, Thilo] Univ Stuttgart, Stuttgart, Germany; [Fabi, Sarah] Univ Calif San Diego, San Diego, CA USA; [Kosinski, Michal] Stanford Univ, Stanford, CA 94305 USA</t>
  </si>
  <si>
    <t>University of Stuttgart; University of California System; University of California San Diego; Stanford University</t>
  </si>
  <si>
    <t>Kosinski, M (corresponding author), Stanford Univ, Stanford, CA 94305 USA.</t>
  </si>
  <si>
    <t>michalk@stanford.edu</t>
  </si>
  <si>
    <t>Kosinski, Michal/AAH-7375-2019</t>
  </si>
  <si>
    <t>Kosinski, Michal/0000-0003-2936-4775</t>
  </si>
  <si>
    <t>Ministry of Science, Research and Arts Baden-Wurttemberg [Az. 33-7533-9-19/54/5]; Interchange Forum for Reflecting on Intelligent Systems (IRIS) at the University of Stuttgart</t>
  </si>
  <si>
    <t>Ministry of Science, Research and Arts Baden-Wurttemberg; Interchange Forum for Reflecting on Intelligent Systems (IRIS) at the University of Stuttgart</t>
  </si>
  <si>
    <t>T.H. was supported by the Ministry of Science, Research and Arts Baden-Wurttemberg under Az. 33-7533-9-19/54/5 in Reflecting Intelligent Systems for Diversity, Demography, and Democracy (IRIS3D) as well as the Interchange Forum for Reflecting on Intelligent Systems (IRIS) at the University of Stuttgart. The funders had no role in study design, data collection and analysis, decision to publish, or preparation of the paper.</t>
  </si>
  <si>
    <t>2662-8457</t>
  </si>
  <si>
    <t>NAT COMPUT SCI</t>
  </si>
  <si>
    <t>Nat. Comput. Sci.</t>
  </si>
  <si>
    <t>10.1038/s43588-023-00527-x</t>
  </si>
  <si>
    <t>Computer Science, Interdisciplinary Applications; Computer Science, Theory &amp; Methods; Multidisciplinary Sciences</t>
  </si>
  <si>
    <t>Computer Science; Science &amp; Technology - Other Topics</t>
  </si>
  <si>
    <t>X1JE2</t>
  </si>
  <si>
    <t>WOS:001119334100001</t>
  </si>
  <si>
    <t>Hosseini, M; Gao, CA; Liebovitz, DM; Carvalho, AM; Ahmad, FS; Luo, Y; MacDonald, N; Holmes, KL; Kho, A</t>
  </si>
  <si>
    <t>Hosseini, Mohammad; Gao, Catherine A.; Liebovitz, David M.; Carvalho, Alexandre M.; Ahmad, Faraz S.; Luo, Yuan; MacDonald, Ngan; Holmes, Kristi L.; Kho, Abel</t>
  </si>
  <si>
    <t>Objective ChatGPT is the first large language model (LLM) to reach a large, mainstream audience. Its rapid adoption and exploration by the population at large has sparked a wide range of discussions regarding its acceptable and optimal integration in different areas. In a hybrid (virtual and in-person) panel discussion event, we examined various perspectives regarding the use of ChatGPT in education, research, and healthcare. Materials and methods We surveyed in-person and online attendees using an audience interaction platform (Slido). We quantitatively analyzed received responses on questions about the use of ChatGPT in various contexts. We compared pairwise categorical groups with a Fisher's Exact. Furthermore, we used qualitative methods to analyze and code discussions. Results We received 420 responses from an estimated 844 participants (response rate 49.7%). Only 40% of the audience had tried ChatGPT. More trainees had tried ChatGPT compared with faculty. Those who had used ChatGPT were more interested in using it in a wider range of contexts going forwards. Of the three discussed contexts, the greatest uncertainty was shown about using ChatGPT in education. Pros and cons were raised during discussion for the use of this technology in education, research, and healthcare. Discussion There was a range of perspectives around the uses of ChatGPT in education, research, and healthcare, with still much uncertainty around its acceptability and optimal uses. There were different perspectives from respondents of different roles (trainee vs faculty vs staff). More discussion is needed to explore perceptions around the use of LLMs such as ChatGPT in vital sectors such as education, healthcare and research. Given involved risks and unforeseen challenges, taking a thoughtful and measured approach in adoption would reduce the likelihood of harm.</t>
  </si>
  <si>
    <t>[Hosseini, Mohammad; Ahmad, Faraz S.; Luo, Yuan; Holmes, Kristi L.] Northwestern Univ, Dept Prevent Med, Feinberg Sch Med, Chicago, IL 60611 USA; [Gao, Catherine A.] Northwestern Univ, Dept Med, Feinberg Sch Med, Div Pulm &amp; Crit Care, Chicago, IL 60611 USA; [Liebovitz, David M.; Kho, Abel] Northwestern Univ, Dept Med, Div Gen Internal Med, Feinberg Sch Med, Chicago, IL 60611 USA; [Liebovitz, David M.; Kho, Abel] Northwestern Univ, Dept Med, Div Hlth &amp; Biomed Informat, Feinberg Sch Med, Chicago, IL 60611 USA; [Liebovitz, David M.] Northwestern Univ, Feinberg Sch Med, Ctr Med Educ Digital Hlth &amp; Data Sci, Chicago, IL 60611 USA; [Carvalho, Alexandre M.] Northwestern Univ, Dept Med, Div Infect Dis, Feinberg Sch Med, Chicago, IL 60611 USA; [Carvalho, Alexandre M.] Northwestern Univ, Feinberg Sch Med, Ctr Pathogen Genom &amp; Microbial Evolut, Chicago, IL 60611 USA; [Ahmad, Faraz S.] Northwestern Univ, Dept Med, Div Cardiol, Feinberg Sch Med, Chicago, IL 60611 USA; [Ahmad, Faraz S.] Northwestern Univ, Feinberg Sch Med, Northwestern Med, Bluhm Cardiovasc Ctr Artificial Intelligence, Chicago, IL 60611 USA; [MacDonald, Ngan; Holmes, Kristi L.; Kho, Abel] Northwestern Univ, Feinberg Sch Med, Inst Artificial Intelligence Med, Chicago, IL 60611 USA; [Holmes, Kristi L.] Northwestern Univ, Feinberg Sch Med, Galter Hlth Sci Lib, Chicago, IL 60611 USA; [Holmes, Kristi L.] Northwestern Univ, Feinberg Sch Med, Learning Ctr, Chicago, IL 60611 USA</t>
  </si>
  <si>
    <t>Northwestern University; Feinberg School of Medicine; Northwestern University; Feinberg School of Medicine; Northwestern University; Feinberg School of Medicine; Northwestern University; Feinberg School of Medicine; Northwestern University; Feinberg School of Medicine; Northwestern University; Feinberg School of Medicine; Northwestern University; Feinberg School of Medicine; Northwestern University; Feinberg School of Medicine; Northwestern University; Feinberg School of Medicine; Northwestern University; Feinberg School of Medicine; Northwestern University; Feinberg School of Medicine; Northwestern University; Feinberg School of Medicine</t>
  </si>
  <si>
    <t>Hosseini, M (corresponding author), Northwestern Univ, Dept Prevent Med, Feinberg Sch Med, Chicago, IL 60611 USA.</t>
  </si>
  <si>
    <t>mohammad.hosseini@northwestern.edu</t>
  </si>
  <si>
    <t>Northwestern University Institute for Artificial Intelligence in Medicine; NIH/NHLBI [F32HL162377]; National Center for Advancing Translational Sciences (NCATS) [UL1TR001422]; National Institutes of Health (NIH); National Institutes of Health/National Heart, Lung, and Blood Institute [K23HL155970]; American Heart Association (AHA) [856917]</t>
  </si>
  <si>
    <t>Northwestern University Institute for Artificial Intelligence in Medicine; NIH/NHLBI(United States Department of Health &amp; Human ServicesNational Institutes of Health (NIH) - USANIH National Heart Lung &amp; Blood Institute (NHLBI)); National Center for Advancing Translational Sciences (NCATS)(United States Department of Health &amp; Human ServicesNational Institutes of Health (NIH) - USANIH National Center for Advancing Translational Sciences (NCATS)); National Institutes of Health (NIH)(United States Department of Health &amp; Human ServicesNational Institutes of Health (NIH) - USA); National Institutes of Health/National Heart, Lung, and Blood Institute(United States Department of Health &amp; Human ServicesNational Institutes of Health (NIH) - USANIH National Heart Lung &amp; Blood Institute (NHLBI)); American Heart Association (AHA)(American Heart Association)</t>
  </si>
  <si>
    <t>This work was supported in part by the Northwestern University Institute for Artificial Intelligence in Medicine. CAG is supported by NIH/NHLBI F32HL162377. KH and MH are supported by the National Center for Advancing Translational Sciences (NCATS, UL1TR001422), National Institutes of Health (NIH). FSA is supported by grants from the National Institutes of Health/National Heart, Lung, and Blood Institute (K23HL155970) and the American Heart Association (AHA number 856917). The funders have not played a role in the design, analysis, decision to publish, or preparation of the manuscript.</t>
  </si>
  <si>
    <t>OCT 5</t>
  </si>
  <si>
    <t>AE7M9</t>
  </si>
  <si>
    <t>Green Submitted, Green Published, gold</t>
  </si>
  <si>
    <t>WOS:001116853300110</t>
  </si>
  <si>
    <t>Zhao, SL; Lok, KYW; Sin, ZY; Peng, Y; Fan, HSL; Nagesh, N; Choi, MSL; Kwok, JYY; Choi, EPH; Zhang, X; Wai, HKF; Tsang, LCH; Cheng, SSM; Wong, MKL; Zhu, J; Mok, CKP; Ng, SC; Chan, FKL; Peiris, M; Poon, LLM; Tun, HM</t>
  </si>
  <si>
    <t>Zhao, Shilin; Lok, Kris Y. W.; Sin, Zhen Y.; Peng, Ye; Fan, Heidi S. L.; Nagesh, Nitya; Choi, Martha S. L.; Kwok, Jojo Y. Y.; Choi, Edmond P. H.; Zhang, Xi; Wai, Hogan Kok-Fung; Tsang, Leo C. H.; Cheng, Samuel S. M.; Wong, Matthew K. L.; Zhu, Jie; Mok, Chris K. P.; Ng, Siew C.; Chan, Francis K. L.; Peiris, Malik; Poon, Leo L. M.; Tun, Hein M.</t>
  </si>
  <si>
    <t>COVID-19 mRNA vaccine-mediated antibodies in human breast milk and their association with breast milk microbiota composition</t>
  </si>
  <si>
    <t>NPJ VACCINES</t>
  </si>
  <si>
    <t>Newborns can acquire immunological protection to SARS-CoV-2 through vaccine-conferred antibodies in human breast milk. However, there are some concerns around lactating mothers with regards to potential short- and long-term adverse events and vaccine-induced changes to their breast milk microbiome composition, which helps shape the early-life microbiome. Thus, we sought to explore if SARS-CoV-2 mRNA vaccine could change breast milk microbiota and how the changes impact the levels of antibodies in breast milk. We recruited 49 lactating mothers from Hong Kong who received two doses of BNT162b2 vaccine between June 2021 and August 2021. Breast milk samples were self-collected by participants pre-vaccination, one week post-first dose, one week post-second dose, and one month post-second dose. The levels of SARS-CoV-2 spike-specific IgA and IgG in breast milk peaked at one week post-second dose. Subsequently, the levels of both antibodies rapidly waned in breast milk, with IgA levels returning to baseline levels one month post-second dose. The richness and composition of human breast milk microbiota changed dynamically throughout the vaccination regimen, but the abundances of beneficial microbes such as Bifidobacterium species did not significantly change after vaccination. Additionally, we found that baseline breast milk bacterial composition can predict spike-specific IgA levels at one week post-second dose (Area Under Curve: 0.72, 95% confidence interval: 0.58-0.85). Taken together, our results identified specific breast milk microbiota markers associated with high levels of IgA in the breast milk following BNT162b2 vaccine. Furthermore, in lactating mothers, BNT162b2 vaccines did not significantly reduce probiotic species in breast milk.</t>
  </si>
  <si>
    <t>[Zhao, Shilin; Peng, Ye; Wong, Matthew K. L.; Zhu, Jie; Ng, Siew C.; Chan, Francis K. L.; Tun, Hein M.] Microbiota I Ctr MagIC, Hong Kong, Peoples R China; [Zhao, Shilin; Ng, Siew C.] Chinese Univ Hong Kong, Fac Med, Dept Med &amp; Therapeut, Hong Kong, Peoples R China; [Lok, Kris Y. W.; Fan, Heidi S. L.; Nagesh, Nitya; Choi, Martha S. L.; Kwok, Jojo Y. Y.; Choi, Edmond P. H.] Univ Hong Kong, Sch Nursing, Hong Kong, Peoples R China; [Sin, Zhen Y.; Peng, Ye; Zhang, Xi; Mok, Chris K. P.; Tun, Hein M.] Chinese Univ Hong Kong, Fac Med, Jockey Club Sch Publ Hlth &amp; Primary Care, Hong Kong, Peoples R China; [Sin, Zhen Y.; Zhang, Xi; Mok, Chris K. P.; Tun, Hein M.] Chinese Univ Hong Kong, Li Ka Shing Inst Hlth Sci, Fac Med, Hong Kong, Peoples R China; [Wai, Hogan Kok-Fung; Tsang, Leo C. H.; Cheng, Samuel S. M.; Peiris, Malik; Poon, Leo L. M.] Univ Hong Kong, Li Ka Shing Fac Med, Sch Publ Hlth, Hong Kong, Peoples R China; [Wai, Hogan Kok-Fung; Peiris, Malik; Poon, Leo L. M.] Univ Hong Kong, LKS Fac Med, HKU Pasteur Res Pole, Hong Kong, Peoples R China; [Ng, Siew C.] Chinese Univ Hong Kong, Li Ka Shing Inst Hlth Sci, State Key Lab Digest Dis, Inst Digest Dis, Hong Kong, Peoples R China; [Chan, Francis K. L.] Chinese Univ Hong Kong, Ctr Gut Microbiota Res, Hong Kong, Peoples R China</t>
  </si>
  <si>
    <t>Chinese University of Hong Kong; University of Hong Kong; Chinese University of Hong Kong; Chinese University of Hong Kong; University of Hong Kong; University of Hong Kong; Chinese University of Hong Kong; Chinese University of Hong Kong</t>
  </si>
  <si>
    <t>Tun, HM (corresponding author), Microbiota I Ctr MagIC, Hong Kong, Peoples R China.;Lok, KYW (corresponding author), Univ Hong Kong, Sch Nursing, Hong Kong, Peoples R China.;Tun, HM (corresponding author), Chinese Univ Hong Kong, Fac Med, Jockey Club Sch Publ Hlth &amp; Primary Care, Hong Kong, Peoples R China.;Tun, HM (corresponding author), Chinese Univ Hong Kong, Li Ka Shing Inst Hlth Sci, Fac Med, Hong Kong, Peoples R China.</t>
  </si>
  <si>
    <t>krislok@hku.hk; heintun@cuhk.edu.hk</t>
  </si>
  <si>
    <t>We thank all study participants for providing specimens and devoting time to our research. This study was funded by InnoHK, The Government of Hong Kong Special Administrative Region of the People's Republic of China, the Theme-based Research Scheme of the; InnoHK, The Government of Hong Kong Special Administrative Region of the People's Republic of China [T11-705/21-N]; Theme-based Research Scheme of the Research Grants Council of the Hong Kong Special Administrative Region; Emergency Key Program of Guangzhou Laboratory [KYWL-006027001]; University of Hong Kong Start-up Fund; Government of Hong Kong; Special Administrative Region of the People's Republic of China</t>
  </si>
  <si>
    <t>We thank all study participants for providing specimens and devoting time to our research. This study was funded by InnoHK, The Government of Hong Kong Special Administrative Region of the People's Republic of China, the Theme-based Research Scheme of the; InnoHK, The Government of Hong Kong Special Administrative Region of the People's Republic of China; Theme-based Research Scheme of the Research Grants Council of the Hong Kong Special Administrative Region; Emergency Key Program of Guangzhou Laboratory; University of Hong Kong Start-up Fund; Government of Hong Kong; Special Administrative Region of the People's Republic of China</t>
  </si>
  <si>
    <t>We thank all study participants for providing specimens and devoting time to our research. This study was funded by InnoHK, The Government of Hong Kong Special Administrative Region of the People's Republic of China, the Theme-based Research Scheme of the Research Grants Council of the Hong Kong Special Administrative Region (T11-705/21-N) and Emergency Key Program of Guangzhou Laboratory (Grant No. EKPG22-30-6) and University of Hong Kong Start-up Fund (KYWL-006027001). Authors affiliated with MagIC are partially supported by InnoHK, The Government of Hong Kong, Special Administrative Region of the People's Republic of China.</t>
  </si>
  <si>
    <t>2059-0105</t>
  </si>
  <si>
    <t>npj Vaccines</t>
  </si>
  <si>
    <t>10.1038/s41541-023-00745-4</t>
  </si>
  <si>
    <t>Immunology; Medicine, Research &amp; Experimental</t>
  </si>
  <si>
    <t>Immunology; Research &amp; Experimental Medicine</t>
  </si>
  <si>
    <t>T2GO8</t>
  </si>
  <si>
    <t>WOS:001076219900001</t>
  </si>
  <si>
    <t>Hirosawa, T; Shimizu, T</t>
  </si>
  <si>
    <t>Hirosawa, Takanobu; Shimizu, Taro</t>
  </si>
  <si>
    <t>Enhancing clinical reasoning with Chat Generative Pre-trained Transformer: a practical guide</t>
  </si>
  <si>
    <t>DIAGNOSIS</t>
  </si>
  <si>
    <t>natural language processing; large language model; diagnostic excellence; diagnosis; self-learning</t>
  </si>
  <si>
    <t>Objectives: This study aimed to elucidate effective methodologies for utilizing the generative artificial intelligence (AI) system, namely the Chat Generative Pre-trained Transformer (ChatGPT), in improving clinical reasoning abilities among clinicians.Methods: We conducted a comprehensive exploration of the capabilities of ChatGPT, emphasizing two main areas: (1) efficient utilization of ChatGPT, with a focus on application and language selection, input methodology, and output verification; and (2) specific strategies to bolster clinical reasoning using ChatGPT, including self-learning via simulated clinical case creation and engagement with published case reports.Results: Effective AI-based clinical reasoning development requires a clear delineation of both system roles and user needs. All outputs from the system necessitate rigorous verification against credible medical resources. When used in self-learning scenarios, capabilities of ChatGPT in clinical case creation notably enhanced disease comprehension.Conclusions: The efficient use of generative AIs, as exemplified by ChatGPT, can impressively enhance clinical reasoning among medical professionals. Adopting these cutting-edge tools promises a bright future for continuous advancements in clinicians' diagnostic skills, heralding a transformative era in digital healthcare.</t>
  </si>
  <si>
    <t>[Hirosawa, Takanobu; Shimizu, Taro] Dokkyo Med Univ, Dept Diagnost &amp; Generalist Med, 880 Kitakobayashi, Mibu Cho, Mibu, Tochigi 3210293, Japan</t>
  </si>
  <si>
    <t>Dokkyo Medical University</t>
  </si>
  <si>
    <t>Hirosawa, T (corresponding author), Dokkyo Med Univ, Dept Diagnost &amp; Generalist Med, 880 Kitakobayashi, Mibu Cho, Mibu, Tochigi 3210293, Japan.</t>
  </si>
  <si>
    <t>hirosawa@dokkyomed.ac.jp</t>
  </si>
  <si>
    <t>Hirosawa, Takanobu/AFS-0531-2022</t>
  </si>
  <si>
    <t>Hirosawa, Takanobu/0000-0002-3573-8203</t>
  </si>
  <si>
    <t>This study was made possible using the resources from the Department of Diagnostic and Generalist Medicine, Dokkyo Medical University.</t>
  </si>
  <si>
    <t>2194-8011</t>
  </si>
  <si>
    <t>2194-802X</t>
  </si>
  <si>
    <t>Diagnosis</t>
  </si>
  <si>
    <t>10.1515/dx-2023-0116</t>
  </si>
  <si>
    <t>WOS:001077103200001</t>
  </si>
  <si>
    <t>Pataranutaporn, P; Liu, R; Finn, E; Maes, P</t>
  </si>
  <si>
    <t>Pataranutaporn, Pat; Liu, Ruby; Finn, Ed; Maes, Pattie</t>
  </si>
  <si>
    <t>Influencing human-AI interaction by priming beliefs about AI can increase perceived trustworthiness, empathy and effectiveness</t>
  </si>
  <si>
    <t>NATURE MACHINE INTELLIGENCE</t>
  </si>
  <si>
    <t>ARTIFICIAL-INTELLIGENCE; PLACEBO; PROGRAM</t>
  </si>
  <si>
    <t>As conversational agents powered by large language models become more human-like, users are starting to view them as companions rather than mere assistants. Our study explores how changes to a person's mental model of an AI system affects their interaction with the system. Participants interacted with the same conversational AI, but were influenced by different priming statements regarding the AI's inner motives: caring, manipulative or no motives. Here we show that those who perceived a caring motive for the AI also perceived it as more trustworthy, empathetic and better-performing, and that the effects of priming and initial mental models were stronger for a more sophisticated AI model. Our work also indicates a feedback loop in which the user and AI reinforce the user's mental model over a short time; further work should investigate long-term effects. The research highlights the importance of how AI systems are introduced can notably affect the interaction and how the AI is experienced. The recent accessibility of large language models brought them into contact with a large number of users and, due to the social nature of language, it is hard to avoid prescribing human characteristics such as intentions to a chatbot. Pataranutaporn and colleagues investigated how framing a bot as helpful or manipulative can influence this perception and the behaviour of the humans that interact with it.</t>
  </si>
  <si>
    <t>[Pataranutaporn, Pat; Liu, Ruby; Maes, Pattie] MIT, Media Lab, Cambridge, MA 02139 USA; [Liu, Ruby] MIT, Harvard MIT Hlth Sci &amp; Technol, Cambridge, MA 02139 USA; [Finn, Ed] Arizona State Univ, Ctr Sci &amp; Imaginat, Tempe, AZ USA</t>
  </si>
  <si>
    <t>Massachusetts Institute of Technology (MIT); Harvard University; Massachusetts Institute of Technology (MIT); Arizona State University; Arizona State University-Tempe</t>
  </si>
  <si>
    <t>Pataranutaporn, P; Liu, R (corresponding author), MIT, Media Lab, Cambridge, MA 02139 USA.;Liu, R (corresponding author), MIT, Harvard MIT Hlth Sci &amp; Technol, Cambridge, MA 02139 USA.</t>
  </si>
  <si>
    <t>patpat@mit.edu; rliu34@media.mit.edu</t>
  </si>
  <si>
    <t>Our paper benefited greatly from the valuable feedback provided by the reviewers, and we extend our gratitude for their contribution. We thank J. Liu, data science specialist at the Institute for Quantitative Social Science, Harvard University, for reviewi; MIT Media Lab; Harvard-MIT Health Sciences and Technology; Accenture</t>
  </si>
  <si>
    <t>Our paper benefited greatly from the valuable feedback provided by the reviewers, and we extend our gratitude for their contribution. We thank J. Liu, data science specialist at the Institute for Quantitative Social Science, Harvard University, for reviewing our statistical analysis. We would like to thank M. Groh, Z. Epstein, N. Whitmore, S. Chan, Z. Yan and the MIT Media Lab Fluid Interfaces group members for reviewing and giving constructive feedback on our paper. We would like to thank MIT Media Lab and KBTG for supporting P. Pataranutaporn, and the Harvard-MIT Health Sciences and Technology, and Accenture for supporting R.L.</t>
  </si>
  <si>
    <t>2522-5839</t>
  </si>
  <si>
    <t>NAT MACH INTELL</t>
  </si>
  <si>
    <t>Nat. Mach. Intell.</t>
  </si>
  <si>
    <t>10.1038/s42256-023-00720-7</t>
  </si>
  <si>
    <t>Computer Science, Artificial Intelligence; Computer Science, Interdisciplinary Applications</t>
  </si>
  <si>
    <t>DB9A7</t>
  </si>
  <si>
    <t>WOS:001073673100001</t>
  </si>
  <si>
    <t>Chun, J; Elkins, K</t>
  </si>
  <si>
    <t>Chun, Jon; Elkins, Katherine</t>
  </si>
  <si>
    <t>INTERNATIONAL JOURNAL OF HUMANITIES AND ARTS COMPUTING-A JOURNAL OF DIGITAL HUMANITIES</t>
  </si>
  <si>
    <t>digital humanities; artificial intelligence; large language models; generative AI; AI alignment; AI safety; AI curriculum; AI ethics; computational digital humanities</t>
  </si>
  <si>
    <t>This article outlines what a successful artificial intelligence digital humanities (AI DH) curriculum entails and why it is so critical now. Artificial intelligence is rapidly reshaping our world and is poised to exacerbate long-standing crises including (1) the crisis of higher education and the humanities, (2) the lack of diversity, equity and inclusion (DEI) in computer science and technology fields and (3) the wider social and economic crises facilitated by new technologies. We outline a number of ways in which an AI DH curriculum offers concrete and impactful responses to these many crises. AI DH yields meaningful new avenues of research for the humanities and the humanistic social sciences, and offers new ways that higher education can better prepare students for the world into which they graduate. DEI metrics show how an AI DH curriculum can engage students traditionally underserved by conventional STEM courses. Finally, AI DH educates all students for civic engagement in order to address both the social and economic impacts of emerging AI technologies. This article provides an overview of an AI DH curriculum, the motivating theory behind design decisions, and a detailed look into two sample courses.</t>
  </si>
  <si>
    <t>[Chun, Jon] Kenyon Coll, Humanities, Gambier, OH 43022 USA; [Chun, Jon] Kenyon DH Lab, Gambier, OH 43022 USA; [Chun, Jon] Symantec, Dev, Tempe, AZ 85281 USA; [Elkins, Katherine] Kenyon, Human &amp; Comparat Literature, Gambier, OH USA</t>
  </si>
  <si>
    <t>University System of Ohio; Kenyon College; Symantec</t>
  </si>
  <si>
    <t>Chun, J (corresponding author), Kenyon Coll, Humanities, Gambier, OH 43022 USA.;Chun, J (corresponding author), Kenyon DH Lab, Gambier, OH 43022 USA.;Chun, J (corresponding author), Symantec, Dev, Tempe, AZ 85281 USA.</t>
  </si>
  <si>
    <t>Elkins, Katherine/0000-0001-9887-4854</t>
  </si>
  <si>
    <t>EDINBURGH UNIV PRESS</t>
  </si>
  <si>
    <t>EDINBURGH</t>
  </si>
  <si>
    <t>THE TUN-HOLYROOD RD, 12 2F JACKSONS ENTRY, EDINBURGH EH8 8PJ, SCOTLAND</t>
  </si>
  <si>
    <t>1753-8548</t>
  </si>
  <si>
    <t>1755-1706</t>
  </si>
  <si>
    <t>INT J HUMANIT ARTS C</t>
  </si>
  <si>
    <t>SI</t>
  </si>
  <si>
    <t>Humanities, Multidisciplinary; Computer Science, Interdisciplinary Applications</t>
  </si>
  <si>
    <t>Arts &amp; Humanities - Other Topics; Computer Science</t>
  </si>
  <si>
    <t>U8DG0</t>
  </si>
  <si>
    <t>WOS:001087046600008</t>
  </si>
  <si>
    <t>de Vicente-Yagüe-Jara, MI; López-Martínez, O; Navarro-Navarro, V; Cuéllar-Santiago, F</t>
  </si>
  <si>
    <t>de Vicente-Yague-Jara, Maria-Isabel; Lopez-Martinez, Olivia; Navarro-Navarro, Veronica; Cuellar-Santiago, Francisco</t>
  </si>
  <si>
    <t>Writing, creativity, and artificial intelligence. ChatGPT in the university context</t>
  </si>
  <si>
    <t>COMUNICAR</t>
  </si>
  <si>
    <t>Artificial intelligence; writing; language teaching; verbal creativity; ChatGPT; Large Language Models</t>
  </si>
  <si>
    <t>The main objective of the research is to study the creative potential of Artificial Intelligence (AI) for writing skills in an educational context. The research aims to provide evidence on the use of AI and contribute to its integration in the classroom as a support for the teaching-learning process. Two types of research designs were established: a descriptive and comparative non-experimental quantitative research, and a quasi-experimental pretest-posttest study. The sample consisted of 20 AI systems and 193 university students who were given Games 2 and 3 of the Spanish PIC-A test (Creative Imagination Test for Adults). The students repeated the games, assisted by ChatGPT, to compare the possible improvement of their productions. The findings reveal statistically significant differences between the AIs and the students in the indicators of fluency, flexibility, and narrative originality in Game 2. Furthermore, significant differences are found between students' pre-test and post-test scores in fluency, flexibility, and narrative originality in Game 2 and in fluency in Game 3. Finally, the assistance provided by AI in writing tasks and verbal creativity is highlighted, and this should be considered in language teaching; in any case, AI cannot replace human intelligence and creativity.</t>
  </si>
  <si>
    <t>[de Vicente-Yague-Jara, Maria-Isabel] Univ Murcia, Dept Didact Lengua &amp; Literatura, Murcia, Spain; [Lopez-Martinez, Olivia] Univ Murcia, Dept Psicol Evolut &amp; Educ, Murcia, Spain; [Navarro-Navarro, Veronica] Univ Salamanca, Dept Hist Arte Bellas Artes, Salamanca, Spain; [Cuellar-Santiago, Francisco] Univ Miguel Hernandez Elche, Dept Arte, Elche, Spain</t>
  </si>
  <si>
    <t>University of Murcia; University of Murcia; University of Salamanca; Universidad Miguel Hernandez de Elche</t>
  </si>
  <si>
    <t>de Vicente-Yagüe-Jara, MI (corresponding author), Univ Murcia, Dept Didact Lengua &amp; Literatura, Murcia, Spain.</t>
  </si>
  <si>
    <t>isabelvyague@um.es; olivia@um.es; veronicanavarro@usal.es; fcuellar@umh.es</t>
  </si>
  <si>
    <t>; de Vicente-Yague Jara, Maria Isabel/R-5354-2018</t>
  </si>
  <si>
    <t>Oxbridge Publishing House</t>
  </si>
  <si>
    <t>Sollihul</t>
  </si>
  <si>
    <t>4 White House Way, Sollihul, ENGLAND</t>
  </si>
  <si>
    <t>1134-3478</t>
  </si>
  <si>
    <t>1988-3293</t>
  </si>
  <si>
    <t>Communication; Education &amp; Educational Research</t>
  </si>
  <si>
    <t>W6RD1</t>
  </si>
  <si>
    <t>WOS:001092871200004</t>
  </si>
  <si>
    <t>Griewing, S; Gremke, N; Wagner, U; Lingenfelder, M; Kuhn, S; Boekhoff, J</t>
  </si>
  <si>
    <t>Griewing, Sebastian; Gremke, Niklas; Wagner, Uwe; Lingenfelder, Michael; Kuhn, Sebastian; Boekhoff, Jelena</t>
  </si>
  <si>
    <t>Challenging ChatGPT 3.5 in Senology-An Assessment of Concordance with Breast Cancer Tumor Board Decision Making</t>
  </si>
  <si>
    <t>JOURNAL OF PERSONALIZED MEDICINE</t>
  </si>
  <si>
    <t>artificial intelligence; large language models; gynecology; oncology; tumor board</t>
  </si>
  <si>
    <t>ONCOLOGY</t>
  </si>
  <si>
    <t>With the recent diffusion of access to publicly available large language models (LLMs), common interest in generative artificial-intelligence-based applications for medical purposes has skyrocketed. The increased use of these models by tech-savvy patients for personal health issues calls for a scientific evaluation of whether LLMs provide a satisfactory level of accuracy for treatment decisions. This observational study compares the concordance of treatment recommendations from the popular LLM ChatGPT 3.5 with those of a multidisciplinary tumor board for breast cancer (MTB). The study design builds on previous findings by combining an extended input model with patient profiles reflecting patho- and immunomorphological diversity of primary breast cancer, including primary metastasis and precancerous tumor stages. Overall concordance between the LLM and MTB is reached for half of the patient profiles, including precancerous lesions. In the assessment of invasive breast cancer profiles, the concordance amounts to 58.8%. Nevertheless, as the LLM makes considerably fraudulent decisions at times, we do not identify the current development status of publicly available LLMs to be adequate as a support tool for tumor boards. Gynecological oncologists should familiarize themselves with the capabilities of LLMs in order to understand and utilize their potential while keeping in mind potential risks and limitations.</t>
  </si>
  <si>
    <t>[Griewing, Sebastian; Kuhn, Sebastian] Philipps Univ Marburg, Univ Hosp Marburg, Inst Digital Med, Baldingerstr, D-35043 Marburg, Germany; [Griewing, Sebastian; Gremke, Niklas; Wagner, Uwe; Boekhoff, Jelena] Philipps Univ Marburg, Univ Hosp Marburg, Dept Gynecol &amp; Obstet, Baldingerstr, D-35043 Marburg, Germany; [Griewing, Sebastian; Lingenfelder, Michael] Philipps Univ Marburg, Inst Healthcare Management, Chair Gen Business Adm, Univ Str 24, D-35037 Marburg, Germany</t>
  </si>
  <si>
    <t>Griewing, S (corresponding author), Philipps Univ Marburg, Univ Hosp Marburg, Inst Digital Med, Baldingerstr, D-35043 Marburg, Germany.;Griewing, S (corresponding author), Philipps Univ Marburg, Univ Hosp Marburg, Dept Gynecol &amp; Obstet, Baldingerstr, D-35043 Marburg, Germany.;Griewing, S (corresponding author), Philipps Univ Marburg, Inst Healthcare Management, Chair Gen Business Adm, Univ Str 24, D-35037 Marburg, Germany.</t>
  </si>
  <si>
    <t>griewin4@staff.uni-marburg.de; gremken@staff.uni-marburg.de; uwe.wagner@uk-gm.de; lingenfe@wiwi.uni-marburg.de; sebastian.kuhn@uni-marburg.de; jboekhof@med.uni-marburg.de</t>
  </si>
  <si>
    <t>Kuhn, Sebastian/H-5100-2018</t>
  </si>
  <si>
    <t>Open Access Publishing Fund of Philipps-Universitat Marburg; Deutsche Forschungsgemeinschaft (DFG, German Research Foundation); Clinician Scientist program (SUCCESS-program) of Philipps-University of Marburg; University Hospital of Giessen and Marburg; Open Access Publishing Fund of Philipps-Universitat Marburg; Deutsche Forschungsgemeinschaft (DFG, German Research Foundation); Clinician Scientist program (SUCCESS-program) of Philipps-University of Marburg; University Hospital of Giessen and Marburg; Open Access Publishing Fund of Philipps-Universitat Marburg; Deutsche Forschungsgemeinschaft (DFG, German Research Foundation); Clinician Scientist program (SUCCESS-program) of Philipps-University of Marburg; University Hospital of Giessen and Marburg</t>
  </si>
  <si>
    <t>Open Access Publishing Fund of Philipps-Universitat Marburg; Deutsche Forschungsgemeinschaft (DFG, German Research Foundation)(German Research Foundation (DFG)); Clinician Scientist program (SUCCESS-program) of Philipps-University of Marburg; University Hospital of Giessen and Marburg; Open Access Publishing Fund of Philipps-Universitat Marburg; Deutsche Forschungsgemeinschaft (DFG, German Research Foundation)(German Research Foundation (DFG)); Clinician Scientist program (SUCCESS-program) of Philipps-University of Marburg; University Hospital of Giessen and Marburg; Open Access Publishing Fund of Philipps-Universitat Marburg; Deutsche Forschungsgemeinschaft (DFG, German Research Foundation)(German Research Foundation (DFG)); Clinician Scientist program (SUCCESS-program) of Philipps-University of Marburg; University Hospital of Giessen and Marburg</t>
  </si>
  <si>
    <t>The authors declare that no funds, grants or other support were received during the preparation of this manuscript. Open access funding is provided by the Open Access Publishing Fund of Philipps-Universitat Marburg with the support of the Deutsche Forschungsgemeinschaft (DFG, German Research Foundation). S.G. and N.G. were supported by the Clinician Scientist program (SUCCESS-program) of Philipps-University of Marburg and the University Hospital of Giessen and Marburg.</t>
  </si>
  <si>
    <t>2075-4426</t>
  </si>
  <si>
    <t>J PERS MED</t>
  </si>
  <si>
    <t>J. Pers. Med.</t>
  </si>
  <si>
    <t>10.3390/jpm13101502</t>
  </si>
  <si>
    <t>Health Care Sciences &amp; Services; Medicine, General &amp; Internal</t>
  </si>
  <si>
    <t>Health Care Sciences &amp; Services; General &amp; Internal Medicine</t>
  </si>
  <si>
    <t>W2LU8</t>
  </si>
  <si>
    <t>WOS:001090005600001</t>
  </si>
  <si>
    <t>Mogapaesi, T</t>
  </si>
  <si>
    <t>Mogapaesi, Tshepo</t>
  </si>
  <si>
    <t>The Mediation Framework in Botswana's Trade Disputes Act: A Unique Approach to Dispute Resolution</t>
  </si>
  <si>
    <t>JOURNAL OF AFRICAN LAW</t>
  </si>
  <si>
    <t>Alternative dispute resolution; mediation; mediators; trade disputes; Industrial Court</t>
  </si>
  <si>
    <t>Botswana's Trade Disputes Act was enacted to provide for a settlement of trade disputes by the Commissioner of Labour, mediators and arbitrators and for the establishment of the Industrial Court as a court of law and equity. Mediators therefore play a critical role in the resolution of trade disputes within Botswana's labour law framework, and while their role is facilitative, their contribution to the trajectory of resolving labour disputes is significant. This article analyses the form of mediation envisaged under the act, and the mediator's role and powers. It further considers circumstances under and the extent to which the Industrial Court may intervene in the decisions of mediators.</t>
  </si>
  <si>
    <t>[Mogapaesi, Tshepo] Univ Botswana, Dept Law, Gaborone, Botswana</t>
  </si>
  <si>
    <t>University of Botswana</t>
  </si>
  <si>
    <t>Mogapaesi, T (corresponding author), Univ Botswana, Dept Law, Gaborone, Botswana.</t>
  </si>
  <si>
    <t>mogapaesit@ub.ac.bw</t>
  </si>
  <si>
    <t>African Studies Centre at Michigan State University under Alliance for African Partnerships (African Futures) Postdoctoral Programme</t>
  </si>
  <si>
    <t>LLD, LLM (North-West University, South Africa), LLB (University of Botswana). The author expresses gratitude to the African Studies Centre at Michigan State University for funding this research under the auspices of the Alliance for African Partnerships (African Futures) Postdoctoral Programme.</t>
  </si>
  <si>
    <t>CAMBRIDGE UNIV PRESS</t>
  </si>
  <si>
    <t>EDINBURGH BLDG, SHAFTESBURY RD, CB2 8RU CAMBRIDGE, ENGLAND</t>
  </si>
  <si>
    <t>0021-8553</t>
  </si>
  <si>
    <t>1464-3731</t>
  </si>
  <si>
    <t>J AFR LAW</t>
  </si>
  <si>
    <t>J. Afr. Law.</t>
  </si>
  <si>
    <t>10.1017/S0021855323000244</t>
  </si>
  <si>
    <t>Y1QY2</t>
  </si>
  <si>
    <t>Bronze</t>
  </si>
  <si>
    <t>WOS:001103093900008</t>
  </si>
  <si>
    <t>Mukherjee, P; Gokul, RS; Sadhukhan, S; Godse, M; Chakraborty, B</t>
  </si>
  <si>
    <t>Mukherjee, Prasenjit; Gokul, R. S.; Sadhukhan, Sourav; Godse, Manish; Chakraborty, Baisakhi</t>
  </si>
  <si>
    <t>Detection of Autism Spectrum Disorder (ASD) from Natural Language Text using BERT and ChatGPT Models</t>
  </si>
  <si>
    <t>INTERNATIONAL JOURNAL OF ADVANCED COMPUTER SCIENCE AND APPLICATIONS</t>
  </si>
  <si>
    <t>-BERT model; ChatGPT model; autism; machine learning; generative AI; autism detection</t>
  </si>
  <si>
    <t>D may be caused by a combination of genetic and environmental factors, including gene mutations and exposure to toxins. People with ASD may also have trouble forming social relationships, have difficulty with communication and language, and struggle with sensory sensitivity. These difficulties can range from mild to severe and can affect a person's ability to interact with the world around them. Autism spectrum disorder (ASD) is a developmental disorder that affects people in different ways. But early detection of ASD in a child is a good option for parents to start corrective therapies and treatment. They can take action to reduce the ASD symptoms in their child. The proposed work is the detection of ASD in a child using a parent's dialog. The most popular Bert model and recent ChatGPT have been utilized to analyze the sentiment of each statement from parents for the detection of symptoms of ASD. The Bert model has been developed by the transformers which are the most popular in the natural language processing field whereas the ChatGPT model is a large language model (LLM). It is based on Reinforcement learning from human feedback (RLHF) that can able to generate the sentiment of the sentence, computer language codes, text paragraphs, etc. The sentiment analysis has been done on parents' dialog using the Bert model and ChatGPT model. The data has been prepared from various Autism groups on social sites and other resources on the internet. The data has been cleaned and prepared to train the Bert model and ChatGPT model. The Bert model is able to detect the sentiment of each sentence from parents. Any positive sentiment detection means parents should be aware of their children. The proposed model has given 83 percent accuracy according to the prepared data.</t>
  </si>
  <si>
    <t>[Mukherjee, Prasenjit; Gokul, R. S.] Vodafone Intelligent Solut, Dept Technol, Pune, India; [Mukherjee, Prasenjit] Manipur Int Univ, Dept Comp Sci, Imphal, Manipur, India; [Sadhukhan, Sourav] Pune Inst Business Management, Dept Finance, Pune, India; [Godse, Manish] BizAm Software, Dept IT, Pune, India; [Chakraborty, Baisakhi] Natl Inst Technol, Dept Comp Sci &amp; Engn, Durgapur, India</t>
  </si>
  <si>
    <t>National Institute of Technology (NIT System); National Institute of Technology Durgapur</t>
  </si>
  <si>
    <t>Mukherjee, P (corresponding author), Vodafone Intelligent Solut, Dept Technol, Pune, India.;Mukherjee, P (corresponding author), Manipur Int Univ, Dept Comp Sci, Imphal, Manipur, India.</t>
  </si>
  <si>
    <t>Manipur International University, Imphal, India</t>
  </si>
  <si>
    <t>The authors extend their appreciation to the Manipur International University, Imphal, India for supporting this Post-Doctoral (D.Sc.) research work on Autism.</t>
  </si>
  <si>
    <t>SCIENCE &amp; INFORMATION SAI ORGANIZATION LTD</t>
  </si>
  <si>
    <t>WEST YORKSHIRE</t>
  </si>
  <si>
    <t>19 BOLLING RD, BRADFORD, WEST YORKSHIRE, 00000, ENGLAND</t>
  </si>
  <si>
    <t>2158-107X</t>
  </si>
  <si>
    <t>2156-5570</t>
  </si>
  <si>
    <t>INT J ADV COMPUT SC</t>
  </si>
  <si>
    <t>Int. J. Adv. Comput. Sci. Appl.</t>
  </si>
  <si>
    <t>CN6Y1</t>
  </si>
  <si>
    <t>WOS:001125979200001</t>
  </si>
  <si>
    <t>Osama, M; Afridi, S; Maaz, M</t>
  </si>
  <si>
    <t>Osama, Muhammad; Afridi, Sabah; Maaz, Muhammad</t>
  </si>
  <si>
    <t>ChatGPT: Transcending Language Limitations in Scientific Research Using Artificial Intelligence</t>
  </si>
  <si>
    <t>JCPSP-JOURNAL OF THE COLLEGE OF PHYSICIANS AND SURGEONS PAKISTAN</t>
  </si>
  <si>
    <t>Artificial intelligence; ChatGPT; Health research; Scientific research</t>
  </si>
  <si>
    <t>Health and scientific researchers in non-English speaking countries such as Pakistan, are not proficient in English, which limits their ability to communicate their ideas and findings to the international scientific community. ChatGPT is a large language model that can help non-native English speakers to write high-quality scientific papers much faster by assisting them in conveying their ideas in a clear and understandable manner, as well as avoiding common language errors. In fact, ChatGPT has already been used in publication of research papers, literature reviews, and editorials. However, it is imperative to recognise that ChatGPT is still in its early stages, thus, it is important to recognise its limitations. It is suggested that ChatGPT should be employed to complement writing and reviewing tasks but should not be relied on to generate original content or perform essential analysis, as it cannot replace human expertise, contextual knowledge, experience, and intelligence. Researchers should exercise caution and thoroughly scrutinise the generated text for accuracy and plagiarism before incorporating it into their work.</t>
  </si>
  <si>
    <t>[Osama, Muhammad] Fdn Univ, Coll Phys Therapy FUCP, Islamabad, Pakistan; [Afridi, Sabah] Rawal Inst Hlth Sci, Islamabad, Pakistan; [Maaz, Muhammad] Hofstra Univ, Hempstead, NY USA</t>
  </si>
  <si>
    <t>Hofstra University</t>
  </si>
  <si>
    <t>Osama, M (corresponding author), Fdn Univ, Coll Phys Therapy FUCP, Islamabad, Pakistan.</t>
  </si>
  <si>
    <t>osamadpt@gmail.com</t>
  </si>
  <si>
    <t>COLL PHYSICIANS &amp; SURGEONS PAKISTAN</t>
  </si>
  <si>
    <t>KARACHI</t>
  </si>
  <si>
    <t>SEVENTH CENTRAL ST, DEFENCE HOUSING AUTHORITY, KARACHI, 75500, PAKISTAN</t>
  </si>
  <si>
    <t>1022-386X</t>
  </si>
  <si>
    <t>1681-7168</t>
  </si>
  <si>
    <t>JCPSP-J COLL PHYSICI</t>
  </si>
  <si>
    <t>JCPSP-J. Coll. Physicians Surg.</t>
  </si>
  <si>
    <t>10.29271/jcpsp.2023.10.1198</t>
  </si>
  <si>
    <t>U2WW3</t>
  </si>
  <si>
    <t>WOS:001083466300021</t>
  </si>
  <si>
    <t>Paroiu, R; Ruseti, S; Dascalu, M; Trausan-Matu, S; Mcnamara, DS</t>
  </si>
  <si>
    <t>Paroiu, Razvan; Ruseti, Stefan; Dascalu, Mihai; Trausan-Matu, Stefan; Mcnamara, Danielle S.</t>
  </si>
  <si>
    <t>Asking Questions about Scientific Articles-Identifying Large N Studies with LLMs</t>
  </si>
  <si>
    <t>large language models; question answering; scientific article processing</t>
  </si>
  <si>
    <t>SAMPLE-SIZE</t>
  </si>
  <si>
    <t>The exponential growth of scientific publications increases the effort required to identify relevant articles. Moreover, the scale of studies is a frequent barrier to research as the majority of studies are low or medium-scaled and do not generalize well while lacking statistical power. As such, we introduce an automated method that supports the identification of large-scale studies in terms of population. First, we introduce a training corpus of 1229 manually annotated paragraphs extracted from 20 articles with different structures and considered populations. Our method considers prompting a FLAN-T5 language model with targeted questions and paragraphs from the previous corpus so that the model returns the number of participants from the study. We adopt a dialogic extensible approach in which the model is asked a sequence of questions that are gradual in terms of focus. Second, we use a validation corpus with 200 articles labeled for having N larger than 1000 to assess the performance of our language model. Our model, without any preliminary filtering with heuristics, achieves an F1 score of 0.52, surpassing previous analyses performed that obtained an F1 score of 0.51. Moreover, we achieved an F1 score of 0.69 when combined with previous extraction heuristics, thus arguing for the robustness and extensibility of our approach. Finally, we apply our model to a newly introduced dataset of ERIC publications to observe trends across the years in the Education domain. A spike was observed in 2019, followed by a decrease in 2020 and, afterward, a positive trend; nevertheless, the overall percentage is lower than 3%, suggesting a major problem in terms of scale and the need for a change in perspective.</t>
  </si>
  <si>
    <t>[Paroiu, Razvan; Ruseti, Stefan; Dascalu, Mihai; Trausan-Matu, Stefan] Natl Univ Sci &amp; Technol Politehn Bucharest, Comp Sci &amp; Engn Dept, 313 Splaiul Independentei, Bucharest 060042, Romania; [Dascalu, Mihai; Trausan-Matu, Stefan] Acad Romanian Scientists, Str Ilfov 3, Bucharest 050044, Romania; [Mcnamara, Danielle S.] Arizona State Univ, Dept Psychol, Tempe, AZ 85287 USA</t>
  </si>
  <si>
    <t>Academy of Romanian Scientists (AOSR); Arizona State University; Arizona State University-Tempe</t>
  </si>
  <si>
    <t>Dascalu, M (corresponding author), Natl Univ Sci &amp; Technol Politehn Bucharest, Comp Sci &amp; Engn Dept, 313 Splaiul Independentei, Bucharest 060042, Romania.;Dascalu, M (corresponding author), Acad Romanian Scientists, Str Ilfov 3, Bucharest 050044, Romania.</t>
  </si>
  <si>
    <t>razvan.paroiu@upb.ro; stefan.ruseti@upb.ro; mihai.dascalu@upb.ro; stefan.trausan@upb.ro; dsmcnama@asu.edu</t>
  </si>
  <si>
    <t>Schmidt Futures; Ministry of Investments; European Projects through the Human Capital Sectoral Operational Program 2014-2020 [62461, 153735]; Institute of Education Sciences, U.S. Department of Education [R305N210041]; Schmidt Futures; Ministry of Investments; European Projects through the Human Capital Sectoral Operational Program 2014-2020 [62461, 153735]; Institute of Education Sciences, U.S. Department of Education [R305N210041]</t>
  </si>
  <si>
    <t>Schmidt Futures; Ministry of Investments; European Projects through the Human Capital Sectoral Operational Program 2014-2020; Institute of Education Sciences, U.S. Department of Education(US Department of Education); Schmidt Futures; Ministry of Investments; European Projects through the Human Capital Sectoral Operational Program 2014-2020; Institute of Education Sciences, U.S. Department of Education(US Department of Education)</t>
  </si>
  <si>
    <t>The results presented in this article have been funded by a grant from Schmidt Futures and by the Ministry of Investments and European Projects through the Human Capital Sectoral Operational Program 2014-2020, Contract no. 62461/03.06.2022, SMIS code 153735. The research reported here was also supported by the Institute of Education Sciences, U.S. Department of Education, through Grant R305N210041 to Arizona State University. The opinions expressed are those of the authors and do not represent views of the institute or the U.S. Department of Education.</t>
  </si>
  <si>
    <t>10.3390/electronics12193996</t>
  </si>
  <si>
    <t>U7SS0</t>
  </si>
  <si>
    <t>WOS:001086772600001</t>
  </si>
  <si>
    <t>Praskilevics, A; Urtane, I; Latkovskis, G</t>
  </si>
  <si>
    <t>Praskilevics, Arturs; Urtane, Inga; Latkovskis, Gustavs</t>
  </si>
  <si>
    <t>National Trends in the Use of State-Reimbursed Lipid-Lowering Medications in Latvia (2012-2021)</t>
  </si>
  <si>
    <t>JOURNAL OF CLINICAL MEDICINE</t>
  </si>
  <si>
    <t>lipid-lowering medications; trends; dyslipidemia; statins; ezetimibe; fixed-dose combination; PCSK9 inhibitors; fenofibrate</t>
  </si>
  <si>
    <t>Background. We aimed to estimate the trends in dispensing rate and the spectrum of all state-funded lipid-lowering medications (LLMs) in Latvia over a decade. Methods. Using data from the National Health Service of the Republic of Latvia, we retrospectively analyzed all dispensed LLM-containing drug units in a ten-year period from 2012 to 2021. Results. In Latvia, 318.2 million oral and 994 subcutaneous units of LLMs were dispensed over a decade. Statins were the most dispensed LLMs (94.5%), and their use doubled from 19.7 to 43.5 million units. The proportion of high-intensity statins increased from 31.3% to 45.2%. The dispensing rate of ezetimibe increased from 184.7 thousand to 4.8 million. The share of fixed-dose statin combinations with ezetimibe grew from 0.2% to 10.0% among all statins and from 22.2% to 90.9% among all ezetimibe units. Statin use for primary and secondary prevention increased from 7.0 to 19.9 million and from 12.8 to 23.6 million units, respectively. Conclusion. The dispensing rate of statins doubled, and the use of ezetimibe increased more than 25 times in Latvia over a decade. The proportion of high-intensity statins increased from one third to almost half of all statins. Fixed-dose statin combinations with ezetimibe became frequently used.</t>
  </si>
  <si>
    <t>[Praskilevics, Arturs; Urtane, Inga] Riga Stradins Univ, Fac Pharm, Dept Pharmaceut Chem, LV-1007 Riga, Latvia; [Praskilevics, Arturs] Riga Stradins Univ, Red Cross Med Coll, LV-1009 Riga, Latvia; [Latkovskis, Gustavs] Univ Latvia, Inst Cardiol &amp; Regenerat Med, LV-1004 Riga, Latvia; [Latkovskis, Gustavs] Pauls Stradins Clin Univ Hosp, Latvian Ctr Cardiol, LV-1002 Riga, Latvia; [Latkovskis, Gustavs] Univ Latvia, Fac Med, LV-1004 Riga, Latvia</t>
  </si>
  <si>
    <t>Riga Stradins University; Riga Stradins University; University of Latvia; Pauls Stradins Clinical University Hospital; University of Latvia</t>
  </si>
  <si>
    <t>Praskilevics, A (corresponding author), Riga Stradins Univ, Fac Pharm, Dept Pharmaceut Chem, LV-1007 Riga, Latvia.;Praskilevics, A (corresponding author), Riga Stradins Univ, Red Cross Med Coll, LV-1009 Riga, Latvia.</t>
  </si>
  <si>
    <t>arturs.zales@gmail.com; inga.urtane@rsu.lv; gustavs.latkovskis@gmail.com</t>
  </si>
  <si>
    <t>Department of Doctoral Studies,Riga Stradins University [6-DN-20/2/2023]</t>
  </si>
  <si>
    <t>Department of Doctoral Studies,Riga Stradins University</t>
  </si>
  <si>
    <t>Doctoral study grant (Nr. 6-DN-20/2/2023) from the Department of Doctoral Studies,Riga Stradins University.</t>
  </si>
  <si>
    <t>2077-0383</t>
  </si>
  <si>
    <t>J CLIN MED</t>
  </si>
  <si>
    <t>J. Clin. Med.</t>
  </si>
  <si>
    <t>10.3390/jcm12196390</t>
  </si>
  <si>
    <t>U2FC7</t>
  </si>
  <si>
    <t>WOS:001083004600001</t>
  </si>
  <si>
    <t>Roberts, RH; Ali, SR; Hutchings, HA; Dobbs, TD; Whitaker, IS</t>
  </si>
  <si>
    <t>Roberts, Richard H. R.; Ali, Stephen R.; Hutchings, Hayley A.; Dobbs, Thomas D.; Whitaker, Iain S.</t>
  </si>
  <si>
    <t>Comparative study of ChatGPT and human evaluators on the assessment of medical literature according to recognised reporting standards</t>
  </si>
  <si>
    <t>BMJ HEALTH &amp; CARE INFORMATICS</t>
  </si>
  <si>
    <t>Artificial intelligence; Medical Informatics</t>
  </si>
  <si>
    <t>Introduction Amid clinicians' challenges in staying updated with medical research, artificial intelligence (AI) tools like the large language model (LLM) ChatGPT could automate appraisal of research quality, saving time and reducing bias. This study compares the proficiency of ChatGPT3 against human evaluation in scoring abstracts to determine its potential as a tool for evidence synthesis.Methods We compared ChatGPT's scoring of implant dentistry abstracts with human evaluators using the Consolidated Standards of Reporting Trials for Abstracts reporting standards checklist, yielding an overall compliance score (OCS). Bland-Altman analysis assessed agreement between human and AI-generated OCS percentages. Additional error analysis included mean difference of OCS subscores, Welch's t-test and Pearson's correlation coefficient.Results Bland-Altman analysis showed a mean difference of 4.92% (95% CI 0.62%, 0.37%) in OCS between human evaluation and ChatGPT. Error analysis displayed small mean differences in most domains, with the highest in 'conclusion' (0.764 (95% CI 0.186, 0.280)) and the lowest in 'blinding' (0.034 (95% CI 0.818, 0.895)). The strongest correlations between were in 'harms' (r=0.32, p&lt;0.001) and 'trial registration' (r=0.34, p=0.002), whereas the weakest were in 'intervention' (r=0.02, p&lt;0.001) and 'objective' (r=0.06, p&lt;0.001).Conclusion LLMs like ChatGPT can help automate appraisal of medical literature, aiding in the identification of accurately reported research. Possible applications of ChatGPT include integration within medical databases for abstract evaluation. Current limitations include the token limit, restricting its usage to abstracts. As AI technology advances, future versions like GPT4 could offer more reliable, comprehensive evaluations, enhancing the identification of high-quality research and potentially improving patient outcomes.</t>
  </si>
  <si>
    <t>[Roberts, Richard H. R.; Ali, Stephen R.; Dobbs, Thomas D.; Whitaker, Iain S.] Swansea Univ, Reconstruct Surg &amp; Regenerat Med Res Ctr, Swansea, Wales; [Roberts, Richard H. R.; Hutchings, Hayley A.] Swansea Univ, Swansea Univ Med Sch, Swansea, Wales; [Roberts, Richard H. R.; Ali, Stephen R.; Dobbs, Thomas D.; Whitaker, Iain S.] Morriston Hosp, Welsh Ctr Burns &amp; Plast Surg, Swansea, Wales</t>
  </si>
  <si>
    <t>Swansea University; Swansea University; Morriston Hospital</t>
  </si>
  <si>
    <t>Roberts, RH (corresponding author), Swansea Univ, Reconstruct Surg &amp; Regenerat Med Res Ctr, Swansea, Wales.;Roberts, RH (corresponding author), Swansea Univ, Swansea Univ Med Sch, Swansea, Wales.;Roberts, RH (corresponding author), Morriston Hosp, Welsh Ctr Burns &amp; Plast Surg, Swansea, Wales.</t>
  </si>
  <si>
    <t>838272@swansea.ac.uk</t>
  </si>
  <si>
    <t>Roberts, Richard Henry Randall/0000-0002-9600-5943</t>
  </si>
  <si>
    <t>Swansea University; Welsh Clinical Academic Training Fellowship; British Association of Plastic, Reconstructive and Aesthetic Surgeons</t>
  </si>
  <si>
    <t>The research conducted herein was funded by Swansea University. SRA and TDD are funded by the Welsh Clinical Academic Training Fellowship (no award number). SRA received a Paton Masser grant from the British Association of Plastic, Reconstructive and Aesthetic Surgeons to support this work (no award number). ISW is the surgical specialty lead for Health and Care Research Wales and the chief investigator for the Scar Free Foundation &amp; Health and Care Research Wales Programme of Reconstructive and Regenerative Surgery Research (no award number). The Scar Free Foundation is the only medical research charity focused on scarring with the mission to achieve scar-free healing within a generation. ISW is an associate editor for the Annals of Plastic Surgery, editorial board member of BMC Medicine and takes numerous other editorial board roles.</t>
  </si>
  <si>
    <t>2632-1009</t>
  </si>
  <si>
    <t>BMJ HEALTH CARE INFO</t>
  </si>
  <si>
    <t>BMJ Health Care Inform.</t>
  </si>
  <si>
    <t>e100830</t>
  </si>
  <si>
    <t>10.1136/bmjhci-2023-100830</t>
  </si>
  <si>
    <t>U5KR3</t>
  </si>
  <si>
    <t>WOS:001085193700002</t>
  </si>
  <si>
    <t>Kong, ZY; Adi, VSK; Segovia-Hernández, JG; Sunarso, J</t>
  </si>
  <si>
    <t>Kong, Zong Yang; Adi, Vincentius Surya Kurnia; Segovia-Hernandez, Juan Gabriel; Sunarso, Jaka</t>
  </si>
  <si>
    <t>Complementary role of large language models in educating undergraduate design of distillation column: Methodology development</t>
  </si>
  <si>
    <t>DIGITAL CHEMICAL ENGINEERING</t>
  </si>
  <si>
    <t>ChatGPT; Chemical engineering education; Large language models; Distillation; Industry 4.0; Mass transfer</t>
  </si>
  <si>
    <t>EXTRACTIVE DISTILLATION; UNIVERSITY</t>
  </si>
  <si>
    <t>This paper explores the integration of large language models (LLMs), such as ChatGPT, in chemical engineering education, departing from conventional practices that may not be universally accepted. While there is ongoing debate surrounding the acceptance of LLMs, driven by concerns over computational instability and potential inconsistencies, their inevitability in shaping our communication and interaction with technology cannot be ignored. As educators, we are positioned to play a vital role in guiding students toward the responsible, effective, and synergetic use of LLMs. Focusing specifically on distillation column design in undergraduate mass-transfer courses, this study demonstrates how ChatGPT can be utilized as an auxiliary tool to create interactive learning environments and simulate real-world engineering thinking processes. It emphasizes the need for students to develop critical thinking skills and a thorough understanding of LLM principles, taking responsibility for their use and creations. While ChatGPT should not be solely relied upon, its integration with fundamental principles of chemical engineering is crucial. The effectiveness and limitations of ChatGPT are exemplified through two case studies, showcasing the importance of manual calculations and established simulation software as primary tools for guiding and validating engineering results and analyses. This paper also addresses the pedagogical implications of integrating LLMs into mass transfer courses, encompassing curriculum integration, facilitation, guidance, and ethical considerations. Recommendations are provided for incorporating LLMs effectively into the curriculum. Overall, this study contributes to the advancement of chemical engineering education by examining the benefits and limitations of LLMs as educational aids in the design process.</t>
  </si>
  <si>
    <t>[Kong, Zong Yang] Sunway Univ, Sch Engn &amp; Technol, Dept Engn, Bandar Sunway 47500, Selangor, Malaysia; [Adi, Vincentius Surya Kurnia] Natl Chung Hsing Univ, Dept Chem Engn, Taichung 40227, Taiwan; [Segovia-Hernandez, Juan Gabriel] Univ Guanajuato, Div Ciencias Nat &amp; Exactas, Dept Ingn Quim, Campus Guanajuato,Noria Alta S-N, Guanajuato 36050, Gto, Mexico; [Sunarso, Jaka] Swinburne Univ Technol, Res Ctr Sustainable Technol, Fac Engn Comp &amp; Sci, Jalan Simpang Tiga, Kuching 93350, Sarawak, Malaysia</t>
  </si>
  <si>
    <t>Kong, ZY (corresponding author), Sunway Univ, Sch Engn &amp; Technol, Dept Engn, Bandar Sunway 47500, Selangor, Malaysia.;Adi, VSK (corresponding author), Natl Chung Hsing Univ, Dept Chem Engn, Taichung 40227, Taiwan.</t>
  </si>
  <si>
    <t>savierk@sunway.edu.my; skzyang@outlook.com</t>
  </si>
  <si>
    <t>Adi, Vincentius Surya Kurnia/K-7498-2012</t>
  </si>
  <si>
    <t>Adi, Vincentius Surya Kurnia/0000-0002-6857-2772; Kong, Zong Yang/0000-0002-4846-2744</t>
  </si>
  <si>
    <t>Sunway University Malaysia; Innovative Center on Sustainable Negative -Carbon Resources from The Featured Areas Research Center Program within the framework of the Higher Education Sprout Project by the Ministry of Education (MOE) in Taiwan; Ministry of Science and Technology, Taiwan [MOST 106-2221-E-005-095, MOST 107-2221-E-005-034-, 105]; Ministry of Science and Technology [10617003 G]</t>
  </si>
  <si>
    <t>Sunway University Malaysia; Innovative Center on Sustainable Negative -Carbon Resources from The Featured Areas Research Center Program within the framework of the Higher Education Sprout Project by the Ministry of Education (MOE) in Taiwan; Ministry of Science and Technology, Taiwan(Ministry of Science and Technology, Taiwan); Ministry of Science and Technology(Spanish Government)</t>
  </si>
  <si>
    <t>Z.Y. Kong gratefully acknowledged the support from Sunway University Malaysia. V.S.K. Adi acknowledges the partial support from the Innovative Center on Sustainable Negative -Carbon Resources from The Featured Areas Research Center Program within the framework of the Higher Education Sprout Project by the Ministry of Education (MOE) in Taiwan, the partial support from the Ministry of Science and Technology, Taiwan under contract no. MOST 106-2221-E-005-095-, MOST 107-2221-E-005-034-, the 105 Ministry of Science and Technology subsidy for attracting special outstanding talents in colleges and universities award, and the grant (10617003 G) for newly recruited academics from National Chung-Hsing University.</t>
  </si>
  <si>
    <t>THE BOULEVARD, LANGFORD LANE, KIDLINGTON, OXFORD OX5 1GB, OXON, ENGLAND</t>
  </si>
  <si>
    <t>2772-5081</t>
  </si>
  <si>
    <t>DIGIT CHEM ENG</t>
  </si>
  <si>
    <t>Digit. Chem. Eng.</t>
  </si>
  <si>
    <t>10.1016/j.dche.2023.100126</t>
  </si>
  <si>
    <t>SEP 2023</t>
  </si>
  <si>
    <t>Engineering, Chemical</t>
  </si>
  <si>
    <t>Engineering</t>
  </si>
  <si>
    <t>X3WF5</t>
  </si>
  <si>
    <t>WOS:001097784400001</t>
  </si>
  <si>
    <t>Huang, H; Wu, SZ; Chen, KH; Liang, XN; Di, H; Yang, MY; Zhao, TJ</t>
  </si>
  <si>
    <t>Huang, Hui; Wu, Shuangzhi; Chen, Kehai; Liang, Xinnian; Di, Hui; Yang, Muyun; Zhao, Tiejun</t>
  </si>
  <si>
    <t>Multi-view fusion for universal translation quality estimation</t>
  </si>
  <si>
    <t>Translation quality estimation; Machine translation; Pre-trained model; Large language model</t>
  </si>
  <si>
    <t>Machine translation quality estimation (QE) aims to evaluate the result of translation without reference. Despite the progress it has made, state-of-the-art QE models are proven to be biased. More specifically, they over-rely on spurious statistical features while ignoring the bilingual semantic adequacy, leading to performance degradation. Besides, existing approaches require large amounts of annotation data, restricting their applications in new domains and languages. In this work, we propose a universal framework for quality estimation based on multi-view fusion. We first introduce noise to the target side of the parallel sentence pair, either by pre-trained language model or by large language model. After that, with the clean parallel pairs and the noised pairs as different views, the QE model is trained to distinguish the clean pairs from the noised ones. Our method can improve the accuracy and generalizability in supervised scenario, and can solely perform estimation in zero-shot scenario. We perform experiments on WMT QE evaluation datasets under different scenarios, verifying the effectiveness of our method. We also make an in-depth investigation of the bias of QE model.</t>
  </si>
  <si>
    <t>[Huang, Hui; Yang, Muyun; Zhao, Tiejun] Harbin Inst Technol, Fac Comp, Harbin, Peoples R China; [Wu, Shuangzhi] ByteDance AI Lab, Beijing, Peoples R China; [Chen, Kehai] Harbin Inst Technol, Sch Comp Sci &amp; Technol, Shenzhen, Peoples R China; [Liang, Xinnian] Beihang Univ, State Key Lab Software Dev Environm, Beijing, Peoples R China; [Di, Hui] Toshiba Co Ltd, Res &amp; Dev Ctr, Beijing, Peoples R China</t>
  </si>
  <si>
    <t>Harbin Institute of Technology; Harbin Institute of Technology; Beihang University</t>
  </si>
  <si>
    <t>Yang, MY (corresponding author), Harbin Inst Technol, Fac Comp, Harbin, Peoples R China.</t>
  </si>
  <si>
    <t>dihui@toshiba.com.cn; wufurui@bytedance.com; chenkehai@hit.edu.cn; xnliang@buaa.edu.cn; dihui@toshiba.com.cn; yangmuyun@hit.edu.cn; tjzhao@hit.edu.cn</t>
  </si>
  <si>
    <t>Huang, Hui/0000-0002-3544-9719</t>
  </si>
  <si>
    <t>National Natural Science Foundation of China [62276077, U1908216]; National Key R&amp;D Program of China [2020AAA0108000]; Key RD Program of Yunnan, PR China [202203AA080004]; Shenzhen College Stability Support Plan, PR China [GXWD20220811170358002]; Global Tone Communication Technology Co., Ltd, PR China</t>
  </si>
  <si>
    <t>National Natural Science Foundation of China(National Natural Science Foundation of China (NSFC)); National Key R&amp;D Program of China; Key RD Program of Yunnan, PR China; Shenzhen College Stability Support Plan, PR China; Global Tone Communication Technology Co., Ltd, PR China</t>
  </si>
  <si>
    <t>This work is supported by National Natural Science Foundation of China (62276077, U1908216) , National Key R &amp; D Program of China (2020AAA0108000) , Key RD Program of Yunnan, PR China (202203AA080004) and Shenzhen College Stability Support Plan, PR China (No. GXWD20220811170358002) . Muyun Yang is also partially supported by a joint project with Global Tone Communication Technology Co., Ltd, PR China.</t>
  </si>
  <si>
    <t>10.1016/j.inffus.2023.102022</t>
  </si>
  <si>
    <t>U3GI9</t>
  </si>
  <si>
    <t>WOS:001083713100001</t>
  </si>
  <si>
    <t>Zheng, XW; Zhao, KY; Xu, XQ; Deng, Y; Leung, K; Wu, JT; Leung, GM; Peiris, M; Poon, LLM; Zhang, T</t>
  </si>
  <si>
    <t>Zheng, Xiawan; Zhao, Keyue; Xu, Xiaoqing; Deng, Yu; Leung, Kathy; Wu, Joseph T.; Leung, Gabriel M.; Peiris, Malik; Poon, Leo L. M.; Zhang, Tong</t>
  </si>
  <si>
    <t>Development and application of influenza virus wastewater surveillance in Hong Kong</t>
  </si>
  <si>
    <t>WATER RESEARCH</t>
  </si>
  <si>
    <t>Influenza virus; Wastewater surveillance; PEG precipitation; RT-qPCR; Virus outbreak</t>
  </si>
  <si>
    <t>Wastewater surveillance is considered as a powerful tool in providing cost-effective, population-wide and near real-time surveillance results for controlling infectious diseases (i.e., SARS-CoV-2, influenza virus), comple-mentary to clinical surveillance. To facilitate the utility of this emerging tool, we developed two preanalytical protocols (supernatant-based and pellet-based) for influenza A/B virus (IAV/IBV) wastewater surveillance and applied them to the established wastewater surveillance network for large-scale longitudinal monitoring in Hong Kong. We tested 724 wastewater samples from 24 stationary sites for weekly surveillance for 8 months and 458 wastewater samples from 11 wastewater treatment plants (WWTPs) for more frequent (three times per week) city-wide surveillance for 4 months when influenza season commenced. We found the city-wide IAV virus concentration in wastewater were associated with the detection rate and influenza-like illness plus rates (ILI+) of clinical respiratory specimens and increased significantly after the cancelling of mask mandate that was in place for COVID-19. IBV was at low detection rates and low virus concentration levels, consistent with the low detection rates observed by clinical surveillance. In addition, we conducted virus subtype identification in selected wastewater samples, and observed the H1pdm was the major circulation subtype. Moreover, the ob-tained virus signals were confirmed by Sanger sequencing of PCR products, suggesting the feasibility and applicability of established methods for rapid detection of influenza virus types and subtypes in wastewater surveillance. This study demonstrates the applicability of IAV/IBV wastewater surveillance to current wastewater infrastructures and it could be used as a rapid and cost-effective surveillance strategy to track virus transmission patterns in the community for timely public health actions in the future.</t>
  </si>
  <si>
    <t>[Zheng, Xiawan; Zhao, Keyue; Xu, Xiaoqing; Deng, Yu; Zhang, Tong] Univ Hong Kong, Ctr Environm Engn Res, Dept Civil Engn, Environm Microbiome Engn &amp; Biotechnol Lab, Pokfulam Rd, Hong Kong, Peoples R China; [Peiris, Malik; Poon, Leo L. M.; Zhang, Tong] Univ Hong Kong, Li Ka Shing Fac Med, Sch Publ Hlth, Sassoon Rd, Hong Kong, Peoples R China; [Zhang, Tong] Macau Univ Sci &amp; Technol, Macau Inst Appl Res Med &amp; Hlth, Macau, Peoples R China; [Peiris, Malik; Poon, Leo L. M.] Univ Hong Kong, HKU Pasteur Res Pole, Sassoon Rd, Hong Kong, Peoples R China; [Leung, Kathy; Wu, Joseph T.; Leung, Gabriel M.] Univ Hong Kong, Sch Publ Hlth, Li Ka Shing Fac Med, WHO Collaborating Ctr Infect Dis Epidemiol &amp; Contr, Sassoon Rd, Hong Kong, Peoples R China; [Leung, Kathy; Wu, Joseph T.; Leung, Gabriel M.] Lab Data Discovery Hlth Ltd D24H, Hong Kong Sci Pk, Hong Kong, Peoples R China; [Leung, Kathy; Wu, Joseph T.] Univ Hong Kong, Shenzhen Hosp, Shenzhen, Peoples R China</t>
  </si>
  <si>
    <t>University of Hong Kong; University of Hong Kong; Macau University of Science &amp; Technology; University of Hong Kong; University of Hong Kong; University of Hong Kong</t>
  </si>
  <si>
    <t>Zhang, T (corresponding author), Univ Hong Kong, Ctr Environm Engn Res, Dept Civil Engn, Environm Microbiome Engn &amp; Biotechnol Lab, Pokfulam Rd, Hong Kong, Peoples R China.</t>
  </si>
  <si>
    <t>zhangt@hku.hk</t>
  </si>
  <si>
    <t>University of Hong Kong (HKU); Environmental Protection Department (EPD) of Hong Kong SAR Government; University of Hong Kong for the Postgraduate Studentship (PGS)</t>
  </si>
  <si>
    <t>University of Hong Kong (HKU)(University of Hong Kong); Environmental Protection Department (EPD) of Hong Kong SAR Government; University of Hong Kong for the Postgraduate Studentship (PGS)</t>
  </si>
  <si>
    <t>We thank the internal funding of The University of Hong Kong (HKU) for supporting this project. We thank Drainage Services Department (DSD) and Environmental Protection Department (EPD) of Hong Kong SAR Government for the wastewater sample collection and delivery. Xiawan Zheng, and Xiaoqing Xu would like to thank for The University of Hong Kong for the Postgraduate Studentship (PGS) . We also express our great thanks to Vicky Fung, Hiuchung Lam, Chung In Yau, and Danxu Zhu for the technical support and their assistance with sample logistics.</t>
  </si>
  <si>
    <t>0043-1354</t>
  </si>
  <si>
    <t>1879-2448</t>
  </si>
  <si>
    <t>WATER RES</t>
  </si>
  <si>
    <t>Water Res.</t>
  </si>
  <si>
    <t>10.1016/j.watres.2023.120594</t>
  </si>
  <si>
    <t>Engineering, Environmental; Environmental Sciences; Water Resources</t>
  </si>
  <si>
    <t>Engineering; Environmental Sciences &amp; Ecology; Water Resources</t>
  </si>
  <si>
    <t>U3BA2</t>
  </si>
  <si>
    <t>WOS:001083574400001</t>
  </si>
  <si>
    <t>Martin, PP; Kranz, D; Wulff, P; Graulich, N</t>
  </si>
  <si>
    <t>Martin, Paul P.; Kranz, David; Wulff, Peter; Graulich, Nicole</t>
  </si>
  <si>
    <t>Exploring new depths: Applying machine learning for the analysis of student argumentation in chemistry</t>
  </si>
  <si>
    <t>JOURNAL OF RESEARCH IN SCIENCE TEACHING</t>
  </si>
  <si>
    <t>argumentation competence; computational grounded theory; machine learning; natural language processing; organic chemistry learning</t>
  </si>
  <si>
    <t>SCIENTIFIC ARGUMENTATION; AUTOMATED-ANALYSIS; SCIENCE; FRAMEWORK; THINKING; RESPONSES; QUALITY; EXPLANATIONS; ASSESSMENTS; MECHANISMS</t>
  </si>
  <si>
    <t>Constructing arguments is essential in science subjects like chemistry. For example, students in organic chemistry should learn to argue about the plausibility of competing chemical reactions by including various sources of evidence and justifying the derived information with reasoning. While doing so, students face significant challenges in coherently structuring their arguments and integrating chemical concepts. For this reason, a reliable assessment of students' argumentation is critical. However, as arguments are usually presented in open-ended tasks, scoring assessments manually is resource-consuming and conceptually difficult. To augment human diagnostic capabilities, artificial intelligence techniques such as machine learning or natural language processing offer novel possibilities for an in-depth analysis of students' argumentation. In this study, we extensively evaluated students' written arguments about the plausibility of competing chemical reactions based on a methodological approach called computational grounded theory. By using an unsupervised clustering technique, we sought to evaluate students' argumentation patterns in detail, providing new insights into the modes of reasoning and levels of granularity applied in students' written accounts. Based on this analysis, we developed a holistic 20-category rubric by combining the data-driven clusters with a theory-driven framework to automate the analysis of the identified argumentation patterns. Pre-trained large language models in conjunction with deep neural networks provided almost perfect machine-human score agreement and well-interpretable results, which underpins the potential of the applied state-of-the-art deep learning techniques in analyzing students' argument complexity. The findings demonstrate an approach to combining human and computer-based analysis in uncovering written argumentation.</t>
  </si>
  <si>
    <t>[Martin, Paul P.; Kranz, David; Graulich, Nicole] Justus Liebig Univ, Inst Chem Educ, Giessen, Germany; [Wulff, Peter] Univ Educ, Phys Educ Res, Heidelberg, Germany; [Graulich, Nicole] Justus Liebig Univ, Inst Chem Educ, Heinrich Buff Ring 17, D-35392 Giessen, Germany</t>
  </si>
  <si>
    <t>Justus Liebig University Giessen; Justus Liebig University Giessen</t>
  </si>
  <si>
    <t>Graulich, N (corresponding author), Justus Liebig Univ, Inst Chem Educ, Heinrich Buff Ring 17, D-35392 Giessen, Germany.</t>
  </si>
  <si>
    <t>nicole.graulich@didaktik.chemie.uni-giessen.de</t>
  </si>
  <si>
    <t>Wulff, Peter/GSI-9069-2022; Kranz, David/M-5371-2018</t>
  </si>
  <si>
    <t>Projekt DEAL</t>
  </si>
  <si>
    <t>This publication is part of the first author's doctoral thesis (Dr. rer. nat.) at the Faculty of Biology and Chemistry, Justus-Liebig-University Giessen, Germany. We thank Leonie Lieber, Ira &amp; nbsp;Caspari-Gnann, and Krenare Ibraj for their groundbreaking research on students' argumentation in chemistry as well as for providing access to their data. We thank Felix Blodtner for scoring students' arguments and all members of the Graulich group for fruitful discussions. Finally, Paul P. Martin thanks &amp; nbsp;Brandon Yik, Amber Dood, and Field Watts for sharing their innovative thoughts on the application of ML in science education. There are no conflicts of interest to declare. Open Access funding enabled and organized by Projekt DEAL.</t>
  </si>
  <si>
    <t>0022-4308</t>
  </si>
  <si>
    <t>1098-2736</t>
  </si>
  <si>
    <t>J RES SCI TEACH</t>
  </si>
  <si>
    <t>J. Res. Sci. Teach.</t>
  </si>
  <si>
    <t>2023 SEP 20</t>
  </si>
  <si>
    <t>10.1002/tea.21903</t>
  </si>
  <si>
    <t>S0HB3</t>
  </si>
  <si>
    <t>WOS:001068055900001</t>
  </si>
  <si>
    <t>Deng, JW; Chen, Z; Sun, H; Zhang, ZX; Wu, JCZ; Nakagawa, S; Ren, FJ; Huang, ML</t>
  </si>
  <si>
    <t>Deng, Jiawen; Chen, Zhuang; Sun, Hao; Zhang, Zhexin; Wu, Jincenzi; Nakagawa, Satoshi; Ren, Fuji; Huang, Minlie</t>
  </si>
  <si>
    <t>Enhancing Offensive Language Detection with Data Augmentation and Knowledge Distillation</t>
  </si>
  <si>
    <t>RESEARCH</t>
  </si>
  <si>
    <t>Offensive language detection has received important attention and plays a crucial role in promoting healthy communication on social platforms, as well as promoting the safe deployment of large language models. Training data is the basis for developing detectors; however, the available offense-related dataset in Chinese is severely limited in terms of data scale and coverage when compared to English resources. This significantly affects the accuracy of Chinese offensive language detectors in practical applications, especially when dealing with hard cases or out-of-domain samples. To alleviate the limitations posed by available datasets, we introduce AugCOLD (Augmented Chinese Offensive Language Dataset), a largescale unsupervised dataset containing 1 million samples gathered by data crawling and model generation. Furthermore, we employ a multiteacher distillation framework to enhance detection performance with unsupervised data. That is, we build multiple teachers with publicly accessible datasets and use them to assign soft labels to AugCOLD. The soft labels serve as a bridge for knowledge to be distilled from both AugCOLD and multiteacher to the student network, i.e., the final offensive detector. We conduct experiments on multiple public test sets and our well-designed hard tests, demonstrating that our proposal can effectively improve the generalization and robustness of the offensive language detector.</t>
  </si>
  <si>
    <t>[Deng, Jiawen; Chen, Zhuang; Sun, Hao; Zhang, Zhexin; Wu, Jincenzi; Huang, Minlie] Tsinghua Univ, Beijing Natl Res Ctr Informat Sci &amp; Technol, State Key Lab Intelligent Technol &amp; Syst, CoAI Grp,DCST,Inst Artificial Intelligence, Beijing 100084, Peoples R China; [Nakagawa, Satoshi] Univ Tokyo, Grad Sch Informat Sci &amp; Technol, Tokyo 1138654, Japan; [Ren, Fuji] Univ Elect Sci &amp; Technol China, Sch Comp Sci &amp; Engn, Chengdu 611731, Sichuan, Peoples R China</t>
  </si>
  <si>
    <t>Tsinghua University; University of Tokyo; University of Electronic Science &amp; Technology of China</t>
  </si>
  <si>
    <t>Deng, JW; Huang, ML (corresponding author), Tsinghua Univ, Beijing Natl Res Ctr Informat Sci &amp; Technol, State Key Lab Intelligent Technol &amp; Syst, CoAI Grp,DCST,Inst Artificial Intelligence, Beijing 100084, Peoples R China.</t>
  </si>
  <si>
    <t>dengjw2016@gmail.com; aihuang@tsinghua.edu.cn</t>
  </si>
  <si>
    <t>National Science Foundation for Distinguished Young Scholars [6212-5604]; NSFC [61936010, 61876096]; Guoqiang Institute of Tsinghua University; Tsinghua-Toyota Joint Research Fund; [2019GQG1]; [2020GQG0005]</t>
  </si>
  <si>
    <t>National Science Foundation for Distinguished Young Scholars(National Natural Science Foundation of China (NSFC)National Science Fund for Distinguished Young Scholars); NSFC(National Natural Science Foundation of China (NSFC)); Guoqiang Institute of Tsinghua University; Tsinghua-Toyota Joint Research Fund; ;</t>
  </si>
  <si>
    <t>k was supported by the National Science Foundation for Distinguished Young Scholars (with No. 6212-5604) and the NSFC projects (Key project with No. 61936010 and regular project with No. 61876096) . This work was also supported by the Guoqiang Institute of Tsinghua University, with Grant No. 2019GQG1 and 2020GQG0005, and sponsored by Tsinghua-Toyota Joint Research Fund.</t>
  </si>
  <si>
    <t>AMER ASSOC ADVANCEMENT SCIENCE</t>
  </si>
  <si>
    <t>1200 NEW YORK AVE, NW, WASHINGTON, DC 20005 USA</t>
  </si>
  <si>
    <t>2096-5168</t>
  </si>
  <si>
    <t>2639-5274</t>
  </si>
  <si>
    <t>RESEARCH-CHINA</t>
  </si>
  <si>
    <t>Research</t>
  </si>
  <si>
    <t>SEP 18</t>
  </si>
  <si>
    <t>10.34133/research.0189</t>
  </si>
  <si>
    <t>CA7Z2</t>
  </si>
  <si>
    <t>WOS:001122607000001</t>
  </si>
  <si>
    <t>Khosravi, T; Al Sudani, ZM; Oladnabi, M</t>
  </si>
  <si>
    <t>Khosravi, Teymoor; Al Sudani, Zainab M.; Oladnabi, Morteza</t>
  </si>
  <si>
    <t>To what extent does ChatGPT understand genetics?</t>
  </si>
  <si>
    <t>INNOVATIONS IN EDUCATION AND TEACHING INTERNATIONAL</t>
  </si>
  <si>
    <t>ChatGPT; generative pre-trained transformer; genetics; artificial intelligence; large language model</t>
  </si>
  <si>
    <t>OPPORTUNITIES; EDUCATION; GPT</t>
  </si>
  <si>
    <t>OpenAI's ChatGPT, is a conversational chatbot that uses Generative Pre-trained Transformer or GPT language model to mimic human-like responses. Here we evaluated its performance in providing responses to genetics questions across five different tasks including solid genetic basics, identifying inheritance pattern based on described pedigrees, interpreting genetic mutation notations, solving genetic population problems, and taking a medical genetics Ph.D. entrance exam. Our results showed that ChatGPT was able to generate correct answers to approximately 70% of questions (n = 145). Its performance on descriptive and memorisation tasks showed more accuracy compared to analytical and critical thinking ones. Failure to capture human writing nuances in questions, and applying genetic basics to solve problems, alongside providing false information were the most notable drawbacks. However, overall results were promising suggesting that ChatGPT could be a well-prepared assistant for genetic educators and healthcare providers.</t>
  </si>
  <si>
    <t>[Khosravi, Teymoor; Al Sudani, Zainab M.] Golestan Univ Med Sci, Student Res Comm, Gorgan, Iran; [Oladnabi, Morteza] Golestan Univ Med Sci, Gorgan Congenital Malformat Res Ctr, Gorgan, Iran; [Oladnabi, Morteza] Golestan Univ Med Sci, Ischem Disorders Res Ctr, Gorgan, Iran; [Oladnabi, Morteza] Golestan Univ Med Sci, Sch Adv Technol Med, Dept Med Genet, Gorgan 4916978342, Iran</t>
  </si>
  <si>
    <t>Golestan University of Medical Sciences; Golestan University of Medical Sciences; Golestan University of Medical Sciences; Golestan University of Medical Sciences</t>
  </si>
  <si>
    <t>Oladnabi, M (corresponding author), Golestan Univ Med Sci, Sch Adv Technol Med, Dept Med Genet, Gorgan 4916978342, Iran.</t>
  </si>
  <si>
    <t>oladnabidozin@yahoo.com</t>
  </si>
  <si>
    <t>oladnabi, Morteza/H-9169-2016</t>
  </si>
  <si>
    <t>oladnabi, Morteza/0000-0001-7037-5084</t>
  </si>
  <si>
    <t>Golestan University of Medical Sciences and Health Services [113350]</t>
  </si>
  <si>
    <t>Golestan University of Medical Sciences and Health Services</t>
  </si>
  <si>
    <t>This work was supported by the Golestan University of Medical Sciences and Health Services [113350].</t>
  </si>
  <si>
    <t>1470-3297</t>
  </si>
  <si>
    <t>1470-3300</t>
  </si>
  <si>
    <t>INNOV EDUC TEACH INT</t>
  </si>
  <si>
    <t>Innov. Educ. Teach. Int.</t>
  </si>
  <si>
    <t>2023 SEP 16</t>
  </si>
  <si>
    <t>10.1080/14703297.2023.2258842</t>
  </si>
  <si>
    <t>R6NT9</t>
  </si>
  <si>
    <t>WOS:001065511400001</t>
  </si>
  <si>
    <t>Gong, T; Shuai, L; Mislevy, RJ</t>
  </si>
  <si>
    <t>Gong, Tao; Shuai, Lan; Mislevy, Robert J.</t>
  </si>
  <si>
    <t>Sociocognitive Processes and Item Response Models: A Didactic Example</t>
  </si>
  <si>
    <t>JOURNAL OF EDUCATIONAL MEASUREMENT</t>
  </si>
  <si>
    <t>LANGUAGE; SIMULATION; EVOLUTION</t>
  </si>
  <si>
    <t>The usual interpretation of the person and task variables in between-persons measurement models such as item response theory (IRT) is as attributes of persons and tasks, respectively. They can be viewed instead as ensemble descriptors of patterns of interactions among persons and situations that arise from sociocognitive complex adaptive system (CASs). This view offers insights for interpreting and using between-persons measurement models and connecting with sociocognitive research. In this article, we use data generated from an agent-based model to illustrate relations between social and cognitive features of a simple underlying CAS and the variables of an IRT model fit to resulting data. We note how the ideas connect to explanatory item response modeling and briefly comment on implications for score interpretations and uses in practice.</t>
  </si>
  <si>
    <t>[Gong, Tao; Shuai, Lan; Mislevy, Robert J.] Educ Testing Serv, Princeton, NJ 08540 USA; [Gong, Tao] Google, 111 8th Ave, New York, NY 10011 USA; [Shuai, Lan] Travelers, Large Language Models, 485 Lexington Ave, New York, NY 10017 USA; [Mislevy, Robert J.] Univ Maryland, College Pk, MD USA</t>
  </si>
  <si>
    <t>Educational Testing Service (ETS); Google Incorporated; University System of Maryland; University of Maryland College Park</t>
  </si>
  <si>
    <t>Gong, T (corresponding author), Educ Testing Serv, Princeton, NJ 08540 USA.;Gong, T (corresponding author), Google, 111 8th Ave, New York, NY 10011 USA.</t>
  </si>
  <si>
    <t>gtojty@gmail.com; susan.shuai@gmail.com; rmislevy@umd.edu</t>
  </si>
  <si>
    <t>Dr. Mislevyamp;apos;s work was supported by Educational Testing Service through Frederic M. Lord Chair in Measurement activities.; Educational Testing Service</t>
  </si>
  <si>
    <t>Dr. Mislevy &amp; apos;s work was supported by Educational Testing Service through Frederic M. Lord Chair in Measurement activities.</t>
  </si>
  <si>
    <t>0022-0655</t>
  </si>
  <si>
    <t>1745-3984</t>
  </si>
  <si>
    <t>J EDUC MEAS</t>
  </si>
  <si>
    <t>J. Educ. Meas.</t>
  </si>
  <si>
    <t>10.1111/jedm.12376</t>
  </si>
  <si>
    <t>Psychology, Educational; Psychology, Applied; Psychology, Mathematical</t>
  </si>
  <si>
    <t>WOS:001070195500001</t>
  </si>
  <si>
    <t>Li, R; Liu, C; Jiang, DZ</t>
  </si>
  <si>
    <t>Li, Rui; Liu, Cheng; Jiang, Dazhi</t>
  </si>
  <si>
    <t>Efficient dynamic feature adaptation for cross language sentiment analysis with biased adversarial training</t>
  </si>
  <si>
    <t>KNOWLEDGE-BASED SYSTEMS</t>
  </si>
  <si>
    <t>Pre-trained language model; Cross-language understanding; Sentiment analysis; Efficient domain adaptation; Adversarial training</t>
  </si>
  <si>
    <t>Fine-tuning a large multi-lingual pretrained language model demonstrates impressive results in crosslanguage understanding. However, it still suffers when the training and test data have different distributions owing to various languages and domains. On one hand, annotating target data for different languages or domains is time-consuming or infeasible. On the other hand, fine-tuning a large language model often incurs high computational costs. In this paper, we aim to develop an efficient and effective adaptation framework for cross-language sentiment analysis based on a fixed pretrained multi-lingual model. Specifically, we propose a Dynamic Feature Adaptation (DFA) module to fully leverage the features from different layers of the pretrained model such that its large backbone is not involved during adaptation training. Furthermore, we observe that traditional adversarial domain adaptation training could compromise the discriminative information of the model by pushing source and target features towards each other. The source features obtained with supervised training preserved the discriminability of the model, which should be less affected. Therefore, we propose a novel Biased Adversarial Training (BAT) method, that encourages only the target features towards source features. Extensive experimental results on various cross-lingual and cross-lingual-and-domain sentiment analysis tasks demonstrate the superiority of the proposed framework. Additionally, several ablation studies are conducted to validate the effectiveness of each proposed module. (c) 2023 Elsevier B.V. All rights reserved.</t>
  </si>
  <si>
    <t>[Li, Rui; Liu, Cheng; Jiang, Dazhi] Shantou Univ, Dept Comp Sci, Shantou 515063, Guangdong, Peoples R China</t>
  </si>
  <si>
    <t>Shantou University</t>
  </si>
  <si>
    <t>Li, R (corresponding author), Shantou Univ, Dept Comp Sci, Shantou 515063, Guangdong, Peoples R China.</t>
  </si>
  <si>
    <t>ruili@stu.edu.cn; chengliu10@gmail.com; dzjiang@stu.edu.cn</t>
  </si>
  <si>
    <t>Wei, Wei/0000-0002-4109-3878;</t>
  </si>
  <si>
    <t>National Natural Science Foundation of China [62106136]; Natural Science Foundation of Guangdong Province, China [2022A1515010434]; Shantou University, China [NTF20007, NTF22012]</t>
  </si>
  <si>
    <t>National Natural Science Foundation of China(National Natural Science Foundation of China (NSFC)); Natural Science Foundation of Guangdong Province, China(National Natural Science Foundation of Guangdong Province); Shantou University, China</t>
  </si>
  <si>
    <t>star This work was supported in part by National Natural Science Foundation of China (Project No. 62106136) , in part by the Natural Science Foundation of Guangdong Province, China (Project No. 2022A1515010434) , in part by Shantou University, China under Project NTF20007 and Project NTF22012. *</t>
  </si>
  <si>
    <t>0950-7051</t>
  </si>
  <si>
    <t>1872-7409</t>
  </si>
  <si>
    <t>KNOWL-BASED SYST</t>
  </si>
  <si>
    <t>Knowledge-Based Syst.</t>
  </si>
  <si>
    <t>10.1016/j.knosys.2023.110957</t>
  </si>
  <si>
    <t>T5XB2</t>
  </si>
  <si>
    <t>WOS:001078705700001</t>
  </si>
  <si>
    <t>Fecho, K; Bizon, C; Issabekova, T; Moxon, S; Thessen, AE; Abdollahi, S; Baranzini, SE; Belhu, B; Byrd, WE; Chung, L; Crouse, A; Duby, MP; Ferguson, S; Foksinska, A; Forero, L; Friedman, J; Gardner, V; Glusman, G; Hadlock, J; Hanspers, K; Hinderer, E; Hobbs, C; Hyde, G; Huang, S; Koslicki, D; Mease, P; Muller, S; Mungall, CJ; Ramsey, SA; Roach, J; Rubin, I; Schurman, SH; Shalev, A; Smith, B; Soman, K; Stemann, S; Su, AI; Ta, C; Watkins, PB; Williams, MD; Wu, CL; Xu, CH</t>
  </si>
  <si>
    <t>Fecho, Karamarie; Bizon, Chris; Issabekova, Tursynay; Moxon, Sierra; Thessen, Anne E.; Abdollahi, Shervin; Baranzini, Sergio E.; Belhu, Basazin; Byrd, William E.; Chung, Lawrence; Crouse, Andrew; Duby, Marc P.; Ferguson, Stephen; Foksinska, Aleksandra; Forero, Laura; Friedman, Jennifer; Gardner, Vicki; Glusman, Gwenlyn; Hadlock, Jennifer; Hanspers, Kristina; Hinderer, Eugene; Hobbs, Charlotte; Hyde, Gregory; Huang, Sui; Koslicki, David; Mease, Philip; Muller, Sandrine; Mungall, Christopher J.; Ramsey, Stephen A.; Roach, Jared; Rubin, Irit; Schurman, Shepherd H.; Shalev, Anath; Smith, Brett; Soman, Karthik; Stemann, Sarah; Su, Andrew I.; Ta, Casey; Watkins, Paul B.; Williams, Mark D.; Wu, Chunlei; Xu, Colleen H.</t>
  </si>
  <si>
    <t>Biomed Data Translator Consortium</t>
  </si>
  <si>
    <t>An approach for collaborative development of a federated biomedical knowledge graph-based question-answering system: Question-of-the-Month challenges</t>
  </si>
  <si>
    <t>JOURNAL OF CLINICAL AND TRANSLATIONAL SCIENCE</t>
  </si>
  <si>
    <t>Translational research; team science; knowledge graphs; bioinformatics; semantic technology</t>
  </si>
  <si>
    <t>Knowledge graphs have become a common approach for knowledge representation. Yet, the application of graph methodology is elusive due to the sheer number and complexity of knowledge sources. In addition, semantic incompatibilities hinder efforts to harmonize and integrate across these diverse sources. As part of The Biomedical Translator Consortium, we have developed a knowledge graph-based question-answering system designed to augment human reasoning and accelerate translational scientific discovery: the Translator system. We have applied the Translator system to answer biomedical questions in the context of a broad array of diseases and syndromes, including Fanconi anemia, primary ciliary dyskinesia, multiple sclerosis, and others. A variety of collaborative approaches have been used to research and develop the Translator system. One recent approach involved the establishment of a monthly Question-of-the-Month (QotM) Challenge series. Herein, we describe the structure of the QotM Challenge; the six challenges that have been conducted to date on drug-induced liver injury, cannabidiol toxicity, coronavirus infection, diabetes, psoriatic arthritis, and ATP1A3-related phenotypes; the scientific insights that have been gleaned during the challenges; and the technical issues that were identified over the course of the challenges and that can now be addressed to foster further development of the prototype Translator system. We close with a discussion on Large Language Models such as ChatGPT and highlight differences between those models and the Translator system.</t>
  </si>
  <si>
    <t>[Fecho, Karamarie; Bizon, Chris; Gardner, Vicki] Univ N Carolina, Renaissance Comp Inst RENCI, Chapel Hill, NC 27599 USA; [Fecho, Karamarie] Copperline Profess Solut, Pittsboro, NC 27312 USA; [Issabekova, Tursynay; Thessen, Anne E.] Univ Colorado, Dept Biomed Informat, Anschutz Med Campus, Aurora, CO USA; [Moxon, Sierra; Mungall, Christopher J.] Lawrence Berkeley Natl Lab, Biosyst Data Sci Dept, Berkeley, CA USA; [Abdollahi, Shervin; Stemann, Sarah; Williams, Mark D.] NIH, Natl Ctr Adv Translat Sci, Div Preclin Innovat, Rockville, MD USA; [Baranzini, Sergio E.; Soman, Karthik] Univ Calif San Francisco, Weill Inst Neurosci, Dept Neurol, San Francisco, CA USA; [Belhu, Basazin; Glusman, Gwenlyn; Hadlock, Jennifer; Huang, Sui; Roach, Jared; Rubin, Irit; Smith, Brett] Inst Syst Biol, Seattle, WA USA; [Byrd, William E.; Crouse, Andrew; Foksinska, Aleksandra; Shalev, Anath] Univ Alabama Birmingham, Hugh Kaul Precis Med Inst, Birmingham, AL USA; [Chung, Lawrence; Duby, Marc P.; Muller, Sandrine] Broad Inst MIT &amp; Harvard, Cambridge, MA USA; [Ferguson, Stephen] Natl Inst Environm Hlth Sci, NIH, Res Triangle Pk, NC USA; [Forero, Laura; Friedman, Jennifer; Hobbs, Charlotte] Rady Childrens Hosp, Rady Childrens Inst Genom Med, San Diego, CA USA; [Forero, Laura; Friedman, Jennifer] Univ Calif San Diego, San Diego, CA USA; [Hanspers, Kristina] Univ Calif San Francisco, Gladstone Inst, San Francisco, CA USA; [Hinderer, Eugene] Tufts Med Ctr, Tufts Clin &amp; Translat Sci Inst, Boston, MA USA; [Hyde, Gregory] Dartmouth Coll, Thayer Sch Engn, Hanover, NH USA; [Koslicki, David] Penn State Univ, Dept Comp Sci &amp; Engn, University Pk, PA USA; [Koslicki, David] Penn State Univ, Dept Biol, University Pk, PA USA; [Koslicki, David] Penn State Univ, Huck Inst Life Sci, University Pk, PA USA; [Mease, Philip] St Joseph Hlth, Swedish Med Ctr, Seattle, WA USA; [Mease, Philip] Univ Washington, Seattle, WA USA; [Ramsey, Stephen A.] Oregon State Univ, Portland, OR USA; [Schurman, Shepherd H.] NIA, NIH, Baltimore, MD USA; [Su, Andrew I.; Wu, Chunlei; Xu, Colleen H.] Scripps Res Inst, La Jolla, CA USA; [Ta, Casey] Columbia Univ, Irving Med Ctr, New York, NY USA; [Watkins, Paul B.] Univ N Carolina, Eshelman Sch Pharm, Div Pharmacotherapy &amp; Expt Therapeut, Chapel Hill, NC USA</t>
  </si>
  <si>
    <t>Fecho, K (corresponding author), Univ N Carolina, Renaissance Comp Inst RENCI, Chapel Hill, NC 27599 USA.;Fecho, K (corresponding author), Copperline Profess Solut, Pittsboro, NC 27312 USA.</t>
  </si>
  <si>
    <t>kfecho@copperlineprofessionalsolutions.com</t>
  </si>
  <si>
    <t>The authors are grateful for the leadership and support provided by Dr. Tyler F. Beck, Dr. Christine M. Colvis, and the rest of the Translator Extramural Leadership Team at the National Center for Advancing Translational Sciences (NCATS). They also acknowl; Translator Extramural Leadership Team at the National Center for Advancing Translational Sciences (NCATS)</t>
  </si>
  <si>
    <t>The authors are grateful for the leadership and support provided by Dr. Tyler F. Beck, Dr. Christine M. Colvis, and the rest of the Translator Extramural Leadership Team at the National Center for Advancing Translational Sciences (NCATS). They also acknowledge the NCATS Intramural Research Program for their support of the work described herein and both the NCATS Publications Committee and the Translator Publications Committee for review and approval of the manuscript for publication.</t>
  </si>
  <si>
    <t>2059-8661</t>
  </si>
  <si>
    <t>J CLIN TRANSL SCI</t>
  </si>
  <si>
    <t>J. Clin. Transl. Sci.</t>
  </si>
  <si>
    <t>SEP 14</t>
  </si>
  <si>
    <t>e214</t>
  </si>
  <si>
    <t>10.1017/cts.2023.619</t>
  </si>
  <si>
    <t>Medicine, Research &amp; Experimental</t>
  </si>
  <si>
    <t>Research &amp; Experimental Medicine</t>
  </si>
  <si>
    <t>U6WZ5</t>
  </si>
  <si>
    <t>WOS:001086202500001</t>
  </si>
  <si>
    <t>Huang, YX; Gomaa, A; Semrau, S; Haderlein, M; Lettmaier, S; Weissmann, T; Grigo, J; Tkhayat, HB; Frey, B; Gaipl, U; Distel, L; Maier, A; Fietkau, R; Bert, C; Putz, F</t>
  </si>
  <si>
    <t>Huang, Yixing; Gomaa, Ahmed; Semrau, Sabine; Haderlein, Marlen; Lettmaier, Sebastian; Weissmann, Thomas; Grigo, Johanna; Tkhayat, Hassen Ben; Frey, Benjamin; Gaipl, Udo; Distel, Luitpold; Maier, Andreas; Fietkau, Rainer; Bert, Christoph; Putz, Florian</t>
  </si>
  <si>
    <t>FRONTIERS IN ONCOLOGY</t>
  </si>
  <si>
    <t>large language model; radiotherapy; natural language processing; artificial intelligence; Gray Zone; clinical decision support (CDS)</t>
  </si>
  <si>
    <t>CANCER; THERAPY</t>
  </si>
  <si>
    <t>PurposeThe potential of large language models in medicine for education and decision-making purposes has been demonstrated as they have achieved decent scores on medical exams such as the United States Medical Licensing Exam (USMLE) and the MedQA exam. This work aims to evaluate the performance of ChatGPT-4 in the specialized field of radiation oncology.MethodsThe 38th American College of Radiology (ACR) radiation oncology in-training (TXIT) exam and the 2022 Red Journal Gray Zone cases are used to benchmark the performance of ChatGPT-4. The TXIT exam contains 300 questions covering various topics of radiation oncology. The 2022 Gray Zone collection contains 15 complex clinical cases.ResultsFor the TXIT exam, ChatGPT-3.5 and ChatGPT-4 have achieved the scores of 62.05% and 78.77%, respectively, highlighting the advantage of the latest ChatGPT-4 model. Based on the TXIT exam, ChatGPT-4's strong and weak areas in radiation oncology are identified to some extent. Specifically, ChatGPT-4 demonstrates better knowledge of statistics, CNS &amp; eye, pediatrics, biology, and physics than knowledge of bone &amp; soft tissue and gynecology, as per the ACR knowledge domain. Regarding clinical care paths, ChatGPT-4 performs better in diagnosis, prognosis, and toxicity than brachytherapy and dosimetry. It lacks proficiency in in-depth details of clinical trials. For the Gray Zone cases, ChatGPT-4 is able to suggest a personalized treatment approach to each case with high correctness and comprehensiveness. Importantly, it provides novel treatment aspects for many cases, which are not suggested by any human experts.ConclusionBoth evaluations demonstrate the potential of ChatGPT-4 in medical education for the general public and cancer patients, as well as the potential to aid clinical decision-making, while acknowledging its limitations in certain domains. Owing to the risk of hallucinations, it is essential to verify the content generated by models such as ChatGPT for accuracy.</t>
  </si>
  <si>
    <t>[Huang, Yixing; Gomaa, Ahmed; Semrau, Sabine; Haderlein, Marlen; Lettmaier, Sebastian; Weissmann, Thomas; Grigo, Johanna; Tkhayat, Hassen Ben; Frey, Benjamin; Gaipl, Udo; Distel, Luitpold; Fietkau, Rainer; Bert, Christoph; Putz, Florian] Friedrich Alexander Univ Erlangen Nurnberg, Univ Hosp Erlangen, Dept Radiat Oncol, Erlangen, Germany; [Huang, Yixing; Gomaa, Ahmed; Semrau, Sabine; Haderlein, Marlen; Lettmaier, Sebastian; Weissmann, Thomas; Grigo, Johanna; Frey, Benjamin; Gaipl, Udo; Distel, Luitpold; Fietkau, Rainer; Bert, Christoph; Putz, Florian] Comprehens Canc Ctr Erlangen EMN CCC ER EMN, Erlangen, Germany; [Tkhayat, Hassen Ben; Maier, Andreas] Friedrich Alexander Univ Erlangen Nurnberg, Pattern Recognit Lab, Erlangen, Germany</t>
  </si>
  <si>
    <t>University of Erlangen Nuremberg; University of Erlangen Nuremberg</t>
  </si>
  <si>
    <t>Putz, F (corresponding author), Friedrich Alexander Univ Erlangen Nurnberg, Univ Hosp Erlangen, Dept Radiat Oncol, Erlangen, Germany.;Putz, F (corresponding author), Comprehens Canc Ctr Erlangen EMN CCC ER EMN, Erlangen, Germany.</t>
  </si>
  <si>
    <t>Florian.Putz@uk-erlangen.de</t>
  </si>
  <si>
    <t>Huang, Yixing/0000-0003-2627-3077</t>
  </si>
  <si>
    <t>2234-943X</t>
  </si>
  <si>
    <t>FRONT ONCOL</t>
  </si>
  <si>
    <t>Oncology</t>
  </si>
  <si>
    <t>AO0L7</t>
  </si>
  <si>
    <t>WOS:001119288400001</t>
  </si>
  <si>
    <t>Han, SJ; Ransom, KJ; Perfors, A; Kemp, C</t>
  </si>
  <si>
    <t>Han, Simon Jerome; Ransom, Keith J.; Perfors, Andrew; Kemp, Charles</t>
  </si>
  <si>
    <t>Inductive reasoning in humans and large language models</t>
  </si>
  <si>
    <t>COGNITIVE SYSTEMS RESEARCH</t>
  </si>
  <si>
    <t>Reasoning; Property induction; Category-based induction; Non-monotonicity; Neural networks; GPT-3.5; GPT-4; AI; Large language models; Representation</t>
  </si>
  <si>
    <t>SIMILARITY; JUDGMENTS; UNIVERSAL; LOGIC</t>
  </si>
  <si>
    <t>The impressive recent performance of large language models has led many to wonder to what extent they can serve as models of general intelligence or are similar to human cognition. We address this issue by applying GPT-3.5 and GPT-4 to a classic problem in human inductive reasoning known as property induction. Over two experiments, we elicit human judgments on a range of property induction tasks spanning multiple domains. Although GPT-3.5 struggles to capture many aspects of human behavior, GPT-4 is much more successful: for the most part, its performance qualitatively matches that of humans, and the only notable exception is its failure to capture the phenomenon of premise non-monotonicity. Our work demonstrates that property induction allows for interesting comparisons between human and machine intelligence and provides two large datasets that can serve as benchmarks for future work in this vein.</t>
  </si>
  <si>
    <t>[Han, Simon Jerome; Ransom, Keith J.; Perfors, Andrew; Kemp, Charles] Univ Melbourne, Parkville, Australia</t>
  </si>
  <si>
    <t>University of Melbourne</t>
  </si>
  <si>
    <t>Han, SJ (corresponding author), Univ Melbourne, Parkville, Australia.</t>
  </si>
  <si>
    <t>simon.jerome.han@gmail.com</t>
  </si>
  <si>
    <t>Complex Human Data Hub at the University of Melbourne; Australian Research Council [FT190100200]; Australian Research Council [FT190100200] Funding Source: Australian Research Council</t>
  </si>
  <si>
    <t>Complex Human Data Hub at the University of Melbourne; Australian Research Council(Australian Research Council); Australian Research Council(Australian Research Council)</t>
  </si>
  <si>
    <t>This work was supported in part by the Complex Human Data Hub at the University of Melbourne and by Australian Research Council Grant FT190100200.</t>
  </si>
  <si>
    <t>2214-4366</t>
  </si>
  <si>
    <t>1389-0417</t>
  </si>
  <si>
    <t>COGN SYST RES</t>
  </si>
  <si>
    <t>Cogn. Syst. Res.</t>
  </si>
  <si>
    <t>10.1016/j.cogsys.2023.101155</t>
  </si>
  <si>
    <t>Computer Science, Artificial Intelligence; Neurosciences; Psychology, Experimental</t>
  </si>
  <si>
    <t>Computer Science; Neurosciences &amp; Neurology; Psychology</t>
  </si>
  <si>
    <t>T5UP3</t>
  </si>
  <si>
    <t>WOS:001078641500001</t>
  </si>
  <si>
    <t>Kendall, G; da Silva, JAT</t>
  </si>
  <si>
    <t>Kendall, Graham; da Silva, Jaime A. Teixeira</t>
  </si>
  <si>
    <t>Risks of abuse of large language models, like ChatGPT, in scientific publishing: Authorship, predatory publishing, and paper mills</t>
  </si>
  <si>
    <t>LEARNED PUBLISHING</t>
  </si>
  <si>
    <t>authorship abuses; ChatGPT; ghost authorship; large language model; paper mills; predatory publishing</t>
  </si>
  <si>
    <t>[Kendall, Graham] Univ Nottingham, Sch Comp Sci, Univ Pk, Nottingham, England; [Kendall, Graham] Univ Nottingham, Univ Pk, Nottingham NG7 2RD, England</t>
  </si>
  <si>
    <t>University of Nottingham; University of Nottingham</t>
  </si>
  <si>
    <t>Kendall, G (corresponding author), Univ Nottingham, Univ Pk, Nottingham NG7 2RD, England.</t>
  </si>
  <si>
    <t>graham.kendall@nottingham.edu.my</t>
  </si>
  <si>
    <t>We thank Panagiotis Tsigaris (Thompson Rivers University, Canada) for his input and feedback on earlier drafts of this paper.</t>
  </si>
  <si>
    <t>0953-1513</t>
  </si>
  <si>
    <t>1741-4857</t>
  </si>
  <si>
    <t>LEARN PUBL</t>
  </si>
  <si>
    <t>Learn. Publ.</t>
  </si>
  <si>
    <t>10.1002/leap.1578</t>
  </si>
  <si>
    <t>Information Science &amp; Library Science</t>
  </si>
  <si>
    <t>GF2Y8</t>
  </si>
  <si>
    <t>WOS:001064030500001</t>
  </si>
  <si>
    <t>Zheng, MZM; Tan, TK; Villalon-Letelier, F; Lau, H; Deng, YM; Fritzlar, S; Valkenburg, SA; Gu, HG; Poon, LLM; Reading, PC; Townsend, AR; Wakim, LM</t>
  </si>
  <si>
    <t>Zheng, Ming Z. M.; Tan, Tiong Kit; Villalon-Letelier, Fernando; Lau, Hilda; Deng, Yi-Mo; Fritzlar, Svenja; Valkenburg, Sophie A.; Gu, Haogao; Poon, Leo L. M.; Reading, Patrick C.; Townsend, Alain R.; Wakim, Linda M.</t>
  </si>
  <si>
    <t>Single-cycle influenza virus vaccine generates lung CD8+ Trm that cross-react against viral variants and subvert virus escape mutants</t>
  </si>
  <si>
    <t>SCIENCE ADVANCES</t>
  </si>
  <si>
    <t>A VIRUS; T-CELLS; DENDRITIC CELLS; IMMUNODOMINANCE HIERARCHIES; ANTIGEN PRESENTATION; LYMPHOCYTES-T; SELECTION; NUCLEOPROTEIN; RECOGNITION; EPITOPES</t>
  </si>
  <si>
    <t>Influenza virus-specific tissue-resident memory (Trm) CD8(+) T cells located along the respiratory tract provide cross-strain protection against a breadth of influenza viruses. We show that immunization with a single-cycle influenza virus vaccine candidate (S-FLU) results in the deposition of influenza virus nucleoprotein (NP)-specific CD8(+) Trm along the respiratory tract that were more cross-reactive against viral variants and less likely to drive the development of cytotoxic T lymphocyte (CTL) escape mutants, as compared to the lung memory NP-specific CD8(+) T cell pool established following influenza infection. This immune profile was linked to the limited inflammatory response evoked by S-FLU vaccination, which increased TCR repertoire diversity within the memory CD8(+) T cell compartment. Cumulatively, this work shows that S-FLU vaccination evokes a clonally diverse, cross-reactive memory CD8(+) T cell pool, which protects against severe disease without driving the virus to rapidly evolve and escape, and thus represents an attractive vaccine for use against rapidly mutating influenza viruses.</t>
  </si>
  <si>
    <t>[Zheng, Ming Z. M.; Villalon-Letelier, Fernando; Fritzlar, Svenja; Valkenburg, Sophie A.; Reading, Patrick C.; Wakim, Linda M.] Univ Melbourne, Dept Microbiol &amp; Immunol, Peter Doherty Inst Infect &amp; Immunol, Melbourne, Vic 3000, Australia; [Tan, Tiong Kit; Townsend, Alain R.] Univ Oxford, MRC Weatherall Inst Mol Med, MRC Human Immunol Unit, Oxford OX3 9DS, England; [Lau, Hilda; Deng, Yi-Mo; Reading, Patrick C.] Peter Doherty Inst Infect &amp; Immun, Victorian Infect Dis Reference Lab, WHO Collaborating Ctr Reference &amp; Res Influenza, Melbourne, Vic 3000, Australia; [Valkenburg, Sophie A.; Poon, Leo L. M.] Univ Hong Kong, Li Ka Shing Fac Med, HKU Pasteur Res Pole Sch Publ Hlth, Hong Kong, Peoples R China; [Gu, Haogao] Univ Hong Kong, Li Ka Shing Fac Med, Sch Publ Hlth, Div Publ Hlth Lab Sci, Hong Kong, Peoples R China; [Poon, Leo L. M.] Hong Kong Sci Pk, Ctr Immunol &amp; Infect, Hong Kong, Peoples R China; [Townsend, Alain R.] Univ Oxford, Oxford Inst, Chinese Acad Med Sci, Ctr Translat Immunol, Oxford OX3 7FZ, England</t>
  </si>
  <si>
    <t>Wakim, LM (corresponding author), Univ Melbourne, Dept Microbiol &amp; Immunol, Peter Doherty Inst Infect &amp; Immunol, Melbourne, Vic 3000, Australia.</t>
  </si>
  <si>
    <t>wakiml@unimelb.edu.au</t>
  </si>
  <si>
    <t>; Poon, Leo/C-4382-2009</t>
  </si>
  <si>
    <t>Australian Research Council (ARC); National Health and Medical Research Council of Australia; EPA Cephalosporin Early Career Teaching and Research Fellowship; Townsend-Jeantet Charitable Trust [1011770]; Health and Medical Research Fund [CID-HKU2-2]; InnoHK, an initiative of the Innovation and Technology Commission; Government of the Hong Kong Special Administrative Region; RGC Postdoctoral Fellowship Scheme (PDFS) by the University Grants Committee of Hong Kong; Research Grants Council of the Hong Kong Special Administrative Region, China [T11_712_19N]; Australian Government Department of Health</t>
  </si>
  <si>
    <t>Australian Research Council (ARC)(Australian Research Council); National Health and Medical Research Council of Australia(National Health and Medical Research Council (NHMRC) of Australia); EPA Cephalosporin Early Career Teaching and Research Fellowship; Townsend-Jeantet Charitable Trust; Health and Medical Research Fund; InnoHK, an initiative of the Innovation and Technology Commission; Government of the Hong Kong Special Administrative Region; RGC Postdoctoral Fellowship Scheme (PDFS) by the University Grants Committee of Hong Kong; Research Grants Council of the Hong Kong Special Administrative Region, China(Hong Kong Research Grants Council); Australian Government Department of Health(Australian GovernmentDepartment of Health &amp; Ageing)</t>
  </si>
  <si>
    <t>This work was supported by the Australian Research Council (ARC) and the National Health and Medical Research Council of Australia (L.M.W.). T.K.T. was funded by the EPA Cephalosporin Early Career Teaching and Research Fellowship and the Townsend-Jeantet Charitable Trust (charity number 1011770). L.L.M.P. was funded by Health and Medical Research Fund (CID-HKU2-2) and InnoHK, an initiative of the Innovation and Technology Commission, the Government of the Hong Kong Special Administrative Region. H.G. was supported by the RGC Postdoctoral Fellowship Scheme (PDFS) by the University Grants Committee of Hong Kong. S.A.V was supported by a grant from the Research Grants Council of the Hong Kong Special Administrative Region, China (Project No. [T11_712_19N]). The Melbourne WHO Collaborating Centre for Reference and Research on Influenza is supported by the Australian Government Department of Health.</t>
  </si>
  <si>
    <t>2375-2548</t>
  </si>
  <si>
    <t>SCI ADV</t>
  </si>
  <si>
    <t>Sci. Adv.</t>
  </si>
  <si>
    <t>SEP 8</t>
  </si>
  <si>
    <t>eadg3469</t>
  </si>
  <si>
    <t>10.1126/sciadv.adg3469</t>
  </si>
  <si>
    <t>DB4Q6</t>
  </si>
  <si>
    <t>WOS:001129563900003</t>
  </si>
  <si>
    <t>Henrickson, L; Merono-Penuela, A</t>
  </si>
  <si>
    <t>Henrickson, Leah; Merono-Penuela, Albert</t>
  </si>
  <si>
    <t>Prompting meaning: a hermeneutic approach to optimising prompt engineering with ChatGPT</t>
  </si>
  <si>
    <t>Hermeneutics; Prompt engineering; Natural language processing; Natural language generation; Large language models; ChatGPT</t>
  </si>
  <si>
    <t>Recent advances in natural language generation (NLG), such as public accessibility to ChatGPT, have sparked polarised debates about the societal impact of this technology. Popular discourse tends towards either overoptimistic hype that touts the radically transformative potentials of these systems or pessimistic critique of their technical limitations and general 'stupidity'. Surprisingly, these debates have largely overlooked the exegetical capacities of these systems, which for many users seem to be producing meaningful texts. In this paper, we take an interdisciplinary approach that combines hermeneutics-the study of meaning and interpretation-with prompt engineering-task descriptions embedded in input to NLG systems-to study the extent to which a specific NLG system, ChatGPT, produces texts of hermeneutic value. We design prompts with the goal of optimising hermeneuticity rather than mere factual accuracy, and apply them in four different use cases combining humans and ChatGPT as readers and writers. In most cases, ChatGPT produces readable texts that respond clearly to our requests. However, increasing the specificity of prompts' task descriptions leads to texts with intensified neutrality, indicating that ChatGPT's optimisation for factual accuracy may actually be detrimental to the hermeneuticity of its output.</t>
  </si>
  <si>
    <t>[Henrickson, Leah] Univ Queensland, Sch Commun &amp; Arts, Brisbane, Australia; [Merono-Penuela, Albert] Kings Coll London, Dept Informat, London, England</t>
  </si>
  <si>
    <t>University of Queensland; University of London; King's College London</t>
  </si>
  <si>
    <t>Merono-Penuela, A (corresponding author), Kings Coll London, Dept Informat, London, England.</t>
  </si>
  <si>
    <t>l.henrickson@uq.edu.au; albert.merono@kcl.ac.uk</t>
  </si>
  <si>
    <t>Henrickson, Leah/0000-0001-8008-2373; Merono-Penuela, Albert/0000-0003-4646-5842</t>
  </si>
  <si>
    <t>We are grateful to Sheffield's Digital Humanities Institute, which facilitated the authors' meeting and collaboration. We would also like to thank fellow participants of the 2022 Digital Humanities Congress and the 2023 King's College London Creative AI Sy; Sheffield's Digital Humanities Institute</t>
  </si>
  <si>
    <t>We are grateful to Sheffield's Digital Humanities Institute, which facilitated the authors' meeting and collaboration. We would also like to thank fellow participants of the 2022 Digital Humanities Congress and the 2023 King's College London Creative AI Symposium for their feedback on earlier and alternative versions of this work.</t>
  </si>
  <si>
    <t>2023 SEP 4</t>
  </si>
  <si>
    <t>10.1007/s00146-023-01752-8</t>
  </si>
  <si>
    <t>Q5ZR2</t>
  </si>
  <si>
    <t>WOS:001058308100001</t>
  </si>
  <si>
    <t>Liga, D; Robaldo, L</t>
  </si>
  <si>
    <t>Liga, Davide; Robaldo, Livio</t>
  </si>
  <si>
    <t>Fine-tuning GPT-3 for legal rule classification</t>
  </si>
  <si>
    <t>COMPUTER LAW &amp; SECURITY REVIEW</t>
  </si>
  <si>
    <t>Rule classification; GPT-3; AI &amp; Law</t>
  </si>
  <si>
    <t>EXTRACTION</t>
  </si>
  <si>
    <t>In this paper, we propose a Legal Rule Classification (LRC) task using one of the most discussed language model in the field of Artificial Intelligence, namely GPT-3, a generative pretrained language model. We train and test the proposed LRC task on the GDPR encoded in LegalDocML ( Palmirani and Vitali, 2011 ) and LegalRuleML ( Athan et al., 2013 ), two widely used XML standards for the legal domain. We use the LegalDocML and LegalRuleML annotations provided in Robaldo et al. (2020) to fine-tuned GPT-3. While showing the ability of large language models (LLMs) to easily learn to classify legal and deontic rules even on small amount of data, we show that GPT-3 can significantly outperform previous experiments on the same task. Our work focused on a multiclass task, showing that GPT-3 is capable to recognize the difference between obligation rules, permission rules and constitutive rules with performances that overcome previous scores in LRC.</t>
  </si>
  <si>
    <t>[Liga, Davide] Univ Luxembourg, Individual &amp; Collect Reasoning Grp ICR, Esch Sur Alzette, Luxembourg; [Robaldo, Livio] Swansea Univ, Legal Innovat Lab Wales, Singleton Pk, Swansea SA2 8PP, Wales; [Liga, Davide] Univ Luxembourg, Individual &amp; Collect Reasoning Grp ICR, 6 Av Fonte, L-4364 Esch Sur Alzette, Luxembourg</t>
  </si>
  <si>
    <t>University of Luxembourg; Swansea University; University of Luxembourg</t>
  </si>
  <si>
    <t>Liga, D (corresponding author), Univ Luxembourg, Individual &amp; Collect Reasoning Grp ICR, 6 Av Fonte, L-4364 Esch Sur Alzette, Luxembourg.</t>
  </si>
  <si>
    <t>davide.liga@uni.lu</t>
  </si>
  <si>
    <t>Liga, Davide/0000-0003-1124-0299</t>
  </si>
  <si>
    <t>project INDIGO; NORFACE Joint Research Programme on Democratic Governance; AEI; AKA; DFG; FNR; European Commission [822166]; Swansea University's Hillary Rodham Clinton School of Law; European Regional Development Fund through the Welsh Government</t>
  </si>
  <si>
    <t>project INDIGO; NORFACE Joint Research Programme on Democratic Governance; AEI; AKA; DFG(German Research Foundation (DFG)); FNR(Luxembourg National Research Fund); European Commission(European Union (EU)European Commission Joint Research Centre); Swansea University's Hillary Rodham Clinton School of Law; European Regional Development Fund through the Welsh Government</t>
  </si>
  <si>
    <t>Davide Liga was supported by the project INDIGO, which is financially supported by the NORFACE Joint Research Programme on Democratic Governance in a Turbulent Age and co-funded by AEI, AKA, DFG and FNR and the European Commission through Horizon 2020 under grant agreement No 822166 . Livio Robaldo has been supported by the Legal Innovation Lab Wales operation within Swansea University's Hillary Rodham Clinton School of Law. The operation has been part-funded by the European Regional Development Fund through the Welsh Government.</t>
  </si>
  <si>
    <t>ELSEVIER ADVANCED TECHNOLOGY</t>
  </si>
  <si>
    <t>OXFORD FULFILLMENT CENTRE THE BOULEVARD, LANGFORD LANE, KIDLINGTON, OXFORD OX5 1GB, OXON, ENGLAND</t>
  </si>
  <si>
    <t>0267-3649</t>
  </si>
  <si>
    <t>COMPUT LAW SECUR REV</t>
  </si>
  <si>
    <t>Comput. Law Secur. Rev.</t>
  </si>
  <si>
    <t>10.1016/j.clsr.2023.105864</t>
  </si>
  <si>
    <t>S9CT1</t>
  </si>
  <si>
    <t>WOS:001074080200001</t>
  </si>
  <si>
    <t>Akiba, D; Fraboni, MC</t>
  </si>
  <si>
    <t>Akiba, Daisuke; Fraboni, Michelle C.</t>
  </si>
  <si>
    <t>AI-Supported Academic Advising: Exploring ChatGPT's Current State and Future Potential toward Student Empowerment</t>
  </si>
  <si>
    <t>EDUCATION SCIENCES</t>
  </si>
  <si>
    <t>Artificial intelligence (AI), once a phenomenon primarily in the world of science fiction, has evolved rapidly in recent years, steadily infiltrating into our daily lives. ChatGPT, a freely accessible AI-powered large language model designed to generate human-like text responses to users, has been utilized in several areas, such as the healthcare industry, to facilitate interactive dissemination of information and decision-making. Academic advising has been essential in promoting success among university students, particularly those from disadvantaged backgrounds. Unfortunately, however, student advising has been marred with problems, with the availability and accessibility of adequate advising being among the hurdles. The current study explores how AI-powered tools like ChatGPT might serve to make academic advising more accessible, efficient, or effective. The authors compiled a list of questions frequently asked by current and prospective students in a teacher education bachelor's degree program in the United States. Then, the questions were typed into the free version of ChatGPT, and the answers generated were explored and evaluated for their content and delivery. ChatGPT generated surprisingly high-quality answers, written in an authoritative yet supportive tone, and it was particularly adept at addressing general and open-ended career-related questions, such as career outlook, in a clear, comprehensive, and supportive manner using plain language. We argue that AI-powered tools, such as ChatGPT, may complement but not necessarily replace human academic advisers and that these tools may very well serve to promote educational equity by empowering individuals from a wide range of backgrounds with the means to initiate effective methods of seeking academic advice.</t>
  </si>
  <si>
    <t>[Akiba, Daisuke] CUNY, Queens Coll, Sch Educ, New York, NY 10016 USA; CUNY, Grad Ctr, New York, NY 10016 USA</t>
  </si>
  <si>
    <t>City University of New York (CUNY) System; Queens College NY (CUNY); City University of New York (CUNY) System</t>
  </si>
  <si>
    <t>Akiba, D (corresponding author), CUNY, Queens Coll, Sch Educ, New York, NY 10016 USA.</t>
  </si>
  <si>
    <t>dakiba@qc.cuny.edu; mfraboni@qc.cuny.edu</t>
  </si>
  <si>
    <t>Akiba, Daisuke/0000-0002-0700-7905; Fraboni, Michelle C./0000-0003-0175-9302</t>
  </si>
  <si>
    <t>The authors would like to thank the University Dean of Education, Ashleigh Thompson, as well as Sara Vogel and Aankit Patel (the City University of New York Central Office) for their support and guidance in the preparation of this manuscript.</t>
  </si>
  <si>
    <t>2227-7102</t>
  </si>
  <si>
    <t>EDUC SCI</t>
  </si>
  <si>
    <t>SEP</t>
  </si>
  <si>
    <t>S9MW8</t>
  </si>
  <si>
    <t>WOS:001074344200001</t>
  </si>
  <si>
    <t>Guleria, A; Krishan, K; Sharma, V; Kanchan, T</t>
  </si>
  <si>
    <t>Guleria, Ankita; Krishan, Kewal; Sharma, Vishal; Kanchan, Tanuj</t>
  </si>
  <si>
    <t>ChatGPT: ethical concerns and challenges in academics and research</t>
  </si>
  <si>
    <t>JOURNAL OF INFECTION IN DEVELOPING COUNTRIES</t>
  </si>
  <si>
    <t>artificial intelligence; publication ethics; privacy concerns; chatbot; ChatGPT; Open AI</t>
  </si>
  <si>
    <t>Introduction: The emergence of artificial intelligence (AI) has presented several opportunities to ease human work. AI applications are available for almost every domain of life. A new technology, Chat Generative Pre-Trained Transformer (ChatGPT), was introduced by OpenAI in November 2022, and has become a topic of discussion across the world. ChatGPT-3 has brought many opportunities, as well as ethical and privacy considerations. ChatGPT is a large language model (LLM) which has been trained on the events that happened until 2021. The use of AI and its assisted technologies in scientific writing is against research and publication ethics. Therefore, policies and guidelines need to be developed over the use of such tools in scientific writing. The main objective of the present study was to highlight the use of AI and AI assisted technologies such as the ChatGPT and other chatbots in the scientific writing and in the research domain resulting in bias, spread of inaccurate information and plagiarism. Methodology: Experiments were designed to test the accuracy of ChatGPT when used in research and academic writing. Results: The information provided by ChatGPT was inaccurate and may have far-reaching implications in the field of medical science and engineering. Critical thinking should be encouraged among researchers to raise awareness about the associated privacy and ethical risks. Conclusions: Regulations for ethical and privacy concerns related to the use of ChatGPT in academics and research need to be developed.</t>
  </si>
  <si>
    <t>[Guleria, Ankita; Krishan, Kewal] Panjab Univ, Dept Anthropol, Sect 14, Chandigarh, India; [Sharma, Vishal] Panjab Univ, Inst Forens Sci &amp; Criminol, Sect 14, Chandigarh, India; [Kanchan, Tanuj] All India Inst Med Sci, Dept Forens Med &amp; Toxicol, Jodhpur, India; [Krishan, Kewal] Panjab Univ, UGC Ctr Adv Study, Dept Anthropol, Sect 14, Chandigarh, India</t>
  </si>
  <si>
    <t>Panjab University; Panjab University; All India Institute of Medical Sciences (AIIMS) Jodhpur; Panjab University</t>
  </si>
  <si>
    <t>Krishan, K (corresponding author), Panjab Univ, UGC Ctr Adv Study, Dept Anthropol, Sect 14, Chandigarh, India.</t>
  </si>
  <si>
    <t>gargkk@yahoo.com</t>
  </si>
  <si>
    <t>Department of Science and Technology (DST), Government of India [IF190719]; UGC Centre of Advanced Study (CAS II)</t>
  </si>
  <si>
    <t>Department of Science and Technology (DST), Government of India(Department of Science &amp; Technology (India)); UGC Centre of Advanced Study (CAS II)</t>
  </si>
  <si>
    <t>The principal author (AG) is thankful to Department of Science and Technology (DST), Government of India, for awarding INSPIRE Fellowship under grant number IF190719 for pursuing Ph.D. Kewal Krishan is supported by UGC Centre of Advanced Study (CAS II), awarded to the Department of Anthropology, Panjab University, Chandigarh, India.</t>
  </si>
  <si>
    <t>J INFECTION DEVELOPING COUNTRIES</t>
  </si>
  <si>
    <t>TRAMANIGLIO</t>
  </si>
  <si>
    <t>JIDC CENT OFF PORTO CONTE RICERCHE RES CTR, S P 55, PORTO CONTE CAPO CACCIA KM 8.400 LOC, TRAMANIGLIO, 07041, ITALY</t>
  </si>
  <si>
    <t>1972-2680</t>
  </si>
  <si>
    <t>J INFECT DEV COUNTR</t>
  </si>
  <si>
    <t>J. Infect. Dev. Ctries.</t>
  </si>
  <si>
    <t>10.3855/jidc.18738</t>
  </si>
  <si>
    <t>Infectious Diseases</t>
  </si>
  <si>
    <t>Y9XB5</t>
  </si>
  <si>
    <t>WOS:001108706100020</t>
  </si>
  <si>
    <t>Sohail, SS; Farhat, F; Himeur, Y; Nadeem, M; Madsen, DO; Singh, Y; Atalla, S; Mansoor, W</t>
  </si>
  <si>
    <t>Sohail, Shahab Saquib; Farhat, Faiza; Himeur, Yassine; Nadeem, Mohammad; Madsen, Dag Oivind; Singh, Yashbir; Atalla, Shadi; Mansoor, Wathiq</t>
  </si>
  <si>
    <t>Decoding ChatGPT: A taxonomy of existing research, current challenges, and possible future directions</t>
  </si>
  <si>
    <t>JOURNAL OF KING SAUD UNIVERSITY-COMPUTER AND INFORMATION SCIENCES</t>
  </si>
  <si>
    <t>ChatGPT; Large language models (LLMs); Generative Pre-trained Transformer (GPT); AI Generated Content (AIGC); Systematic review; Trustworthy AI</t>
  </si>
  <si>
    <t>ARTIFICIAL-INTELLIGENCE</t>
  </si>
  <si>
    <t>Chat Generative Pre-trained Transformer (ChatGPT) has gained significant interest and attention since its launch in November 2022. It has shown impressive performance in various domains, including passing exams and creative writing. However, challenges and concerns related to biases and trust persist. In this work, we present a comprehensive review of over 100 Scopus-indexed publications on ChatGPT, aiming to provide a taxonomy of ChatGPT research and explore its applications. We critically analyze the existing literature, identifying common approaches employed in the studies. Additionally, we investigate diverse application areas where ChatGPT has found utility, such as healthcare, marketing and financial services, software engineering, academic and scientific writing, research and education, environmental science, and natural language processing. Through examining these applications, we gain valuable insights into the potential of ChatGPT in addressing real-world challenges. We also discuss crucial issues related to ChatGPT, including biases and trustworthiness, emphasizing the need for further research and development in these areas. Furthermore, we identify potential future directions for ChatGPT research, proposing solutions to current challenges and speculating on expected advancements. By fully leveraging the capabilities of ChatGPT, we can unlock its potential across various domains, leading to advancements in conversational AI and transformative impacts in society.(c) 2023 The Author(s). Published by Elsevier B.V. on behalf of King Saud University. This is an open access article under the CC BY license (http://creativecommons.org/licenses/by/4.0/).</t>
  </si>
  <si>
    <t>[Sohail, Shahab Saquib] Jamia Hamdard, Sch Engn Sci &amp; Technol, Dept Comp Sci &amp; Engn, New Delhi 110062, India; [Farhat, Faiza] Aligarh Muslim Univ, Dept Zool, Aligarh, Uttar Pradesh, India; [Himeur, Yassine; Atalla, Shadi; Mansoor, Wathiq] Univ Dubai, Coll Engn &amp; Informat Technol, Dubai, U Arab Emirates; [Nadeem, Mohammad] Aligarh Muslim Univ, Dept Comp Sci, Aligarh, Uttar Pradesh, India; [Madsen, Dag Oivind] Univ South Eastern Norway, Notodden, Norway; [Singh, Yashbir] Mayo Clin, Dept Radiol, Rochester, MN USA</t>
  </si>
  <si>
    <t>Jamia Hamdard University; Aligarh Muslim University; University of Dubai; Aligarh Muslim University; University College of Southeast Norway; Mayo Clinic</t>
  </si>
  <si>
    <t>Farhat, F (corresponding author), Aligarh Muslim Univ, Dept Zool, Aligarh, Uttar Pradesh, India.;Madsen, DO (corresponding author), Univ South Eastern Norway, Notodden, Norway.</t>
  </si>
  <si>
    <t>shahabssohail@jamiahamdard.ac.in; faizahaque16@gmail.com; yhimeur@ud.ac.ae; nadeem.amu@gmail.com; dag.oivind.madsen@usn.no; Singh.Yashbir@mayo.edu; satalla@ud.ac.ae; wathiq.mansoor@ud.ac.ae</t>
  </si>
  <si>
    <t>1319-1578</t>
  </si>
  <si>
    <t>2213-1248</t>
  </si>
  <si>
    <t>J KING SAUD UNIV-COM</t>
  </si>
  <si>
    <t>J. King Saud Univ.-Comput. Inf. Sci.</t>
  </si>
  <si>
    <t>10.1016/j.jksuci.2023.101675</t>
  </si>
  <si>
    <t>GA8T2</t>
  </si>
  <si>
    <t>WOS:001150035400001</t>
  </si>
  <si>
    <t>Ferrando, M; Banfi, A; Causone, F</t>
  </si>
  <si>
    <t>Ferrando, Martina; Banfi, Alessia; Causone, Francesco</t>
  </si>
  <si>
    <t>Changes in energy use profiles derived from electricity smart meter readings of residential buildings in Milan before, during and after the COVID-19 main lockdown</t>
  </si>
  <si>
    <t>SUSTAINABLE CITIES AND SOCIETY</t>
  </si>
  <si>
    <t>Covid-19; Remote working; Electricity consumption; Residential sector; Smart meter readings; Load profiles schedules; Clustering</t>
  </si>
  <si>
    <t>DEMAND</t>
  </si>
  <si>
    <t>The COVID-19 pandemic had a profound impact on society, causing changes in various aspects of people's lives, including their energy use habits. This has prompted a need for checking and updating standard energy use profiles, particularly for residential electricity use. To address this topic, a study was conducted on 24 multifamily buildings in Milan, using clustering to extract patterns from a database of quarter-hourly electricity use data from 2019 to 2020. This study found an increase in electricity usage during the COVID-19 lockdown period for residential buildings, likely associated with the imposed restrictions. The research also highlighted a shift in energy usage from the morning peak to the central hours of the day during the working days of the lockdown period, while a gradual increase in electricity usage throughout the day and no morning peak was observed during the Autumn (post-COVID) period. The findings can assist regulators and businesses in weighing the benefits and drawbacks of remote working and provide modellers with a complete set of daily load profiles for an Italian residential case study.</t>
  </si>
  <si>
    <t>[Ferrando, Martina; Banfi, Alessia; Causone, Francesco] Politecn Milan, Dept Energy, Milan, Italy</t>
  </si>
  <si>
    <t>Polytechnic University of Milan</t>
  </si>
  <si>
    <t>Ferrando, M (corresponding author), Politecn Milan, Dept Energy, Milan, Italy.</t>
  </si>
  <si>
    <t>martina.ferrando@polimi.it</t>
  </si>
  <si>
    <t>FERRANDO, MARTINA/0000-0003-4060-256X; Causone, Francesco/0000-0002-8694-7232</t>
  </si>
  <si>
    <t>Italian Ministry of University and Research (MUR) [2020ZWKXKE]; European Union's Horizon 2020 research and innovation program [691895]</t>
  </si>
  <si>
    <t>Italian Ministry of University and Research (MUR)(Ministry of Education, Universities and Research (MIUR)); European Union's Horizon 2020 research and innovation program(Horizon 2020)</t>
  </si>
  <si>
    <t>The study was developed within the framework of the project URBEM (PRIN, code: 2020ZWKXKE) , which has received funding from the Italian Ministry of University and Research (MUR), of the projects SHAR-LLM (Sharing Cities) and NRG2peers, which have received funding from the European Union's Horizon 2020 research and innovation program respectively under grant agreement No 691895, and No 890345. The authors wish to acknowledge Eng. Francesco Marella, who contributed to the work as part of his Master Thesis project.</t>
  </si>
  <si>
    <t>2210-6707</t>
  </si>
  <si>
    <t>2210-6715</t>
  </si>
  <si>
    <t>SUSTAIN CITIES SOC</t>
  </si>
  <si>
    <t>Sust. Cities Soc.</t>
  </si>
  <si>
    <t>10.1016/j.scs.2023.104876</t>
  </si>
  <si>
    <t>AUG 2023</t>
  </si>
  <si>
    <t>Construction &amp; Building Technology; Green &amp; Sustainable Science &amp; Technology; Energy &amp; Fuels</t>
  </si>
  <si>
    <t>Construction &amp; Building Technology; Science &amp; Technology - Other Topics; Energy &amp; Fuels</t>
  </si>
  <si>
    <t>T7KM7</t>
  </si>
  <si>
    <t>WOS:001079735600001</t>
  </si>
  <si>
    <t>Zheng, JW; Fischer, M</t>
  </si>
  <si>
    <t>Zheng, Junwen; Fischer, Martin</t>
  </si>
  <si>
    <t>Dynamic prompt-based virtual assistant framework for BIM information search</t>
  </si>
  <si>
    <t>AUTOMATION IN CONSTRUCTION</t>
  </si>
  <si>
    <t>Building information modeling; Generative pre-trained transformer; Virtual assistant; Information search; Natural language processing; Artificial intelligence; BIMS-GPT; Prompt engineering; Large language model; Information retrieval</t>
  </si>
  <si>
    <t>LANGUAGE; MANAGEMENT; RETRIEVAL</t>
  </si>
  <si>
    <t>Efficient information search from building information models (BIMs) requires deep BIM knowledge or extensive engineering efforts for building natural language (NL)-based interfaces. To address this challenge, this paper introduces a dynamic prompt-based virtual assistant framework dubbed BIMS-GPT that integrates generative pre-trained transformer (GPT) technologies, supporting NL-based BIM search. To understand users' NL queries, extract relevant information from BIM databases, and deliver NL responses along with 3D visualizations, a dynamic prompt-based process was developed. In a case study, BIMS-GPT's functionality is demonstrated through a virtual assistant prototype for a hospital building. When evaluated with a BIM query dataset, the approach achieves accuracy rates of 99.5% for classifying NL queries with incorporating 2% of the data in prompts. This paper contributes to the advancement of effective and versatile virtual assistants for BIMs in the construction industry as it significantly enhances BIM accessibility while reducing the engineering and training data prerequisites for processing NL queries.</t>
  </si>
  <si>
    <t>[Zheng, Junwen] Stanford Univ, Dept Civil &amp; Environm Engn, Stanford, CA 94305 USA; [Fischer, Martin] Stanford Univ, Engn, Stanford, CA USA; [Fischer, Martin] Stanford Univ, Civil &amp; Environm Engn, Stanford, CA USA</t>
  </si>
  <si>
    <t>Stanford University; Stanford University; Stanford University</t>
  </si>
  <si>
    <t>Zheng, JW (corresponding author), Stanford Univ, Dept Civil &amp; Environm Engn, Stanford, CA 94305 USA.</t>
  </si>
  <si>
    <t>junwenz@stanford.edu</t>
  </si>
  <si>
    <t>Center for Integrated Facility Engineering (CIFE) at Stanford University [2022-10]</t>
  </si>
  <si>
    <t>Center for Integrated Facility Engineering (CIFE) at Stanford University(Stanford University)</t>
  </si>
  <si>
    <t>This work is financially supported by the Center for Integrated Facility Engineering (CIFE) at Stanford University (grants 2022-10) . The authors are grateful to Microdesk and Autodesk, Inc., for granting access to the hospital BIM and cloud credits. The first author extends his gratitude to Prof. Monica Lam, George Liu (Stanford University) ; Dr. Yi Wang (Autodesk) ; and Dr. Jeff Chan (Microdesk) for their invaluable intellectual companionship. The authors are grateful to the anonymous reviewers for their contribution to this work.</t>
  </si>
  <si>
    <t>0926-5805</t>
  </si>
  <si>
    <t>1872-7891</t>
  </si>
  <si>
    <t>AUTOMAT CONSTR</t>
  </si>
  <si>
    <t>Autom. Constr.</t>
  </si>
  <si>
    <t>10.1016/j.autcon.2023.105067</t>
  </si>
  <si>
    <t>W0PN8</t>
  </si>
  <si>
    <t>WOS:001088738700001</t>
  </si>
  <si>
    <t>Niszczota, P; Abbas, S</t>
  </si>
  <si>
    <t>Niszczota, Pawel; Abbas, Sami</t>
  </si>
  <si>
    <t>GPT has become financially literate: Insights from financial literacy tests of GPT and a preliminary test of how people use it as a source of advice</t>
  </si>
  <si>
    <t>Financial literacy; Robo-advice; Financial advice; Advice-utilization; Large language model; ChatGPT</t>
  </si>
  <si>
    <t>JUDGMENT</t>
  </si>
  <si>
    <t>We assess the ability of GPT-a large language model-to serve as a financial robo-advisor for the masses, by using a financial literacy test. Davinci and ChatGPT based on GPT-3.5 score 66% and 65% on the financial literacy test, respectively, compared to a baseline of 33%. However, ChatGPT based on GPT-4 achieves a near-perfect 99% score, pointing to financial literacy becoming an emergent ability of state-of-the-art models. We use the Judge-Advisor System and a savings dilemma to illustrate how researchers might assess advice-utilization from large language models. We also present a number of directions for future research.</t>
  </si>
  <si>
    <t>[Niszczota, Pawel; Abbas, Sami] Poznan Univ Econ &amp; Business, Inst Int Business &amp; Econ, Humans &amp; AI Lab HAI Lab, Poznan, Poland; [Niszczota, Pawel] Poznan Univ Econ &amp; Business, Al Niepodleglosci 10, PL-61875 Poznan, Poland</t>
  </si>
  <si>
    <t>Poznan University of Economics &amp; Business; Poznan University of Economics &amp; Business</t>
  </si>
  <si>
    <t>Niszczota, P (corresponding author), Poznan Univ Econ &amp; Business, Al Niepodleglosci 10, PL-61875 Poznan, Poland.</t>
  </si>
  <si>
    <t>pawel.niszczota@ue.poznan.pl</t>
  </si>
  <si>
    <t>Niszczota, Paweł/P-8289-2018; Abbas, Sami/ABG-7580-2021</t>
  </si>
  <si>
    <t>Niszczota, Paweł/0000-0002-4150-3646;</t>
  </si>
  <si>
    <t>National Science centre, Poland [2021/42/E/HS4/00289]; Regional Initiative for Excellence program of the Minister of Science and Higher Education of Poland [004/RID/2018/19]</t>
  </si>
  <si>
    <t>National Science centre, Poland(National Science Centre, Poland); Regional Initiative for Excellence program of the Minister of Science and Higher Education of Poland</t>
  </si>
  <si>
    <t>This research was supported by grant 2021/42/E/HS4/00289 from the National Science centre, Poland, and grant 004/RID/2018/19 from the Regional Initiative for Excellence program of the Minister of Science and Higher Education of Poland (2019-2022) .</t>
  </si>
  <si>
    <t>A</t>
  </si>
  <si>
    <t>10.1016/j.frl.2023.104333</t>
  </si>
  <si>
    <t>T7PX2</t>
  </si>
  <si>
    <t>WOS:001079876600001</t>
  </si>
  <si>
    <t>Balkus, SV; Yan, DH</t>
  </si>
  <si>
    <t>Balkus, Salvador V.; Yan, Donghui</t>
  </si>
  <si>
    <t>Improving short text classification with augmented data using GPT-3</t>
  </si>
  <si>
    <t>NATURAL LANGUAGE ENGINEERING</t>
  </si>
  <si>
    <t>GPT-3; Data augmentation; Text classification; Machine learning</t>
  </si>
  <si>
    <t>ENSEMBLE</t>
  </si>
  <si>
    <t>GPT-3 is a large-scale natural language model developed by OpenAI that can perform many different tasks, including topic classification. Although researchers claim that it requires only a small number of in-context examples to learn a task, in practice GPT-3 requires these training examples to be either of exceptional quality or a higher quantity than easily created by hand. To address this issue, this study teaches GPT-3 to classify whether a question is related to data science by augmenting a small training set with additional examples generated by GPT-3 itself. This study compares two augmented classifiers: the Classification Endpoint with an increased training set size and the Completion Endpoint with an augmented prompt optimized using a genetic algorithm. We find that data augmentation significantly increases the accuracy of both classifiers, and that the embedding-based Classification Endpoint achieves the best accuracy of about 76%, compared to human accuracy of 85%. In this way, giving large language models like GPT-3 the ability to propose their own training examples can improve short text classification performance.</t>
  </si>
  <si>
    <t>[Balkus, Salvador V.] Univ Massachusetts, Program Data Sci, Dartmouth, MA USA; [Yan, Donghui] Univ Massachusetts, Dept Math, Dartmouth, MA USA</t>
  </si>
  <si>
    <t>University of Massachusetts System; University Massachusetts Dartmouth; University of Massachusetts System; University Massachusetts Dartmouth</t>
  </si>
  <si>
    <t>Balkus, SV (corresponding author), Univ Massachusetts, Program Data Sci, Dartmouth, MA USA.</t>
  </si>
  <si>
    <t>sbalkus@g.harvard.edu</t>
  </si>
  <si>
    <t>First, we must thank the Program in Data Science at the University of Massachusetts Dartmouth for financially supporting this project. In addition, we would also like to thank members of the University of Massachusetts Dartmouth Big Data Club for contribut; Program in Data Science at the University of Massachusetts Dartmouth</t>
  </si>
  <si>
    <t>First, we must thank the Program in Data Science at the University of Massachusetts Dartmouth for financially supporting this project. In addition, we would also like to thank members of the University of Massachusetts Dartmouth Big Data Club for contributing questions to our training, validation, and test data. Finally, we especially thank Benjamin Pfeffer, McCord Murray, and John Willy for generously volunteering to perform post hoc annotations of the questions used in this study.</t>
  </si>
  <si>
    <t>1351-3249</t>
  </si>
  <si>
    <t>1469-8110</t>
  </si>
  <si>
    <t>NAT LANG ENG</t>
  </si>
  <si>
    <t>Nat. Lang. Eng.</t>
  </si>
  <si>
    <t>2023 AUG 25</t>
  </si>
  <si>
    <t>10.1017/S1351324923000438</t>
  </si>
  <si>
    <t>T3MO0</t>
  </si>
  <si>
    <t>WOS:001077062200001</t>
  </si>
  <si>
    <t>Bernstein, IA; Zhang, YC; Govil, D; Majid, I; Chang, RT; Sun, Y; Shue, A; Chou, JC; Schehlein, E; Christopher, KL; Groth, SL; Ludwig, C; Wang, SY</t>
  </si>
  <si>
    <t>Bernstein, Isaac A.; Zhang, Youchen (Victor); Govil, Devendra; Majid, Iyad; Chang, Robert T.; Sun, Yang; Shue, Ann; Chou, Jonathan C.; Schehlein, Emily; Christopher, Karen L.; Groth, Sylvia L.; Ludwig, Cassie; Wang, Sophia Y.</t>
  </si>
  <si>
    <t>Comparison of Ophthalmologist and Large Language Model Chatbot Responses to Online Patient Eye Care Questions</t>
  </si>
  <si>
    <t>IMPORTANCE Large language models (LLMs) like ChatGPT appear capable of performing a variety of tasks, including answering patient eye care questions, but have not yet been evaluated in direct comparison with ophthalmologists. It remains unclear whether LLM-generated advice is accurate, appropriate, and safe for eye patients. OBJECTIVE To evaluate the quality of ophthalmology advice generated by an LLM chatbot in comparison with ophthalmologist-written advice. DESIGN, SETTING, AND PARTICIPANTS This cross-sectional study used deidentified data from an online medical forum, in which patient questions received responses written by American Academy of Ophthalmology (AAO)-affiliated ophthalmologists. A masked panel of 8 board-certified ophthalmologists were asked to distinguish between answers generated by the ChatGPT chatbot and human answers. Posts were dated between 2007 and 2016; data were accessed January 2023 and analysis was performed between March and May 2023. MAIN OUTCOMES AND MEASURES Identification of chatbot and human answers on a 4-point scale (likely or definitely artificial intelligence [AI] vs likely or definitely human) and evaluation of responses for presence of incorrect information, alignment with perceived consensus in the medical community, likelihood to cause harm, and extent of harm. RESULTS A total of 200 pairs of user questions and answers by AAO-affiliated ophthalmologists were evaluated. The mean (SD) accuracy for distinguishing between AI and human responses was 61.3% (9.7%). Of 800 evaluations of chatbot-written answers, 168 answers (21.0%) were marked as human-written, while 517 of 800 human-written answers (64.6%) were marked as AI-written. Compared with human answers, chatbot answers were more frequently rated as probably or definitely written by AI (prevalence ratio [PR], 1.72; 95% CI, 1.52-1.93). The likelihood of chatbot answers containing incorrect or inappropriate material was comparable with human answers (PR, 0.92; 95% CI, 0.77-1.10), and did not differ from human answers in terms of likelihood of harm (PR, 0.84; 95% CI, 0.67-1.07) nor extent of harm (PR, 0.99; 95% CI, 0.80-1.22). CONCLUSIONS AND RELEVANCE In this cross-sectional study of human-written and AI-generated responses to 200 eye care questions from an online advice forum, a chatbot appeared capable of responding to long user-written eye health posts and largely generated appropriate responses that did not differ significantly from ophthalmologist-written responses in terms of incorrect information, likelihood of harm, extent of harm, or deviation from ophthalmologist community standards. Additional research is needed to assess patient attitudes toward LLM-augmented ophthalmologists vs fully autonomous AI content generation, to evaluate clarity and acceptability of LLM-generated answers from the patient perspective, to test the performance of LLMs in a greater variety of clinical contexts, and to determine an optimal manner of utilizing LLMs that is ethical and minimizes harm.</t>
  </si>
  <si>
    <t>[Wang, Sophia Y.] Stanford Univ, 2370 Watson Ct, Palo Alto, CA 94030 USA; [Bernstein, Isaac A.; Zhang, Youchen (Victor); Govil, Devendra; Majid, Iyad; Chang, Robert T.; Sun, Yang; Shue, Ann; Ludwig, Cassie; Wang, Sophia Y.] Stanford Univ, Byers Eye Inst, Dept Ophthalmol, Stanford, CA USA; [Chou, Jonathan C.] Kaiser Permanente San Francisco, Dept Ophthalmol, San Francisco, CA USA; [Schehlein, Emily] Brighton Vis Ctr, Brighton, MI USA; [Christopher, Karen L.] Univ Colorado, Sch Med, Dept Ophthalmol, Aurora, CO USA; [Groth, Sylvia L.] Vanderbilt Eye Inst, Dept Ophthalmol &amp; Visual Sci, Nashville, TN USA</t>
  </si>
  <si>
    <t>Stanford University; Stanford University; Kaiser Permanente; University of Colorado System; University of Colorado Anschutz Medical Campus; Vanderbilt University</t>
  </si>
  <si>
    <t>Wang, SY (corresponding author), Stanford Univ, 2370 Watson Ct, Palo Alto, CA 94030 USA.</t>
  </si>
  <si>
    <t>sywang@stanford.edu</t>
  </si>
  <si>
    <t>National Eye Institute [K23EY03263501, P30-EY026877]; Career Development Award from Research to Prevent Blindness; Stanford University for Research to Prevent Blindness</t>
  </si>
  <si>
    <t>National Eye Institute(United States Department of Health &amp; Human ServicesNational Institutes of Health (NIH) - USANIH National Eye Institute (NEI)); Career Development Award from Research to Prevent Blindness(Research to Prevent Blindness (RPB)); Stanford University for Research to Prevent Blindness</t>
  </si>
  <si>
    <t>National Eye Institute (grant No. K23EY03263501); Career Development Award from Research to Prevent Blindness; an unrestricted departmental grant from Stanford University for Research to Prevent Blindness; departmental grant National Eye Institute (grant No. P30-EY026877).</t>
  </si>
  <si>
    <t>AUG 22</t>
  </si>
  <si>
    <t>e2330320</t>
  </si>
  <si>
    <t>10.1001/jamanetworkopen.2023.30320</t>
  </si>
  <si>
    <t>Q7SZ9</t>
  </si>
  <si>
    <t>WOS:001059499000003</t>
  </si>
  <si>
    <t>Mondragon-Estrada, E; Kirschning, I; Nolazco-Flores, JA; Camacho-Zuniga, C</t>
  </si>
  <si>
    <t>Mondragon-Estrada, Enrique; Kirschning, Ingrid; Nolazco-Flores, Juan Arturo; Camacho-Zuniga, Claudia</t>
  </si>
  <si>
    <t>Fostering digital transformation in education: technology enhanced learning from professors' experiences in emergency remote teaching</t>
  </si>
  <si>
    <t>information and communication technologies; higher education; technology enhanced learning; educational innovation; digital transformation in education; faculty experiences; emergency remote teaching</t>
  </si>
  <si>
    <t>STUDENTS</t>
  </si>
  <si>
    <t>In this work, we aim to understand professors' perception of the key competences as well as the best educational strategies and technological tools to guide digital transformation (DT) in education, according to their experience in emergency remote teaching (ERT). In recent years, technological advancement has driven DT in many areas, with education being among them. ERT due to COVID-19 accelerated this transition. Restrictions and lockdowns forced higher education institutions to adopt remote teaching strategies and tools suited for a digital environment. We surveyed 100 professors from a private Mexican university with 15-month experience of online ERT. We asked them through Likert scale questions to self-evaluate their performance and whether they perceived it to be better in online or hybrid environments compared with face-to-face environments in different aspects. We performed correlation, cluster, and factor analysis to identify the relationships and patterns in their answers. Through open-ended questions, we also asked the participants about the challenges and achievements they experienced, and the educational strategies and technological tools they successfully incorporated during ERT. We also conducted text mining to extract the most relevant information from these answers and validated that they were not polarized with negative sentiment using a large language model. Our results showed social intelligence as an underlying competence for teaching performance was highlighted in the digital environment due to the physical interaction limitations. Participants found success in implementing information and communication technologies, resulting in maintaining student interest and building trust in the online environment. Professors recognized the relevance not only of learning management systems and communication platforms, as expected, but also hardware such as tablets, cameras, and headphones for the successful delivery of education in a digital environment. Technology Enhanced Learning transposes game-based, quizzing practices, and collaborative learning to digital environments. Furthermore, the professors recommended learning-by-doing, flipped learning, problem-based learning, game-based learning, and holistic education as some pedagogical methodologies that were successfully applied in ERT and could be implemented for DT. Understanding the gains concerning teaching learning strategies and technologies that were incorporated during ERT is of the utmost importance for driving DT and its benefits for current and future education.</t>
  </si>
  <si>
    <t>[Mondragon-Estrada, Enrique; Camacho-Zuniga, Claudia] Sch Engn &amp; Sci Tecnol Monterrey, Monterrey, Mexico; [Kirschning, Ingrid] Univ Americas Puebla, Sch Engn, Cholula, Mexico; [Nolazco-Flores, Juan Arturo; Camacho-Zuniga, Claudia] Inst Future Educ, Tecnol Monterrey, Monterrey, Mexico</t>
  </si>
  <si>
    <t>Tecnologico de Monterrey; Universidad Americas Puebla (UDLAP); Tecnologico de Monterrey</t>
  </si>
  <si>
    <t>Camacho-Zuniga, C (corresponding author), Sch Engn &amp; Sci Tecnol Monterrey, Monterrey, Mexico.;Camacho-Zuniga, C (corresponding author), Inst Future Educ, Tecnol Monterrey, Monterrey, Mexico.</t>
  </si>
  <si>
    <t>claudia.camacho@tec.mx</t>
  </si>
  <si>
    <t>The authors would like to acknowledge the support of the Writing Lab, Institute for the Future of Education, Tecnologico de Monterrey, Mexico, in the production of this work.; Institute for the Future of Education, Tecnologico de Monterrey, Mexico</t>
  </si>
  <si>
    <t>The authors would like to acknowledge the support of the Writing Lab, Institute for the Future of Education, Tecnologico de Monterrey, Mexico, in the production of this work.</t>
  </si>
  <si>
    <t>AUG 17</t>
  </si>
  <si>
    <t>Q7FM9</t>
  </si>
  <si>
    <t>WOS:001059144000001</t>
  </si>
  <si>
    <t>Moskatel, LS; Zhang, NS</t>
  </si>
  <si>
    <t>Moskatel, Leon S.; Zhang, Niushen</t>
  </si>
  <si>
    <t>The utility of ChatGPT in the assessment of literature on the prevention of migraine: an observational, qualitative study</t>
  </si>
  <si>
    <t>FRONTIERS IN NEUROLOGY</t>
  </si>
  <si>
    <t>artificial intelligence; ChatGPT; migraine; preventive medications; evidence-based medicine</t>
  </si>
  <si>
    <t>Background: It is not known how large language models, such as ChatGPT, can be applied toward the assessment of the efficacy of medications, including in the prevention of migraine, and how it might support those claims with existing medical evidence.Methods: We queried ChatGPT-3.5 on the efficacy of 47 medications for the prevention of migraine and then asked it to give citations in support of its assessment. ChatGPT's evaluations were then compared to their FDA approval status for this indication as well as the American Academy of Neurology 2012 evidence-based guidelines for the prevention of migraine. The citations ChatGPT generated for these evaluations were then assessed to see if they were real papers and if they were relevant to the query.Results: ChatGPT affirmed that the 14 medications that have either received FDA approval for prevention of migraine or AAN Grade A/B evidence were effective for migraine. Its assessments of the other 33 medications were unreliable including suggesting possible efficacy for four medications that have never been used for the prevention of migraine. Critically, only 33/115 (29%) of the papers ChatGPT cited were real, while 76/115 (66%) were hallucinated not real papers and 6/115 (5%) shared the names of real papers but had not real citations.Conclusion: While ChatGPT produced tailored answers on the efficacy of the queried medications, the results were unreliable and inaccurate because of the overwhelming volume of hallucinated articles it generated and cited.</t>
  </si>
  <si>
    <t>[Moskatel, Leon S.; Zhang, Niushen] Stanford Univ, Dept Neurol, Div Headache &amp; Facial Pain, Palo Alto, CA 94304 USA</t>
  </si>
  <si>
    <t>Stanford University</t>
  </si>
  <si>
    <t>Moskatel, LS (corresponding author), Stanford Univ, Dept Neurol, Div Headache &amp; Facial Pain, Palo Alto, CA 94304 USA.</t>
  </si>
  <si>
    <t>moskatel@stanford.edu</t>
  </si>
  <si>
    <t>Funding for the open access publication fee was provided by Stanford University's School of Medicine, Department of Neurology.; Stanford University's School of Medicine, Department of Neurology</t>
  </si>
  <si>
    <t>Funding for the open access publication fee was provided by Stanford University's School of Medicine, Department of Neurology.</t>
  </si>
  <si>
    <t>1664-2295</t>
  </si>
  <si>
    <t>FRONT NEUROL</t>
  </si>
  <si>
    <t>Front. Neurol.</t>
  </si>
  <si>
    <t>10.3389/fneur.2023.1225223</t>
  </si>
  <si>
    <t>Q6XI7</t>
  </si>
  <si>
    <t>WOS:001058930700001</t>
  </si>
  <si>
    <t>Huh, T; Ko, Y</t>
  </si>
  <si>
    <t>Huh, Taehun; Ko, Youngjoong</t>
  </si>
  <si>
    <t>Efficient framework for low-resource abstractive summarization by meta-transfer learning and pointer-generator networks</t>
  </si>
  <si>
    <t>EXPERT SYSTEMS WITH APPLICATIONS</t>
  </si>
  <si>
    <t>Low-resource abstractive summarization; Meta-transfer learning; Pointer-generator network; Copy mechanism; Prompt-tuning</t>
  </si>
  <si>
    <t>Recently, large language models have shown great success on various abstractive summarization datasets. These datasets consist of numerous data that are enough to train a large number of parameters. However, for a new domain, there is a lack of labeled data to train those parameters and the model is easily overfitted to a small amount of data. In addition, because annotating document-summary pairs is too expensive and transfer learning using high-resource datasets causes a domain shifting problem, a low-resource abstractive summarization task is becoming necessary. Herein, we propose an efficient framework for low-resource abstractive summarization using a pointer-generator network and a meta-learning technique to address the above problems. Meta-learning using existing high-resource datasets enables our model to rapidly adapt to a new domain using limited data to solve the domain shifting problem. In addition, we explore the copy mechanism using a pointer-generator network that can copy words from a source document when generating a summary. The experimental results on 11 different datasets show that the proposed model outperforms the previous state-of-the-art models in low-resource abstractive summarization on most of the datasets.</t>
  </si>
  <si>
    <t>[Huh, Taehun] Sungkyunkwan Univ, Dept Artificial Intelligence, Suwon, Gyeonggi Do, South Korea; [Ko, Youngjoong] Sungkyunkwan Univ, Dept Comp Sci &amp; Engn, Suwon, Gyeonggi Do, South Korea</t>
  </si>
  <si>
    <t>Sungkyunkwan University (SKKU); Sungkyunkwan University (SKKU)</t>
  </si>
  <si>
    <t>Ko, Y (corresponding author), Sungkyunkwan Univ, Dept Comp Sci &amp; Engn, Suwon, Gyeonggi Do, South Korea.</t>
  </si>
  <si>
    <t>yjko@skku.edu</t>
  </si>
  <si>
    <t>National Research Foundation of Korea (NRF) - Korea government (MSIT) [2022-0-00369]; Institute for Information amp; communications Technology Planning amp; Evaluation (IITP) - Korea government (MSIT); Development of AI Technology; Institute of Information amp; communications Technology Planning amp; Evaluation (IITP) - Korea government (MSIT); AI Graduate School Support Program (Sungkyunkwan University); [NRF-2020R1A2C2100362]</t>
  </si>
  <si>
    <t>National Research Foundation of Korea (NRF) - Korea government (MSIT)(National Research Foundation of KoreaMinistry of Science, ICT &amp; Future Planning, Republic of KoreaMinistry of Science &amp; ICT (MSIT), Republic of Korea); Institute for Information amp; communications Technology Planning amp; Evaluation (IITP) - Korea government (MSIT)(Institute for Information &amp; Communication Technology Planning &amp; Evaluation (IITP), Republic of KoreaMinistry of Science &amp; ICT (MSIT), Republic of Korea); Development of AI Technology; Institute of Information amp; communications Technology Planning amp; Evaluation (IITP) - Korea government (MSIT)(Institute for Information &amp; Communication Technology Planning &amp; Evaluation (IITP), Republic of KoreaMinistry of Science &amp; ICT (MSIT), Republic of Korea); AI Graduate School Support Program (Sungkyunkwan University);</t>
  </si>
  <si>
    <t>This work was supported in part by the National Research Foundation of Korea (NRF) grant funded by the Korea government (MSIT) (No. NRF-2020R1A2C2100362) , in part by Institute for Information &amp; amp; communications Technology Planning &amp; amp; Evaluation (IITP) grant funded by the Korea government (MSIT) (No. 2022-0-00369, (Part 4) Development of AI Technology to support Expert Decision-making that can Explain the Reasons/Grounds for Judgment Results based on Expert Knowledge) , and in part by Institute of Information &amp; amp; communications Technology Planning &amp; amp; Evaluation (IITP) grant funded by the Korea government (MSIT) (No.2019-0-00421, AI Graduate School Support Program (Sungkyunkwan University) ) .</t>
  </si>
  <si>
    <t>0957-4174</t>
  </si>
  <si>
    <t>1873-6793</t>
  </si>
  <si>
    <t>EXPERT SYST APPL</t>
  </si>
  <si>
    <t>Expert Syst. Appl.</t>
  </si>
  <si>
    <t>DEC 30</t>
  </si>
  <si>
    <t>10.1016/j.eswa.2023.121029</t>
  </si>
  <si>
    <t>Computer Science, Artificial Intelligence; Engineering, Electrical &amp; Electronic; Operations Research &amp; Management Science</t>
  </si>
  <si>
    <t>Computer Science; Engineering; Operations Research &amp; Management Science</t>
  </si>
  <si>
    <t>Q7OP8</t>
  </si>
  <si>
    <t>WOS:001059384300001</t>
  </si>
  <si>
    <t>Kaarre, J; Feldt, R; Keeling, LE; Dadoo, S; Zsidai, B; Hughes, JD; Samuelsson, K; Musahl, V</t>
  </si>
  <si>
    <t>Kaarre, Janina; Feldt, Robert; Keeling, Laura E.; Dadoo, Sahil; Zsidai, Balint; Hughes, Jonathan D.; Samuelsson, Kristian; Musahl, Volker</t>
  </si>
  <si>
    <t>Exploring the potential of ChatGPT as a supplementary tool for providing orthopaedic information</t>
  </si>
  <si>
    <t>KNEE SURGERY SPORTS TRAUMATOLOGY ARTHROSCOPY</t>
  </si>
  <si>
    <t>Large language models; ChatGPT; Anterior cruciate ligament; ACL; Artificial intelligence; Correctness</t>
  </si>
  <si>
    <t>PurposeTo investigate the potential use of large language models (LLMs) in orthopaedics by presenting queries pertinent to anterior cruciate ligament (ACL) surgery to generative pre-trained transformer (ChatGPT, specifically using its GPT-4 model of March 14th 2023). Additionally, this study aimed to evaluate the depth of the LLM's knowledge and investigate its adaptability to different user groups. It was hypothesized that the ChatGPT would be able to adapt to different target groups due to its strong language understanding and processing capabilities.MethodsChatGPT was presented with 20 questions and response was requested for two distinct target audiences: patients and non-orthopaedic medical doctors. Two board-certified orthopaedic sports medicine surgeons and two expert orthopaedic sports medicine surgeons independently evaluated the responses generated by ChatGPT. Mean correctness, completeness, and adaptability to the target audiences (patients and non-orthopaedic medical doctors) were determined. A three-point response scale facilitated nuanced assessment.ResultsChatGPT exhibited fair accuracy, with average correctness scores of 1.69 and 1.66 (on a scale from 0, incorrect, 1, partially correct, to 2, correct) for patients and medical doctors, respectively. Three of the 20 questions (15.0%) were deemed incorrect by any of the four orthopaedic sports medicine surgeon assessors. Moreover, overall completeness was calculated to be 1.51 and 1.64 for patients and medical doctors, respectively, while overall adaptiveness was determined to be 1.75 and 1.73 for patients and doctors, respectively.ConclusionOverall, ChatGPT was successful in generating correct responses in approximately 65% of the cases related to ACL surgery. The findings of this study imply that LLMs offer potential as a supplementary tool for acquiring orthopaedic knowledge. However, although ChatGPT can provide guidance and effectively adapt to diverse target audiences, it cannot supplant the expertise of orthopaedic sports medicine surgeons in diagnostic and treatment planning endeavours due to its limited understanding of orthopaedic domains and its potential for erroneous responses.</t>
  </si>
  <si>
    <t>[Kaarre, Janina; Keeling, Laura E.; Dadoo, Sahil; Hughes, Jonathan D.; Musahl, Volker] Univ Pittsburgh, UPMC Freddie Fu Sports Med Ctr, Dept Orthopaed Surg, Pittsburgh, PA 15260 USA; [Kaarre, Janina; Zsidai, Balint; Samuelsson, Kristian] Univ Gothenburg, Inst Clin Sci, Sahlgrenska Acad, Dept Orthopaed, Goteborgsvagen 31, S-43180 Molndal, Sweden; [Feldt, Robert] Chalmers Univ Technol, Dept Comp Sci &amp; Engn, Gothenburg, Sweden; [Samuelsson, Kristian] Sahlgrens Univ Hosp, Dept Orthopaed, Molndal, Sweden</t>
  </si>
  <si>
    <t>Pennsylvania Commonwealth System of Higher Education (PCSHE); University of Pittsburgh; University of Gothenburg; Chalmers University of Technology; Sahlgrenska University Hospital</t>
  </si>
  <si>
    <t>Kaarre, J (corresponding author), Univ Pittsburgh, UPMC Freddie Fu Sports Med Ctr, Dept Orthopaed Surg, Pittsburgh, PA 15260 USA.;Kaarre, J (corresponding author), Univ Gothenburg, Inst Clin Sci, Sahlgrenska Acad, Dept Orthopaed, Goteborgsvagen 31, S-43180 Molndal, Sweden.</t>
  </si>
  <si>
    <t>janina.kaarre@gu.se; robert.feldt@chalmers.se; keelingle@upmc.edu; dadoos@upmc.edu; balint.zsidai@gu.se; hughesjd3@upmc.edu; kristian.samuelsson@gu.se; musahlv@upmc.edu</t>
  </si>
  <si>
    <t>Hughes, Jonathan D./AAL-3860-2020</t>
  </si>
  <si>
    <t>Hughes, Jonathan D./0000-0002-1298-7514; Kaarre, Janina/0000-0003-2559-8283</t>
  </si>
  <si>
    <t>University of Gothenburg</t>
  </si>
  <si>
    <t>Open access funding provided by University of Gothenburg. No funding was received for this study</t>
  </si>
  <si>
    <t>0942-2056</t>
  </si>
  <si>
    <t>1433-7347</t>
  </si>
  <si>
    <t>KNEE SURG SPORT TR A</t>
  </si>
  <si>
    <t>Knee Surg. Sports Traumatol. Arthrosc.</t>
  </si>
  <si>
    <t>10.1007/s00167-023-07529-2</t>
  </si>
  <si>
    <t>Orthopedics; Sport Sciences; Surgery</t>
  </si>
  <si>
    <t>hybrid, Green Published</t>
  </si>
  <si>
    <t>WOS:001044338600003</t>
  </si>
  <si>
    <t>Perez, R; Li, XN; Giannakoulias, S; Petersson, EJ</t>
  </si>
  <si>
    <t>Perez, Ryann; Li, Xinning; Giannakoulias, Sam; Petersson, E. James</t>
  </si>
  <si>
    <t>AggBERT: Best in Class Prediction of Hexapeptide Amyloidogenesis with a Semi-Supervised ProtBERT Model</t>
  </si>
  <si>
    <t>JOURNAL OF CHEMICAL INFORMATION AND MODELING</t>
  </si>
  <si>
    <t>AGGREGATION-PRONE; PROTEIN; MUTATIONS; PEPTIDES; LANGUAGE; REGIONS; TRENDS</t>
  </si>
  <si>
    <t>The prediction of peptide amyloidogenesis is a challengingproblemin the field of protein folding. Large language models, such as theProtBERT model, have recently emerged as powerful tools in analyzingprotein sequences for applications, such as predicting protein structureand function. In this article, we describe the use of a semisupervisedand fine-tuned ProtBERT model to predict peptide amyloidogenesis fromsequences alone. Our approach, which we call AggBERT, achieved state-of-the-artperformance, demonstrating the potential for large language modelsto improve the accuracy and speed of amyloid fibril prediction oversimple heuristics or structure-based approaches. This work highlightsthe transformative potential of machine learning and large languagemodels in the fields of chemical biology and biomedicine.</t>
  </si>
  <si>
    <t>[Perez, Ryann; Li, Xinning; Giannakoulias, Sam; Petersson, E. James] Univ Penn, Dept Chem, Philadelphia, PA 19104 USA</t>
  </si>
  <si>
    <t>University of Pennsylvania</t>
  </si>
  <si>
    <t>Giannakoulias, S; Petersson, EJ (corresponding author), Univ Penn, Dept Chem, Philadelphia, PA 19104 USA.</t>
  </si>
  <si>
    <t>gianna1@sas.upenn.edu; ejpetersson@sas.upenn.edu</t>
  </si>
  <si>
    <t>Giannakoulias, Sam/0000-0003-1830-6369</t>
  </si>
  <si>
    <t>University of Pennsylvania; National Institutes of Health [R01-NS103873]; National Science Foundation (NSF); NIH; [DGE-1845298]; [T32 GM133398]</t>
  </si>
  <si>
    <t>University of Pennsylvania; National Institutes of Health(United States Department of Health &amp; Human ServicesNational Institutes of Health (NIH) - USA); National Science Foundation (NSF)(National Science Foundation (NSF)); NIH(United States Department of Health &amp; Human ServicesNational Institutes of Health (NIH) - USA); ;</t>
  </si>
  <si>
    <t>This work was supported by the University of Pennsylvania and the National Institutes of Health (R01-NS103873 to E.J.P.). S.G.G. thanks the National Science Foundation (NSF) for funding through the NSF Graduate Research Fellowship Program (DGE-1845298). R.M.P. thanks the NIH for funding through the Chemistry Biology Interface Training Program (T32 GM133398).</t>
  </si>
  <si>
    <t>1549-9596</t>
  </si>
  <si>
    <t>1549-960X</t>
  </si>
  <si>
    <t>J CHEM INF MODEL</t>
  </si>
  <si>
    <t>J. Chem Inf. Model.</t>
  </si>
  <si>
    <t>10.1021/acs.jcim.3c00817</t>
  </si>
  <si>
    <t>Chemistry, Medicinal; Chemistry, Multidisciplinary; Computer Science, Information Systems; Computer Science, Interdisciplinary Applications</t>
  </si>
  <si>
    <t>Pharmacology &amp; Pharmacy; Chemistry; Computer Science</t>
  </si>
  <si>
    <t>S1RW1</t>
  </si>
  <si>
    <t>WOS:001044525600001</t>
  </si>
  <si>
    <t>Zheng, ZL; Zhang, OF; Borgs, C; Chayes, JT; Yaghi, OM</t>
  </si>
  <si>
    <t>Zheng, Zhiling; Zhang, Oufan; Borgs, Christian; Chayes, Jennifer T.; Yaghi, Omar M.</t>
  </si>
  <si>
    <t>ChatGPT Chemistry Assistant for Text Mining and the Prediction of MOF Synthesis</t>
  </si>
  <si>
    <t>JOURNAL OF THE AMERICAN CHEMICAL SOCIETY</t>
  </si>
  <si>
    <t>METAL-ORGANIC FRAMEWORKS; RANDOM FOREST; DESIGN; CLASSIFICATION; STABILITY; ENERGY; UNITS; TOOL</t>
  </si>
  <si>
    <t>We use prompt engineering to guide ChatGPT in the automationoftext mining of metal-organic framework (MOF) synthesis conditionsfrom diverse formats and styles of the scientific literature. Thiseffectively mitigates ChatGPT's tendency to hallucinate information,an issue that previously made the use of large language models (LLMs)in scientific fields challenging. Our approach involves the developmentof a workflow implementing three different processes for text mining,programmed by ChatGPT itself. All of them enable parsing, searching,filtering, classification, summarization, and data unification withdifferent trade-offs among labor, speed, and accuracy. We deploy thissystem to extract 26 257 distinct synthesis parameters pertainingto approximately 800 MOFs sourced from peer-reviewed research articles.This process incorporates our ChemPrompt Engineering strategy to instructChatGPT in text mining, resulting in impressive precision, recall,and F1 scores of 90-99%. Furthermore, with the data set builtby text mining, we constructed a machine-learning model with over87% accuracy in predicting MOF experimental crystallization outcomesand preliminarily identifying important factors in MOF crystallization.We also developed a reliable data-grounded MOF chatbot to answer questionsabout chemical reactions and synthesis procedures. Given that theprocess of using ChatGPT reliably mines and tabulates diverse MOFsynthesis information in a unified format while using only narrativelanguage requiring no coding expertise, we anticipate that our ChatGPTChemistry Assistant will be very useful across various other chemistrysubdisciplines.</t>
  </si>
  <si>
    <t>[Zheng, Zhiling; Yaghi, Omar M.] Univ Calif Berkeley, Dept Chem, Berkeley, CA 94720 USA; [Zheng, Zhiling; Yaghi, Omar M.] Univ Calif Berkeley, Kavli Energy Nanosci Inst, Berkeley, CA 94720 USA; [Zheng, Zhiling; Borgs, Christian; Chayes, Jennifer T.; Yaghi, Omar M.] Univ Calif Berkeley, Bakar Inst Digital Mat Planet, Coll Comp Data Sci &amp; Soc, Berkeley, CA 94720 USA; [Borgs, Christian; Chayes, Jennifer T.] Univ Calif Berkeley, Dept Elect Engn &amp; Comp Sci, Berkeley, CA 94720 USA; [Chayes, Jennifer T.] Univ Calif Berkeley, Dept Math, Berkeley, CA 94720 USA; [Chayes, Jennifer T.] Univ Calif Berkeley, Dept Stat, Berkeley, CA 94720 USA; [Chayes, Jennifer T.] Univ Calif Berkeley, Sch Informat, Berkeley, CA 94720 USA; [Yaghi, Omar M.] KACST UC, King Abdulaziz City Sci &amp; Technol, Berkeley Ctr Excellence Nanomat Clean Energy Appli, Riyadh 11442, Saudi Arabia</t>
  </si>
  <si>
    <t>University of California System; University of California Berkeley; University of California System; University of California Berkeley; University of California System; University of California Berkeley; University of California System; University of California Berkeley; University of California System; University of California Berkeley; University of California System; University of California Berkeley; University of California System; University of California Berkeley</t>
  </si>
  <si>
    <t>Yaghi, OM (corresponding author), Univ Calif Berkeley, Dept Chem, Berkeley, CA 94720 USA.;Yaghi, OM (corresponding author), Univ Calif Berkeley, Kavli Energy Nanosci Inst, Berkeley, CA 94720 USA.;Yaghi, OM (corresponding author), Univ Calif Berkeley, Bakar Inst Digital Mat Planet, Coll Comp Data Sci &amp; Soc, Berkeley, CA 94720 USA.;Yaghi, OM (corresponding author), KACST UC, King Abdulaziz City Sci &amp; Technol, Berkeley Ctr Excellence Nanomat Clean Energy Appli, Riyadh 11442, Saudi Arabia.</t>
  </si>
  <si>
    <t>Defense Advanced Research Projects Agency (DARPA) [HR0011-21-C-0020]; National Institutes of Health (NIH) [5R01GM127627-04]; Kavli ENSI Graduate Student Fellowship; Bakar Institute of Digital Materials for the Planet (BIDMaP); OpenAI</t>
  </si>
  <si>
    <t>Defense Advanced Research Projects Agency (DARPA)(United States Department of DefenseDefense Advanced Research Projects Agency (DARPA)); National Institutes of Health (NIH)(United States Department of Health &amp; Human ServicesNational Institutes of Health (NIH) - USA); Kavli ENSI Graduate Student Fellowship; Bakar Institute of Digital Materials for the Planet (BIDMaP); OpenAI</t>
  </si>
  <si>
    <t>Z.Z. extends special gratitude to Jiayi Weng (OpenAI) for valuable discussions on harnessing the potential of ChatGPT. In addition, Z.Z. acknowledges the inspiring guidance and input from Kefan Dong (Stanford University), Long Lian (University of California, Berkeley), and Yifan Deng (Carnegie Mellon University), all of whom contributed to shaping the study's design and enhancing the performance of ChatGPT. We express our appreciation to Dr. Nakul Rampal from the Yaghi laboratory for insightful discussions. Our gratitude is also extended for the financial support received from the Defense Advanced Research Projects Agency (DARPA) under contract HR0011-21-C-0020. O.Z. acknowledges funding and extends thanks for the support provided by the National Institutes of Health (NIH) under grant 5R01GM127627-04. Additionally, Z.Z. is grateful for the financial support received through a Kavli ENSI Graduate Student Fellowship and the Bakar Institute of Digital Materials for the Planet (BIDMaP). This work is independently developed by the University of California, Berkeley research team and not affiliated, endorsed, or sponsored by OpenAI.</t>
  </si>
  <si>
    <t>0002-7863</t>
  </si>
  <si>
    <t>1520-5126</t>
  </si>
  <si>
    <t>J AM CHEM SOC</t>
  </si>
  <si>
    <t>J. Am. Chem. Soc.</t>
  </si>
  <si>
    <t>10.1021/jacs.3c05819</t>
  </si>
  <si>
    <t>P3CF7</t>
  </si>
  <si>
    <t>WOS:001052894400001</t>
  </si>
  <si>
    <t>Methnani, J; Latiri, I; Dergaa, I; Chamari, K; Ben Saad, H</t>
  </si>
  <si>
    <t>Methnani, Jabeur; Latiri, Imed; Dergaa, Ismail; Chamari, Karim; Ben Saad, Helmi</t>
  </si>
  <si>
    <t>INTERNATIONAL JOURNAL OF SPORTS PHYSIOLOGY AND PERFORMANCE</t>
  </si>
  <si>
    <t>Purpose: To investigate the accuracy of ChatGPT (Chat generative pretrained transformer), a large language model, in calculating sample size for sport-sciences and sports-medicine research studies. Methods: We conducted an analysis on 4 published papers (ie, examples 1-4) encompassing various study designs and approaches for calculating sample size in 3 sportscience and -medicine journals, including 3 randomized controlled trials and 1 survey paper. We provided ChatGPT with all necessary data such as mean, percentage SD, normal deviates (Z &amp; alpha;/2 and Z1-&amp; beta;), and study design. Prompting from 1 example has subsequently been reused to gain insights into the reproducibility of the ChatGPT response. Results: ChatGPT correctly calculated the sample size for 1 randomized controlled trial but failed in the remaining 3 examples, including the incorrect identification of the formula in one example of a survey paper. After interaction with ChatGPT, the correct sample size was obtained for the survey paper. Intriguingly, when the prompt from Example 3 was reused, ChatGPT provided a completely different sample size than its initial response. Conclusions: While the use of artificial-intelligence tools holds great promise, it should be noted that it might lead to errors and inconsistencies in sample-size calculations even when the tool is fed with the necessary correct information. As artificial-intelligence technology continues to advance and learn from human feedback, there is hope for improvement in sample-size calculation and other research tasks. However, it is important for scientists to exercise caution in utilizing these tools. Future studies should assess more advanced/powerful versions of this tool (ie, ChatGPT4).</t>
  </si>
  <si>
    <t>[Methnani, Jabeur] Univ Sousse, Fac Med Sousse, Lab Physiol Exercice &amp; Physiopathol Integre Mol Bi, Medecine &amp; St, LR19ES09, Sousse, Tunisia; [Methnani, Jabeur; Ben Saad, Helmi] Ksar said Univ Manouba, High Inst Sport &amp; Phys Educ, Ksar said, Tunisia; [Latiri, Imed] Univ Sousse, Res Lab LR12SP09 Heart Failure Farhat HACHED Hosp, Sousse, Tunisia; [Dergaa, Ismail] Primary Hlth Care Corp PHCC, Doha, Qatar; [Dergaa, Ismail] Orthoped &amp; Sports Med Hosp, FIFA Med Ctr Excellence, Aspetar, Doha, Qatar; [Dergaa, Ismail] Natl Observ Sport, Res Unit Phys Act Sport &amp; Hlth, UR18JS01, Tunis, Tunisia; [Chamari, Karim] Univ Sfax, High Inst Sport &amp; Phys Educ, Sfax, Tunisia; [Ben Saad, Helmi] Univ Sousse, Farhat HACHED Hosp, Serv Physiol &amp; Funct Explorat, Sousse, Tunisia</t>
  </si>
  <si>
    <t>Universite de Sousse; Universite de Sousse; Hamad Medical Corporation; Primary Health Care Corporation (PHCC); Aspetar Orthopaedic &amp; Sports Medicine Hospital; Universite de Sfax; Universite de Sousse; Hopital Farhat Hached</t>
  </si>
  <si>
    <t>Dergaa, I (corresponding author), Primary Hlth Care Corp PHCC, Doha, Qatar.;Dergaa, I (corresponding author), Orthoped &amp; Sports Med Hosp, FIFA Med Ctr Excellence, Aspetar, Doha, Qatar.;Dergaa, I (corresponding author), Natl Observ Sport, Res Unit Phys Act Sport &amp; Hlth, UR18JS01, Tunis, Tunisia.</t>
  </si>
  <si>
    <t>Phd.dergaa@gmail.com</t>
  </si>
  <si>
    <t>Dergaa, Ismail/AAB-8260-2021; Ben Saad, Helmi/C-8263-2018; Chamari, Karim/AAJ-7938-2021</t>
  </si>
  <si>
    <t>HUMAN KINETICS PUBL INC</t>
  </si>
  <si>
    <t>CHAMPAIGN</t>
  </si>
  <si>
    <t>1607 N MARKET ST, PO BOX 5076, CHAMPAIGN, IL 61820-2200 USA</t>
  </si>
  <si>
    <t>1555-0265</t>
  </si>
  <si>
    <t>1555-0273</t>
  </si>
  <si>
    <t>INT J SPORT PHYSIOL</t>
  </si>
  <si>
    <t>Physiology; Sport Sciences</t>
  </si>
  <si>
    <t>U5MB4</t>
  </si>
  <si>
    <t>WOS:001046960400001</t>
  </si>
  <si>
    <t>Williams, DO; Fadda, E</t>
  </si>
  <si>
    <t>Williams, Devin Ormsby; Fadda, Elisa</t>
  </si>
  <si>
    <t>GLYCOBIOLOGY</t>
  </si>
  <si>
    <t>The release of text-generating applications based on interactive Large Language Models (LLMs) in late 2022 triggered an unprecedented and ever-growing interest worldwide. The almost instantaneous success of LLMs stimulated lively discussions in public media and in academic fora alike not only on the value and potentials of such tools in all areas of knowledge and information acquisition and distribution but also on the dangers posed by their uncontrolled and indiscriminate use. This conversation is now particularly active in the higher education sector, where LLMs are seen as a potential threat to academic integrity at all levels, from facilitating cheating by students in assignments to plagiarizing academic writing in the case of researchers and administrators. Within this framework, we are interested in testing the boundaries of the LLM ChatGPT (www.openai.com) in areas of our scientific interest and expertise and in analyzing the results from different perspectives, i.e. of a final year BSc student, of a research scientist, and of a lecturer in higher education. To this end, in this paper, we present and discuss a systematic evaluation on how ChatGPT addresses progressively complex scientific writing tasks and exam-type questions in Carbohydrate Chemistry and Glycobiology. The results of this project allowed us to gain insight on: (i) the strengths and limitations of the ChatGPT model to provide relevant and (most importantly) correct scientific information, (ii) the format(s) and complexity of the query required to obtain the desired output, and (iii) strategies to integrate LLMs in teaching and learning.</t>
  </si>
  <si>
    <t>[Williams, Devin Ormsby; Fadda, Elisa] Maynooth Univ, Dept Chem, Maynooth, Kildare, Ireland; [Fadda, Elisa] Maynooth Univ, Hamilton Inst, Maynooth, Kildare, Ireland</t>
  </si>
  <si>
    <t>Fadda, E (corresponding author), Maynooth Univ, Dept Chem, Maynooth, Kildare, Ireland.</t>
  </si>
  <si>
    <t>DEVIN.ORMSBYWILLIAMS.2020@MUMAIL.IE; elisa.fadda@mu.ie</t>
  </si>
  <si>
    <t>Fadda, Elisa/0000-0002-2898-7770</t>
  </si>
  <si>
    <t>OXFORD UNIV PRESS INC</t>
  </si>
  <si>
    <t>CARY</t>
  </si>
  <si>
    <t>JOURNALS DEPT, 2001 EVANS RD, CARY, NC 27513 USA</t>
  </si>
  <si>
    <t>0959-6658</t>
  </si>
  <si>
    <t>1460-2423</t>
  </si>
  <si>
    <t>cwad064</t>
  </si>
  <si>
    <t>Biochemistry &amp; Molecular Biology</t>
  </si>
  <si>
    <t>X7AD3</t>
  </si>
  <si>
    <t>WOS:001052316000001</t>
  </si>
  <si>
    <t>Coughlin, MW; Bloom, JS; Nir, G; Antier, S; du Laz, TJ; van der Walt, S; Crellin-Quick, A; Culino, T; Duev, DA; Goldstein, DA; Healy, BF; Karambelkar, V; Lilleboe, J; Shin, KM; Singer, LP; Ahumada, T; Anand, S; Bellm, EC; Dekany, R; Graham, MJ; Kasliwal, MM; Kostadinova, I; Kiendrebeogo, RW; Kulkarni, SR; Jenkins, S; LeBaron, N; Mahabal, AA; Neill, JD; Parazin, B; Peloton, J; Perley, DA; Riddle, R; Rusholme, B; van Santen, J; Sollerman, J; Stein, R; Turpin, D; Wold, A; Amat, C; Bonnefon, A; Bonnefoy, A; Flament, M; Kerkow, F; Kishore, S; Jani, S; Mahanty, SK; Liu, C; Llinares, L; Makarison, J; Olliéric, A; Perez, I; Pont, L; Sharma, V</t>
  </si>
  <si>
    <t>Coughlin, Michael W.; Bloom, Joshua S.; Nir, Guy; Antier, Sarah; du Laz, Theophile Jegou; van der Walt, Stefan; Crellin-Quick, Arien; Culino, Thomas; Duev, Dmitry A.; Goldstein, Daniel A.; Healy, Brian F.; Karambelkar, Viraj; Lilleboe, Jada; Shin, Kyung Min; Singer, Leo P.; Ahumada, Tomas; Anand, Shreya; Bellm, Eric C.; Dekany, Richard; Graham, Matthew J.; Kasliwal, Mansi M.; Kostadinova, Ivona; Kiendrebeogo, R. Weizmann; Kulkarni, Shrinivas R.; Jenkins, Sydney; LeBaron, Natalie; Mahabal, Ashish A.; Neill, James D.; Parazin, B.; Peloton, Julien; Perley, Daniel A.; Riddle, Reed; Rusholme, Ben; van Santen, Jakob; Sollerman, Jesper; Stein, Robert; Turpin, D.; Wold, Avery; Amat, Carla; Bonnefon, Adrien; Bonnefoy, Adrien; Flament, Manon; Kerkow, Frank; Kishore, Sulekha; Jani, Shloke; Mahanty, Stephen K.; Liu, Celine; Llinares, Laura; Makarison, Jolyane; Ollieric, Alix; Perez, Ines; Pont, Lydie; Sharma, Vyom</t>
  </si>
  <si>
    <t>A Data Science Platform to Enable Time-domain Astronomy</t>
  </si>
  <si>
    <t>ASTROPHYSICAL JOURNAL SUPPLEMENT SERIES</t>
  </si>
  <si>
    <t>GAMMA-RAY BURST; ZWICKY TRANSIENT FACILITY; NEUTRON-STAR MERGER; GRAVITATIONAL-WAVE; REAL-TIME; ELECTROMAGNETIC COUNTERPART; INFRARED COUNTERPART; HUBBLE CONSTANT; LIGHT CURVES; FOLLOW-UP</t>
  </si>
  <si>
    <t>SkyPortal is an open-source software package designed to discover interesting transients efficiently, manage follow-up, perform characterization, and visualize the results. By enabling fast access to archival and catalog data, crossmatching heterogeneous data streams, and the triggering and monitoring of on-demand observations for further characterization, a SkyPortal-based platform has been operating at scale for &gt;2 yr for the Zwicky Transient Facility Phase II community, with hundreds of users, containing tens of millions of time-domain sources, interacting with dozens of telescopes, and enabling community reporting. While SkyPortal emphasizes rich user experiences across common front-end workflows, recognizing that scientific inquiry is increasingly performed programmatically, SkyPortal also surfaces an extensive and well-documented application programming interface system. From back-end and front-end software to data science analysis tools and visualization frameworks, the SkyPortal design emphasizes the reuse and leveraging of best-in-class approaches, with a strong extensibility ethos. For instance, SkyPortal now leverages ChatGPT large language models to generate and surface source-level human-readable summaries automatically. With the imminent restart of the next generation of gravitational-wave detectors, SkyPortal now also includes dedicated multimessenger features addressing the requirements of rapid multimessenger follow-up: multitelescope management, team/group organizing interfaces, and crossmatching of multimessenger data streams with time-domain optical surveys, with interfaces sufficiently intuitive for newcomers to the field. This paper focuses on the detailed implementations, capabilities, and early science results that establish SkyPortal as a community software package ready to take on the data science challenges and opportunities presented by this next chapter in the multimessenger era.</t>
  </si>
  <si>
    <t>[Coughlin, Michael W.; Healy, Brian F.; Lilleboe, Jada; Kiendrebeogo, R. Weizmann; Parazin, B.; Kerkow, Frank; Jani, Shloke; Mahanty, Stephen K.; Sharma, Vyom] Univ Minnesota, Sch Phys &amp; Astron, Minneapolis, MN 55455 USA; [Bloom, Joshua S.; Nir, Guy; LeBaron, Natalie] Univ Calif Berkeley, Dept Astron, Berkeley, CA 94720 USA; [Bloom, Joshua S.; Nir, Guy] Lawrence Berkeley Natl Lab, 1 Cyclotron Rd,MS 50B 4206, Berkeley, MS USA; [Antier, Sarah] Univ Cote Azur, Artemis, Observatoire Cote Azur, Blvd Observatoire, F-06304 Nice, France; [du Laz, Theophile Jegou; Karambelkar, Viraj; Ahumada, Tomas; Anand, Shreya; Graham, Matthew J.; Kasliwal, Mansi M.; Kostadinova, Ivona; Stein, Robert; Kishore, Sulekha] CALTECH, Div Phys Math &amp; Astron, Pasadena, CA 91125 USA; [van der Walt, Stefan] Univ Calif Berkeley, Berkeley Inst Data Sci, Berkeley, CA 94720 USA; [Crellin-Quick, Arien; Duev, Dmitry A.; Goldstein, Daniel A.] Weights &amp; Biases Inc, 1479 Folsom St, San Francisco, CA 90063 USA; [Culino, Thomas; Amat, Carla; Bonnefon, Adrien; Bonnefoy, Adrien; Flament, Manon; Liu, Celine; Llinares, Laura; Makarison, Jolyane; Ollieric, Alix; Perez, Ines; Pont, Lydie] ESILV Ecole Superieure Ingenieurs Leonard Vinci, Paris, France; [Shin, Kyung Min] EnergyHub Inc, 41 Flatbush Ave,Suite 400A, Brooklyn, NY 11217 USA; [Singer, Leo P.] NASA Goddard Space Flight Ctr, Astroparticle Phys Lab, Code 661, Greenbelt, MD 20771 USA; [Bellm, Eric C.] Univ Washington, DIRAC Inst, Dept Astron, 3910 15th Ave NE, Seattle, WA 98195 USA; [Dekany, Richard; Riddle, Reed] CALTECH, Caltech Opt Observatories, Pasadena, CA 91125 USA; [Kiendrebeogo, R. Weizmann] Univ Joseph KI ZERBO, Lab Phys &amp; Chim Environm, Ouagadougou, Burkina Faso; [Kulkarni, Shrinivas R.] CALTECH, Owens Valley Radio Observ, 249 17, Pasadena, CA 91125 USA; [Jenkins, Sydney] MIT, Dept Phys, 77 Massachusetts Ave, Cambridge, MA 02139 USA; [Mahabal, Ashish A.] CALTECH, Div Phys Math &amp; Astron, Pasadena, CA 91125 USA; [Mahabal, Ashish A.] CALTECH, Ctr Data Driven Discovery, Pasadena, CA 91125 USA; [Parazin, B.] Northeastern Univ, Boston, MA 02115 USA; [Peloton, Julien] Univ Paris Saclay, IJCLab, CNRS, IN2P3, Orsay, France; [Perley, Daniel A.] Liverpool John Moores Univ, Astrophys Res Inst, IC2,Liverpool Sci Pk,146 Brownlow Hill, Liverpool L3 5RF, Merseyside, England; [Rusholme, Ben] CALTECH, IPAC, 1200 E Calif Blvd, Pasadena, CA 91125 USA; [van Santen, Jakob] Deutsch Elekt Synchrotron DESY, Platanenallee 6, D-15738 Zeuthen, Germany; [Sollerman, Jesper] Stockholm Univ, Dept Astron, Oskar Klein Ctr, AlbaNova, SE-10691 Stockholm, Sweden; [Turpin, D.] Univ Paris Saclay, Univ Paris Cite, CNRS, CEA,AIM, Gif Sur Yvette, France</t>
  </si>
  <si>
    <t>Coughlin, MW (corresponding author), Univ Minnesota, Sch Phys &amp; Astron, Minneapolis, MN 55455 USA.</t>
  </si>
  <si>
    <t>cough052@umn.edu</t>
  </si>
  <si>
    <t>National Science Foundation; LSST Program - Heising-Simons Foundation; Gordon and Betty Moore Foundation; Northeastern Lawrence Co-op Fellowship [OAC-2117997]; LSST-France [PHY-2010970]; CNRS/IN2P3 [2021-2975]; IdEx Universite de Paris Cite; MITI CNRS Sciences participative program; National Science Foundation; Caltech; IPAC [ANR-18-IDEX-0001]; Weizmann Institute of Science; Oskar Klein Center at Stockholm University [AST-2034437]; University of Maryland; Deutsches Elektronen-Synchrotron; Humboldt University; TANGO Consortium of Taiwan; University of Wisconsin at Milwaukee; Trinity College Dublin; Lawrence Livermore National Laboratories; IN2P3; University of Warwick; Ruhr University Bochum; Northwestern University</t>
  </si>
  <si>
    <t>National Science Foundation(National Science Foundation (NSF)); LSST Program - Heising-Simons Foundation; Gordon and Betty Moore Foundation(Gordon and Betty Moore Foundation); Northeastern Lawrence Co-op Fellowship; LSST-France; CNRS/IN2P3(Centre National de la Recherche Scientifique (CNRS)); IdEx Universite de Paris Cite; MITI CNRS Sciences participative program; National Science Foundation(National Science Foundation (NSF)); Caltech; IPAC; Weizmann Institute of Science; Oskar Klein Center at Stockholm University; University of Maryland; Deutsches Elektronen-Synchrotron; Humboldt University; TANGO Consortium of Taiwan; University of Wisconsin at Milwaukee; Trinity College Dublin; Lawrence Livermore National Laboratories(United States Department of Energy (DOE)); IN2P3; University of Warwick; Ruhr University Bochum; Northwestern University</t>
  </si>
  <si>
    <t>The authors appreciate comments from Dave Coulter, Fabian Schussler, and the anomymous referee on an initial draft of this paper.M.W.C., J.L., and V.S. are supported by the National Science Foundation with grant No. OAC-2117997; M.W.C. is also supported by PHY-2010970. M.W.C. and R.W.K. were supported by the Preparing for Astrophysics with LSST Program, funded by the Heising-Simons Foundation through grant 2021-2975, and administered by Las Cumbres Observatory. The Gordon and Betty Moore Foundation, through both the Data-driven Investigator Program and a dedicated grant to develop SkyPortal, provided critical funding for this project without which this project could not have succeeded. J.S.B., G.N., A.C-Q., and D.A.D. were partially supported by the Gordon and Betty Moore Foundation. B.P. thanks the Northeastern Lawrence Co-op Fellowship for their continuous support. J.P. thanks LSST-France and CNRS/IN2P3 for supporting Fink. The Kilonova-Catcher program is supported by the IdEx Universite de Paris Cite ANR-18-IDEX-0001 and the MITI CNRS Sciences participative program.Based on observations obtained with the Samuel Oschin Telescope 48 inch and the 60 inch Telescope at the Palomar Observatory as part of the Zwicky Transient Facility project. ZTF is supported by the National Science Foundation under grant No. AST-2034437 and a collaboration including Caltech, IPAC, the Weizmann Institute of Science, the Oskar Klein Center at Stockholm University, the University of Maryland, Deutsches Elektronen-Synchrotron and Humboldt University, the TANGO Consortium of Taiwan, the University of Wisconsin at Milwaukee, Trinity College Dublin, Lawrence Livermore National Laboratories, IN2P3, University of Warwick, Ruhr University Bochum and Northwestern University. Operations are conducted by COO, IPAC, and UW.</t>
  </si>
  <si>
    <t>0067-0049</t>
  </si>
  <si>
    <t>1538-4365</t>
  </si>
  <si>
    <t>ASTROPHYS J SUPPL S</t>
  </si>
  <si>
    <t>Astrophys. J. Suppl. Ser.</t>
  </si>
  <si>
    <t>AUG 1</t>
  </si>
  <si>
    <t>10.3847/1538-4365/acdee1</t>
  </si>
  <si>
    <t>O1OV4</t>
  </si>
  <si>
    <t>Green Published, gold, Green Submitted</t>
  </si>
  <si>
    <t>WOS:001041591800001</t>
  </si>
  <si>
    <t>Fransen, E; Cassiers, LLM; Chubar, V; Gilles, A; Van Rompaey, V; van der Werf, I; Van de Heyning, P; Claes, S; Sabbe, B; Kooy, RF; Van Den Eede, F</t>
  </si>
  <si>
    <t>Fransen, Erik; Cassiers, Laura L. M.; Chubar, Viktoriia; Gilles, Annick; Van Rompaey, Vincent; van der Werf, Ilse; Van de Heyning, Paul; Claes, Stephan; Sabbe, Bernard; Kooy, R. Frank; Van Den Eede, Filip</t>
  </si>
  <si>
    <t>Differential effect of panic on the DNA methylation of the glucocorticoid receptor gene exon 1F in chronic subjective tinnitus with distress</t>
  </si>
  <si>
    <t>PSYCHIATRIC GENETICS</t>
  </si>
  <si>
    <t>DNA methylation; glucocorticoid receptor; glucocorticoid receptor gene; mRNA expression; panic; tinnitus</t>
  </si>
  <si>
    <t>CHRONIC-FATIGUE-SYNDROME; CHRONIC STRESS; AXIS; DISORDERS; ANXIETY; HYPOMETHYLATION</t>
  </si>
  <si>
    <t>Objective Tinnitus can be regarded as a chronic stressor, leading to dysregulation of the hypothalamic-pituitary-adrenal (HPA) axis. There is important comorbidity with anxiety, particularly panic, potentially associated with differences in HPA axis functioning and methylation patterns of HPA axis-related genes. This study examines DNA methylation of the glucocorticoid receptor gene (NR3C1) exon 1F in adults with chronic subjective tinnitus and the possible differential effect of panic. Methods In a well characterized tinnitus sample (n = 22, half of which had co-occurring panic attacks), and unaffected controls (n = 31) methylation patterns of the CpG sites were determined using pyrosequencing and compared between groups through linear mixed models. Gene expression was determined using quantitative PCR on mRNA. Results Comparing the combined tinnitus groups to the control group, no DNA methylation differences were observed; however, the tinnitus group with panic attacks showed consistently higher mean methylation values across all CpGs compared to the tinnitus-only and the control group (P = 0.03 following Tukey correction), which became even more pronounced when accounting for childhood trauma (P = 0.012). Moreover, a significant positive correlation was found between methylation of the CpG7 site and the Beck Anxiety Inventory total score (P = 0.001) in the total population. NR3C1-1F expression was not significantly different between the three groups. Conclusion Panic is associated with higher DNA methylation of the NR3C1 exon 1F in adults with chronic subjective tinnitus, consistent with the reduced negative glucocorticoid feedback and HPA axis hyperfunction observed in individuals with panic disorder. Copyright (c) 2023 The Author(s). Published by Wolters Kluwer Health, Inc.</t>
  </si>
  <si>
    <t>[Fransen, Erik; van der Werf, Ilse; Kooy, R. Frank] Univ Antwerp, Ctr Med Genet, Antwerp, Belgium; [Fransen, Erik] Univ Antwerp, StatUa Ctr Stat, Antwerp, Belgium; [Cassiers, Laura L. M.; Van Den Eede, Filip] Univ Antwerp Hosp, Dept Psychiat, Edegem, Belgium; [Cassiers, Laura L. M.; Sabbe, Bernard; Van Den Eede, Filip] Univ Antwerp, Collaborat Antwerp Psychiat Res Inst, Fac Med &amp; Hlth Sci, Antwerp, Belgium; [Chubar, Viktoriia] Katholieke Univ Leuven, Mind Body Res Unit, Leuven, Belgium; [Gilles, Annick; Van Rompaey, Vincent; Van de Heyning, Paul] Univ Antwerp Hosp, Dept Otorhinolaryngol, Edegem, Belgium; [Van de Heyning, Paul] Univ Antwerp, Dept Translat Neurosci, Antwerp, Belgium; [Claes, Stephan] Katholieke Univ Leuven, Univ Psychiat Ctr, Kortenberg, Belgium</t>
  </si>
  <si>
    <t>University of Antwerp; University of Antwerp; University of Antwerp; University of Antwerp; KU Leuven; University of Antwerp; University of Antwerp; KU Leuven</t>
  </si>
  <si>
    <t>Cassiers, LLM (corresponding author), Univ Antwerp Hosp, Dept Psychiat, Edegem, Belgium.;Cassiers, LLM (corresponding author), Univ Antwerp, Collaborat Antwerp Psychiat Res Inst, Fac Med &amp; Hlth Sci, Antwerp, Belgium.;Cassiers, LLM (corresponding author), Univ Antwerp, Campus Antwerp Univ Hosp, Dept Psychiat, Drie Eikenstr 655, B-2650 Antwerp, Belgium.</t>
  </si>
  <si>
    <t>laura.cassiers@uza.be</t>
  </si>
  <si>
    <t>Van Rompaey, Vincent/L-2450-2014</t>
  </si>
  <si>
    <t>Van Rompaey, Vincent/0000-0003-0912-7780; Chubar, Viktoria/0000-0001-8570-0791</t>
  </si>
  <si>
    <t>University of Antwerp [34351]; bequest [5739]</t>
  </si>
  <si>
    <t>University of Antwerp; bequest</t>
  </si>
  <si>
    <t>The authors would like to thank all the participants for their time and effort. We are also grateful to Amber Gerstmans, Esther Bartholomeus, Geert Vandeweyer, Jolien Huyghebaert and Sommen Manou for their vital practical support in the execution of the laboratory analyses. This study was supported by a bijzonder onderzoeksfonds grant from the University of Antwerp (project number 34351) and by the bequest with project number 5739.</t>
  </si>
  <si>
    <t>LIPPINCOTT WILLIAMS &amp; WILKINS</t>
  </si>
  <si>
    <t>TWO COMMERCE SQ, 2001 MARKET ST, PHILADELPHIA, PA 19103 USA</t>
  </si>
  <si>
    <t>0955-8829</t>
  </si>
  <si>
    <t>1473-5873</t>
  </si>
  <si>
    <t>PSYCHIAT GENET</t>
  </si>
  <si>
    <t>Psychiatr. Genet.</t>
  </si>
  <si>
    <t>AUG</t>
  </si>
  <si>
    <t>10.1097/YPG.0000000000000339</t>
  </si>
  <si>
    <t>Genetics &amp; Heredity; Neurosciences</t>
  </si>
  <si>
    <t>Genetics &amp; Heredity; Neurosciences &amp; Neurology</t>
  </si>
  <si>
    <t>S4PE9</t>
  </si>
  <si>
    <t>WOS:001070995600002</t>
  </si>
  <si>
    <t>French, F; Levi, D; Maczo, C; Simonaityte, A; Triantafyllidis, S; Varda, G</t>
  </si>
  <si>
    <t>French, Fiona; Levi, David; Maczo, Csaba; Simonaityte, Aiste; Triantafyllidis, Stefanos; Varda, Gergo</t>
  </si>
  <si>
    <t>MULTIMODAL TECHNOLOGIES AND INTERACTION</t>
  </si>
  <si>
    <t>artificial intelligence; OpenAI; ChatGPT; Dall-E; LLM; procedural generation; interaction design; game design; game programming; education</t>
  </si>
  <si>
    <t>Educators and students have shown significant interest in the potential for generative artificial intelligence (AI) technologies to support student learning outcomes, for example, by offering personalized experiences, 24 h conversational assistance, text editing and help with problem-solving. We review contemporary perspectives on the value of AI as a tool in an educational context and describe our recent research with undergraduate students, discussing why and how we integrated OpenAI tools ChatGPT and Dall-E into the curriculum during the 2022-2023 academic year. A small cohort of games programming students in the School of Computing and Digital Media at London Metropolitan University was given a research and development assignment that explicitly required them to engage with OpenAI. They were tasked with evaluating OpenAI tools in the context of game development, demonstrating a working solution and reporting on their findings. We present five case studies that showcase some of the outputs from the students and we discuss their work. This mode of assessment was both productive and popular, mapping to students' interests and helping to refine their skills in programming, problem-solving, critical reflection and exploratory design.</t>
  </si>
  <si>
    <t>[French, Fiona; Levi, David; Maczo, Csaba; Simonaityte, Aiste; Triantafyllidis, Stefanos; Varda, Gergo] London Metropolitan Univ, Sch Comp &amp; Digital Media, London N7 8DB, England</t>
  </si>
  <si>
    <t>London Metropolitan University</t>
  </si>
  <si>
    <t>French, F (corresponding author), London Metropolitan Univ, Sch Comp &amp; Digital Media, London N7 8DB, England.</t>
  </si>
  <si>
    <t>f.french@londonmet.ac.uk</t>
  </si>
  <si>
    <t>We would like to thank our reviewers for their insightful and constructive comments and advice, which have contributed to the preparation of this manuscript.</t>
  </si>
  <si>
    <t>2414-4088</t>
  </si>
  <si>
    <t>MULTIMODAL TECHNOLOG</t>
  </si>
  <si>
    <t>Multimodal Technol. Interaction</t>
  </si>
  <si>
    <t>Computer Science, Artificial Intelligence; Computer Science, Cybernetics; Computer Science, Information Systems</t>
  </si>
  <si>
    <t>Q3OM9</t>
  </si>
  <si>
    <t>gold, Green Accepted</t>
  </si>
  <si>
    <t>WOS:001056644500001</t>
  </si>
  <si>
    <t>Thida, M</t>
  </si>
  <si>
    <t>Thida, Myo</t>
  </si>
  <si>
    <t>ChatGPT; labour market analysis; skills identification; online job adverts; skills demand</t>
  </si>
  <si>
    <t>This paper presents a comprehensive analysis of labor market demands for Myanmar workers in Japan, and Thailand, focusing on opportunities for individuals without higher education degrees. Leveraging ChatGPT's text classification and summarization capabilities, we extracted vital insights from extensive job advertisements and social media groups. The dataset comprises 152 job advertisements from Thailand and 30 from Japan, collected in 2023. Our research provides a valuable snapshot of skill demands and job opportunities, offering insights for informed decision-making by both job seekers and international non-governmental organizations. The innovative approach of using ChatGPT highlights its efficacy in understanding labor market dynamics. These findings serve as a foundation for tailored interventions to bridge employment challenges faced by marginalized Myanmar youths.</t>
  </si>
  <si>
    <t>[Thida, Myo] Chiang Mai Univ, Dept Comp Engn, Chiang Mai, Thailand</t>
  </si>
  <si>
    <t>Chiang Mai University</t>
  </si>
  <si>
    <t>Thida, M (corresponding author), Chiang Mai Univ, Dept Comp Engn, Chiang Mai, Thailand.</t>
  </si>
  <si>
    <t>R5RS4</t>
  </si>
  <si>
    <t>WOS:001064929600001</t>
  </si>
  <si>
    <t>Yuan, WS; Hong, D; Luo, YX; Li, XH; Liu, FS; Liu, ZT; Liu, QJ</t>
  </si>
  <si>
    <t>Yuan, Wen-Shuo; Hong, Dan; Luo, Ying-Xi; Li, Xing-Han; Liu, Fu-Sheng; Liu, Zheng-Tang; Liu, Qi-Jun</t>
  </si>
  <si>
    <t>Pressure and temperature effects on the Raman spectra of LLM-105</t>
  </si>
  <si>
    <t>SPECTROCHIMICA ACTA PART A-MOLECULAR AND BIOMOLECULAR SPECTROSCOPY</t>
  </si>
  <si>
    <t>LLM-105; Phase transition; Quasi-harmonic approximation; Raman spectra; Vibrational properties</t>
  </si>
  <si>
    <t>1,1-DIAMINO-2,2-DINITROETHENE SINGLE-CRYSTALS; ENERGY DENSITY MATERIAL; ELECTRONIC-STRUCTURE; 2,6-DIAMINO-3,5-DINITROPYRAZINE-1-OXIDE; TRANSFORMATION; DERIVATIVES; RANGE</t>
  </si>
  <si>
    <t>Currently, only one crystal structure of LLM-105 (2,6-diamino-3,5-dinitropyrazine-1-oxide) (P21/n) has been discovered, and there are still debates on its phase transition point and phase diagram. Based on previous work, we performed crystal structure, Raman spectra, and vibrational properties calculations on LLM-105 crystal. Our results indicate that the crystal structure of LLM-105 remains stable until compressed to 49 GPa, beyond which it may undergo two phase transitions at pressure intervals of 49.0-49.1 GPa and 51.4-51.5 GPa, respectively. Analysis of Raman shift results suggests that these two phase transitions may be reversible, with an intermediate phase possibly acting as a transition phase. Additionally, based on the quasi-harmonic approximation, we fitted the experimental data of LLM-105 lattice expansion state, obtaining the volume at zero pressure and using it for Raman spectra calculations. The results demonstrated the accuracy of this quasi-harmonic approximation method in describing the redshift of Raman peaks during the heating process and the excitation ratio of Raman peaks in different wavenumber ranges.</t>
  </si>
  <si>
    <t>[Yuan, Wen-Shuo; Hong, Dan; Luo, Ying-Xi; Li, Xing-Han; Liu, Fu-Sheng; Liu, Qi-Jun] Southwest Jiaotong Univ, Sch Phys Sci &amp; Technol, Bond &amp; Band Engn Grp, Chengdu 610031, Peoples R China; [Hong, Dan] Chengdu Univ Tradit Chinese Med, Sch Intelligent Med, Liutai Ave 1166, Chengdu 611137, Peoples R China; [Liu, Zheng-Tang] Northwestern Polytech Univ, State Key Lab Solidificat Proc, Xian 710072, Peoples R China</t>
  </si>
  <si>
    <t>Southwest Jiaotong University; Chengdu University of Traditional Chinese Medicine; Northwestern Polytechnical University</t>
  </si>
  <si>
    <t>Hong, D; Liu, QJ (corresponding author), Southwest Jiaotong Univ, Sch Phys Sci &amp; Technol, Bond &amp; Band Engn Grp, Chengdu 610031, Peoples R China.</t>
  </si>
  <si>
    <t>18382927860@163.com; qijunliu@home.swjtu.edu.cn</t>
  </si>
  <si>
    <t>sun, huan/JEO-7152-2023</t>
  </si>
  <si>
    <t>Entrepreneurship Training Program; [202310613084]</t>
  </si>
  <si>
    <t>Entrepreneurship Training Program;</t>
  </si>
  <si>
    <t>This work was supported by the National Natural Science Foundation of China (Grant No. 12072299) , the Natural Science Foundation of Sichuan Province (Grant No. 2022NSFSC1802) , the 21th Key Laboratory Open Project of Southwest Jiaotong University (Grant No. ZD2022130094) , the Cultivation Program for the Excellent Doctoral Dissertation of Southwest Jiaotong University (Grant No. 2020YBPY17) , the Basic Research Project of Southwest Jiaotong University (No.2682023ZTPY009) , the National Undergraduate Innovation and Entrepreneurship Training Program (Grant No.202310613084) .r Entrepreneurship Training Program (Grant No.202310613084) .</t>
  </si>
  <si>
    <t>1386-1425</t>
  </si>
  <si>
    <t>1873-3557</t>
  </si>
  <si>
    <t>SPECTROCHIM ACTA A</t>
  </si>
  <si>
    <t>Spectroc. Acta Pt. A-Molec. Biomolec. Spectr.</t>
  </si>
  <si>
    <t>DEC 15</t>
  </si>
  <si>
    <t>10.1016/j.saa.2023.123170</t>
  </si>
  <si>
    <t>JUL 2023</t>
  </si>
  <si>
    <t>Spectroscopy</t>
  </si>
  <si>
    <t>Q6GB5</t>
  </si>
  <si>
    <t>WOS:001058475600001</t>
  </si>
  <si>
    <t>Alqahtani, T; Badreldin, HA; Alrashed, M; Alshaya, AI; Alghamdi, SS; bin Saleh, K; Alowais, SA; Alshaya, OA; Rahman, I; Al Yami, MS; Albekairy, AM</t>
  </si>
  <si>
    <t>Alqahtani, Tariq; Badreldin, Hisham A.; Alrashed, Mohammed; Alshaya, Abdulrahman I.; Alghamdi, Sahar S.; bin Saleh, Khalid; Alowais, Shuroug A.; Alshaya, Omar A.; Rahman, Ishrat; Al Yami, Majed S.; Albekairy, Abdulkareem M.</t>
  </si>
  <si>
    <t>The emergent role of artificial intelligence, natural learning processing, and large language models in higher education and research</t>
  </si>
  <si>
    <t>RESEARCH IN SOCIAL &amp; ADMINISTRATIVE PHARMACY</t>
  </si>
  <si>
    <t>Artificial intelligence; Pharmacy; Education; Research; Natural language processing; Large language models</t>
  </si>
  <si>
    <t>AUTHOR; BIAS</t>
  </si>
  <si>
    <t>Artificial Intelligence (AI) has revolutionized various domains, including education and research. Natural lan-guage processing (NLP) techniques and large language models (LLMs) such as GPT-4 and BARD have signifi-cantly advanced our comprehension and application of AI in these fields. This paper provides an in-depth introduction to AI, NLP, and LLMs, discussing their potential impact on education and research. By exploring the advantages, challenges, and innovative applications of these technologies, this review gives educators, re-searchers, students, and readers a comprehensive view of how AI could shape educational and research practices in the future, ultimately leading to improved outcomes. Key applications discussed in the field of research include text generation, data analysis and interpretation, literature review, formatting and editing, and peer review. AI applications in academics and education include educational support and constructive feedback, assessment, grading, tailored curricula, personalized career guidance, and mental health support. Addressing the challenges associated with these technologies, such as ethical concerns and algorithmic biases, is essential for maximizing their potential to improve education and research outcomes. Ultimately, the paper aims to contribute to the ongoing discussion about the role of AI in education and research and highlight its potential to lead to better outcomes for students, educators, and researchers.</t>
  </si>
  <si>
    <t>[Alqahtani, Tariq; Alghamdi, Sahar S.] King Saud bin Abdulaziz Univ Hlth Sci, Coll Pharm, Dept Pharmaceut Sci, Riyadh, Saudi Arabia; [Alqahtani, Tariq; Badreldin, Hisham A.; Alrashed, Mohammed; Alshaya, Abdulrahman I.; Alghamdi, Sahar S.; bin Saleh, Khalid; Alowais, Shuroug A.; Alshaya, Omar A.; Al Yami, Majed S.; Albekairy, Abdulkareem M.] King Abdullah Int Med Res Ctr, Riyadh, Saudi Arabia; [Badreldin, Hisham A.; Alshaya, Abdulrahman I.; bin Saleh, Khalid; Alowais, Shuroug A.; Alshaya, Omar A.; Al Yami, Majed S.; Albekairy, Abdulkareem M.] King Saud bin Abdulaziz Univ Hlth Sci, Coll Pharm, King Abdullah Int Med Res Ctr, Dept Pharm Practice, Riyadh, Saudi Arabia; [Badreldin, Hisham A.; Alrashed, Mohammed; Alshaya, Abdulrahman I.; bin Saleh, Khalid; Alowais, Shuroug A.; Alshaya, Omar A.; Al Yami, Majed S.; Albekairy, Abdulkareem M.] King Abdul Aziz Med City, Pharmaceut Care Dept, Natl Guard Hlth Affairs, Riyadh, Saudi Arabia; [Rahman, Ishrat] Princess Nourah bint Abdulrahman Univ, Coll Dent, Dept Basic Dent Sci, POB 84428, Riyadh 11671, Saudi Arabia; [Alqahtani, Tariq] KSAU HS, Coll Pharm, 2915 Al Haras Al Watani St, Riyadh 14611, Saudi Arabia</t>
  </si>
  <si>
    <t>Alqahtani, T (corresponding author), KSAU HS, Coll Pharm, 2915 Al Haras Al Watani St, Riyadh 14611, Saudi Arabia.</t>
  </si>
  <si>
    <t>Qahtanita@ksau-hs.edu.sa</t>
  </si>
  <si>
    <t>1551-7411</t>
  </si>
  <si>
    <t>1934-8150</t>
  </si>
  <si>
    <t>RES SOC ADMIN PHARM</t>
  </si>
  <si>
    <t>Res. Soc. Adm. Pharm.</t>
  </si>
  <si>
    <t>10.1016/j.sapharm.2023.05.016</t>
  </si>
  <si>
    <t>Public, Environmental &amp; Occupational Health; Pharmacology &amp; Pharmacy</t>
  </si>
  <si>
    <t>P5CH3</t>
  </si>
  <si>
    <t>WOS:001050843100001</t>
  </si>
  <si>
    <t>Li, HY; Gerkin, RC; Bakke, A; Norel, R; Cecchi, G; Laudamiel, C; Niv, MY; Ohla, K; Hayes, JE; Parma, V; Meyer, P</t>
  </si>
  <si>
    <t>Li, Hongyang; Gerkin, Richard C.; Bakke, Alyssa; Norel, Raquel; Cecchi, Guillermo; Laudamiel, Christophe; Niv, Masha Y.; Ohla, Kathrin; Hayes, John E.; Parma, Valentina; Meyer, Pablo</t>
  </si>
  <si>
    <t>Text-based predictions of COVID-19 diagnosis from self-reported chemosensory descriptions</t>
  </si>
  <si>
    <t>COMMUNICATIONS MEDICINE</t>
  </si>
  <si>
    <t>ODORS; SMELL</t>
  </si>
  <si>
    <t>Background There is a prevailing view that humans' capacity to use language to characterize sensations like odors or tastes is poor, providing an unreliable source of information. Methods Here, we developed a machine learning method based on Natural Language Processing (NLP) using Large Language Models (LLM) to predict COVID-19 diagnosis solely based on text descriptions of acute changes in chemosensation, i.e., smell, taste and chemesthesis, caused by the disease. The dataset of more than 1500 subjects was obtained from survey responses early in the COVID-19 pandemic, in Spring 2020. Results When predicting COVID-19 diagnosis, our NLP model performs comparably (AUC ROC similar to 0.65) to models based on self-reported changes in function collected via quantitative rating scales. Further, our NLP model could attribute importance of words when performing the prediction; sentiment and descriptive words such as smell, taste, sense, had strong contributions to the predictions. In addition, adjectives describing specific tastes or smells such as salty, sweet, spicy, and sour also contributed considerably to predictions. Conclusions Our results show that the description of perceptual symptoms caused by a viral infection can be used to fine-tune an LLM model to correctly predict and interpret the diagnostic status of a subject. In the future, similar models may have utility for patient verbatims from online health portals or electronic health records.</t>
  </si>
  <si>
    <t>[Li, Hongyang; Norel, Raquel; Cecchi, Guillermo; Meyer, Pablo] IBM TJ Watson Res Ctr, Hlth Care &amp; Life Sci, Yorktown Hts, NY 10598 USA; [Gerkin, Richard C.] Arizona State Univ, Sch Life Sci, Tempe, AZ USA; [Gerkin, Richard C.] Osmo, Cambridge, MA USA; [Bakke, Alyssa; Ohla, Kathrin; Hayes, John E.] Penn State Univ, Dept Food Sci, University Pk, PA USA; [Laudamiel, Christophe] DreamAir LLC, Dept Scent Engn, New York, NY USA; [Niv, Masha Y.] Hebrew Univ Jerusalem, Fac Agr Food &amp; Environm, Rehovot, Israel; [Ohla, Kathrin] Dsm Firmenich, Sci &amp; Res, Satigny, Switzerland; [Parma, Valentina] Monell Chem Senses Ctr, Philadelphia, PA USA</t>
  </si>
  <si>
    <t>International Business Machines (IBM); Arizona State University; Arizona State University-Tempe; Pennsylvania Commonwealth System of Higher Education (PCSHE); Pennsylvania State University; Pennsylvania State University - University Park; Hebrew University of Jerusalem; Monell Chemical Senses Center</t>
  </si>
  <si>
    <t>Meyer, P (corresponding author), IBM TJ Watson Res Ctr, Hlth Care &amp; Life Sci, Yorktown Hts, NY 10598 USA.</t>
  </si>
  <si>
    <t>pmeyerr@us.ibm.com</t>
  </si>
  <si>
    <t>Niv, Masha/0000-0001-8275-8795; Norel, Raquel/0000-0001-7737-4172</t>
  </si>
  <si>
    <t>Pennsylvania State University</t>
  </si>
  <si>
    <t>This work was supported financially with discretionary funds from the Pennsylvania State University (Penn State), including a gift from James and Helen Zallie given in support of Sensory Science at Penn State. We thank all GCCR members and the subjects that participated.</t>
  </si>
  <si>
    <t>2730-664X</t>
  </si>
  <si>
    <t>COMMUN MED-LONDON</t>
  </si>
  <si>
    <t>Communications Med.</t>
  </si>
  <si>
    <t>JUL 27</t>
  </si>
  <si>
    <t>10.1038/s43856-023-00334-5</t>
  </si>
  <si>
    <t>N5LS4</t>
  </si>
  <si>
    <t>WOS:001037431200001</t>
  </si>
  <si>
    <t>Sharpe, I; Kirkpatrick, SI; Smith, BT; Keown-Stoneman, CDG; Omand, JA; Vanderhout, S; Warren, C; Maguire, JL; Birken, CS; Anderson, LN</t>
  </si>
  <si>
    <t>Sharpe, Isobel; Kirkpatrick, Sharon I.; Smith, Brendan T.; Keown-Stoneman, Charles D. G.; Omand, Jessica A.; Vanderhout, Shelley; Warren, Christine; Maguire, Jonathon L.; Birken, Catherine S.; Anderson, Laura N.</t>
  </si>
  <si>
    <t>Validation of a parent proxy-reported beverage screener compared to a 24-hour dietary recall for the measurement of sugar-containing beverage intake among young children</t>
  </si>
  <si>
    <t>SWEETENED BEVERAGES; ASSESSMENT-TOOL; ASA24; RISK; FOOD; QUESTIONNAIRE; CONSUMPTION; RESOURCE; WEIGHT; ENERGY</t>
  </si>
  <si>
    <t>Measures that can provide reasonably accurate estimates of sugar-containing beverage (SCB) intake among children are needed. The primary objective of this study was to evaluate the relative validity of a short beverage screener (Nutrition and Health Questionnaire, NHQ) compared to a 24-hour recall (Automated Self-Administered 24-h (ASA24) Dietary Assessment Tool-Canada) for assessing parent proxy-reported daily SCB intake among children aged 4-14 years from the TARGet Kids! research network in Toronto, Canada. Children for whom a NHQ completed between March 2018 and June 2019 and an ASA24 completed within one year were included. A total of 471 parents who completed the NHQ beverage screener were also asked to complete the ASA24. One-hundred sixty-three completed the ASA24 and of this group, 109 were analyzed. Estimates of daily intake of 100% juices, sweetened drinks and soda, and total SCBs from the two measures were compared. The mean difference in beverage intake, Spearman correlations, and Bland-Altman plots were estimated for continuous measures. The kappa coefficient, sensitivity, and specificity were calculated for dichotomous measures of any daily intake versus none. The mean difference in total SCB intake between the NHQ and ASA24 was 0.14 cups/day (95% CI 0.01, 0.29) and the correlation was 0.43 (95% CI 0.26, 0.57). Sensitivity and specificity for any daily SCB intake were 0.63 and 0.76, respectively. Overall, parent proxy-reporting of children's total SCB intake from a beverage screener can provide reasonable estimates of SCB intake when detailed dietary assessment is not feasible.</t>
  </si>
  <si>
    <t>[Sharpe, Isobel; Anderson, Laura N.] McMaster Univ, Dept Hlth Res Methods Evidence &amp; Impact, Hamilton, ON, Canada; [Kirkpatrick, Sharon I.] Univ Waterloo, Sch Publ Hlth Sci, Waterloo, ON, Canada; [Smith, Brendan T.; Warren, Christine] Publ Hlth Ontario, Dept Hlth Promot Chron Dis &amp; Injury Prevent, Toronto, ON, Canada; [Smith, Brendan T.] Univ Toronto, Dalla Lana Sch Publ Hlth, Div Epidemiol, Toronto, ON, Canada; [Keown-Stoneman, Charles D. G.; Vanderhout, Shelley; Maguire, Jonathon L.] St Michaels Hosp, Li Ka Shing Knowledge Inst, Unity Hlth, Appl Hlth Res Ctr, Toronto, ON, Canada; [Keown-Stoneman, Charles D. G.] Univ Toronto, Dalla Lana Sch Publ Hlth, Div Biostat, Toronto, ON, Canada; [Omand, Jessica A.; Birken, Catherine S.; Anderson, Laura N.] Sick Kids Res Inst, Div Child Hlth Evaluat Sci CHES, Toronto, ON, Canada; [Vanderhout, Shelley; Maguire, Jonathon L.; Birken, Catherine S.] Univ Toronto, Fac Med, Dept Nutr Sci, Toronto, ON, Canada; [Maguire, Jonathon L.] St Michaels Hosp, Dept Pediat, Unity Hlth, Toronto, ON, Canada</t>
  </si>
  <si>
    <t>McMaster University; University of Waterloo; University of Toronto; University of Toronto; Saint Michaels Hospital Toronto; Li Ka Shing Knowledge Institute; University of Toronto; University of Toronto; Hospital for Sick Children (SickKids); University of Toronto; University of Toronto; Saint Michaels Hospital Toronto</t>
  </si>
  <si>
    <t>Anderson, LN (corresponding author), McMaster Univ, Dept Hlth Res Methods Evidence &amp; Impact, Hamilton, ON, Canada.;Anderson, LN (corresponding author), Sick Kids Res Inst, Div Child Hlth Evaluat Sci CHES, Toronto, ON, Canada.</t>
  </si>
  <si>
    <t>LN.Anderson@mcmaster.ca</t>
  </si>
  <si>
    <t>Duku, Eric/C-6552-2008</t>
  </si>
  <si>
    <t>Canadian Institutes of Health Research (CIHR) [SA2-152806]</t>
  </si>
  <si>
    <t>Canadian Institutes of Health Research (CIHR)(Canadian Institutes of Health Research (CIHR))</t>
  </si>
  <si>
    <t>We thank all of the participating families for their time and involvement in TARGet Kids! and are grateful to all practitioners who are currently involved in the TARGet Kids! practice-based research network. Members of the TARGet Kids! Collaboration: Co-Leads: Catherine S. Birken, MD (catherine.birken@sickkids.ca) and Jonathon L. Maguire, MD (jonathon.maguire@utoronto.ca,). Executive Committee: Christopher Allen, BSc; Laura N. Anderson, PhD; Danielle D'Annunzio, BA, LLM, PMP; Mateenah Jaleel, BSc; Charles Keown-Stoneman, PhD; Natricha Levy McFarlane, MPhil; Jessica A. Omand RD, PhD; and Sharon Thadani, MLA/T. Investigators and Trainees: Mary Aglipay, MSc; Imaan Bayoumi, MD MSc; Cornelia M. Borkhoff, PhD; Sarah Carsley, PhD; Alice Charach, MD; Katherine Cost, PhD; Curtis D'Hollander RD MSc; Anne Fuller, MD; Laura Kinlin, MD MPH; Michaela Kucab RD, MSc; Patricia Li, MD MSc; Pat Parkin, MD; Nav Persaud, MD MSc; Sarah Rae, BHSc, MSc; Izabela Socynska, RD MSc; Shelley Vanderhout, RD PhD; Leigh Vanderloo, PhD; and Peter Wong, MD PhD. Research Staff: Piyumi Konara Mudiyanselage, MSc; Xuedi Li, MSc; Jenny Liu, BHSc; Michelle Mitchell, BA; Yulika Yoshida-Montezuma, MPH; and Nusrat Zaffar, MBBS. Clinical Site Research Staff: Tiffany Bondoc, BSc, Trudy-Ann Buckley, BSc; Pamela Ruth Flores, MD; Kardelen Kurt, BSc; Sangeetha Loganathan, BPT; Tarandeep Mali, BSc; and Laurie Thompson, MLT. Parent Partners: Jennifer Batten; Jennifer Chan; John Clark; Amy Craig; Kim De Castris-Garcia; Sharon Dharman; Sarah Kelleher; Salimah Nasser; Tammara Pabon; Michelle Rhodes; Rafael Salsa; Julie Skelding; Daniel Stern; Kerry Stewart; Erika Sendra Tavares; Shannon Weir; and Maria Zaccaria Cho. Offord Centre for Child Studies Collaboration: Principal Investigator: Magdalena Janus, PhD; Co-investigator: Eric Duku, PhD; Research Team: Caroline Reid-Westoby, PhD; Patricia Raso, MSc; and Amanda Offord, MSc. Site Investigators: Emy Abraham, MD; Sara Ali, MD; Kelly Anderson, MD; Gordon Arbess, MD; Jillian Baker, MD; Tony Barozzino, MD; Sylvie Bergeron, MD; Gary Bloch, MD; Joey Bonifacio, MD; Ashna Bowry, MD; Caroline Calpin, MD; Douglas Campbell, MD; Sohail Cheema, MD; Elaine Cheng, MD; Brian Chisamore, MD; Evelyn Constantin, MD; Karoon Danayan, MD; Paul Das, MD; Viveka De Guerra, MD; Mary Beth Derocher, MD; Anh Do, MD; Kathleen Doukas, MD; Anne Egger, BScN; Allison Farber, MD; Amy Freedman, MD; Sloane Freeman, MD; Sharon Gazeley, MD; Karen Grewal, MD; Charlie Guiang, MD; Dan Ha, MD; Curtis Handford, MD; Laura Hanson, BScN, RN; Leah Harrington, MD; Sheila Jacobson, MD; Lukasz Jagiello, MD; Gwen Jansz, MD; Paul Kadar, MD; Lukas Keiswetter, MD; Tara Kiran, MD; Holly Knowles, MD; Bruce Kwok, MD; Piya Lahiry, MD; Sheila Lakhoo, MD; Margarita Lam-Antoniades, MD; Eddy Lau, MD; Denis Leduc, MD; Fok-Han Leung, MD; Alan Li, MD; Patricia Li, MD; Roy Male, MD; Aleks Meret, MD; Elise Mok, MD; Rosemary Moodie, MD; Katherine Nash, BScN, RN; James Owen, MD; Michael Peer, MD; Marty Perlmutar, MD; Navindra Persaud, MD; Andrew Pinto, MD; Michelle Porepa, MD; Vikky Qi, MD; Noor Ramji, MD; Danyaal Raza, MD; Katherine Rouleau, MD; Caroline Ruderman, MD; Janet Saunderson, MD; Vanna Schiralli, MD; Michael Sgro, MD; Hafiz Shuja, MD; Farah Siam, MD; Susan Shepherd, MD; Cinntha Srikanthan, MD; Carolyn Taylor, MD; Stephen Treherne, MD; Suzanne Turner, MD; Fatima Uddin, MD; Meta van den Heuvel, MD; Thea Weisdorf, MD; Peter Wong, MD; John Yaremko, MD; Ethel Ying, MD; Elizabeth Young, MD; and Michael Zajdman, MD.; Applied Health Research Centre: Esmot Ara Begum, PhD; Peter Juni, MD, University of Toronto, Gurpreet Lakhanpal, MSc, CCRP, PMP; Gerald Lebovic, PhD, University of Toronto, Ifeayinchukwu (Shawn) Nnorom, BSc; Marc Denzel Nunez, HBSc; Audra Stitt, MSc; and Kevin Thorpe, MMath. Mount Sinai Services Laboratory: Raya Assan, MSc, MLT; Homa Bondar, BSc; George S. Charames, PhD, FACMG; Andrea Djolovic, MSc, CCGC; Chelsea Gorscak-Dunn; Mary Hassan, MLT; and Rita Kandel, MD. We have received permission to acknowledge those named above.</t>
  </si>
  <si>
    <t>JUL 20</t>
  </si>
  <si>
    <t>e0288768</t>
  </si>
  <si>
    <t>10.1371/journal.pone.0288768</t>
  </si>
  <si>
    <t>N1YH0</t>
  </si>
  <si>
    <t>WOS:001035045000059</t>
  </si>
  <si>
    <t>Carraro, TD; Lichtemberg, PDF; Michailides, TJ; De Mio, LLM</t>
  </si>
  <si>
    <t>Carraro, Thiago de Aguiar; Lichtemberg, Paulo dos Santos Faria; Michailides, Themis J.; De Mio, Louise Larissa May</t>
  </si>
  <si>
    <t>Fungicide sensitivity of Colletotrichum isolates and efficacy in controlling persimmon anthracnose</t>
  </si>
  <si>
    <t>TROPICAL PLANT PATHOLOGY</t>
  </si>
  <si>
    <t>Chemical control; Diospyros kaki; Fruit disease; Immature fruit; Mature fruit</t>
  </si>
  <si>
    <t>GLOEOSPORIOIDES SPECIES COMPLEX; MONILINIA-FRUCTICOLA; STRAWBERRY FIELDS; BOTRYTIS-CINEREA; SDHI FUNGICIDES; REDUCED SENSITIVITY; THIOPHANATE-METHYL; CROSS-RESISTANCE; AZOXYSTROBIN; BIOLOGY</t>
  </si>
  <si>
    <t>To control persimmon anthracnose, fungicides are applied from flowering until fruit harvest. Systemic fungicides registered for this crop are mainly from the group of quinone outside inhibitors (QoIs) and demethylation inhibitors (DMIs), both presenting risks for resistance development. For this reason, sensitivity studies and fungicide efficacy tests are important to determine the levels of sensitivity of isolates from different Colletotrichum spp. from persimmon to fungicides. The objectives of this work were: (i) to investigate the sensitivity of Colletotrichum isolates obtained from persimmon twigs and flowers to registered and non-registered active ingredients; (ii) to evaluate the cross-resistance of Colletotrichum spp. among tested fungicide groups; and (iii) to test the efficacy of fungicides in controlling anthracnose on immature and mature detached fruit. There were differences between Colletotrichum spp. in levels of sensitivity to the active ingredients evaluated, with C. horii isolates being more sensitive to site-specific fungicides than C. chrysophilum, C. nymphaeae and C. melonis. There was a high risk of cross-resistance for the active ingredients of the QoIs, medium risk for the DMIs and multisite compounds, and low risk for the succinate dehydrogenase inhibitors (SDHIs). Negative cross-resistance correlation was observed for anilopyrimidines (APs). Anthracnose control in immature and mature fruit ex vivo varied between products. In general, isolates recovered from both twigs and flowers were sensitive to the fungicides tested. The SDHI fungicides were efficient in controlling Colletotrichum in the in vitro assay, appearing as an alternative to be tested in the control of the disease. Difenoconazole-based fungicides and mixed formulations of QoI and DMI were the most effective for controlling persimmon anthracnose both for immature and mature fruit.</t>
  </si>
  <si>
    <t>[Carraro, Thiago de Aguiar; De Mio, Louise Larissa May] Univ Fed Parana, Dept Fitotecnia &amp; Fitossanidade, Rua Funcionarios 1540, BR-80035050 Curitiba, PR, Brazil; [Lichtemberg, Paulo dos Santos Faria; Michailides, Themis J.] Univ Calif Davis, Kearney Agr Res &amp; Extens Ctr, Dept Plant Pathol, 9240 S Riverbend Ave, Parlier, CA 93648 USA; [Lichtemberg, Paulo dos Santos Faria] Bayer Crop Sci, Field Solut, 266 S Monroe Ave, Fresno, CA 93720 USA</t>
  </si>
  <si>
    <t>Universidade Federal do Parana; University of California System; University of California Davis; Bayer AG; Bayer CropScience</t>
  </si>
  <si>
    <t>Carraro, TD (corresponding author), Univ Fed Parana, Dept Fitotecnia &amp; Fitossanidade, Rua Funcionarios 1540, BR-80035050 Curitiba, PR, Brazil.</t>
  </si>
  <si>
    <t>paulo.lichtemberg@bayer.com; tjmichailides@ucanr.edu; maydemio@ufpr.br</t>
  </si>
  <si>
    <t>'Coordenacao de Aperfeicoamento de Pessoal de Nivel Superior-Brasil' (CAPES) [001]; National Council for Scientific and Technological Development (CNPq)/Brazil [306907/2017-8]</t>
  </si>
  <si>
    <t>'Coordenacao de Aperfeicoamento de Pessoal de Nivel Superior-Brasil' (CAPES)(Coordenacao de Aperfeicoamento de Pessoal de Nivel Superior (CAPES)); National Council for Scientific and Technological Development (CNPq)/Brazil(Conselho Nacional de Desenvolvimento Cientifico e Tecnologico (CNPQ))</t>
  </si>
  <si>
    <t>This study was financed in part by the 'Coordenacao de Aperfeicoamento de Pessoal de Nivel Superior-Brasil' (CAPES) and Finance Code 001. Co-author Louise Larissa received research fellowships from National Council for Scientific and Technological Development (CNPq)/Brazil (306907/2017-8). The authors would like to thank the laboratory team of Dr. Themis J. Michailides for excellent technical assistance, Dr. Walmes M. Zeviani for statistical analyses assistance, and Dr. Jhulia Gelain from Clemson University for assistance with English language editing.</t>
  </si>
  <si>
    <t>1983-2052</t>
  </si>
  <si>
    <t>TROP PLANT PATHOL</t>
  </si>
  <si>
    <t>Trop. Plant Pathol.</t>
  </si>
  <si>
    <t>2023 JUL 17</t>
  </si>
  <si>
    <t>10.1007/s40858-023-00594-5</t>
  </si>
  <si>
    <t>M6PK1</t>
  </si>
  <si>
    <t>WOS:001031413900002</t>
  </si>
  <si>
    <t>Lacey, MM; Smith, DP</t>
  </si>
  <si>
    <t>Lacey, Melissa M.; Smith, David P.</t>
  </si>
  <si>
    <t>MICROBIOLOGY AUSTRALIA</t>
  </si>
  <si>
    <t>Artificial intelligence (AI), once a subject of science fiction, is now a tangible, disruptive force in teaching and learning. In an educational setting, generative large language models (LLM), such as OpenAI's ChatGPT, perform and supplement tasks that usually require human thought, such as data analysis, understanding complex ideas, problem-solving, coding and producing written outputs. AI advances are moving quickly. From the emergence of ChatGPT 3.5 in November 2022, we have witnessed the arrival of other progressive language models, like OpenAI's GPT-4, Google's Bard AI and Microsoft's Bing AI. Most recently, AIs gained the ability to access real-time information, analyse images and are becoming directly embedded in many applications.</t>
  </si>
  <si>
    <t>[Lacey, Melissa M.; Smith, David P.] Sheffield Hallam Univ, Howard St, Sheffield S1 1WB, England</t>
  </si>
  <si>
    <t>Sheffield Hallam University</t>
  </si>
  <si>
    <t>Lacey, MM (corresponding author), Sheffield Hallam Univ, Howard St, Sheffield S1 1WB, England.</t>
  </si>
  <si>
    <t>m.lacey@shu.ac.uk</t>
  </si>
  <si>
    <t>CSIRO PUBLISHING</t>
  </si>
  <si>
    <t>CLAYTON</t>
  </si>
  <si>
    <t>UNIPARK, BLDG 1, LEVEL 1, 195 WELLINGTON RD, LOCKED BAG 10, CLAYTON, VIC 3168, AUSTRALIA</t>
  </si>
  <si>
    <t>1324-4272</t>
  </si>
  <si>
    <t>2201-9189</t>
  </si>
  <si>
    <t>MICROBIOL AUST</t>
  </si>
  <si>
    <t>Microbiol. Aust.</t>
  </si>
  <si>
    <t>Microbiology</t>
  </si>
  <si>
    <t>WOS:001027882700001</t>
  </si>
  <si>
    <t>Mafra, LLM Jr; Sunesen, I; Pires, E; Nascimento, SM; Alvarez, G; Mancera-Pineda, JE; Torres, G; Carnicer, O; Galindo, JAH; Ramirez, SS; Martinez-Goicoecheaj, A; Morales-Benavides, D; Valerio-Gonzalez, L</t>
  </si>
  <si>
    <t>Mafra Jr., Luiz L. Mafra; Sunesen, Ines; Pires, Estela; Nascimento, Silvia Mattos; Alvarez, Gonzalo; Mancera-Pineda, Jose Ernesto; Torres, Gladys; Carnicer, Olga; Galindo, Jose Alexis Huamani; Ramirez, Sonia Sanchez; Martinez-Goicoecheaj, Ana; Morales-Benavides, Dilcia; Valerio-Gonzalez, Lorelys</t>
  </si>
  <si>
    <t>Benthic harmful microalgae and their impacts in South America</t>
  </si>
  <si>
    <t>HARMFUL ALGAE</t>
  </si>
  <si>
    <t>BHAB; Benthic dinoflagellates; Ciguatera poisoning; Gambierdiscus; Prorocentrum; Ostreopsis</t>
  </si>
  <si>
    <t>OSTREOPSIS CF. OVATA; COOLIA-MALAYENSIS DINOPHYCEAE; SP-NOV DINOPHYCEAE; SAN ANDRES ISLAND; PROROCENTRUM-LIMA; MOLECULAR CHARACTERIZATION; PFIESTERIA-SHUMWAYAE; TOXIN PRODUCTION; COASTAL WATERS; CLIMATE-CHANGE</t>
  </si>
  <si>
    <t>Public awareness about Benthic Harmful Algal Blooms (BHABs) and their negative impacts has increased substantially over the past few decades. Even so, reports of BHABs remain relatively scarce in South America (SA). This paper provides a comprehensive overview of the current state of knowledge on BHABs in the continent, by integrating data from published articles, books, and technical reports. We recorded similar to 300 different occurrences of potentially toxic BHAB species over the Caribbean, Atlantic and Pacific coasts, mostly in marine (&gt;95%) but also in estuarine areas located from 12 degrees 36' N to 54 degrees 53' S. Over 70% of the data was published/released within the past 10 years, and similar to 85% were concentrated in Brazil, Venezuela, Ecuador and Colombia. Benthic species were mainly associated with macroalgae, seagrass and sediment. Incidental detection in the plankton was also relevant, mainly in places where studies targeting BHAB species are still rare, like Argentina, Uruguay, Chile and Peru. The study listed 31 infrageneric taxa of potentially toxic benthic dinoflagellates and eight of estuarine cyanobacteria occurring in SA, with the greatest species diversity recorded in the equatorial-tropical zone, mainly in northeastern Brazil (Atlantic), Venezuela and Colombia (Caribbean), and the Galapagos Islands, Ecuador (Pacific). Local strains of Amphidinium, Gambierdiscus, Coolia and Prorocentrum spp. produced toxic compounds of emerging concern. Prorocentrum lima species complex was the most common and widely distributed taxon, followed by Ostreopsis cf. ovata. In fact, these two dinoflagellates were associated with most BHAB events in SA. Whereas the former has caused the contamination of multiple marine organisms and cases of Diarrhetic Shellfish Poisoning in subtropical and temperate areas, the latter has been associated with faunal mortalities and is suspected of causing respiratory illness to beach users in tropical places. Ciguatera Poisoning has been reported in Colombia (similar to 240 cases; no deaths) and Venezuela (60 cases; two deaths), and may be also a risk in other places where Gambierdiscus spp. and Fukuyoa paulensis have been reported, such as the Galapagos Islands and the tropical Brazilian coast. Despite the recent advances, negative impacts from BHABs in SA are intensified by limited research/training funding, as well as the lack of official HAB monitoring and poor analytical capability for species identification and toxin detection in parts of the continent.</t>
  </si>
  <si>
    <t>[Mafra Jr., Luiz L. Mafra; Pires, Estela] Univ Fed Parana, Ctr Estudos Mar, Ave Anibal Khury, 2033,POB 61, BR-83255976 Pontal Do Parana, PR, Brazil; [Sunesen, Ines] FCNyM, Div Ficol Dr Sebastian Guarrera, Paseo Bosque S-N, RA-1900 La Plata, Argentina; [Sunesen, Ines] Consejo Nacl Invest Cient &amp; Tecn CONICET, RA-2290 Godoy Cruz, Buenos Aires, Argentina; [Nascimento, Silvia Mattos] Univ Fed Estado Rio De Janeiro, Lab Microalgas Marinhas, UNIRIO, Ave Pasteur, 458, Urca, BR-22290240 Rio De Janeiro, RJ, Brazil; [Alvarez, Gonzalo] Univ Catolica Norte, Fac Ciencias Mar, Dept Acuicultura, Coquimbo 1281, Chile; [Mancera-Pineda, Jose Ernesto] Univ Nacl Colombia, Fac Ciencias, Sede Bogota Dept Biol, Carrera 45 26-85, Bogota, Colombia; [Torres, Gladys] Inst Oceanog &amp; Antart Armada INOCAR, Via Puerto Maritimo, Ave 25 Julio, Guayaquil, Ecuador; [Carnicer, Olga] Univ Politecn Cartagena, Dept Ingn Quim &amp; Ambiental, Cartagena, Spain; [Galindo, Jose Alexis Huamani; Ramirez, Sonia Sanchez] Inst Mar Peru, Lab Fitoplancton &amp; Prod Primaria, Esq Gamarra &amp; Gral Valle S-N, Callao, Peru; [Martinez-Goicoecheaj, Ana] Direcc Nacl Recursos Acuat, Av Puerto S-N, Paloma, Uruguay; [Morales-Benavides, Dilcia; Valerio-Gonzalez, Lorelys] Univ Oriente, Escuela Ciencias Aplicadas Mar, Isla De Margarita, Venezuela</t>
  </si>
  <si>
    <t>Universidade Federal do Parana; Universidade Federal do Estado do Rio de Janeiro; Universidad Catolica del Norte; Universidad Nacional de Colombia; Universidad Politecnica de Cartagena; Instituto del Mar del Peru</t>
  </si>
  <si>
    <t>Mafra, LLM Jr (corresponding author), Univ Fed Parana, Ctr Estudos Mar, Ave Anibal Khury, 2033,POB 61, BR-83255976 Pontal Do Parana, PR, Brazil.</t>
  </si>
  <si>
    <t>luiz.mafra@ufpr.br</t>
  </si>
  <si>
    <t>Carnicer, Olga/E-2068-2018</t>
  </si>
  <si>
    <t>Carnicer, Olga/0000-0003-0821-5949; Mafra, Luiz/0000-0001-5822-3619; Alvarez Vergara, Gonzalo/0000-0001-5812-1559</t>
  </si>
  <si>
    <t>Universidad Nacional de La Plata; Consejo Nacional de Inves-tigaciones Cientificas y Tecnicas (CONICET, Argentina); Fundacao de Amparo a~Pesquisa do Estado do Rio de Janeiro (FAPERJ, Brazil); International Atomic Energy Agency</t>
  </si>
  <si>
    <t>Universidad Nacional de La Plata(National University of La Plata); Consejo Nacional de Inves-tigaciones Cientificas y Tecnicas (CONICET, Argentina)(Consejo Nacional de Investigaciones Cientificas y Tecnicas (CONICET)); Fundacao de Amparo a~Pesquisa do Estado do Rio de Janeiro (FAPERJ, Brazil)(Fundacao Carlos Chagas Filho de Amparo a Pesquisa do Estado do Rio De Janeiro (FAPERJ)); International Atomic Energy Agency(International Atomic Energy Agency)</t>
  </si>
  <si>
    <t>The authors wish to express their gratitude to the guest editors of this Special Issue for the motivation and encouragement, and the referees for their constructive criticism. We appreciate the institutional support of Universidad Nacional de La Plata and Consejo Nacional de Inves-tigaciones Cientificas y Tecnicas (CONICET, Argentina) to I.S., and the financial support of the Fundacao de Amparo a &amp; nbsp;Pesquisa do Estado do Rio de Janeiro (FAPERJ, Brazil) and the International Atomic Energy Agency, through research grants to S.M.N. and L.M.M., respectively.</t>
  </si>
  <si>
    <t>1568-9883</t>
  </si>
  <si>
    <t>1878-1470</t>
  </si>
  <si>
    <t>Harmful Algae</t>
  </si>
  <si>
    <t>10.1016/j.hal.2023.102478</t>
  </si>
  <si>
    <t>Marine &amp; Freshwater Biology</t>
  </si>
  <si>
    <t>O5EG4</t>
  </si>
  <si>
    <t>WOS:001044035300001</t>
  </si>
  <si>
    <t>Calafato, R</t>
  </si>
  <si>
    <t>Calafato, Raees</t>
  </si>
  <si>
    <t>ASIAN-PACIFIC JOURNAL OF SECOND AND FOREIGN LANGUAGE EDUCATION</t>
  </si>
  <si>
    <t>Motivation; Self-efficacy beliefs; Language learning strategies; Multilingual competence; Arabic; Foreign languages</t>
  </si>
  <si>
    <t>DYNAMIC-SYSTEMS; COMPLEX; PROFICIENCY; MODEL</t>
  </si>
  <si>
    <t>Research on the relationship between students' language learning motivation (LLM), language learning strategies (LLS), self-efficacy beliefs (SEB), and achievement in non-European languages has been both limited and overwhelmingly cross-sectional, often with little attention paid to their multilingualism. Combining complex dynamic systems and sociocultural perspectives, this article reports on a study that explored changes in the LLM, LLS, and SEB trajectories of two multilingual students taking Arabic at a university in Norway over two semesters, including how these trajectories, alongside their multilingual competence, related to their achievement in the course. Data were gathered through weekly semi-structured interviews and a rating scale-based log that the participants kept of their LLM and SEB, as well as their exam scores over two semesters. The results indicated that, although their LLS remained fairly consistent or grew more diversified, the participants were not completely successful in maintaining or boosting their LLM, SEB, or achievement. However, the use of more varied digital LLS appeared to prevent their LLM and SEB from further weakening. Moreover, participants' LLM and SEB trajectories were susceptible to changes based on different timescales in that mesogenetic events had a more pronounced effect on one participant while the other was more sensitive to microgenetic events. Finally, despite both participants being multilingual, they were unable to benefit from their multilingual competence past the first semester, indicating that not all manifestations of multilingual competence are useful over time, especially when such competence does not contain a multilingual morphosyntactic awareness component.</t>
  </si>
  <si>
    <t>[Calafato, Raees] Univ South Eastern Norway, Fac Humanities Sports &amp; Educ Sci, Dept Languages &amp; Literature Studies, Gronland 58, N-3045 Drammen, Norway</t>
  </si>
  <si>
    <t>University College of Southeast Norway</t>
  </si>
  <si>
    <t>Calafato, R (corresponding author), Univ South Eastern Norway, Fac Humanities Sports &amp; Educ Sci, Dept Languages &amp; Literature Studies, Gronland 58, N-3045 Drammen, Norway.</t>
  </si>
  <si>
    <t>Raees.Calafato@usn.no</t>
  </si>
  <si>
    <t>Calafato, Raees/V-9157-2017</t>
  </si>
  <si>
    <t>Calafato, Raees/0000-0001-8222-6772</t>
  </si>
  <si>
    <t>2363-5169</t>
  </si>
  <si>
    <t>ASIAN-PAC J SEC FOR</t>
  </si>
  <si>
    <t>Asian-Pac. J. Sec. Foreign Lang. Educ.</t>
  </si>
  <si>
    <t>JUL 7</t>
  </si>
  <si>
    <t>Education &amp; Educational Research; Linguistics</t>
  </si>
  <si>
    <t>L3PT0</t>
  </si>
  <si>
    <t>WOS:001022419300001</t>
  </si>
  <si>
    <t>Cross, J; Robinson, R; Devaraju, S; Vaughans, A; Hood, R; Kayalackakom, T; Honnavar, P; Naik, S; Sebastian, R</t>
  </si>
  <si>
    <t>Cross, Joseph; Robinson, Raymond; Devaraju, Sumanth; Vaughans, Andrea; Hood, Ricardo; Kayalackakom, Tarron; Honnavar, Prasanna; Naik, Sheetal; Sebastian, Roopa</t>
  </si>
  <si>
    <t>Transforming Medical Education: Assessing the Integration of ChatGPT Into Faculty Workflows at a Caribbean Medical School</t>
  </si>
  <si>
    <t>virtual assistant; survey; medical faculty; artificial intelligence; chatgpt; medical education</t>
  </si>
  <si>
    <t>Introduction: ChatGPT is a Large Language Model (LLM) which allows for natural language processing and interactions with users in a conversational style. Since its release in 2022, it has had a significant impact in many occupational fields, including medical education. We sought to gain insight into the extent and type of usage of ChatGPT at a Caribbean medical school, the American University of Antigua College of Medicine (AUA).Methods: We administered a questionnaire to 87 full-time faculty at the school via email. We quantified and made graphical representations of the results via Qualtrics Experience Management software (QualtricsXM, Qualtrics, Provo, UT). Survey results were investigated using bar graph comparisons of absolute numbers and percentages for various categories related to ChatGPT usage, and descriptive statistics for Likert scale questions.Results: We found an estimated 33% of faculty were currently using ChatGPT. There was broad acceptance of the program by those who were using it and most believed it should be an option for students. The primary task ChatGPT was being used for was multiple choice question (MCQ) generation. The primary concern faculty had was incorrect information being included in ChatGPT output. Conclusion: ChatGPT has been quickly adopted by a subset of the college faculty, demonstrating its growing acceptance. Given the level of approval expressed about the program, we believe ChatGPT will continue to form an important and expanding part of faculty workflows at AUA and in medical education in general.</t>
  </si>
  <si>
    <t>[Cross, Joseph; Sebastian, Roopa] Amer Univ Antigua, Biochem, Cell Biol &amp; Genet, St Johns, Antigua &amp; Barbu; [Cross, Joseph] Texas A&amp;M Coll Med, Microbial Pathogenesis &amp; Immunol, College Stn, TX 77843 USA; [Robinson, Raymond; Vaughans, Andrea; Hood, Ricardo] Amer Univ Antigua, Clin Sci, St Johns, Antigua &amp; Barbu; [Devaraju, Sumanth] Amer Univ Antigua, Family Med, St Johns, Antigua &amp; Barbu; [Kayalackakom, Tarron] Amer Univ Antigua, Med Educ &amp; Simulat, St Johns, Antigua &amp; Barbu; [Honnavar, Prasanna] Amer Univ Antigua, Microbiol, St Johns, Antigua &amp; Barbu; [Naik, Sheetal] Amer Univ Antigua, Physiol, St Johns, Antigua &amp; Barbu</t>
  </si>
  <si>
    <t>Texas A&amp;M University System; Texas A&amp;M University College Station; Texas A&amp;M Health Science Center</t>
  </si>
  <si>
    <t>Cross, J (corresponding author), Amer Univ Antigua, Biochem, Cell Biol &amp; Genet, St Johns, Antigua &amp; Barbu.;Cross, J (corresponding author), Texas A&amp;M Coll Med, Microbial Pathogenesis &amp; Immunol, College Stn, TX 77843 USA.</t>
  </si>
  <si>
    <t>cross148@gmail.com</t>
  </si>
  <si>
    <t>CROSS, JOSEPH/JNE-9555-2023; Honnavar, Prasanna/GQH-8352-2022</t>
  </si>
  <si>
    <t>JUL 5</t>
  </si>
  <si>
    <t>e41399</t>
  </si>
  <si>
    <t>10.7759/cureus.41399</t>
  </si>
  <si>
    <t>Q2MA0</t>
  </si>
  <si>
    <t>WOS:001055896400011</t>
  </si>
  <si>
    <t>de Curtò, J; de Zarzà, I; Roig, G; Cano, JC; Manzoni, P; Calafate, CT</t>
  </si>
  <si>
    <t>de Curto, J.; de Zarza, I.; Roig, Gemma; Cano, Juan Carlos; Manzoni, Pietro; Calafate, Carlos T.</t>
  </si>
  <si>
    <t>LLM-Informed Multi-Armed Bandit Strategies for Non-Stationary Environments</t>
  </si>
  <si>
    <t>multi-armed bandit; non-stationary environments; large language models; AI strategy optimization; GPT-3; 5-turbo; QLoRA</t>
  </si>
  <si>
    <t>In this paper, we introduce an innovative approach to handling the multi-armed bandit (MAB) problem in non-stationary environments, harnessing the predictive power of large language models (LLMs). With the realization that traditional bandit strategies, including epsilon-greedy and upper confidence bound (UCB), may struggle in the face of dynamic changes, we propose a strategy informed by LLMs that offers dynamic guidance on exploration versus exploitation, contingent on the current state of the bandits. We bring forward a new non-stationary bandit model with fluctuating reward distributions and illustrate how LLMs can be employed to guide the choice of bandit amid this variability. Experimental outcomes illustrate the potential of our LLM-informed strategy, demonstrating its adaptability to the fluctuating nature of the bandit problem, while maintaining competitive performance against conventional strategies. This study provides key insights into the capabilities of LLMs in enhancing decision-making processes in dynamic and uncertain scenarios.</t>
  </si>
  <si>
    <t>[de Curto, J.; de Zarza, I.; Cano, Juan Carlos; Manzoni, Pietro; Calafate, Carlos T.] Univ Politecn Valencia, Dept Informat Sistemas &amp; Comp, Valencia 46022, Spain; [de Curto, J.; de Zarza, I.; Roig, Gemma] GOETHE Univ Frankfurt Main, Informat &amp; Math, D-60323 Frankfurt, Germany; [de Curto, J.; de Zarza, I.] Univ Oberta Catalunya, Estudis Informat Multimedia &amp; Telecomunicacio, Barcelona 08018, Spain; [Roig, Gemma] Hessian Ctr Artificial Intelligence, D-64293 Darmstadt, Germany</t>
  </si>
  <si>
    <t>Universitat Politecnica de Valencia; Goethe University Frankfurt; UOC Universitat Oberta de Catalunya</t>
  </si>
  <si>
    <t>de Curtò, J (corresponding author), Univ Politecn Valencia, Dept Informat Sistemas &amp; Comp, Valencia 46022, Spain.;de Curtò, J (corresponding author), GOETHE Univ Frankfurt Main, Informat &amp; Math, D-60323 Frankfurt, Germany.;de Curtò, J (corresponding author), Univ Oberta Catalunya, Estudis Informat Multimedia &amp; Telecomunicacio, Barcelona 08018, Spain.</t>
  </si>
  <si>
    <t>decurto@em.uni-frankfurt.de; dezarza@em.uni-frankfurt.de; ucano@disca.upv.es; pmanzoni@disca.upv.es; calafate@disca.upv.es</t>
  </si>
  <si>
    <t>; Cano, Juan Carlos/K-2245-2014</t>
  </si>
  <si>
    <t>ERDF [PID2021-122580NB-I00, MCIN/AEI/10.13039/501100011033]; GOETHE-University Frankfurt am Main</t>
  </si>
  <si>
    <t>ERDF(European Union (EU)); GOETHE-University Frankfurt am Main</t>
  </si>
  <si>
    <t>JUL</t>
  </si>
  <si>
    <t>10.3390/electronics12132814</t>
  </si>
  <si>
    <t>M2MS7</t>
  </si>
  <si>
    <t>WOS:001028580200001</t>
  </si>
  <si>
    <t>LLM Adaptive PID Control for B5G Truck Platooning Systems</t>
  </si>
  <si>
    <t>platooning; coordination of vehicles; adaptive PID control; large language models; V2V communication; 5G and B5G systems</t>
  </si>
  <si>
    <t>SECURITY</t>
  </si>
  <si>
    <t>This paper presents an exploration into the capabilities of an adaptive PID controller within the realm of truck platooning operations, situating the inquiry within the context of Cognitive Radio and AI-enhanced 5G and Beyond 5G (B5G) networks. We developed a Deep Learning (DL) model that emulates an adaptive PID controller, taking into account the implications of factors such as communication latency, packet loss, and communication range, alongside considerations of reliability, robustness, and security. Furthermore, we harnessed a Large Language Model (LLM), GPT-3.5-turbo, to deliver instantaneous performance updates to the PID system, thereby elucidating its potential for incorporation into AI-enabled radio and networks. This research unveils crucial insights for augmenting the performance and safety parameters of vehicle platooning systems within B5G networks, concurrently underlining the prospective applications of LLMs within such technologically advanced communication environments.</t>
  </si>
  <si>
    <t>[de Zarza, I.; de Curto, J.; Roig, Gemma] GOETHE Univ Frankfurt Main, Informat &amp; Math, D-60323 Frankfurt, Germany; [de Zarza, I.; de Curto, J.; Calafate, Carlos T.] Univ Politecn Valencia, Dept Informat Sistemas &amp; Comp, Valencia 46022, Spain; [de Zarza, I.; de Curto, J.] Univ Oberta Catalunya, Estudis Informat Multimedia &amp; Telecomunicacio, Barcelona 08018, Spain; [Roig, Gemma] HESSIAN Ctr AI Hessian AI, D-64293 Darmstadt, Germany</t>
  </si>
  <si>
    <t>de Curtò, J (corresponding author), GOETHE Univ Frankfurt Main, Informat &amp; Math, D-60323 Frankfurt, Germany.;de Curtò, J (corresponding author), Univ Politecn Valencia, Dept Informat Sistemas &amp; Comp, Valencia 46022, Spain.;de Curtò, J (corresponding author), Univ Oberta Catalunya, Estudis Informat Multimedia &amp; Telecomunicacio, Barcelona 08018, Spain.</t>
  </si>
  <si>
    <t>GOETHE-University Frankfurt am Main; ERDF; Ramp;D project; MCIN/AEI; [PID2021-122580NB-I00]</t>
  </si>
  <si>
    <t>GOETHE-University Frankfurt am Main; ERDF(European Union (EU)); Ramp;D project; MCIN/AEI;</t>
  </si>
  <si>
    <t>We thank the following funding sources from GOETHE-University Frankfurt am Main: DePP-Dezentrale Plannung von Platoons im Stra beta engueterverkehr mit Hilfe einer KI auf Basis einzelner LKW and the Center for Data Science &amp; AI. We acknowledge the support of R &amp; D project PID2021-122580NB-I00, funded by MCIN/AEI/10.13039/501100011033 and ERDF.</t>
  </si>
  <si>
    <t>10.3390/s23135899</t>
  </si>
  <si>
    <t>M6HC7</t>
  </si>
  <si>
    <t>WOS:001031197400001</t>
  </si>
  <si>
    <t>Khan, S; Fazil, M; Imoize, AL; Alabduallah, BI; Albahlal, BM; Alajlan, SA; Almjally, A; Siddiqui, T</t>
  </si>
  <si>
    <t>Khan, Shakir; Fazil, Mohd; Imoize, Agbotiname Lucky; Alabduallah, Bayan Ibrahimm; Albahlal, Bader M.; Alajlan, Saad Abdullah; Almjally, Abrar; Siddiqui, Tamanna</t>
  </si>
  <si>
    <t>Transformer Architecture-Based Transfer Learning for Politeness Prediction in Conversation</t>
  </si>
  <si>
    <t>SUSTAINABILITY</t>
  </si>
  <si>
    <t>politeness prediction; conversation AI; machine learning; transfer learning</t>
  </si>
  <si>
    <t>Politeness is an essential part of a conversation. Like verbal communication, politeness in textual conversation and social media posts is also stimulating. Therefore, the automatic detection of politeness is a significant and relevant problem. The existing literature generally employs classical machine learning-based models like naive Bayes and Support Vector-based trained models for politeness prediction. This paper exploits the state-of-the-art (SOTA) transformer architecture and transfer learning for respectability prediction. The proposed model employs the strengths of context-incorporating large language models, a feed-forward neural network, and an attention mechanism for representation learning of natural language requests. The trained representation is further classified using a softmax function into polite, impolite, and neutral classes. We evaluate the presented model employing two SOTA pre-trained large language models on two benchmark datasets. Our model outperformed the two SOTA and six baseline models, including two domain-specific transformer-based models using both the BERT and RoBERTa language models. The ablation investigation shows that the exclusion of the feed-forward layer displays the highest impact on the presented model. The analysis reveals the batch size and optimization algorithms as effective parameters affecting the model performance.</t>
  </si>
  <si>
    <t>[Khan, Shakir; Albahlal, Bader M.; Alajlan, Saad Abdullah; Almjally, Abrar] Imam Mohammad Ibn Saud Islamic Univ, Coll Comp &amp; Informat Sci, Riyadh 11432, Saudi Arabia; [Khan, Shakir] Chandigarh Univ, Univ Ctr Res &amp; Dev, Dept Comp Sci &amp; Engn, Mohali 140413, India; [Fazil, Mohd] Univ Limerick, Ctr Transformat Learning, Limerick V94 T9PX, Ireland; [Imoize, Agbotiname Lucky] Univ Lagos, Fac Engn, Dept Elect &amp; Elect Engn, Lagos 100213, Nigeria; [Alabduallah, Bayan Ibrahimm] Princess Nourah Bint Abdulrahman Univ, Coll Comp &amp; Informat Sci, Dept Informat Syst, Riyadh 11564, Saudi Arabia; [Siddiqui, Tamanna] Aligarh Muslim Univ, Dept Comp Sci, Aligarh 202002, India</t>
  </si>
  <si>
    <t>Imam Mohammad Ibn Saud Islamic University (IMSIU); Chandigarh University; University of Limerick; University of Lagos; Princess Nourah bint Abdulrahman University; Aligarh Muslim University</t>
  </si>
  <si>
    <t>Khan, S (corresponding author), Imam Mohammad Ibn Saud Islamic Univ, Coll Comp &amp; Informat Sci, Riyadh 11432, Saudi Arabia.;Khan, S (corresponding author), Chandigarh Univ, Univ Ctr Res &amp; Dev, Dept Comp Sci &amp; Engn, Mohali 140413, India.;Alabduallah, BI (corresponding author), Princess Nourah Bint Abdulrahman Univ, Coll Comp &amp; Informat Sci, Dept Informat Syst, Riyadh 11564, Saudi Arabia.</t>
  </si>
  <si>
    <t>sgkhan@imamu.edu.sa; bialabdullah@pnu.edu.sa</t>
  </si>
  <si>
    <t>Deanship of Scientific Research at Imam Mohammad Ibn Saud Islamic University (IMSIU) [RP-21-07-06]; Princess Nourah Bint Abdulrahman University [PNURSP2023R440]</t>
  </si>
  <si>
    <t>Deanship of Scientific Research at Imam Mohammad Ibn Saud Islamic University (IMSIU); Princess Nourah Bint Abdulrahman University(Princess Nourah bint Abdulrahman University)</t>
  </si>
  <si>
    <t>This research was funded by Deanship of Scientific Research at Mohammad Ibn Saud Islamic University (IMSIU) through grant number RP-21-07-06 and Princess Nourah Bint Abdulrahman University Researchers Supporting Project number (PNURSP2023R440).</t>
  </si>
  <si>
    <t>2071-1050</t>
  </si>
  <si>
    <t>SUSTAINABILITY-BASEL</t>
  </si>
  <si>
    <t>Sustainability</t>
  </si>
  <si>
    <t>10.3390/su151410828</t>
  </si>
  <si>
    <t>Green &amp; Sustainable Science &amp; Technology; Environmental Sciences; Environmental Studies</t>
  </si>
  <si>
    <t>Science &amp; Technology - Other Topics; Environmental Sciences &amp; Ecology</t>
  </si>
  <si>
    <t>N7PB5</t>
  </si>
  <si>
    <t>WOS:001038876500001</t>
  </si>
  <si>
    <t>Rau, A; Rau, S; Zöller, D; Fink, A; Tran, H; Wilpert, C; Nattenmuller, J; Neubauer, J; Bamberg, F; Reisert, M; Russe, MF</t>
  </si>
  <si>
    <t>Rau, Alexander; Rau, Stephan; Zoeller, Daniela; Fink, Anna; Tran, Hien; Wilpert, Caroline; Nattenmuller, Johanna; Neubauer, Jakob; Bamberg, Fabian; Reisert, Marco; Russe, Maximilian F.</t>
  </si>
  <si>
    <t>RADIOLOGY</t>
  </si>
  <si>
    <t>CLINICAL DECISION-SUPPORT</t>
  </si>
  <si>
    <t>Background: Radiologic imaging guidelines are crucial for accurate diagnosis and optimal patient care as they result in standardized decisions and thus reduce inappropriate imaging studies. Purpose: To investigate the potential to support clinical decision-making using an interactive chatbot designed to provide personalized imaging recommendations from American College of Radiology (ACR) appropriateness criteria documents using semantic similarity processing. Materials and Methods: The authors used 209 ACR appropriateness criteria documents as a specialized knowledge base and used LlamaIndex, a framework for connecting large language models with external data, and ChatGPT-3.5-turbo to create an appropriateness criteria context aware chatbot (accGPT). Fifty clinical case files were used to compare the performance of accGPT with that of general radiologists at varying experience levels and to generic ChatGPT-3.5 and 4.0. Results: The performance of all chatbots reached at least that of humans. For the 50 case files, accGPT performed best in providing correct recommendations that were usually appropriate according to the ACR criteria and also provided the highest proportion of consistently correct answers in comparison with the generic chatbots and radiologists. Furthermore, the chatbots provided substantial time and cost savings, with an average decision time of 5 minutes and a cost of _0.19 ($0.21) for all cases, compared with 50 minutes and _29.99 ($33.24) for radiologists (both P &lt; .01). Conclusion: ChatGPT-based algorithms have the potential to substantially improve the decision-making for clinical imaging studies in accordance with ACR guidelines. Specifically, the performance of a context-based algorithm was superior to that of its generic counterpart, demonstrating the value of tailoring artificial intelligence solutions to specific health care applications. (c) RSNA, 2023</t>
  </si>
  <si>
    <t>[Rau, Alexander; Rau, Stephan; Fink, Anna; Tran, Hien; Wilpert, Caroline; Nattenmuller, Johanna; Bamberg, Fabian; Russe, Maximilian F.] Univ Freiburg, Dept Diagnost &amp; Intervent Radiol, Breisacher Str 64, D-79106 Freiburg, Germany; [Rau, Alexander] Univ Freiburg, Dept Neuroradiol, Breisacher Str 64, D-79106 Freiburg, Germany; [Reisert, Marco] Univ Freiburg, Dept Diagnost &amp; Intervent Radiol, Med Phys, Breisacher Str 64, D-79106 Freiburg, Germany; [Reisert, Marco] Univ Freiburg, Med Ctr Univ Freiburg, Dept Stereotact &amp; Funct Neurosurg, Fac Med, Breisacher Str 64, D-79106 Freiburg, Germany; [Zoeller, Daniela] Univ Freiburg, Inst Med Biometry &amp; Stat, Fac Med, Freiburg, Germany; [Zoeller, Daniela] Univ Freiburg, Med Ctr, Freiburg, Germany; [Zoeller, Daniela] Univ Freiburg, Freiburg Ctr Data Anal &amp; Modelling, Freiburg, Germany</t>
  </si>
  <si>
    <t>University of Freiburg; University of Freiburg; University of Freiburg; University of Freiburg; University of Freiburg; University of Freiburg; University of Freiburg</t>
  </si>
  <si>
    <t>Russe, MF (corresponding author), Univ Freiburg, Dept Diagnost &amp; Intervent Radiol, Breisacher Str 64, D-79106 Freiburg, Germany.</t>
  </si>
  <si>
    <t>maximilian.russe@uniklinik-freiburg.de</t>
  </si>
  <si>
    <t>Wilpert, Caroline/JBI-8004-2023; Rau, Alexander/AAK-3948-2021</t>
  </si>
  <si>
    <t>Berta-Ottenstein-Programme for Clinician Scientists, Faculty of Medicine, University of Freiburg</t>
  </si>
  <si>
    <t>A.R. supported by Berta-Ottenstein-Programme for Clinician Scientists, Faculty of Medicine, University of Freiburg.</t>
  </si>
  <si>
    <t>RADIOLOGICAL SOC NORTH AMERICA (RSNA)</t>
  </si>
  <si>
    <t>OAK BROOK</t>
  </si>
  <si>
    <t>820 JORIE BLVD, SUITE 200, OAK BROOK, ILLINOIS, UNITED STATES</t>
  </si>
  <si>
    <t>0033-8419</t>
  </si>
  <si>
    <t>S0NG3</t>
  </si>
  <si>
    <t>WOS:001068217100029</t>
  </si>
  <si>
    <t>Agüero-Torales, M; López-Herrera, AG; Vilares, D</t>
  </si>
  <si>
    <t>Aguero-Torales, Marvin M.; Lopez-Herrera, Antonio G.; Vilares, David</t>
  </si>
  <si>
    <t>Multidimensional Affective Analysis for Low-Resource Languages: A Use Case with Guarani-Spanish Code-Switching Language</t>
  </si>
  <si>
    <t>COGNITIVE COMPUTATION</t>
  </si>
  <si>
    <t>Natural language processing; Sentiment analysis; Affective analysis; Code-switching; Low-resource languages</t>
  </si>
  <si>
    <t>SENTIMENT ANALYSIS</t>
  </si>
  <si>
    <t>This paper focuses on text-based affective computing for Jopara, a code-switching language that combines Guarani and Spanish. First, we collected a dataset of tweets primarily written in Guarani and annotated them for three widely used dimensions in sentiment analysis: (a) emotion recognition, (b) humor detection, and (c) offensive language identification. Then, we developed several neural network models, including large language models specifically designed for Guarani, and compared their performance against off-the-shelf multilingual and Spanish pre-trained models for the aforementioned dimensions. Our experiments show that language models incorporating Guarani during pre-training or pre-fine-tuning consistently achieve the best results, despite limited resources (a single 24-GB GPU and only 800K tokens). Notably, even a Guarani BERT model with just two layers of Transformers shows a favorable balance between accuracy and computational power, likely due to the inherent low-resource nature of the task. We present a comprehensive overview of corpus creation and model development for low-resource languages like Guarani, particularly in the context of its code-switching with Spanish, resulting in Jopara. Our findings shed light on the challenges and strategies involved in analyzing affective language in such linguistic contexts.</t>
  </si>
  <si>
    <t>[Aguero-Torales, Marvin M.; Lopez-Herrera, Antonio G.] Univ Granada, Dept Comp Sci &amp; Artificial Intelligence, Calle Daniel Saucedo Aranda S-N, Granada 18071, Granada, Spain; [Vilares, David] Univ A Coruna, Dept Comp Sci &amp; Informat Technol, CITIC, Campus Elvina S-N, La Coruna 15008, A Coruna, Spain; [Aguero-Torales, Marvin M.] Global CoE Data Intelligence, Camino Cerro Gamos 1, Madrid 28224, Spain</t>
  </si>
  <si>
    <t>University of Granada; Universidade da Coruna</t>
  </si>
  <si>
    <t>Agüero-Torales, M (corresponding author), Univ Granada, Dept Comp Sci &amp; Artificial Intelligence, Calle Daniel Saucedo Aranda S-N, Granada 18071, Granada, Spain.;Agüero-Torales, M (corresponding author), Global CoE Data Intelligence, Camino Cerro Gamos 1, Madrid 28224, Spain.</t>
  </si>
  <si>
    <t>maguero@correo.ugr.es; lopez-herrera@decsai.ugr.es; david.vilares@udc.es</t>
  </si>
  <si>
    <t>FBBVA; SCANNER-UDC [PID2020-113230RB-C21]; MCIN/AEI; European Research Council (ERC); European Union [101100615]; Xunta de Galicia [ED431C 2020/11]; European Union (ERDF - Galicia 2014-2020 Program) [ED431G 2019/01]; University of Granada; Generalitat Valenciana; University of Alicante [IDIFEDER/2020/003]; European Research Council (ERC) [101100615] Funding Source: European Research Council (ERC)</t>
  </si>
  <si>
    <t>FBBVA(BBVA Foundation); SCANNER-UDC; MCIN/AEI; European Research Council (ERC)(European Research Council (ERC)Spanish Government); European Union(European Union (EU)); Xunta de Galicia(Xunta de Galicia); European Union (ERDF - Galicia 2014-2020 Program)(European Union (EU)Marie Curie Actions); University of Granada; Generalitat Valenciana(Center for Forestry Research &amp; Experimentation (CIEF)); University of Alicante; European Research Council (ERC)(European Research Council (ERC)Spanish Government)</t>
  </si>
  <si>
    <t>This work is supported by a 2020 Leonardo Grant for Researchers and Cultural Creators from the FBBVA. This paper has also received funding from grant SCANNER-UDC (PID2020-113230RB-C21) funded by MCIN/AEI/10.13039/501100011033, the European Research Council (ERC), which has supported this research under the European Union's Horizon Europe research and innovation programme (SALSA, grant agreement no. 101100615), Xunta de Galicia (ED431C 2020/11), and Centro de Investigacion de Galicia CITIC, funded by Xunta de Galicia and the European Union (ERDF - Galicia 2014-2020 Program), by grant ED431G 2019/01. Additionally, the research leading to these results received funding from the University of Granada, Generalitat Valenciana, and the University of Alicante (IDIFEDER/2020/003).</t>
  </si>
  <si>
    <t>1866-9956</t>
  </si>
  <si>
    <t>1866-9964</t>
  </si>
  <si>
    <t>COGN COMPUT</t>
  </si>
  <si>
    <t>Cogn. Comput.</t>
  </si>
  <si>
    <t>10.1007/s12559-023-10165-0</t>
  </si>
  <si>
    <t>JUN 2023</t>
  </si>
  <si>
    <t>Computer Science, Artificial Intelligence; Neurosciences</t>
  </si>
  <si>
    <t>Computer Science; Neurosciences &amp; Neurology</t>
  </si>
  <si>
    <t>O3JP9</t>
  </si>
  <si>
    <t>WOS:001020154100001</t>
  </si>
  <si>
    <t>Coeckelbergh, M; Gunkel, DJ</t>
  </si>
  <si>
    <t>Coeckelbergh, Mark; Gunkel, David J.</t>
  </si>
  <si>
    <t>ChatGPT: deconstructing the debate and moving it forward</t>
  </si>
  <si>
    <t>ChatGTP; Large language models; Ethics of AI; Real versus appearance distinction; Deconstruction</t>
  </si>
  <si>
    <t>Large language models such as ChatGPT enable users to automatically produce text but also raise ethical concerns, for example about authorship and deception. This paper analyses and discusses some key philosophical assumptions in these debates, in particular assumptions about authorship and language and-our focus-the use of the appearance/reality distinction. We show that there are alternative views of what goes on with ChatGPT that do not rely on this distinction. For this purpose, we deploy the two phased approach of deconstruction and relate our finds to questions regarding authorship and language in the humanities. We also identify and respond to two common counter-objections in order to show the ethical appeal and practical use of our proposal.</t>
  </si>
  <si>
    <t>[Coeckelbergh, Mark] Univ Vienna, Dept Philosophy, Vienna, Austria; [Gunkel, David J.] Northern Illinois Univ, Dept Commun, De Kalb, IL USA</t>
  </si>
  <si>
    <t>University of Vienna; Northern Illinois University</t>
  </si>
  <si>
    <t>Coeckelbergh, M (corresponding author), Univ Vienna, Dept Philosophy, Vienna, Austria.</t>
  </si>
  <si>
    <t>mark.coeckelbergh@univie.ac.at; dgunkel@niu.edu</t>
  </si>
  <si>
    <t>Coeckelbergh, Mark/0000-0001-9576-1002</t>
  </si>
  <si>
    <t>University of Vienna</t>
  </si>
  <si>
    <t>Open access funding provided by University of Vienna. No funding was received for writing this paper.</t>
  </si>
  <si>
    <t>2023 JUN 21</t>
  </si>
  <si>
    <t>10.1007/s00146-023-01710-4</t>
  </si>
  <si>
    <t>K1DD9</t>
  </si>
  <si>
    <t>WOS:001013911000001</t>
  </si>
  <si>
    <t>Robinson, A; Aggarwal, S</t>
  </si>
  <si>
    <t>Robinson, Alexander; Aggarwal Jr, Shaurya</t>
  </si>
  <si>
    <t>When Precision Meets Penmanship: ChatGPT and Surgery Documentation</t>
  </si>
  <si>
    <t>laparoscopic surgery; appendicectomy; nhs; chatgpt; surgical documentation</t>
  </si>
  <si>
    <t>ChatGPT (Chatbot Generative Pre-Trained Transformer) is an artificial intelligence with several potential applications in the field of medicine. As a large language model, it is particularly good at generating text. This study investigates the use of ChatGPT in constructing operation notes for laparoscopic appendicectomy, one of the most common surgical procedures in the UK. We prompted ChatGPT-4, the latest generation of ChatGPT, to produce operation notes for laparoscopic appendicectomy, which were then evaluated against 'Getting It Right First Time' (GIRFT) recommendations. GIRFT is an organisation that has collaborated with the National Health Service (NHS) to improve surgical documentation guidelines. Excluding certain items documented elsewhere in patient records, the generated notes were assessed against 30 key points in GIRFT recommendations. This process was repeated three times to obtain an average score. Our results showed that ChatGPT generated operation notes in seconds, with an average coverage of 78.8% (23.66 out of 30 points) of the GIRFT guidelines, surpassing average compliance with similar guidelines from the Royal College of Surgeons (RCS). However, the quality of ChatGPT's output was found to be dependent on the quality of the prompt, highlighting the need for verification of the generated content. Additionally, secure integration with electronic health records is required before ChatGPT can be adopted into the NHS.</t>
  </si>
  <si>
    <t>[Robinson, Alexander; Aggarwal Jr, Shaurya] Mid &amp; South Essex NHS Nat Hlth Serv Fdn Trust, Gen Surg, Chelmsford, England</t>
  </si>
  <si>
    <t>Robinson, A (corresponding author), Mid &amp; South Essex NHS Nat Hlth Serv Fdn Trust, Gen Surg, Chelmsford, England.</t>
  </si>
  <si>
    <t>alexander.robinson2@nhs.net</t>
  </si>
  <si>
    <t>JUN 17</t>
  </si>
  <si>
    <t>10.7759/cureus.40546</t>
  </si>
  <si>
    <t>N3BM0</t>
  </si>
  <si>
    <t>WOS:001035807800015</t>
  </si>
  <si>
    <t>Kocon, J; Cichecki, I; Kaszyca, O; Kochanek, M; Szydlo, D; Baran, J; Bielaniewicz, J; Gruza, M; Janz, A; Kanclerz, K; Kocon, A; Koptyra, B; Mieleszczenko-Kowszewicz, W; Milkowski, P; Oleksy, M; Piasecki, M; Radlinski, L; Wojtasik, K; Wozniak, S; Kazienko, P</t>
  </si>
  <si>
    <t>Kocon, Jan; Cichecki, Igor; Kaszyca, Oliwier; Kochanek, Mateusz; Szydlo, Dominika; Baran, Joanna; Bielaniewicz, Julita; Gruza, Marcin; Janz, Arkadiusz; Kanclerz, Kamil; Kocon, Anna; Koptyra, Bartlomiej; Mieleszczenko-Kowszewicz, Wiktoria; Milkowski, Piotr; Oleksy, Marcin; Piasecki, Maciej; Radlinski, Lukasz; Wojtasik, Konrad; Wozniak, Stanislaw; Kazienko, Przemyslaw</t>
  </si>
  <si>
    <t>ChatGPT: Jack of all trades, master of none</t>
  </si>
  <si>
    <t>ChatGPT; GPT-4; Natural language processing (NLP); Semantic NLP tasks; Pragmatic NLP tasks; Subjective NLP tasks; Natural language inference (NLI); Sentiment analysis; Offensive content; Emotion recognition; Humor detection; Stance detection; Word sense disambiguation (WSD); Question answering (QA); Model personalization; Text classification; SOTA analysis; Large language model; Prompting</t>
  </si>
  <si>
    <t>OpenAI has released the Chat Generative Pre-trained Transformer (ChatGPT) and revolutionized the approach in artificial intelligence to human-model interaction. The first contact with the chatbot reveals its ability to provide detailed and precise answers in various areas. Several publications on ChatGPT evaluation test its effectiveness on well-known natural language processing (NLP) tasks. However, the existing studies are mostly non-automated and tested on a very limited scale. In this work, we examined ChatGPT's capabilities on 25 diverse analytical NLP tasks, most of them subjective even to humans, such as sentiment analysis, emotion recognition, offensiveness, and stance detection. In contrast, the other tasks require more objective reasoning like word sense disambiguation, linguistic acceptability, and question answering. We also evaluated GPT-4 model on five selected subsets of NLP tasks. We automated ChatGPT and GPT-4 prompting process and analyzed more than 49k responses. Our comparison of its results with available State-of-the-Art (SOTA) solutions showed that the average loss in quality of the ChatGPT model was about 25% for zero-shot and few -shot evaluation. For GPT-4 model, a loss for semantic tasks is significantly lower than for ChatGPT. We showed that the more difficult the task (lower SOTA performance), the higher the ChatGPT loss. It especially refers to pragmatic NLP problems like emotion recognition. We also tested the ability to personalize ChatGPT responses for selected subjective tasks via Random Contextual Few-Shot Personalization, and we obtained significantly better user-based predictions. Additional qualitative analysis revealed a ChatGPT bias, most likely due to the rules imposed on human trainers by OpenAI. Our results provide the basis for a fundamental discussion of whether the high quality of recent predictive NLP models can indicate a tool's usefulness to society and how the learning and validation procedures for such systems should be established.</t>
  </si>
  <si>
    <t>[Kocon, Jan; Cichecki, Igor; Kaszyca, Oliwier; Kochanek, Mateusz; Szydlo, Dominika; Baran, Joanna; Bielaniewicz, Julita; Gruza, Marcin; Janz, Arkadiusz; Kanclerz, Kamil; Kocon, Anna; Koptyra, Bartlomiej; Mieleszczenko-Kowszewicz, Wiktoria; Milkowski, Piotr; Oleksy, Marcin; Piasecki, Maciej; Radlinski, Lukasz; Wojtasik, Konrad; Wozniak, Stanislaw; Kazienko, Przemyslaw] Wroclaw Univ Sci &amp; Technol, Dept Artificial Intelligence, Wyb Wyspianskiego 27, PL-50370 Wroclaw, Poland</t>
  </si>
  <si>
    <t>Wroclaw University of Science &amp; Technology</t>
  </si>
  <si>
    <t>Kocon, J (corresponding author), Wroclaw Univ Sci &amp; Technol, Dept Artificial Intelligence, Wyb Wyspianskiego 27, PL-50370 Wroclaw, Poland.</t>
  </si>
  <si>
    <t>jan.kocon@pwr.edu.pl; kazienko@pwr.edu.pl</t>
  </si>
  <si>
    <t>National Science Centre, Poland [2021/41/B/ST6/04471]; Polish Ministry of Education and Science, CLARIN-PL; European Regional Development Fund; Department of Artificial Intelligence, Wroclaw University of Science and Technology; Polish Ministry of Education and Science; European Union under the Horizon Europe; [POIR.04.02.00-00C002/19]; [POIR.01.01. 01-00-0288/22]; [101086321]</t>
  </si>
  <si>
    <t>National Science Centre, Poland(National Science Centre, Poland); Polish Ministry of Education and Science, CLARIN-PL; European Regional Development Fund(European Union (EU)); Department of Artificial Intelligence, Wroclaw University of Science and Technology; Polish Ministry of Education and Science(Ministry of Science and Higher Education, Poland); European Union under the Horizon Europe; ; ;</t>
  </si>
  <si>
    <t>This work was financed by (1) the National Science Centre, Poland, project no. 2021/41/B/ST6/04471 (JK, PK); (2) the Polish Ministry of Education and Science, CLARIN-PL; (3) the European Regional Development Fund as a part of the 2014-2020 Smart Growth Operational Programme, projects no. POIR.04.02.00-00C002/19 and POIR.01.01. 01-00-0288/22; (4) the statutory funds of the Department of Artificial Intelligence, Wroclaw University of Science and Technology; (5) the Polish Ministry of Education and Science within the programme International Projects Co-Funded; (6) the European Union under the Horizon Europe, grant no. 101086321 (OMINO). However, the views and opinions expressed are those of the author(s) only and do not necessarily reflect those of the European Union or the European Research Executive Agency. Neither the European Union nor European Research Executive Agency can be held responsible for them.</t>
  </si>
  <si>
    <t>10.1016/j.inffus.2023.101861</t>
  </si>
  <si>
    <t>L7RA5</t>
  </si>
  <si>
    <t>WOS:001025183100001</t>
  </si>
  <si>
    <t>Jiang, LY; Liu, XC; Nejatian, NP; Nasir-Moin, M; Wang, D; Abidin, A; Eaton, K; Riina, HA; Laufer, I; Punjabi, P; Miceli, M; Kim, NC; Orillac, C; Schnurman, Z; Livia, C; Weiss, H; Kurland, D; Neifert, S; Dastagirzada, Y; Kondziolka, D; Cheung, ATM; Yang, GC; Cao, M; Flores, M; Costa, AB; Aphinyanaphongs, Y; Cho, KYHY; Oermann, EK</t>
  </si>
  <si>
    <t>Jiang, Lavender Yao; Liu, Xujin Chris; Nejatian, Nima Pour; Nasir-Moin, Mustafa; Wang, Duo; Abidin, Anas; Eaton, Kevin; Riina, Howard Antony; Laufer, Ilya; Punjabi, Paawan; Miceli, Madeline; Kim, Nora C.; Orillac, Cordelia; Schnurman, Zane; Livia, Christopher; Weiss, Hannah; Kurland, David; Neifert, Sean; Dastagirzada, Yosef; Kondziolka, Douglas; Cheung, Alexander T. M.; Yang, Grace; Cao, Ming; Flores, Mona; Costa, Anthony B.; Aphinyanaphongs, Yindalon; Cho, Kyunghyun; Oermann, Eric Karl</t>
  </si>
  <si>
    <t>Health system-scale language models are all-purpose prediction engines</t>
  </si>
  <si>
    <t>Physicians make critical time-constrained decisions every day. Clinical predictive models can help physicians and administrators make decisions by forecasting clinical and operational events. Existing structured data-based clinical predictive models have limited use in everyday practice owing to complexity in data processing, as well as model development and deployment(1-3). Here we show that unstructured clinical notes from the electronic health record can enable the training of clinical language models, which can be used as all-purpose clinical predictive engines with low-resistance development and deployment. Our approach leverages recent advances in natural language processing(4,5) to train a large language model for medical language (NYUTron) and subsequently fine-tune it across a wide range of clinical and operational predictive tasks. We evaluated our approach within our health system for five such tasks: 30-day all-cause readmission prediction, in-hospital mortality prediction, comorbidity index prediction, length of stay prediction, and insurance denial prediction. We show that NYUTron has an area under the curve (AUC) of 78.7-94.9%, with an improvement of 5.36-14.7% in the AUC compared with traditional models. We additionally demonstrate the benefits of pretraining with clinical text, the potential for increasing generalizability to different sites through fine-tuning and the full deployment of our system in a prospective, single-arm trial. These results show the potential for using clinical language models in medicine to read alongside physicians and provide guidance at the point of care.</t>
  </si>
  <si>
    <t>[Jiang, Lavender Yao; Liu, Xujin Chris; Nasir-Moin, Mustafa; Riina, Howard Antony; Laufer, Ilya; Kim, Nora C.; Orillac, Cordelia; Schnurman, Zane; Livia, Christopher; Weiss, Hannah; Kurland, David; Neifert, Sean; Dastagirzada, Yosef; Kondziolka, Douglas; Cheung, Alexander T. M.; Yang, Grace; Cao, Ming; Oermann, Eric Karl] NYU Langone Hlth, Dept Neurosurg, New York, NY 10016 USA; [Jiang, Lavender Yao; Yang, Grace; Cao, Ming; Cho, Kyunghyun; Oermann, Eric Karl] NYU, Ctr Data Sci, New York, NY 10012 USA; [Liu, Xujin Chris] Tandon Sch Engn, Elect &amp; Comp Engn, New York, NY USA; [Nejatian, Nima Pour; Abidin, Anas; Flores, Mona; Costa, Anthony B.] NVIDIA, Santa Clara, CA USA; [Wang, Duo; Aphinyanaphongs, Yindalon] NYU Langone Hlth, Predict Analyt Unit, New York, NY USA; [Eaton, Kevin; Punjabi, Paawan; Miceli, Madeline] NYU Langone Hlth, Dept Internal Med, New York, NY USA; [Aphinyanaphongs, Yindalon] NYU Langone Hlth, Dept Populat Hlth, New York, NY USA; [Cho, Kyunghyun] Genentech Inc, Prescient Design, New York, NY USA; [Cho, Kyunghyun] NYU, Courant Inst Math Sci, New York, NY USA; [Cho, Kyunghyun] Canadian Inst Adv Res, Toronto, ON, Canada; [Oermann, Eric Karl] NYU Langone Hlth, Dept Radiol, New York, NY 10016 USA</t>
  </si>
  <si>
    <t>NYU Langone Medical Center; New York University; New York University; New York University Tandon School of Engineering; Nvidia Corporation; NYU Langone Medical Center; NYU Langone Medical Center; NYU Langone Medical Center; Roche Holding; Genentech; New York University; Canadian Institute for Advanced Research (CIFAR); NYU Langone Medical Center</t>
  </si>
  <si>
    <t>Oermann, EK (corresponding author), NYU Langone Hlth, Dept Neurosurg, New York, NY 10016 USA.;Oermann, EK (corresponding author), NYU, Ctr Data Sci, New York, NY 10012 USA.;Oermann, EK (corresponding author), NYU Langone Hlth, Dept Radiol, New York, NY 10016 USA.</t>
  </si>
  <si>
    <t>eric.oermann@nyulangone.org</t>
  </si>
  <si>
    <t>National Cancer Institute's Early Surgeon Scientist Program [3P30CA016087-41S1]; W.M.~Keck Foundation</t>
  </si>
  <si>
    <t>National Cancer Institute's Early Surgeon Scientist Program; W.M.~Keck Foundation(W.M. Keck Foundation)</t>
  </si>
  <si>
    <t>E.K.O. is supported by the National Cancer Institute's Early Surgeon Scientist Program (3P30CA016087-41S1) and the W.M. Keck Foundation. We would like to acknowledge J. Golfinos, whose vision and support made this project possible. We also would like to acknowledge our collaborators M. Costantino and K. Yie from the NYU Langone High-Performance Computing (HPC) team; without their tireless assistance in building and maintaining our GPU cluster, none of this research would have been possible. We would also like to thank D. Bar-Sagi and N. Mherabi, whose support for this research has made everything possible. We would like to thank B. Guzman from the NYU Langone Predictive Analytics Unit and V.J. Major from the NYU Grossman School of Medicine for their help with learning the SQL data structures used as part of this work. We would like to thank Y.(R.) Pang for reviewing and editing the initial manuscript. We would like to thank X. Yang from University of Florida for helping us with preprocessing and evaluating the i2b2 dataset. We thank S. Ciprut for helping with the REDCap survey and research administration for our team. We thank C. Fernandez-Granda, J. Kempe, V. Dhar, N. Wu, M. Barot, A. Chen, K. Link and F. Kwon for their valuable discussions.</t>
  </si>
  <si>
    <t>10.1038/s41586-023-06160-y</t>
  </si>
  <si>
    <t>M8CN9</t>
  </si>
  <si>
    <t>WOS:001005804900017</t>
  </si>
  <si>
    <t>Ammons, D; Gonzalez, D; Lu, MT; Rampersad, J</t>
  </si>
  <si>
    <t>Ammons, D.; Gonzalez, D.; Lu, M. T.; Rampersad, J.</t>
  </si>
  <si>
    <t>Assessment of Dermo Perkinsus marinus in the Southern Oyster from a High-Salinity Environment</t>
  </si>
  <si>
    <t>NORTH AMERICAN JOURNAL OF AQUACULTURE</t>
  </si>
  <si>
    <t>CRASSOSTREA-VIRGINICA GMELIN; EASTERN OYSTERS; POPULATION-GENETICS; LAGUNA MADRE; GULF; DISEASE; COAST</t>
  </si>
  <si>
    <t>The prevalence and intensity of dermo Perkinsus marinus were examined in the eastern oyster Crassostrea virginica southern oyster population within the high salinity (35 parts per thousand or greater) waters of South Texas' lower Laguna Madre (LLM). During 2017, 192 oysters from four collection sites (approximately 111 km(2) study area) were examined via culture for the presence of Perkinsus hypnospores. Additionally, dermo DNA was detected in oysters by PCR. The number of oysters infected (prevalence = 0.36), as well as the intensity of infection, were consistent within three of the four collection sites but varied between sites, suggesting that environmental differences influence P. marinus infection in the LLM. All sites showed an upward trend in the number of oysters infected as oyster size increased, yet the highest infection intensities were not found predominately in the larger oysters. Although the warm, high-salinity waters might be expected to be ideal for dermo infection, the relative number and intensity of infections were low for most sites, suggesting that dermo in the LLM may not pose a significant threat to commercial oyster culture and that the southern oyster may be uniquely suited for developing a strain of oysters suitable for offshore culture in the Gulf of Mexico.</t>
  </si>
  <si>
    <t>[Ammons, D.] Kaiman Farms, Los Fresnos, TX 78566 USA; [Gonzalez, D.; Rampersad, J.] Univ Texas Rio Grande Valley, Dept Chem, Edinburg, TX 78539 USA; [Lu, M. T.] Univ Texas Rio Grande Valley, Dept Teaching &amp; Learning, Edinburg, TX 78539 USA; [Rampersad, J.] Univ Texas Rio Grande Valley, Sch Earth Environm &amp; Marine Sci, Edinburg, TX 78539 USA</t>
  </si>
  <si>
    <t>University of Texas System; University of Texas Rio Grande Valley; University of Texas System; University of Texas Rio Grande Valley; University of Texas System; University of Texas Rio Grande Valley</t>
  </si>
  <si>
    <t>Rampersad, J (corresponding author), Univ Texas Rio Grande Valley, Dept Chem, Edinburg, TX 78539 USA.;Rampersad, J (corresponding author), Univ Texas Rio Grande Valley, Sch Earth Environm &amp; Marine Sci, Edinburg, TX 78539 USA.</t>
  </si>
  <si>
    <t>joanne.rampersadammons@utrgv.edu</t>
  </si>
  <si>
    <t>Howard Hughes Medical Institute [52007568]; U.S. Department of Agriculture National Institute of Food and Agriculture [2019-68017-29694]</t>
  </si>
  <si>
    <t>Howard Hughes Medical Institute(Howard Hughes Medical Institute); U.S. Department of Agriculture National Institute of Food and Agriculture(United States Department of Agriculture (USDA))</t>
  </si>
  <si>
    <t>This work was supported by The University of Texas-Rio Grande Valley Science Education Grant #52007568 from the Howard Hughes Medical Institute (support for D.G.) and by Agricultural and Food Research Initiative grant #2019-68017-29694 from the U.S. Department of Agriculture National Institute of Food and Agriculture. There is no conflict of interest declared in this article.</t>
  </si>
  <si>
    <t>1522-2055</t>
  </si>
  <si>
    <t>1548-8454</t>
  </si>
  <si>
    <t>N AM J AQUACULT</t>
  </si>
  <si>
    <t>N. Am. J. Aqualcult.</t>
  </si>
  <si>
    <t>2023 JUN 2</t>
  </si>
  <si>
    <t>10.1002/naaq.10290</t>
  </si>
  <si>
    <t>Fisheries</t>
  </si>
  <si>
    <t>I0UR7</t>
  </si>
  <si>
    <t>WOS:001000018800001</t>
  </si>
  <si>
    <t>Bhayana, R; Krishna, S; Bleakney, RR</t>
  </si>
  <si>
    <t>Bhayana, Rajesh; Krishna, Satheesh; Bleakney, Robert R.</t>
  </si>
  <si>
    <t>Background: ChatGPT is a powerful artificial intelligence large language model with great potential as a tool in medical practice and education, but its performance in radiology remains unclear. Purpose: To assess the performance of ChatGPT on radiology board-style examination questions without images and to explore its strengths and limitations.Materials and Methods: In this exploratory prospective study performed from February 25 to March 3, 2023, 150 multiple-choice ques-tions designed to match the style, content, and difficulty of the Canadian Royal College and American Board of Radiology examina-tions were grouped by question type (lower-order [recall, understanding] and higher-order [apply, analyze, synthesize] thinking) and topic (physics, clinical). The higher-order thinking questions were further subclassified by type (description of imaging findings, clinical management, application of concepts, calculation and classification, disease associations). ChatGPT performance was evaluated overall, by question type, and by topic. Confidence of language in responses was assessed. Univariable analysis was performed.Results: ChatGPT answered 69% of questions correctly (104 of 150). The model performed better on questions requiring lower-order thinking (84%, 51 of 61) than on those requiring higher-order thinking (60%, 53 of 89) (P = .002). When compared with lower-order questions, the model performed worse on questions involving description of imaging findings (61%, 28 of 46; P = .04), calculation and classification (25%, two of eight; P = .01), and application of concepts (30%, three of 10; P = .01). ChatGPT performed as well on higher-order clinical management questions (89%, 16 of 18) as on lower-order questions (P = .88). It performed worse on physics questions (40%, six of 15) than on clinical questions (73%, 98 of 135) (P = .02). ChatGPT used confident language consistently, even when incorrect (100%, 46 of 46).Conclusion: Despite no radiology-specific pretraining, ChatGPT nearly passed a radiology board-style examination without images; it performed well on lower-order thinking questions and clinical management questions but struggled with higher-order thinking questions involving description of imaging findings, calculation and classification, and application of concepts.</t>
  </si>
  <si>
    <t>[Bhayana, Rajesh; Krishna, Satheesh; Bleakney, Robert R.] Univ Toronto, Toronto Gen Hosp, Univ Hlth Network, Mt Sinai Hosp &amp; Womens CollHosp,Joint Dept Med Ima, 200 Elizabeth St, Peter Mulk Bldg, 1st Fl, Toronto, ON M5G 24C, Canada</t>
  </si>
  <si>
    <t>University of Toronto; University Health Network Toronto; Toronto General Hospital</t>
  </si>
  <si>
    <t>Bhayana, R (corresponding author), Univ Toronto, Toronto Gen Hosp, Univ Hlth Network, Mt Sinai Hosp &amp; Womens CollHosp,Joint Dept Med Ima, 200 Elizabeth St, Peter Mulk Bldg, 1st Fl, Toronto, ON M5G 24C, Canada.</t>
  </si>
  <si>
    <t>rajesh.bhayana@uhn.ca</t>
  </si>
  <si>
    <t>JUN</t>
  </si>
  <si>
    <t>N7FI7</t>
  </si>
  <si>
    <t>WOS:001038622300007</t>
  </si>
  <si>
    <t>de Zarzà, I; de Curtò, J; Roig, G; Manzoni, P; Calafate, CT</t>
  </si>
  <si>
    <t>de Zarza, I.; de Curto, J.; Roig, Gemma; Manzoni, Pietro; Calafate, Carlos T.</t>
  </si>
  <si>
    <t>Emergent Cooperation and Strategy Adaptation in Multi-Agent Systems: An Extended Coevolutionary Theory with LLMs</t>
  </si>
  <si>
    <t>multi-agent systems; human-computer interaction; large language models; cooperative games; game theory</t>
  </si>
  <si>
    <t>ALGORITHM</t>
  </si>
  <si>
    <t>The increasing complexity of Multi-Agent Systems (MASs), coupled with the emergence of Artificial Intelligence (AI) and Large Language Models (LLMs), have highlighted significant gaps in our understanding of the behavior and interactions of diverse entities within dynamic environments. Traditional game theory approaches have often been employed in this context, but their utility is limited by the static and homogenous nature of their models. With the transformative influence of AI and LLMs on business and society, a more dynamic and nuanced theoretical framework is necessary to guide the design and management of MASs. In response to this pressing need, we propose an Extended Coevolutionary (EC) Theory in this paper. This alternative framework incorporates key aspects of coevolutionary dynamics, adaptive learning, and LLM-based strategy recommendations to model and analyze the strategic interactions among heterogeneous agents in MASs. It goes beyond game theory by acknowledging and addressing the diverse interactions (economic transactions, social relationships, information exchange) and the variability in risk aversion, social preferences, and learning capabilities among entities. To validate the effectiveness of the EC framework, we developed a simulation environment that enabled us to explore the emergence of cooperation and defection patterns in MASs. The results demonstrated the potential of our framework to promote cooperative behavior and maintain robustness in the face of disruptions. The dynamics and evolution of the Multi-Agent System over time were also visualized using advanced techniques. Our findings underscore the potential of harnessing LLMs to facilitate cooperation, enhance social welfare, and promote resilient strategies in multi-agent environments. Moreover, the proposed EC framework offers valuable insights into the interplay between strategic decision making, adaptive learning, and LLM-informed guidance in complex, evolving systems. This research not only responds to the current challenges faced in modeling MASs, but also paves the way for future research in this rapidly developing field.</t>
  </si>
  <si>
    <t>[de Zarza, I.; de Curto, J.; Roig, Gemma] Univ Frankfurt Main, Informat &amp; Math, GOETHE, D-60323 Frankfurt, Germany; [de Zarza, I.; de Curto, J.; Manzoni, Pietro; Calafate, Carlos T.] Univ Politecn Valencia, Dept Informat Sistemas &amp; Comp, Valencia 46022, Spain; [de Zarza, I.; de Curto, J.] Univ Oberta Catalunya, Estudis Informat Multimedia &amp; Telecomunicacio, Barcelona 08018, Spain; [Roig, Gemma] HESSIAN Ctr Hessian AI, D-64293 Darmstadt, Germany</t>
  </si>
  <si>
    <t>de Curtò, J (corresponding author), Univ Frankfurt Main, Informat &amp; Math, GOETHE, D-60323 Frankfurt, Germany.;de Curtò, J (corresponding author), Univ Politecn Valencia, Dept Informat Sistemas &amp; Comp, Valencia 46022, Spain.;de Curtò, J (corresponding author), Univ Oberta Catalunya, Estudis Informat Multimedia &amp; Telecomunicacio, Barcelona 08018, Spain.</t>
  </si>
  <si>
    <t>dezarza@em.uni-frankfurt.de; decurto@em.uni-frankfurt.de; roig@cs.uni-frankfurt.de; pmanzoni@disca.upv.es; calafate@disca.upv.es</t>
  </si>
  <si>
    <t>GOETHE-University Frankfurt am Main; MCIN/AEI [PID2021-122580NB-I00]; ERDF</t>
  </si>
  <si>
    <t>GOETHE-University Frankfurt am Main; MCIN/AEI; ERDF(European Union (EU))</t>
  </si>
  <si>
    <t>We thank the following funding sources from GOETHE-University Frankfurt am Main: DePP-Dezentrale Plannung von Platoons im Stra beta engueterverkehr mit Hilfe einer KI auf Basis einzelner LKW' and Center for Data Science &amp; AI'. We acknowledge the support of R &amp; D project PID2021-122580NB-I00, which is funded by MCIN/AEI/10.13039/501100011033 and ERDF.</t>
  </si>
  <si>
    <t>10.3390/electronics12122722</t>
  </si>
  <si>
    <t>K5PW4</t>
  </si>
  <si>
    <t>WOS:001016969200001</t>
  </si>
  <si>
    <t>Hui, KPY; Ho, JCW; Ng, KC; Cheng, SMS; Sit, KY; Au, TWK; Poon, LLM; Nicholls, JM; Peiris, M; Chan, MCW</t>
  </si>
  <si>
    <t>Hui, Kenrie P. Y.; Ho, John C. W.; Ng, Ka-Chun; Cheng, Samuel M. S.; Sit, Ko-Yung; Au, Timmy W. K.; Poon, Leo L. M.; Nicholls, John M.; Peiris, Malik; Chan, Michael C. W.</t>
  </si>
  <si>
    <t>Replication of Novel Zoonotic-Like Influenza A(H3N8) Virus in Ex Vivo Human Bronchus and Lung</t>
  </si>
  <si>
    <t>EMERGING INFECTIOUS DISEASES</t>
  </si>
  <si>
    <t>[Hui, Kenrie P. Y.; Ho, John C. W.; Ng, Ka-Chun; Cheng, Samuel M. S.; Poon, Leo L. M.; Peiris, Malik; Chan, Michael C. W.] Univ Hong Kong, Sch Publ Hlth, Hong Kong, Peoples R China; [Hui, Kenrie P. Y.; Ho, John C. W.; Poon, Leo L. M.; Peiris, Malik; Chan, Michael C. W.] Ctr Immunol &amp; Infect, Hong Kong, Peoples R China; [Sit, Ko-Yung; Au, Timmy W. K.] Univ Hong Kong, Div Cardiothorac Surg, Hong Kong, Peoples R China; [Nicholls, John M.] Univ Hong Kong, Sch Clin Med, Hong Kong, Peoples R China; [Chan, Michael C. W.] Univ Hong Kong, Li Ka Shing Fac Med, Sch Publ Hlth, Pok Fu Lam, Hong Kong, Peoples R China</t>
  </si>
  <si>
    <t>University of Hong Kong; University of Hong Kong; University of Hong Kong; University of Hong Kong</t>
  </si>
  <si>
    <t>Chan, MCW (corresponding author), Univ Hong Kong, Li Ka Shing Fac Med, Sch Publ Hlth, Pok Fu Lam, Hong Kong, Peoples R China.</t>
  </si>
  <si>
    <t>mchan@hku.hk</t>
  </si>
  <si>
    <t>National Institute of Allergy and Infectious Diseases, National Institutes of Health, Department of Health and Human Services [75N93021C00016]; University Grants Committee of Hong Kong Special Administrative Region [T11 -712/19-N]</t>
  </si>
  <si>
    <t>National Institute of Allergy and Infectious Diseases, National Institutes of Health, Department of Health and Human Services(United States Department of Health &amp; Human ServicesNational Institutes of Health (NIH) - USANIH National Institute of Allergy &amp; Infectious Diseases (NIAID)); University Grants Committee of Hong Kong Special Administrative Region</t>
  </si>
  <si>
    <t>We thank Jenny Chan, Rachel Ching, and Kevin Fung for technical support. This work was supported by grants from the National Institute of Allergy and Infectious Diseases, National Institutes of Health, Department of Health and Human Services (contract no. 75N93021C00016) and the Theme- Based Research Scheme (Ref: T11 -712/19-N) under University Grants Committee of Hong Kong Special Administrative Region.</t>
  </si>
  <si>
    <t>CENTERS DISEASE CONTROL &amp; PREVENTION</t>
  </si>
  <si>
    <t>ATLANTA</t>
  </si>
  <si>
    <t>1600 CLIFTON RD, ATLANTA, GA 30333 USA</t>
  </si>
  <si>
    <t>1080-6040</t>
  </si>
  <si>
    <t>1080-6059</t>
  </si>
  <si>
    <t>EMERG INFECT DIS</t>
  </si>
  <si>
    <t>Emerg. Infect. Dis</t>
  </si>
  <si>
    <t>10.3201/eid2906.221680</t>
  </si>
  <si>
    <t>Immunology; Infectious Diseases</t>
  </si>
  <si>
    <t>J1RY3</t>
  </si>
  <si>
    <t>WOS:001007464900016</t>
  </si>
  <si>
    <t>Rahsepar, AA; Tavakoli, N; Kim, GHJ; Hassani, C; Abtin, F; Bedayat, A</t>
  </si>
  <si>
    <t>Rahsepar, Amir Ali; Tavakoli, Neda; Kim, Grace Hyun J.; Hassani, Cameron; Abtin, Fereidoun; Bedayat, Arash</t>
  </si>
  <si>
    <t>How AI Responds to Common Lung Cancer Questions: ChatGPT vs Google Bard</t>
  </si>
  <si>
    <t>Background: The recent release of large language models (LLMs) for public use, such as ChatGPT and Google Bard, has opened up a multitude of potential benefits as well as challenges. Purpose: To evaluate and compare the accuracy and consistency of responses generated by publicly available ChatGPT-3.5 and Google Bard to non-expert questions related to lung cancer prevention, screening, and terminology commonly used in radiology reports based on the recommendation of Lung Imaging Reporting and Data System (Lung-RADS) v2022 from American College of Radiology and Fleischner society. Materials and Methods: Forty of the exact same questions were created and presented to ChatGPT-3.5 and Google Bard experimental version as well as Bing and Google search engines by three different authors of this paper. Each answer was reviewed by two radiologists for accuracy. Responses were scored as correct, partially correct, incorrect, or unanswered. Consistency was also evaluated among the answers. Here, consistency was defined as the agreement between the three answers provided by ChatGPT-3.5, Google Bard experimental version, Bing, and Google search engines regardless of whether the concept conveyed was correct or incorrect. The accuracy among different tools were evaluated using Stata. Results: ChatGPT-3.5 answered 120 questions with 85 (70.8%) correct, 14 (11.7%) partially correct, and 21 (17.5%) incorrect. Google Bard did not answer 23 (19.1%) questions. Among the 97 questions answered by Google Bard, 62 (51.7%) were correct, 11 (9.2%) were partially correct, and 24 (20%) were incorrect. Bing answered 120 questions with 74 ( 61.7%) correct, 13 (10.8%) partially correct, and 33 (27.5%) incorrect. Google search engine answered 120 questions with 66 (55%) correct, 27 (22.5%) partially correct, and 27 (22.5%) incorrect. The ChatGPT-3.5 is more likely to provide correct or partially answer than Google Bard, approximately by 1.5 folds (OR = 1.55, P = 0.004). ChatGPT-3.5 and Google search engine were more likely to be consistent than Google Bard by approximately 7 and 29 folds (OR = 6.65, P = 0.002 for ChatGPT and OR = 28.83, P = 0.002 for Google search engine, respectively). Conclusion: Although ChatGPT-3.5 had a higher accuracy in comparison with the other tools, neither ChatGPT nor Google Bard, Bing and Google search engines answered all questions correctly and with 100% consistency.</t>
  </si>
  <si>
    <t>[Rahsepar, Amir Ali; Hassani, Cameron; Abtin, Fereidoun; Bedayat, Arash] UCLA, David Geffen Sch Med, Div Cardiothorac Imaging, Dept Radiol Sci, Los Angeles, CA USA; [Tavakoli, Neda] Georgia Inst Technol, Sch Computat Sci &amp; Engn, Atlanta, GA USA; [Kim, Grace Hyun J.] UCLA, Dept Radiol Sci, Ctr Comp Vis &amp; Imaging Biomarkers, David Geffen Sch Med, Los Angeles, CA USA; [Kim, Grace Hyun J.] UCLA, Dept Biostat, Fielding Sch Publ, Los Angeles, CA USA</t>
  </si>
  <si>
    <t>University of California System; University of California Los Angeles; University of California Los Angeles Medical Center; David Geffen School of Medicine at UCLA; University System of Georgia; Georgia Institute of Technology; University of California System; University of California Los Angeles; University of California Los Angeles Medical Center; David Geffen School of Medicine at UCLA; University of California System; University of California Los Angeles</t>
  </si>
  <si>
    <t>Bedayat, A (corresponding author), UCLA, David Geffen Sch Med, Div Cardiothorac Imaging, Dept Radiol Sci, 10945 Le Conte Ave,Suite 3371, Los Angeles, CA 90095 USA.</t>
  </si>
  <si>
    <t>abedayat@mednet.ucla.edu</t>
  </si>
  <si>
    <t>L3SE8</t>
  </si>
  <si>
    <t>WOS:001022483100018</t>
  </si>
  <si>
    <t>Slater, A</t>
  </si>
  <si>
    <t>Slater, Avery</t>
  </si>
  <si>
    <t>AMERICAN LITERATURE</t>
  </si>
  <si>
    <t>computer poetry; Cold War poetry; Artificial intelligence (AI); poetry and poetics; automation</t>
  </si>
  <si>
    <t>This article examines early Cold War attempts to generate poetry using computers. Set between the end of World War II and the rise of personal computing, computer-generated poetry from this period was shaped not only by artists but also the university lab, the defense -contactor, and the corporation. Computer-generated poetry from this era often participated in the larger project of fostering public conception of the power and prestige of computers. This ethos of post-automation poetics was also informed by computer science experiments with computation's linguistic-processing powers-from machine translation to early AI. This article contextualizes the computer poetry of Alison Knowles, Nanni Balestrini, and others within the scientific concerns of mathematicians like Theo Lutz and linguists like Margaret Masterman. Framed by governmental power, university funding, and corporate ambition, post-automation poetics engages with computation's relevance to literary production: from Cold War main-frames to contemporary large language models (LLMs) like GPT-3.</t>
  </si>
  <si>
    <t>[Slater, Avery] Univ Toronto, Toronto, ON, Canada; [Slater, Avery] Schwartz Reisman Inst Technol &amp; Soc, Toronto, ON, Canada</t>
  </si>
  <si>
    <t>University of Toronto</t>
  </si>
  <si>
    <t>Slater, A (corresponding author), Univ Toronto, Toronto, ON, Canada.;Slater, A (corresponding author), Schwartz Reisman Inst Technol &amp; Soc, Toronto, ON, Canada.</t>
  </si>
  <si>
    <t>DUKE UNIV PRESS</t>
  </si>
  <si>
    <t>DURHAM</t>
  </si>
  <si>
    <t>905 W MAIN ST, STE 18-B, DURHAM, NC 27701 USA</t>
  </si>
  <si>
    <t>0002-9831</t>
  </si>
  <si>
    <t>1527-2117</t>
  </si>
  <si>
    <t>AM LIT</t>
  </si>
  <si>
    <t>JUN 1</t>
  </si>
  <si>
    <t>Literature, American</t>
  </si>
  <si>
    <t>Literature</t>
  </si>
  <si>
    <t>Q0HB4</t>
  </si>
  <si>
    <t>WOS:001054394400002</t>
  </si>
  <si>
    <t>Zhan, Q</t>
  </si>
  <si>
    <t>Zhan, Qian</t>
  </si>
  <si>
    <t>The implementation of rights management information provisions in WIPO internet treaties: a comparative law perspective</t>
  </si>
  <si>
    <t>QUEEN MARY JOURNAL OF INTELLECTUAL PROPERTY</t>
  </si>
  <si>
    <t>WIPO Internet Treaties; RMI definition; prohibited acts; knowledge elements; limitations and exceptions; legal remedies</t>
  </si>
  <si>
    <t>COPYRIGHT</t>
  </si>
  <si>
    <t>With the rapid development of information technology, intellectual property protection in the digital environment has gradually become a critical issue. WIPO Internet Treaties have included new provisions for digital intellectual property protection since 1996, which require all the members to provide adequate and effective legal remedies for rights management information (RMI). However, WIPO Internet Treaties only afford a basic framework, leaving much discretion for members to decide how to implement their treaty obligations. The domestic protection of RMI generally differs in five aspects: definition of RMI; the scope of prohibited acts; knowledge elements; exceptions of liabilities; and legal remedies. By examining the RMI provisions in WIPO Internet Treaties and their implementation in jurisdictions, this article focuses on the perceived flaws, puzzles, and problems that the RMI provisions may cause, and speculates on the effectiveness of the RMI provisions in accomplishing predetermined goals.</t>
  </si>
  <si>
    <t>[Zhan, Qian] East China Normal Univ, Fac Law, Shanghai, Peoples R China</t>
  </si>
  <si>
    <t>East China Normal University</t>
  </si>
  <si>
    <t>Zhan, Q (corresponding author), East China Normal Univ, Fac Law, Shanghai, Peoples R China.</t>
  </si>
  <si>
    <t>zhanqian813@hotmail.com</t>
  </si>
  <si>
    <t>liu, yuhao/JWP-0475-2024</t>
  </si>
  <si>
    <t>Fundamental Research Funds for the Central Universities at East China Normal University [2022ECNU-YYJ073]</t>
  </si>
  <si>
    <t>Fundamental Research Funds for the Central Universities at East China Normal University</t>
  </si>
  <si>
    <t>PhD in International Law, Fudan University, China; LLM in Stockholm University, Sweden. Email: zhanqian813@hotmail.com . The author gratefully acknowledges the insightful comments received from Professor Johanna Gibson and the anonymous reviewers of the QMJIP. The author is sponsored by Fundamental Research Funds for the Central Universities (2022ECNU-YYJ073) at East China Normal University.</t>
  </si>
  <si>
    <t>EDWARD ELGAR PUBLISHING LTD</t>
  </si>
  <si>
    <t>CHELTENHAM</t>
  </si>
  <si>
    <t>THE LYPIATTS, 15 LANSDOWN RD, CHELTENHAM, GLOS GL50 2JA, ENGLAND</t>
  </si>
  <si>
    <t>2045-9807</t>
  </si>
  <si>
    <t>2045-9815</t>
  </si>
  <si>
    <t>QUEEN MARY J INTELLE</t>
  </si>
  <si>
    <t>X1HB7</t>
  </si>
  <si>
    <t>WOS:001096015800002</t>
  </si>
  <si>
    <t>Claus, A; Roncatto, E; Barroso, AAM; De Mio, LLM</t>
  </si>
  <si>
    <t>Claus, Alexandre; Roncatto, Eduardo; Barroso, Arthur Arrobas Martins; De Mio, Louise Larissa May</t>
  </si>
  <si>
    <t>Herbicides reduce the severity and sporulation of Phakopsora pachyrhizi in soybean with triple herbicide resistance</t>
  </si>
  <si>
    <t>PEST MANAGEMENT SCIENCE</t>
  </si>
  <si>
    <t>transgenics; chemical management; production system; 2; 4-D; glyphosate</t>
  </si>
  <si>
    <t>GLYPHOSATE; RUST; DISEASES; DICAMBA; 2,4-D; WHEAT</t>
  </si>
  <si>
    <t>BACKGROUNDTransgenic event DAS44406-6 (E3) makes soybeans that are herbicide [glyphosate (Gly), 2,4-dichlorophenoxyacetic acid (2,4-D) and glufosinate] and caterpillar resistant. The E3 soybean was commercially released for the 2021/2022 harvest in Brazil. We conducted this study to test whether Gly and 2,4-D applied alone and in a commercial mixture affect Asian soybean rust (ASR). Assays were conducted in detached leaves and in vivo, in a controlled environment using the herbicides Gly, 2,4-D and Gly + 2,4-D, and pathogen inoculation. Disease severity and spore production were evaluated. RESULTSOnly the herbicides Gly and Gly + 2,4-D inhibited ASR in detached leaves and in vivo. When applied preventively and curatively in vivo, these herbicides reduced the disease severity and spore production of the fungus. In vivo, inhibition of disease severity reached 87% for Gly + 2,4-D and 42% for Gly. A synergistic effect was observed with the commercial Gly + 2,4-D mixture. Application of 2,4-D alone in the in vivo assays did not reduce or increase disease severity. Gly and Gly + 2,4-D act residually in inhibiting the disease. Growing E3 soybeans may combine weed and caterpillar management benefits with ASR inhibition. CONCLUSIONApplication of Gly and Gly + 2,4-D herbicides in resistant E3 soybean shows inhibitory activity for ASR. (c) 2023 Society of Chemical Industry.</t>
  </si>
  <si>
    <t>[Claus, Alexandre; Roncatto, Eduardo; Barroso, Arthur Arrobas Martins; De Mio, Louise Larissa May] Fed Univ Parana UFPR, Plant Sci &amp; Plant Hlth Dept, BR-80035050 Curitiba, Brazil</t>
  </si>
  <si>
    <t>De Mio, LLM (corresponding author), Fed Univ Parana UFPR, Plant Sci &amp; Plant Hlth Dept, BR-80035050 Curitiba, Brazil.</t>
  </si>
  <si>
    <t>maydemio@ufpr.br</t>
  </si>
  <si>
    <t>Barroso, Arthur Arrobas Martins/D-3902-2012; May De Mio, Louise Larissa/K-3065-2012</t>
  </si>
  <si>
    <t>Coordenacao de Aperfeicoamento de Pessoal de Nivel Superior-Brazil (CAPES) [001]; Conselho Nacional de Desenvolvimento Cientifico e Tecnologico (CNPq)/Brazil</t>
  </si>
  <si>
    <t>Coordenacao de Aperfeicoamento de Pessoal de Nivel Superior-Brazil (CAPES)(Coordenacao de Aperfeicoamento de Pessoal de Nivel Superior (CAPES)); Conselho Nacional de Desenvolvimento Cientifico e Tecnologico (CNPq)/Brazil(Conselho Nacional de Desenvolvimento Cientifico e Tecnologico (CNPQ))</t>
  </si>
  <si>
    <t>This study was financed in part by the Coordenacao de Aperfeicoamento de Pessoal de Nivel Superior-Brazil (CAPES)-Financial Code 001. AAM Barroso and LL May De Mio thank the Conselho Nacional de Desenvolvimento Cientifico e Tecnologico (CNPq)/Brazil for a research grant. The authors thank the Academic Publishing Advisory Center (Centro de Assessoria de Publicacao Academica, CAPA - ) of the Federal University of Parana (UFPR) for assistance with the English language translation and developmental editing.</t>
  </si>
  <si>
    <t>1526-498X</t>
  </si>
  <si>
    <t>1526-4998</t>
  </si>
  <si>
    <t>PEST MANAG SCI</t>
  </si>
  <si>
    <t>Pest Manag. Sci.</t>
  </si>
  <si>
    <t>10.1002/ps.7557</t>
  </si>
  <si>
    <t>MAY 2023</t>
  </si>
  <si>
    <t>Agronomy; Entomology</t>
  </si>
  <si>
    <t>Agriculture; Entomology</t>
  </si>
  <si>
    <t>WOS:000998248700001</t>
  </si>
  <si>
    <t>Májovsky, M; Cerny, M; Kasal, ME; Komarc, M; Netuka, D</t>
  </si>
  <si>
    <t>Majovsky, Martin; Cerny, Martin; Kasal, Mat Ej; Komarc, Martin; Netuka, David</t>
  </si>
  <si>
    <t>Artificial Intelligence Can Generate Fraudulent but Authentic-Looking Scientific Medical Articles: Pandora's Box Has Been Opened</t>
  </si>
  <si>
    <t>artificial intelligence; publications; ethics; neurosurgery; ChatGPT; language models; fraudulent medical articles</t>
  </si>
  <si>
    <t>Background: Artificial intelligence (AI) has advanced substantially in recent years, transforming many industries and improving the way people live and work. In scientific research, AI can enhance the quality and efficiency of data analysis and publication. However, AI has also opened up the possibility of generating high-quality fraudulent papers that are difficult to detect, raising important questions about the integrity of scientific research and the trustworthiness of published papers.Objective: The aim of this study was to investigate the capabilities of current AI language models in generating high-quality fraudulent medical articles. We hypothesized that modern AI models can create highly convincing fraudulent papers that can easily deceive readers and even experienced researchers. Methods: This proof-of-concept study used ChatGPT (Chat Generative Pre-trained Transformer) powered by the GPT-3 (Generative Pre-trained Transformer 3) language model to generate a fraudulent scientific article related to neurosurgery. GPT-3 is a large language model developed by OpenAI that uses deep learning algorithms to generate human-like text in response to prompts given by users. The model was trained on a massive corpus of text from the internet and is capable of generating high-quality text in a variety of languages and on various topics. The authors posed questions and prompts to the model and refined them iteratively as the model generated the responses. The goal was to create a completely fabricated article including the abstract, introduction, material and methods, discussion, references, charts, etc. Once the article was generated, it was reviewed for accuracy and coherence by experts in the fields of neurosurgery, psychiatry, and statistics and compared to existing similar articles.Results: The study found that the AI language model can create a highly convincing fraudulent article that resembled a genuine scientific paper in terms of word usage, sentence structure, and overall composition. The AI-generated article included standard sections such as introduction, material and methods, results, and discussion, as well a data sheet. It consisted of 1992 words and 17 citations, and the whole process of article creation took approximately 1 hour without any special training of the human user. However, there were some concerns and specific mistakes identified in the generated article, specifically in the references.Conclusions: The study demonstrates the potential of current AI language models to generate completely fabricated scientific articles. Although the papers look sophisticated and seemingly flawless, expert readers may identify semantic inaccuracies and errors upon closer inspection. We highlight the need for increased vigilance and better detection methods to combat the potential misuse of AI in scientific research. At the same time, it is important to recognize the potential benefits of using AI language models in genuine scientific writing and research, such as manuscript preparation and language editing.</t>
  </si>
  <si>
    <t>[Majovsky, Martin; Cerny, Martin; Netuka, David] Charles Univ Prague, Fac Med 1, Dept Neurosurg &amp; Neurooncol, Prague, Czech Republic; [Kasal, Mat Ej] Charles Univ Prague, Fac Med Pilsen, Dept Psychiat, Plzen, Czech Republic; [Komarc, Martin] Charles Univ Prague, Inst Biophys &amp; Informat, Fac Med 1, Prague, Czech Republic; [Komarc, Martin] Charles Univ Prague, Fac Phys Educ &amp; Sport, Dept Methodol, Prague, Czech Republic; [Majovsky, Martin] Charles Univ Prague, Fac Med 1, Dept Neurosurg &amp; Neurooncol, Vojenske Nemocnice 1200, Prague 16000, Czech Republic</t>
  </si>
  <si>
    <t>Charles University Prague; Charles University Prague; Charles University Prague; Charles University Prague; Charles University Prague</t>
  </si>
  <si>
    <t>Májovsky, M (corresponding author), Charles Univ Prague, Fac Med 1, Dept Neurosurg &amp; Neurooncol, Vojenske Nemocnice 1200, Prague 16000, Czech Republic.</t>
  </si>
  <si>
    <t>majovmar@uvn.cz</t>
  </si>
  <si>
    <t>Ministry of Defence of the Czech Republic [MO1012]; Cooperatio Neuroscience UK - Charles University</t>
  </si>
  <si>
    <t>Ministry of Defence of the Czech Republic; Cooperatio Neuroscience UK - Charles University</t>
  </si>
  <si>
    <t>This study was supported by the Ministry of Defence of the Czech Republic (grant MO1012) and Cooperatio Neuroscience UK, which was funded by Charles University. The funding sources had no impact on the study design, collection, analysis, and interpretation of data; on the writing of the article; or on the decision to submit the article for publication. We used the generative AI tool ChatGPT to draft a fabricated article and a review. The original ChatGPT transcripts are made available as Multimedia Appendices 1-2.</t>
  </si>
  <si>
    <t>MAY 31</t>
  </si>
  <si>
    <t>e46924</t>
  </si>
  <si>
    <t>10.2196/46924</t>
  </si>
  <si>
    <t>L3FT3</t>
  </si>
  <si>
    <t>WOS:001022158000003</t>
  </si>
  <si>
    <t>McDonald, MM; Welling, LLM</t>
  </si>
  <si>
    <t>McDonald, Melissa M.; Welling, Lisa L. M.</t>
  </si>
  <si>
    <t>Sex Differences in the Perceived Advantage of Coalitions of Kin Versus Nonkin</t>
  </si>
  <si>
    <t>EVOLUTIONARY BEHAVIORAL SCIENCES</t>
  </si>
  <si>
    <t>warfare; intergroup conflict; kinship; entitativity; sex differences</t>
  </si>
  <si>
    <t>FACIAL RESEMBLANCE; INTERGROUP AGGRESSION; LIFE-HISTORIES; EVOLUTION; FACES; BEHAVIOR; CHIMPANZEES; PERCEPTION; ALIVE</t>
  </si>
  <si>
    <t>Kinship density plays an important role in the costs and benefits of small-scale warfare. The ability to use kinship as a cue to a group's likely success in warfare would be useful for assessing the individual costs and benefits of fighting for a warring coalition, as well as assessing the strength of a rival coalition. Given asymmetries in men's and women's participation in warfare, the degree to which such inferences are made should be moderated by the sex of the agent and targets. That is, men should be particularly likely to draw inferences about the success-enhancing attributes of male coalitions of kin. This prediction was tested in an experiment (N = 438 vetted MTurk participants) examining men and women's perceptions of teams competing against one another. In the kinship condition, one team of virtual siblings (i.e., images manipulated to resemble one another) competed against a team of virtual nonkin (i.e., manipulated images that do not resemble each other), whereas two teams of virtual nonkin faced one another in the control condition. Overall, teams of virtual kin were perceived as more cohesive, trusting, and coordinated (but not more successful) than teams of virtual nonkin. Consistent with expectations, men applied this perception more strongly to male coalitions of kin than female coalitions of kin, whereas women applied the attributes more equally between the sexes. These results provide the first experimental look at sex differences in how kinship (i.e., resemblance) is perceived in the context of intergroup competition.</t>
  </si>
  <si>
    <t>[McDonald, Melissa M.; Welling, Lisa L. M.] Oakland Univ, Dept Psychol, Pryale Hall, Rochester, MI 48309 USA</t>
  </si>
  <si>
    <t>Oakland University</t>
  </si>
  <si>
    <t>McDonald, MM (corresponding author), Oakland Univ, Dept Psychol, Pryale Hall, Rochester, MI 48309 USA.</t>
  </si>
  <si>
    <t>mmmcdonald@oakland.edu</t>
  </si>
  <si>
    <t>McDonald, Melissa/0000-0002-5738-7651</t>
  </si>
  <si>
    <t>Oakland University [21468]</t>
  </si>
  <si>
    <t>This research was sponsored by Oakland University [21468]. The authors declare that there are no potential con-flicts of interest with respect to the research, authorship, and/or publication of this article.</t>
  </si>
  <si>
    <t>AMER PSYCHOLOGICAL ASSOC</t>
  </si>
  <si>
    <t>750 FIRST ST NE, WASHINGTON, DC 20002-4242 USA</t>
  </si>
  <si>
    <t>2330-2925</t>
  </si>
  <si>
    <t>2330-2933</t>
  </si>
  <si>
    <t>EVOL BEHAV SCI</t>
  </si>
  <si>
    <t>Evol. Behav. Sci.</t>
  </si>
  <si>
    <t>2023 MAY 29</t>
  </si>
  <si>
    <t>10.1037/ebs0000328</t>
  </si>
  <si>
    <t>Behavioral Sciences; Psychology</t>
  </si>
  <si>
    <t>H4NF4</t>
  </si>
  <si>
    <t>WOS:000995740900001</t>
  </si>
  <si>
    <t>Lim, S; Schmälzle, R</t>
  </si>
  <si>
    <t>Lim, Sue; Schmalzle, Ralf</t>
  </si>
  <si>
    <t>FRONTIERS IN COMMUNICATION</t>
  </si>
  <si>
    <t>health communication; message generation; artificial intelligence; prompt engineering; social media; folic acid (FA)</t>
  </si>
  <si>
    <t>FOLIC-ACID; COMMUNICATION CAMPAIGNS; UNITED-STATES; BEHAVIOR; PREVENTION; STRATEGIES; KNOWLEDGE; AWARENESS</t>
  </si>
  <si>
    <t>IntroductionThis study introduces and examines the potential of an AI system to generate health awareness messages. The topic of folic acid, a vitamin that is critical during pregnancy, served as a test case. MethodWe used prompt engineering to generate awareness messages about folic acid and compared them to the most retweeted human-generated messages via human evaluation with an university sample and another sample comprising of young adult women. We also conducted computational text analysis to examine the similarities between the AI-generated messages and human generated tweets in terms of content and semantic structure. ResultsThe results showed that AI-generated messages ranked higher in message quality and clarity across both samples. The computational analyses revealed that the AI generated messages were on par with human-generated ones in terms of sentiment, reading ease, and semantic content. DiscussionOverall, these results demonstrate the potential of large language models for message generation. Theoretical, practical, and ethical implications are discussed.</t>
  </si>
  <si>
    <t>[Lim, Sue; Schmalzle, Ralf] Michigan State Univ, Dept Commun, E Lansing, MI 48824 USA</t>
  </si>
  <si>
    <t>Michigan State University</t>
  </si>
  <si>
    <t>Lim, S (corresponding author), Michigan State Univ, Dept Commun, E Lansing, MI 48824 USA.</t>
  </si>
  <si>
    <t>limsue@msu.edu</t>
  </si>
  <si>
    <t>2297-900X</t>
  </si>
  <si>
    <t>FRONT COMMUN</t>
  </si>
  <si>
    <t>MAY 26</t>
  </si>
  <si>
    <t>I5HL1</t>
  </si>
  <si>
    <t>WOS:001003088700001</t>
  </si>
  <si>
    <t>Fernandes, ACG; Valadares, NR; Rodrigues, CHO; Alves, RA; Guedes, LLM; Athayde, ALM; Azevedo, AM</t>
  </si>
  <si>
    <t>Fernandes, Ana Clara Goncalves; Valadares, Nermy Ribeiro; Rodrigues, Clovis Henrique Oliveira; Alves, Rayane Aguiar; Guedes, Lis Lorena Melucio; Athayde, Andre Luiz Mendes; Azevedo, Alcinei Mistico</t>
  </si>
  <si>
    <t>Convolutional neural networks in the qualitative improvement of sweet potato roots</t>
  </si>
  <si>
    <t>The objective was to verify whether convolutional neural networks can help sweet potato phenotyping for qualitative traits. We evaluated 16 families of sweet potato half-sibs in a randomized block design with four replications. We obtained the images at the plant level and used the ExpImage package of the R software to reduce the resolution and individualize one root per image. We grouped them according to their classifications regarding shape, peel color, and damage caused by insects. 600 roots of each class were destined for training the networks, while the rest was used to verify the quality of the fit. We used the python language on the Google Colab platform and the Keras library, considering the VGG-16, Inception-v3, ResNet-50, InceptionResNetV2, and EfficientNetB3 architectures. The InceptionResNetV2 architecture stood out with high accuracy in classifying individuals according to shape, insect damage, and peel color. Image analysis associated with deep learning may help develop applications used by rural producers and improve sweet potatoes, reducing subjectivity, labor, time, and financial resources in phenotyping.</t>
  </si>
  <si>
    <t>[Fernandes, Ana Clara Goncalves; Valadares, Nermy Ribeiro; Rodrigues, Clovis Henrique Oliveira; Alves, Rayane Aguiar; Guedes, Lis Lorena Melucio; Athayde, Andre Luiz Mendes; Azevedo, Alcinei Mistico] Univ Fed Minas Gerais, Inst Ciencias Agr ICA, Campus Reg Montes Claros, Ave Univ 1000, BR-39404547 Montes Claros, MG, Brazil</t>
  </si>
  <si>
    <t>Universidade Federal de Minas Gerais</t>
  </si>
  <si>
    <t>Fernandes, ACG (corresponding author), Univ Fed Minas Gerais, Inst Ciencias Agr ICA, Campus Reg Montes Claros, Ave Univ 1000, BR-39404547 Montes Claros, MG, Brazil.</t>
  </si>
  <si>
    <t>anaclaragoncalvesfernandes@gmail.com</t>
  </si>
  <si>
    <t>Coordination for the Improvement of Higher Education Personnel, Brazil (CAPES) [001]; National Council for Scientific Development (CNPQ); Research Support Foundation of Minas Gerais (FAPEMIG)</t>
  </si>
  <si>
    <t>Coordination for the Improvement of Higher Education Personnel, Brazil (CAPES)(Coordenacao de Aperfeicoamento de Pessoal de Nivel Superior (CAPES)); National Council for Scientific Development (CNPQ)(Conselho Nacional de Desenvolvimento Cientifico e Tecnologico (CNPQ)); Research Support Foundation of Minas Gerais (FAPEMIG)(Fundacao de Amparo a Pesquisa do Estado de Minas Gerais (FAPEMIG))</t>
  </si>
  <si>
    <t>This work was carried out with the support of the Coordination for the Improvement of Higher Education Personnel, Brazil (CAPES)-Financing Code 001, the National Council for Scientific Development (CNPQ), and the Research Support Foundation of Minas Gerais (FAPEMIG).</t>
  </si>
  <si>
    <t>MAY 24</t>
  </si>
  <si>
    <t>10.1038/s41598-023-34375-6</t>
  </si>
  <si>
    <t>H4QW0</t>
  </si>
  <si>
    <t>WOS:000995835600038</t>
  </si>
  <si>
    <t>Killian, CM; Marttinen, R; Howley, D; Sargent, J; Jones, EM</t>
  </si>
  <si>
    <t>Killian, Chad M.; Marttinen, Risto; Howley, Donal; Sargent, Julia; Jones, Emily M.</t>
  </si>
  <si>
    <t>Knock, Knock ... Who's There? ChatGPT and Artificial Intelligence-Powered Large Language Models: Reflections on Potential Impacts Within Health and Physical Education Teacher Education ...</t>
  </si>
  <si>
    <t>JOURNAL OF TEACHING IN PHYSICAL EDUCATION</t>
  </si>
  <si>
    <t>digital technology; ethics; higher education; OpenAI; chatbots</t>
  </si>
  <si>
    <t>KINESIOLOGY</t>
  </si>
  <si>
    <t>This research note suggests the emergence of Artificial Intelligence-powered chatbots like ChatGPT pose challenges to the future of higher education. We as a field should pay attention to issues and opportunities associated with this technology across learning, teaching, and research spaces. We propose ignoring, or being indifferent to, predictions about what technologies like Artificial Intelligence-powered chatbots can do can cause us to do dumb things. All health and physical education teacher education faculty members should make efforts to learn about these tools to facilitate informed, solution-focused decisions about whether and where to leverage them. We highlight the importance of maintaining sociocritical perspectives when considering use of digital technologies to understand and address digital (in)equity and promote equitable practices. We conclude by emphasizing the need for field-specific consensus statements to guide ethical and appropriate use of Artificial Intelligence-powered chatbots, to ensure the value of these tools is harnessed for the good of the society. [Output by ChatGPT-3]</t>
  </si>
  <si>
    <t>[Killian, Chad M.] Univ New Hampshire, Dept Kinesiol, Durham, NH 03824 USA; [Marttinen, Risto] George Mason Univ, Sch Educ, Fairfax, VA USA; [Howley, Donal] Towson Univ, Dept Kinesiol, Towson, MD USA; [Sargent, Julia] Open Univ, Inst Educ Technol, Milton Keynes, England; [Jones, Emily M.] Illinois State Univ, Sch Kinesiol &amp; Recreat, Normal, IL USA</t>
  </si>
  <si>
    <t>University System Of New Hampshire; University of New Hampshire; George Mason University; University System of Maryland; Towson University; Open University - UK; Illinois State University</t>
  </si>
  <si>
    <t>Killian, CM (corresponding author), Univ New Hampshire, Dept Kinesiol, Durham, NH 03824 USA.</t>
  </si>
  <si>
    <t>chad.killian@unh.edu</t>
  </si>
  <si>
    <t>0273-5024</t>
  </si>
  <si>
    <t>1543-2769</t>
  </si>
  <si>
    <t>J TEACH PHYS EDUC</t>
  </si>
  <si>
    <t>Education &amp; Educational Research; Sport Sciences</t>
  </si>
  <si>
    <t>M1GC8</t>
  </si>
  <si>
    <t>hybrid, Green Accepted</t>
  </si>
  <si>
    <t>WOS:001001106200001</t>
  </si>
  <si>
    <t>Uz, C; Umay, E</t>
  </si>
  <si>
    <t>Uz, Cuma; Umay, Ebru</t>
  </si>
  <si>
    <t>Dr ChatGPT: Is it a reliable and useful source for common rheumatic diseases?</t>
  </si>
  <si>
    <t>INTERNATIONAL JOURNAL OF RHEUMATIC DISEASES</t>
  </si>
  <si>
    <t>Aim: It is inevitable that artificial intelligence applications will be used as a source of information in the field of health in the near future. For this reason, we aimed to evaluate whether ChatGPT, a new Large Language Model, can be used to obtain information about common rheumatic diseases. Materials and methods: Common rheumatic diseases were identified using the American College of Rheumatology and European League against Rheumatism guidelines. Osteoarthritis (OA), rheumatoid arthritis, ankylosing spondylitis (AS), systemic lupus erythematosus, psoriatic arthritis, fibromyalgia syndrome, and gout were identified by using Google trends for the four most frequently searched keywords on Google. The responses were evaluated with seven-point Likert-type reliability and usefulness scales developed by us. Results: The highest score in terms of reliability was OA (mean +/- standard deviation 5.62 +/- 1.17), whereas the highest score in terms of usefulness was AS (mean 5.87 +/- 0.17). There was no significant difference in the reliability and usefulness of the answers given by the ChatGPT ( p =.423 and p =.387, respectively). All scores ranged between 4 and 7. Conclusions: Although ChatGPT is reliable and useful for patients to obtain information about rheumatic diseases, it should be kept in mind that it may give false and misleading answers.</t>
  </si>
  <si>
    <t>[Uz, Cuma; Umay, Ebru] Etlik City Hosp, Dept Phys Med &amp; Rehabil, Ankara, Turkiye; [Uz, Cuma] Etlik City Hosp, Dept Phys Med &amp; Rehabil, TR-06110 Ankara, Turkiye</t>
  </si>
  <si>
    <t>Uz, C (corresponding author), Etlik City Hosp, Dept Phys Med &amp; Rehabil, TR-06110 Ankara, Turkiye.</t>
  </si>
  <si>
    <t>cumauz12@gmail.com</t>
  </si>
  <si>
    <t>1756-1841</t>
  </si>
  <si>
    <t>1756-185X</t>
  </si>
  <si>
    <t>INT J RHEUM DIS</t>
  </si>
  <si>
    <t>Rheumatology</t>
  </si>
  <si>
    <t>L3IA2</t>
  </si>
  <si>
    <t>WOS:000993728100001</t>
  </si>
  <si>
    <t>Ganokroj, P; Muanpetch, S; Deerochanawong, C; Phimphilai, M; Leelawattana, R; Thongtang, N; Krittayaphong, R; Anthanont, P; Vathesatogkit, P; Sriphrapradang, C; Senthong, V; Torpongpun, A; Suteerayongprasert, P; Pengpong, N; Sathavarodom, N; Sunanta, U; Porntharukchareon, T; Kiatpanabhikul, P; Kaewkrasaesin, C; Suraamornkul, S; Kongkit, J; Umphonsathien, M; Chattranukulchai, P; Jiamjarasrungsi, W; Khovidhunkit, W</t>
  </si>
  <si>
    <t>Ganokroj, Poranee; Muanpetch, Suwanna; Deerochanawong, Chaicharn; Phimphilai, Mattabhorn; Leelawattana, Rattana; Thongtang, Nuntakorn; Krittayaphong, Rungroj; Anthanont, Pimjai; Vathesatogkit, Prin; Sriphrapradang, Chutintorn; Senthong, Vichai; Torpongpun, Artit; Suteerayongprasert, Panuwat; Pengpong, Nawarat; Sathavarodom, Nattapol; Sunanta, Usanee; Porntharukchareon, Thachanun; Kiatpanabhikul, Phatharaporn; Kaewkrasaesin, Chatchon; Suraamornkul, Swangjit; Kongkit, Jaruwan; Umphonsathien, Mongkontida; Chattranukulchai, Pairoj; Jiamjarasrungsi, Wiroj; Khovidhunkit, Weerapan</t>
  </si>
  <si>
    <t>Gaps in the Care of Subjects with Familial Hypercholesterolemia: Insights from the Thai Familial Hypercholesterolemia Registry</t>
  </si>
  <si>
    <t>JOURNAL OF ATHEROSCLEROSIS AND THROMBOSIS</t>
  </si>
  <si>
    <t>Familial hypercholesterolemia; FH registry; LDL-C goal attainment</t>
  </si>
  <si>
    <t>TARGET ACHIEVEMENT; ADULT PATIENTS; THERAPY; GENDER; EPIDEMIOLOGY; DISPARITIES; ATTAINMENT; DIAGNOSIS; COMMUNITY; STATINS</t>
  </si>
  <si>
    <t>Aims: Familial hypercholesterolemia (FH) is currently underdiagnosed and undertreated. The establishment of a FH registry could facilitate a deeper understanding of this disease. We described the clinical characteristics of subjects with FH from the Thai FH Registry, compared our data with the regional and global data, and identified gaps in the care of these subjects.Methods: A multicenter, nationwide prospective FH registry was established in Thailand. Our data were compared with those of the European Atherosclerosis Society-FH Studies Collaboration. Multiple logistic regression analyses were performed for variables associated with lipid-lowering medication (LLM) use and the attainment of low-density lipoprotein-cholesterol (LDL-C) goal.Results: The study includes 472 subjects with FH (mean age at FH diagnosis: 46 +/- 12 years, 61.4% women). A history of premature coronary artery disease was found in 12%. The percentage of LLM use in subjects with a Dutch Lipid Clinic Network score of &gt;= 6 (probable or definite FH) in our registry (64%) was slightly lower than the regional data but higher than the global data. Among those who received statins, 25.2% and 6.4% achieved LDL-C levels of &lt;100 mg/dL and &lt;70 mg/dL, respectively. Women with FH were less likely to achieve LDL-C &lt;70 mg/dL (adjusted odds ratio: 0.22, 95% confidence interval: 0.06-0.71, p=0.012).Conclusions: FH in Thailand was diagnosed late, and treatment was inadequate for the majority of subjects. Women with FH were less likely to achieve LDL-C goals. Our insights could potentially help raise awareness and narrow the gap in patient care.</t>
  </si>
  <si>
    <t>[Ganokroj, Poranee] Chulalongkorn Univ, King Chulalongkorn Mem Hosp, Dept Lab Med, Bangkok, Thailand; [Muanpetch, Suwanna] King Chulalongkorn Mem Hosp, Dept Med, Bangkok, Thailand; [Deerochanawong, Chaicharn] Rangsit Univ, Rajavithi Hosp, Dept Med, Bangkok, Thailand; [Phimphilai, Mattabhorn] Chiang Mai Univ, Maharaj Nakorn Chiang Mai Hosp, Dept Med, Chiang Mai, Thailand; [Leelawattana, Rattana] Prince Songkla Univ, Songklanagarind Hosp, Dept Med, Hat Yai, Thailand; [Thongtang, Nuntakorn; Krittayaphong, Rungroj] Mahidol Univ, Siriraj Hosp, Dept Med, Bangkok, Thailand; [Anthanont, Pimjai] Thammasat Univ, Thammasat Hosp, Dept Med, Pathum Thani, Thailand; [Vathesatogkit, Prin; Sriphrapradang, Chutintorn] Mahidol Univ, Ramathibodi Hosp, Dept Med, Bangkok, Thailand; [Senthong, Vichai] Khon Kaen Univ, Srinagarind Hosp, Dept Med, Khon Kaen, Thailand; [Torpongpun, Artit; Suteerayongprasert, Panuwat] Chonburi Hosp, Dept Med, Minist Publ Hlth, Chon Buri, Thailand; [Pengpong, Nawarat] King Prajadhipok Mem Hosp, Dept Med, Chanthaburi, Thailand; [Sathavarodom, Nattapol] Phramongkutklao Hosp, Coll Med, Dept Med, Bangkok, Thailand; [Sunanta, Usanee] Bhumibol Adulyadej Hosp, Dept Med, Bangkok, Thailand; [Porntharukchareon, Thachanun] Chulabhorn Hosp, Chulabhorn Royal Acad, Dept Med, Bangkok, Thailand; [Kiatpanabhikul, Phatharaporn] Charoenkrung Pracharak Hosp, Dept Med, Bangkok Metropolitan Adm, Bangkok, Thailand; [Kaewkrasaesin, Chatchon] Taksin Hosp, Dept Med, Bangkok Metropolitan Adm, Bangkok, Thailand; [Suraamornkul, Swangjit] Navamindradhiraj Univ, Vajira Hosp, Dept Med, Bangkok, Thailand; [Kongkit, Jaruwan] Vachira Phuket Hosp, Dept Med, Minist Publ Hlth, Phuket, Thailand; [Umphonsathien, Mongkontida] Police Gen Hosp, Dept Med, Bangkok, Thailand; [Chattranukulchai, Pairoj; Khovidhunkit, Weerapan] Chulalongkorn Univ, King Chulalongkorn Mem Hosp, Dept Med, Bangkok, Thailand; [Jiamjarasrungsi, Wiroj] Chulalongkorn Univ, King Chulalongkorn Mem Hosp, Dept Prevent &amp; Social Med, Bangkok, Thailand; [Khovidhunkit, Weerapan] Chulalongkorn Univ, King Chulalongkorn Mem Hosp, Fac Med, Hormonal &amp; Metab Disorders Res Unit,Dept Med, Bhumisirimangalanusorn Bldg,4th floor,Rama 4 Rd, Bangkok 10330, Thailand; [Khovidhunkit, Weerapan] Fac Med Chulalongkorn Univ, King Chulalongkorn Mem Hosp, Dept Med, Div Endocrinol &amp; Metab, Bhumisirimangalanusorn Bldg,4th floor,Rama 4 Rd, Bangkok 10330, Thailand</t>
  </si>
  <si>
    <t>Khovidhunkit, W (corresponding author), Chulalongkorn Univ, King Chulalongkorn Mem Hosp, Fac Med, Hormonal &amp; Metab Disorders Res Unit,Dept Med, Bhumisirimangalanusorn Bldg,4th floor,Rama 4 Rd, Bangkok 10330, Thailand.;Khovidhunkit, W (corresponding author), Fac Med Chulalongkorn Univ, King Chulalongkorn Mem Hosp, Dept Med, Div Endocrinol &amp; Metab, Bhumisirimangalanusorn Bldg,4th floor,Rama 4 Rd, Bangkok 10330, Thailand.</t>
  </si>
  <si>
    <t>wkhovid@gmail.com</t>
  </si>
  <si>
    <t>Porntharukchareon, Thachanun/HTL-5300-2023</t>
  </si>
  <si>
    <t>Chulalongkorn University; Endocrine Society of Thailand; Medical Council of Thailand; Royal College of Physicians of Thailand; Health Systems Research Institute; [63-082]; [64-093]; [CU_GR_63_94_30_01]; [RA-MF-58-63]; [RA-MF-18/64]</t>
  </si>
  <si>
    <t>Chulalongkorn University(Chulalongkorn University); Endocrine Society of Thailand; Medical Council of Thailand; Royal College of Physicians of Thailand; Health Systems Research Institute; ; ; ; ;</t>
  </si>
  <si>
    <t>This work was supported by fundings from the Health Systems Research Institute (63-082 and 64-093) , Rat chadapiseksompotch Funds, Chulalongkorn University (CU_GR_63_94_30_01, RA-MF-58-63 and RA-MF-18/64) , the Endocrine Society of Thailand, the Medical Council of Thailand and the Royal College of Physicians of Thailand.</t>
  </si>
  <si>
    <t>JAPAN ATHEROSCLEROSIS SOC</t>
  </si>
  <si>
    <t>NICHINAI-KAIKAN B1, 3-28-8 HONGO BUNKYO-KU, TOKYO, 113-0033, JAPAN</t>
  </si>
  <si>
    <t>1340-3478</t>
  </si>
  <si>
    <t>1880-3873</t>
  </si>
  <si>
    <t>J ATHEROSCLER THROMB</t>
  </si>
  <si>
    <t>J. Atheroscler. Thromb.</t>
  </si>
  <si>
    <t>10.5551/jat.64081</t>
  </si>
  <si>
    <t>Peripheral Vascular Disease</t>
  </si>
  <si>
    <t>Cardiovascular System &amp; Cardiology</t>
  </si>
  <si>
    <t>Z9WX6</t>
  </si>
  <si>
    <t>WOS:000996179600001</t>
  </si>
  <si>
    <t>Bauer, E; Greisel, M; Kuznetsov, I; Berndt, M; Kollar, I; Dresel, M; Fischer, MR; Fischer, F</t>
  </si>
  <si>
    <t>Bauer, Elisabeth; Greisel, Martin; Kuznetsov, Ilia; Berndt, Markus; Kollar, Ingo; Dresel, Markus; Fischer, Martin R. R.; Fischer, Frank</t>
  </si>
  <si>
    <t>BRITISH JOURNAL OF EDUCATIONAL TECHNOLOGY</t>
  </si>
  <si>
    <t>HIGHER-EDUCATION; SELF-REGULATION; STUDENTS; IMPACT; PERCEPTIONS; SKILLS; PERFORMANCE; COMPETENCE; AWARENESS; EXAMPLES</t>
  </si>
  <si>
    <t>Advancements in artificial intelligence are rapidly increasing. The new-generation large language models, such as ChatGPT and GPT-4, bear the potential to transform educational approaches, such as peer-feedback. To investigate peer-feedback at the intersection of natural language processing (NLP) and educational research, this paper suggests a cross-disciplinary framework that aims to facilitate the development of NLP-based adaptive measures for supporting peer-feedback processes in digital learning environments. To conceptualize this process, we introduce a peer-feedback process model, which describes learners' activities and textual products. Further, we introduce a terminological and procedural scheme that facilitates systematically deriving measures to foster the peer-feedback process and how NLP may enhance the adaptivity of such learning support. Building on prior research on education and NLP, we apply this scheme to all learner activities of the peer-feedback process model to exemplify a range of NLP-based adaptive support measures. We also discuss the current challenges and suggest directions for future cross-disciplinary research on the effectiveness and other dimensions of NLP-based adaptive support for peer-feedback. Building on our suggested framework, future research and collaborations at the intersection of education and NLP can innovate peer-feedback in digital learning environments.</t>
  </si>
  <si>
    <t>[Bauer, Elisabeth; Fischer, Frank] Ludwig Maximilians Univ Munchen, Dept Psychol, Munich, Germany; [Bauer, Elisabeth] Tech Univ Munich, Sch Social Sci &amp; Technol, Munich, Germany; [Greisel, Martin; Kollar, Ingo; Dresel, Markus] Univ Augsburg, Fac Philosophy &amp; Social Sci, Augsburg, Germany; [Kuznetsov, Ilia] Tech Univ Darmstadt, Dept Comp Sci, Ubiquitous Knowledge Proc Lab, Darmstadt, Germany; [Kuznetsov, Ilia] Tech Univ Darmstadt, Hessian Ctr AI hessian AI, Darmstadt, Germany; [Berndt, Markus; Fischer, Martin R. R.] Univ Hosp LMU Munich, Inst Med Educ, Munich, Germany; [Bauer, Elisabeth] Tech Univ Munich, Friedl Scholler Endowed Chair Educ Psychol, Sch Social Sci &amp; Technol, Arcisstr 21, D-80333 Munich, Germany</t>
  </si>
  <si>
    <t>University of Munich; Technical University of Munich; University of Augsburg; Technical University of Darmstadt; Technical University of Darmstadt; University of Munich; Technical University of Munich</t>
  </si>
  <si>
    <t>Bauer, E (corresponding author), Tech Univ Munich, Friedl Scholler Endowed Chair Educ Psychol, Sch Social Sci &amp; Technol, Arcisstr 21, D-80333 Munich, Germany.</t>
  </si>
  <si>
    <t>eli.bauer@tum.de; martin.greisel@uni-a.de</t>
  </si>
  <si>
    <t>Bundesministerium fur Bildung und Forschung [16DHL1040]; Deutsche Forschungsgemeinschaft [DFG FOR 2385]; Stiftung Innovation in der Hochschullehre [FMM120-2020]</t>
  </si>
  <si>
    <t>Bundesministerium fur Bildung und Forschung(Federal Ministry of Education &amp; Research (BMBF)); Deutsche Forschungsgemeinschaft(German Research Foundation (DFG)); Stiftung Innovation in der Hochschullehre</t>
  </si>
  <si>
    <t>Bundesministerium fur Bildung und Forschung, Grant/Award Number: 16DHL1040; Deutsche Forschungsgemeinschaft, Grant/Award Number: DFG FOR 2385; Stiftung Innovation in der Hochschullehre, Grant/Award Number: FMM120-2020</t>
  </si>
  <si>
    <t>0007-1013</t>
  </si>
  <si>
    <t>1467-8535</t>
  </si>
  <si>
    <t>BRIT J EDUC TECHNOL</t>
  </si>
  <si>
    <t>Br. J. Educ. Technol.</t>
  </si>
  <si>
    <t>2023 MAY 17</t>
  </si>
  <si>
    <t>G9KN2</t>
  </si>
  <si>
    <t>WOS:000992259800001</t>
  </si>
  <si>
    <t>Pan, RH; García-Díaz, JA; Garcia-Sanchez, F; Valencia-García, R</t>
  </si>
  <si>
    <t>Pan, Ronghao; Garcia-Diaz, Jose Antonio; Garcia-Sanchez, Francisco; Valencia-Garcia, Rafael</t>
  </si>
  <si>
    <t>Evaluation of transformer models for financial targeted sentiment analysis in Spanish</t>
  </si>
  <si>
    <t>PEERJ COMPUTER SCIENCE</t>
  </si>
  <si>
    <t>Sentiment analysis; Natural language processing; Financial domain; Targeted sentiment analysis</t>
  </si>
  <si>
    <t>LANGUAGE</t>
  </si>
  <si>
    <t>Nowadays, financial data from social media plays an important role to predict the stock market. However, the exponential growth of financial information and the different polarities of sentiment that other sectors or stakeholders may have on the same information has led to the need for new technologies that automatically collect and classify large volumes of information quickly and easily for each stakeholder. In this scenario, we conduct a targeted sentiment analysis that can automatically extract the main economic target from financial texts and obtain the polarity of a text towards such main economic target, other companies and society in general. To this end, we have compiled a novel corpus of financial tweets and news headlines in Spanish, constituting a valuable resource for the Spanish-focused research community. In addition, we have carried out a performance comparison of different Spanish-specific large language models, with MarIA and BETO achieving the best results. Our best result has an overall performance of 76.04%, 74.16%, and 68.07% in macro F1-score for the sentiment classification towards the main economic target, society, and other companies, respectively, and an accuracy of 69.74% for target detection. We have also evaluated the performance of multi-label classification models in this context and obtained a performance of 71.13%.</t>
  </si>
  <si>
    <t>[Pan, Ronghao; Garcia-Diaz, Jose Antonio; Garcia-Sanchez, Francisco; Valencia-Garcia, Rafael] Univ Murcia, Fac Informat, Murcia, Spain</t>
  </si>
  <si>
    <t>University of Murcia</t>
  </si>
  <si>
    <t>Valencia-García, R (corresponding author), Univ Murcia, Fac Informat, Murcia, Spain.</t>
  </si>
  <si>
    <t>valencia@um.es</t>
  </si>
  <si>
    <t>Valencia-Garcia, Rafael/L-4759-2014</t>
  </si>
  <si>
    <t>Valencia-Garcia, Rafael/0000-0003-2457-1791</t>
  </si>
  <si>
    <t>MCIN/AEI [PDC2021-121112-I00, TED2021-131167B-I00]; European Union NextGenerationEU/PRTR; Seneca Foundation-the Regional Agency for Science and Technology of Murcia (Spain); Banco Santander; University of Murcia; [20963/PI/18]; [PID2019-107652RB-I00/AEI]</t>
  </si>
  <si>
    <t>MCIN/AEI; European Union NextGenerationEU/PRTR(European Union (EU)); Seneca Foundation-the Regional Agency for Science and Technology of Murcia (Spain); Banco Santander; University of Murcia; ;</t>
  </si>
  <si>
    <t>This work is part of the research projects AIInFunds (PDC2021-121112-I00) and LT-SWM (TED2021-131167B-I00) funded by MCIN/AEI/10.13039/501100011033 and by the European Union NextGenerationEU/PRTR. This work is also part of the research project LaTe4PSP (PID2019-107652RB-I00/AEI/10.13039/501100011033) funded by MCIN/AEI/10.13039/501100011033. Besides, it was supported by the Seneca Foundation-the Regional Agency for Science and Technology of Murcia (Spain) -through project 20963/PI/18. In addition, Jose Antonio Garcia-Diaz is supported by Banco Santander and the University of Murcia through the Doctorado Industrial programme. The funders had no role in study design, data collection and analysis, decision to publish, or preparation of the manuscript.</t>
  </si>
  <si>
    <t>PEERJ INC</t>
  </si>
  <si>
    <t>341-345 OLD ST, THIRD FLR, LONDON, EC1V 9LL, ENGLAND</t>
  </si>
  <si>
    <t>2376-5992</t>
  </si>
  <si>
    <t>PEERJ COMPUT SCI</t>
  </si>
  <si>
    <t>PeerJ Comput. Sci.</t>
  </si>
  <si>
    <t>MAY 9</t>
  </si>
  <si>
    <t>e1377</t>
  </si>
  <si>
    <t>10.7717/peerj-cs.1377</t>
  </si>
  <si>
    <t>H5LY1</t>
  </si>
  <si>
    <t>WOS:000996387100005</t>
  </si>
  <si>
    <t>Park, Y; Shin, Y</t>
  </si>
  <si>
    <t>Park, Youngki; Shin, Youhyun</t>
  </si>
  <si>
    <t>Using Multiple Monolingual Models for Efficiently Embedding Korean and English Conversational Sentences</t>
  </si>
  <si>
    <t>APPLIED SCIENCES-BASEL</t>
  </si>
  <si>
    <t>natural language processing; multiple monolingual models; sentence transformers</t>
  </si>
  <si>
    <t>This paper presents a novel approach for finding the most semantically similar conversational sentences in Korean and English. Our method involves training separate embedding models for each language and using a hybrid algorithm that selects the appropriate model based on the language of the query. For the Korean model, we fine-tuned the KLUE-RoBERTa-small model using publicly available semantic textual similarity datasets and used Principal Component Analysis (PCA) to reduce the resulting embedding vectors. We also selected a highly-performing English embedding model from available SBERT models. We compared our approach to existing multilingual models using both human-generated and large language model-generated conversational datasets. Our experimental results demonstrate that our hybrid approach outperforms state-of-the-art multilingual models in terms of accuracy, elapsed time for sentence embedding, and elapsed time for finding the nearest neighbor, regardless of whether a GPU is used. These findings highlight the potential benefits of training separate embedding models for different languages, particularly for tasks involving finding the most semantically similar conversational sentences. We expect that our approach will be used for diverse natural language processing-related fields, including machine learning education.</t>
  </si>
  <si>
    <t>[Park, Youngki] Chuncheon Natl Univ Educ, Dept Comp Educ, Chunchon 24328, South Korea; [Shin, Youhyun] Incheon Natl Univ, Dept Comp Sci &amp; Engn, Incheon 22012, South Korea</t>
  </si>
  <si>
    <t>Incheon National University</t>
  </si>
  <si>
    <t>Shin, Y (corresponding author), Incheon Natl Univ, Dept Comp Sci &amp; Engn, Incheon 22012, South Korea.</t>
  </si>
  <si>
    <t>ypark@cnue.ac.kr; yhshin@inu.ac.kr</t>
  </si>
  <si>
    <t>Park, Youngki/0000-0002-7006-1402</t>
  </si>
  <si>
    <t>This work was supported by an Incheon National University Research Grant in 2022.</t>
  </si>
  <si>
    <t>2076-3417</t>
  </si>
  <si>
    <t>APPL SCI-BASEL</t>
  </si>
  <si>
    <t>Appl. Sci.-Basel</t>
  </si>
  <si>
    <t>MAY 7</t>
  </si>
  <si>
    <t>10.3390/app13095771</t>
  </si>
  <si>
    <t>Chemistry, Multidisciplinary; Engineering, Multidisciplinary; Materials Science, Multidisciplinary; Physics, Applied</t>
  </si>
  <si>
    <t>Chemistry; Engineering; Materials Science; Physics</t>
  </si>
  <si>
    <t>G1OV6</t>
  </si>
  <si>
    <t>WOS:000986943100001</t>
  </si>
  <si>
    <t>Adomako-Kwakye, C</t>
  </si>
  <si>
    <t>Adomako-Kwakye, Chris</t>
  </si>
  <si>
    <t>WOULD GHANA ESCAPE THE RESOURCE CURSE? REFLECTIONS ON THE MINISTER OF FINANCE'S POWER UNDER THE PETROLEUM REVENUE MANAGEMENT ACT AS AMENDED</t>
  </si>
  <si>
    <t>AFRICAN JOURNAL OF INTERNATIONAL AND COMPARATIVE LAW</t>
  </si>
  <si>
    <t>NATURAL-RESOURCES</t>
  </si>
  <si>
    <t>[Adomako-Kwakye, Chris] Univ Cape Town, Cape Town, South Africa</t>
  </si>
  <si>
    <t>University of Cape Town</t>
  </si>
  <si>
    <t>Adomako-Kwakye, C (corresponding author), Univ Cape Town, Cape Town, South Africa.</t>
  </si>
  <si>
    <t>Kwame Nkrumah University of Science and Technology</t>
  </si>
  <si>
    <t>Senior Lecturer, BA (Hons) Law and Political Science (Ghana), BL (Ghana), LLM (Bristol), PhD (UCT, Cape Town). This article is based on a portion of the author's PhD thesis at the University of Cape Town, South Africa. I thank my supervisors, Professor Hanri Mostert, DST/NRF SARCHI Chair, Mineral Law in Africa (MLiA), UCT and Professor Tracy Gutuza. I acknowledge financial assistance from Kwame Nkrumah University of Science and Technology,</t>
  </si>
  <si>
    <t>0954-8890</t>
  </si>
  <si>
    <t>1755-1609</t>
  </si>
  <si>
    <t>AFR J INT COMP LAW</t>
  </si>
  <si>
    <t>Afr. J. Int. Comp. Law</t>
  </si>
  <si>
    <t>MAY</t>
  </si>
  <si>
    <t>10.3366/ajicl.2023.0441</t>
  </si>
  <si>
    <t>L2XE4</t>
  </si>
  <si>
    <t>WOS:001021931900002</t>
  </si>
  <si>
    <t>Torres, FE</t>
  </si>
  <si>
    <t>Torres, Felix E.</t>
  </si>
  <si>
    <t>On Deserving Victims and the Undeserving Poor: Exploring the Scope of Distributive Justice in Transitional Justice Theory and Practice</t>
  </si>
  <si>
    <t>HUMAN RIGHTS QUARTERLY</t>
  </si>
  <si>
    <t>HUMAN-RIGHTS; SOCIOECONOMIC RIGHTS; REFLECTIONS; EQUALITY; VIOLENCE</t>
  </si>
  <si>
    <t>This article explores the relationship between distributive justice and tran-sitional justice in post-conflict societies with challenging socioeconomic demands. It revisits the main philosophical debate on distributive justice in the Anglo-American tradition and traces its reception by academics and practitioners in the fields of development, human rights, and transitional justice. The article shows that transitional justice often sets in motion an opportunity conception of distributive justice that revolves around individual responsibility and deservingness, which entails three negative consequences affecting victims and non-victims alike. First, it justifies an unequal guarantee of their economic and social rights; second, it undermines their self-respect; third, it exhausts public support for victim-oriented policies. In so doing, this article distances itself from the existing consensus that transitional justice and distributive justice are different spheres of justice and argues that it is necessary to develop theoretical frameworks that recognize their intimate connection to overcome the pitfalls identified.</t>
  </si>
  <si>
    <t>[Torres, Felix E.] Univ Birmingham, Law Sch, Birmingham, England</t>
  </si>
  <si>
    <t>University of Birmingham</t>
  </si>
  <si>
    <t>Torres, FE (corresponding author), Univ Birmingham, Law Sch, Birmingham, England.</t>
  </si>
  <si>
    <t>University of Birmingham Law School under the Reskill scheme</t>
  </si>
  <si>
    <t>This article received funding from the University of Birmingham Law School under the Reskill scheme, which enabled the author to have valuable research assistance from LLM student Jack Keating. The author would like to thank members of the Global Legal Studies research group for discussing the text, especially Natasa Mavronicola and Bosko Tripkovic for written comments. The text was also presented on June 24, 2022, at the workshop organized by the Transformative Justice Network and the author extends his gratitude to Matthew Evans, Padraig McAuliffe, and Simon Robins for their feedback.</t>
  </si>
  <si>
    <t>JOHNS HOPKINS UNIV PRESS</t>
  </si>
  <si>
    <t>BALTIMORE</t>
  </si>
  <si>
    <t>JOURNALS PUBLISHING DIVISION, 2715 NORTH CHARLES ST, BALTIMORE, MD 21218-4363 USA</t>
  </si>
  <si>
    <t>0275-0392</t>
  </si>
  <si>
    <t>1085-794X</t>
  </si>
  <si>
    <t>HUM RIGHTS QUART</t>
  </si>
  <si>
    <t>Hum. Rights Q.</t>
  </si>
  <si>
    <t>10.1353/hrq.2023.0015</t>
  </si>
  <si>
    <t>Political Science; Social Issues</t>
  </si>
  <si>
    <t>Government &amp; Law; Social Issues</t>
  </si>
  <si>
    <t>G4BT4</t>
  </si>
  <si>
    <t>Green Published</t>
  </si>
  <si>
    <t>WOS:000988636300006</t>
  </si>
  <si>
    <t>Chen, AK; Yu, ZH; Yang, X; Guo, Y; Bian, J; Wu, YH</t>
  </si>
  <si>
    <t>Chen, Aokun; Yu, Zehao; Yang, Xi; Guo, Yi; Bian, Jiang; Wu, Yonghui</t>
  </si>
  <si>
    <t>JOURNAL OF BIOMEDICAL INFORMATICS</t>
  </si>
  <si>
    <t>Medication information extraction; Named entity recognition; Text classification; Deep learning; Clinical natural language processing</t>
  </si>
  <si>
    <t>SYSTEM</t>
  </si>
  <si>
    <t>Objective: To develop a natural language processing (NLP) system to extract medications and contextual infor-mation that help understand drug changes. This project is part of the 2022 n2c2 challenge. Materials and methods: We developed NLP systems for medication mention extraction, event classification (indicating medication changes discussed or not), and context classification to classify medication changes context into 5 orthogonal dimensions related to drug changes. We explored 6 state-of-the-art pretrained trans-former models for the three subtasks, including GatorTron, a large language model pretrained using &gt; 90 billion words of text (including &gt; 80 billion words from &gt; 290 million clinical notes identified at the University of Florida Health). We evaluated our NLP systems using annotated data and evaluation scripts provided by the 2022 n2c2 organizers. Results: Our GatorTron models achieved the best F1-scores of 0.9828 for medication extraction (ranked 3rd), 0.9379 for event classification (ranked 2nd), and the best micro-average accuracy of 0.9126 for context classi-fication. GatorTron outperformed existing transformer models pretrained using smaller general English text and clinical text corpora, indicating the advantage of large language models. Conclusion: This study demonstrated the advantage of using large transformer models for contextual medication information extraction from clinical narratives.</t>
  </si>
  <si>
    <t>[Chen, Aokun; Yu, Zehao; Yang, Xi; Guo, Yi; Bian, Jiang; Wu, Yonghui] Univ Florida, Coll Med, Dept Hlth Outcomes &amp; Biomed Informat, Gainesville, FL USA; [Chen, Aokun; Guo, Yi; Bian, Jiang; Wu, Yonghui] Univ Florida, Canc Informat Shared Resource, Hlth Canc Ctr, Gainesville, FL USA; [Wu, Yonghui] Clin &amp; Translat Res Bldg,2004 Mowry Rd,POB 100177, Gainesville, FL 32610 USA</t>
  </si>
  <si>
    <t>State University System of Florida; University of Florida; State University System of Florida; University of Florida</t>
  </si>
  <si>
    <t>Wu, YH (corresponding author), Clin &amp; Translat Res Bldg,2004 Mowry Rd,POB 100177, Gainesville, FL 32610 USA.</t>
  </si>
  <si>
    <t>yonghui.wu@ufl.edu</t>
  </si>
  <si>
    <t>Patient-Centered Outcomes Research Institute [1R56AG069880]; National Institute on Aging [R21AG068717, 1R01CA246418]; National Cancer Institute [3R01CA246418-02S1, 1R21CA245858-01A1, R21CA245858-01A1S1, R21CA253394-01A1, 1R01DA050676]; National Institute on Drug Abuse [1R01MH121907]; National Institute of Mental Health [1U18DP006512]; Centers for Disease Control and Prevention; [ME-2018C3-14754]</t>
  </si>
  <si>
    <t>Patient-Centered Outcomes Research Institute(Patient-Centered Outcomes Research Institute - PCORI); National Institute on Aging(United States Department of Health &amp; Human ServicesNational Institutes of Health (NIH) - USANIH National Institute on Aging (NIA)); National Cancer Institute(United States Department of Health &amp; Human ServicesNational Institutes of Health (NIH) - USANIH National Cancer Institute (NCI)); National Institute on Drug Abuse(United States Department of Health &amp; Human ServicesNational Institutes of Health (NIH) - USANIH National Institute on Drug Abuse (NIDA)); National Institute of Mental Health(United States Department of Health &amp; Human ServicesNational Institutes of Health (NIH) - USANIH National Institute of Mental Health (NIMH)); Centers for Disease Control and Prevention(United States Department of Health &amp; Human ServicesCenters for Disease Control &amp; Prevention - USA);</t>
  </si>
  <si>
    <t>This study was partially supported by grants from the Patient-Centered Outcomes Research Institute (R) (PCORI (R)) (ME-2018C3-14754) , the National Institute on Aging (1R56AG069880, R21AG068717) , the National Cancer Institute (1R01CA246418, 3R01CA246418-02S1, 1R21CA245858-01A1, R21CA245858-01A1S1, R21CA253394-01A1, R21CA253394-01A1) , National Institute on Drug Abuse (1R01DA050676) , National Institute of Mental Health (1R01MH121907) , and Centers for Disease Control and Prevention (1U18DP006512) .</t>
  </si>
  <si>
    <t>1532-0464</t>
  </si>
  <si>
    <t>1532-0480</t>
  </si>
  <si>
    <t>J BIOMED INFORM</t>
  </si>
  <si>
    <t>J. Biomed. Inform.</t>
  </si>
  <si>
    <t>APR 2023</t>
  </si>
  <si>
    <t>Computer Science, Interdisciplinary Applications; Medical Informatics</t>
  </si>
  <si>
    <t>Computer Science; Medical Informatics</t>
  </si>
  <si>
    <t>G7TL5</t>
  </si>
  <si>
    <t>WOS:000991137100001</t>
  </si>
  <si>
    <t>Saini, R; Brasseur, JG; Mehdizadeh, A</t>
  </si>
  <si>
    <t>Saini, Rohit; Brasseur, James G.; Mehdizadeh, Amirfarhang</t>
  </si>
  <si>
    <t>A foundational step towards understanding and improving the transition between URANS and LES in hybrid URANS-LES methodology</t>
  </si>
  <si>
    <t>COMPUTERS &amp; FLUIDS</t>
  </si>
  <si>
    <t>Turbulent wall-bounded flows; Hybrid URANS/LES approach; Transition dynamics; Departure-from-equilibrium effects</t>
  </si>
  <si>
    <t>LARGE-EDDY SIMULATION; ISOTROPIC TURBULENCE; PART 1; MODEL; FLOW; LAYER; RANS; FORMULATION; INTERFACE; DECAY</t>
  </si>
  <si>
    <t>Appropriate transition between URANS and LES plays an integral role in the performance of hybrid URANS-LES techniques. However, dynamics of the transition region (also known as the Gray Area) have not yet been well understood, despite several efforts to mitigate negative impacts of inappropriate modeling of this region such as deviation from law-of-the-wall (also referred to as log-layer mismatch (LLM)) in turbulent attached boundary layers. The current paper centers on Scale Adaptive Simulation (SAS) hybrid URANS-LES methods and aims to address some shortcomings of the SAS methodology while providing new insights into the dynamics of the Gray Area. More specifically, necessary requirements, including the length scale, grid design and underlying RANS model to appropriately model essential dynamics of the Gray Area and, thus, mitigating the log-layer mismatch, are presented, which could be used for broader framework of hybrid URANS/LES and probably wall-modeled LES approaches. SAS methods traditionally have difficulty transitioning from URANS to LES without a sufficiently unstable base flow. Here we introduce an improved triggering mechanism based on departure-from-equilibrium dynamics formulated for the SAS method, primarily to enable the model to transition from URANS to scale resolving mode in attached/mildly separated flows, a well-known deficiency of the classical SAS formulations. The improved triggering mechanism considers deviations from equilibrium through a vortex stretching term in the dynamical equation for turbulent dissipation rate. The present study demonstrates that the length scale obtained for the gray area using straightforward blending of URANS and LES regions results in inaccurate transition dynamics. Therefore, we introduce a transport equation for the length scale of energy-containing eddies that allows an appropriate transition of length scale from URANS to LES mode. The modified framework uses the k - epsilon - zeta - f model as the underlying RANS model and is shown to trigger a transition from URANS to LES in stable attached stationary turbulent channel flow and mitigate the log-layer mismatch problem to a great extent. When applied to flows that feature boundary layer separation (flow over a periodic hill and flow over the wall-mounted hump), the current hybrid framework delivers results in agreement with existing experimental data and comparable to high fidelity LES calculations.</t>
  </si>
  <si>
    <t>[Saini, Rohit; Mehdizadeh, Amirfarhang] Univ Missouri Kansas City, Sch Sci &amp; Engn, Div Energy Matter &amp; Syst, Kansas City, MO 64110 USA; [Brasseur, James G.] Univ Colorado, Ann &amp; HJ Smead Aerosp Engn Sci, Boulder, CO USA</t>
  </si>
  <si>
    <t>University of Missouri System; University of Missouri Kansas City; University of Colorado System; University of Colorado Boulder</t>
  </si>
  <si>
    <t>Mehdizadeh, A (corresponding author), Univ Missouri Kansas City, Sch Sci &amp; Engn, Div Energy Matter &amp; Syst, Kansas City, MO 64110 USA.</t>
  </si>
  <si>
    <t>mehdizadeha@umkc.edu</t>
  </si>
  <si>
    <t>University of Missouri-Kansas City</t>
  </si>
  <si>
    <t>This work was supported using start-up funds from the University of Missouri-Kansas City. Authors would like to thank Prof. Kemal Hanjalic for fruitful discussions on the potential of sensitized RANS approaches.</t>
  </si>
  <si>
    <t>0045-7930</t>
  </si>
  <si>
    <t>1879-0747</t>
  </si>
  <si>
    <t>COMPUT FLUIDS</t>
  </si>
  <si>
    <t>Comput. Fluids</t>
  </si>
  <si>
    <t>10.1016/j.compfluid.2023.105896</t>
  </si>
  <si>
    <t>Computer Science, Interdisciplinary Applications; Mechanics</t>
  </si>
  <si>
    <t>Computer Science; Mechanics</t>
  </si>
  <si>
    <t>G5DP3</t>
  </si>
  <si>
    <t>WOS:000989361900001</t>
  </si>
  <si>
    <t>Sowter, D</t>
  </si>
  <si>
    <t>Sowter, Deanne</t>
  </si>
  <si>
    <t>The bounds of legality: an exploration of the limits on ethical advocacy in family law</t>
  </si>
  <si>
    <t>LEGAL ETHICS</t>
  </si>
  <si>
    <t>Legal ethics; legal theory; family law; family violence; dispute resolution</t>
  </si>
  <si>
    <t>COERCIVE CONTROL; RESPONSIBILITY</t>
  </si>
  <si>
    <t>It seems to be commonly understood that sometimes a family lawyer's advocacy can go too far; however, absent disciplinary proceedings or a claim in negligence, it is not always easy to identify exactly what line a lawyer has crossed. A lawyer's role, properly understood, is to pursue their client's interests within the bounds of legality. In this paper, I examine the positivist conception of the bounds of legality in the context of family law. My examination includes consideration of adversarial and non-adversarial advocacy, how much resolve a lawyer can properly use as an advocate, and the means of a lawyer's craft - both substantive and procedural tactics. In doing so, I provide a theoretical mapping of the bounds of legality, demonstrating that they are insufficient in family law. My aim is to provide the theoretical tools to help inform change to family law, and the law and professional rules governing lawyers.</t>
  </si>
  <si>
    <t>[Sowter, Deanne] Osgoode Hall Law Sch, N York, ON, Canada</t>
  </si>
  <si>
    <t>York University - Canada</t>
  </si>
  <si>
    <t>Sowter, D (corresponding author), Osgoode Hall Law Sch, N York, ON, Canada.</t>
  </si>
  <si>
    <t>deannesowter@osgoode.yorku.ca</t>
  </si>
  <si>
    <t>Social Sciences and Humanities Research Council</t>
  </si>
  <si>
    <t>Social Sciences and Humanities Research Council(Social Sciences and Humanities Research Council of Canada (SSHRC))</t>
  </si>
  <si>
    <t>This paper is adapted from my LLM thesis entitled, 'The Bounds of Legality for Family Lawyers: Is the Law Enough?' (LLM Long Thesis, University of Toronto, 2020). This paper draws on research supported by the Social Sciences and Humanities Research Council (Joseph-Armand Bombardier Canada Graduate Scholarship - Master's; Vanier Canada Graduate Scholarship).</t>
  </si>
  <si>
    <t>1460-728X</t>
  </si>
  <si>
    <t>1757-8450</t>
  </si>
  <si>
    <t>LEG ETHICS</t>
  </si>
  <si>
    <t>Leg. Ethics</t>
  </si>
  <si>
    <t>1-2</t>
  </si>
  <si>
    <t>10.1080/1460728x.2023.2206291</t>
  </si>
  <si>
    <t>M1RX9</t>
  </si>
  <si>
    <t>WOS:000979878400001</t>
  </si>
  <si>
    <t>Schöbel, S; Schmitt, A; Benner, D; Saqr, M; Janson, A; Leimeister, JM</t>
  </si>
  <si>
    <t>Schoebel, Sofia; Schmitt, Anuschka; Benner, Dennis; Saqr, Mohammed; Janson, Andreas; Leimeister, Jan Marco</t>
  </si>
  <si>
    <t>Charting the Evolution and Future of Conversational Agents: A Research Agenda Along Five Waves and New Frontiers</t>
  </si>
  <si>
    <t>INFORMATION SYSTEMS FRONTIERS</t>
  </si>
  <si>
    <t>Bibliometric analysis; Chatbot; Conversational agent; Voice assistant; ChatGPT; Large language models; Generative artificial intelligence</t>
  </si>
  <si>
    <t>PERSPECTIVE; SYSTEMS; SCIENCE</t>
  </si>
  <si>
    <t>Conversational agents (CAs) have come a long way from their first appearance in the 1960s to today's generative models. Continuous technological advancements such as statistical computing and large language models allow for an increasingly natural and effortless interaction, as well as domain-agnostic deployment opportunities. Ultimately, this evolution begs multiple questions: How have technical capabilities developed? How is the nature of work changed through humans' interaction with conversational agents? How has research framed dominant perceptions and depictions of such agents? And what is the path forward? To address these questions, we conducted a bibliometric study including over 5000 research articles on CAs. Based on a systematic analysis of keywords, topics, and author networks, we derive five waves of CA research that describe the past, present, and potential future of research on CAs. Our results highlight fundamental technical evolutions and theoretical paradigms in CA research. Therefore, we discuss the moderating role of big technologies, and novel technological advancements like OpenAI GPT or BLOOM NLU that mark the next frontier of CA research. We contribute to theory by laying out central research streams in CA research, and offer practical implications by highlighting the design and deployment opportunities of CAs.</t>
  </si>
  <si>
    <t>[Schoebel, Sofia] Univ Osnabruck, Informat Syst, Osnabruck, Germany; [Schmitt, Anuschka; Janson, Andreas; Leimeister, Jan Marco] Univ St Gallen, Inst Informat Management IWI HSG, St Gallen, Switzerland; [Benner, Dennis; Leimeister, Jan Marco] Univ Kassel, Informat Syst Res Ctr IS Design ITeG, Kassel, Germany; [Saqr, Mohammed] Univ Eastern Finland, Sch Comp, Joensuu, Finland</t>
  </si>
  <si>
    <t>University Osnabruck; University of St Gallen; Universitat Kassel; University of Eastern Finland</t>
  </si>
  <si>
    <t>Schöbel, S (corresponding author), Univ Osnabruck, Informat Syst, Osnabruck, Germany.</t>
  </si>
  <si>
    <t>sofia.schoebel@uni-osnabrueck.de; anuschka.schmitt@unisg.ch; benner@uni-kassel.de; mohammed.saqr@uef.fi; andreas.janson@unisg.ch; leimeister@uni-kassel.de</t>
  </si>
  <si>
    <t>Saqr, Mohammed/AAH-2520-2020</t>
  </si>
  <si>
    <t>Stiftung Innovation in der Hochschullehre; Swiss National Science Foundation [100013_192718]; Academy of Finland (Suomen Akatemia) Research Council for Natural Sciences and Engineering [350560]; Basic Research Fund (GFF) of the University of St. Gallen; Swiss National Science Foundation (SNF) [100013_192718] Funding Source: Swiss National Science Foundation (SNF)</t>
  </si>
  <si>
    <t>Stiftung Innovation in der Hochschullehre; Swiss National Science Foundation(Swiss National Science Foundation (SNSF)); Academy of Finland (Suomen Akatemia) Research Council for Natural Sciences and Engineering(Research Council of Finland); Basic Research Fund (GFF) of the University of St. Gallen; Swiss National Science Foundation (SNF)(Swiss National Science Foundation (SNSF))</t>
  </si>
  <si>
    <t>The authors acknowledge partial funding of the following funding bodies: Stiftung Innovation in der Hochschullehre within the project Universitaet Kassel digital: Universitaere Lehre neu gestalten, Swiss National Science Foundation (project ID: 100013_192718), Academy of Finland (Suomen Akatemia) Research Council for Natural Sciences and Engineering for the project Towards precision education: Idiographic learning analytics (TOPEILA), Decision Number 350560, and the fifth author acknowledges personal funding from the Basic Research Fund (GFF) of the University of St. Gallen.</t>
  </si>
  <si>
    <t>1387-3326</t>
  </si>
  <si>
    <t>1572-9419</t>
  </si>
  <si>
    <t>INFORM SYST FRONT</t>
  </si>
  <si>
    <t>Inf. Syst. Front.</t>
  </si>
  <si>
    <t>2023 APR 20</t>
  </si>
  <si>
    <t>10.1007/s10796-023-10375-9</t>
  </si>
  <si>
    <t>Computer Science, Information Systems; Computer Science, Theory &amp; Methods</t>
  </si>
  <si>
    <t>E0VD1</t>
  </si>
  <si>
    <t>WOS:000972807600001</t>
  </si>
  <si>
    <t>Chitimira, H; Munedzi, S</t>
  </si>
  <si>
    <t>Chitimira, Howard; Munedzi, Sharon</t>
  </si>
  <si>
    <t>Historical aspects of customer due diligence and related anti-money laundering measures in South Africa</t>
  </si>
  <si>
    <t>JOURNAL OF MONEY LAUNDERING CONTROL</t>
  </si>
  <si>
    <t>Customer due diligence; Identification; Verification; Money laundering; Measures</t>
  </si>
  <si>
    <t>PurposeThis paper explores the historical aspects of customer due diligence and related anti-money laundering measures in South Africa. Customer due diligence measures are usually employed to ensure that financial institutions know their customers well by assessing them against the possible risks they might pose such as fraud, money laundering, Ponzi schemes and terrorist financing. Accordingly, customer due diligence measures enable banks and other financial institutions to assess their customers before they conclude any transactions with them. Customer due diligence measures that are utilised in South Africa include identification and verification of customer identity, keeping records of transactions concluded between customers and financial institutions, ongoing monitoring of customer account activities, reporting unusual and suspicious transactions and risk assessment programmes. The Financial Intelligence Centre Act 38 of 2001 (FICA) as amended by the Financial Intelligence Centre Amendment Act 1 of 2017 (Amendment Act) is the primary statute that provides for the adoption and use of customer due diligence measures to detect and combat money laundering in South Africa. Prior to the enactment of the FICA, several other statutes were enacted in a bid to prohibit money laundering in South Africa. Against this background, the article provides a historical overview analysis of these statutes to, inter alia, explore their adequacy and examine whether they consistently complied with the Financial Action Task Force Recommendations on the regulation of money laundering. Design/methodology/approachThe paper provides an overview analysis of the historical aspects of the regulation and use of customer due diligence to combat money laundering in South Africa. In this regard, a qualitative research method as well as the doctrinal research method are used. FindingsIt is hoped that policymakers and other relevant persons will adopt the recommendations provided in the paper to enhance the curbing of money laundering in South Africa. Research limitations/implicationsThe paper does not provide empirical research. Practical implicationsThe paper is useful to all policymakers, lawyers, law students and regulatory bodies, especially, in South Africa. Social implicationsThe paper advocates for the use of customer due diligence measures to curb money laundering in the South African financial markets and financial institutions. Originality/valueThe paper is original research on the South African anti-money laundering regime and the use of customer due diligence measures to curb money laundering in South Africa.</t>
  </si>
  <si>
    <t>[Chitimira, Howard; Munedzi, Sharon] North West Univ, Fac Law, Potchefstroom, South Africa</t>
  </si>
  <si>
    <t>North West University - South Africa</t>
  </si>
  <si>
    <t>Chitimira, H (corresponding author), North West Univ, Fac Law, Potchefstroom, South Africa.</t>
  </si>
  <si>
    <t>Howard.Chitimira@nwu.ac.za; sharonmunedzi@gmail.com</t>
  </si>
  <si>
    <t>Chitimira, Howard/AAX-9298-2020</t>
  </si>
  <si>
    <t>Chitimira, Howard/0000-0003-1881-1242</t>
  </si>
  <si>
    <t>National Research Foundation of South Africa (NRF) [141933]; NRF</t>
  </si>
  <si>
    <t>National Research Foundation of South Africa (NRF)(National Research Foundation - South Africa); NRF</t>
  </si>
  <si>
    <t>This article was supported in part by the National Research Foundation of South Africa (NRF), Grant Number: 141933. Consequently, the authors wish to thank the NRF for its support. The article was influenced in part by S. Munedzi's Master of Laws (LLM) dissertation, The Reliance on Customer Due Diligence to Enhance the Combating of Money Laundering under the Financial Intelligence Centre Amendment Act 1 of 2017 (North-West University) 2018, pp. 18-30. In this regard, Ms Munedzi wishes to acknowledge the expert input of Prof HT Chitimira.</t>
  </si>
  <si>
    <t>EMERALD GROUP PUBLISHING LTD</t>
  </si>
  <si>
    <t>BINGLEY</t>
  </si>
  <si>
    <t>HOWARD HOUSE, WAGON LANE, BINGLEY BD16 1WA, W YORKSHIRE, ENGLAND</t>
  </si>
  <si>
    <t>1758-7808</t>
  </si>
  <si>
    <t>1368-5201</t>
  </si>
  <si>
    <t>J MONEY LAUND CONTRO</t>
  </si>
  <si>
    <t>J. Money Laund. Control</t>
  </si>
  <si>
    <t>APR 14</t>
  </si>
  <si>
    <t>10.1108/JMLC-01-2023-0016</t>
  </si>
  <si>
    <t>Criminology &amp; Penology</t>
  </si>
  <si>
    <t>D9KH0</t>
  </si>
  <si>
    <t>WOS:000971837800001</t>
  </si>
  <si>
    <t>de Curtò, J; de Zarzà, I; Roig, G; Calafate, CT</t>
  </si>
  <si>
    <t>de Curto, J.; de Zarza, I.; Roig, Gemma; Calafate, Carlos T.</t>
  </si>
  <si>
    <t>Summarization of Videos with the Signature Transform</t>
  </si>
  <si>
    <t>video summarization; large language models; visual language models; CLIP; signature transform</t>
  </si>
  <si>
    <t>This manuscript presents a new benchmark for assessing the quality of visual summaries without the need for human annotators. It is based on the Signature Transform, specifically focusing on the RMSE and the MAE Signature and Log-Signature metrics, and builds upon the assumption that uniform random sampling can offer accurate summarization capabilities. We provide a new dataset comprising videos from Youtube and their corresponding automatic audio transcriptions. Firstly, we introduce a preliminary baseline for automatic video summarization, which has at its core a Vision Transformer, an image-text model pre-trained with Contrastive Language-Image Pre-training (CLIP), as well as a module of object detection. Following that, we propose an accurate technique grounded in the harmonic components captured by the Signature Transform, which delivers compelling accuracy. The analytical measures are extensively evaluated, and we conclude that they strongly correlate with the notion of a good summary.</t>
  </si>
  <si>
    <t>[de Curto, J.; de Zarza, I.] Ctr Intelligent Multidimens Data Anal, Shatin, HK Sci Pk, Hong Kong, Peoples R China; [de Curto, J.; de Zarza, I.; Calafate, Carlos T.] Univ Politecn Valencia, Dept Informat Sistemas &amp; Comp, Valencia 46022, Spain; [de Curto, J.; de Zarza, I.; Roig, Gemma] GOETHE Univ Frankfurt Main, Informat &amp; Math, D-60323 Frankfurt, Germany; [de Curto, J.; de Zarza, I.] Univ Oberta Catalunya, Estudis Informat Multimedia &amp; Telecomunicacio, Barcelona 08018, Spain</t>
  </si>
  <si>
    <t>de Curtò, J (corresponding author), Ctr Intelligent Multidimens Data Anal, Shatin, HK Sci Pk, Hong Kong, Peoples R China.;de Curtò, J (corresponding author), Univ Politecn Valencia, Dept Informat Sistemas &amp; Comp, Valencia 46022, Spain.;de Curtò, J (corresponding author), GOETHE Univ Frankfurt Main, Informat &amp; Math, D-60323 Frankfurt, Germany.;de Curtò, J (corresponding author), Univ Oberta Catalunya, Estudis Informat Multimedia &amp; Telecomunicacio, Barcelona 08018, Spain.</t>
  </si>
  <si>
    <t>decurto@em.uni-frankfurt.de; dezarza@em.uni-frankfurt.de; roig@cs.uni-frankfurt.de; calafate@disca.upv.es</t>
  </si>
  <si>
    <t>HK Innovation and Technology Commission (InnoHK Project CIMDA); Universitat Politecnica de Valencia; MCIN/AEI [PID2021-122580NB-I00]; ERDF; GOETHE-University Frankfurt am Main; DePP-Dezentrale Plannung von Platoons im Strassenguterverkehr mit Hilfe einer KI auf Basis einzelner LKW; Center for Data Science AI</t>
  </si>
  <si>
    <t>HK Innovation and Technology Commission (InnoHK Project CIMDA); Universitat Politecnica de Valencia; MCIN/AEI; ERDF(European Union (EU)); GOETHE-University Frankfurt am Main; DePP-Dezentrale Plannung von Platoons im Strassenguterverkehr mit Hilfe einer KI auf Basis einzelner LKW; Center for Data Science AI</t>
  </si>
  <si>
    <t>This work was supported by the HK Innovation and Technology Commission (InnoHK Project CIMDA). We acknowledge the support of Universitat Politecnica de Valencia; R&amp;D project PID2021-122580NB-I00, funded by MCIN/AEI/10.13039/501100011033 and ERDF. We thank the following funding sources from GOETHE-University Frankfurt am Main; 'DePP-Dezentrale Plannung von Platoons im Strassenguterverkehr mit Hilfe einer KI auf Basis einzelner LKW' and 'Center for Data Science &amp; AI'.</t>
  </si>
  <si>
    <t>APR</t>
  </si>
  <si>
    <t>10.3390/electronics12071735</t>
  </si>
  <si>
    <t>D8AY1</t>
  </si>
  <si>
    <t>WOS:000970911900001</t>
  </si>
  <si>
    <t>Prieto, SA; Mengiste, ET; de Soto, BG</t>
  </si>
  <si>
    <t>Prieto, Samuel A.; Mengiste, Eyob T.; de Soto, Borja Garcia</t>
  </si>
  <si>
    <t>Investigating the Use of ChatGPT for the Scheduling of Construction Projects</t>
  </si>
  <si>
    <t>BUILDINGS</t>
  </si>
  <si>
    <t>natural language processing; ChatGPT; scheduling; generative pre-training transformer; project management; Construction 5; 0; GPT 3; 5</t>
  </si>
  <si>
    <t>Generative Pre-Trained Transformer (GPT) language models such as ChatGPT have the potential to revolutionize the construction industry by automating repetitive and time-consuming tasks. This paper presents a study in which ChatGPT was used to generate a construction schedule for a simple construction project. The output from ChatGPT was evaluated by a pool of participants that provided feedback regarding their overall interaction experience and the quality of the output. The results show that ChatGPT can generate a coherent schedule that follows a logical approach to fulfill the requirements of the scope indicated. The participants had an overall positive interaction experience and indicated the potential of such a tool in automating many preliminary and time-consuming tasks. However, the technology still has limitations, and further development is needed before it can be widely adopted in the industry. Overall, this study highlights the advantages of using large language models and Natural Language Processing (NLP) techniques in the construction industry and the need for further research.</t>
  </si>
  <si>
    <t>[Prieto, Samuel A.; Mengiste, Eyob T.; de Soto, Borja Garcia] New York Univ Abu Dhabi NYUAD, Div Engn, SMART Construct Res Grp, Expt Res Bldg,PO Box 129188, Abu Dhabi, U Arab Emirates</t>
  </si>
  <si>
    <t>Prieto, SA (corresponding author), New York Univ Abu Dhabi NYUAD, Div Engn, SMART Construct Res Grp, Expt Res Bldg,PO Box 129188, Abu Dhabi, U Arab Emirates.</t>
  </si>
  <si>
    <t>samuel.prieto@nyu.edu; eyob.mengiste@nyu.edu; garcia.de.soto@nyu.edu</t>
  </si>
  <si>
    <t>Center for Cyber Security (CCS) at New York University Abu Dhabi - Tamkeen under the NYUAD Research Institute Award [G1104]; NYUAD Center for Interacting Urban Networks (CITIES) - Tamkeen under the NYUAD Research Institute Award [CG001]</t>
  </si>
  <si>
    <t>Center for Cyber Security (CCS) at New York University Abu Dhabi - Tamkeen under the NYUAD Research Institute Award; NYUAD Center for Interacting Urban Networks (CITIES) - Tamkeen under the NYUAD Research Institute Award</t>
  </si>
  <si>
    <t>The authors thank the participants who provided their feedback and experience using ChatGPT for the case study. This work was supported by the Center for Cyber Security (CCS) at New York University Abu Dhabi, funded by Tamkeen under the NYUAD Research Institute Award G1104 in collaboration with the NYUAD Center for Interacting Urban Networks (CITIES), funded by Tamkeen under the NYUAD Research Institute Award CG001.</t>
  </si>
  <si>
    <t>2075-5309</t>
  </si>
  <si>
    <t>BUILDINGS-BASEL</t>
  </si>
  <si>
    <t>10.3390/buildings13040857</t>
  </si>
  <si>
    <t>F0HB6</t>
  </si>
  <si>
    <t>WOS:000979233000001</t>
  </si>
  <si>
    <t>Winter, B; Fischer, MH; Scheepers, C; Myachykov, A</t>
  </si>
  <si>
    <t>Winter, Bodo; Fischer, Martin H.; Scheepers, Christoph; Myachykov, Andriy</t>
  </si>
  <si>
    <t>More is Better: English Language Statistics are Biased Toward Addition</t>
  </si>
  <si>
    <t>Addition; Subtraction; Subtraction neglect; Latent semantic analysis; Word frequency; Heuristics and biases</t>
  </si>
  <si>
    <t>R PACKAGE; VALENCE; AROUSAL; REPRESENTATION; ASSOCIATIONS; CONTEXT; WORDS; TASTE</t>
  </si>
  <si>
    <t>We have evolved to become who we are, at least in part, due to our general drive to create new things and ideas. When seeking to improve our creations, ideas, or situations, we systematically overlook opportunities to perform subtractive changes. For example, when tasked with giving feedback on an academic paper, reviewers will tend to suggest additional explanations and analyses rather than delete existing ones. Here, we show that this addition bias is systematically reflected in English language statistics along several distinct dimensions. First, we show that words associated with an increase in quantity or number (e.g., add, addition, more, most) are more frequent than words associated with a decrease in quantity or number (e.g., subtract, subtraction, less, least). Second, we show that in binomial expressions, addition-related words are mentioned first, that is, add and subtract rather than subtract and add. Third, we show that the distributional semantics of verbs of change, such as to improve and to transform, overlap more with the distributional semantics of add/increase than subtract/decrease, which suggests that change verbs are implicitly biased toward addition. Fourth, addition-related words have more positive connotations than subtraction-related words. Fifth, we demonstrate that state-of-the-art large language models, such as the Generative Pre-trained Transformer (GPT-3), are also biased toward addition. We discuss the implications of our results for research on cognitive biases and decision-making.</t>
  </si>
  <si>
    <t>[Winter, Bodo] Univ Birmingham, Dept English Language &amp; Linguist, Birmingham, England; [Fischer, Martin H.] Univ Potsdam, Div Cognit Sci, Potsdam, Germany; [Scheepers, Christoph] Univ Glasgow, Sch Neurosci &amp; Psychol, Glasgow, Scotland; [Myachykov, Andriy] Northumbria Univ, Dept Psychol, London, England; [Myachykov, Andriy] Higher Sch Econ, Inst Cognit Neurosci, Moscow, Russia; [Winter, Bodo] Univ Birmingham, Dept English Language &amp; Linguist, Frankland Bldg, Edgbaston B15 2TT, England</t>
  </si>
  <si>
    <t>University of Birmingham; University of Potsdam; University of Glasgow; Northumbria University; HSE University (National Research University Higher School of Economics); University of Birmingham</t>
  </si>
  <si>
    <t>Winter, B (corresponding author), Univ Birmingham, Dept English Language &amp; Linguist, Frankland Bldg, Edgbaston B15 2TT, England.</t>
  </si>
  <si>
    <t>bodo@bodowinter.com</t>
  </si>
  <si>
    <t>Winter, Bodo/K-6975-2018</t>
  </si>
  <si>
    <t>Winter, Bodo/0000-0001-6036-6774</t>
  </si>
  <si>
    <t>UKRI Future Leaders Fellowship [MR/T040505/1]; Basic Research Program at the National Research University Higher School of Economics [DFG-FI-1915/8-1]</t>
  </si>
  <si>
    <t>UKRI Future Leaders Fellowship(UK Research &amp; Innovation (UKRI)); Basic Research Program at the National Research University Higher School of Economics</t>
  </si>
  <si>
    <t>Bodo Winter was supported by the UKRI Future Leaders Fellowship MR/T040505/1. Andriy Myachykov was supported by the Basic Research Program at the National Research University Higher School of Economics. Martin Fischer was supported by grant DFG-FI-1915/8-1 Competing heuristics and biases in mental arithmetic.</t>
  </si>
  <si>
    <t>e13254</t>
  </si>
  <si>
    <t>10.1111/cogs.13254</t>
  </si>
  <si>
    <t>C6PH2</t>
  </si>
  <si>
    <t>WOS:000963108300001</t>
  </si>
  <si>
    <t>Chacón-Patiño, ML; Neumann, A; Rüger, CP; Bomben, PG; Friederici, L; Zimmermann, R; Frank, E; Kreis, P; Buchmeiser, MR; Gray, MR</t>
  </si>
  <si>
    <t>Chacon-Patino, Martha L.; Neumann, Anika; Ruger, Christopher P.; Bomben, Paolo G.; Friederici, Lukas; Zimmermann, Ralf; Frank, Erik; Kreis, Philipp; Buchmeiser, Michael R. .; Gray, Murray R.</t>
  </si>
  <si>
    <t>Chemistry and Properties of Carbon Fiber Feedstocks from Bitumen Asphaltenes</t>
  </si>
  <si>
    <t>ENERGY &amp; FUELS</t>
  </si>
  <si>
    <t>RESOLUTION MASS-SPECTROMETRY; THERMAL-ANALYSIS; MOLECULAR CHARACTERIZATION; REACTION PATHWAYS; PETROLEUM; PITCH; FRACTIONS; ISLAND; DISTILLATES; PYROLYSIS</t>
  </si>
  <si>
    <t>Carbon fibers are materials of paramount impor-tance for composites applied in fields such as aerospace engineering, medicine, and renewable energy. Currently, most of the production of carbon fibers uses polyacrylonitrile, which incurs significant greenhouse gas emissions and high production costs. Therefore, carbon fiber manufacturing from asphaltene-enriched feedstocks is attractive as it could add value to extra-heavy fossil fuels and cut down precursor costs by similar to 90%. Recent studies indicate that some asphaltene-rich samples feature rheological properties that make them optimal for melt-spinning and carbon fiber production; in other cases, the spun asphaltene feedstocks are unsuitable for such applications. In this work, bitumen asphaltenes were subjected to upgrading processes under three distinctive conditions to tweak their rheological properties in order to produce carbon fibers. The treated samples were comprehensively studied by separations based on solubility and extrography, and subsequently characterized by ultrahigh-resolution mass spectrometry, gas-phase fragmentation, and thermogravimetric analysis. The results indicate that upon thermal processing, asphaltene-rich feedstocks produced a mixture with diverse solubility, i.e., maltenes, asphaltenes, and toluene-insoluble material. The molecular composition of remnant asphaltenes suggests that thermal treatment dramatically decreased molecular polydispersity in terms of the content of heteroatoms, alkyl chains, and structural motifs, i.e., single-core vs multicore, also known as island vs archipelago. The processed asphaltenes revealed high abundances of alkyl-depleted island species. Such thermally treated samples produced no stable carbon fibers. Conversely, a feedstock treated with molten sodium in a proprietary process designed to remove sulfur, revealed increased content of alkyl-side chains and archipelago structural motifs. This sample produced stable carbon fibers. Furthermore, thermal analysis coupled with mass spectrometry (TGA-HRMS) was conducted to understand thermal desorption and pyrolysis profiles for the samples, as well as the presence of occluded compounds and carbon residue formation. The TGA-HRMS results are consistent with extrography and IRMPD FT-ICR MS studies and confirmed the ultrahigh abundance of multicore compounds in the desulfurized sample. Although the sample size is limited, and thus, correlations between molecular composition and rheology properties are not achieved, this is the first study that aims to understand the role of feed composition in the ability to generate carbon fibers from asphaltene-enriched feedstocks. Collectively, the results indicate that samples comprised of abundant highly aromatic asphaltenes, dominant in alkyl-depleted single-core structures, are unlikely optimal for carbon fiber applications. Conversely, a sample with a marked increase in H/C, a significant decrease in S content, and abundant multicore species could generate stable carbon fibers. More studies are underway to find correlations between molecular features and carbon fiber production.</t>
  </si>
  <si>
    <t>[Chacon-Patino, Martha L.] Florida State Univ, Ion Cyclotron Resonance Program, Natl High Magnet Field Lab, Tallahassee, FL 32310 USA; [Chacon-Patino, Martha L.; Ruger, Christopher P.] TRTG, Int Joint Lab Complex Matrices Mol Characterizat, F-76700 Harfleur, France; [Neumann, Anika; Ruger, Christopher P.; Friederici, Lukas; Zimmermann, Ralf] Univ Rostock, Chair Analyt Chem, Joint Mass Spectrometry Ctr JMSC, D-18059 Rostock, Germany; [Neumann, Anika; Ruger, Christopher P.; Friederici, Lukas; Zimmermann, Ralf] Univ Rostock, Dept Life Light &amp; Matter LLM, D-18059 Rostock, Germany; [Bomben, Paolo G.; Gray, Murray R.] Alberta Innovates, Suite 2540, Calgary, AB T2P 3W2, Canada; [Frank, Erik; Kreis, Philipp; Buchmeiser, Michael R. .] German Inst Text &amp; Fiber Res DITF Denkendorf, D-73770 Denkendorf, Germany; [Buchmeiser, Michael R. .] Univ Stuttgart, Inst Polymer Chem, D-70569 Stuttgart, Germany; [Gray, Murray R.] Univ Alberta, Dept Chem &amp; Mat Engn, Edmonton, AB T6G 1H9, Canada</t>
  </si>
  <si>
    <t>State University System of Florida; Florida State University; University of Rostock; University of Rostock; Alberta Innovates; University of Stuttgart; University of Alberta</t>
  </si>
  <si>
    <t>Chacón-Patiño, ML (corresponding author), Florida State Univ, Ion Cyclotron Resonance Program, Natl High Magnet Field Lab, Tallahassee, FL 32310 USA.;Chacón-Patiño, ML; Rüger, CP (corresponding author), TRTG, Int Joint Lab Complex Matrices Mol Characterizat, F-76700 Harfleur, France.;Rüger, CP (corresponding author), Univ Rostock, Chair Analyt Chem, Joint Mass Spectrometry Ctr JMSC, D-18059 Rostock, Germany.;Rüger, CP (corresponding author), Univ Rostock, Dept Life Light &amp; Matter LLM, D-18059 Rostock, Germany.</t>
  </si>
  <si>
    <t>chacon@magnet.fsu.edu; christopher.rueger@uni-rostock.de</t>
  </si>
  <si>
    <t>Rüger, Christopher P./AAJ-5548-2020</t>
  </si>
  <si>
    <t>National Science Foundation Division of Chemistry [DMR-1644779]; Florida State University; Germany/Europe program for the EU _FT-ICR MS project [731077]; German Research Foundation (DFG) [INST 264/56]</t>
  </si>
  <si>
    <t>National Science Foundation Division of Chemistry(National Science Foundation (NSF)); Florida State University; Germany/Europe program for the EU _FT-ICR MS project; German Research Foundation (DFG)(German Research Foundation (DFG))</t>
  </si>
  <si>
    <t>This work was supported by the National Science Foundation Division of Chemistry (no. DMR-1644779), Florida State University, and the State of Florida. The authors thank Greg Blakney for Predator Software and Chad R. Weisbrod, Christopher L. Hendrickson, and John Quinn for assistance in instrumentation and maintenance of the 21T FT-ICR mass spectrometer. Funding by the Horizon 2020, Germany/Europe program for the EU _FT-ICR MS project (European Network of Fourier-Transform Ion-Cyclotron-Resonance Mass Spec-trometry Centers, Grant agreement ID: 731077) is gratefully acknowledged. The authors thank the German Research Foundation (DFG) for funding of the Bruker FT-ICR MS (INST 264/56) .</t>
  </si>
  <si>
    <t>0887-0624</t>
  </si>
  <si>
    <t>1520-5029</t>
  </si>
  <si>
    <t>ENERG FUEL</t>
  </si>
  <si>
    <t>Energy Fuels</t>
  </si>
  <si>
    <t>10.1021/acs.energyfuels.2c04274</t>
  </si>
  <si>
    <t>MAR 2023</t>
  </si>
  <si>
    <t>Energy &amp; Fuels; Engineering, Chemical</t>
  </si>
  <si>
    <t>Energy &amp; Fuels; Engineering</t>
  </si>
  <si>
    <t>D0RQ9</t>
  </si>
  <si>
    <t>WOS:000954645900001</t>
  </si>
  <si>
    <t>Mwakilama, E; Magagula, V; Gathungu, D</t>
  </si>
  <si>
    <t>Mwakilama, Elias; Magagula, Vusi; Gathungu, Duncan</t>
  </si>
  <si>
    <t>A Novel Multivariate Spectral Local Quasilinearization Method (MV-SLQLM) for Modelling Flow, Moisture, Heat, and Solute Transport in Soil</t>
  </si>
  <si>
    <t>JOURNAL OF APPLIED MATHEMATICS</t>
  </si>
  <si>
    <t>ADVECTION-DIFFUSION EQUATION; FURROW-IRRIGATED SOIL; CONDUCTION-CONVECTION; COLLOCATION METHOD; 2-DIMENSIONAL MODEL; NUMERICAL-SOLUTION; RICHARDS EQUATION; REYNOLDS-NUMBER; WATER-FLOW; INFILTRATION</t>
  </si>
  <si>
    <t>Conventionally, the problem of studying the transport of water, heat, and solute in soil or groundwater systems has been numerically solved using finite difference (FD) or finite element (FE) methods. FE methods are attractive over FD methods because they are geometrically flexible. However, recent studies demonstrate that spectral collocation (SC) methods converge exponentially faster than FD or FE methods using a few grid points or on coarse grids. This work proposes and applies a multivariate spectral local quasilinearization method (MV-SLQLM) to model the transportation and interaction of soil moisture, heat, and solute concentration in a nonbare soil ridge. The MV-SLQLM uses a quasilinearization method (QLM) to linearize any nonlinear equations and then employs a local linearization method (LLM) to decouple the linearized system of PDEs to form a sequence of equations that are solved in a computationally efficient manner. The MV-SLQLM is thus an extension of the bivariate spectral local linearization method (BI-SLLM) that fails to deal with a 2D problem and is a modification of the MV-SQLM whose efficiency is compromised when operating on high dense solution matrices. We use the residual error norms of the difference between successive iterations to affirm convergence to the expected solution. To illustrate the application and check the solution accuracy, we conduct systematic analyses of the effect of model parameters on distribution profiles. Findings are in good agreement with theory and literature, thereby revealing suitability of the MV-SLQLM to solve coupled nonlinear PDEs with environmental fluid dynamics applications.</t>
  </si>
  <si>
    <t>[Mwakilama, Elias] Pan African Univ Inst Basic Sci Technol &amp; Innovat, Dept Math, Nairobi, Kenya; [Mwakilama, Elias] Univ Malawi, Dept Math Sci, Zomba, Malawi; [Magagula, Vusi] Univ Eswatini, Dept Math, Kwaluseni, Matsapha, Eswatini; [Gathungu, Duncan] Jomo Kenyatta Univ Agr &amp; Technol, Dept Pure &amp; Appl Math, Nairobi, Kenya</t>
  </si>
  <si>
    <t>University of Malawi; Jomo Kenyatta University of Agriculture &amp; Technology</t>
  </si>
  <si>
    <t>Mwakilama, E (corresponding author), Pan African Univ Inst Basic Sci Technol &amp; Innovat, Dept Math, Nairobi, Kenya.;Mwakilama, E (corresponding author), Univ Malawi, Dept Math Sci, Zomba, Malawi.</t>
  </si>
  <si>
    <t>mwakilama.elias@students.jkuat.ac.ke; gutjwa@gmail.com; dkioi@jkuat.ac.ke</t>
  </si>
  <si>
    <t>Magagula, Vusi Mpendulo/F-6787-2015</t>
  </si>
  <si>
    <t>African Union (AU)</t>
  </si>
  <si>
    <t>This work was produced as part of PhD study of the corresponding author at Pan African University Institute for Basic Sciences, Technology &amp; Innovation (PAUISTI), funded by the African Union (AU). We are therefore grateful to both AU and PAUISTI.</t>
  </si>
  <si>
    <t>HINDAWI LTD</t>
  </si>
  <si>
    <t>ADAM HOUSE, 3RD FLR, 1 FITZROY SQ, LONDON, W1T 5HF, ENGLAND</t>
  </si>
  <si>
    <t>1110-757X</t>
  </si>
  <si>
    <t>1687-0042</t>
  </si>
  <si>
    <t>J APPL MATH</t>
  </si>
  <si>
    <t>J. Appl. Math.</t>
  </si>
  <si>
    <t>MAR 15</t>
  </si>
  <si>
    <t>10.1155/2023/7104852</t>
  </si>
  <si>
    <t>Mathematics, Applied; Mathematics, Interdisciplinary Applications</t>
  </si>
  <si>
    <t>A7FR0</t>
  </si>
  <si>
    <t>WOS:000956744300001</t>
  </si>
  <si>
    <t>Dwivedi, YK; Kshetri, N; Hughes, L; Slade, EL; Jeyaraj, A; Kar, AK; Baabdullah, AM; Koohang, A; Raghavan, V; Ahuja, M; Albanna, H; Albashrawi, MA; Al-Busaidi, AS; Balakrishnan, J; Barlette, Y; Basu, S; Bose, I; Brooks, L; Buhalis, D; Carter, L; Chowdhury, S; Crick, T; Cunningham, SW; Davies, GH; Davison, RM; De, RH; Dennehy, D; Duan, YQ; Dubey, R; Dwivedi, R; Edwards, JS; Flavian, C; Gauld, R; Grover, V; Hu, MC; Janssen, M; Jones, P; Junglas, I; Khorana, S; Kraus, S; Larsen, KR; Latreille, P; Laumer, S; Malik, FT; Mardani, A; Mariani, M; Mithas, S; Mogaji, E; Nord, JH; O'Connor, S; Okumus, F; Pagani, M; Pandey, N; Papagiannidis, S; Pappas, IO; Pathak, N; Pries-Heje, J; Raman, R; Rana, NP; Rehm, SV; Ribeiro-Navarrete, S; Richter, A; Rowe, F; Sarker, S; Stahl, BC; Tiwari, MK; van der Aalst, W; Venkatesh, V; Viglia, G; Wade, M; Walton, P; Wirtz, J; Wright, R</t>
  </si>
  <si>
    <t>Dwivedi, Yogesh K.; Kshetri, Nir; Hughes, Laurie; Slade, Emma Louise; Jeyaraj, Anand; Kar, Arpan Kumar; Baabdullah, Abdullah M.; Koohang, Alex; Raghavan, Vishnupriya; Ahuja, Manju; Albanna, Hanaa; Albashrawi, Mousa Ahmad; Al-Busaidi, Adil S.; Balakrishnan, Janarthanan; Barlette, Yves; Basu, Sriparna; Bose, Indranil; Brooks, Laurence; Buhalis, Dimitrios; Carter, Lemuria; Chowdhury, Soumyadeb; Crick, Tom; Cunningham, Scott W.; Davies, Gareth H.; Davison, Robert M.; De, Rahul; Dennehy, Denis; Duan, Yanqing; Dubey, Rameshwar; Dwivedi, Rohita; Edwards, John S.; Flavian, Carlos; Gauld, Robin; Grover, Varun; Hu, Mei-Chih; Janssen, Marijn; Jones, Paul; Junglas, Iris; Khorana, Sangeeta; Kraus, Sascha; Larsen, Kai R.; Latreille, Paul; Laumer, Sven; Malik, F. Tegwen; Mardani, Abbas; Mariani, Marcello; Mithas, Sunil; Mogaji, Emmanuel; Nord, Jeretta Horn; O'Connor, Siobhan; Okumus, Fevzi; Pagani, Margherita; Pandey, Neeraj; Papagiannidis, Savvas; Pappas, Ilias O.; Pathak, Nishith; Pries-Heje, Jan; Raman, Ramakrishnan; Rana, Nripendra P.; Rehm, Sven-Volker; Ribeiro-Navarrete, Samuel; Richter, Alexander; Rowe, Frantz; Sarker, Suprateek; Stahl, Bernd Carsten; Tiwari, Manoj Kumar; van der Aalst, Wil; Venkatesh, Viswanath; Viglia, Giampaolo; Wade, Michael; Walton, Paul; Wirtz, Jochen; Wright, Ryan</t>
  </si>
  <si>
    <t>INTERNATIONAL JOURNAL OF INFORMATION MANAGEMENT</t>
  </si>
  <si>
    <t>Conversational agent; Generative artificial intelligence; Generative AI; ChatGPT; Large language models</t>
  </si>
  <si>
    <t>ARTIFICIAL-INTELLIGENCE; HIGHER-EDUCATION; DECISION-MAKING; SYSTEMS; FUTURE; TRANSFORMATION; RESISTANCE; SERVICES; CALCULATORS; TECHNOLOGY</t>
  </si>
  <si>
    <t>Transformative artificially intelligent tools, such as ChatGPT, designed to generate sophisticated text indistin-guishable from that produced by a human, are applicable across a wide range of contexts. The technology presents opportunities as well as, often ethical and legal, challenges, and has the potential for both positive and negative impacts for organisations, society, and individuals. Offering multi-disciplinary insight into some of these, this article brings together 43 contributions from experts in fields such as computer science, marketing, information systems, education, policy, hospitality and tourism, management, publishing, and nursing. The contributors acknowledge ChatGPT's capabilities to enhance productivity and suggest that it is likely to offer significant gains in the banking, hospitality and tourism, and information technology industries, and enhance business activities, such as management and marketing. Nevertheless, they also consider its limitations, dis-ruptions to practices, threats to privacy and security, and consequences of biases, misuse, and misinformation. However, opinion is split on whether ChatGPT's use should be restricted or legislated. Drawing on these con-tributions, the article identifies questions requiring further research across three thematic areas: knowledge, transparency, and ethics; digital transformation of organisations and societies; and teaching, learning, and scholarly research. The avenues for further research include: identifying skills, resources, and capabilities needed to handle generative AI; examining biases of generative AI attributable to training datasets and processes; exploring business and societal contexts best suited for generative AI implementation; determining optimal combinations of human and generative AI for various tasks; identifying ways to assess accuracy of text produced by generative AI; and uncovering the ethical and legal issues in using generative AI across different contexts.</t>
  </si>
  <si>
    <t>[Dwivedi, Yogesh K.; Hughes, Laurie; Dennehy, Denis] Swansea Univ, Sch Management, Digital Futures Sustainable Business &amp; Soc Res Grp, Bay Campus, Swansea, Wales; [Dwivedi, Yogesh K.] Pune &amp; Symbiosis Int Deemed Univ, Symbiosis Inst Business Management, Dept Management, Pune, Maharashtra, India; [Kshetri, Nir] Univ North Carolina Greensboro, Bryan Sch Business &amp; Econ, Greensboro, NC USA; [Slade, Emma Louise] Univ Bristol, Business Sch, Bristol BS8 1S, England; [Jeyaraj, Anand] Wright State Univ, Raj Soin Coll Business, Information Syst, 3640 Colonel Glenn Highway, Dayton, OH 45435 USA; [Kar, Arpan Kumar] Indian Inst Technol Delhi, Sch Artificial Intelligence, Hauz Khas, New Delhi, India; [Kar, Arpan Kumar] Indian Inst Technol Delhi, Dept Management Studies, Hauz Khas, New Delhi, India; [Baabdullah, Abdullah M.] King Abdulaziz Univ, Fac Econ &amp; Adm, Dept Management Informat Syst, Jeddah, Saudi Arabia; [Koohang, Alex] Middle Georgia State Univ, Sch Comp, Macon, GA USA; [Raghavan, Vishnupriya] NIIT Ltd, Client Advisory &amp; Transformat, Stackroute, Bengaluru, India; [Ahuja, Manju] Univ Louisville, Coll Business, Dept Informat Syst Analyt &amp; Operat, Louisville, KY USA; [Albanna, Hanaa] Northumbria Univ London, London, England; [Albashrawi, Mousa Ahmad] KFUPM Business Sch, IRC FDE, KFUPM, ISOM, Dhahran, Saudi Arabia; [Al-Busaidi, Adil S.] Sultan Qaboos Univ, Innovat &amp; Technol Transfer Ctr, Seeb, Oman; [Al-Busaidi, Adil S.] Sultan Qaboos Univ, Dept Business Commun, Seeb, Oman; [Balakrishnan, Janarthanan] Natl Inst Technol, Dept Management Studies, Tiruchirappalli, India; [Barlette, Yves] Montpellier Business Sch MBS, Montpellier, France; [Basu, Sriparna] FORE Sch Management, New Delhi, India; [Bose, Indranil] Indian Inst Management Ahmedabad, Ahmadabad 380015, India; [Brooks, Laurence] Univ Sheffield, Informat Sch, Sheffield, England; [Buhalis, Dimitrios] Bournemouth Univ Business Sch, Poole, Dorset, England; [Carter, Lemuria] Univ New South Wales, Sch Informat Syst &amp; Technol Management, Sydney, Australia; [Chowdhury, Soumyadeb] TBS Business Sch, Informat Operat &amp; Management Sci Dept, 1 Pl Alphonse Jourdain, F-31068 Toulouse, France; [Crick, Tom] Swansea Univ, Dept Educ &amp; Childhood Studies, Swansea, Wales; [Cunningham, Scott W.] Univ Strathclyde, Fac Humanities &amp; Social Sci, Glasgow G1 1XQ, Scotland; [Davies, Gareth H.] Swansea Univ, Sch Management, Swansea, Wales; [Davison, Robert M.] City Univ Hong Kong, Dept Informat Syst, Hong Kong, Peoples R China; [De, Rahul] Indian Inst Management Bangalore, Bangalore, India; [Duan, Yanqing] Univ Bedfordshire, Business &amp; Management Res Inst, Luton, England; [Dubey, Rameshwar] Montpellier Business Sch, Montpellier, France; [Dubey, Rameshwar] Liverpool John Moores Univ, Liverpool Business Sch, Liverpool, England; [Dwivedi, Rohita] Prin L N Welingkar Inst Management Dev &amp; Res, Mumbai, India; [Edwards, John S.] Aston Business Sch, Operat &amp; Informat Management Dept, Birmingham, England; [Flavian, Carlos] Univ Zaragoza, Fac Econ &amp; Business, Dept Mkt &amp; Mkt Management, Zaragoza, Spain; [Gauld, Robin] Univ Otago, Ctr Hlth Syst &amp; Technol, Otago Business Sch, Dunedin, New Zealand; [Grover, Varun] Univ Arkansas, Walton Coll Business, Distinguished Prof &amp; George &amp; Boyce Billingsley E, IS Doctoral Program, Room 216, Fayetteville, AR 72703 USA; [Hu, Mei-Chih] Natl Tsing Hua Univ, Inst Technol Management, Hsinchu 300, Taiwan; [Janssen, Marijn] Delft Univ Technol, Fac Technol Policy &amp; Management, Delft, Netherlands; [Jones, Paul] Swansea Univ, Sch Management, Swansea, Wales; [Junglas, Iris] Coll Charleston, Sch Business, Charleston, SC USA; [Khorana, Sangeeta] Bournemouth Univ, Business Sch, Poole, England; [Kraus, Sascha] Free Univ Bozen Bolzano, Univ Johannesburg, Johannesburg, South Africa; [Larsen, Kai R.] Univ Colorado, Leeds Sch Business, Boulder, CO USA; [Latreille, Paul] Univ Sheffield, Sheffield Univ Management Sch, Sheffield, England; [Laumer, Sven] Friedrich Alexander Univ Erlangen Nuremberg, Inst Informat Syst Nurnberg, Scholler Endowed Chair Informat Syst, Sch Business, Nurnberg, Germany; [Malik, F. Tegwen] Swansea Univ, Sch Management, Bay Campus, Swansea SA1 8EN, Wales; [Mardani, Abbas] Worcester Polytech Inst, Business Sch, Worcester, MA 01609 USA; [Mariani, Marcello] Univ Reading, Henley Business Sch, Henley On Thames, Oxon, England; [Mariani, Marcello] Univ Bologna, Dept Management, Bologna, Italy; [Mithas, Sunil] Univ S Florida, Sch Informat Syst &amp; Management, Tampa, FL USA; [Mogaji, Emmanuel] Univ Greenwich, Greenwich Business Sch, London SE10 9LS, England; [Nord, Jeretta Horn] Oklahoma State Univ, Spears Sch Business, Management Sci &amp; Informat Syst, Stillwater, OK 74078 USA; [O'Connor, Siobhan] Univ Manchester, Sch Hlth Sci, Div Nursing Midwifery &amp; Social Work, Manchester, Lancs, England; [Okumus, Fevzi] Univ Cent Florida, Rosen Coll Hospitality Management, 9907 Universal Blvd, Orlando, FL 32819 USA; [Okumus, Fevzi] WSB Univ, Dept Business, Wroclaw, Poland; [Pagani, Margherita] SKEMA Res Ctr Artificial Intelligence, SKEMA Business Sch, 5 quai Marcel Dassault, Suresnes, France; [Pandey, Neeraj] Natl Inst Ind Engn NITIE, Mumbai, India; [Papagiannidis, Savvas] Newcastle Univ, Business Sch, Newcastle Upon Tyne, Northumberland, England; [Pappas, Ilias O.] Univ Agder, Dept Informat Syst, Kristiansand, Norway; [Pappas, Ilias O.] Norwegian Univ Sci &amp; Technol, Dept Comp Sci, Trondheim, Norway; [Pathak, Nishith] Microsoft AI MVP &amp; Microsoft Reg DirectorGlobal l, Delhi, India; [Pries-Heje, Jan] Roskilde Univ, Dept People &amp; Technol, Roskilde, Denmark; [Raman, Ramakrishnan] Pune &amp; Symbiosis Int Deemed Univ, Symbiosis Inst Business Management, Pune, India; [Rana, Nripendra P.] Qatar Univ, Coll Business &amp; Econ, Dept Management &amp; Mkt, POB 2713, Doha, Qatar; [Rehm, Sven-Volker] Univ Strasbourg, HuManiS Res Ctr Humans &amp; Management Soc, EM Strasbourg Business Sch, UR 7308, Strasbourg, France; [Ribeiro-Navarrete, Samuel] ES Univ, Spain &amp; Univ Econ &amp; Human Sci, Warsaw, Poland; [Richter, Alexander] Wellington Sch Business &amp; Govt, Rutherford House, 23 Lambton Quay, Wellington, New Zealand; [Rowe, Frantz] Nantes Univ, SKEMA Business Sch, LEMNA, Nantes, France; [Sarker, Suprateek] Univ Virginia, McIntire Sch Commerce, Rolls Royce Commonwealth Commerce, Charlottesville, VA USA; [Stahl, Bernd Carsten] Univ Nottingham, Sch Comp Sci, Nottingham, England; [van der Aalst, Wil] Rhein Westfal TH Aachen, Proc &amp; Data Sci, Ahornstr 55, D-52074 Aachen, Germany; [Venkatesh, Viswanath] Virginia TechBlacksburg, Pamplin Coll Business, Business, Blacksburg, VA USA; [Viglia, Giampaolo] Univ Portsmouth, Dept Strategy Mkt &amp; Innovat, Richmond Bldg, Portsmouth, Hampshire, England; [Viglia, Giampaolo] Univ Aosta Valley, Dept Econ &amp; Polit Sci, Aosta, Italy; [Wade, Michael] IMD Business Sch, Global Ctr Digital Business Transformat, Digital Transformat, Lausanne, Switzerland; [Walton, Paul] Capgemini UK Ltd, London, England; [Wirtz, Jochen] Natl Univ Singapore, Dept Mkt, Singapore, Singapore</t>
  </si>
  <si>
    <t>Swansea University; Symbiosis International University; Symbiosis Institute of Business Management (SIBM) Pune; University of North Carolina; University of North Carolina Greensboro; University of Bristol; University System of Ohio; Wright State University Dayton; Indian Institute of Technology System (IIT System); Indian Institute of Technology (IIT) - Delhi; Indian Institute of Technology System (IIT System); Indian Institute of Technology (IIT) - Delhi; King Abdulaziz University; University of Louisville; King Fahd University of Petroleum &amp; Minerals; National Institute of Technology (NIT System); National Institute of Technology Tiruchirappalli; FORE School of Management; Indian Institute of Management (IIM System); Indian Institute of Management Ahmedabad; University of Sheffield; University of New South Wales Sydney; Swansea University; University of Strathclyde; Swansea University; City University of Hong Kong; Indian Institute of Management (IIM System); Indian Institute of Management Bangalore; University of Bedfordshire; Montpellier Business School; University of Liverpool; Liverpool John Moores University; Aston University; University of Zaragoza; University of Otago; University of Arkansas System; University of Arkansas Fayetteville; National Tsing Hua University; Delft University of Technology; Swansea University; College of Charleston; Bournemouth University; University of Johannesburg; University of Colorado System; University of Colorado Boulder; University of Sheffield; University of Erlangen Nuremberg; Swansea University; Worcester Polytechnic Institute; University of Reading; University of Bologna; State University System of Florida; University of South Florida; University of Greenwich; Oklahoma State University System; Oklahoma State University - Stillwater; University of Manchester; State University System of Florida; University of Central Florida; SKEMA Business School; National Institute of Industrial Engineering (NITIE); Newcastle University - UK; University of Agder; Norwegian University of Science &amp; Technology (NTNU); Roskilde University; Symbiosis International University; Symbiosis Institute of Business Management (SIBM) Pune; Qatar University; Universites de Strasbourg Etablissements Associes; Universite de Strasbourg; Nantes Universite; SKEMA Business School; University of Virginia; University of Nottingham; RWTH Aachen University; Virginia Polytechnic Institute &amp; State University; University of Portsmouth; Universita Della Valle D'aosta; International Institute for Management Development (IMD); National University of Singapore</t>
  </si>
  <si>
    <t>Dwivedi, YK (corresponding author), Swansea Univ, Sch Management, Digital Futures Sustainable Business &amp; Soc Res Grp, Bay Campus, Swansea, Wales.</t>
  </si>
  <si>
    <t>y.k.dwivedi@swansea.ac.uk</t>
  </si>
  <si>
    <t>0268-4012</t>
  </si>
  <si>
    <t>1873-4707</t>
  </si>
  <si>
    <t>INT J INFORM MANAGE</t>
  </si>
  <si>
    <t>Int. J. Inf. Manage.</t>
  </si>
  <si>
    <t>10.1016/j.ijinfomgt.2023.102642</t>
  </si>
  <si>
    <t>A3SX6</t>
  </si>
  <si>
    <t>WOS:000954374300001</t>
  </si>
  <si>
    <t>An evaluation of customer due diligence and related anti-money laundering measures in the United Kingdom</t>
  </si>
  <si>
    <t>Customer due diligence; Anti-money laundering; Measures; Regulation</t>
  </si>
  <si>
    <t>PurposeCustomer due diligence measures that are employed in the United Kingdom (UK) to detect and combat money laundering are discussed. The UK adopted a progressive regulatory and enforcement framework to combat money laundering which relies, inter alia, on the use of customer due diligence measures to regulate and curb the occurrence of money laundering activities in its financial institutions and financial markets. However, other regulatory measures that could have contributed to the effective combating money laundering in the UK will not be explored in detail since the article is focused on the reliance and use of customer due diligence measures to curb money laundering activities. Accordingly, the strength, flaws and weaknesses of the UK anti-money laundering regulatory and enforcement framework are examined. Lastly, possible recommendations to address such flaws and weaknesses are provided. Design/methodology/approachThe paper discusses customer due diligence measures that are used in the UK to detect and combat money laundering. FindingsIt is hoped that policymakers and other relevant persons will use the recommendations provided in the paper to enhance the curbing of money laundering in the UK. Research limitations/implicationsThe paper does not provide empirical research. Practical implicationsThe study is useful to all policymakers, lawyers, law students and regulatory bodies in the UK. Social implicationsThe study seeks to curb money laundering in the UK society globally. Originality/valueThe study is original research on the use of customer due diligence measures to detect and combat money laundering in the UK.</t>
  </si>
  <si>
    <t>This article was supported in part by the National Research Foundation of South Africa (NRF), Grant Number: 141933. Consequently, the authors wish to thank the NRF for its support. The article was influenced in part by S. Munedzi's Master of Laws (LLM) dissertation, The Reliance on Customer Due Diligence to Enhance the Combating of Money Laundering under the Financial Intelligence Centre Amendment Act 1 of 2017 (North-West University) 2018, pp. 62-74.</t>
  </si>
  <si>
    <t>10.1108/JMLC-01-2023-0004</t>
  </si>
  <si>
    <t>9V0IL</t>
  </si>
  <si>
    <t>WOS:000943757200001</t>
  </si>
  <si>
    <t>Zhou, CY; Meng, LL; Xu, RR; Chen, T; Zhang, DY; Cheng, QW; Hu, B; Sun, TG</t>
  </si>
  <si>
    <t>Zhou, Chuanyue; Meng, Luli; Xu, Rongrong; Chen, Tong; Zhang, Dingyu; Cheng, Qianwei; Hu, Bo; Sun, Tingguang</t>
  </si>
  <si>
    <t>Volatile organic components detection with SPME/GC-MS technology in various ripening banana peels</t>
  </si>
  <si>
    <t>JOURNAL OF FOOD MEASUREMENT AND CHARACTERIZATION</t>
  </si>
  <si>
    <t>Banana ripening; Principal component analysis; Linear discriminant analysis; Aroma characteristics</t>
  </si>
  <si>
    <t>GAS-CHROMATOGRAPHY; AROMA COMPOUNDS; ODOR; EVALUATE; SYSTEM</t>
  </si>
  <si>
    <t>To distinguish banana ripening stages based on their volatile organic compounds (VOCs) and aroma properties, banana samples with different ripening processes were divided into five stages (green ripe, yellow ripe, browning stage 1, browning stage 2, and browning stage 3) based on digital images and the K-means clustering algorithm, and their VOCs were determined. A total of 35 VOCs were identified using solid-phase microextraction-gas chromatography-mass spectrometry (SPME-GC-MS), including aldehydes, alcohols, esters, ketones, terpenoids, and other alkanes. Ten VOCs belonging to 7 aroma categories (pineapple, banana, fruity, apple, grass, sweet, and green aromas) were distinguished according to the radar fingerprint chart. Principal component analysis (PCA) and linear discriminant analysis (LDA) were used separately to analyze the differences and establish classification models based on the relative content of banana peel VOCs. For bananas at different ripening stages, PCA and LDA provided good discrimination accuracy based on the dataset. Therefore, banana peel VOCs and their aroma characteristics can serve as effective indices for evaluating the banana ripening stage.</t>
  </si>
  <si>
    <t>[Zhou, Chuanyue; Meng, Luli; Chen, Tong; Cheng, Qianwei; Sun, Tingguang] Guangxi Univ Sci &amp; Technol, Sch Biol &amp; Chem Engn, 268 Ave Donghuan, Liuzhou 545006, Guangxi, Peoples R China; [Hu, Bo] Guangxi Univ Sci &amp; Technol, Sch Elect &amp; Informat Engn, Liuzhou 545006, Peoples R China; [Xu, Rongrong; Zhang, Dingyu] Liuzhou Qual Inspect &amp; Testing Res Ctr, Liuzhou 545000, Peoples R China</t>
  </si>
  <si>
    <t>Guangxi University of Science &amp; Technology; Guangxi University of Science &amp; Technology</t>
  </si>
  <si>
    <t>Meng, LL; Cheng, QW (corresponding author), Guangxi Univ Sci &amp; Technol, Sch Biol &amp; Chem Engn, 268 Ave Donghuan, Liuzhou 545006, Guangxi, Peoples R China.</t>
  </si>
  <si>
    <t>llmeng80@gxust.edu.cn; qianwei.cheng@gxust.edu.cn</t>
  </si>
  <si>
    <t>Guangxi Natural Science Foundation Project [2021GXNSFBA075019, 2022GXNSFAA035256]; National Natural Science Foundation of China [32202150]; Guangxi University of Science and Technology</t>
  </si>
  <si>
    <t>Guangxi Natural Science Foundation Project; National Natural Science Foundation of China(National Natural Science Foundation of China (NSFC)); Guangxi University of Science and Technology</t>
  </si>
  <si>
    <t>The author CYZ appreciates the Guangxi Natural Science Foundation Project (2021GXNSFBA075019, 2022GXNSFAA035256) and the National Natural Science Foundation of China (32202150). The author LLM and QWC acknowledges the research support from Guangxi University of Science and Technology, and reviewers for their valuable comments and suggestion.</t>
  </si>
  <si>
    <t>2193-4126</t>
  </si>
  <si>
    <t>2193-4134</t>
  </si>
  <si>
    <t>J FOOD MEAS CHARACT</t>
  </si>
  <si>
    <t>J. Food Meas. Charact.</t>
  </si>
  <si>
    <t>10.1007/s11694-023-01873-0</t>
  </si>
  <si>
    <t>Food Science &amp; Technology</t>
  </si>
  <si>
    <t>N4HM8</t>
  </si>
  <si>
    <t>WOS:000943629400004</t>
  </si>
  <si>
    <t>Oguamanam, C</t>
  </si>
  <si>
    <t>Oguamanam, Chidi</t>
  </si>
  <si>
    <t>A Critical Examination of the African Legal Framework for Indigenous Knowledge</t>
  </si>
  <si>
    <t>Africa; Indigenous/ traditional knowledge; science; technology and innovation; knowledge economy; intellectual property</t>
  </si>
  <si>
    <t>Indigenous or traditional knowledge (TK) systems are the springboard of authentic African innovation and creativity. However, there has been no adequate attempt to determine whether Africa internalizes its comparative advantage in Indigenous knowledge systems in its continental frameworks for socio-economic and development collaboration and aspirations. Despite TK's presumed significance and Africa's proactive promotion of Indigenous knowledge in international fora, TK is treated marginally in key instruments, perhaps as a legacy of colonially entrenched contempt for Indigenous knowledge systems. For Africa to effectively participate in the science and technology revolution, it is necessary to have an introspective and critical appraisal of the present traction around Indigenous knowledge, which is a logical starting point for effective science, technology and innovation policy-making in furtherance of African socio-economic and development collaboration in the knowledge economy.</t>
  </si>
  <si>
    <t>[Oguamanam, Chidi] Univ Ottawa, Fac Law, Ottawa, ON, Canada</t>
  </si>
  <si>
    <t>University of Ottawa</t>
  </si>
  <si>
    <t>Oguamanam, C (corresponding author), Univ Ottawa, Fac Law, Ottawa, ON, Canada.</t>
  </si>
  <si>
    <t>chidi.oguamanam@uottawa.ca</t>
  </si>
  <si>
    <t>Open African Innovation Research (Open AIR) partnership; Open AIR partners across Africa; Open AIR; IDRC; SSHRC</t>
  </si>
  <si>
    <t>Open African Innovation Research (Open AIR) partnership; Open AIR partners across Africa; Open AIR; IDRC(International Development Research Centre - IDRC); SSHRC(Social Sciences and Humanities Research Council of Canada (SSHRC))</t>
  </si>
  <si>
    <t>LLB (Ife), BL (Lagos), LLM (Lagos), LLM, PhD (British Columbia). Research Chair in Sustainable Bio-Innovation, Indigenous Knowledge Systems and Global Knowledge Governance, University of Ottawa. The author acknowledges the funding support of the Open African Innovation Research (Open AIR) partnership and Open AIR partners across Africa as well as Open AIR's funding agencies, including IDRC, SSHRC and other in-kind institutional supporters. The author acknowledges with thanks dedicated research support, research assistance and feedback from Chris Armstrong,Kelsea Gillespie, anonymous reviewers of this article and the journal's in-house editors.</t>
  </si>
  <si>
    <t>PII S0021855323000049</t>
  </si>
  <si>
    <t>10.1017/S0021855323000049</t>
  </si>
  <si>
    <t>D7QM5</t>
  </si>
  <si>
    <t>WOS:000943272600001</t>
  </si>
  <si>
    <t>Shin, HJ; Park, J; Lee, JS</t>
  </si>
  <si>
    <t>Shin, Hyeong Jin; Park, Jeongyeon; Lee, Jae Sung</t>
  </si>
  <si>
    <t>Syllable-Based Multi-POSMORPH Annotation for Korean Morphological Analysis and Part-of-Speech Tagging</t>
  </si>
  <si>
    <t>Korean morphological analysis; Korean part-of-speech tagging; transformer encoder; syllable-based annotation</t>
  </si>
  <si>
    <t>Various research approaches have attempted to solve the length difference problem between the surface form and the base form of words in the Korean morphological analysis and part-of-speech (POS) tagging task. The compound POS tagging method is a popular approach, which tackles the problem using annotation tags. However, a dictionary is required for the post-processing to recover the base form and to dissolve the ambiguity of compound POS tags, which degrades the system performance. In this study, we propose a novel syllable-based multi-POSMORPH annotation method to solve the length difference problem within one framework, without using a dictionary for the post-processing. A multi-POSMORPH tag is created by combining POS tags and morpheme syllables for the simultaneous POS tagging and morpheme recovery. The model is implemented with a two-layer transformer encoder, which is lighter than the existing models based on large language models. Nonetheless, the experiments demonstrate that the performance of the proposed model is comparable to, or better than, that of previous models.</t>
  </si>
  <si>
    <t>[Shin, Hyeong Jin; Park, Jeongyeon; Lee, Jae Sung] Chungbuk Natl Univ, Dept Comp Sci, Cheongju 28644, South Korea</t>
  </si>
  <si>
    <t>Lee, JS (corresponding author), Chungbuk Natl Univ, Dept Comp Sci, Cheongju 28644, South Korea.</t>
  </si>
  <si>
    <t>jasonlee@cbnu.ac.kr</t>
  </si>
  <si>
    <t>National Research Foundation of Korea (NRF) - Ministry of Education [2021R1I1A3059545]</t>
  </si>
  <si>
    <t>National Research Foundation of Korea (NRF) - Ministry of Education(National Research Foundation of KoreaMinistry of Education (MOE), Republic of Korea)</t>
  </si>
  <si>
    <t>This research was supported by Basic Science Research Program through the National Research Foundation of Korea (NRF) funded by the Ministry of Education (2021R1I1A3059545). This work was conducted during the research year of Chungbuk National University in 2020.</t>
  </si>
  <si>
    <t>MAR</t>
  </si>
  <si>
    <t>10.3390/app13052892</t>
  </si>
  <si>
    <t>9U9AK</t>
  </si>
  <si>
    <t>WOS:000947995900001</t>
  </si>
  <si>
    <t>van der Heijden, LLM; van de Mheen, P; Thielman, L; Stijnen, P; Hamming, JF; Fourneau, I</t>
  </si>
  <si>
    <t>Van der Heijden, Laura L. M.; Van de Mheen, Perla J.; Thielman, Louis; Stijnen, Pieter; Hamming, Jaap F.; Fourneau, Inge</t>
  </si>
  <si>
    <t>Validity of Routinely Reported Rutherford Scores Reported by Clinicians as Part of Daily Clinical Practice</t>
  </si>
  <si>
    <t>INTERNATIONAL JOURNAL OF ANGIOLOGY</t>
  </si>
  <si>
    <t>validation; medical record review; peripheral artery disease; Rutherford</t>
  </si>
  <si>
    <t>VALIDATION; ISCHEMIA; CODES</t>
  </si>
  <si>
    <t>Routinely reported structured data from the electronic health record (EHR) are frequently used for secondary purposes. However, it is unknown how valid routinely reported data are for reuse.This study aimed to assess the validity of routinely reported Rutherford scores by clinicians as an indicator for the validity of structured data in the EHR.This observational study compared clinician-reported Rutherford scores with medical record review Rutherford scores for all visits at the vascular surgery department between April 1, 2016 and December 31, 2018. Free-text fields with clinical information for all visits were extracted for the assignment of the medical record review Rutherford score, after which the agreement with the clinician-reported Rutherford score was assessed using Fleiss' Kappa.A total of 6,633 visits were included for medical record review. Substantial agreement was shown between clinician-reported Rutherford scores and medical record review Rutherford scores for the left ( k = 0.62, confidence interval [CI]: 0.60-0.63) and right leg ( k = 0.62, CI: 0.60-0.64). This increased to the almost perfect agreement for left ( k = 0.84, CI: 0.82-0.86) and right leg ( k = 0.85, CI: 0.83-0.87), when excluding missing clinician-reported Rutherford scores. Expert's judgment was rarely required to be the deciding factor (11 out of 6,633).Substantial agreement between clinician-reported Rutherford scores and medical record review Rutherford scores was found, which could be an indicator for the validity of routinely reported data. Depending on its purpose, the secondary use of routinely collected Rutherford scores is a viable option.</t>
  </si>
  <si>
    <t>[Van der Heijden, Laura L. M.; Thielman, Louis; Fourneau, Inge] Univ Hosp Leuven, Dept Vasc Surg, Leuven, Belgium; [Van der Heijden, Laura L. M.; Van de Mheen, Perla J.] Leiden Univ, Dept Biomed Data Sci, Med Decis Making, Med Ctr, Leiden, Netherlands; [Stijnen, Pieter] Univ Hosp Leuven, Management Informat &amp; Reporting, Leuven, Belgium; [Hamming, Jaap F.] Leiden Univ, Dept Vasc Surg, Med Ctr, Leiden, Netherlands; [Fourneau, Inge] Univ Hosp Leuven, Dept Vasc Surg, Herestraat 49, B-3000 Leuven, Belgium</t>
  </si>
  <si>
    <t>Fourneau, I (corresponding author), Univ Hosp Leuven, Dept Vasc Surg, Herestraat 49, B-3000 Leuven, Belgium.</t>
  </si>
  <si>
    <t>inge.fourneau@uzleuven.be</t>
  </si>
  <si>
    <t>Marang-van de Mheen, Perla/I-2783-2015</t>
  </si>
  <si>
    <t>Marang-van de Mheen, Perla/0000-0003-1439-0989</t>
  </si>
  <si>
    <t>joint-PhD program from the Leiden University Medical Center [18-1921]; Department Cardiovascular Sciences KU Leuven (Belgium)</t>
  </si>
  <si>
    <t>joint-PhD program from the Leiden University Medical Center; Department Cardiovascular Sciences KU Leuven (Belgium)</t>
  </si>
  <si>
    <t>This research is funded by the joint-PhD program from the Leiden University Medical Center (reference 18-1921) and the Department Cardiovascular Sciences KU Leuven (Belgium).</t>
  </si>
  <si>
    <t>THIEME MEDICAL PUBL INC</t>
  </si>
  <si>
    <t>333 SEVENTH AVE, NEW YORK, NY 10001 USA</t>
  </si>
  <si>
    <t>1061-1711</t>
  </si>
  <si>
    <t>1615-5939</t>
  </si>
  <si>
    <t>INT J ANGIOL</t>
  </si>
  <si>
    <t>Int. J. Angiol.</t>
  </si>
  <si>
    <t>2023 FEB 25</t>
  </si>
  <si>
    <t>10.1055/s-0043-1761280</t>
  </si>
  <si>
    <t>FEB 2023</t>
  </si>
  <si>
    <t>9J5JT</t>
  </si>
  <si>
    <t>WOS:000940223400001</t>
  </si>
  <si>
    <t>Gauthier, AG; Lin, MS; Zefi, S; Kulkarni, A; Thakur, GA; Ashby, CR; Mantell, LL</t>
  </si>
  <si>
    <t>Gauthier, Alex G.; Lin, Mosi; Zefi, Sidorela; Kulkarni, Abhijit; Thakur, Ganesh A.; Ashby Jr, Charles R.; Mantell, Lin L.</t>
  </si>
  <si>
    <t>GAT107-mediated?7 nicotinic acetylcholine receptor signaling attenuates inflammatory lung injury and mortality in a mouse model of ventilator-associated pneumonia by alleviating macrophage mitochondrial oxidative stress via reducing MnSOD-S-glutathionylation</t>
  </si>
  <si>
    <t>REDOX BIOLOGY</t>
  </si>
  <si>
    <t>Survival; ?7nAChR; HMGB1; Inflammatory lung injury; Mitochondria; MnSOD glutathionylation</t>
  </si>
  <si>
    <t>POSITIVE ALLOSTERIC MODULATOR; MECHANICAL VENTILATION; PSEUDOMONAS-AERUGINOSA; CELL-DEATH; BACTERIAL CLEARANCE; TNF-ALPHA; HYPEROXIA; INHIBITION; EPIDEMIOLOGY; THERAPEUTICS</t>
  </si>
  <si>
    <t>Supraphysiological concentrations of oxygen (hyperoxia) can compromise host defense and increase suscepti-bility to bacterial and viral infections, causing ventilator-associated pneumonia (VAP). Compromised host de-fense and inflammatory lung injury are mediated, in part, by high extracellular concentrations of HMGB1, which can be decreased by GTS-21, a partial agonist of alpha 7 nicotinic acetylcholine receptor (alpha 7nAChR). Here, we report that a novel alpha 7nAChR agonistic positive allosteric modulator (ago-PAM), GAT107, at 3.3 mg/kg, i.p., signifi-cantly decreased animal mortality and markers of inflammatory injury in mice exposed to hyperoxia and sub-sequently infected with Pseudomonas aeruginosa. The incubation of macrophages with 3.3 mu M of GAT107 significantly decreased hyperoxia-induced extracellular HMGB1 accumulation and HMGB1-induced macrophage phagocytic dysfunction. Hyperoxia-compromised macrophage function was correlated with impaired mito-chondrial membrane integrity, increased superoxide levels, and decreased manganese superoxide dismutase (MnSOD) activity. This compromised MnSOD activity is due to a significant increase in its level of gluta-thionylation. The incubation of hyperoxic macrophages with 3.3 mu M of GAT107 significantly decreases the levels of glutathionylated MnSOD, and restores MnSOD activity and mitochondrial membrane integrity. Thus, GAT107 restored hyperoxia-compromised phagocytic functions by decreasing HMGB1 release, most likely via a mitochondrial-directed pathway. Overall, our results suggest that GAT107 may be a potential treatment to decrease acute inflammatory lung injury by increasing host defense in patients with VAP.</t>
  </si>
  <si>
    <t>[Gauthier, Alex G.; Lin, Mosi; Zefi, Sidorela; Ashby Jr, Charles R.; Mantell, Lin L.] St Johns Univ, Coll Pharm &amp; Hlth Sci, Dept Pharmaceut Sci, Queens, NY USA; [Mantell, Lin L.] Northwell Hlth, Feinstein Inst Med Res, Manhasset, NY USA; [Kulkarni, Abhijit; Thakur, Ganesh A.] Northeastern Univ, Boston, MA USA; [Mantell, Lin L.] St Johns Univ, Dept Pharmaceut Sci, Coll Pharm &amp; Hlth Sci, 128 St Albert Hall,8000 Utopia Pkwy, Queens, NY 11439 USA</t>
  </si>
  <si>
    <t>Saint John's University; Northwell Health; Northeastern University; Saint John's University</t>
  </si>
  <si>
    <t>Mantell, LL (corresponding author), St Johns Univ, Dept Pharmaceut Sci, Coll Pharm &amp; Hlth Sci, 128 St Albert Hall,8000 Utopia Pkwy, Queens, NY 11439 USA.</t>
  </si>
  <si>
    <t>mantelll@stjohns.edu</t>
  </si>
  <si>
    <t>National Heart, Lung, and Blood Institute [HL093708]</t>
  </si>
  <si>
    <t>National Heart, Lung, and Blood Institute(United States Department of Health &amp; Human ServicesNational Institutes of Health (NIH) - USANIH National Heart Lung &amp; Blood Institute (NHLBI))</t>
  </si>
  <si>
    <t>The authors would like to thank Dr. Ravi Sitapara, Mr. Jiaqi Wu and Ms. Maleka Stewart for the insightful discussion, assistance in per- forming the experiments, and grant support (LLM) from National Heart, Lung, and Blood Institute (HL093708) and St. John?s University.</t>
  </si>
  <si>
    <t>2213-2317</t>
  </si>
  <si>
    <t>REDOX BIOL</t>
  </si>
  <si>
    <t>Redox Biol.</t>
  </si>
  <si>
    <t>10.1016/j.redox.2023.102614</t>
  </si>
  <si>
    <t>A2NV9</t>
  </si>
  <si>
    <t>WOS:000953560000001</t>
  </si>
  <si>
    <t>Rodrigues, CB; Thomaz, EBAF; Batista, RFL; Riggirozzi, P; Moreira, DSD; Goncalves, LLM; Lamy, ZC</t>
  </si>
  <si>
    <t>Rodrigues, Camila Brito; Thomaz, Erika Barbara Abreu Fonseca; Batista, Rosangela Fernandes Lucena; Riggirozzi, Pia; Moreira, Dina Stefany de Oliveira; Goncalves, Laura Lamas Martins; Lamy, Zeni Carvalho</t>
  </si>
  <si>
    <t>Prenatal care and human rights: Addressing the gap between medical and legal frameworks and the experience of women in Brazil</t>
  </si>
  <si>
    <t>Access to quality and affordable healthcare is central to the fulfilment of women's reproductive and sexual health needs and rights. For this reason, the World Health Organization declared access to appropriate healthcare services during pregnancy and childbirth a fundamental women's right. Prenatal care is a recognized human right to women's health in Brazil, as declared by the 1988 Constitution and many Brazilian policies. However, implementing the rights to health in Brazil presents a fundamental performance gap between legal rights and their delivery concerning reproductive health. Through extensive fieldwork including focus groups, interviews with women and participate observation in two municipalities in northeastern Brazil, this article addresses these issues and explores women's lived experience of access to and their fulfilment of the right to health regarding prenatal healthcare. We offer and account of the experience of women regarding what they identified as barriers that trample their right to health, that is: a) limited personnel and medical equipment as a perception of neglect; b) timely delivery of services: time matters for perception and experience of rights; c) misinformation as a barrier to the exercise of health rights; and d) socioeconomic barriers. These barriers particularly affect the right of women in rural communities, with lower socioeconomic levels and education, as well as brown and black women, from an intersectionality perspective, who are already at greater health risk and inadequate prenatal care. As such, we argue there is a performance gap between what the normative and legal frameworks encourage the health system to do and what the system actually provides in terms of access, equality, respect and continuity of treatment amongst certain groups in society whose right to health are denied while their health risks increase.</t>
  </si>
  <si>
    <t>[Rodrigues, Camila Brito; Moreira, Dina Stefany de Oliveira] Univ Fed Maranhao, Sao Luis, MA, Brazil; [Thomaz, Erika Barbara Abreu Fonseca; Batista, Rosangela Fernandes Lucena; Lamy, Zeni Carvalho] Univ Fed Maranhao, Dept Publ Hlth, Postgrad Program Publ Hlth, Sao Luis, MA, Brazil; [Riggirozzi, Pia] Univ Southampton, Dept Polit &amp; Int Relat, Southampton, England; [Goncalves, Laura Lamas Martins] Univ Vale Rio dos Sinos, Psychol Course, Porto Alegre, RS, Brazil</t>
  </si>
  <si>
    <t>Universidade Federal do Maranhao; Universidade Federal do Maranhao; University of Southampton; Universidade do Vale do Rio dos Sinos (Unisinos)</t>
  </si>
  <si>
    <t>Rodrigues, CB (corresponding author), Univ Fed Maranhao, Sao Luis, MA, Brazil.</t>
  </si>
  <si>
    <t>rodriguesbcamila@gmail.com</t>
  </si>
  <si>
    <t>Batista, Rosangela Fernandes Lucena/G-6808-2016</t>
  </si>
  <si>
    <t>Medical Research Council (MRC) [MR/R022933/1]; Foundation for Research Support and Scientific and Technological Development of Maranhao (FAPEMA) [COOPI-00710/18]; National Council for Scientific and Technological Development (CNPq) [306592/2018-5, 314939/2020-2]; Coordination for the Improvement of Higher Education Personnel (CAPES) [001]</t>
  </si>
  <si>
    <t>Medical Research Council (MRC)(UK Research &amp; Innovation (UKRI)Medical Research Council UK (MRC)); Foundation for Research Support and Scientific and Technological Development of Maranhao (FAPEMA); National Council for Scientific and Technological Development (CNPq)(Conselho Nacional de Desenvolvimento Cientifico e Tecnologico (CNPQ)); Coordination for the Improvement of Higher Education Personnel (CAPES)(Coordenacao de Aperfeicoamento de Pessoal de Nivel Superior (CAPES))</t>
  </si>
  <si>
    <t>This study was funded by Medical Research Council (MRC, Grant number MR/R022933/1, United Kingdon), Foundation for Research Support and Scientific and Technological Development of Maranhao (FAPEMA, Research process COOPI-00710/18), National Council for Scientific and Technological Development (CNPq, Research processes 306592/2018-5 and 314939/2020-2), and Coordination for the Improvement of Higher Education Personnel (CAPES, finance code 001). The funders had no role in study design, data collection and analysis, decision to publish, or preparation of the manuscript.</t>
  </si>
  <si>
    <t>FEB 14</t>
  </si>
  <si>
    <t>e0281581</t>
  </si>
  <si>
    <t>10.1371/journal.pone.0281581</t>
  </si>
  <si>
    <t>C3BV1</t>
  </si>
  <si>
    <t>WOS:000960719800001</t>
  </si>
  <si>
    <t>Madani, A; Ben Krause; Greene, ER; Subramanian, S; Mohr, BP; Holton, JM; Olmos, JL; Xiong, CM; Sun, ZZ; Socher, R; Fraser, JS; Naik, N</t>
  </si>
  <si>
    <t>Madani, Ali; Ben Krause, Ben; Greene, Eric R.; Subramanian, Subu; Mohr, Benjamin P.; Holton, James M.; Olmos, Jose Luis; Xiong, Caiming; Sun, Zachary Z. Z.; Socher, Richard; Fraser, James S.; Naik, Nikhil</t>
  </si>
  <si>
    <t>Large language models generate functional protein sequences across diverse families</t>
  </si>
  <si>
    <t>NATURE BIOTECHNOLOGY</t>
  </si>
  <si>
    <t>STRUCTURE REFINEMENT; T4 LYSOZYME; CONTACTS</t>
  </si>
  <si>
    <t>A generative deep-learning model designs artificial proteins with desired enzymatic activities. Deep-learning language models have shown promise in various biotechnological applications, including protein design and engineering. Here we describe ProGen, a language model that can generate protein sequences with a predictable function across large protein families, akin to generating grammatically and semantically correct natural language sentences on diverse topics. The model was trained on 280 million protein sequences from &gt;19,000 families and is augmented with control tags specifying protein properties. ProGen can be further fine-tuned to curated sequences and tags to improve controllable generation performance of proteins from families with sufficient homologous samples. Artificial proteins fine-tuned to five distinct lysozyme families showed similar catalytic efficiencies as natural lysozymes, with sequence identity to natural proteins as low as 31.4%. ProGen is readily adapted to diverse protein families, as we demonstrate with chorismate mutase and malate dehydrogenase.</t>
  </si>
  <si>
    <t>[Madani, Ali; Ben Krause, Ben; Xiong, Caiming; Socher, Richard; Naik, Nikhil] Salesforce Res, Palo Alto, CA 94301 USA; [Madani, Ali] Profluent Bio, San Francisco, CA 94118 USA; [Greene, Eric R.; Olmos, Jose Luis; Fraser, James S.] Univ Calif San Francisco, Dept Bioengn &amp; Therapeut Sci, San Francisco, CA USA; [Subramanian, Subu] Univ Calif Berkeley, Dept Mol &amp; Cell Biol, Berkeley, CA USA; [Subramanian, Subu] Univ Calif Berkeley, Howard Hughes Med Inst, Berkeley, CA USA; [Mohr, Benjamin P.; Sun, Zachary Z. Z.] Tierra Biosci, San Leandro, CA USA; [Holton, James M.] Lawrence Berkeley Natl Lab, Mol Biophys &amp; Integrated Bioimaging Div, Berkeley, CA USA; [Holton, James M.] SLAC Natl Accelerator Lab, Stanford Synchrotron Radiat Lightsource, Menlo Pk, CA USA; [Holton, James M.] Univ Calif San Francisco, Dept Biochem &amp; Biophys, San Francisco, CA USA</t>
  </si>
  <si>
    <t>Madani, A; Naik, N (corresponding author), Salesforce Res, Palo Alto, CA 94301 USA.;Madani, A (corresponding author), Profluent Bio, San Francisco, CA 94118 USA.</t>
  </si>
  <si>
    <t>ali@madani.ai; nnaik@salesforce.com</t>
  </si>
  <si>
    <t>University of California Office of the President, Multicampus Research Programs and Initiatives grant [MR-15-328599]; National Institutes of Health [R01 GM124149, P30 GM124169]; Plexxikon Inc.; US Department of Energy Office of Biological and Environmental Research; US Department of Energy, Office of Basic Energy Sciences [DE-AC02-05CH11231]; NIH [GM145238, GM123159]; Sanghvi-Agarwal Innovation Award</t>
  </si>
  <si>
    <t>University of California Office of the President, Multicampus Research Programs and Initiatives grant(University of California System); National Institutes of Health(United States Department of Health &amp; Human ServicesNational Institutes of Health (NIH) - USA); Plexxikon Inc.; US Department of Energy Office of Biological and Environmental Research(United States Department of Energy (DOE)); US Department of Energy, Office of Basic Energy Sciences(United States Department of Energy (DOE)); NIH(United States Department of Health &amp; Human ServicesNational Institutes of Health (NIH) - USA); Sanghvi-Agarwal Innovation Award</t>
  </si>
  <si>
    <t>We thank B. McCann, C. Gee, E. Procko, K. Trego, L. Varshney, N. Shirish Keskar and S. Savarese for their feedback at various stages of this project. We thank A. Cook, D. Lo and V. Nemali for operational support. Thanks also to the Salesforce Research Computing Infrastructure team and the Google Cloud TPU team for their help with computing resources, in addition to Twist Bioscience for DNA synthesis support. Beamline 8.3.1 at the Advanced Light Source is operated by the University of California Office of the President, Multicampus Research Programs and Initiatives grant MR-15-328599, the National Institutes of Health (R01 GM124149 and P30 GM124169), Plexxikon Inc. and the Integrated Diffraction Analysis Technologies program of the US Department of Energy Office of Biological and Environmental Research. The Advanced Light Source (Berkeley, CA) is a national user facility operated by Lawrence Berkeley National Laboratory on behalf of the US Department of Energy under contract number DE-AC02-05CH11231, Office of Basic Energy Sciences. Icons in one figure were created using BioRender (https://biorender.com). E.R.G. is supported by NIH F32-GM144982-01. J.S.F. was supported by NIH GM123159, NIH GM145238 and a Sanghvi-Agarwal Innovation Award.</t>
  </si>
  <si>
    <t>1087-0156</t>
  </si>
  <si>
    <t>1546-1696</t>
  </si>
  <si>
    <t>NAT BIOTECHNOL</t>
  </si>
  <si>
    <t>Nat. Biotechnol.</t>
  </si>
  <si>
    <t>10.1038/s41587-022-01618-2</t>
  </si>
  <si>
    <t>JAN 2023</t>
  </si>
  <si>
    <t>Biotechnology &amp; Applied Microbiology</t>
  </si>
  <si>
    <t>P2VH3</t>
  </si>
  <si>
    <t>WOS:000920853200002</t>
  </si>
  <si>
    <t>Finley, CA; Elmore, M; Orf, L; Lee, BD</t>
  </si>
  <si>
    <t>Finley, Catherine A. A.; Elmore, Michelle; Orf, Leigh; Lee, Bruce D. D.</t>
  </si>
  <si>
    <t>Impact of the Streamwise Vorticity Current on Low-Level Mesocyclone Development in a Simulated Supercell</t>
  </si>
  <si>
    <t>GEOPHYSICAL RESEARCH LETTERS</t>
  </si>
  <si>
    <t>supercell; mesoscyclone; numerical modeling; streamwise vorticity; tornadogenesis; large eddy simulation</t>
  </si>
  <si>
    <t>STORM-RELATIVE HELICITY; EL RENO; VORTEX2; DOPPLER; TORNADOGENESIS; ASSIMILATION; PROPAGATION; VARIABILITY; ROTATION; OKLAHOMA</t>
  </si>
  <si>
    <t>Results from a large eddy simulation of a tornadic supercell developing in a horizontally homogeneous environment are presented which clearly illustrate a connection between low-level mesoyclone development and the development of a streamwise vorticity current (SVC). Although the environment supports tornadic supercells, a strong low-level mesocyclone (LLM) does not develop until a well-defined SVC forms in the storm's forward flank. As the streamwise vorticity in the SVC flows southward and is tilted into the storm updraft creating updraft helicity, the LLM strengthens and lowers toward the surface. The SVC also focuses LLM development in a confined storm-relative position favorable for converging/stretching preexisting vertical vorticity. Tornadogenesis occurs within similar to 5 min of the establishment of a strong LLM. These results illustrate a possible mode of internal storm variability that may be an important factor in explaining why some supercells produce tornadoes while others do not in similar favorable environments.</t>
  </si>
  <si>
    <t>[Finley, Catherine A. A.; Lee, Bruce D. D.] Univ North Dakota, Dept Atmospher Sci, Grand Forks, ND 58202 USA; [Elmore, Michelle] St Louis Univ, Dept Earth &amp; Atmospher Sci, St Louis, MO USA; [Orf, Leigh] Univ Wisconsin, CIMSS, Madison, WI USA</t>
  </si>
  <si>
    <t>University of North Dakota Grand Forks; Saint Louis University; University of Wisconsin System; University of Wisconsin Madison</t>
  </si>
  <si>
    <t>Finley, CA (corresponding author), Univ North Dakota, Dept Atmospher Sci, Grand Forks, ND 58202 USA.</t>
  </si>
  <si>
    <t>catherine.finley@und.edu</t>
  </si>
  <si>
    <t>National Science Foundation [AGS-1832326, AGS-1832327, AGS-1663954, OAC-1614973, OAC-1663954]</t>
  </si>
  <si>
    <t>The authors would like to thank Michael French and Lou Wicker for their thoughtful reviews which improved the manuscript. This work was supported by the National Science Foundation under Grants AGS-1832326, AGS-1832327, AGS-1663954, OAC-1614973, and OAC-1663954. The numerical model simulation was run on the Blue Waters supercomputer located at the National Center for Supercomputing Applications at the University of Illinois at Urbana-Champaign.</t>
  </si>
  <si>
    <t>AMER GEOPHYSICAL UNION</t>
  </si>
  <si>
    <t>2000 FLORIDA AVE NW, WASHINGTON, DC 20009 USA</t>
  </si>
  <si>
    <t>0094-8276</t>
  </si>
  <si>
    <t>1944-8007</t>
  </si>
  <si>
    <t>GEOPHYS RES LETT</t>
  </si>
  <si>
    <t>Geophys. Res. Lett.</t>
  </si>
  <si>
    <t>JAN 16</t>
  </si>
  <si>
    <t>10.1029/2022GL100005</t>
  </si>
  <si>
    <t>Geosciences, Multidisciplinary</t>
  </si>
  <si>
    <t>Geology</t>
  </si>
  <si>
    <t>8A5FP</t>
  </si>
  <si>
    <t>WOS:000916264900020</t>
  </si>
  <si>
    <t>Huang, AH; Wang, H; Yang, Y</t>
  </si>
  <si>
    <t>Huang, Allen H.; Wang, Hui; Yang, Yi</t>
  </si>
  <si>
    <t>FinBERT: A Large Language Model for Extracting Information from Financial Text</t>
  </si>
  <si>
    <t>CONTEMPORARY ACCOUNTING RESEARCH</t>
  </si>
  <si>
    <t>deep learning; large language model; transfer learning; interpretable machine learning; sentiment classification; environment; social; and governance (ESG)</t>
  </si>
  <si>
    <t>EARNINGS; READABILITY; DISCLOSURE</t>
  </si>
  <si>
    <t>We develop FinBERT, a state-of-the-art large language model that adapts to the finance domain. We show that FinBERT incorporates finance knowledge and can better summarize contextual information in financial texts. Using a sample of researcher-labeled sentences from analyst reports, we document that FinBERT substantially outperforms the Loughran and McDonald dictionary and other machine learning algorithms, including naive Bayes, support vector machine, random forest, convolutional neural network, and long short-term memory, in sentiment classification. Our results show that FinBERT excels in identifying the positive or negative sentiment of sentences that other algorithms mislabel as neutral, likely because it uses contextual information in financial text. We find that FinBERT's advantage over other algorithms, and Google's original bidirectional encoder representations from transformers model, is especially salient when the training sample size is small and in texts containing financial words not frequently used in general texts. FinBERT also outperforms other models in identifying discussions related to environment, social, and governance issues. Last, we show that other approaches underestimate the textual informativeness of earnings conference calls by at least 18% compared to FinBERT. Our results have implications for academic researchers, investment professionals, and financial market regulators.</t>
  </si>
  <si>
    <t>[Huang, Allen H.; Wang, Hui; Yang, Yi] Renmin Univ China, Beijing, Peoples R China</t>
  </si>
  <si>
    <t>Renmin University of China</t>
  </si>
  <si>
    <t>Huang, AH (corresponding author), Renmin Univ China, Beijing, Peoples R China.</t>
  </si>
  <si>
    <t>allen.huang@ust.hk</t>
  </si>
  <si>
    <t>Seoul National University; Hong Kong Research Grants Council [T31-604/18-N, T31-603/21-N, FinBERT-A]</t>
  </si>
  <si>
    <t>Seoul National University; Hong Kong Research Grants Council(Hong Kong Research Grants Council)</t>
  </si>
  <si>
    <t>Accepted by Jenny Tucker. We thank Jenny Tucker (editor), three anonymous referees, Stefano Bonini (discussant), Sean Cao (discussant), Diego Garcia (discussant), Louise Hayes (discussant), Alan Huang (discussant), Fuwei Jiang (discussant), Jaehoon Lee (discussant), Xiangyu Li, Brandon Lock (discussant), Tim Loughran, Amy Zang, and seminar participants at AllianceBernstein, Aqumon, Central University of Finance and Economics, Ernst &amp; Young, Hong Kong Monetary Authority, HKUST, JP Morgan, Lancaster University, and Seoul National University, as well as the 2020 Bergen Fintech Conference, 2020 Conference on Asia-Pacific Financial Markets, 2021 AAA Annual Meeting, 2021 EAA Conference, 2021 EFMA Conference, 2021 FARS Midyear Conference, 2021 FMA Annual Meeting, 2021 Hawai`i Accounting Research Conference, 2021 Japanese Accounting Review Conference, 2021 Summer Institute of Finance, 2022 Fifth Annual Data Science in Finance: Frontiers in Investment Data Science, 2022 CAPANA conference, and 2022 China International Risk Forum for their comments. We gratefully acknowledge the financial support of the Hong Kong Research Grants Council (T31-604/18-N and T31-603/21-N). This paper was formally circulated under the title FinBERT-A Deep Learning Approach to Extracting Textual Information.</t>
  </si>
  <si>
    <t>0823-9150</t>
  </si>
  <si>
    <t>1911-3846</t>
  </si>
  <si>
    <t>CONTEMP ACCOUNT RES</t>
  </si>
  <si>
    <t>Contemp. Account. Res.</t>
  </si>
  <si>
    <t>10.1111/1911-3846.12832</t>
  </si>
  <si>
    <t>H7OD5</t>
  </si>
  <si>
    <t>WOS:000909014900001</t>
  </si>
  <si>
    <t>Bosman, M; Esteve, A; Gabbanelli, L; Jordan, X; López-Gay, A; Manera, M; Martínez, M; Masjuan, P; Mir, LM; Paradells, J; Pignatelli, A; Riu, I; Vitagliano, V</t>
  </si>
  <si>
    <t>Bosman, M.; Esteve, A.; Gabbanelli, L.; Jordan, X.; Lopez-Gay, A.; Manera, M.; Martinez, M.; Masjuan, P.; Mir, Ll. M.; Paradells, J.; Pignatelli, A.; Riu, I.; Vitagliano, V.</t>
  </si>
  <si>
    <t>Stochastic simulation of successive waves of COVID-19 in the province of Barcelona</t>
  </si>
  <si>
    <t>INFECTIOUS DISEASE MODELLING</t>
  </si>
  <si>
    <t>COVID-19 modelling; Parameter estimation; Socio-demographic data; Intervention</t>
  </si>
  <si>
    <t>TRANSMISSION</t>
  </si>
  <si>
    <t>Analytic compartmental models are currently used in mathematical epidemiology to forecast the COVID-19 pandemic evolution and explore the impact of mitigation strategies. In general, such models treat the population as a single entity, losing the social, cultural and economical specificities. We present a network model that uses socio-demographic datasets with the highest available granularity to predict the spread of COVID-19 in the province of Barcelona. The model is flexible enough to incorporate the effect of contain-ment policies, such as lockdowns or the use of protective masks, and can be easily adapted to future epidemics. We follow a stochastic approach that combines a compartmental model with detailed individual microdata from the population census, including social determinants and age-dependent strata, and time-dependent mobility information. We show that our model reproduces the dynamical features of the disease across two waves and demonstrates its capability to become a powerful tool for simulating epidemic events.(c) 2022 The Authors. Publishing services by Elsevier B.V. on behalf of KeAi Communications Co. Ltd. This is an open access article under the CC BY license (http://crea tivecommons.org/licenses/by/4.0/).</t>
  </si>
  <si>
    <t>[Bosman, M.; Gabbanelli, L.; Manera, M.; Martinez, M.; Masjuan, P.; Mir, Ll. M.; Pignatelli, A.; Riu, I.; Vitagliano, V.] Barcelona Inst Sci &amp; Technol, Inst Fis Altes Energies IFAE, Barcelona, Spain; [Esteve, A.; Lopez-Gay, A.] Ctr Estudis Demog CED CERCA, Barcelona, Spain; [Esteve, A.] Univ Pompeu Fabra, Dept Ciencies Polit &amp; Socials, Barcelona, Spain; [Jordan, X.; Paradells, J.] i2CAT Fdn, Edifici Nexus,Campus Nord UPC, Barcelona, Spain; [Lopez-Gay, A.] Univ Autonoma Barcelona, Dept Geog, Bellaterra, Spain; [Manera, M.; Masjuan, P.] Univ Autonoma Barcelona, Dept Fis, Bellaterra, Spain; [Martinez, M.] Inst Catalana Recerca &amp; Estudis Avancats ICREA, Barcelona, Spain; [Paradells, J.] Univ Politecn Cataluna, Dept Engn Telemat, Barcelona, Spain; [Vitagliano, V.] Univ Genoa, DIME, Via Opera Pia 15, I-16145 Genoa, Italy; [Vitagliano, V.] Ist Nazl Fis Nucl, Sez Genova, Via Dodecaneso 33, I-16146 Genoa, Italy; [Vitagliano, V.] Univ Hull, Dept Math &amp; Phys, Kingston Upon Hull HU6 7RX, Yorks, England</t>
  </si>
  <si>
    <t>Barcelona Institute of Science &amp; Technology; Institute for High Energy Physics (IFAE); Pompeu Fabra University; Internet I Innovacio Digital A Catalunya (I2CAT); Autonomous University of Barcelona; Autonomous University of Barcelona; ICREA; Universitat Politecnica de Catalunya; University of Genoa; Istituto Nazionale di Fisica Nucleare (INFN); University of Hull</t>
  </si>
  <si>
    <t>Bosman, M (corresponding author), Barcelona Inst Sci &amp; Technol, Inst Fis Altes Energies IFAE, Barcelona, Spain.</t>
  </si>
  <si>
    <t>bosman@ifae.es</t>
  </si>
  <si>
    <t>CERCA institution; Centres de Recerca de Catalunya; programme PANDEMIES 2020, Replegar-se per creixer: l'impacte de les pandemies en un mon sense fronteres visibles of the Agencia de Gestio d'Ajuts Universitaris i de Recerca of the Generalitat de Catalunya; European Union; Talent Research Program (Universitat Autonoma de Barcelona) [2020PANDE0180]; Spanish Ministry of Science and Innovation [758145]; Agency for Management of University and Research Grants of the Government of Catalonia; Ajuntament de Barcelona [PID2020-112965 GB-I00]; Marie Sklodowska-Curie [SGR 1069]; H2020 programme; Secretary of Universities and Research of the Government of Catalonia [6655919]; [801370]</t>
  </si>
  <si>
    <t>CERCA institution; Centres de Recerca de Catalunya; programme PANDEMIES 2020, Replegar-se per creixer: l'impacte de les pandemies en un mon sense fronteres visibles of the Agencia de Gestio d'Ajuts Universitaris i de Recerca of the Generalitat de Catalunya; European Union(European Union (EU)); Talent Research Program (Universitat Autonoma de Barcelona); Spanish Ministry of Science and Innovation(Spanish Government); Agency for Management of University and Research Grants of the Government of Catalonia; Ajuntament de Barcelona; Marie Sklodowska-Curie(Marie Curie Actions); H2020 programme; Secretary of Universities and Research of the Government of Catalonia;</t>
  </si>
  <si>
    <t>The authors affiliated to CED, IFAE and i2CAT acknowledge the support of the CERCA institution, Centres de Recerca de Catalunya. MB, XJ, LLM, MMar, PM, JP, IR acknowledge support from the grant 2020PANDE0180 of the programme PANDEMIES 2020, Replegar-se per creixer: l'impacte de les pandemies en un mon sense fronteres visibles of the Agencia de Gestio d'Ajuts Universitaris i de Recerca of the Generalitat de Catalunya. LG thanks the funding from the European Union's Horizon 2020research and innovation programme under grant agreement ID 758145. AL acknowledges the support from the Talent Research Program (Universitat Aut?onoma de Barcelona). PM has received funding from the Spanish Ministry of Science and Innovation (PID2020-112965 GB-I00/AEI/10.13039/501100011033), from the Agency for Management of University and Research Grants of the Government of Catalonia (project SGR 1069), and also received support from Ajuntament de Barcelona. MMan acknowledges support from Marie Sklodowska-Curie grant agreement ID 6655919. VV has been partially supported by the H2020 programme and by the Secretary of Universities and Research of the Government of Catalonia through a Marie Sklodowska-Curie COFUND fellowship -Beatriu de Pinos programme ID 801370. The work of VV has also been carried out in the framework of activities of the Italian National Group of Mathematical Physics (GNFM, INdAM) and of the INFN Research Project QGSKY.</t>
  </si>
  <si>
    <t>KEAI PUBLISHING LTD</t>
  </si>
  <si>
    <t>16 DONGHUANGCHENGGEN NORTH ST, Building 5, Room 411, BEIJING, DONGCHENG DISTRICT 100009, PEOPLES R CHINA</t>
  </si>
  <si>
    <t>2468-0427</t>
  </si>
  <si>
    <t>INFECT DIS MODEL</t>
  </si>
  <si>
    <t>Infect. Dis. Model.</t>
  </si>
  <si>
    <t>10.1016/j.idm.2022.12.005</t>
  </si>
  <si>
    <t>Mathematical &amp; Computational Biology; Infectious Diseases</t>
  </si>
  <si>
    <t>8P6JX</t>
  </si>
  <si>
    <t>WOS:000926629200001</t>
  </si>
  <si>
    <t>Abarca, LLM; Barros, ALBLD; Baptista, RCN; Batista, REA; Lopes, JD</t>
  </si>
  <si>
    <t>Abarca, Lissette Lucrecia Monge; de Barros, Alba Lucia Bottura Leite; Baptista, Rui Carlos Negrao; Batista, Ruth Ester Assayag; Lopes, Juliana de Lima</t>
  </si>
  <si>
    <t>Effect of video on satisfaction and self-confidence in simulation training: a randomized clinical trial</t>
  </si>
  <si>
    <t>REVISTA BRASILEIRA DE ENFERMAGEM</t>
  </si>
  <si>
    <t>Simulation Training; Baths; Personal Satisfaction; Trust; Education; Nursing</t>
  </si>
  <si>
    <t>STUDENT SATISFACTION; NURSING-STUDENTS; VALIDATION</t>
  </si>
  <si>
    <t>Objectives: to identify the effect on satisfaction and self-confidence of undergraduate nursing students after using a validated bed bath video during the simulation. Methods: blinded parallel randomized clinical trial. Participants were allocated to the control group (simulation with tutor) or intervention (simulation with video). After the interventions, the Student Satisfaction and Self Confidence with Learning Scale was used to assess satisfaction and self-confidence. The study was approved by the Ethics Committee and Brazilian Registry of Clinical Trials. Mann Whitney, Fisher Exact and Student t statistical tests were used. A significance level of 5% was adopted. Results: fifty eight students (30, control; and 28, intervention) were evaluated. There was no significant difference between the groups regarding satisfaction (p=0.832) and self-confidence (p&gt;0.999). Conclusions: satisfaction and self-confidence were similar between the groups, and the two strategies could be used in the simulated practice of bed bathing. Descriptors: Simulation Training; Baths; Personal Satisfaction; Trust; Education, Nursing.</t>
  </si>
  <si>
    <t>[Abarca, Lissette Lucrecia Monge; de Barros, Alba Lucia Bottura Leite; Batista, Ruth Ester Assayag; Lopes, Juliana de Lima] Univ Fed Sao Paulo, Sao Paulo, Brazil; [Baptista, Rui Carlos Negrao] Escola Super Enfermagem Coimbra, Coimbra, Portugal</t>
  </si>
  <si>
    <t>Universidade Federal de Sao Paulo (UNIFESP); Nursing School of Coimbra</t>
  </si>
  <si>
    <t>Lopes, JD (corresponding author), Univ Fed Sao Paulo, Sao Paulo, Brazil.</t>
  </si>
  <si>
    <t>juliana.lima@unifesp.br</t>
  </si>
  <si>
    <t>Batista, Ruth Ester Assayag/0000-0002-6416-1079; Baptista, Rui Carlos Negrao/0000-0002-4125-1186</t>
  </si>
  <si>
    <t>FUNDING - National Council for Scientific and Technological Development (CNPq); National Council for Scientific and Technological Development (CNPq) [454707/2014-2, 309586/2021-6]; Coordination for the Improvement of Higher Education Personnel (CAPES)</t>
  </si>
  <si>
    <t>FUNDING - National Council for Scientific and Technological Development (CNPq)(Conselho Nacional de Desenvolvimento Cientifico e Tecnologico (CNPQ)Fundacao de Apoio a Pesquisa do Distrito Federal (FAPDF)); National Council for Scientific and Technological Development (CNPq)(Conselho Nacional de Desenvolvimento Cientifico e Tecnologico (CNPQ)); Coordination for the Improvement of Higher Education Personnel (CAPES)(Coordenacao de Aperfeicoamento de Pessoal de Nivel Superior (CAPES))</t>
  </si>
  <si>
    <t>This study was funded by the National Council for Scientific and Technological Development (CNPq) , CNPq process number 454707/2014-2 and 309586/2021-6 and by the Coordination for the Improvement of Higher Education Personnel (CAPES) .</t>
  </si>
  <si>
    <t>ASSOC BRASILEIRA ENFERMAGEM</t>
  </si>
  <si>
    <t>BRASILIA DF</t>
  </si>
  <si>
    <t>SGA NORTE QUADRA 603 CONJ B AV L2 NORTE, BRASILIA DF, 70830-030, BRAZIL</t>
  </si>
  <si>
    <t>0034-7167</t>
  </si>
  <si>
    <t>1984-0446</t>
  </si>
  <si>
    <t>REV BRAS ENFERM</t>
  </si>
  <si>
    <t>Rev. Bras. Enferm.</t>
  </si>
  <si>
    <t>e20220366</t>
  </si>
  <si>
    <t>10.1590/0034-7167-2022-0366</t>
  </si>
  <si>
    <t>Nursing</t>
  </si>
  <si>
    <t>M1YB3</t>
  </si>
  <si>
    <t>WOS:001028195600005</t>
  </si>
  <si>
    <t>C</t>
  </si>
  <si>
    <t>Ahmad, A; Waseem, M; Liang, P; Fahmideh, M; Aktar, MS; Mikkonen, T</t>
  </si>
  <si>
    <t>ACM</t>
  </si>
  <si>
    <t>Ahmad, Aakash; Waseem, Muhammad; Liang, Peng; Fahmideh, Mahdi; Aktar, Mst Shamima; Mikkonen, Tommi</t>
  </si>
  <si>
    <t>Towards Human-Bot Collaborative Software Architecting with ChatGPT</t>
  </si>
  <si>
    <t>27TH INTERNATIONAL CONFERENCE ON EVALUATION AND ASSESSMENT IN SOFTWARE ENGINEERING, EASE 2023</t>
  </si>
  <si>
    <t>Proceedings Paper</t>
  </si>
  <si>
    <t>27th International Conference on Evaluation and Assessment in Software Engineering (EASE)</t>
  </si>
  <si>
    <t>JUN 14-16, 2023</t>
  </si>
  <si>
    <t>Oulu, FINLAND</t>
  </si>
  <si>
    <t>Software Architecture; ChatGPT; Large Language Models; DevBots</t>
  </si>
  <si>
    <t>Architecting software-intensive systems can be a complex process. It deals with the daunting tasks of unifying stakeholders' perspectives, designers' intellect, tool-based automation, pattern-driven reuse, and so on, to sketch a blueprint that guides software implementation and evaluation. Despite its benefits, architecture-centric software engineering (ACSE) suffers from a multitude of challenges. ACSE challenges could stem from a lack of standardized processes, socio-technical limitations, and scarcity of human expertise etc. that can impede the development of existing and emergent classes of software. Software Development Bots (DevBots) trained on large language models can help synergise architects' knowledge with artificially intelligent decision support to enable rapid architecting in a human-bot collaborative ACSE. An emerging solution to enable this collaboration is ChatGPT, a disruptive technology not primarily introduced for software engineering, but is capable of articulating and refining architectural artifacts based on natural language processing. We detail a case study that involves collaboration between a novice software architect and ChatGPT to architect a service-based software. Future research focuses on harnessing empirical evidence about architects' productivity and explores socio-technical aspects of architecting with ChatGPT to tackle challenges of ACSE.</t>
  </si>
  <si>
    <t>[Ahmad, Aakash] Lancaster Univ Leipzig, Sch Comp &amp; Commun, Leipzig, Germany; [Waseem, Muhammad; Mikkonen, Tommi] Univ Jyvaskyla, Fac Informat Technol, Jyvaskyla, Finland; [Liang, Peng; Aktar, Mst Shamima] Wuhan Univ, Sch Comp Sci, Wuhan, Peoples R China; [Fahmideh, Mahdi] Univ Southern Queensland, Sch Business, Darling Hts, Qld, Australia</t>
  </si>
  <si>
    <t>University of Jyvaskyla; Wuhan University; University of Southern Queensland</t>
  </si>
  <si>
    <t>Waseem, M (corresponding author), Univ Jyvaskyla, Fac Informat Technol, Jyvaskyla, Finland.</t>
  </si>
  <si>
    <t>a.ahmad13@lancaster.ac.uk; mwaseem@jyu.fi; liangp@whu.edu.cn; mahdi.fahmideh@usq.edu.au; shamima@whu.edu.cn; tommi.j.mikkonen@jyu.fi</t>
  </si>
  <si>
    <t>University of Jyvaskyla, Finland; NSFC China [62172311]</t>
  </si>
  <si>
    <t>University of Jyvaskyla, Finland; NSFC China(National Natural Science Foundation of China (NSFC))</t>
  </si>
  <si>
    <t>This work is funded by the University of Jyvaskyla, Finland research grant, and the NSFC China with grant number 62172311.</t>
  </si>
  <si>
    <t>ASSOC COMPUTING MACHINERY</t>
  </si>
  <si>
    <t>1601 Broadway, 10th Floor, NEW YORK, NY, UNITED STATES</t>
  </si>
  <si>
    <t>979-8-4007-0044-6</t>
  </si>
  <si>
    <t>10.1145/3593434.3593468</t>
  </si>
  <si>
    <t>Computer Science, Software Engineering</t>
  </si>
  <si>
    <t>Conference Proceedings Citation Index - Science (CPCI-S)</t>
  </si>
  <si>
    <t>BW1WG</t>
  </si>
  <si>
    <t>WOS:001112128800039</t>
  </si>
  <si>
    <t>Alaofi, M; Gallagher, L; Sanderson, M; Scholer, F; Thomas, P</t>
  </si>
  <si>
    <t>Alaofi, Marwah; Gallagher, Luke; Sanderson, Mark; Scholer, Falk; Thomas, Paul</t>
  </si>
  <si>
    <t>Can Generative LLMs Create Query Variants for Test Collections?</t>
  </si>
  <si>
    <t>PROCEEDINGS OF THE 46TH INTERNATIONAL ACM SIGIR CONFERENCE ON RESEARCH AND DEVELOPMENT IN INFORMATION RETRIEVAL, SIGIR 2023</t>
  </si>
  <si>
    <t>46th International ACM SIGIR Conference on Research and Development in Information Retrieval (SIGIR)</t>
  </si>
  <si>
    <t>JUL 23-27, 2023</t>
  </si>
  <si>
    <t>Taipei, TAIWAN</t>
  </si>
  <si>
    <t>Assoc Comp Machinery,ACM Special Interest Grp Informat Retrieval</t>
  </si>
  <si>
    <t>Information retrieval; test collections; query variants; LLMs</t>
  </si>
  <si>
    <t>This paper explores the utility of a Large Language Model (LLM) to automatically generate queries and query variants from a description of an information need. Given a set of information needs described as backstories, we explore how similar the queries generated by the LLM are to those generated by humans. We quantify the similarity using different metrics and examine how the use of each set would contribute to document pooling when building test collections. Our results show potential in using LLMs to generate query variants. While they may not fully capture the wide variety of human-generated variants, they generate similar sets of relevant documents, reaching up to 71.1% overlap at a pool depth of 100.</t>
  </si>
  <si>
    <t>[Alaofi, Marwah; Gallagher, Luke; Sanderson, Mark; Scholer, Falk] RMIT Univ, Melbourne, Vic, Australia; [Thomas, Paul] Microsoft, Adelaide, SA, Australia</t>
  </si>
  <si>
    <t>Royal Melbourne Institute of Technology (RMIT)</t>
  </si>
  <si>
    <t>Alaofi, M (corresponding author), RMIT Univ, Melbourne, Vic, Australia.</t>
  </si>
  <si>
    <t>marwah.alaofi@student.rmit.edu.au; luke.gallagher@rmit.edu.au; mark.sanderson@rmit.edu.au; falk.scholer@rmit.edu.au; pathom@microsoft.com</t>
  </si>
  <si>
    <t>Taibah University, Saudi Arabia; Australian Research Council [DP180102687, CE200100005]</t>
  </si>
  <si>
    <t>Taibah University, Saudi Arabia; Australian Research Council(Australian Research Council)</t>
  </si>
  <si>
    <t>Marwah Alaofi is supported by a scholarship from Taibah University, Saudi Arabia. This work was also supported by the Australian Research Council (DP180102687, CE200100005). We thank the anonymous reviewers for their helpful feedback.</t>
  </si>
  <si>
    <t>978-1-4503-9408-6</t>
  </si>
  <si>
    <t>10.1145/3539618.3591960</t>
  </si>
  <si>
    <t>BW2LG</t>
  </si>
  <si>
    <t>WOS:001118084001102</t>
  </si>
  <si>
    <t>Alessio, M; Faggioli, G; Ferro, N</t>
  </si>
  <si>
    <t>Alessio, Marco; Faggioli, Guglielmo; Ferro, Nicola</t>
  </si>
  <si>
    <t>DECAF: A Modular and Extensible Conversational Search Framework</t>
  </si>
  <si>
    <t>Conversational Search; Experimental Framework; Benchmark</t>
  </si>
  <si>
    <t>The Conversational Search (CS) paradigm allows for an intuitive interaction between the user and the system through natural language sentences and it is increasingly being adopted in various scenarios. However, its widespread experimentation has led to the birth of a multitude of conversational search systems with custom implementations and variants of information retrieval models. This exacerbates the reproducibility crisis already observed in several research areas, including Information Retrieval (IR). To address this issue, we propose DECAF: a modular and extensible conversational search framework designed for fast prototyping and development of conversational agents. Our framework integrates all the components that characterize a modern conversational search system and allows for the seamless integration of Machine Learning (ML) and Large Language Models (LLMs)-based techniques. Furthermore, thanks to its uniform interface, DECAF allows for experiments characterized by a high degree of reproducibility. DECAF contains several state-of-the-art components including query rewriting, search functions under BoW and dense paradigms, and re-ranking functions. Our framework is tested on two well-known conversational collections: TREC CAsT 2019 and TREC CAsT 2020 and the results can be used by future practitioners as baselines. Our contributions include the identification of a series of state-of-the-art components for the conversational search task and the definition of a modular framework for its implementation.</t>
  </si>
  <si>
    <t>[Alessio, Marco; Faggioli, Guglielmo; Ferro, Nicola] Univ Padua, Padua, Italy</t>
  </si>
  <si>
    <t>University of Padua</t>
  </si>
  <si>
    <t>Alessio, M (corresponding author), Univ Padua, Padua, Italy.</t>
  </si>
  <si>
    <t>marco.alessio.1@studenti.unipd.it; faggioli@dei.unipd.it; ferro@dei.unipd.it</t>
  </si>
  <si>
    <t>University of Padova Strategic Research Infrastructure Grant 2017: CAPRI: Calcolo ad Alte Prestazioni per la Ricerca e l'Innovazione</t>
  </si>
  <si>
    <t>The work was partially supported by University of Padova Strategic Research Infrastructure Grant 2017: CAPRI: Calcolo ad Alte Prestazioni per la Ricerca e l'Innovazione</t>
  </si>
  <si>
    <t>10.1145/3539618.3591913</t>
  </si>
  <si>
    <t>WOS:001118084003012</t>
  </si>
  <si>
    <t>Azaiz, I; Deckarm, O; Strickroth, S</t>
  </si>
  <si>
    <t>Azaiz, Imen; Deckarm, Oliver; Strickroth, Sven</t>
  </si>
  <si>
    <t>INTERNATIONAL JOURNAL OF ENGINEERING PEDAGOGY</t>
  </si>
  <si>
    <t>e-assessment; personalized feedback; GPT-3.5; large language model; programming education; formative assessment</t>
  </si>
  <si>
    <t>Timely formative feedback is considered as one of the most important drivers for effective learning. Delivering timely and individualized feedback is particularly challenging in large classes in higher education. Recently Large Language Models such as GPT-3 became available to the public that showed promising results on various tasks such as code generation and code explanation. This paper investigates the potential of AI in providing personalized code correction and generating feedback. Based on existing student submissions of two different real-world assignments, the correctness of the AI-aided e-assessment as well as the characteristics such as fault localization, correctness of hints, and code style suggestions of the generated feedback are investigated. The results show that 73% of the submissions were correctly identified as either correct or incorrect. In 59% of these cases, GPT-3.5 also successfully generated effective and high-quality feedback. Additionally, GPT-3.5 exhibited weaknesses in its evaluation, including localization of errors that were not the actual errors, or even hallucinated errors. Implications and potential new usage scenarios are discussed.</t>
  </si>
  <si>
    <t>[Azaiz, Imen; Deckarm, Oliver; Strickroth, Sven] Ludwig Maximilians Univ Munchen, Munich, Germany</t>
  </si>
  <si>
    <t>University of Munich</t>
  </si>
  <si>
    <t>Azaiz, I (corresponding author), Ludwig Maximilians Univ Munchen, Munich, Germany.</t>
  </si>
  <si>
    <t>imen.azaiz@ifi.lmu.de; oliver.deckarm@campus.lmu.de; sven.strickroth@ifi.lmu.de</t>
  </si>
  <si>
    <t>German Federal Ministry of Education and Research (BMBF) [16DHBKI013]</t>
  </si>
  <si>
    <t>German Federal Ministry of Education and Research (BMBF)(Federal Ministry of Education &amp; Research (BMBF))</t>
  </si>
  <si>
    <t>This research is part of the project AIM@LMU funded by the German Federal Ministry of Education and Research (BMBF) under the grant number 16DHBKI013. The responsibility for the content of this publication lies with the authors. The authors thank the students of the lecture Einfuehrung in die Programmierung of winter semester 2021/22 who allowed us to use their submissions for this research.</t>
  </si>
  <si>
    <t>INT ASSOC ONLINE ENGINEERING</t>
  </si>
  <si>
    <t>WIEN</t>
  </si>
  <si>
    <t>KIRCHENGASSE 10-200, WIEN, A-1070, AUSTRIA</t>
  </si>
  <si>
    <t>2192-4880</t>
  </si>
  <si>
    <t>INT J ENG PEDAGOG</t>
  </si>
  <si>
    <t>Int. J. Eng. Pedagog.</t>
  </si>
  <si>
    <t>CQ4K4</t>
  </si>
  <si>
    <t>WOS:001126694600008</t>
  </si>
  <si>
    <t>Banat, R; Colton, S</t>
  </si>
  <si>
    <t>IEEE</t>
  </si>
  <si>
    <t>Banat, Rerker; Colton, Simon</t>
  </si>
  <si>
    <t>Autoregressive Self-Evaluation: A Case Study of Music Generation Using Large Language Models</t>
  </si>
  <si>
    <t>2023 IEEE CONFERENCE ON ARTIFICIAL INTELLIGENCE, CAI</t>
  </si>
  <si>
    <t>IEEE Conference on Artificial Intelligence (IEEE CAI)</t>
  </si>
  <si>
    <t>JUN 05-06, 2023</t>
  </si>
  <si>
    <t>Santa Clara, CA</t>
  </si>
  <si>
    <t>IEEE,IEEE Comp Soc,IEEE Signal Proc Soc,IEEE Syst, Man, &amp; Cybernet Soc</t>
  </si>
  <si>
    <t>autoregressive self-evalution; autoregressive models; generative models; large language models; music generation</t>
  </si>
  <si>
    <t>Autoregressive models have shown significant success in many tasks such as natural language generation and music composition. However, generic training mechanisms with off-the-shelf loss functions (e.g. cross-entropy), where not much attention is paid to the specifics of the task, do not necessarily guarantee success as different data modalities (e.g. text, visuals, music) exhibit different natures. In this study, we present a novel autoregressive self-evaluation framework to assess the performance of autoregressive models with both domain-agnostic and domain-specific metrics. We demonstrate this strategy with a case study of music generation using GPT-2 within a transfer learning paradigm. We contrast and compare the effects of fundamental parameters in autoregressive generation such as the temperature in sampling and the length of the generated sequence.</t>
  </si>
  <si>
    <t>[Banat, Rerker; Colton, Simon] Queen Mary Univ London, Sch EECS, London, England</t>
  </si>
  <si>
    <t>University of London; Queen Mary University London</t>
  </si>
  <si>
    <t>Banat, R (corresponding author), Queen Mary Univ London, Sch EECS, London, England.</t>
  </si>
  <si>
    <t>b.banar@qmul.ac.uk; s.colton@qmul.ac.uk</t>
  </si>
  <si>
    <t>UK Research and Innovation [EP/S022694/1]; Queen Mary University of London</t>
  </si>
  <si>
    <t>UK Research and Innovation(UK Research &amp; Innovation (UKRI)); Queen Mary University of London</t>
  </si>
  <si>
    <t>Berker Banar is a research student at the UKRI Centre for Doctoral Training in Artificial Intelligence and Music, supported jointly by UK Research and Innovation [grant number EP/S022694/1] and Queen Mary University of London.</t>
  </si>
  <si>
    <t>IEEE COMPUTER SOC</t>
  </si>
  <si>
    <t>LOS ALAMITOS</t>
  </si>
  <si>
    <t>10662 LOS VAQUEROS CIRCLE, PO BOX 3014, LOS ALAMITOS, CA 90720-1264 USA</t>
  </si>
  <si>
    <t>979-8-3503-3984-0</t>
  </si>
  <si>
    <t>10.1109/CAI54212.2023.00118</t>
  </si>
  <si>
    <t>Computer Science, Artificial Intelligence; Computer Science, Information Systems</t>
  </si>
  <si>
    <t>BV5BQ</t>
  </si>
  <si>
    <t>WOS:001046447800108</t>
  </si>
  <si>
    <t>Chen, YF; Arunasalam, A; Celik, ZB</t>
  </si>
  <si>
    <t>Chen, Yufan; Arunasalam, Arjun; Celik, Z. Berkay</t>
  </si>
  <si>
    <t>Can Large Language Models Provide Security &amp; Privacy Advice? Measuring the Ability of LLMs to Refute Misconceptions</t>
  </si>
  <si>
    <t>39TH ANNUAL COMPUTER SECURITY APPLICATIONS CONFERENCE, ACSAC 2023</t>
  </si>
  <si>
    <t>39th Annual Computer Security Applications Conference (ACSAC)</t>
  </si>
  <si>
    <t>DEC 04-08, 2023</t>
  </si>
  <si>
    <t>Austin, TX</t>
  </si>
  <si>
    <t>Appl Comp Secur Associates</t>
  </si>
  <si>
    <t>Large language models; security and privacy advice; misconception</t>
  </si>
  <si>
    <t>Users seek security &amp; privacy (S&amp;P) advice from online resources, including trusted websites and content-sharing platforms. These resources help users understand S&amp;P technologies and tools and suggest actionable strategies. Large Language Models (LLMs) have recently emerged as trusted information sources. However, their accuracy and correctness have been called into question. Prior research has outlined the shortcomings of LLMs in answering multiple-choice questions and user ability to inadvertently circumvent model restrictions (e.g., to produce toxic content). Yet, the ability of LLMs to provide reliable S&amp;P advice is not well-explored. In this paper, we measure their ability to refute popular S&amp;P misconceptions that the general public holds. We first study recent academic literature to curate a dataset of over a hundred S&amp;Prelated misconceptions across six different topics. We then query two popular LLMs (Bard and ChatGPT) and develop a labeling guide to evaluate their responses to these misconceptions. To comprehensively evaluate their responses, we further apply three strategies: query each misconception multiple times, generate and query their paraphrases, and solicit source URLs of the responses. Both models demonstrate, on average, a 21.3% non-negligible error rate, incorrectly supporting popular S&amp;P misconceptions. The error rate increases to 32.6% when we repeatedly query LLMs with the same or paraphrased misconceptions. We also expose that models may partially support a misconception or remain noncommittal, refusing a firm stance on misconceptions. Our exploration of information sources for responses revealed that LLMs are susceptible to providing invalid URLs (21.2% for Bard and 67.7% for ChatGPT) or point to unrelated sources (44.2% returned by Bard and 18.3% by ChatGPT). Our findings highlight that existing LLMs are not completely reliable for S&amp;P advice and motivate future work in understanding how users can better interact with this technology.</t>
  </si>
  <si>
    <t>[Chen, Yufan; Arunasalam, Arjun; Celik, Z. Berkay] Purdue Univ, W Lafayette, IN 47907 USA</t>
  </si>
  <si>
    <t>Chen, YF (corresponding author), Purdue Univ, W Lafayette, IN 47907 USA.</t>
  </si>
  <si>
    <t>chen4076@purdue.edu; aarunasa@purdue.edu; zcelik@purdue.edu</t>
  </si>
  <si>
    <t>Purdue University</t>
  </si>
  <si>
    <t>We thank our anonymous reviewers and shepherd for providing us with valuable feedback that helped improve our paper. This work is supported by startup funding from Purdue University.</t>
  </si>
  <si>
    <t>979-8-4007-0886-2</t>
  </si>
  <si>
    <t>10.1145/3627106.3627196</t>
  </si>
  <si>
    <t>Computer Science, Theory &amp; Methods; Telecommunications</t>
  </si>
  <si>
    <t>Computer Science; Telecommunications</t>
  </si>
  <si>
    <t>BW4HF</t>
  </si>
  <si>
    <t>WOS:001148013400028</t>
  </si>
  <si>
    <t>Chien, AA; Lin, LZX; Nguyen, H; Rao, V; Sharma, T; Wijayawardana, R</t>
  </si>
  <si>
    <t>Chien, Andrew A.; Lin, Liuzixuan; Hai Nguyen; Rao, Varsha; Sharma, Tristan; Wijayawardana, Rajini</t>
  </si>
  <si>
    <t>Reducing the Carbon Impact of Generative AI Inference (today and in 2035)</t>
  </si>
  <si>
    <t>PROCEEDINGS OF THE 2ND ACM WORKSHOP ON SUSTAINABLE COMPUTER SYSTEMS, HOTCARBON 2023</t>
  </si>
  <si>
    <t>2nd ACM Workshop on Sustainable Computer Systems (ACM HotCarbon)</t>
  </si>
  <si>
    <t>JUL09, 2023</t>
  </si>
  <si>
    <t>Boston Univ, Boston, MA</t>
  </si>
  <si>
    <t>Assoc Comp Machinery</t>
  </si>
  <si>
    <t>Boston Univ</t>
  </si>
  <si>
    <t>Generative AI; Sustainability; Carbon emissions; Large language models; Geographic shifting</t>
  </si>
  <si>
    <t>Generative AI, exemplified in ChatGPT, Dall-E 2, and Stable Diffusion, are exciting new applications consuming growing quantities of computing. We study the compute, energy, and carbon impacts of generative AI inference. Using ChatGPT as an exemplar, we create a workload model and compare request direction approaches (Local, Balance, CarbonMin), assessing their power use and carbon impacts. Our workload model shows that for ChatGPT-like services, inference dominates emissions, in one year producing 25x the carbon-emissions of training GPT-3. The workload model characterizes user experience, and experiments show that carbon emissions-aware algorithms (CarbonMin) can both maintain user experience and reduce carbon emissions dramatically (35%). We also consider a future scenario (2035 workload and power grids), and show that CarbonMin can reduce emissions by 56%. In both cases, the key is intelligent direction of requests to locations with low-carbon power. Combined with hardware technology advances, CarbonMin can keep emissions increase to only 20% compared to 2022 levels for 55x greater workload. Finally we consider datacenter headroom to increase effectiveness of shifting. With headroom, CarbonMin reduces 2035 emissions by 71%.</t>
  </si>
  <si>
    <t>[Chien, Andrew A.; Lin, Liuzixuan; Hai Nguyen; Rao, Varsha; Sharma, Tristan; Wijayawardana, Rajini] Univ Chicago, Chicago, IL 60637 USA; [Chien, Andrew A.] Argonne Natl Lab, Chicago, IL 60439 USA</t>
  </si>
  <si>
    <t>University of Chicago; United States Department of Energy (DOE); Argonne National Laboratory</t>
  </si>
  <si>
    <t>Chien, AA (corresponding author), Univ Chicago, Chicago, IL 60637 USA.;Chien, AA (corresponding author), Argonne Natl Lab, Chicago, IL 60439 USA.</t>
  </si>
  <si>
    <t>achien@cs.uchicago.edu; lzixuan@uchicago.edu; ndhai@cs.uchicago.edu; varsharao@uchicago.edu; tristansharma@uchicago.edu; rajini@uchicago.edu</t>
  </si>
  <si>
    <t>NSF [CMMI-1832230, OAC-2019506, CNS-1901466]; VMware University Research Fund</t>
  </si>
  <si>
    <t>NSF(National Science Foundation (NSF)); VMware University Research Fund</t>
  </si>
  <si>
    <t>We thank the anonymous reviewers for their insightful reviews. This work is supported in part by NSF Grants CMMI-1832230, OAC-2019506, CNS-1901466, and the VMware University Research Fund. We also thank Pierre Segonne from Electricity Maps for providing power grid data, and the Large-scale Sustainable Systems Group members for their support of this work!</t>
  </si>
  <si>
    <t>979-8-4007-0242-6</t>
  </si>
  <si>
    <t>10.1145/3604930.3605705</t>
  </si>
  <si>
    <t>Computer Science, Theory &amp; Methods; Green &amp; Sustainable Science &amp; Technology</t>
  </si>
  <si>
    <t>Conference Proceedings Citation Index - Science (CPCI-S); Conference Proceedings Citation Index - Social Science &amp; Humanities (CPCI-SSH)</t>
  </si>
  <si>
    <t>BW2ST</t>
  </si>
  <si>
    <t>WOS:001124735600011</t>
  </si>
  <si>
    <t>Cipriano, BP; Alves, P</t>
  </si>
  <si>
    <t>Cipriano, Bruno Pereira; Alves, Pedro</t>
  </si>
  <si>
    <t>PROCEEDINGS OF THE 2023 CONFERENCE ON INNOVATION AND TECHNOLOGY IN COMPUTER SCIENCE EDUCATION, ITICSE 2023, VOL 1</t>
  </si>
  <si>
    <t>28th Annual Conference on Innovation and Technology in Computer Science Education (ITiCSE)</t>
  </si>
  <si>
    <t>JUL 08-12, 2023</t>
  </si>
  <si>
    <t>Univ Turku, Turku, FINLAND</t>
  </si>
  <si>
    <t>Assoc Comp Machinery,ACM Special Interest Grp Comp Sci Educ,ACM Europe Council,Informat Europe</t>
  </si>
  <si>
    <t>Univ Turku</t>
  </si>
  <si>
    <t>programming assignments; teaching; object oriented programming; large language models; gpt-3</t>
  </si>
  <si>
    <t>Recent studies show that AI-driven code generation tools, such as Large Language Models, are able to solve most of the problems usually presented in introductory programming classes. However, it is still unknown how they cope with Object Oriented Programming assignments, where the students are asked to design and implement several interrelated classes (either by composition or inheritance) that follow a set of best-practices. Since the majority of the exercises in these tools' training dataset are written in English, it is also unclear how well they function with exercises published in other languages. In this paper, we report our experience using GPT-3 to solve 6 real-world tasks used in an Object Oriented Programming course at a Portuguese University and written in Portuguese. Our observations, based on an objective evaluation of the code, performed by an open-source Automatic Assessment Tool, show that GPT-3 is able to interpret and handle direct functional requirements, however it tends not to give the best solution in terms of object oriented design. We perform a qualitative analysis of GPT-3's output, and gather a set of recommendations for computer science educators, since we expect students to use and abuse this tool in their academic work.</t>
  </si>
  <si>
    <t>[Cipriano, Bruno Pereira; Alves, Pedro] Lusofona Univ, COPELABS, Lisbon, Portugal</t>
  </si>
  <si>
    <t>Lusofona University</t>
  </si>
  <si>
    <t>Cipriano, BP (corresponding author), Lusofona Univ, COPELABS, Lisbon, Portugal.</t>
  </si>
  <si>
    <t>bcipriano@ulusofona.pt; pedro.alves@ulusofona.pt</t>
  </si>
  <si>
    <t>Alves, Pedro/0000-0003-4054-0792; Cipriano, Bruno/0000-0002-2017-7511</t>
  </si>
  <si>
    <t>Fundacao para a Ciencia e a Tecnologia [UIDB/04111/2020]</t>
  </si>
  <si>
    <t>Fundacao para a Ciencia e a Tecnologia(Fundacao para a Ciencia e a Tecnologia (FCT))</t>
  </si>
  <si>
    <t>This research was funded by the Fundacao para a Ciencia e a Tecnologia under Grant No.: UIDB/04111/2020 (COPELABS).</t>
  </si>
  <si>
    <t>979-8-4007-0138-2</t>
  </si>
  <si>
    <t>BV5PJ</t>
  </si>
  <si>
    <t>WOS:001051691300011</t>
  </si>
  <si>
    <t>Cowling, M; Crawford, J; Allen, KA; Wehmeyer, M</t>
  </si>
  <si>
    <t>Cowling, Michael; Crawford, Joseph; Allen, Kelly -Ann; Wehmeyer, Michael</t>
  </si>
  <si>
    <t>AUSTRALASIAN JOURNAL OF EDUCATIONAL TECHNOLOGY</t>
  </si>
  <si>
    <t>higher education; generative AI; ChatGPT-3; large language model; research; student; doctoral student; research supervision</t>
  </si>
  <si>
    <t>HIGHER-EDUCATION</t>
  </si>
  <si>
    <t>ChatGPT and other artificial intelligence (AI) and large language models (LLMs) have hit higher education by storm. Much of the research focuses on how this - and similar - tools can be leveraged for effective education of undergraduate coursework students. In this study, we explore the emerging benefits and limitations of ChatGPT and LLMs in the context of undergraduate and postgraduate research supervision. What we found was that psychological need fulfilment, research student autonomy and relatedness were key outcomes that could be cultivated at the student level. At a unit or subject level, the opportunity for formative feedback was seen as a strength. We also discuss some key limitations to the tool, including how limited its ability to deconstruct social injustice and generate content appropriate to context. We used an example of leadership research to highlight that it may preference good outcomes and likewise present information related to current and normative practices rather than desired future practices. We conclude by considering the broad implications of this work on research supervision relationships.</t>
  </si>
  <si>
    <t>[Cowling, Michael] CQUniv, Rockhampton, Australia; [Crawford, Joseph] Univ Tasmania, Hobart, Tas, Australia; [Allen, Kelly -Ann] Monash Univ, Monash, Australia; [Wehmeyer, Michael] Univ Kansas, Kansas City, MO USA</t>
  </si>
  <si>
    <t>Central Queensland University; University of Tasmania; Monash University; University of Kansas</t>
  </si>
  <si>
    <t>Crawford, J (corresponding author), Univ Tasmania, Hobart, Tas, Australia.</t>
  </si>
  <si>
    <t>Joseph.crawford@utas.edu.au</t>
  </si>
  <si>
    <t>AUSTRALASIAN SOC COMPUTERS LEARNING TERTIARY EDUCATION-ASCILITE</t>
  </si>
  <si>
    <t>TUGUN</t>
  </si>
  <si>
    <t>UNIT 5, 202 COODE ST, PO BOX 350, TUGUN, 4224, AUSTRALIA</t>
  </si>
  <si>
    <t>1449-3098</t>
  </si>
  <si>
    <t>1449-5554</t>
  </si>
  <si>
    <t>AUSTRALAS J EDUC TEC</t>
  </si>
  <si>
    <t>Z9TI2</t>
  </si>
  <si>
    <t>WOS:001115427000006</t>
  </si>
  <si>
    <t>Crawford, J; Vallis, C; Yang, JH; Fitzgerald, R; O'Dea, C</t>
  </si>
  <si>
    <t>Crawford, Joseph; Vallis, Carmen; Yang, Jianhua; Fitzgerald, Rachel; O'Dea, Christine</t>
  </si>
  <si>
    <t>Editorial: Artifiicial Intelligence is Awesome, but Good Teaching Should Always Come First.</t>
  </si>
  <si>
    <t>JOURNAL OF UNIVERSITY TEACHING AND LEARNING PRACTICE</t>
  </si>
  <si>
    <t>ChatGPT; Bard; Andragogy; AIED; large language model; higher education</t>
  </si>
  <si>
    <t>HIGHER-EDUCATION; SOCIAL MEDIA</t>
  </si>
  <si>
    <t>The explosion of generative artificial intelligence into the mainstream of society some twelve months ago has seriously challenged learning and teaching practice. Since then, AI companies such as OpenAI are constantly improving their language models and releasing new features to make them more capable and useful. So, given there have been many disruptors in the past and emerging disruptions in the present, what can we learn in this situation, where Generative AI stands poised to challenge the purpose and relevance of assessment models? From our examples, disruptive technologies only have a major impact when they positively transform practice and are informed by pedagogic models and learning theory. GenAI as a disruptor is only likely to have this positive impact when it informs quality learning and teaching practice. We should be focused on the opportunities that GenAI now presents to higher education. It is argued here and elsewhere that the relative weakness of GenAI is that it creates poor quality output, delivering uninformed, incorrect, biased and bland responses. In itself, this offers opportunities for 'teachable moments' (Newell et al, 2023) and gives us room to support students with their capabilities in an AI informed world. Historically, these opportunities enable higher education to grow and progress. What we have learned so far would appears to be that for research to contribute to the literature, they needed to be informed by it. Likewise, need to ensure that pedagogy, andragogy, and heutagogy come first. We also need to remember that people processes happen, artificial intelligence happens around them, and that artificial intelligence comes after human intelligence. Practitioner Notes1. For AI research to contribute to the literature, it needs to be informed by it.2. Scholars need to ensure that pedagogy, andragogy, and heutagogy come before artificial intelligence.3. People processes happen, artificial intelligence happens around them, and that artificial intelligence comes after human intelligence. 4. Artificial Intelligence comes after human intelligence</t>
  </si>
  <si>
    <t>[Crawford, Joseph] Univ Tasmania, Hobart, Australia; [Vallis, Carmen] Univ Sydney, Sydney, Australia; [Yang, Jianhua] Univ Warwick, Warwick, England; [Fitzgerald, Rachel] Univ Queensland, Brisbane, Australia; [O'Dea, Christine] Univ Huddersfield, Huddersfield, England</t>
  </si>
  <si>
    <t>University of Tasmania; University of Sydney; University of Warwick; University of Queensland; University of Huddersfield</t>
  </si>
  <si>
    <t>Crawford, J (corresponding author), Univ Tasmania, Hobart, Australia.</t>
  </si>
  <si>
    <t>joseph.crawford@utas.edu.au; carmen.vallis@sydney.edu.au; jianhua.yang@warwick.ac.uk; rachel.fitzgerald@uq.edu.au; x.odea@hud.ac.uk</t>
  </si>
  <si>
    <t>UNIV WOLLONGONG</t>
  </si>
  <si>
    <t>WOLLONGONG</t>
  </si>
  <si>
    <t>NORTHFIELDS AVE, WOLLONGONG, NSW 2522, AUSTRALIA</t>
  </si>
  <si>
    <t>1449-9789</t>
  </si>
  <si>
    <t>J UNIV TEACH LEARN P</t>
  </si>
  <si>
    <t>10.53761/1.20.7.01</t>
  </si>
  <si>
    <t>Y2RE3</t>
  </si>
  <si>
    <t>WOS:001103781300009</t>
  </si>
  <si>
    <t>Crawford, J; Cowling, M; Ashton-Hay, S; Kelder, JA; Middleton, R; Wilson, GS</t>
  </si>
  <si>
    <t>Crawford, Joseph; Cowling, Michael; Ashton-Hay, Sally; Kelder, Jo-Anne; Middleton, Rebekkah; Wilson, Gail S.</t>
  </si>
  <si>
    <t>Large language model; AI contributions; editorial policy; AI-informed research; academic integrity; ethical research</t>
  </si>
  <si>
    <t>Artificial intelligence and large-language model chatbots have generated significant attention in higher education, and in research practice. Whether ChatGPT, Bard, Jasper Chat, Socratic, Bing AI, DialoGPT, or something else, these are all shaping how education and research occur. In this Editorial, we offer five editorial principles to guide decision-making for editors, which will also become policy for the Journal of University Teaching and Learning Practice. First, we articulate that non-human authorship does not constitute authorship. Second, artificial intelligence should be leveraged to support authors. Third, artificial intelligence can offer useful feedback and pre-review. Fourth, transparency of artificial intelligence usage is an expectation. And fifth, the use of AI in research design, conduct, and dissemination must comply with established ethical principles. In these five principles, we articulate a position of optimism for the new forms of knowledge and research we might garner. We see AI as a mechanism that may augment our current practices but will not likely replace all of them. However, we do issue caution to the limitations of large language models including possible proliferation of poor-quality research, Stochastic Parroting, and data hallucinations. As with all research, authors should be comfortably familiar with the underlying methods being used to generate data and should ensure a clear understanding of the AI tools being used prior to deployment for research.</t>
  </si>
  <si>
    <t>Middleton, Rebekkah/0000-0002-8440-7451; Crawford, Joseph/0000-0002-2191-6216</t>
  </si>
  <si>
    <t>Q8VP7</t>
  </si>
  <si>
    <t>WOS:001060245600001</t>
  </si>
  <si>
    <t>Crawford, J; Cowling, M; Allen, KA</t>
  </si>
  <si>
    <t>Crawford, Joseph; Cowling, Michael; Allen, Kelly -Ann</t>
  </si>
  <si>
    <t>Leadership is needed for ethical ChatGPT: Character, assessment, and learning using artifiicial intelligence (AI)</t>
  </si>
  <si>
    <t>ChatGPT; OpenAI; artificial intelligence; large language model; student character; academic integrity</t>
  </si>
  <si>
    <t>ARTIFICIAL-INTELLIGENCE; HIGHER-EDUCATION; PREVALENCE; STRESS; HEALTH; STRAIN</t>
  </si>
  <si>
    <t>The OpenAI's ChatGPT-3, or Chat Generative Pre-Trained Transformer was released in November 2022 without significant warning, and has taken higher education by storm since. The artificial intelligence (AI) -powered chatbot has caused alarm for practitioners seeking to detect authenticity of student work. Whereas some educational doomsayers predict the end of education in its current form, we propose an alternate early view. We identify in this commentary a position where educators can leverage AI like ChatGPT to build supportive learning environments for students who have cultivated good character. Such students know how to use ChatGPT for good, and can engage effectively with the ChatGPT application. In building our ChatGPT argument, we acknowledge the existing literature on plagiarism and academic integrity, and consider leadership as a root support mechanism, character development as an antidote, and authentic assessment as an enabler. In doing so, we highlight that while ChatGPT - like papermills, and degree factories before it - can be used to cheat on university exams, it can also be used to support deeper learning and better learning outcomes for students. In doing so, we offer a commentary that offers opportunities for practitioners, and research potential for scholars.</t>
  </si>
  <si>
    <t>[Crawford, Joseph] Univ Tasmania, Hobart, Tas, Australia; [Cowling, Michael] Cent Queensland Univ, Rockhampton, Qld, Australia; [Allen, Kelly -Ann] Monash Univ, Melbourne, Vic, Australia</t>
  </si>
  <si>
    <t>University of Tasmania; Central Queensland University; Monash University</t>
  </si>
  <si>
    <t>joseph.crawford@utas.edu.au; m.cowling@cqu.edu.au; kelly-ann.allen@monash.edu</t>
  </si>
  <si>
    <t>9X9VD</t>
  </si>
  <si>
    <t>WOS:000950113500004</t>
  </si>
  <si>
    <t>Crcek, N; Patekar, J</t>
  </si>
  <si>
    <t>Crcek, Nikola; Patekar, Jakob</t>
  </si>
  <si>
    <t>JOURNAL OF LANGUAGE AND EDUCATION</t>
  </si>
  <si>
    <t>ChatGPT; academic honesty; academic integrity; plagiarism; ethics; artificial intelligence</t>
  </si>
  <si>
    <t>ACADEMIC DISHONESTY; PREVALENCE; PERCEPTIONS; PLAGIARISM; ATTITUDES</t>
  </si>
  <si>
    <t>Background: ChatGPT, a chatbot based on a large language model, captured global attention toward the end of 2022. With its potential to generate comprehensive texts of a variety of genres based on a string of straightforward prompts, it was soon perceived as a threat by many in various fields, including - and in particular - education. Schools across the world began banning its use as instructors started to receive suspiciously well-written essays and assignments from their students.Aim: This study aimed to investigate the prevalence of use of ChatGPT among university students for written assignments, explore the ways students utilize the tool, and examine students' perspectives on the ethical aspects of its use.Method: An online questionnaire was designed to collect data from 201 students from private and public universities in Croatia.Results: The results show that more than half of the participants use ChatGPT for written assignments, that most use it to generate ideas, while many use it to summarize, paraphrase, proofread, but also to write a part of the assignment for them. According to the participants, the most ethically acceptable use of ChatGPT is for generating ideas, while other uses are perceived by many as being unethical; this, however, has not prevented some students from engaging in behaviors they deem unethical.Conclusion: We conclude that universities and instructors need to take a decisive stand on artificial intelligence in education and provide clear guidelines to students regarding the ethical use of ChatGPT and emerging technologies.</t>
  </si>
  <si>
    <t>[Crcek, Nikola; Patekar, Jakob] RIT Croatia, Zagreb, Croatia</t>
  </si>
  <si>
    <t>Patekar, J (corresponding author), RIT Croatia, Zagreb, Croatia.</t>
  </si>
  <si>
    <t>jakob.patekar@outlook.com</t>
  </si>
  <si>
    <t>NATL RESEARCH UNIV HIGHER SCH ECONOMICS</t>
  </si>
  <si>
    <t>MOSCOW</t>
  </si>
  <si>
    <t>SHABOLOVKA, 26, MOSCOW, 119049, RUSSIA</t>
  </si>
  <si>
    <t>2411-7390</t>
  </si>
  <si>
    <t>J LANG EDUC</t>
  </si>
  <si>
    <t>J. Lang. Educ.</t>
  </si>
  <si>
    <t>EF3X8</t>
  </si>
  <si>
    <t>WOS:001137479500002</t>
  </si>
  <si>
    <t>Dasbach-Prisk, A; DeWitt, C; Garcia, L</t>
  </si>
  <si>
    <t>Dasbach-Prisk, AnMei; DeWitt, Cory; Garcia, Luis</t>
  </si>
  <si>
    <t>SensorLoader: Bridging the Gap in Cyber-Physical Reverse Engineering Across Embedded Peripheral Devices</t>
  </si>
  <si>
    <t>PROCEEDINGS OF THE FIRST INTERNATIONAL WORKSHOP ON SECURITY AND PRIVACY OF SENSING SYSTEMS, SENSORS S&amp;P 2023</t>
  </si>
  <si>
    <t>1st International Workshop on Security and Privacy of Sensing Systems (Sensors S and P) Part of SenSys Conference</t>
  </si>
  <si>
    <t>NOV 12-17, 2023</t>
  </si>
  <si>
    <t>Istanbul, TURKEY</t>
  </si>
  <si>
    <t>sensor security; reverse engineering; embedded systems</t>
  </si>
  <si>
    <t>Safety-critical cyber-physical systems, such as autonomous vehicles and medical devices, are often driven by notions of state provided by sensor information translated through embedded firmware. This sensor pipeline is often a fragmented supply chain across vendors, and analyzing the associated security properties entails semantic reverse engineering of third-party software, i.e., mapping low-level software representations to cyber-physical models without access to source code. This mapping is a manual, time-consuming, and error-prone process. This paper introduces SensorLoader, a tool designed to automate mapping sensor semantics across all layers of closed-source software representations. SensorLoader exploits open-source knowledge, potentially derived from structured vendor description files or unstructured vendor datasheets, to extract and infer sensor semantics. We leverage large language models to extract sensor semantics from unstructured sources and map the semantics to memory maps and structures used by the Ghidra reverse engineering framework. We formalize the limitations of this automatic extraction and demonstrate how our approach can streamline the reverse engineering process for embedded systems. Preliminary evaluations suggest that SensorLoader can effectively and scalably aid in identifying vulnerabilities and deviations from expected behaviors, offering a more efficient pathway to secure cyber-physical systems.</t>
  </si>
  <si>
    <t>[Dasbach-Prisk, AnMei] Cabrillo Coll, Aptos, CA 95003 USA; [DeWitt, Cory] Univ Southern Calif, Los Angeles, CA 90007 USA; [Garcia, Luis] Univ Utah, Kahlert Sch Comp, Salt Lake City, UT USA</t>
  </si>
  <si>
    <t>University of Southern California; Utah System of Higher Education; University of Utah</t>
  </si>
  <si>
    <t>Dasbach-Prisk, A (corresponding author), Cabrillo Coll, Aptos, CA 95003 USA.</t>
  </si>
  <si>
    <t>anmei.dasbachprisk@gmail.com; cjdewitt@usc.edu; la.garcia@utah.edu</t>
  </si>
  <si>
    <t>University of Southern California, Information Sciences Institute's Research Experience for Undergraduate (REU) Site SURF-I: Safe, Usable, Reliable and Fair Internet; National Science Foundation [2051101, 2220312]</t>
  </si>
  <si>
    <t>University of Southern California, Information Sciences Institute's Research Experience for Undergraduate (REU) Site SURF-I: Safe, Usable, Reliable and Fair Internet; National Science Foundation(National Science Foundation (NSF))</t>
  </si>
  <si>
    <t>The research reported in this paper was sponsored in part by This research was done through the University of Southern California, Information Sciences Institute's Research Experience for Undergraduate (REU) Site SURF-I: Safe, Usable, Reliable and Fair Internet. We thank the National Science Foundation for supporting the REU by NSF grant award #2051101, as well as Award #2220312. The views and conclusions contained in this document are those of the authors and should not be interpreted as representing the official policies, either expressed or implied, of NSF or the U.S. Government. The U.S. Government is authorized to reproduce and distribute reprints for Government purposes notwithstanding any copyright notation here on.</t>
  </si>
  <si>
    <t>979-8-4007-0440-6</t>
  </si>
  <si>
    <t>10.1145/3628356.3630117</t>
  </si>
  <si>
    <t>BW3PZ</t>
  </si>
  <si>
    <t>WOS:001141320700005</t>
  </si>
  <si>
    <t>Dergaa, I; Chamari, K; Zmijewski, P; Saad, HB</t>
  </si>
  <si>
    <t>Dergaa, Ismail; Chamari, Karim; Zmijewski, Piotr; Saad, Helmi Ben</t>
  </si>
  <si>
    <t>BIOLOGY OF SPORT</t>
  </si>
  <si>
    <t>Artificial Intelligence; Chatbot; Deep Learning; Higher Education; Google Bard; LLaMA; LLM; Machine Learning; Natural Language Processing; NLM; NLP; Paperpal; Peer Review; QuillBot; Rayyan; Research; Sports Medicine</t>
  </si>
  <si>
    <t>Natural language processing (NLP) has been studied in computing for decades. Recent technological advancements have led to the development of sophisticated artificial intelligence (AI) models, such as Chat Generative Pre-trained Transformer (ChatGPT). These models can perform a range of language tasks and generate human-like responses, which offers exciting prospects for academic efficiency. This manuscript aims at (i) exploring the potential benefits and threats of ChatGPT and other NLP technologies in academic writing and research publications; (ii) highlights the ethical considerations involved in using these tools, and (iii) consider the impact they may have on the authenticity and credibility of academic work. This study involved a literature review of relevant scholarly articles published in peer-reviewed journals indexed in Scopus as quartile 1. The search used keywords such as ChatGPT, AI-generated text, academic writing, and natural language processing. The analysis was carried out using a quasi-qualitative approach, which involved reading and critically evaluating the sources and identifying relevant data to support the research questions. The study found that ChatGPT and other NLP technologies have the potential to enhance academic writing and research efficiency. However, their use also raises concerns about the impact on the authenticity and credibility of academic work. The study highlights the need for comprehensive discussions on the potential use, threats, and limitations of these tools, emphasizing the importance of ethical and academic principles, with human intelligence and critical thinking at the forefront of the research process. This study highlights the need for comprehensive debates and ethical considerations involved in their use. The study also recommends that academics exercise caution when using these tools and ensure transparency in their use, emphasizing the importance of human intelligence and critical thinking in academic work.</t>
  </si>
  <si>
    <t>[Dergaa, Ismail] Primary Hlth Care Corp PHCC, Doha, Qatar; [Dergaa, Ismail] Natl Observ Sport, Res Unit Phys Act Sport &amp; Hlth, UR18JS01, Tunis 1003, Tunisia; [Dergaa, Ismail] Univ Sfax, High Inst Sport &amp; Phys Educ, Sfax, Tunisia; [Chamari, Karim] Orthopaed &amp; Sports Med Hosp, FIFA Med Ctr Excellence, Aspetar, Doha, Qatar; [Zmijewski, Piotr] Jozef Pilsudski Univ Phys Educ Warsaw, Warsaw, Poland; [Saad, Helmi Ben] Univ Sousse, Farhat HACHED Hosp, Serv Physiol &amp; Funct Explorat, Sousse, Tunisia; [Saad, Helmi Ben] Univ Sousse, Farhat HACHED Hosp, Res Lab LR12SP09 Heart Failure, Sousse, Tunisia; [Saad, Helmi Ben] Univ Sousse, Fac Med Sousse, Lab Physiol, Sousse, Tunisia</t>
  </si>
  <si>
    <t>Hamad Medical Corporation; Primary Health Care Corporation (PHCC); Universite de Sfax; Aspetar Orthopaedic &amp; Sports Medicine Hospital; Jozef Pilsudski University Physical Education in Warsaw; Universite de Sousse; Hopital Farhat Hached; Universite de Sousse; Hopital Farhat Hached; Universite de Sousse</t>
  </si>
  <si>
    <t>Saad, HB (corresponding author), Univ Sousse, Farhat HACHED Hosp, Serv Physiol &amp; Funct Explorat, Sousse, Tunisia.;Saad, HB (corresponding author), Univ Sousse, Farhat HACHED Hosp, Res Lab LR12SP09 Heart Failure, Sousse, Tunisia.</t>
  </si>
  <si>
    <t>helmi.bensaad@rns.tn</t>
  </si>
  <si>
    <t>TERMEDIA PUBLISHING HOUSE LTD</t>
  </si>
  <si>
    <t>POZNAN</t>
  </si>
  <si>
    <t>KLEEBERGA 2, POZNAN, 61-615, POLAND</t>
  </si>
  <si>
    <t>0860-021X</t>
  </si>
  <si>
    <t>2083-1862</t>
  </si>
  <si>
    <t>BIOL SPORT</t>
  </si>
  <si>
    <t>10.5114/biolsport.2023.125623</t>
  </si>
  <si>
    <t>Sport Sciences</t>
  </si>
  <si>
    <t>E0KN0</t>
  </si>
  <si>
    <t>WOS:000972527400030</t>
  </si>
  <si>
    <t>Eager, B; Brunton, R</t>
  </si>
  <si>
    <t>Eager, Bronwyn; Brunton, Ryan</t>
  </si>
  <si>
    <t>ChatGPT; artificial intelligence; large language model; assessment design; prompt engineering</t>
  </si>
  <si>
    <t>Large Language Models (LLMs) and conversational-style generative artificial intelligence (AI) are causing major disruption to higher education pedagogy. The emergence of tools like ChatGPT has raised concerns about plagiarism detection but also presents opportunities for educators to leverage AI to build supportive learning environments. In this commentary, we explore the potential of AI-augmented teaching and learning practice in higher education, discussing both the productive affordances and challenges associated with these technologies. We offer instructional advice for writing instructional text to guide the generation of quality outputs from AI models, as well as a case study to illustrate using AI for assessment design. Ultimately, we suggest that AI should be seen as one tool among many that can be used to enhance teaching and learning outcomes in higher education.</t>
  </si>
  <si>
    <t>[Eager, Bronwyn; Brunton, Ryan] Univ Tasmania, Hobart, Tasmania, Australia</t>
  </si>
  <si>
    <t>University of Tasmania</t>
  </si>
  <si>
    <t>Eager, B (corresponding author), Univ Tasmania, Hobart, Tasmania, Australia.</t>
  </si>
  <si>
    <t>bronwyn.eager@utas.edu.au; ryan.brunton@utas.edu.au</t>
  </si>
  <si>
    <t>Eager, Bronwyn/D-8411-2018</t>
  </si>
  <si>
    <t>Eager, Bronwyn/0000-0003-4512-1263</t>
  </si>
  <si>
    <t>WOS:001060245600002</t>
  </si>
  <si>
    <t>Franco, M; Gaggi, O; Palazzi, CE</t>
  </si>
  <si>
    <t>Franco, Mirko; Gaggi, Ombretta; Palazzi, Claudio E.</t>
  </si>
  <si>
    <t>Analyzing the Use of Large Language Models for Content Moderation with ChatGPT Examples</t>
  </si>
  <si>
    <t>PROCEEDINGS OF THE 2023 WORKSHOP ON OPEN CHALLENGES IN ONLINE SOCIAL NETWORKS, OASIS 2023/ 34TH ACM CONFERENCE ON HYPERTEXT AND SOCIAL MEDIA, HT 2023</t>
  </si>
  <si>
    <t>Workshop on Open Challenges in Online Social Networks (OASIS)</t>
  </si>
  <si>
    <t>SEP 04-08, 2023</t>
  </si>
  <si>
    <t>Rome, ITALY</t>
  </si>
  <si>
    <t>content moderation; harmful content; large language models</t>
  </si>
  <si>
    <t>Content moderation systems are crucial in Online Social Networks (OSNs). Indeed, their role is to keep platforms and their users safe from malicious activities. However, there is an emerging consensus that such systems are unfair to fragile users and minorities. Furthermore, content moderation systems are difficult to personalize and lack effective communication between users and platforms. In this context, we propose an enhancement of the current framework of content moderation, integrating Large Language Models (LLMs) in the enforcing pipeline.</t>
  </si>
  <si>
    <t>[Franco, Mirko; Gaggi, Ombretta; Palazzi, Claudio E.] Univ Padua, Dept Math, Padua, Italy</t>
  </si>
  <si>
    <t>Franco, M (corresponding author), Univ Padua, Dept Math, Padua, Italy.</t>
  </si>
  <si>
    <t>mirko.franco@math.unipd.it; gaggi@math.unipd.it; cpalazzi@math.unipd.it</t>
  </si>
  <si>
    <t>Franco, Mirko/GOV-3071-2022</t>
  </si>
  <si>
    <t>Franco, Mirko/0000-0002-6140-8558</t>
  </si>
  <si>
    <t>European Space Agency's (ESA) project QUIC over Satellite (QUICoS) [4000138640/22/NL/AF]; Italian Ministry of University and Research (MUR)</t>
  </si>
  <si>
    <t>European Space Agency's (ESA) project QUIC over Satellite (QUICoS); Italian Ministry of University and Research (MUR)(Ministry of Education, Universities and Research (MIUR))</t>
  </si>
  <si>
    <t>The authors of this paper acknowledge the support of the European Space Agency's (ESA) project QUIC over Satellite (QUICoS) https://artes.esa.int/projects/quicos, contract n. 4000138640/22/NL/AF and of the Italian Ministry of University and Research (MUR) under the PON ex DM 1061 and the PNRR CN-MOST initiatives. Responsibility of the contents resides with the authors.</t>
  </si>
  <si>
    <t>979-8-4007-0225-9</t>
  </si>
  <si>
    <t>10.1145/3599696.3612895</t>
  </si>
  <si>
    <t>BW2OD</t>
  </si>
  <si>
    <t>WOS:001122672400001</t>
  </si>
  <si>
    <t>Fraser, H; Crossland, D; Bacher, I; Ranney, M; Madsen, T; Hilliard, R</t>
  </si>
  <si>
    <t>Fraser, Hamish; Crossland, Daven; Bacher, Ian; Ranney, Megan; Madsen, Tracy; Hilliard, Ross</t>
  </si>
  <si>
    <t>Comparison of Diagnostic and Triage Accuracy of Ada Health and WebMD Symptom Checkers, ChatGPT, and Physicians for Patients in an Emergency Department: Clinical Data Analysis Study</t>
  </si>
  <si>
    <t>JMIR MHEALTH AND UHEALTH</t>
  </si>
  <si>
    <t>diagnosis; triage; symptom checker; emergency patient; ChatGPT; LLM; diagnose; self-diagnose; self-diagnosis; app; application; language model; accuracy; ChatGPT-3.5; ChatGPT-4.0; emergency; machine learning</t>
  </si>
  <si>
    <t>Background: Diagnosis is a core component of effective health care, but misdiagnosis is common and can put patients at risk. Diagnostic decision support systems can play a role in improving diagnosis by physicians and other health care workers. Symptom checkers (SCs) have been designed to improve diagnosis and triage (ie, which level of care to seek) by patients.Objective: The aim of this study was to evaluate the performance of the new large language model ChatGPT (versions 3.5 and 4.0), the widely used WebMD SC, and an SC developed by Ada Health in the diagnosis and triage of patients with urgent or emergent clinical problems compared with the final emergency department (ED) diagnoses and physician reviews.Methods: We used previously collected, deidentified, self-report data from 40 patients presenting to an ED for care who used the Ada SC to record their symptoms prior to seeing the ED physician. Deidentified data were entered into ChatGPT versions 3.5 and 4.0 and WebMD by a research assistant blinded to diagnoses and triage. Diagnoses from all 4 systems were compared with the previously abstracted final diagnoses in the ED as well as with diagnoses and triage recommendations from three independent board-certified ED physicians who had blindly reviewed the self-report clinical data from Ada. Diagnostic accuracy was calculated as the proportion of the diagnoses from ChatGPT, Ada SC, WebMD SC, and the independent physicians that matched at least one ED diagnosis (stratified as top 1 or top 3). Triage accuracy was calculated as the number of recommendations from ChatGPT, WebMD, or Ada that agreed with at least 2 of the independent physicians or were rated unsafe or too cautious.Results: Overall, 30 and 37 cases had sufficient data for diagnostic and triage analysis, respectively. The rate of top-1 diagnosis matches for Ada, ChatGPT 3.5, ChatGPT 4.0, and WebMD was 9 (30%), 12 (40%), 10 (33%), and 12 (40%), respectively, with a mean rate of 47% for the physicians. The rate of top-3 diagnostic matches for Ada, ChatGPT 3.5, ChatGPT 4.0, and WebMD was 19 (63%), 19 (63%), 15 (50%), and 17 (57%), respectively, with a mean rate of 69% for physicians. The distribution of triage results for Ada was 62% (n=23) agree, 14% unsafe (n=5), and 24% (n=9) too cautious; that for ChatGPT 3.5 was 59% (n=22) agree, 41% (n=15) unsafe, and 0% (n=0) too cautious; that for ChatGPT 4.0 was 76% (n=28) agree, 22% (n=8) unsafe, and 3% (n=1) too cautious; and that for WebMD was 70% (n=26) agree, 19% (n=7) unsafe, and 11% (n=4) too cautious. The unsafe triage rate for ChatGPT 3.5 (41%) was significantly higher (P=.009) than that of Ada (14%).Conclusions: ChatGPT 3.5 had high diagnostic accuracy but a high unsafe triage rate. ChatGPT 4.0 had the poorest diagnostic accuracy, but a lower unsafe triage rate and the highest triage agreement with the physicians. The Ada and WebMD SCs performed better overall than ChatGPT. Unsupervised patient use of ChatGPT for diagnosis and triage is not recommended without improvements to triage accuracy and extensive clinical evaluation.</t>
  </si>
  <si>
    <t>[Fraser, Hamish; Crossland, Daven; Bacher, Ian] Brown Univ, Brown Ctr Biomed Informat, Warren Alpert Med Sch, Providence, RI USA; [Fraser, Hamish] Brown Univ, Dept Hlth Serv Policy &amp; Practice, Sch Publ Hlth, Providence, RI USA; [Crossland, Daven; Madsen, Tracy] Brown Univ, Sch Publ Hlth, Dept Epidemiol, Providence, RI USA; [Ranney, Megan] Yale Univ, Sch Publ Hlth, New Haven, CT USA; [Madsen, Tracy] Brown Univ, Warren Alpert Med Sch, Dept Emergency Med, Providence, RI USA; [Hilliard, Ross] Maine Med Ctr, Dept Internal Med, Portland, ME USA; [Fraser, Hamish] Brown Univ, Brown Ctr Biomed Informat, Warren Alpert Med Sch, 233 Richmond St, Providence, RI 02912 USA</t>
  </si>
  <si>
    <t>Brown University; Brown University; Brown University; Yale University; Brown University; Maine Medical Center; Brown University</t>
  </si>
  <si>
    <t>Fraser, H (corresponding author), Brown Univ, Brown Ctr Biomed Informat, Warren Alpert Med Sch, 233 Richmond St, Providence, RI 02912 USA.</t>
  </si>
  <si>
    <t>hamish_fraser@brown.edu</t>
  </si>
  <si>
    <t>Brown University Office of the Vice President of Research (OVPR) Seed award; Agency for Healthcare Research and Quality [R01HS029513]; COBRE NIGMS [P20 GM139664]; NHLBI [K23 HL140081]</t>
  </si>
  <si>
    <t>Brown University Office of the Vice President of Research (OVPR) Seed award; Agency for Healthcare Research and Quality(United States Department of Health &amp; Human ServicesAgency for Healthcare Research &amp; Quality); COBRE NIGMS; NHLBI(United States Department of Health &amp; Human ServicesNational Institutes of Health (NIH) - USANIH National Heart Lung &amp; Blood Institute (NHLBI))</t>
  </si>
  <si>
    <t>This study received funding from the Brown University Office of the Vice President of Research (OVPR) Seed award, (HF, MR, TM and RH) , and from the Agency for Healthcare Research and Quality (R01HS029513; HF, MR, TM and RH) . MR also received funding from COBRE NIGMS P20 GM139664. TM also received funding from NHLBI K23 HL140081.</t>
  </si>
  <si>
    <t>2291-5222</t>
  </si>
  <si>
    <t>JMIR MHEALTH UHEALTH</t>
  </si>
  <si>
    <t>JMIR mHealth uHealth</t>
  </si>
  <si>
    <t>e49995</t>
  </si>
  <si>
    <t>10.2196/49995</t>
  </si>
  <si>
    <t>U7IP8</t>
  </si>
  <si>
    <t>WOS:001086508900002</t>
  </si>
  <si>
    <t>B</t>
  </si>
  <si>
    <t>Gerbrandy, A</t>
  </si>
  <si>
    <t>Andriychuk, O</t>
  </si>
  <si>
    <t>Gerbrandy, Anna</t>
  </si>
  <si>
    <t>Revisiting the Concept of Power in the Digital Era</t>
  </si>
  <si>
    <t>ANTITRUST AND THE BOUNDS OF POWER - 25 YEARS ON</t>
  </si>
  <si>
    <t>Article; Book Chapter</t>
  </si>
  <si>
    <t>[Gerbrandy, Anna] Univ Utrecht, Sch Law, European Competit Law, Utrecht, Netherlands</t>
  </si>
  <si>
    <t>Utrecht University</t>
  </si>
  <si>
    <t>Gerbrandy, A (corresponding author), Univ Utrecht, Sch Law, European Competit Law, Utrecht, Netherlands.</t>
  </si>
  <si>
    <t>European Research Council [852005]; European Research Council (ERC) [852005] Funding Source: European Research Council (ERC)</t>
  </si>
  <si>
    <t>European Research Council(European Research Council (ERC)); European Research Council (ERC)(European Research Council (ERC)Spanish Government)</t>
  </si>
  <si>
    <t>Anna Gerbrandy is professor of European Competition Law at Utrecht University, School of Law. This chapter builds upon the work of the European Research Council-funded Modern Bigness project team (grant agreement No 852005): Dr Pauline Phoa, assistant professor of European Law; and PhD candidates Viktorija Morozovaite LLM, Laura Lalikova LLM, Lisanne Hummel LLM, Carla Farinhas LLM (all at Utrecht University School of Law) and Jan Polanski LLM (who is also senior policy advisor at the Polish Competition Authority). Their presence in my academic life enriches my understanding and argumentation. Clearly, though, all (logical or other) errors in this contribution are mine.</t>
  </si>
  <si>
    <t>HART PUBL</t>
  </si>
  <si>
    <t>PORTLAND</t>
  </si>
  <si>
    <t>C/O INTERNATIONAL SPECIALIZED BOOK SERVICES, 5804 NE HASSALO STREET, PORTLAND, OR 97213-3644 USA</t>
  </si>
  <si>
    <t>978-1-50996-215-0; 978-1-50996-213-6</t>
  </si>
  <si>
    <t>Book Citation Index – Social Sciences &amp; Humanities (BKCI-SSH)</t>
  </si>
  <si>
    <t>BV6QO</t>
  </si>
  <si>
    <t>WOS:001061847900011</t>
  </si>
  <si>
    <t>Guo, JX; Li, JN; Li, DX; Tiong, AMH; Li, BY; Tao, DC; Hoi, S</t>
  </si>
  <si>
    <t>Guo, Jiaxian; Li, Junnan; Li, Dongxu; Tiong, Anthony Meng Huat; Li, Boyang; Tao, Dacheng; Hoi, Steven</t>
  </si>
  <si>
    <t>From Images to Textual Prompts: Zero-shot Visual Question Answering with Frozen Large Language Models</t>
  </si>
  <si>
    <t>2023 IEEE/CVF CONFERENCE ON COMPUTER VISION AND PATTERN RECOGNITION (CVPR)</t>
  </si>
  <si>
    <t>IEEE Conference on Computer Vision and Pattern Recognition</t>
  </si>
  <si>
    <t>IEEE/CVF Conference on Computer Vision and Pattern Recognition (CVPR)</t>
  </si>
  <si>
    <t>JUN 17-24, 2023</t>
  </si>
  <si>
    <t>Vancouver, CANADA</t>
  </si>
  <si>
    <t>IEEE,CVF,IEEE Comp Soc</t>
  </si>
  <si>
    <t>Large language models (LLMs) have demonstrated excellent zero-shot generalization to new language tasks. However, effective utilization of LLMs for zero-shot visual question-answering (VQA) remains challenging, primarily due to the modality disconnect and task disconnect between the LLM and VQA tasks. End-to-end training on multimodal data may bridge the disconnects, but is inflexible and computationally expensive. To address this issue, we propose Img2LLM, a plug-and-play module that provides LLM prompts to enable LLMs to perform zero-shot VQA tasks without end-to-end training. We develop LLM-agnostic models describe image content as exemplar question-answer pairs, which prove to be effective LLM prompts. Img2LLM offers the following benefits: 1) It achieves comparable or better performance than methods relying on end-to-end training. For example, we outperform Flamingo [3] by 5.6% on VQAv2. On the challenging A-OKVQA dataset, our method outperforms few-shot methods by as much as 20%. 2) It flexibly interfaces with a wide range of LLMs to perform VQA. 3) It eliminates the need to specialize LLMs using end-to-end finetuning and serve highly specialized LLMs to end users, thereby reducing cost. Code is available via the LAVIS [28] framework at https://github.com/salesforce/LAVIS/ tree/main/projects/img2llm-vqa.</t>
  </si>
  <si>
    <t>[Guo, Jiaxian; Tao, Dacheng] Univ Sydney, Sydney, NSW, Australia; [Li, Junnan; Li, Dongxu; Tiong, Anthony Meng Huat; Hoi, Steven] Salesforce Res, San Francisco, CA USA; [Tiong, Anthony Meng Huat; Li, Boyang] Nanyang Technol Univ, Singapore, Singapore</t>
  </si>
  <si>
    <t>University of Sydney; Salesforce; Nanyang Technological University</t>
  </si>
  <si>
    <t>Guo, JX (corresponding author), Univ Sydney, Sydney, NSW, Australia.</t>
  </si>
  <si>
    <t>jguo5934@uni.sydney.edu.au; junnan.li@salesforce.com; li.d@salesforce.com; anthony.tiong@salesforce.com; bcyang.li@ntu.edu.sg; dacheng.tao@gmail.com; shoi@salesforce.com</t>
  </si>
  <si>
    <t>Australian Research Council [FL170100117, IH180100002]; University of Sydney Completion Stipend Scholarship; Faculty of Engineering PhD Completion Award; Nanyang Associate Professorship; National Research Foundation Fellowship [NRF-NRFF13-2021-0006]</t>
  </si>
  <si>
    <t>Australian Research Council(Australian Research Council); University of Sydney Completion Stipend Scholarship; Faculty of Engineering PhD Completion Award; Nanyang Associate Professorship; National Research Foundation Fellowship</t>
  </si>
  <si>
    <t>Jiaxian Guo was supported in part by Australian Research Council Projects FL170100117 and IH180100002, the University of Sydney Completion Stipend Scholarship, and Faculty of Engineering PhD Completion Award. Boyang Li was supported by the Nanyang Associate Professorship and the National Research Foundation Fellowship (NRF-NRFF13-2021-0006), Singapore.</t>
  </si>
  <si>
    <t>1063-6919</t>
  </si>
  <si>
    <t>979-8-3503-0129-8</t>
  </si>
  <si>
    <t>PROC CVPR IEEE</t>
  </si>
  <si>
    <t>10.1109/CVPR52729.2023.01046</t>
  </si>
  <si>
    <t>BV6TF</t>
  </si>
  <si>
    <t>WOS:001062522103017</t>
  </si>
  <si>
    <t>Hammond, KM; Lucas, P; Hassouna, A; Brown, S</t>
  </si>
  <si>
    <t>Hammond, Kay M.; Lucas, Patricia; Hassouna, Amira; Brown, Stephen</t>
  </si>
  <si>
    <t>A Wolf in Sheep's Clothing? Critical Discourse Analysis of Five Online Automated Paraphrasing Sites</t>
  </si>
  <si>
    <t>Automated paraphrasing tools; generative AI; academic integrity; critical discourse analysis; higher education</t>
  </si>
  <si>
    <t>L1</t>
  </si>
  <si>
    <t>Research on academic integrity used to focus more on student character and behaviour. Now this research includes wider viewing of this issue as a current teaching and learning challenge which requires pedagogical intervention. It is now the responsibility of staff and institutions to treat the creation of a learning environment supporting academic integrity as a teaching and learning priority. Plagiarism by simply copying other people's work is a well-known misconduct which undermines academic integrity; moreover, technological developments have evolved plagiarism to include the generation and copying of computer-generated text. Automated paraphrasing tool (APT) websites have become increasingly common, offering students machine-generated rephrased text that students input from their own or others' writing. These developments present a creeping erosion of academic integrity under the guise of legitimate academic assistance. This also has implications for arrival of large language model (LLM) generative AI tools. In accessing these sites, students must discern what is a legitimate use of the tool and what may constitute breaching academic integrity. This study critically analysed the text from five online paraphrasing websites to examine the discourses used to legitimise and encourage APT use in both appropriate and inappropriate ways. We conceptualised these competing discourses using Sheep and Wolf metaphors. In addition, we offer a metaphor of the Educator as a Shepherd to become aware of APT website claims and assist students to develop critical language awareness when exposed to these sites. Educators can assist students with this through knowledge of how these sites use language to entice users to circumvent learning. Practitioner Notes1. Paraphrasing skills are a key element of competent academic thinking and writing.2. Technological developments have increasingly enabled students to access online Automated Paraphrasing Tool (ATP) websites to assist with paraphrasing content.3. There is a lack of clarity around what constitutes acceptable use of APTs and what breaches academic integrity.4. Through a critical discourse analysis, we show how APT websites use language to use the tool in both appropriate and inappropriate ways.5. Critical awareness of language use on APT websites will assist educators to teach students to avoid inadvertently breaching academic integrity if using these tools.</t>
  </si>
  <si>
    <t>[Hammond, Kay M.; Lucas, Patricia; Hassouna, Amira; Brown, Stephen] Auckland Univ Technol, Auckland, New Zealand</t>
  </si>
  <si>
    <t>Auckland University of Technology</t>
  </si>
  <si>
    <t>Hammond, KM (corresponding author), Auckland Univ Technol, Auckland, New Zealand.</t>
  </si>
  <si>
    <t>kay.hammond@aut.ac.nz; patricia.lucas@aut.ac.nz; amira.hassouna@aut.ac.nz; stephen.brown@aut.ac.nz</t>
  </si>
  <si>
    <t>WOS:001103781300006</t>
  </si>
  <si>
    <t>Hemment, D; Currie, M; Bennett, SJ; Elwes, J; Ridler, A; Sinders, C; Vidmar, M; Hill, R; Warner, H</t>
  </si>
  <si>
    <t>Hemment, Drew; Currie, Morgan; Bennett, S. J.; Elwes, Jake; Ridler, Anna; Sinders, Caroline; Vidmar, Matjaz; Hill, Robin; Warner, Holly</t>
  </si>
  <si>
    <t>AI in the Public Eye: Investigating Public AI Literacy Through AI Art</t>
  </si>
  <si>
    <t>PROCEEDINGS OF THE 6TH ACM CONFERENCE ON FAIRNESS, ACCOUNTABILITY, AND TRANSPARENCY, FACCT 2023</t>
  </si>
  <si>
    <t>6th ACM Conference on Fairness, Accountability, and Transparency (FAccT)</t>
  </si>
  <si>
    <t>JUN 12-15, 2023</t>
  </si>
  <si>
    <t>Chicago, IL</t>
  </si>
  <si>
    <t>Society; Culture; AI literacy; Art; Computational Art; AI Art; Creative AI; Artificial Intelligence; Transparency; Education; Dialogue; Interdisciplinary Research</t>
  </si>
  <si>
    <t>Recent advances in diffusion models and large language models have underpinned a new generation of powerful and accessible tools, and some of the most publicly visible applications are for artistic endeavour. Such tools, however, provide little scope for deeper understanding of AI systems, while the growing public interest in them can eclipse notice of the vibrant community of artists who have long worked with other forms of AI. We explore the potential for AI Art - particularly work in which AI is both tool and topic - to facilitate public AI literacies and consider how tactics developed before the current generative AI boom have continued relevance today. We look at the strategies of critical AI artists to scaffold public understanding of AI and enhance legibility for non-experts. This paper also investigates how collaborations between artists and AI researchers and designers can illuminate key technical and social issues relevant to the development of AI. The study entailed workshops between three professional artists who work with AI and a cross-disciplinary set of academic participants. This paper reports on these workshops and presents the intentions and strategies expressed by the artists, as well as insights of relevance to the research community on public AI literacies. We find that critical AI art can link underlying technical systems to structural issues of power and facilitate experiential learning that is situated and embodied, valuing interpretation over explanation. The findings also demonstrate the importance of transdisciplinary conversations around art, ethics and the political economy of AI technologies and how these dialogues may feed into AI design processes.</t>
  </si>
  <si>
    <t>[Hemment, Drew; Currie, Morgan; Bennett, S. J.; Vidmar, Matjaz; Hill, Robin] Univ Edinburgh, Edinburgh, Scotland</t>
  </si>
  <si>
    <t>University of Edinburgh</t>
  </si>
  <si>
    <t>Hemment, D (corresponding author), Univ Edinburgh, Edinburgh, Scotland.</t>
  </si>
  <si>
    <t>drew.hemment@ed.ac.uk; morgan.currie@ed.ac.uk; sarah.bennett@ed.ac.uk; me@jakeelwes.com; anna@annaridler.com; Matjaz.Vidmar@ed.ac.uk; r.l.hill@ed.ac.uk; r.l.hill@ed.ac.uk</t>
  </si>
  <si>
    <t>Arts &amp; Humanities Research Council; Engineering &amp; Physical Sciences Research Council; Creative Scotland</t>
  </si>
  <si>
    <t>Arts &amp; Humanities Research Council(UK Research &amp; Innovation (UKRI)Arts &amp; Humanities Research Council (AHRC)); Engineering &amp; Physical Sciences Research Council(UK Research &amp; Innovation (UKRI)Engineering &amp; Physical Sciences Research Council (EPSRC)); Creative Scotland</t>
  </si>
  <si>
    <t>Thanks to the participants in the research workshops: Dave MurrayRust, Pablo Schyfter, Shannon Vallor, Vaishak Belle, Michael Rovatsos, Ruth Aylet, Frank Boz, and Gill Haddow. The New Real at University of Edinburgh is a partnership with The Alan Turing Institute and Edinburgh's Festivals, supported by funding from Arts &amp; Humanities Research Council, Engineering &amp; Physical Sciences Research Council, and Creative Scotland.</t>
  </si>
  <si>
    <t>978-1-4503-7252-7</t>
  </si>
  <si>
    <t>10.1145/3593013.3594052</t>
  </si>
  <si>
    <t>Computer Science, Artificial Intelligence; Computer Science, Interdisciplinary Applications; Ethics; Social Sciences, Interdisciplinary</t>
  </si>
  <si>
    <t>Computer Science; Social Sciences - Other Topics</t>
  </si>
  <si>
    <t>BV6VC</t>
  </si>
  <si>
    <t>Green Accepted</t>
  </si>
  <si>
    <t>WOS:001062819300081</t>
  </si>
  <si>
    <t>Hirosawa, T; Kawamura, R; Harada, Y; Mizuta, K; Tokumasu, K; Kaji, Y; Suzuki, T; Shimizu, T</t>
  </si>
  <si>
    <t>Hirosawa, Takanobu; Kawamura, Ren; Harada, Yukinori; Mizuta, Kazuya; Tokumasu, Kazuki; Kaji, Yuki; Suzuki, Tomoharu; Shimizu, Taro</t>
  </si>
  <si>
    <t>ChatGPT-Generated Differential Diagnosis Lists for Complex Case-Derived Clinical Vignettes: Diagnostic Accuracy Evaluation</t>
  </si>
  <si>
    <t>JMIR MEDICAL INFORMATICS</t>
  </si>
  <si>
    <t>artificial intelligence; AI chatbot; ChatGPT; large language models; clinical decision support; natural language processing; diagnostic excellence; language model; vignette; case study; diagnostic; accuracy; decision support; diagnosis</t>
  </si>
  <si>
    <t>Background: The diagnostic accuracy of differential diagnoses generated by artificial intelligence chatbots, including ChatGPT models, for complex clinical vignettes derived from general internal medicine (GIM) department case reports is unknown.Objective: This study aims to evaluate the accuracy of the differential diagnosis lists generated by both third-generation ChatGPT (ChatGPT-3.5) and fourth-generation ChatGPT (ChatGPT-4) by using case vignettes from case reports published by the Department of GIM of Dokkyo Medical University Hospital, Japan.Methods: We searched PubMed for case reports. Upon identification, physicians selected diagnostic cases, determined the final diagnosis, and displayed them into clinical vignettes. Physicians typed the determined text with the clinical vignettes in the ChatGPT-3.5 and ChatGPT-4 prompts to generate the top 10 differential diagnoses. The ChatGPT models were not specially trained or further reinforced for this task. Three GIM physicians from other medical institutions created differential diagnosis lists by reading the same clinical vignettes. We measured the rate of correct diagnosis within the top 10 differential diagnosis lists, top 5 differential diagnosis lists, and the top diagnosis.Results: In total, 52 case reports were analyzed. The rates of correct diagnosis by ChatGPT-4 within the top 10 differential diagnosis lists, top 5 differential diagnosis lists, and top diagnosis were 83% (43/52), 81% (42/52), and 60% (31/52), respectively. The rates of correct diagnosis by ChatGPT-3.5 within the top 10 differential diagnosis lists, top 5 differential diagnosis lists, and top diagnosis were 73% (38/52), 65% (34/52), and 42% (22/52), respectively. The rates of correct diagnosis by ChatGPT-4 were comparable to those by physicians within the top 10 (43/52, 83% vs 39/52, 75%, respectively; P=.47) and within the top 5 (42/52, 81% vs 35/52, 67%, respectively; P=.18) differential diagnosis lists and top diagnosis (31/52, 60% vs 26/52, 50%, respectively; P=.43) although the difference was not significant. The ChatGPT models' diagnostic accuracy did not significantly vary based on open access status or the publication date (before 2011 vs 2022).Conclusions: This study demonstrates the potential diagnostic accuracy of differential diagnosis lists generated using ChatGPT-3.5 and ChatGPT-4 for complex clinical vignettes from case reports published by the GIM department. The rate of correct diagnoses within the top 10 and top 5 differential diagnosis lists generated by ChatGPT-4 exceeds 80%. Although derived from a limited data set of case reports from a single department, our findings highlight the potential utility of ChatGPT-4 as a supplementary tool for physicians, particularly for those affiliated with the GIM department. Further investigations should explore the diagnostic accuracy of ChatGPT by using distinct case materials beyond its training data. Such efforts will provide a comprehensive insight into the role of artificial intelligence in enhancing clinical decision-making.</t>
  </si>
  <si>
    <t>[Hirosawa, Takanobu; Kawamura, Ren; Harada, Yukinori; Mizuta, Kazuya; Shimizu, Taro] Dokkyo Med Univ, Dept Diagnost &amp; Generalist Med, Mibu, Tochigi, Japan; [Tokumasu, Kazuki] Okayama Univ, Dept Gen Med, Grad Sch Med Dent &amp; Pharmaceut Sci, Okayama, Japan; [Kaji, Yuki] Int Univ Hlth &amp; Welf, Narita Hosp, Dept Gen Med, Chiba, Japan; [Suzuki, Tomoharu] Urasoe Gen Hosp, Dept Hosp Med, Urasoe, Okinawa, Japan; [Hirosawa, Takanobu] Dokkyo Med Univ, Dept Diagnost &amp; Generalist Med, 880 Kitakobayashi, Shimotsuga, Tochigi 3210293, Japan</t>
  </si>
  <si>
    <t>Dokkyo Medical University; Okayama University; International University of Health &amp; Welfare; Dokkyo Medical University</t>
  </si>
  <si>
    <t>Hirosawa, T (corresponding author), Dokkyo Med Univ, Dept Diagnost &amp; Generalist Med, 880 Kitakobayashi, Shimotsuga, Tochigi 3210293, Japan.</t>
  </si>
  <si>
    <t>2291-9694</t>
  </si>
  <si>
    <t>JMIR MED INF</t>
  </si>
  <si>
    <t>JMIR Med. Inf.</t>
  </si>
  <si>
    <t>Medical Informatics</t>
  </si>
  <si>
    <t>U5WW1</t>
  </si>
  <si>
    <t>WOS:001085515100002</t>
  </si>
  <si>
    <t>Huang, RST; Lu, KJQ; Meaney, C; Kemppainen, J; Punnett, A; Leung, FH</t>
  </si>
  <si>
    <t>Huang, Ryan S. T.; Lu, Kevin Jia Qi; Meaney, Christopher; Kemppainen, Joel; Punnett, Angela; Leung, Fok-Han</t>
  </si>
  <si>
    <t>JMIR MEDICAL EDUCATION</t>
  </si>
  <si>
    <t>medical education; medical knowledge exam; artificial intelligence; AI; natural language processing; NLP; large language model; LLM; machine learning, ChatGPT; GPT-3.5; GPT-4; education; language model; education examination; testing; utility; family medicine; medical residents; test; community</t>
  </si>
  <si>
    <t>Background: Large language model (LLM)-based chatbots are evolving at an unprecedented pace with the release of ChatGPT, specifically GPT-3.5, and its successor, GPT-4. Their capabilities in general-purpose tasks and language generation have advanced to the point of performing excellently on various educational examination benchmarks, including medical knowledge tests. Comparing the performance of these 2 LLM models to that of Family Medicine residents on a multiple-choice medical knowledge test can provide insights into their potential as medical education tools. Objective: This study aimed to quantitatively and qualitatively compare the performance of GPT-3.5, GPT-4, and Family Medicine residents in a multiple-choice medical knowledge test appropriate for the level of a Family Medicine resident. Methods: An official University of Toronto Department of Family and Community Medicine Progress Test consisting of multiple-choice questions was inputted into GPT-3.5 and GPT-4. The artificial intelligence chatbot's responses were manually reviewed to determine the selected answer, response length, response time, provision of a rationale for the outputted response, and the root cause of all incorrect responses (classified into arithmetic, logical, and information errors). The performance of the artificial intelligence chatbots were compared against a cohort of Family Medicine residents who concurrently attempted the test. Results: GPT-4 performed significantly better compared to GPT-3.5 (difference 25.0%, 95% CI 16.3%-32.8%; McNemar test: P&lt;.001); it correctly answered 89/108 (82.4%) questions, while GPT-3.5 answered 62/108 (57.4%) questions correctly. Further, GPT-4 scored higher across all 11 categories of Family Medicine knowledge. In 86.1% (n=93) of the responses, GPT-4 provided a rationale for why other multiple-choice options were not chosen compared to the 16.7% (n=18) achieved by GPT-3.5. Qualitatively, for both GPT-3.5 and GPT-4 responses, logical errors were the most common, while arithmetic errors were the least common. The average performance of Family Medicine residents was 56.9% (95% CI 56.2%-57.6%). The performance of GPT-3.5 was similar to that of the average Family Medicine resident (P=.16), while the performance of GPT-4 exceeded that of the top-performing Family Medicine resident (P&lt;.001). Conclusions: GPT-4 significantly outperforms both GPT-3.5 and Family Medicine residents on a multiple-choice medical knowledge test designed for Family Medicine residents. GPT-4 provides a logical rationale for its response choice, ruling out other answer choices efficiently and with concise justification. Its high degree of accuracy and advanced reasoning capabilities facilitate its potential applications in medical education, including the creation of exam questions and scenarios as well as serving as a resource for medical knowledge or information on community services.</t>
  </si>
  <si>
    <t>[Huang, Ryan S. T.; Punnett, Angela] Univ Toronto, Temerty Fac Med, 1 Kings Coll Cir, Toronto, ON M5S 1A8, Canada; [Lu, Kevin Jia Qi; Meaney, Christopher; Kemppainen, Joel; Leung, Fok-Han] Univ Toronto, Dept Family &amp; Community Med, Toronto, ON, Canada; [Punnett, Angela] Hosp Sick Children, Div Haematol, Toronto, ON, Canada</t>
  </si>
  <si>
    <t>University of Toronto; University of Toronto; University of Toronto; Hospital for Sick Children (SickKids)</t>
  </si>
  <si>
    <t>Huang, RST (corresponding author), Univ Toronto, Temerty Fac Med, 1 Kings Coll Cir, Toronto, ON M5S 1A8, Canada.</t>
  </si>
  <si>
    <t>ry.huang@mail.utoronto.ca</t>
  </si>
  <si>
    <t>2369-3762</t>
  </si>
  <si>
    <t>JMIR MED EDUC</t>
  </si>
  <si>
    <t>U6AS5</t>
  </si>
  <si>
    <t>WOS:001085615600001</t>
  </si>
  <si>
    <t>Jiang, C; Yang, XL</t>
  </si>
  <si>
    <t>Jiang, Cong; Yang, Xiaolei</t>
  </si>
  <si>
    <t>Legal Syllogism Prompting: Teaching Large Language Models for Legal Judgment Prediction</t>
  </si>
  <si>
    <t>PROCEEDINGS OF THE 19TH INTERNATIONAL CONFERENCE ON ARTIFICIAL INTELLIGENCE AND LAW, ICAIL 2023</t>
  </si>
  <si>
    <t>19th International Conference on Artificial Intelligence and Law (ICAIL)</t>
  </si>
  <si>
    <t>JUN 19-23, 2023</t>
  </si>
  <si>
    <t>Univ Minho Law Sch, Braga, PORTUGAL</t>
  </si>
  <si>
    <t>Int Assoc Artificial Intelligence &amp; Law,Univ Minho Informat Dept Engn Sch,JUSGOV Res Ctr Justice &amp; Governance,Centro Algoritmi,Intelligent Syst Associated Lab,Thomson Reuters,Centro Juridico Minho,Antas da Cunha ECIJA Soc Advogados,Visionware,Simplexico,Assoc Advancement Artificial Intelligence,ACM SIGAI</t>
  </si>
  <si>
    <t>Univ Minho Law Sch</t>
  </si>
  <si>
    <t>large language models; legal syllogism; legal judgment prediction; chain of thought</t>
  </si>
  <si>
    <t>Legal syllogism is a form of deductive reasoning commonly used by legal professionals to analyze cases. In this paper, we propose legal syllogism prompting (LoT), a simple prompting method to teach large language models (LLMs) for legal judgment prediction. LoT teaches only that in the legal syllogism the major premise is law, the minor premise is the fact, and the conclusion is judgment. Then the models can produce a syllogism reasoning of the case and give the judgment without any learning, fine-tuning, or examples. On CAIL2018, a Chinese criminal case dataset, we performed zero-shot judgment prediction experiments with GPT-3 models. Our results show that LLMs with LoT achieve better performance than the baseline and chain of thought prompting, the state-of-art prompting method on diverse reasoning tasks. LoT enables the model to concentrate on the key information relevant to the judgment and to correctly understand the legal meaning of acts, as compared to other methods. Our method enables LLMs to predict judgment along with law articles and justification, which significantly enhances the explainability of models.</t>
  </si>
  <si>
    <t>[Jiang, Cong; Yang, Xiaolei] Peking Univ, Peking Univ Law Sch, Inst Artificial Intelligence, Beijing, Peoples R China; [Jiang, Cong; Yang, Xiaolei] PKU WUHAN Inst Artificial Intelligence, Wuhan, Hubei, Peoples R China</t>
  </si>
  <si>
    <t>Peking University</t>
  </si>
  <si>
    <t>Jiang, C (corresponding author), Peking Univ, Peking Univ Law Sch, Inst Artificial Intelligence, Beijing, Peoples R China.;Jiang, C (corresponding author), PKU WUHAN Inst Artificial Intelligence, Wuhan, Hubei, Peoples R China.</t>
  </si>
  <si>
    <t>jiangcong@pku.edu.cn; yangxiaolei@pku.edu.cn</t>
  </si>
  <si>
    <t>Peking University - Wuhan East Lake Intelligent Social Governance Opening Program titled Intelligent public legal consulting service system of East Lake High-Tech Development Zone [ZX2222M]</t>
  </si>
  <si>
    <t>Peking University - Wuhan East Lake Intelligent Social Governance Opening Program titled Intelligent public legal consulting service system of East Lake High-Tech Development Zone</t>
  </si>
  <si>
    <t>We appreciate the valuable feedback by the anonymous reviewers. This work was supported by Peking University - Wuhan East Lake Intelligent Social Governance Opening Program titled Intelligent public legal consulting service system of East Lake High-Tech Development Zone (ZX2222M).</t>
  </si>
  <si>
    <t>979-8-4007-0197-9</t>
  </si>
  <si>
    <t>10.1145/3594536.3595170</t>
  </si>
  <si>
    <t>Computer Science, Artificial Intelligence; Computer Science, Interdisciplinary Applications; Law</t>
  </si>
  <si>
    <t>Computer Science; Government &amp; Law</t>
  </si>
  <si>
    <t>BW3KK</t>
  </si>
  <si>
    <t>WOS:001139079400047</t>
  </si>
  <si>
    <t>Jiang, ZY; Shi, L; Yang, GW; Wang, Q</t>
  </si>
  <si>
    <t>Jiang, Ziyou; Shi, Lin; Yang, Guowei; Wang, Qing</t>
  </si>
  <si>
    <t>SCPatcher: Mining Crowd Security Discussions to Enrich Secure Coding Practices</t>
  </si>
  <si>
    <t>2023 38TH IEEE/ACM INTERNATIONAL CONFERENCE ON AUTOMATED SOFTWARE ENGINEERING, ASE</t>
  </si>
  <si>
    <t>IEEE ACM International Conference on Automated Software Engineering</t>
  </si>
  <si>
    <t>38th IEEE/ACM International Conference on Automated Software Engineering (ASE)</t>
  </si>
  <si>
    <t>SEP 11-15, 2023</t>
  </si>
  <si>
    <t>Echternach, LUXEMBOURG</t>
  </si>
  <si>
    <t>IEEE,Assoc Comp Machinery,IEEE Comp Soc</t>
  </si>
  <si>
    <t>Secure coding practices (SCPs) have been proposed to guide software developers to write code securely to prevent potential security vulnerabilities. Yet, they are typically one-sentence principles without detailed specifications, e.g., Properly free allocated memory upon the completion of functions and at all exit points., which makes them difficult to follow in practice, especially for software developers who are not yet experienced in secure programming. To address this problem, this paper proposes SCPatcher, an automated approach to enrich secure coding practices by mining crowd security discussions on online knowledge-sharing platforms, such as Stack Overflow. In particular, for each security post, SCPatcher first extracts the area of coding examples and coding explanations with a fix-prompt tuned Large Language Model (LLM) via Prompt Learning. Then, it hierarchically slices the lengthy code into coding examples and summarizes the coding explanations with the areas. Finally, SCPatcher matches the CWE and Public SCP, integrating them with extracted coding examples and explanations to form the SCP specifications, which are the wild SCPs with details, proposed by the developers. To evaluate the performance of SCPatcher, we conduct experiments on 3,907 security posts from Stack Overflow. The experimental results show that SCPatcher outperforms all baselines in extracting the coding examples with 2.73% MLine on average, as well as coding explanations with 3.97% F1 on average. Moreover, we apply SCPatcher on 447 new security posts to further evaluate its practicality, and the extracted SCP specifications enrich the public SCPs with 3,074 lines of code and 1,967 sentences.</t>
  </si>
  <si>
    <t>[Jiang, Ziyou; Wang, Qing] State Key Lab Intelligent Game, Beijing, Peoples R China; [Jiang, Ziyou; Wang, Qing] Chinese Acad Sci, Sci &amp; Technol Integrated Informat Syst Lab, Inst Software, Beijing, Peoples R China; [Jiang, Ziyou; Wang, Qing] Univ Chinese Acad Sci, Beijing, Peoples R China; [Shi, Lin] Beihang Univ, Sch Software, Beijing, Peoples R China; [Yang, Guowei] Univ Queensland, Brisbane, Qld, Australia</t>
  </si>
  <si>
    <t>Chinese Academy of Sciences; Institute of Software, CAS; Chinese Academy of Sciences; University of Chinese Academy of Sciences, CAS; Beihang University; University of Queensland</t>
  </si>
  <si>
    <t>Wang, Q (corresponding author), State Key Lab Intelligent Game, Beijing, Peoples R China.;Wang, Q (corresponding author), Chinese Acad Sci, Sci &amp; Technol Integrated Informat Syst Lab, Inst Software, Beijing, Peoples R China.;Wang, Q (corresponding author), Univ Chinese Acad Sci, Beijing, Peoples R China.</t>
  </si>
  <si>
    <t>ziyou2019@iscas.ac.cn; shilin@buaa.edu.cn; guowei.yang@uq.edu.au; wq@iscas.ac.cn</t>
  </si>
  <si>
    <t>Yang, Guowei/AAY-5880-2021</t>
  </si>
  <si>
    <t>Yang, Guowei/0000-0002-1404-4560</t>
  </si>
  <si>
    <t>National Natural Science Foundation of China [62272445, 62232016, 62072442]; Youth Innovation Promotion Association Chinese Academy of Sciences; University of Queensland NSRSG [NS-2201]</t>
  </si>
  <si>
    <t>National Natural Science Foundation of China(National Natural Science Foundation of China (NSFC)); Youth Innovation Promotion Association Chinese Academy of Sciences; University of Queensland NSRSG(University of Queensland)</t>
  </si>
  <si>
    <t>We sincerely appreciate anonymous reviewers for their constructive and insightful suggestions for improving this manuscript. This work is supported by the National Natural Science Foundation of China Grant No. 62272445, 62232016, 62072442, the Youth Innovation Promotion Association Chinese Academy of Sciences, and the University of Queensland NSRSG Grant NS-2201.</t>
  </si>
  <si>
    <t>1527-1366</t>
  </si>
  <si>
    <t>979-8-3503-2996-4</t>
  </si>
  <si>
    <t>IEEE INT CONF AUTOM</t>
  </si>
  <si>
    <t>10.1109/ASE56229.2023.00040</t>
  </si>
  <si>
    <t>Automation &amp; Control Systems; Computer Science, Software Engineering</t>
  </si>
  <si>
    <t>Automation &amp; Control Systems; Computer Science</t>
  </si>
  <si>
    <t>BW1BK</t>
  </si>
  <si>
    <t>WOS:001103357200029</t>
  </si>
  <si>
    <t>Johnston, P; Nogueira, K; Swingler, K</t>
  </si>
  <si>
    <t>Johnston, Penny; Nogueira, Keiller; Swingler, Kevin</t>
  </si>
  <si>
    <t>NS-IL: Neuro-Symbolic Visual Question Answering Using Incrementally Learnt, Independent Probabilistic Models for Small Sample Sizes</t>
  </si>
  <si>
    <t>Neuro-symbolic system; visual question answering; classification system; Gaussian mixture model; incremental learning</t>
  </si>
  <si>
    <t>This paper is motivated by the challenge of providing accurate and contextually relevant answers to natural language questions about visual scenes, particularly in support of individuals with visual impairments. We present a system that is capable of incrementally learning both visual concepts and symbolic facts to answer natural language questions about visual scenes via rich concepts. Deep neural networks are used to learn a feature space from which visual classes are learned as independent probability distributions, allowing new classes to be added arbitrarily with small sample sizes and without the risk of catastrophic forgetting associated with traditional neural networks. Visual classes are not limited to object labels, but also include visual attributes. A knowledge graph is used to represent facts about objects, such as their actions, locations and the relationships between different objects. This allows facts to be stored explicitly and added incrementally. A large language model is used to translate between natural language questions and knowledge graph traversal queries, providing a natural visual question answering process.</t>
  </si>
  <si>
    <t>[Johnston, Penny; Nogueira, Keiller; Swingler, Kevin] Univ Stirling, Dept Comp Sci, Stirling FK9 4LA, Scotland</t>
  </si>
  <si>
    <t>University of Stirling</t>
  </si>
  <si>
    <t>Johnston, P (corresponding author), Univ Stirling, Dept Comp Sci, Stirling FK9 4LA, Scotland.</t>
  </si>
  <si>
    <t>Penny.Johnston@stir.ac.uk</t>
  </si>
  <si>
    <t>Stirling University</t>
  </si>
  <si>
    <t>10.1109/ACCESS.2023.3341007</t>
  </si>
  <si>
    <t>CU5U8</t>
  </si>
  <si>
    <t>WOS:001127772400001</t>
  </si>
  <si>
    <t>Kazemitabaar, M; Chow, J; Ma, CKT; Ericson, BJ; Weintrop, D; Grossman, T</t>
  </si>
  <si>
    <t>Kazemitabaar, Majeed; Chow, Justin; Ma, Carl Ka To; Ericson, Barbara J.; Weintrop, David; Grossman, Tovi</t>
  </si>
  <si>
    <t>Studying the effect of AI Code Generators on Supporting Novice Learners in Introductory Programming</t>
  </si>
  <si>
    <t>PROCEEDINGS OF THE 2023 CHI CONFERENCE ON HUMAN FACTORS IN COMPUTING SYSTEMS, CHI 2023</t>
  </si>
  <si>
    <t>CHI conference on Human Factors in Computing Systems (CHI)</t>
  </si>
  <si>
    <t>APR 23-28, 2023</t>
  </si>
  <si>
    <t>Hamburg, GERMANY</t>
  </si>
  <si>
    <t>Assoc Comp Machinery,ACM SIGCHI,Google,Siemens,Bloomberg</t>
  </si>
  <si>
    <t>Large Language Models; AI Coding Assistants; AI-Assisted Pair-Programming; OpenAI Codex; GPT-3; ChatGPT; Copilot; Introductory Programming; K-12 Computer Science Education</t>
  </si>
  <si>
    <t>SCRATCH; LANGUAGES; THINKING; SKILLS; K-12</t>
  </si>
  <si>
    <t>AI code generators like OpenAI Codex have the potential to assist novice programmers by generating code from natural language descriptions, however, over-reliance might negatively impact learning and retention. To explore the implications that AI code generators have on introductory programming, we conducted a controlled experiment with 69 novices (ages 10-17). Learners worked on 45 Python code-authoring tasks, for which half of the learners had access to Codex, each followed by a code-modification task. Our results show that using Codex significantly increased code-authoring performance (1.15x increased completion rate and 1.8x higher scores) while not decreasing performance on manual code-modifcation tasks. Additionally, learners with access to Codex during the training phase performed slightly better on the evaluation post-tests conducted one week later, although this difference did not reach statistical significance. Of interest, learners with higher Scratch pre-test scores performed significantly better on retention post-tests, if they had prior access to Codex.</t>
  </si>
  <si>
    <t>[Kazemitabaar, Majeed; Chow, Justin; Ma, Carl Ka To; Grossman, Tovi] Univ Toronto, Dept Comp Sci, Toronto, ON, Canada; [Ericson, Barbara J.] Univ Michigan, Sch Informat, Ann Arbor, MI USA; [Weintrop, David] Univ Maryland, Coll Educ, College Pk, MD USA</t>
  </si>
  <si>
    <t>University of Toronto; University of Michigan System; University of Michigan; University System of Maryland; University of Maryland College Park</t>
  </si>
  <si>
    <t>Kazemitabaar, M (corresponding author), Univ Toronto, Dept Comp Sci, Toronto, ON, Canada.</t>
  </si>
  <si>
    <t>majeed@dgp.toronto.edu; justinchow@dgp.toronto.edu; cma@dgp.toronto.edu; barbarer@umich.edu; weintrop@umd.edu; tovi@dgp.toronto.edu</t>
  </si>
  <si>
    <t>978-1-4503-9421-5</t>
  </si>
  <si>
    <t>10.1145/3544548.3580919</t>
  </si>
  <si>
    <t>Computer Science, Information Systems; Computer Science, Theory &amp; Methods; Robotics</t>
  </si>
  <si>
    <t>BV4OO</t>
  </si>
  <si>
    <t>WOS:001037809504017</t>
  </si>
  <si>
    <t>Kemker, D</t>
  </si>
  <si>
    <t>Kemker, Diane</t>
  </si>
  <si>
    <t>ALMOST CITING SLAVERY: TOWNSHEND V. TOWNSHEND IN WILLS &amp; TRUSTS CASEBOOKS</t>
  </si>
  <si>
    <t>UNIVERSITY OF PITTSBURGH LAW REVIEW</t>
  </si>
  <si>
    <t>[Kemker, Diane] DePaul Univ, Coll Law, Chicago, IL 60604 USA; [Kemker, Diane] Southern Univ, Law Ctr, Baton Rouge, LA 70813 USA; [Kemker, Diane] Univ San Francisco Sch Law, Univ Calif Los Angeles, Harvard Radcliffe Coll, JD,AB,LLM taxat,Sch Law, San Francisco, CA 94117 USA</t>
  </si>
  <si>
    <t>DePaul University; Southern University System; Southern University &amp; A&amp;M College; University of California System; University of California Los Angeles</t>
  </si>
  <si>
    <t>Kemker, D (corresponding author), DePaul Univ, Coll Law, Chicago, IL 60604 USA.;Kemker, D (corresponding author), Southern Univ, Law Ctr, Baton Rouge, LA 70813 USA.;Kemker, D (corresponding author), Univ San Francisco Sch Law, Univ Calif Los Angeles, Harvard Radcliffe Coll, JD,AB,LLM taxat,Sch Law, San Francisco, CA 94117 USA.</t>
  </si>
  <si>
    <t>UNIV PITTSBURGH, UNIV LIBRARY SYSTEM</t>
  </si>
  <si>
    <t>PITTSBURGH</t>
  </si>
  <si>
    <t>3960 FORBES AVE, PITTSBURGH, PA 15260 USA</t>
  </si>
  <si>
    <t>0041-9915</t>
  </si>
  <si>
    <t>1942-8405</t>
  </si>
  <si>
    <t>U PITT LAW REV</t>
  </si>
  <si>
    <t>Univ. Pittsb. Law Rev.</t>
  </si>
  <si>
    <t>10.5195/lawreview.2023.917</t>
  </si>
  <si>
    <t>A8LU8</t>
  </si>
  <si>
    <t>WOS:000957586000001</t>
  </si>
  <si>
    <t>Laato, S; Morschheuser, B; Hamari, J; Björne, J</t>
  </si>
  <si>
    <t>Chang, M; Chen, NS; Kuo, R; Rudolph, G; Sampson, DG; Tlili, A</t>
  </si>
  <si>
    <t>Laato, Samuli; Morschheuser, Benedikt; Hamari, Juho; Bjorne, Jari</t>
  </si>
  <si>
    <t>AI-assisted Learning with ChatGPT and Large Language Models: Implications for Higher Education</t>
  </si>
  <si>
    <t>2023 IEEE INTERNATIONAL CONFERENCE ON ADVANCED LEARNING TECHNOLOGIES, ICALT</t>
  </si>
  <si>
    <t>IEEE International Conference on Advanced Learning Technologies</t>
  </si>
  <si>
    <t>23rd IEEE International Conference on Advanced Learning Technologies (ICALT)</t>
  </si>
  <si>
    <t>JUL 10-13, 2023</t>
  </si>
  <si>
    <t>Orem, UT</t>
  </si>
  <si>
    <t>IEEE,IEEE Comp Soc,IEEE Tech Community Learning Technol</t>
  </si>
  <si>
    <t>ChatGPT; Bard; GPT-4; generative language models; large language models; higher education; learning</t>
  </si>
  <si>
    <t>The recent progress in generative AI models, particularly large language models (LLMs), has brought about a transformation in the field of education. Conversational LLM services, such as Google's Bard and OpenAI's ChatGPT, offer students access to many abilities such as summarization and generation of text and code, and on-demand replies to questions on expert topics. In this paper, we observe ChatGPT to explore how LLM services impact learning and instruction in higher education. First, we mapped the capabilities of the system by reviewing the grey literature on ChatGPT and using the system ourselves for two months. Second, we selected a Bachelor level computer science curriculum from a Finnish university, and examined the impact of ChatGPT on the offered courses. As an outcome of this study, we highlight 13 implications for students' learning in higher education, and discuss the contemporary future of AI-assisted learning in universities and beyond.</t>
  </si>
  <si>
    <t>[Laato, Samuli; Hamari, Juho] Tampere Univ, Gamificat Grp, Tampere, Finland; [Morschheuser, Benedikt] FAU Erlangen Nurnberg, Inst Informat Syst, Nurnberg, Germany; [Bjorne, Jari] Univ Turku, Dept Comp, Turku, Finland</t>
  </si>
  <si>
    <t>Tampere University; University of Erlangen Nuremberg; University of Turku</t>
  </si>
  <si>
    <t>Laato, S (corresponding author), Tampere Univ, Gamificat Grp, Tampere, Finland.</t>
  </si>
  <si>
    <t>samuli.laato@tuni.fi; benedikt.morschheuser@fau.de; juho.hamari@tuni.fi; jari.bjorne@utu.fi</t>
  </si>
  <si>
    <t>2161-3761</t>
  </si>
  <si>
    <t>979-8-3503-0054-3</t>
  </si>
  <si>
    <t>IEEE INT CONF ADV LE</t>
  </si>
  <si>
    <t>Computer Science, Interdisciplinary Applications; Education &amp; Educational Research</t>
  </si>
  <si>
    <t>Computer Science; Education &amp; Educational Research</t>
  </si>
  <si>
    <t>BW0CX</t>
  </si>
  <si>
    <t>WOS:001094548800066</t>
  </si>
  <si>
    <t>Lau, S; Guo, PJ</t>
  </si>
  <si>
    <t>Lau, Sam; Guo, Philip J.</t>
  </si>
  <si>
    <t>From Ban It TillWe Understand It to Resistance is Futile: How University Programming Instructors Plan to Adapt as More Students Use AI Code Generation and Explanation Tools such as ChatGPT and GitHub Copilot</t>
  </si>
  <si>
    <t>PROCEEDINGS OF THE 2023 ACM CONFERENCE ON INTERNATIONAL COMPUTING EDUCATION RESEARCH V.1, ICER 2023 V1</t>
  </si>
  <si>
    <t>19th Annual ACM Conference on International Computing Education Research V.1 (ICER)</t>
  </si>
  <si>
    <t>AUG 07-11, 2023</t>
  </si>
  <si>
    <t>Assoc Comp Machinery,ACM Special Interest Grp Comp Sci Educ</t>
  </si>
  <si>
    <t>AI coding tools; LLM; ChatGPT; Copilot; instructor perspectives</t>
  </si>
  <si>
    <t>Over the past year (2022-2023), recently-released AI tools such as ChatGPT and GitHub Copilot have gained significant attention from computing educators. Both researchers and practitioners have discovered that these tools can generate correct solutions to a variety of introductory programming assignments and accurately explain the contents of code. Given their current capabilities and likely advances in the coming years, how do university instructors plan to adapt their courses to ensure that students still learn well? To gather a diverse sample of perspectives, we interviewed 20 introductory programming instructors (9 women + 11 men) across 9 countries (Australia, Botswana, Canada, Chile, China, Rwanda, Spain, Switzerland, United States) spanning all 6 populated continents. To our knowledge, this is the first empirical study to gather instructor perspectives about how they plan to adapt to these AI coding tools that more students will likely have access to in the future. We found that, in the short-term, many planned to take immediate measures to discourage AI-assisted cheating. Then opinions diverged about how to work with AI coding tools longer-term, with one side wanting to ban them and continue teaching programming fundamentals, and the other side wanting to integrate them into courses to prepare students for future jobs. Our study findings capture a rare snapshot in time in early 2023 as computing instructors are just starting to form opinions about this fast-growing phenomenon but have not yet converged to any consensus about best practices. Using these findings as inspiration, we synthesized a diverse set of open research questions regarding how to develop, deploy, and evaluate AI coding tools for computing education.</t>
  </si>
  <si>
    <t>[Lau, Sam; Guo, Philip J.] Univ Calif San Diego, La Jolla, CA 92093 USA</t>
  </si>
  <si>
    <t>University of California System; University of California San Diego</t>
  </si>
  <si>
    <t>Lau, S (corresponding author), Univ Calif San Diego, La Jolla, CA 92093 USA.</t>
  </si>
  <si>
    <t>lau@ucsd.edu; pg@ucsd.edu</t>
  </si>
  <si>
    <t>National Science Foundation; NSF [IIS-1845900]</t>
  </si>
  <si>
    <t>National Science Foundation(National Science Foundation (NSF)); NSF(National Science Foundation (NSF))</t>
  </si>
  <si>
    <t>Thanks to all of our interview participants for sharing their time and expertise, to the ICER reviewers for their feedback, and to Majeed Kazemitabaar and Sangho Suh for their feedback. Also thanks to a well-timed Hawaii vacation for giving Philip the much-needed headspace to begin thinking about research directions in this emerging area. This material is based upon work supported by the National Science Foundation under Grant No. NSF IIS-1845900.</t>
  </si>
  <si>
    <t>978-1-4503-9976-0</t>
  </si>
  <si>
    <t>Computer Science, Theory &amp; Methods; Education &amp; Educational Research; Education, Scientific Disciplines</t>
  </si>
  <si>
    <t>BW3QV</t>
  </si>
  <si>
    <t>WOS:001141973500008</t>
  </si>
  <si>
    <t>Li, TO; Zong, WX; Wang, YB; Tian, HY; Wang, Y; Cheung, SC; Kramer, J</t>
  </si>
  <si>
    <t>Li, Tsz-On; Zong, Wenxi; Wang, Yibo; Tian, Haoye; Wang, Ying; Cheung, Shing-Chi; Kramer, Jeff</t>
  </si>
  <si>
    <t>Nuances are the Key: Unlocking ChatGPT to Find Failure-Inducing Tests with Differential Prompting</t>
  </si>
  <si>
    <t>failure-inducing test cases; large language models; program intention inference; program generation</t>
  </si>
  <si>
    <t>Automated detection of software failures is an important but challenging software engineering task. It involves finding in a vast search space the failure-inducing test cases that contain an input triggering the software fault and an oracle asserting the incorrect execution. We are motivated to study how far this outstanding challenge can be solved by recent advances in large language models (LLMs) such as ChatGPT. However, our study reveals that ChatGPT has a relatively low success rate (28.8%) in finding correct failure-inducing test cases for buggy programs. A possible conjecture is that finding failure-inducing test cases requires analyzing the subtle differences (nuances) between the tokens of a program's correct version and those for its buggy version. When these two versions have similar sets of tokens and attentions, ChatGPT is weak in distinguishing their differences. We find that ChatGPT can successfully generate failure-inducing test cases when it is guided to focus on the nuances. Our solution is inspired by an interesting observation that ChatGPT could infer the intended functionality of buggy code if it is similar to the correct version. Driven by the inspiration, we develop a novel technique, called Differential Prompting, to effectively find failure-inducing test cases with the help of the compilable code synthesized by the inferred intention. Prompts are constructed based on the nuances between the given version and the synthesized code. We evaluate Differential Prompting on Quixbugs (a popular benchmark of buggy programs) and recent programs published at Codeforces (a popular programming contest portal, which is also an official benchmark of ChatGPT). We compare Differential Prompting with two baselines constructed using conventional ChatGPT prompting and PYNGUIN (the state-of-the-art unit test generation tool for Python programs). Our evaluation results show that for programs of Quixbugs, Differential Prompting can achieve a success rate of 75.0% in finding failure-inducing test cases, outperforming the best baseline by 2.6X. For programs of Codeforces, Differential Prompting's success rate is 66.7%, outperforming the best baseline by 4.0X.</t>
  </si>
  <si>
    <t>[Li, Tsz-On; Wang, Ying; Cheung, Shing-Chi] Hong Kong Univ Sci &amp; Technol, Hong Kong, Peoples R China; [Li, Tsz-On; Cheung, Shing-Chi] Guangzhou HKUST Fok Ying Tung Res Inst, Guangzhou, Peoples R China; [Zong, Wenxi; Wang, Yibo; Wang, Ying] Northeastern Univ, Shenyang, Peoples R China; [Tian, Haoye] Univ Luxembourg, Luxembourg, Luxembourg; [Kramer, Jeff] Imperial Coll London, London, England</t>
  </si>
  <si>
    <t>Hong Kong University of Science &amp; Technology; Hong Kong University of Science &amp; Technology; Northeastern University - China; University of Luxembourg; Imperial College London</t>
  </si>
  <si>
    <t>Wang, Y; Cheung, SC (corresponding author), Hong Kong Univ Sci &amp; Technol, Hong Kong, Peoples R China.;Cheung, SC (corresponding author), Guangzhou HKUST Fok Ying Tung Res Inst, Guangzhou, Peoples R China.;Wang, Y (corresponding author), Northeastern Univ, Shenyang, Peoples R China.</t>
  </si>
  <si>
    <t>toli@cse.ust.hk; iamwenxiz@163.com; yibowangcz@outlook.com; haoye.tian@uni.lu; wangying@swc.neu.edu.cn; scc@cse.ust.hk; j.kramer@imperial.ac.uk</t>
  </si>
  <si>
    <t>National Science Foundation of China [61932021, 62141210]; Hong Kong Research Grant Council/General Research Fund [16205722]; Hong Kong Research Grant Council/Research Impact Fund [R5034-18]; Fundamental Research Funds for the Central Universities [N2217005]; Open Fund of State Key Lab. for Novel Software Technology, Nanjing University [KFKT2021B01]</t>
  </si>
  <si>
    <t>National Science Foundation of China(National Natural Science Foundation of China (NSFC)); Hong Kong Research Grant Council/General Research Fund(Hong Kong Research Grants Council); Hong Kong Research Grant Council/Research Impact Fund; Fundamental Research Funds for the Central Universities(Fundamental Research Funds for the Central Universities); Open Fund of State Key Lab. for Novel Software Technology, Nanjing University</t>
  </si>
  <si>
    <t>We would like to thank the anonymous reviewers for their comments and suggestions. We would also like to thank DL library developers for analyzing our reported issues. This work is supported by the National Science Foundation of China (Grant No. 61932021, 62141210), the Hong Kong Research Grant Council/General Research Fund (Grant No. 16205722), the Hong Kong Research Grant Council/Research Impact Fund (Grant No. R5034-18), the Fundamental Research Funds for the Central Universities (Grant No. N2217005), and Open Fund of State Key Lab. for Novel Software Technology, Nanjing University (KFKT2021B01).</t>
  </si>
  <si>
    <t>10.1109/ASE56229.2023.00089</t>
  </si>
  <si>
    <t>WOS:001103357200002</t>
  </si>
  <si>
    <t>Ma, RL; Wang, JY; Qi, Q; Yang, X; Sun, HF; Zhuang, ZR; Liao, JX</t>
  </si>
  <si>
    <t>Ma, Ruilong; Wang, Jingyu; Qi, Qi; Yang, Xiang; Sun, Haifeng; Zhuang, Zirui; Liao, Jianxin</t>
  </si>
  <si>
    <t>Poster: PipeLLM: Pipeline LLM Inference on Heterogeneous Devices with Sequence Slicing</t>
  </si>
  <si>
    <t>PROCEEDINGS OF THE 2023 ACM SIGCOMM 2023 CONFERENCE, SIGCOMM 2023</t>
  </si>
  <si>
    <t>ACM SIGCOMM Conference (SIGCOMM)</t>
  </si>
  <si>
    <t>SEP 10-14, 2023</t>
  </si>
  <si>
    <t>New York, NY</t>
  </si>
  <si>
    <t>Assoc Comp Machinery,ACM SIGCOMM,Natl Sci Fdn,SIG,Meta,Amazon,Google,Microsoft,Akamai,Cisco,Comcast,VMWare,Netflix,Hewlett Packard Enterprise</t>
  </si>
  <si>
    <t>LLM Inference Acceleration; Pipeline Inference; Model Deployment</t>
  </si>
  <si>
    <t>Large Language Models (LLMs) has fostered the creation of innovative requirements. Locally deployed LLMs for micro-enterprise mitigates potential issues such as privacy infringements and sluggish response. However, they are hampered by the limitations in computing capability and memory space of possessed devices. We introduce PipeLLM, which allocates the model across devices commensurate with their computing capabilities. It enables the parallel execution of layers with slicing input sequence along the token dimension. PipeLLM demonstrates the potential to accelerate LLM inference with heterogeneity devices, offering a solution for LLM deployment in micro-enterprise hardware environment.</t>
  </si>
  <si>
    <t>[Ma, Ruilong; Wang, Jingyu; Qi, Qi; Yang, Xiang; Sun, Haifeng; Zhuang, Zirui; Liao, Jianxin] Beijing Univ Posts &amp; Telecommun Beijing, Beijing, Peoples R China</t>
  </si>
  <si>
    <t>Beijing University of Posts &amp; Telecommunications</t>
  </si>
  <si>
    <t>Qi, Q (corresponding author), Beijing Univ Posts &amp; Telecommun Beijing, Beijing, Peoples R China.</t>
  </si>
  <si>
    <t>maruilong@bupt.edu.cn; wangjingyu@bupt.edu.cn; qiqi8266@bupt.edu.cn; yangxiang@bupt.edu.cn; hfsun@bupt.edu.cn; zhuangzirui@bupt.edu.cn; jxlbupt@gmail.com</t>
  </si>
  <si>
    <t>National Key R&amp;D Program of China [2020YFB1807800]; National Natural Science Foundation of China [62101064, 62201072, 62171057, 62071067, 62001054]; Ministry of Education and China Mobile Joint Fund [MCM20200202]; Beijing University of Posts and Telecommunications-China Mobile Research Institute Joint Innovation Center</t>
  </si>
  <si>
    <t>National Key R&amp;D Program of China; National Natural Science Foundation of China(National Natural Science Foundation of China (NSFC)); Ministry of Education and China Mobile Joint Fund; Beijing University of Posts and Telecommunications-China Mobile Research Institute Joint Innovation Center</t>
  </si>
  <si>
    <t>This work was supported in part by the National Key R&amp;D Program of China 2020YFB1807800, in part by the National Natural Science Foundation of China under Grants (62101064, 62201072, 62171057, 62071067, 62001054), in part by the Ministry of Education and China Mobile Joint Fund (MCM20200202), Beijing University of Posts and Telecommunications-China Mobile Research Institute Joint Innovation Center.</t>
  </si>
  <si>
    <t>979-8-4007-0236-5</t>
  </si>
  <si>
    <t>10.1145/3603269.3610856</t>
  </si>
  <si>
    <t>Computer Science, Theory &amp; Methods; Engineering, Electrical &amp; Electronic; Telecommunications</t>
  </si>
  <si>
    <t>BW2IK</t>
  </si>
  <si>
    <t>WOS:001116971100085</t>
  </si>
  <si>
    <t>Mani, SK; Zhou, YJ; Hsieh, K; Segarra, S; Eberl, T; Azulai, E; Frizler, I; Chandra, R; Kandula, S</t>
  </si>
  <si>
    <t>Mani, Sathiya Kumaran; Zhou, Yajie; Hsieh, Kevin; Segarra, Santiago; Eberl, Trevor; Azulai, Eliran; Frizler, Ido; Chandra, Ranveer; Kandula, Srikanth</t>
  </si>
  <si>
    <t>Enhancing Network Management Using Code Generated by Large Language Models</t>
  </si>
  <si>
    <t>PROCEEDINGS OF THE 22ND ACM WORKSHOP ON HOT TOPICS IN NETWORKS, HOTNETS 2023</t>
  </si>
  <si>
    <t>22nd ACM Workshop on Hot Topics in Networks (HotNets)</t>
  </si>
  <si>
    <t>NOV 28-29, 2023</t>
  </si>
  <si>
    <t>Cambridge, MA</t>
  </si>
  <si>
    <t>Assoc Comp Machinery,ACM SIGCOMM</t>
  </si>
  <si>
    <t>Network management; Large language model; Program synthesis; Natural language processing; Graph manipulation; Communication graphs; Network lifecycle management</t>
  </si>
  <si>
    <t>NATURAL-LANGUAGE</t>
  </si>
  <si>
    <t>Analyzing network topologies and communication graphs is essential in modern network management. However, the lack of a cohesive approach results in a steep learning curve, increased errors, and inefficiencies. In this paper, we present a novel approach that enables natural-language-based network management experiences, leveraging large language models (LLMs) to generate task-specific code from natural language queries. This method addresses the challenges of explainability, scalability, and privacy by allowing network operators to inspect the generated code, removing the need to share network data with LLMs, and focusing on application-specific requests combined with program synthesis techniques. We develop and evaluate a prototype system using benchmark applications, demonstrating high accuracy, cost-effectiveness, and potential for further improvements using complementary program synthesis techniques.</t>
  </si>
  <si>
    <t>[Mani, Sathiya Kumaran; Zhou, Yajie; Hsieh, Kevin; Segarra, Santiago; Eberl, Trevor; Azulai, Eliran; Frizler, Ido; Chandra, Ranveer; Kandula, Srikanth] Microsoft, Bangalore, Karnataka, India; [Zhou, Yajie] Univ Maryland, College Pk, MD 20742 USA; [Segarra, Santiago] Rice Univ, Houston, TX 77251 USA</t>
  </si>
  <si>
    <t>University System of Maryland; University of Maryland College Park; Rice University</t>
  </si>
  <si>
    <t>Mani, SK (corresponding author), Microsoft, Bangalore, Karnataka, India.</t>
  </si>
  <si>
    <t>979-8-4007-0415-4</t>
  </si>
  <si>
    <t>10.1145/3626111.3628183</t>
  </si>
  <si>
    <t>Computer Science, Information Systems; Telecommunications</t>
  </si>
  <si>
    <t>BW2TD</t>
  </si>
  <si>
    <t>WOS:001124843800026</t>
  </si>
  <si>
    <t>Neumann, M; Rauschenberger, M; Schön, EM</t>
  </si>
  <si>
    <t>Neumann, Michael; Rauschenberger, Maria; Schoen, Eva-Maria</t>
  </si>
  <si>
    <t>We Need To Talk About ChatGPT: The Future of AI and Higher Education</t>
  </si>
  <si>
    <t>2023 IEEE/ACM 5TH INTERNATIONAL WORKSHOP ON SOFTWARE ENGINEERING EDUCATION FOR THE NEXT GENERATION, SEENG</t>
  </si>
  <si>
    <t>IEEE/ACM 5th International Workshop on Software Engineering Education for the Next Generation (SEENG)</t>
  </si>
  <si>
    <t>MAY 16, 2023</t>
  </si>
  <si>
    <t>Melbourne, AUSTRALIA</t>
  </si>
  <si>
    <t>ChatGPT; GPT-3; large language model; higher education; AI influences; position paper</t>
  </si>
  <si>
    <t>On November 30th, 2022, OpenAI released the large language model ChatGPT, an extension of GPT-3. The AI chatbot provides real-time communication in response to users' requests. The quality of ChatGPT's natural speaking answers marks a major shift in how we will use AI-generated information in our day-to-day lives. For a software engineering student, the use cases for ChatGPT are manifold: assessment preparation, translation, and creation of specified source code, to name a few. It can even handle more complex aspects of scientific writing, such as summarizing literature and paraphrasing text. Hence, this position paper addresses the need for discussion of potential approaches for integrating ChatGPT into higher education. Therefore, we focus on articles that address the effects of ChatGPT on higher education in the areas of software engineering and scientific writing. As ChatGPT was only recently released, there have been no peer-reviewed articles on the subject. Thus, we performed a structured grey literature review using Google Scholar to identify preprints of primary studies. In total, five out of 55 preprints are used for our analysis. Furthermore, we held informal discussions and talks with other lecturers and researchers and took into account the authors' test results from using ChatGPT. We present five challenges and three opportunities for the higher education context that emerge from the release of ChatGPT. The main contribution of this paper is a proposal for how to integrate ChatGPT into higher education in four main areas.</t>
  </si>
  <si>
    <t>[Neumann, Michael] Univ Appl Sci &amp; Arts Hannover, Hannover, Germany; [Rauschenberger, Maria; Schoen, Eva-Maria] Univ Appl Sci Emden Leer, Emden, Germany</t>
  </si>
  <si>
    <t>Hochschule Hannover-University of Applied Sciences &amp; Arts</t>
  </si>
  <si>
    <t>Neumann, M (corresponding author), Univ Appl Sci &amp; Arts Hannover, Hannover, Germany.</t>
  </si>
  <si>
    <t>michael.neumann@hs-hannover.de; maria.rauschenberger@hs-emden-leer.de; eva-maria.schoen@hs-emden-leer.de</t>
  </si>
  <si>
    <t>979-8-3503-0186-1</t>
  </si>
  <si>
    <t>Computer Science, Artificial Intelligence; Computer Science, Software Engineering</t>
  </si>
  <si>
    <t>BV4UW</t>
  </si>
  <si>
    <t>WOS:001042092500006</t>
  </si>
  <si>
    <t>Ocampo, R; Andres, J; Schmidt, A; Pegram, C; Shave, J; Hill, C; Wright, B; Bown, O</t>
  </si>
  <si>
    <t>Rodriguez-Fernandez, N; Rebelo, SM; Johnson, C</t>
  </si>
  <si>
    <t>Ocampo, Rodolfo; Andres, Josh; Schmidt, Adrian; Pegram, Caroline; Shave, Justin; Hill, Charlton; Wright, Brendan; Bown, Oliver</t>
  </si>
  <si>
    <t>Using GPT-3 to Achieve Semantically Relevant Data Sonificiation for an Art Installation</t>
  </si>
  <si>
    <t>ARTIFICIAL INTELLIGENCE IN MUSIC, SOUND, ART AND DESIGN, EVOMUSART 2023</t>
  </si>
  <si>
    <t>Lecture Notes in Computer Science</t>
  </si>
  <si>
    <t>12th International Conference on Artificial Intelligence in Music, Sound, Art and Design (EvoMUSART) Held as Part of EvoStar Conference</t>
  </si>
  <si>
    <t>APR 12-14, 2023</t>
  </si>
  <si>
    <t>Brno, CZECH REPUBLIC</t>
  </si>
  <si>
    <t>data sonification; machine learning; generative music; generative AI; large language models; word emdeddings</t>
  </si>
  <si>
    <t>Large Language Models such as GPT-3 exhibit generative language capabilities with multiple potential applications in creative practice. In this paper, we present a method for data sonification that employs the GPT-3 model to create semantically relevant mappings between artificial intelligence-generated natural language descriptions of data, and human-generated descriptions of sounds. We implemented this method in a public art installation to generate a soundscape based on data from different systems. While common sonification approaches rely on arbitrary mappings between data values and sonic values, our approach explores the use of language models to achieve a mapping not via values but via meaning. We find our approach is a useful tool for musification practice and demonstrates a new application of generative language models in creative new media arts practice. We show how different prompts influence data to sound mappings, and highlight that matching the embeddings of texts of different lengths produces undesired behavior.</t>
  </si>
  <si>
    <t>[Ocampo, Rodolfo; Wright, Brendan; Bown, Oliver] Univ New South Wales, Kensington, NSW, Australia; [Andres, Josh; Schmidt, Adrian] Australian Natl Univ, Canberra, ACT, Australia; [Pegram, Caroline; Shave, Justin; Hill, Charlton; Wright, Brendan] Uncanny Valley, Canberra, ACT, Australia</t>
  </si>
  <si>
    <t>University of New South Wales Sydney; Australian National University</t>
  </si>
  <si>
    <t>Ocampo, R (corresponding author), Univ New South Wales, Kensington, NSW, Australia.</t>
  </si>
  <si>
    <t>r.ocampo_blanco@unsw.edu.au</t>
  </si>
  <si>
    <t>Australian Research Council [DP200101059]; Australian Research Council [DP200101059] Funding Source: Australian Research Council</t>
  </si>
  <si>
    <t>Australian Research Council(Australian Research Council); Australian Research Council(Australian Research Council)</t>
  </si>
  <si>
    <t>This research was made possible by a commission from the School of Cybernetics at the Australian National University for music studio Uncanny Valley (UV). The development of the novel concept for a semantically relevant sonification using Large Language Models is an original contribution from Rodolfo Ocampo, who also led the technical development of the system, in collaboration with members of the UV team. The artwork uses UV's MEMU generative music system, developed by Justin Shave and Brendan Wright. The design and development of the visual user interface were led by Adrian Schmidt and Josh Andres. Oliver Bown and Rodolfo Ocampo's research is supported by an Australian Research Council Discovery Project (DP200101059).</t>
  </si>
  <si>
    <t>SPRINGER INTERNATIONAL PUBLISHING AG</t>
  </si>
  <si>
    <t>CHAM</t>
  </si>
  <si>
    <t>GEWERBESTRASSE 11, CHAM, CH-6330, SWITZERLAND</t>
  </si>
  <si>
    <t>0302-9743</t>
  </si>
  <si>
    <t>1611-3349</t>
  </si>
  <si>
    <t>978-3-031-29955-1; 978-3-031-29956-8</t>
  </si>
  <si>
    <t>LECT NOTES COMPUT SC</t>
  </si>
  <si>
    <t>10.1007/978-3-031-29956-8_14</t>
  </si>
  <si>
    <t>Computer Science, Artificial Intelligence; Computer Science, Interdisciplinary Applications; Computer Science, Theory &amp; Methods</t>
  </si>
  <si>
    <t>BV1WI</t>
  </si>
  <si>
    <t>WOS:000999872400014</t>
  </si>
  <si>
    <t>Perkins, M</t>
  </si>
  <si>
    <t>Perkins, Mike</t>
  </si>
  <si>
    <t>Artificial Intelligence; Large Language Models; GPT-3; ChatGPT; plagiarism</t>
  </si>
  <si>
    <t>WRITING ASSISTANCE; PLAGIARISM; COULD</t>
  </si>
  <si>
    <t>This paper explores the academic integrity considerations of students' use of Artificial Intelligence (AI) tools using Large Language Models (LLMs) such as ChatGPT in formal assessments. We examine the evolution of these tools, and highlight the potential ways that LLMs can support in the education of students in digital writing and beyond, including the teaching of writing and composition, the possibilities of co-creation between humans and AI, supporting EFL learners, and improving Automated Writing Evaluations (AWE). We describe and demonstrate the potential that these tools have in creating original, coherent text that can avoid detection by existing technological methods of detection and trained academic staff alike, demonstrating a major academic integrity concern related to the use of these tools by students. Analysing the various issues related to academic integrity that LLMs raise for both Higher Education Institutions (HEIs) and students, we conclude that it is not the student use of any AI tools that defines whether plagiarism or a breach of academic integrity has occurred, but whether any use is made clear by the student. Deciding whether any particular use of LLMs by students can be defined as academic misconduct is determined by the academic integrity policies of any given HEI, which must be updated to consider how these tools will be used in future educational environments.</t>
  </si>
  <si>
    <t>[Perkins, Mike] British Univ, Hanoi, Vietnam</t>
  </si>
  <si>
    <t>Perkins, M (corresponding author), British Univ, Hanoi, Vietnam.</t>
  </si>
  <si>
    <t>mgperkins@gmail.com</t>
  </si>
  <si>
    <t>9E9CG</t>
  </si>
  <si>
    <t>WOS:000937075200011</t>
  </si>
  <si>
    <t>Pillutla, K; Liu, L; Thickstun, J; Welleck, S; Swayamdipta, S; Zellers, R; Oh, S; Choi, Y; Harchaoui, Z</t>
  </si>
  <si>
    <t>Pillutla, Krishna; Liu, Lang; Thickstun, John; Welleck, Sean; Swayamdipta, Swabha; Zellers, Rowan; Oh, Sewoong; Choi, Yejin; Harchaoui, Zaid</t>
  </si>
  <si>
    <t>MAUVE Scores for Generative Models: Theory and Practice</t>
  </si>
  <si>
    <t>JOURNAL OF MACHINE LEARNING RESEARCH</t>
  </si>
  <si>
    <t>Generative models; evaluation; divergence frontiers; neural text generation; large language models; f-divergences; statistical estimation</t>
  </si>
  <si>
    <t>DIVERGENCE ESTIMATION; MISSING MASS; INEQUALITIES</t>
  </si>
  <si>
    <t>Generative artificial intelligence has made significant strides, producing text indistinguishable from human prose and remarkably photorealistic images. Automatically measuring how close the generated data distribution is to the target distribution is central to diagnosing existing models and developing better ones. We present MAUVE, a family of comparison measures between pairs of distributions such as those encountered in the generative modeling of text or images. These scores are statistical summaries of divergence frontiers capturing two types of errors in generative modeling. We explore three approaches to statistically estimate these scores: vector quantization, non-parametric estimation, and classifier-based estimation. We provide statistical bounds for the vector quantization approach. Empirically, we find that the proposed scores paired with a range of f-divergences and statistical estimation methods can quantify the gaps between the distributions of human written text and those of modern neural language models by correlating with human judgments and identifying known properties of the generated texts. We demonstrate in the vision domain that MAUVE can identify known properties of generated images on par with or better than existing metrics. In conclusion, we present practical recommendations for using MAUVE effectively with language and image modalities.</t>
  </si>
  <si>
    <t>[Pillutla, Krishna; Welleck, Sean; Oh, Sewoong] Google Res, Mountain View, CA 94043 USA; [Liu, Lang; Harchaoui, Zaid] Univ Washington, Dept Stat, Seattle, WA USA; [Thickstun, John] Stanford Univ, Dept Comp Sci, Stanford, CA USA; [Welleck, Sean; Choi, Yejin] Allen Inst Artificial Intelligence, Seattle, WA USA; [Swayamdipta, Swabha] Univ Southern Calif, Viterbi Sch Engn, Los Angeles, CA USA; [Zellers, Rowan] OpenAI, San Francisco, CA USA; [Oh, Sewoong; Choi, Yejin] Univ Washington, Paul G Allen Sch Comp Sci Engn, Seattle, WA USA</t>
  </si>
  <si>
    <t>Google Incorporated; University of Washington; University of Washington Seattle; Stanford University; University of Southern California; OpenAI; University of Washington; University of Washington Seattle</t>
  </si>
  <si>
    <t>Pillutla, K (corresponding author), Google Res, Mountain View, CA 94043 USA.</t>
  </si>
  <si>
    <t>PILLUTLA@CS.WASHINGTON.EDU; LIU16@UW.EDU; JTHICKSTUN@STANFORD.EDU; WELLECKS@CS.WASHINGTON.EDU; SWABHAS@USC.EDU; ROWANZ@CS.WASHINGTON.EDU; SEWOONG@CS.WASHINGTON.EDU; YEJIN@CS.WASHINGTON.EDU; ZAID@UW.EDU</t>
  </si>
  <si>
    <t>NSF [DMS-2023166, DMS-2134012, CCF-2019844]; DARPA MCS program through NIWC Pacific [N66001-19-2-4031]; CIFAR Learning in Machines &amp; Brains program, a Qualcomm Innovation Fellowship</t>
  </si>
  <si>
    <t>NSF(National Science Foundation (NSF)); DARPA MCS program through NIWC Pacific; CIFAR Learning in Machines &amp; Brains program, a Qualcomm Innovation Fellowship</t>
  </si>
  <si>
    <t>Part of this work was done while Zaid Harchaoui was visiting the Simons Institute for the Theory of Computing, and while Krishna Pillutla, Lang Liu, John Thickstun, and Rowan Zellers were at the University of Washington. This work was supported by NSF DMS-2134012, NSF CCF-2019844, NSF DMS-2023166, the DARPA MCS program through NIWC Pacific (N66001-19-2-4031) , the CIFAR Learning in Machines &amp; Brains program, a Qualcomm Innovation Fellowship, and faculty research awards.</t>
  </si>
  <si>
    <t>MICROTOME PUBL</t>
  </si>
  <si>
    <t>BROOKLINE</t>
  </si>
  <si>
    <t>31 GIBBS ST, BROOKLINE, MA 02446 USA</t>
  </si>
  <si>
    <t>1532-4435</t>
  </si>
  <si>
    <t>J MACH LEARN RES</t>
  </si>
  <si>
    <t>J. Mach. Learn. Res.</t>
  </si>
  <si>
    <t>Automation &amp; Control Systems; Computer Science, Artificial Intelligence</t>
  </si>
  <si>
    <t>DD9V8</t>
  </si>
  <si>
    <t>WOS:001130219900001</t>
  </si>
  <si>
    <t>Qi, H; Dai, LY; Chen, WC; Jia, Z; Lu, XY</t>
  </si>
  <si>
    <t>Qi, Hao; Dai, Liuyao; Chen, Weicong; Jia, Zhen; Lu, Xiaoyi</t>
  </si>
  <si>
    <t>Performance Characterization of Large Language Models on High-Speed Interconnects</t>
  </si>
  <si>
    <t>2023 IEEE SYMPOSIUM ON HIGH-PERFORMANCE INTERCONNECTS, HOTI</t>
  </si>
  <si>
    <t>Symposium on High Performance Interconnects</t>
  </si>
  <si>
    <t>30th IEEE Annual Symposium on High-Performance Interconnects (HOTI)</t>
  </si>
  <si>
    <t>AUG 23-25, 2023</t>
  </si>
  <si>
    <t>ELECTR NETWORK</t>
  </si>
  <si>
    <t>IEEE,IEEE Comp Soc,TCMM,Cornelis Networks,Huawei,IBM,Arista,Nutanix,Algo Log,Lenovo</t>
  </si>
  <si>
    <t>Large language models; Characterization; Transformer; GPT; BERT; T5</t>
  </si>
  <si>
    <t>Large Language Models (LLMs) have recently gained significant popularity due to their ability to generate human-like text and perform a wide range of natural language processing tasks. Training these models usually requires a large amount of computational resources and is often done in a distributed manner. The use of high-speed interconnects can significantly influence the efficiency of distributed training. Therefore, there poses a need for systematic studies to explore the distributed training characteristics of these models on high-speed interconnects. This paper presents a comprehensive performance characterization of representative large language models: GPT, BERT, and T5. We evaluate their training performance in terms of iteration time, interconnect utilization, and scalability, over different high-speed interconnects and communication protocols, including TCP/IP, IPoIB, and RDMA. We observe that interconnects play a vital role in LLM training. Specifically, RDMA100 Gbps outperforms IPoIB-100 Gbps and TCP/IP-10 Gbps by an average of 2.51x and 4.79x regarding training iteration time, and scores the highest interconnect utilization (up to 60 Gbps) in both strong and weak scaling, compared to IPoIB with up to 20 Gbps and TCP/IP with up to 9 Gbps, leading to the shortest training time. We also observe that larger models tend to have higher requirements for communication bandwidth, especially for AllReduce during backward propagation, which can take up to 91.12% of training time. Through our evaluation, we envision opportunities to improve the communication time for better training performance of LLMs. We extensively explore and summarize the role communication plays in distributed LLM training.</t>
  </si>
  <si>
    <t>[Qi, Hao; Dai, Liuyao; Chen, Weicong; Lu, Xiaoyi] Univ Calif Merced, Merced, CA 95343 USA; [Jia, Zhen] Amazon Web Serv, Santa Clara, CA USA</t>
  </si>
  <si>
    <t>University of California System; University of California Merced; Amazon.com</t>
  </si>
  <si>
    <t>Lu, XY (corresponding author), Univ Calif Merced, Merced, CA 95343 USA.</t>
  </si>
  <si>
    <t>hqi6@ucmerced.edu; ldai8@ucmerced.edu; wchen97@ucmerced.edu; zhej@amazon.com; xiaoyi.lu@ucmerced.edu</t>
  </si>
  <si>
    <t>Qi, Hao/0009-0007-8795-5262</t>
  </si>
  <si>
    <t>Amazon Research Award</t>
  </si>
  <si>
    <t>We thank the anonymous reviewers for their valuable insights, thoughtful comments, and constructive feedback. Their expertise and thorough evaluation significantly contributed to the improvement of this work. This work was supported in part by an Amazon Research Award. Part of this research was conducted using Pinnacles (NSF MRI, #2019144) at the Cyberinfrastructure and Research Technologies (CIRT) at the University of California, Merced.</t>
  </si>
  <si>
    <t>1550-4794</t>
  </si>
  <si>
    <t>2332-5569</t>
  </si>
  <si>
    <t>979-8-3503-0475-6</t>
  </si>
  <si>
    <t>SYMP HI PER INT</t>
  </si>
  <si>
    <t>10.1109/HOTI59126.2023.00022</t>
  </si>
  <si>
    <t>Computer Science, Software Engineering; Engineering, Electrical &amp; Electronic</t>
  </si>
  <si>
    <t>BW0ED</t>
  </si>
  <si>
    <t>WOS:001094865000008</t>
  </si>
  <si>
    <t>Sakai, T</t>
  </si>
  <si>
    <t>Sakai, Tetsuya</t>
  </si>
  <si>
    <t>Evaluating Parrots and Sociopathic Liars (keynote)</t>
  </si>
  <si>
    <t>PROCEEDINGS OF THE 2023 ACM SIGIR INTERNATIONAL CONFERENCE ON THE THEORY OF INFORMATION RETRIEVAL, ICTIR 2023</t>
  </si>
  <si>
    <t>13th ACM SIGIR International Conference on the Theory of Information Retrieval (ICTIR)</t>
  </si>
  <si>
    <t>JUL 23, 2023</t>
  </si>
  <si>
    <t>auditing; conversation sampling; conversational search; chatbots; dialogue act; dialogue systems; evaluation; evaluation measures; fairness; large language models; nuggets; social impact; user simulation; worker exploitation</t>
  </si>
  <si>
    <t>This talk builds on my SWAN (Schematised Weighted Average Nugget) paper published in May 2023 [2], which discusses a generic framework for auditing a given textual conversational system. The framework assumes that conversation sessions have already been sampled through either human-in-the-loop experiments or user simulation, and is designed to handle task-oriented and non-task oriented conversations seamlessly. The arxiv paper also discussed a schema containing twenty (+1) criteria for scoring nuggets (i.e., factual statements and dialogue acts within each turn of the conversations) either manually or (semi)automatically. By parrots, I am referring to the stochastics parrots of Professor Emily M. Bender et al. [1], i.e., large language models. By sociopathic liars, I am referring to the same thing, as Professor Shannon Bowen of the University of South Carolina describes them as follows. Sociopathic liars are the most damaging types of liars because they lie on a routine basis without conscience and often without reason. Whereas pathetic liars lie to get along, and narcissistic liars prevaricate to cover their inaction, drama, or ineptitude, sociopaths lie simply because they feel like it. Lying is easy for them, and they lie with no conscience or remorse. I would like to primarily discuss how researchers might be able to prevent conversational systems from doing harm to users, to labellers, and to society, rather than how we might evaluate good things that the systems might bring just to privileged people. Furthermore, I would like to argue that ICTIR is a perfect place for such a discussion.</t>
  </si>
  <si>
    <t>[Sakai, Tetsuya] Waseda Univ, Tokyo, Japan</t>
  </si>
  <si>
    <t>Waseda University</t>
  </si>
  <si>
    <t>Sakai, T (corresponding author), Waseda Univ, Tokyo, Japan.</t>
  </si>
  <si>
    <t>tetsuyasakai@acm.org</t>
  </si>
  <si>
    <t>979-8-4007-0073-6</t>
  </si>
  <si>
    <t>10.1145/3578337.3605144</t>
  </si>
  <si>
    <t>BW2LU</t>
  </si>
  <si>
    <t>WOS:001118823000001</t>
  </si>
  <si>
    <t>Sallam, M; Salim, NA; Barakat, M; Al-Mahzoum, K; Al-Tammemi, AB; Malaeb, D; Hallit, R; Hallit, S</t>
  </si>
  <si>
    <t>Sallam, Malik; Salim, Nesreen A.; Barakat, Muna; Al-Mahzoum, Kholoud; Al-Tammemi, Ala'a B.; Malaeb, Diana; Hallit, Rabih; Hallit, Souheil</t>
  </si>
  <si>
    <t>artificial intelligence; machine learning; education; technology; healthcare; survey; opinion; knowledge; practices; KAP</t>
  </si>
  <si>
    <t>TECHNOLOGY ACCEPTANCE MODEL; MEDICAL-EDUCATION; PERCEIVED USEFULNESS; USER ACCEPTANCE; UNITED-STATES; HISTORY; EASE; TAM</t>
  </si>
  <si>
    <t>Background: ChatGPT is a conversational large language model that has the potential to revolutionize knowledge acquisition. However, the impact of this technology on the quality of education is still unknown considering the risks and concerns surrounding ChatGPT use. Therefore, it is necessary to assess the usability and acceptability of this promising tool. As an innovative technology, the intention to use ChatGPT can be studied in the context of the technology acceptance model (TAM).Objective: This study aimed to develop and validate a TAM-based survey instrument called TAME-ChatGPT (Technology Acceptance Model Edited to Assess ChatGPT Adoption) that could be employed to examine the successful integration and use of ChatGPT in health care education.Methods: The survey tool was created based on the TAM framework. It comprised 13 items for participants who heard of ChatGPT but did not use it and 23 items for participants who used ChatGPT. Using a convenient sampling approach, the survey link was circulated electronically among university students between February and March 2023. Exploratory factor analysis (EFA) was used to assess the construct validity of the survey instrument.Results: The final sample comprised 458 respondents, the majority among them undergraduate students (n=442, 96.5%). Only 109 (23.8%) respondents had heard of ChatGPT prior to participation and only 55 (11.3%) self-reported ChatGPT use before the study. EFA analysis on the attitude and usage scales showed significant Bartlett tests of sphericity scores (P&lt;.001) and adequate Kaiser-Meyer-Olkin measures (0.823 for the attitude scale and 0.702 for the usage scale), confirming the factorability of the correlation matrices. The EFA showed that 3 constructs explained a cumulative total of 69.3% variance in the attitude scale, and these subscales represented perceived risks, attitude to technology/social influence, and anxiety. For the ChatGPT usage scale,EFA showed that 4 constructs explained a cumulative total of 72% variance in the data and comprised the perceived usefulness, perceived risks, perceived ease of use, and behavior/cognitive factors. All the ChatGPT attitude and usage subscales showed good reliability with Cronbach alpha values &gt;.78 for all the deduced subscales.Conclusions: The TAME-ChatGPT demonstrated good reliability, validity, and usefulness in assessing health care students' attitudes toward ChatGPT. The findings highlighted the importance of considering risk perceptions, usefulness, ease of use, attitudes toward technology, and behavioral factors when adopting ChatGPT as a tool in health care education. This information can aid the stakeholders in creating strategies to support the optimal and ethical use of ChatGPT and to identify the potential challenges hindering its successful implementation. Future research is recommended to guide the effective adoption of ChatGPT in health care education.</t>
  </si>
  <si>
    <t>[Sallam, Malik; Al-Mahzoum, Kholoud; Hallit, Rabih; Hallit, Souheil] Univ Jordan, Sch Med, Dept Pathol Microbiol &amp; Forens Med, Amman, Jordan; [Sallam, Malik; Hallit, Souheil] Jordan Univ Hosp, Dept Clin Labs &amp; Forens Med, Amman, Jordan; [Salim, Nesreen A.] Univ Jordan, Sch Dent, Prosthodont Dept, Amman, Jordan; [Salim, Nesreen A.] Jordan Univ Hosp, Prosthodont Dept, Amman, Jordan; [Barakat, Muna] Appl Sci Private Univ, Fac Pharm, Dept Clin Pharm &amp; Therapeut, Amman, Jordan; [Barakat, Muna] Middle East Univ, MEU Res Unit, Amman, Jordan; [Al-Tammemi, Ala'a B.] Int Org Migrat, Migrat Hlth Div, United Nations Migrat Agcy, Amman, Jordan; [Malaeb, Diana] Gulf Med Univ, Coll Pharm, Ajman, U Arab Emirates; [Hallit, Rabih; Hallit, Souheil] Holy Spirit Univ Kaslik, Sch Med &amp; Med Sci, Jounieh, Lebanon; [Hallit, Rabih] Bellevue Med Ctr, Dept Infect Dis, Mansourieh, Lebanon; [Hallit, Rabih] Univ Hosp Ctr, Dept Infect Dis, Notre Dame Secours, Byblos, Lebanon; [Hallit, Souheil] Psychiat Hosp Cross, Res Dept, Jal Eddib, Lebanon; [Sallam, Malik] Univ Jordan, Sch Med, Dept Pathol Microbiol &amp; Forens Med, Queen Rania Al Abdullah St Aljubeiha, Amman 11942, Jordan</t>
  </si>
  <si>
    <t>University of Jordan; University of Jordan; University of Jordan; University of Jordan; Middle East University; International Organization for Migration; University of Jordan</t>
  </si>
  <si>
    <t>Sallam, M (corresponding author), Univ Jordan, Sch Med, Dept Pathol Microbiol &amp; Forens Med, Queen Rania Al Abdullah St Aljubeiha, Amman 11942, Jordan.</t>
  </si>
  <si>
    <t>malik.sallam@ju.edu.jo</t>
  </si>
  <si>
    <t>U6US9</t>
  </si>
  <si>
    <t>WOS:001086142700001</t>
  </si>
  <si>
    <t>Savelka, J; Agarwal, A; An, M; Bogart, C; Sakr, M</t>
  </si>
  <si>
    <t>Savelka, Jaromir; Agarwal, Arav; An, Marshall; Bogart, Chris; Sakr, Majd</t>
  </si>
  <si>
    <t>AI code generation; introductory and intermediate programming; Multiple-choice question answering; MCQ; coding exercises; generative pre-trained transformers; GPT; Python course; programming knowledge assessment; ChatGPT; Codex; GitHub Copilot; Alpha-Code</t>
  </si>
  <si>
    <t>This paper studies recent developments in large language models' (LLM) abilities to pass assessments in introductory and intermediate Python programming courses at the postsecondary level. The emergence of ChatGPT resulted in heated debates of its potential uses (e.g., exercise generation, code explanation) as well as misuses in programming classes (e.g., cheating). Recent studies show that while the technology performs surprisingly well on diverse sets of assessment instruments employed in typical programming classes the performance is usually not sufficient to pass the courses. The release of GPT-4 largely emphasized notable improvements in the capabilities related to handling assessments originally designed for human test-takers. This study is the necessary analysis in the context of this ongoing transition towards mature generative AI systems. Specifically, we report the performance of GPT-4, comparing it to the previous generations of GPT models, on three Python courses with assessments ranging from simple multiple-choice questions (no code involved) to complex programming projects with code bases distributed into multiple files (599 exercises overall). Additionally, we analyze the assessments that were not handled well by GPT-4 to understand the current limitations of the model, as well as its capabilities to leverage feedback provided by an auto-grader. We found that the GPT models evolved from completely failing the typical programming class' assessments (the original GPT-3) to confidently passing the courses with no human involvement (GPT-4). While we identified certain limitations in GPT-4's handling of MCQs and coding exercises, the rate of improvement across the recent generations of GPT models strongly suggests their potential to handle almost any type of assessment widely used in higher education programming courses. These findings could be leveraged by educators and institutions to adapt the design of programming assessments as well as to fuel the necessary discussions into how programming classes should be updated to reflect the recent technological developments. This study provides evidence that programming instructors need to prepare for a world in which there is an easy-to-use widely accessible technology that can be utilized by learners to collect passing scores, with no effort whatsoever, on what today counts as viable programming knowledge and skills assessments.</t>
  </si>
  <si>
    <t>[Savelka, Jaromir; Agarwal, Arav; An, Marshall; Bogart, Chris; Sakr, Majd] Carnegie Mellon Univ, Pittsburgh, PA 15213 USA</t>
  </si>
  <si>
    <t>Carnegie Mellon University</t>
  </si>
  <si>
    <t>Savelka, J (corresponding author), Carnegie Mellon Univ, Pittsburgh, PA 15213 USA.</t>
  </si>
  <si>
    <t>jsavelka@cs.cmu.edu; arava@andrew.cmu.edu; haokanga@andrew.cmu.edu; cbogart@andrew.cmu.edu; msakr@cs.cmu.edu</t>
  </si>
  <si>
    <t>WOS:001141973500006</t>
  </si>
  <si>
    <t>Seenivasan, L; Islam, M; Kannan, G; Ren, HL</t>
  </si>
  <si>
    <t>Greenspan, H; Madabhushi, A; Mousavi, P; Salcudean, S; Duncan, J; Syeda-Mahmood, T; Taylor, R</t>
  </si>
  <si>
    <t>Seenivasan, Lalithkumar; Islam, Mobarakol; Kannan, Gokul; Ren, Hongliang</t>
  </si>
  <si>
    <t>SurgicalGPT: End-to-End Language-Vision GPT for Visual Question Answering in Surgery</t>
  </si>
  <si>
    <t>MEDICAL IMAGE COMPUTING AND COMPUTER ASSISTED INTERVENTION, MICCAI 2023, PT IX</t>
  </si>
  <si>
    <t>26th International Conference on Medical Image Computing and Computer-Assisted Intervention (MICCAI)</t>
  </si>
  <si>
    <t>OCT 08-12, 2023</t>
  </si>
  <si>
    <t>SIMULATION</t>
  </si>
  <si>
    <t>Advances in GPT-based large language models (LLMs) are revolutionizing natural language processing, exponentially increasing its use across various domains. Incorporating uni-directional attention, these autoregressive LLMs can generate long and coherent paragraphs. However, for visual question answering (VQA) tasks that require both vision and language processing, models with bi-directional attention or models employing fusion techniques are often employed to capture the context of multiple modalities all at once. As GPT does not natively process vision tokens, to exploit the advancements in GPT models for VQA in robotic surgery, we design an end-to-end trainable Language-Vision GPT (LV-GPT) model that expands the GPT2 model to include vision input (image). The proposed LV-GPT incorporates a feature extractor (vision tokenizer) and vision token embedding (token type and pose). Given the limitations of unidirectional attention in GPT models and their ability to generate coherent long paragraphs, we carefully sequence the word tokens before vision tokens, mimicking the human thought process of understanding the question to infer an answer from an image. Quantitatively, we prove that the LV-GPT model outperforms other state-ofthe-art VQA models on two publically available surgical-VQA datasets (based on endoscopic vision challenge robotic scene segmentation 2018 and CholecTriplet2021) and on our newly annotated dataset (based on the holistic surgical scene dataset). We further annotate all three datasets to include question-type annotations to allow sub-type analysis. Furthermore, we extensively study and present the effects of token sequencing, token type and pose embedding for vision tokens in the LV-GPT model.</t>
  </si>
  <si>
    <t>[Seenivasan, Lalithkumar; Ren, Hongliang] Natl Univ Singapore, Dept Biomed Engn, Singapore, Singapore; [Islam, Mobarakol] UCL, WEISS, London, England; [Kannan, Gokul] Natl Inst Technol, Dept Prod Engn, Tiruchirappalli, India; [Ren, Hongliang] Chinese Univ Hong Kong, Dept Elect Engn, Shatin, Hong Kong, Peoples R China; [Ren, Hongliang] Chinese Univ Hong Kong, Shun Hing Inst Adv Engn, Shatin, Hong Kong, Peoples R China</t>
  </si>
  <si>
    <t>National University of Singapore; University of London; University College London; National Institute of Technology (NIT System); National Institute of Technology Tiruchirappalli; Chinese University of Hong Kong; Chinese University of Hong Kong</t>
  </si>
  <si>
    <t>Ren, HL (corresponding author), Natl Univ Singapore, Dept Biomed Engn, Singapore, Singapore.;Ren, HL (corresponding author), Chinese Univ Hong Kong, Dept Elect Engn, Shatin, Hong Kong, Peoples R China.;Ren, HL (corresponding author), Chinese Univ Hong Kong, Shun Hing Inst Adv Engn, Shatin, Hong Kong, Peoples R China.</t>
  </si>
  <si>
    <t>hlren@ee.cuhk.edu.hk</t>
  </si>
  <si>
    <t>; Ren, Hongliang/N-9194-2017</t>
  </si>
  <si>
    <t>Hong Kong Research Grants Council (RGC) Collaborative Research Fund [CRF C4026-21GF, CRF C4063-18G]; Shun Hing Institute of Advanced Engineering at the Chinese University of Hong Kong [BME-p1-21/8115064]; EPSRC [EP/W00805X/1]</t>
  </si>
  <si>
    <t>Hong Kong Research Grants Council (RGC) Collaborative Research Fund; Shun Hing Institute of Advanced Engineering at the Chinese University of Hong Kong; EPSRC(UK Research &amp; Innovation (UKRI)Engineering &amp; Physical Sciences Research Council (EPSRC))</t>
  </si>
  <si>
    <t>This work was supported by Hong Kong Research Grants Council (RGC) Collaborative Research Fund (CRF C4026-21GF and CRF C4063-18G) and Shun Hing Institute of Advanced Engineering (BME-p1-21/8115064) at the Chinese University of Hong Kong. M. Islam was funded by EPSRC grant [EP/W00805X/1].</t>
  </si>
  <si>
    <t>978-3-031-43995-7; 978-3-031-43996-4</t>
  </si>
  <si>
    <t>10.1007/978-3-031-43996-4_27</t>
  </si>
  <si>
    <t>Computer Science, Artificial Intelligence; Computer Science, Theory &amp; Methods; Engineering, Biomedical</t>
  </si>
  <si>
    <t>BW1RN</t>
  </si>
  <si>
    <t>WOS:001109638800027</t>
  </si>
  <si>
    <t>Shimizu, I; Kasai, H; Shikino, K; Araki, N; Takahashi, Z; Onodera, M; Kimura, Y; Tsukamoto, T; Yamauchi, K; Asahina, M; Ito, S; Kawakami, E</t>
  </si>
  <si>
    <t>Shimizu, Ikuo; Kasai, Hajime; Shikino, Kiyoshi; Araki, Nobuyuki; Takahashi, Zaiya; Onodera, Misaki; Kimura, Yasuhiko; Tsukamoto, Tomoko; Yamauchi, Kazuyo; Asahina, Mayumi; Ito, Shoichi; Kawakami, Eiryo</t>
  </si>
  <si>
    <t>Developing Medical Education Curriculum Reform Strategies to Address the Impact of Generative AI: Qualitative Study</t>
  </si>
  <si>
    <t>artificial intelligence; curriculum reform; generative artificial intelligence; large language models; medical education; qualitative; analysis; strengths-weaknesses-opportunities-threats (SWOT) framework</t>
  </si>
  <si>
    <t>FACULTY-DEVELOPMENT; VIRTUAL PATIENTS; TOOL</t>
  </si>
  <si>
    <t>Background: Generative artificial intelligence (GAI), represented by large language models, have the potential to transform health care and medical education. In particular, GAI's impact on higher education has the potential to change students' learning experience as well as faculty's teaching. However, concerns have been raised about ethical consideration and decreased reliability of the existing examinations. Furthermore, in medical education, curriculum reform is required to adapt to the revolutionary changes brought about by the integration of GAI into medical practice and research. Objective: This study analyzes the impact of GAI on medical education curricula and explores strategies for adaptation. Methods: The study was conducted in the context of faculty development at a medical school in Japan. A workshop involving faculty and students was organized, and participants were divided into groups to address two research questions: (1) How does GAI affect undergraduate medical education curricula? and (2) How should medical school curricula be reformed to address the impact of GAI? The strength, weakness, opportunity, and threat (SWOT) framework was used, and cross-SWOT matrix analysis was used to devise strategies. Further, 4 researchers conducted content analysis on the data generated during the workshop discussions. Results: The data were collected from 8 groups comprising 55 participants. Further, 5 themes about the impact of GAI on medical education curricula emerged: improvement of teaching and learning, improved access to information, inhibition of existing learning processes, problems in GAI, and changes in physicians' professionality. Positive impacts included enhanced teaching and learning efficiency and improved access to information, whereas negative impacts included concerns about reduced independent thinking and the adaptability of existing assessment methods. Further, GAI was perceived to change the nature of physicians' expertise. Three themes emerged from the cross-SWOT analysis for curriculum reform: (1) learning about GAI, (2) learning with GAI, and (3) learning aside from GAI. Participants recommended incorporating GAI literacy, ethical considerations, and compliance into the curriculum. Learning with GAI involved improving learning efficiency, supporting information gathering and dissemination, and facilitating patient involvement. Learning aside from GAI emphasized maintaining GAI-free learning processes, fostering higher cognitive domains of learning, and introducing more communication exercises. Conclusions: This study highlights the profound impact of GAI on medical education curricula and provides insights into curriculum reform strategies. Participants recognized the need for GAI literacy, ethical education, and adaptive learning. Further, GAI was recognized as a tool that can enhance efficiency and involve patients in education. The study also suggests that medical education should focus on competencies that GAI hardly replaces, such as clinical experience and communication. Notably, involving both faculty and students in curriculum reform discussions fosters a sense of ownership and ensures broader perspectives are encompassed.</t>
  </si>
  <si>
    <t>[Shimizu, Ikuo; Kasai, Hajime; Araki, Nobuyuki; Takahashi, Zaiya; Onodera, Misaki; Tsukamoto, Tomoko; Ito, Shoichi] Chiba Univ, Grad Sch Med, Dept Med Educ, 1-8-1 Inohana, Chiba 2608672, Japan; [Shikino, Kiyoshi; Kimura, Yasuhiko; Yamauchi, Kazuyo; Asahina, Mayumi; Ito, Shoichi] Chiba Univ Hosp, Hlth Profess Dev Ctr, Chiba, Japan; [Shikino, Kiyoshi; Yamauchi, Kazuyo] Chiba Univ, Grad Sch Med, Dept Community Oriented Med Educ, Chiba, Japan; [Kawakami, Eiryo] Chiba Univ, Grad Sch Med, Dept Artificial Intelligence Med, Chiba, Japan</t>
  </si>
  <si>
    <t>Chiba University; Chiba University; Chiba University; Chiba University</t>
  </si>
  <si>
    <t>Shimizu, I (corresponding author), Chiba Univ, Grad Sch Med, Dept Med Educ, 1-8-1 Inohana, Chiba 2608672, Japan.</t>
  </si>
  <si>
    <t>qingshuiyufu@gmail.com</t>
  </si>
  <si>
    <t>e53466</t>
  </si>
  <si>
    <t>10.2196/53466</t>
  </si>
  <si>
    <t>Z9BQ6</t>
  </si>
  <si>
    <t>WOS:001114957800002</t>
  </si>
  <si>
    <t>Solopova, V; Rostom, E; Cremer, F; Gruszczynski, A; Witte, S; Zhang, CM; López, FR; Plössl, L; Hofmann, F; Romeike, R; Glaeser-Zikuda, M; Benzmüller, C; Landgraf, T</t>
  </si>
  <si>
    <t>Seipel, D; Steen, A</t>
  </si>
  <si>
    <t>Solopova, Veronika; Rostom, Eiad; Cremer, Fritz; Gruszczynski, Adrian; Witte, Sascha; Zhang, Chengming; Lopez, Fernando Ramos; Ploessl, Lea; Hofmann, Florian; Romeike, Ralf; Glaeser-Zikuda, Michaela; Benzmueller, Christoph; Landgraf, Tim</t>
  </si>
  <si>
    <t>PapagAI: Automated Feedback for Reflective Essays</t>
  </si>
  <si>
    <t>ADVANCES IN ARTIFICIAL INTELLIGENCE, KI 2023</t>
  </si>
  <si>
    <t>Lecture Notes in Artificial Intelligence</t>
  </si>
  <si>
    <t>46th German Conference on Artificial Intelligence (KI)</t>
  </si>
  <si>
    <t>SEP 26-29, 2023</t>
  </si>
  <si>
    <t>Berlin, GERMANY</t>
  </si>
  <si>
    <t>German Informat Soc, German Sect Artificial Intelligence,Springer</t>
  </si>
  <si>
    <t>Written reflective practice is a regular exercise pre-service teachers perform during their higher education. Usually, their lecturers are expected to provide individual feedback, which can be a challenging task to perform on a regular basis. In this paper, we present the first open-source automated feedback tool based on didactic theory and implemented as a hybrid AI system. We describe the components and discuss the advantages and disadvantages of our system compared to the state-of-art generative large language models. The main objective of our work is to enable better learning outcomes for students and to complement the teaching activities of lecturers.</t>
  </si>
  <si>
    <t>[Solopova, Veronika; Rostom, Eiad; Cremer, Fritz; Gruszczynski, Adrian; Witte, Sascha; Lopez, Fernando Ramos; Romeike, Ralf; Landgraf, Tim] Free Univ Berlin, Berlin, Germany; [Zhang, Chengming; Ploessl, Lea; Hofmann, Florian; Glaeser-Zikuda, Michaela; Benzmueller, Christoph] Friedrich Alexander Univ Erlangen Nurnberg, Erlangen, Germany; [Benzmueller, Christoph] Otto Friedrich Univ Bamberg, Bamberg, Germany</t>
  </si>
  <si>
    <t>Free University of Berlin; University of Erlangen Nuremberg; Otto Friedrich University Bamberg</t>
  </si>
  <si>
    <t>Solopova, V (corresponding author), Free Univ Berlin, Berlin, Germany.</t>
  </si>
  <si>
    <t>veronika.solopova@fu-berlin.de</t>
  </si>
  <si>
    <t>2945-9133</t>
  </si>
  <si>
    <t>978-3-031-42607-0; 978-3-031-42608-7</t>
  </si>
  <si>
    <t>LECT NOTES ARTIF INT</t>
  </si>
  <si>
    <t>BW4UF</t>
  </si>
  <si>
    <t>WOS:001155305700016</t>
  </si>
  <si>
    <t>Su, YM; Wan, CC; Sethi, U; Lu, S; Musuvathi, M; Nath, S</t>
  </si>
  <si>
    <t>Su, Yiming; Wan, Chengcheng; Sethi, Utsav; Lu, Shan; Musuvathi, Madan; Nath, Suman</t>
  </si>
  <si>
    <t>HotGPT: How to Make Software Documentation More Useful with a Large Language Model?</t>
  </si>
  <si>
    <t>PROCEEDINGS OF THE 19TH WORKSHOP ON HOT TOPICS IN OPERATING SYSTEMS, HOTOS 2023</t>
  </si>
  <si>
    <t>19th ACM Workshop on Hot Topics in Operating Systems (HotOS)</t>
  </si>
  <si>
    <t>JUN 22-24, 2023</t>
  </si>
  <si>
    <t>Brown Univ, Providence, RI</t>
  </si>
  <si>
    <t>Assoc Comp Machinery,ACM SIGOPS,Google,VMware</t>
  </si>
  <si>
    <t>Brown Univ</t>
  </si>
  <si>
    <t>Software documentation; large language model</t>
  </si>
  <si>
    <t>It is well known that valuable information is contained in the natural language components of software systems, like comments and manual, and such information can be used to improve system performance and reliability. Past research has attempted to extract such information through task-specific machine learning models and tool chains. Here, we investigate a general, one-model-fit-all solution through a state-of-the-art large language model (e.g., the GPT series). Our investigation covers three representative tasks: extracting locking rules from comments, synthesizing exception predicates from comments, and identifying performance-related configurations; it reveals challenges and opportunities in applying large language models to system maintenance tasks.</t>
  </si>
  <si>
    <t>yimingsu@uchicago.edu; cwan@uchicago.edu; usethi@uchicago.edu; shanlu@uchicago.edu; madanm@microsoft.com; Suman.Nath@microsoft.com</t>
  </si>
  <si>
    <t>NSF [CNS1764039, CNS1956180, CCF2119184]; CERES Center for Unstoppable Computing; Marian and Stuart Rice Research Award; Microsoft research dissertation grant; University of Chicago College Research Fellow Grant</t>
  </si>
  <si>
    <t>NSF(National Science Foundation (NSF)); CERES Center for Unstoppable Computing; Marian and Stuart Rice Research Award; Microsoft research dissertation grant(Microsoft); University of Chicago College Research Fellow Grant</t>
  </si>
  <si>
    <t>We thank the reviewers for their insightful feedback. The authors' research is supported by NSF (CNS1764039, CNS1956180, CCF2119184), the CERES Center for Unstoppable Computing, the Marian and Stuart Rice Research Award, Microsoft research dissertation grant, University of Chicago College Research Fellow Grant, and research gifts from Facebook.</t>
  </si>
  <si>
    <t>979-8-4007-0195-5</t>
  </si>
  <si>
    <t>10.1145/3593856.3595910</t>
  </si>
  <si>
    <t>Computer Science, Hardware &amp; Architecture; Computer Science, Software Engineering; Computer Science, Theory &amp; Methods</t>
  </si>
  <si>
    <t>BW2NB</t>
  </si>
  <si>
    <t>WOS:001119203300011</t>
  </si>
  <si>
    <t>Subrtová, A; Lukác, M; Cech, J; Futschik, D; Shechtman, E; Sykora, D</t>
  </si>
  <si>
    <t>Spencer, SN</t>
  </si>
  <si>
    <t>Subrtova, Adela; Lukac, Michal; Cech, Jan; Futschik, David; Shechtman, Eli; Sykora, Daniel</t>
  </si>
  <si>
    <t>Diffusion Image Analogies</t>
  </si>
  <si>
    <t>PROCEEDINGS OF SIGGRAPH 2023 CONFERENCE PAPERS, SIGGRAPH 2023</t>
  </si>
  <si>
    <t>ACM SIGGRAPH Conference</t>
  </si>
  <si>
    <t>AUG 06-10, 2023</t>
  </si>
  <si>
    <t>Los Angeles, CA</t>
  </si>
  <si>
    <t>ACM SIGGRAPH</t>
  </si>
  <si>
    <t>image analogies; diffusion networks; large language models</t>
  </si>
  <si>
    <t>STYLE TRANSFER</t>
  </si>
  <si>
    <t>In this paper we present Diffusion Image Analogies-an example-based image editing approach that builds upon the concept of image analogies originally introduced by Hertzmann et al. [2001]. Given a pair of images that specify the intent of a specific transition, our approach enables to modify the target image in a way that it follows the analogy specified by this exemplar. In contrast to previous techniques which were able to capture analogies mostly on the low-level textural details our approach handles also changes in higher level semantics including transition of object domain, change of facial expression, or stylization. Although similar modifications can be achieved using diffusion models guided by text prompts [Rombach et al. 2022] our approach can operate solely in the domain of images without the need to specify the user's intent using textual form. We demonstrate power of our approach in various challenging scenarios where the specified analogy would be difficult to transfer using previous techniques.</t>
  </si>
  <si>
    <t>[Subrtova, Adela; Cech, Jan; Futschik, David; Sykora, Daniel] Czech Tech Univ, FEE, Prague, Czech Republic; [Lukac, Michal] Adobe Res, San Jose, CA USA; [Shechtman, Eli] Adobe Res, Seattle, WA USA</t>
  </si>
  <si>
    <t>Czech Technical University Prague; Adobe Systems Inc.; Adobe Systems Inc.</t>
  </si>
  <si>
    <t>Subrtová, A (corresponding author), Czech Tech Univ, FEE, Prague, Czech Republic.</t>
  </si>
  <si>
    <t>subrtade@fel.cvut.cz; lukac@adobe.com; cechj@fel.cvut.cz; futscdav@fel.cvut.cz; elishe@adobe.com; sykorad@fel.cvut.cz</t>
  </si>
  <si>
    <t>Research Center for Informatics [CZ.02.1.01/0.0/0.0/16 019/0000765]; Grant Agency of the Czech Technical University in Prague [SGS22/173/OHK3/3T/13, SGS23/173/OHK3/3T/13]; Adobe</t>
  </si>
  <si>
    <t>Research Center for Informatics; Grant Agency of the Czech Technical University in Prague; Adobe</t>
  </si>
  <si>
    <t>We thank the anonymous reviewers for their valuable feedback. This research was supported by Adobe, the Research Center for Informatics, grant No. CZ.02.1.01/0.0/0.0/16 019/0000765, and by the Grant Agency of the Czech Technical University in Prague, grants No. SGS22/173/OHK3/3T/13 and No. SGS23/173/OHK3/3T/13.</t>
  </si>
  <si>
    <t>979-8-4007-0159-7</t>
  </si>
  <si>
    <t>10.1145/3588432.3591558</t>
  </si>
  <si>
    <t>BW2JS</t>
  </si>
  <si>
    <t>WOS:001117690500079</t>
  </si>
  <si>
    <t>Tammet, T; Järv, P; Verrev, M; Draheim, D</t>
  </si>
  <si>
    <t>Pientka, B; Tinelli, C</t>
  </si>
  <si>
    <t>Tammet, Tanel; Jarv, Priit; Verrev, Martin; Draheim, Dirk</t>
  </si>
  <si>
    <t>An Experimental Pipeline for Automated Reasoning in Natural Language (Short Paper)</t>
  </si>
  <si>
    <t>AUTOMATED DEDUCTION, CADE 29</t>
  </si>
  <si>
    <t>29th International Conference on Automated Deduction (CADE)</t>
  </si>
  <si>
    <t>JUL 01-04, 2023</t>
  </si>
  <si>
    <t>Sapienza University of Rome, Faculty of Civil and Industrial Engineering, Rome, ITALY</t>
  </si>
  <si>
    <t>ACM SIGLOG,Amazon Web Serv,Springer</t>
  </si>
  <si>
    <t>Sapienza University of Rome, Faculty of Civil and Industrial Engineering</t>
  </si>
  <si>
    <t>We describe an experimental implementation of a logic-based end-to-end pipeline of performing inference and giving explained answers to questions posed in natural language. The main components of the pipeline are semantic parsing, integration with large knowledge bases, automated reasoning using extended first order logic, and finally the translation of proofs back to natural language. While able to answer relatively simple questions on its own, the implementation is targeting research into building hybrid neurosymbolic systems for gaining trustworthiness and explainability. The end goal is to combine machine learning and large language models with the components of the implementation and to use the automated reasoner as an interface between natural language and external tools like database systems and scientific calculations.</t>
  </si>
  <si>
    <t>[Tammet, Tanel; Jarv, Priit; Verrev, Martin] Tallinn Univ Technol, Appl Artificial Intelligence Grp, Tallinn, Estonia; [Draheim, Dirk] Tallinn Univ Technol, Informat Syst Grp, Tallinn, Estonia</t>
  </si>
  <si>
    <t>Tallinn University of Technology; Tallinn University of Technology</t>
  </si>
  <si>
    <t>Tammet, T (corresponding author), Tallinn Univ Technol, Appl Artificial Intelligence Grp, Tallinn, Estonia.</t>
  </si>
  <si>
    <t>tanel.tammet@taltech.ee; priit.jarv1@taltech.ee; martin.verrev@taltech.ee; dirk.draheim@taltech.ee</t>
  </si>
  <si>
    <t>978-3-031-38499-8; 978-3-031-38498-1</t>
  </si>
  <si>
    <t>10.1007/978-3-031-38499-8_29</t>
  </si>
  <si>
    <t>Computer Science, Artificial Intelligence; Computer Science, Theory &amp; Methods; Mathematics, Applied</t>
  </si>
  <si>
    <t>BW4WX</t>
  </si>
  <si>
    <t>WOS:001156342400027</t>
  </si>
  <si>
    <t>Tan, CW; Lim, KY</t>
  </si>
  <si>
    <t>Tan, Chi Wee; Lim, Khai Yin</t>
  </si>
  <si>
    <t>2023 ASIA PACIFIC SIGNAL AND INFORMATION PROCESSING ASSOCIATION ANNUAL SUMMIT AND CONFERENCE, APSIPA ASC</t>
  </si>
  <si>
    <t>Asia-Pacific Signal and Information Processing Association Annual Summit and Conference</t>
  </si>
  <si>
    <t>Asia-Pacific-Signal-and-Information-Processing-Association Annual Summit and Conference (APSIPA ASC)</t>
  </si>
  <si>
    <t>OCT 31-NOV 03, 2023</t>
  </si>
  <si>
    <t>Asia Pacific Signal &amp; Informat Proc Assoc</t>
  </si>
  <si>
    <t>Artificial intelligence (AI) has been extensively studied in science, technology, engineering, and mathematics (STEM), but there is a disparity between AI-generated and human-written scientific content. To bridge this gap, a prototype utilizing Natural Language Processing (NLP) techniques and a large language model (LLM) generates assessment questions and evaluates student answers. This formative assessment system offers a user-friendly and scalable solution for higher education educators. It tailors' assessments to individual students, accommodates varying capabilities, and facilitates performance analysis. Through rigorous evaluation and benchmarking, the prototype ensures alignment with High-Level Performance (HLP) standards. This AI-assisted formative assessment system enhances efficiency and efficacy by providing accurate and timely feedback. It has the potential to significantly improve STEM education through scalable and personalized formative assessment experiences. AI and NLP enable educators to access tailored assessment options, enhancing learning outcomes and the overall educational experience.</t>
  </si>
  <si>
    <t>[Tan, Chi Wee] Tunku Abdul Rahman Univ Management &amp; Technol, Fac Comp &amp; Informat Technol, Kuala Lumpur 53300, Malaysia; [Lim, Khai Yin] Tunku Abdul Rahman Univ Management &amp; Technol, Dept Comp &amp; Informat Technol, George Town, Malaysia</t>
  </si>
  <si>
    <t>Tan, CW (corresponding author), Tunku Abdul Rahman Univ Management &amp; Technol, Fac Comp &amp; Informat Technol, Kuala Lumpur 53300, Malaysia.</t>
  </si>
  <si>
    <t>chiwee@tarc.edu.my; limky@tarc.edu.my</t>
  </si>
  <si>
    <t>345 E 47TH ST, NEW YORK, NY 10017 USA</t>
  </si>
  <si>
    <t>2309-9402</t>
  </si>
  <si>
    <t>979-8-3503-0067-3</t>
  </si>
  <si>
    <t>ASIAPAC SIGN INFO PR</t>
  </si>
  <si>
    <t>BW1OB</t>
  </si>
  <si>
    <t>WOS:001108741800213</t>
  </si>
  <si>
    <t>Ülkü, A</t>
  </si>
  <si>
    <t>Ulku, Abdullah</t>
  </si>
  <si>
    <t>Artificial intelligence-based large language models and integrity of exams and assignments in higher education: the case of tourism courses</t>
  </si>
  <si>
    <t>TOURISM &amp; MANAGEMENT STUDIES</t>
  </si>
  <si>
    <t>Large Language Models (LLM); Artificial Intelligence; ChatGPT; Tourism Education; Exams; Integrity</t>
  </si>
  <si>
    <t>ONLINE</t>
  </si>
  <si>
    <t>There is an increasing concern regarding the potential misuse of ChatGPT-4 in compromising the integrity of examinations and assignments. This study aims to examine the capabilities of ChatGPT-4 in critical thinking abilities, whether it poses a threat to examinations and assignments in higher education, and create a discussion agenda on this issue. ChatGPT-4 was asked to generate, answer, and criticize questions in tourism marketing, tourism management, tourism economics, tourist guidance, and gastronomy. The answers were evaluated according to universal critical thinking standards. The findings obtained from this study showed that ChatGPT-4 had commendable competence in several critical thinking standards and could produce human-like texts. However, there are certain domains that might be improved to comply more effectively with the expectations and norms of academia. Educators were recommended to use comprehensive approaches that combine technological and educational techniques to address the issue of cheating enabled by tools, such as ChatGPT-4, during assessment and exam processes.</t>
  </si>
  <si>
    <t>[Ulku, Abdullah] Harran Univ, Sch Tourism &amp; Hotel Management, Dept Tourism Guidance, Sanliurfa, Turkiye</t>
  </si>
  <si>
    <t>Harran University</t>
  </si>
  <si>
    <t>Ülkü, A (corresponding author), Harran Univ, Sch Tourism &amp; Hotel Management, Dept Tourism Guidance, Sanliurfa, Turkiye.</t>
  </si>
  <si>
    <t>abdullahulku@harran.edu.tr</t>
  </si>
  <si>
    <t>Ulku, Abdullah/0000-0002-0937-2252</t>
  </si>
  <si>
    <t>ESCOLA SUPERIOR GESTAO, HOTELARIA &amp; TURISMO UNIV ALGARVE</t>
  </si>
  <si>
    <t>FARO</t>
  </si>
  <si>
    <t>CAMPUS PENHA, FARO, 8005-139, PORTUGAL</t>
  </si>
  <si>
    <t>2182-8458</t>
  </si>
  <si>
    <t>2182-8466</t>
  </si>
  <si>
    <t>TOUR MANAG STUD</t>
  </si>
  <si>
    <t>Tour. Manag. Stud.</t>
  </si>
  <si>
    <t>10.18089/tms.2023.190402</t>
  </si>
  <si>
    <t>Hospitality, Leisure, Sport &amp; Tourism</t>
  </si>
  <si>
    <t>Social Sciences - Other Topics</t>
  </si>
  <si>
    <t>Y9ZN8</t>
  </si>
  <si>
    <t>WOS:001108771500003</t>
  </si>
  <si>
    <t>Valadares, NR; Fernandes, ACG; Rodrigues, CHO; Guedes, LLM; Magalhaes, JR; Alves, RA; Junior, VCD; Azevedo, AM</t>
  </si>
  <si>
    <t>Valadares, Nermy Ribeiro; Fernandes, Ana Clara Goncalves; Rodrigues, Clovis Henrique Oliveira; Guedes, Lis Lorena Melucio; Magalhaes, Jailson Ramos; Alves, Rayane Aguiar; Junior, Valter Carvalho de Andrade; Azevedo, Alcinei Mistico</t>
  </si>
  <si>
    <t>Estimation of genetic parameters and selection gains for sweet potato using Bayesian inference with a priori information</t>
  </si>
  <si>
    <t>ACTA SCIENTIARUM-AGRONOMY</t>
  </si>
  <si>
    <t>Ipomoea batatas (L; ) Lam; genetical enhancement; bayes' theorem; biometry; experimental statistics</t>
  </si>
  <si>
    <t>CLONES; POPULATION; GENOTYPES; QUALITY; TRAITS; YIELD</t>
  </si>
  <si>
    <t>The selection of superior sweet potato genotypes using Bayesian inference is an important strategy for genetic improvement. Sweet potatoes are of social and economic importance, being the material for ethanol production. The estimation of variance components and genetic parameters using Bayesian inference is more accurate than that using the frequently used statistical methodologies. This is because the former allows for using a priori knowledge from previous research. Therefore, the present study estimated genetic parameters and selection gains, predicted genetic values, and selected sweet potato genotypes using a Bayesian approach with a priori information. Root shape, soil insect resistance, and root and shoot productivity of 24 sweet potato genotypes were measured. Heritability, genotypic variation coefficient, residual variation coefficient, relative variation index, and selection gains direct, indirect and simultaneous were estimated, and the data were analyzed using Bayesian inference. Data from 11 experiments were used to obtain a priori information. Bayesian inference was a useful tool for decision-making, and significant genetic gains could be achieved with the selection of the evaluated genotypes. Root shape, soil insect resistance, commercial root productivity, and total root productivity showed higher heritability values. Clones UFVJM06, UFVJM40, UFVJM54, UFVJM09, and CAMBRAIA can be used as parents in future breeding programs.</t>
  </si>
  <si>
    <t>[Valadares, Nermy Ribeiro] Inst Fed Norte Minas Gerais, Aracuai, MG, Brazil; [Fernandes, Ana Clara Goncalves; Rodrigues, Clovis Henrique Oliveira; Guedes, Lis Lorena Melucio; Magalhaes, Jailson Ramos; Alves, Rayane Aguiar; Azevedo, Alcinei Mistico] Univ Fed Minas Gerais, Inst Ciencias Agr, Ave Univ 1000, BR-39404547 Montes Claros, MG, Brazil; [Junior, Valter Carvalho de Andrade] Univ Fed Lavras, Lavras, MG, Brazil</t>
  </si>
  <si>
    <t>Instituto Federal do Norte de Minas Gerais (IFNMG); Universidade Federal de Minas Gerais; Universidade Federal de Lavras</t>
  </si>
  <si>
    <t>Azevedo, AM (corresponding author), Univ Fed Minas Gerais, Inst Ciencias Agr, Ave Univ 1000, BR-39404547 Montes Claros, MG, Brazil.</t>
  </si>
  <si>
    <t>alcineimistico@hotmail.com</t>
  </si>
  <si>
    <t>Andrade, Valter/HNS-4250-2023</t>
  </si>
  <si>
    <t>CAPES (Council for Improvement of Personnel in Higher Education) [001]; FAPEMIG (Minas Gerais State Research Support Foundation); CNPq (National Council for Scientific and Technological Development)</t>
  </si>
  <si>
    <t>CAPES (Council for Improvement of Personnel in Higher Education); FAPEMIG (Minas Gerais State Research Support Foundation)(Fundacao de Amparo a Pesquisa do Estado de Minas Gerais (FAPEMIG)); CNPq (National Council for Scientific and Technological Development)(Conselho Nacional de Desenvolvimento Cientifico e Tecnologico (CNPQ))</t>
  </si>
  <si>
    <t>Our thanks to CAPES (Council for Improvement of Personnel in Higher Education-Finance code 001), to FAPEMIG (Minas Gerais State Research Support Foundation) and CNPq (National Council for Scientific and Technological Development) for their support for this study.</t>
  </si>
  <si>
    <t>UNIV ESTADUAL MARINGA, PRO-REITORIA PESQUISA POS-GRADUACAO</t>
  </si>
  <si>
    <t>MARINGA</t>
  </si>
  <si>
    <t>AV. COLOMBO, 5790, DIVISAO DE DIVULGACAO CIENTIFICA, MARINGA, PR 87020-900, BRAZIL</t>
  </si>
  <si>
    <t>1679-9275</t>
  </si>
  <si>
    <t>1807-8621</t>
  </si>
  <si>
    <t>ACTA SCI-AGRON</t>
  </si>
  <si>
    <t>Acta Sci.-Agron.</t>
  </si>
  <si>
    <t>e56160</t>
  </si>
  <si>
    <t>10.4025/actasciagron.v45i1.56160</t>
  </si>
  <si>
    <t>Agronomy</t>
  </si>
  <si>
    <t>Agriculture</t>
  </si>
  <si>
    <t>5R9JR</t>
  </si>
  <si>
    <t>WOS:000874820200001</t>
  </si>
  <si>
    <t>Veras, M; Dyer, JO; Rooney, M; Silva, PGB; Rutherford, D; Kairy, D</t>
  </si>
  <si>
    <t>Veras, Mirella; Dyer, Joseph-Omer; Rooney, Morgan; Silva, Paulo Goberlanio Barros; Rutherford, Derek; Kairy, Dahlia</t>
  </si>
  <si>
    <t>Usability and Efficacy of Artificial Intelligence Chatbots (ChatGPT) for Health Sciences Students: Protocol for a Crossover Randomized Controlled Trial</t>
  </si>
  <si>
    <t>JMIR RESEARCH PROTOCOLS</t>
  </si>
  <si>
    <t>artificial intelligence; AI; health sciences; usability; learning outcomes; perceptions; OpenAI; ChatGPT; education; randomized controlled trial; RCT; crossover RCT</t>
  </si>
  <si>
    <t>Background: The integration of artificial intelligence (AI) into health sciences students' education holds significant importance. The rapid advancement of AI has opened new horizons in scientific writing and has the potential to reshape human-technology interactions. AI in education may impact critical thinking, leading to unintended consequences that need to be addressed. Understanding the implications of AI adoption in education is essential for ensuring its responsible and effective use, empowering health sciences students to navigate AI-driven technologies' evolving field with essential knowledge and skills.Objective: This study aims to provide details on the study protocol and the methods used to investigate the usability and efficacy of ChatGPT, a large language model. The primary focus is on assessing its role as a supplementary learning tool for improving learning processes and outcomes among undergraduate health sciences students, with a specific emphasis on chronic diseases.Methods: This single-blinded, crossover, randomized, controlled trial is part of a broader mixed methods study, and the primary emphasis of this paper is on the quantitative component of the overall research. A total of 50 students will be recruited for this study. The alternative hypothesis posits that there will be a significant difference in learning outcomes and technology usability between students using ChatGPT (group A) and those using standard web-based tools (group B) to access resources and complete assignments. Participants will be allocated to sequence AB or BA in a 1:1 ratio using computer-generated randomization. Both arms include students' participation in a writing assignment intervention, with a washout period of 21 days between interventions. The primary outcome is the measure of the technology usability and effectiveness of ChatGPT, whereas the secondary outcome is the measure of students' perceptions and experiences with ChatGPT as a learning tool. Outcome data will be collected up to 24 hours after the interventions.Results: This study aims to understand the potential benefits and challenges of incorporating AI as an educational tool, particularly in the context of student learning. The findings are expected to identify critical areas that need attention and help educators develop a deeper understanding of AI's impact on the educational field. By exploring the differences in the usability and efficacy between ChatGPT and conventional web-based tools, this study seeks to inform educators and students on the responsible integration of AI into academic settings, with a specific focus on health sciences education.Conclusions: By exploring the usability and efficacy of ChatGPT compared with conventional web-based tools, this study seeks to inform educators and students about the responsible integration of AI into academic settings.</t>
  </si>
  <si>
    <t>[Veras, Mirella] Carleton Univ, Hlth Sci, 1125 Colonel By Dr, Ottawa, ON K1S 5B6, Canada; [Veras, Mirella; Kairy, Dahlia] Ctr Interdisciplinary Res Rehabil Greater Montreal, Montreal, PQ, Canada; [Dyer, Joseph-Omer; Kairy, Dahlia] Univ Montreal, Ecole Readaptat, Fac Med, Montreal, PQ, Canada; [Dyer, Joseph-Omer] Univ Montreal, Fac Med, Grp Interdisciplinaire Rech Cognit &amp; Raisonnement, Montreal, PQ, Canada; [Rooney, Morgan] Carleton Univ, Teaching &amp; Learning Serv, Ottawa, ON, Canada; [Silva, Paulo Goberlanio Barros] Ctr Univ Christus, Fortaleza, CE, Brazil; [Rutherford, Derek] Dalhousie Univ, Sch Physiotherapy, Halifax, NS, Canada; [Kairy, Dahlia] Inst Univ Readaptat Deficience Phys Montreal, Ctr Integre Univ Sante &amp; Serv Sociaux, Ctr Sud Ile de Montreal, Montreal, PQ, Canada</t>
  </si>
  <si>
    <t>Carleton University; Universite de Montreal; Universite de Montreal; Carleton University; Dalhousie University</t>
  </si>
  <si>
    <t>Veras, M (corresponding author), Carleton Univ, Hlth Sci, 1125 Colonel By Dr, Ottawa, ON K1S 5B6, Canada.</t>
  </si>
  <si>
    <t>mirella.veras@carleton.ca</t>
  </si>
  <si>
    <t>Scholarship of Teaching and Learning Grant from Carleton University</t>
  </si>
  <si>
    <t>Acknowledgments This project was funded by the Scholarship of Teaching and Learning Grant from Carleton University.</t>
  </si>
  <si>
    <t>1929-0748</t>
  </si>
  <si>
    <t>JMIR RES PROTOC</t>
  </si>
  <si>
    <t>JMIR RES. Protoc.</t>
  </si>
  <si>
    <t>e51873</t>
  </si>
  <si>
    <t>10.2196/51873</t>
  </si>
  <si>
    <t>Health Care Sciences &amp; Services; Public, Environmental &amp; Occupational Health</t>
  </si>
  <si>
    <t>Z8WZ7</t>
  </si>
  <si>
    <t>WOS:001114836400005</t>
  </si>
  <si>
    <t>Wang, XN; Li, XT; Yin, Z; Wu, Y; Liu, J</t>
  </si>
  <si>
    <t>Wang, Xuena; Li, Xueting; Yin, Zi; Wu, Yue; Liu, Jia</t>
  </si>
  <si>
    <t>Emotional intelligence of Large Language Models</t>
  </si>
  <si>
    <t>JOURNAL OF PACIFIC RIM PSYCHOLOGY</t>
  </si>
  <si>
    <t>emotional intelligence; emotional understanding; Large Language Models; generative pretrained transformer; human-likeness; psychometric assessment</t>
  </si>
  <si>
    <t>Large Language Models (LLMs) have demonstrated remarkable abilities across numerous disciplines, primarily assessed through tasks in language generation, knowledge utilization, and complex reasoning. However, their alignment with human emotions and values, which is critical for real-world applications, has not been systematically evaluated. Here, we assessed LLMs' Emotional Intelligence (EI), encompassing emotion recognition, interpretation, and understanding, which is necessary for effective communication and social interactions. Specifically, we first developed a novel psychometric assessment focusing on Emotion Understanding (EU), a core component of EI. This test is an objective, performance-driven, and text-based evaluation, which requires evaluating complex emotions in realistic scenarios, providing a consistent assessment for both human and LLM capabilities. With a reference frame constructed from over 500 adults, we tested a variety of mainstream LLMs. Most achieved above-average Emotional Quotient (EQ) scores, with GPT-4 exceeding 89% of human participants with an EQ of 117. Interestingly, a multivariate pattern analysis revealed that some LLMs apparently did not rely on the human-like mechanism to achieve human-level performance, as their representational patterns were qualitatively distinct from humans. In addition, we discussed the impact of factors such as model size, training method, and architecture on LLMs' EQ. In summary, our study presents one of the first psychometric evaluations of the human-like characteristics of LLMs, which may shed light on the future development of LLMs aiming for both high intellectual and emotional intelligence. Project website: https://emotional-intelligence.github.io/</t>
  </si>
  <si>
    <t>[Wang, Xuena; Yin, Zi; Wu, Yue; Liu, Jia] Tsinghua Univ, Dept Psychol, Beijing, Peoples R China; [Wang, Xuena; Yin, Zi; Wu, Yue; Liu, Jia] Tsinghua Univ, Tsinghua Lab Brain &amp; Intelligence, Beijing, Peoples R China; [Li, Xueting] Renmin Univ China, Dept Psychol, Beijing, Peoples R China</t>
  </si>
  <si>
    <t>Tsinghua University; Tsinghua University; Renmin University of China</t>
  </si>
  <si>
    <t>Liu, J (corresponding author), Tsinghua Univ, Dept Psychol, Beijing, Peoples R China.;Liu, J (corresponding author), Tsinghua Univ, Tsinghua Lab Brain &amp; Intelligence, Beijing, Peoples R China.</t>
  </si>
  <si>
    <t>liujiaTHU@tsinghua.edu.cn</t>
  </si>
  <si>
    <t>This study was funded by Shuimu Tsinghua Scholar Program (X. W.), Beijing Municipal Science amp; Technology Commission, Administrative Commission of Zhongguancun Science Park (Z221100002722012), and Tsinghua University Guoqiang Institute (2020GQG1016).; Shuimu Tsinghua Scholar Program [Z221100002722012, 2020GQG1016]; Beijing Municipal Science amp; Technology Commission, Administrative Commission of Zhongguancun Science Park</t>
  </si>
  <si>
    <t>This study was funded by Shuimu Tsinghua Scholar Program (X. W.), Beijing Municipal Science amp; Technology Commission, Administrative Commission of Zhongguancun Science Park (Z221100002722012), and Tsinghua University Guoqiang Institute (2020GQG1016).; Shuimu Tsinghua Scholar Program; Beijing Municipal Science amp; Technology Commission, Administrative Commission of Zhongguancun Science Park</t>
  </si>
  <si>
    <t>This study was funded by Shuimu Tsinghua Scholar Program (X. W.), Beijing Municipal Science &amp; Technology Commission, Administrative Commission of Zhongguancun Science Park (Z221100002722012), and Tsinghua University Guoqiang Institute (2020GQG1016).</t>
  </si>
  <si>
    <t>1834-4909</t>
  </si>
  <si>
    <t>J PAC RIM PSYCHOL</t>
  </si>
  <si>
    <t>J. Pac. Rim Psychol.</t>
  </si>
  <si>
    <t>10.1177/18344909231213958</t>
  </si>
  <si>
    <t>Y2EX7</t>
  </si>
  <si>
    <t>WOS:001103462400001</t>
  </si>
  <si>
    <t>Xu, TNZT; Ng, AKY</t>
  </si>
  <si>
    <t>Xu, Tina Ziting; Ng, Adolf K. Y.</t>
  </si>
  <si>
    <t>GreenEdge: Neural-enhanced Green Workload Coordination for Ubiquitous Edge Intelligence</t>
  </si>
  <si>
    <t>2023 IEEE 98TH VEHICULAR TECHNOLOGY CONFERENCE, VTC2023-FALL</t>
  </si>
  <si>
    <t>IEEE Vehicular Technology Conference Proceedings</t>
  </si>
  <si>
    <t>98th IEEE Vehicular Technology Conference (VTC-Fall)</t>
  </si>
  <si>
    <t>OCT 10-13, 2023</t>
  </si>
  <si>
    <t>Hong Kong, HONG KONG</t>
  </si>
  <si>
    <t>IEEE,IEEE VTS</t>
  </si>
  <si>
    <t>Edge-cloud Networks; Green Workload Coordination; Large Language Models; Ubiquitous Edge Intelligence</t>
  </si>
  <si>
    <t>FRAMEWORK; NETWORKS; SYSTEMS; DESIGN; 5G</t>
  </si>
  <si>
    <t>The edge-cloud network serves as a fundamental infrastructure for deploying Ubiquitous Edge Intelligence (UEI) applications, presenting critical demands of energy conservation and job acceleration. Current solutions often rely on complete prior knowledge of static resource information, which limits their adaptation to the dynamic online environment of UEI deployment. This challenge motivates us to stand from a novel perspective by jointly considering application-level properties and energy-level requirements during UEI task runtime. Our primary objective is to optimize the coordination strategy of model partition and function assignment, which can be formulated as a green workload coordination problem. Following this target, we propose GreenEdge, an innovative framework that simultaneously improves job processing speed and energy efficiency. The key insight presented by GreenEdge is the utilization of Reinforcement Learning with Human Feedback (RLHF) methodology, which draws inspiration from the human-in-the-loop philosophy. Evaluations with real-world applications demonstrate that our GreenEdge framework exhibits remarkable superiority over previous methods, promising significant advancements in implementing efficient UEI frameworks and applications.</t>
  </si>
  <si>
    <t>[Xu, Tina Ziting] Beijing Normal Univ, Fac Sci &amp; Technol, Beijing, Peoples R China; [Ng, Adolf K. Y.] Hong Kong Baptist Univ, United Int Coll, Fac Business &amp; Management, Zhuhai, Peoples R China</t>
  </si>
  <si>
    <t>Xu, TNZT (corresponding author), Beijing Normal Univ, Fac Sci &amp; Technol, Beijing, Peoples R China.</t>
  </si>
  <si>
    <t>xuziting@uic.edu.cn; adolfng@uic.edu.cn</t>
  </si>
  <si>
    <t>BNU-HKBU United International College research funds [R72021201]</t>
  </si>
  <si>
    <t>BNU-HKBU United International College research funds</t>
  </si>
  <si>
    <t>This research was supported by the BNU-HKBU United International College research funds (R72021201). The authors would like to express their gratitude to Prof. Hui Zhang for her invaluable contributions in improving the manuscript quality.</t>
  </si>
  <si>
    <t>2577-2465</t>
  </si>
  <si>
    <t>979-8-3503-2928-5</t>
  </si>
  <si>
    <t>IEEE VTS VEH TECHNOL</t>
  </si>
  <si>
    <t>10.1109/VTC2023-Fall60731.2023.10333403</t>
  </si>
  <si>
    <t>Automation &amp; Control Systems; Computer Science, Artificial Intelligence; Engineering, Electrical &amp; Electronic; Engineering, Mechanical</t>
  </si>
  <si>
    <t>BW2ZI</t>
  </si>
  <si>
    <t>WOS:001133762500051</t>
  </si>
  <si>
    <t>Yan, DP; Gao, ZP; Liu, ZM</t>
  </si>
  <si>
    <t>Yan, Dapeng; Gao, Zhipeng; Liu, Zhiming</t>
  </si>
  <si>
    <t>A Closer Look at Different Difficulty Levels Code Generation Abilities of ChatGPT</t>
  </si>
  <si>
    <t>code generation; program competition; ChatGPT; large language model; clean code</t>
  </si>
  <si>
    <t>Code generation aims to generate source code implementing human requirements illustrated with natural language specifications. With the rapid development of intelligent software engineering, automated code generation has become a hot research topic in both artificial intelligence and software engineering, and researchers have made significant achievements on code generation. More recently, large language models (LLMs) have demonstrated outstanding performance on code generation tasks, such as ChatGPT released by OpenAI presents the fantastic potential on automated code generation. However, the existing studies are limited to exploring LLMs' ability for generating code snippets to solve simple programming problems, the task of competition-level code generation has never been investigated. The specifications of the programming competition are always complicated and require the specific input/output format as well as the high-level algorithmic reasoning ability. In this study, we conduct the first large empirical study to investigate the zero-shot learning ability of ChatGPT for solving competition programming problems. Specifically, we warm up the design of prompts by using the Human-Eval dataset. Then, we apply the well-designed prompt to the competition-level code generation dataset, namely APPS, to further explore the effectiveness of using ChatGPT for solving competition problems. We collect ChatGPT's outputs on 5,000 code competition problems, the evaluation results show that it can successfully pass 25.4% test cases. By further feeding extra information (e.g, test failed information) to ChatGPT, we observe that ChatGPT has the potential to fix partial pass into a fully pass program. Moreover, we investigate the solutions generated by LLMs and the existing solutions, we find that it prefers to directly copy the code instead of re-write when facing more difficult problems. Finally, we evaluate the code quality generated by ChatGPT in terms of code cleanness, we observe that the generated codes are with small functions and file sizes, which are in line with the standard of clean code.</t>
  </si>
  <si>
    <t>[Yan, Dapeng] Nanjing Univ Aeronaut &amp; Astronaut, Nanjing, Peoples R China; [Gao, Zhipeng] Zhejiang Univ, Hangzhou, Peoples R China; [Liu, Zhiming] Southwest Univ, Chongqing, Peoples R China</t>
  </si>
  <si>
    <t>Nanjing University of Aeronautics &amp; Astronautics; Zhejiang University; Southwest University - China</t>
  </si>
  <si>
    <t>Gao, ZP (corresponding author), Zhejiang Univ, Hangzhou, Peoples R China.</t>
  </si>
  <si>
    <t>dapeng.yan@nuaa.edu.cn; zhipeng.gao@zju.edu.cn; zliu@nwpu.edu.cn</t>
  </si>
  <si>
    <t>Shanghai Rising-Star Program [23YF1446900]; National Science Foundation of China [62202341]; Starry Night Science Fund of Zhejiang University Shanghai Institute for Advanced Study [SN-ZJU-SIAS-001]</t>
  </si>
  <si>
    <t>Shanghai Rising-Star Program; National Science Foundation of China(National Natural Science Foundation of China (NSFC)); Starry Night Science Fund of Zhejiang University Shanghai Institute for Advanced Study</t>
  </si>
  <si>
    <t>This research is partially supported by the Shanghai Rising-Star Program (23YF1446900) and the National Science Foundation of China (No. 62202341). This research is partially supported by the Starry Night Science Fund of Zhejiang University Shanghai Institute for Advanced Study, Grant No. SN-ZJU-SIAS-001.</t>
  </si>
  <si>
    <t>10.1109/ASE56229.2023.00096</t>
  </si>
  <si>
    <t>WOS:001103357200175</t>
  </si>
  <si>
    <t>Yun, H; Yi, E; Song, S</t>
  </si>
  <si>
    <t>Yun, Hongoak; Yi, Eunkyung; Song, Sanghoun</t>
  </si>
  <si>
    <t>Exploring AI-Generated English Relative Clauses in Comparison to Human Production</t>
  </si>
  <si>
    <t>JOURNAL OF COGNITIVE SCIENCE</t>
  </si>
  <si>
    <t>large language models; asymmetry of relative clauses; semantic sensitivity; AI-generated corpus; ChatGPT</t>
  </si>
  <si>
    <t>FREQUENCY; EXPECTATIONS; CHATGPT; MEMORY; VERBS</t>
  </si>
  <si>
    <t>Human behavioral studies have consistently indicated a preference for subject-extracted relative clauses (SRCs) over object-extracted relative clauses (ORCs) in sentence production and comprehension. Some studies have further shown that this preference can be influenced by the semantic properties of head nouns, particularly animacy. In this study, we use AI language models, specifically GPT-2 and ChatGPT 3.5, to simulate human sentence generation. Our primary goal is to evaluate the extent to which these language models replicate human behaviors in sentence production and identify any divergences. We tasked the models with completing sentence fragments structured as 'the,' followed by a head noun and 'that' (The reporter that ...). We varied the semantic property of head nouns such that they are all animate (the secretary that ... ) in Study 1 and are either animate or inanimate (the musician/book that ... ) in Study 2. Our findings reveal that in Study 1, both GPT models exhibited a robust SRC bias, replicating human-like behavior in relative clause production. However, in Study 2, we observed divergent behavior between the models when head nouns were inanimate, while consistency was maintained when head nouns were animate. Specifically, ChatGTP 3.5 generated more ORCs than SRCs in the presence of inanimate head nouns. These results, particularly those from ChatGPT 3.5, closely mirror human relative clause production patterns. Our study highlights the potential of language generative language models as efficient and versatile corpus simulators. Furthermore, our findings contribute to the evolving field of AI linguistics, shedding light on the capacity of AI generative systems to emulate human-like linguistic patterns in sentence production.</t>
  </si>
  <si>
    <t>[Yun, Hongoak] Jeju Natl Univ, Jeju Si, South Korea; [Yi, Eunkyung] Ewha Womans Univ, Seoul, South Korea; [Song, Sanghoun] Korea Univ, Seoul, South Korea</t>
  </si>
  <si>
    <t>Jeju National University; Ewha Womans University; Korea University</t>
  </si>
  <si>
    <t>Yi, E (corresponding author), Ewha Womans Univ, Seoul, South Korea.;Song, S (corresponding author), Korea Univ, Seoul, South Korea.</t>
  </si>
  <si>
    <t>eyi@ewha.ac.kr; sanghoun@korea.ac.kr</t>
  </si>
  <si>
    <t>Jeju National University</t>
  </si>
  <si>
    <t>Funding This research was supported by the 2023 scientific promotion program funded by Jeju National University.</t>
  </si>
  <si>
    <t>SEOUL NATL UNIV, INST COGNITIVE SCIENCE</t>
  </si>
  <si>
    <t>SEOUL</t>
  </si>
  <si>
    <t>SEOUL NATL UNIV, SEOUL, 151-742, SOUTH KOREA</t>
  </si>
  <si>
    <t>1598-2327</t>
  </si>
  <si>
    <t>J COGN SCI</t>
  </si>
  <si>
    <t>J. Cogn. Sci.</t>
  </si>
  <si>
    <t>Linguistics</t>
  </si>
  <si>
    <t>FQ1Y6</t>
  </si>
  <si>
    <t>WOS:001147235500003</t>
  </si>
  <si>
    <t>Zhang, JY; Nie, PY; Li, JJ; Gligoric, M</t>
  </si>
  <si>
    <t>Chandra, S; Blincoe, K; Tonella, P</t>
  </si>
  <si>
    <t>Zhang, Jiyang; Nie, Pengyu; Li, Junyi Jessy; Gligoric, Milos</t>
  </si>
  <si>
    <t>Multilingual Code Co-evolution using Large Language Models</t>
  </si>
  <si>
    <t>PROCEEDINGS OF THE 31ST ACM JOINT MEETING EUROPEAN SOFTWARE ENGINEERING CONFERENCE AND SYMPOSIUM ON THE FOUNDATIONS OF SOFTWARE ENGINEERING, ESEC/FSE 2023</t>
  </si>
  <si>
    <t>31st ACM Joint Meeting of the European Software Engineering Conference / Symposium on the Foundations-of-Software-Engineering (ESEC/FSE)</t>
  </si>
  <si>
    <t>DEC 03-09, 2023</t>
  </si>
  <si>
    <t>San Francisco, CA</t>
  </si>
  <si>
    <t>Assoc Comp Machinery,Fdn Software Engn,ACM SIGSOFT,Google,Ant Grp,Meta,JetBrains,ByteDance,Uber,Dragon Testing,Huawei</t>
  </si>
  <si>
    <t>Language models; code translation; software evolution</t>
  </si>
  <si>
    <t>Many software projects implement APIs and algorithms in multiple programming languages. Maintaining such projects is tiresome, as developers have to ensure that any change (e.g., a bug fix or a new feature) is being propagated, timely and without errors, to implementations in other programming languages. In the world of ever-changing software, using rule-based translation tools (i.e., transpilers) or machine learning models for translating code from one language to another provides limited value. Translating each time the entire codebase from one language to another is not the way developers work. In this paper, we target a novel task: translating code changes from one programming language to another using large language models (LLMs). We design and implement the first LLM, dubbed Codeditor, to tackle this task. Codeditor explicitly models code changes as edit sequences and learns to correlate changes across programming languages. To evaluate Codeditor, we collect a corpus of 6,613 aligned code changes from 8 pairs of open-source software projects implementing similar functionalities in two programming languages ( Java and C#). Results show that Codeditor outperforms the state-of-the-art approaches by a large margin on all commonly used automatic metrics. Our work also reveals that Codeditor is complementary to the existing generation-based models, and their combination ensures even greater performance.</t>
  </si>
  <si>
    <t>[Zhang, Jiyang; Nie, Pengyu; Li, Junyi Jessy; Gligoric, Milos] UT Austin, Austin, TX 78712 USA</t>
  </si>
  <si>
    <t>University of Texas System; University of Texas Austin</t>
  </si>
  <si>
    <t>Zhang, JY (corresponding author), UT Austin, Austin, TX 78712 USA.</t>
  </si>
  <si>
    <t>jiyang.zhang@utexas.edu; pynie@utexas.edu; jessy@austin.utexas.edu; gligoric@utexas.edu</t>
  </si>
  <si>
    <t>US National Science Foundation [CCF-2107291, IIS-2145479, CCF-2217696, CCF-2313027]</t>
  </si>
  <si>
    <t>US National Science Foundation(National Science Foundation (NSF))</t>
  </si>
  <si>
    <t>We thank Nader Al Awar, Yu Liu, Sheena Panthaplackel, Aditya Thimmaiah, Zhiqiang Zang, and the anonymous reviewers for their comments and feedback. We acknowledge the Texas Advanced Computing Center (TACC) at The University of Texas at Austin for providing HPC resources that have contributed to the research results reported within this paper. This work is partially supported by the US National Science Foundation under Grant Nos. CCF-2107291, IIS-2145479, CCF-2217696 and CCF-2313027.</t>
  </si>
  <si>
    <t>979-8-4007-0327-0</t>
  </si>
  <si>
    <t>10.1145/3611643.3616350</t>
  </si>
  <si>
    <t>Computer Science, Software Engineering; Computer Science, Theory &amp; Methods</t>
  </si>
  <si>
    <t>BW4HZ</t>
  </si>
  <si>
    <t>WOS:001148157800057</t>
  </si>
  <si>
    <t>Zhang, YF; Towey, D; Pike, M</t>
  </si>
  <si>
    <t>Shahriar, H; Teranishi, Y; Cuzzocrea, A; Sharmin, M; Towey, D; Majumder, AKMJA; Kashiwazaki, H; Yang, JJ; Takemoto, M; Sakib, N; Banno, R; Ahamed, SI</t>
  </si>
  <si>
    <t>Zhang, Yifan; Towey, Dave; Pike, Matthew</t>
  </si>
  <si>
    <t>Automated Metamorphic-Relation Generation with ChatGPT: An Experience Report</t>
  </si>
  <si>
    <t>2023 IEEE 47TH ANNUAL COMPUTERS, SOFTWARE, AND APPLICATIONS CONFERENCE, COMPSAC</t>
  </si>
  <si>
    <t>Proceedings International Computer Software and Applications Conference</t>
  </si>
  <si>
    <t>47th IEEE-Computer-Society Annual International Conference on Computers, Software, and Applications (COMPSAC)</t>
  </si>
  <si>
    <t>JUN 27-29, 2023</t>
  </si>
  <si>
    <t>Univ Torino, Torino, ITALY</t>
  </si>
  <si>
    <t>IEEE,IEEE Comp Soc</t>
  </si>
  <si>
    <t>Univ Torino</t>
  </si>
  <si>
    <t>Autonomous driving system (ADS); metamorphic testing (MT); metamorphic relation (MR); oracle problem; ChatGPT; natural language processing (NLP); large language model (LLM)</t>
  </si>
  <si>
    <t>This paper reports on a pilot study of using ChatGPT, a language model based on GPT-3.5 architecture, for automatic generation of metamorphic relations (MRs), in the context of testing of autonomous driving systems (ADSs). The oracle problem is a major challenge in testing such systems, where it is difficult to determine whether or not the output of a system is correct. Metamorphic testing (MT) can alleviate this problem by checking the consistency of the system's outputs under various transformations. However, manual generation of MRs is often a time-consuming and error-prone process. Automated MR generation can yield several benefits, including enhanced efficiency, quality, coverage, scalability, and reusability in software testing, thereby facilitating a more comprehensive and effective testing process. In this paper, we investigate the effectiveness of using ChatGPT for automatic generation of MRs for ADSs. We provide a detailed methodology for generating MRs using ChatGPT and evaluate the generated MRs using our domain knowledge and existing MRs. The results of our study indicate that our proposed approach is effective at generating high-quality MRs, and can significantly reduce the manual effort required for MR generation. Furthermore, we discuss the practical implications and limitations of using ChatGPT for MR generation and provide recommendations for future research. Our study contributes to the advancement of automated testing of ADSs, which is crucial for ensuring their safety and reliability in real-world scenarios.</t>
  </si>
  <si>
    <t>[Zhang, Yifan; Towey, Dave; Pike, Matthew] Univ Nottingham Ningbo China, Sch Comp Sci, Ningbo 315100, Zhejiang, Peoples R China</t>
  </si>
  <si>
    <t>University of Nottingham Ningbo China</t>
  </si>
  <si>
    <t>Towey, D (corresponding author), Univ Nottingham Ningbo China, Sch Comp Sci, Ningbo 315100, Zhejiang, Peoples R China.</t>
  </si>
  <si>
    <t>yifan.zhang@nottingham.edu.cn; dave.towey@nottingham.edu.cn; matthew.pike@nottingham.edu.cn</t>
  </si>
  <si>
    <t>Artificial Intelligence and Optimisation (AIOP) research groups; Sensors, Sensor Networks and Instrumentation (SSNI) research group; Faculty of Science and Engineering (FoSE); International Doctoral Innovation Centre; Ningbo Education Bureau; Ningbo Science and Technology Bureau; University of Nottingham</t>
  </si>
  <si>
    <t>The authors acknowledge the financial support from the Artificial Intelligence and Optimisation (AIOP) and Sensors, Sensor Networks and Instrumentation (SSNI) research groups, the Faculty of Science and Engineering (FoSE), the International Doctoral Innovation Centre, Ningbo Education Bureau, Ningbo Science and Technology Bureau, and the University of Nottingham.</t>
  </si>
  <si>
    <t>0730-3157</t>
  </si>
  <si>
    <t>979-8-3503-2697-0</t>
  </si>
  <si>
    <t>P INT COMP SOFTW APP</t>
  </si>
  <si>
    <t>10.1109/COMPSAC57700.2023.00275</t>
  </si>
  <si>
    <t>Computer Science, Interdisciplinary Applications; Computer Science, Software Engineering</t>
  </si>
  <si>
    <t>BV5CB</t>
  </si>
  <si>
    <t>WOS:001046484100265</t>
  </si>
  <si>
    <t>Zhou, YJ; Yu, NN; Liu, ZX</t>
  </si>
  <si>
    <t>Zhou, Yajie; Yu, Nengneng; Liu, Zaoxing</t>
  </si>
  <si>
    <t>Towards Interactive Research Agents for Internet Incident Investigation</t>
  </si>
  <si>
    <t>Generative AI; Internet Investigation; Internet Resilience; LLM; Software Agent</t>
  </si>
  <si>
    <t>Investigating Internet incidents involves significant human effort and is limited by the domain knowledge of network researchers and operators. In this paper, we propose to develop computational software agents based on emerging language models (e.g., GPT-4) that can simulate the behaviors of knowledgeable researchers to assist in investigating certain Internet incidents and understanding their impacts. Our agent training framework uses Auto-GPT as an autonomous interface to interact with GPT-4 and gain knowledge by memorizing related information retrieved from online resources. The agent uses the model to reason the investigation questions and continuously performs knowledge testing to see if the conclusion is sufficiently confident or more information is needed. In our preliminary experiment, we build an agent Bob, who studies the impact of solar superstorms on the Internet and draws conclusions similar to those from a recent SIGCOMM paper written by a knowledgeable researcher. We envision this as a first step toward developing a future highly knowledgeable Internet researcher simulacra.</t>
  </si>
  <si>
    <t>[Zhou, Yajie; Yu, Nengneng; Liu, Zaoxing] Univ Maryland, College Pk, MD 20742 USA</t>
  </si>
  <si>
    <t>University System of Maryland; University of Maryland College Park</t>
  </si>
  <si>
    <t>Zhou, YJ (corresponding author), Univ Maryland, College Pk, MD 20742 USA.</t>
  </si>
  <si>
    <t>10.1145/3626111.3628212</t>
  </si>
  <si>
    <t>WOS:001124843800005</t>
  </si>
  <si>
    <t>Zhu, YH; Zhou, QY</t>
  </si>
  <si>
    <t>Zhu, Yihao; Zhou, Qinyi</t>
  </si>
  <si>
    <t>Docent: Digital Operation-Centric Elicitation of Novice-friendly Tutorials</t>
  </si>
  <si>
    <t>ADJUNCT PROCEEDINGS OF THE 36TH ANNUAL ACM SYMPOSIUM ON USER INTERFACE SOFTWARE &amp; TECHNOLOGY, UIST 2023 ADJUNCT</t>
  </si>
  <si>
    <t>36th Annual ACM Symposium on User Interface Software and Technology (UIST)</t>
  </si>
  <si>
    <t>OCT 29-NOV 01, 2023</t>
  </si>
  <si>
    <t>Assoc Comp Machinery,ACM Special Interest Grp Comp Human Interact,ACM Special Interest Grp Comp Graph</t>
  </si>
  <si>
    <t>Software Tutorials; Digital Operation; Large Language Model</t>
  </si>
  <si>
    <t>Nowadays, novice users often turn to digital tutorials for guidance in software. However, searching and utilizing the tutorial remains a challenge due to the request for proper problem articulation, extensive searches and mind-intensive follow-through. We introduce Docent, a system designed to bridge this knowledge-seeking gap. Powered by Large Language Models (LLMs), Docent takes vague user input and recent digital operation contexts to reason, seek, and present the most relevant tutorials in-situ. We assume that Docent smooths the user experience and facilitates learning of the software.</t>
  </si>
  <si>
    <t>[Zhu, Yihao; Zhou, Qinyi] Tsinghua Univ, Beijing, Peoples R China</t>
  </si>
  <si>
    <t>Tsinghua University</t>
  </si>
  <si>
    <t>Zhu, YH (corresponding author), Tsinghua Univ, Beijing, Peoples R China.</t>
  </si>
  <si>
    <t>zhuyh22@mails.tsinghua.edu.cn; zhouqy22@mails.tsinghua.edu.cn</t>
  </si>
  <si>
    <t>Natural Science Foundation of China [62132010]; Beijing Key Lab of Networked Multimedia; 2025 Key Technological Innovation Program of Ningbo City [2022Z080]; Beijing Municipal Science and Technology Commission, Administrative Commission of Zhong-guancun Science Park [Z221100006722018]; Institute for Guo Qiang, Tsinghua University; Institute for Artifcial Intelligence, Tsinghua University (THUAI)</t>
  </si>
  <si>
    <t>Natural Science Foundation of China(National Natural Science Foundation of China (NSFC)); Beijing Key Lab of Networked Multimedia; 2025 Key Technological Innovation Program of Ningbo City; Beijing Municipal Science and Technology Commission, Administrative Commission of Zhong-guancun Science Park; Institute for Guo Qiang, Tsinghua University; Institute for Artifcial Intelligence, Tsinghua University (THUAI)</t>
  </si>
  <si>
    <t>This work is supported by the Natural Science Foundation of China under Grant No. 62132010, and by Beijing Key Lab of Networked Multimedia, the Institute for Guo Qiang, Tsinghua University, Institute for Artifcial Intelligence, Tsinghua University (THUAI), and by 2025 Key Technological Innovation Program of Ningbo City under Grant No. 2022Z080.; It is also supported by supported by Beijing Municipal Science and Technology Commission, Administrative Commission of Zhong-guancun Science Park No.Z221100006722018.</t>
  </si>
  <si>
    <t>979-8-4007-0096-5</t>
  </si>
  <si>
    <t>10.1145/3586182.3625121</t>
  </si>
  <si>
    <t>Computer Science, Cybernetics; Computer Science, Hardware &amp; Architecture; Computer Science, Interdisciplinary Applications; Computer Science, Software Engineering</t>
  </si>
  <si>
    <t>BW2TP</t>
  </si>
  <si>
    <t>WOS:001125107000120</t>
  </si>
  <si>
    <t>Canton-Castillo, JG; Moguel-Ordoñez, Y; Alcaraz-Romero, A; Piña-Cardenas, B; Betancur-Ancona, D</t>
  </si>
  <si>
    <t>Canton-Castillo, Jose G.; Moguel-Ordonez, Yolanda; Alcaraz-Romero, Alberto; Pina-Cardenas, Benjamin; Betancur-Ancona, David</t>
  </si>
  <si>
    <t>Effect of inclusion of alfalfa hay in the diet and gender on carcass and meat characteristics of Katahdin x Pelibuey lambs</t>
  </si>
  <si>
    <t>JOURNAL OF APPLIED ANIMAL RESEARCH</t>
  </si>
  <si>
    <t>Alfalfa hay; lambs; gender; carcass; meat characteristics</t>
  </si>
  <si>
    <t>GROWTH-PERFORMANCE; DIFFERENT GENOTYPES; FEEDING SYSTEMS; QUALITY; SEX; COLOR; MUSCLE; TRAITS; BREED; ADIPOSE</t>
  </si>
  <si>
    <t>Dietary alfalfa hay could improve carcass and meat characteristics of lambs, however, information on hair breeds according to consumer demands is incomplete. This study aimed to evaluate the effect of dietary alfalfa hay and gender on carcass characteristics and physico-chemical properties of Katahdin x Pelibuey lmabs (F1). Thirty-six male and twenty-four female lambs were distributed in a completely randomized design with a 2 x 2 factorial arrangement: two diets, with or without alfalfa hay (AH) and two genders (male and female). Dry matter Intake (DMI) of male lambs was higher than females (1.360 vs 1.267 kg/d), daily weight gain (DWG) (0.262 vs 0.212 g), live slaughter weight (40.2 vs 37.8 kg), hot carcass weight (HCW) (20.0 vs 18.8 kg), temperature (9.57 vs 5.98 degrees C) and highest pentadecanoic (1.42 vs 0.74%), linoleic (4.86 vs 3.04%) and tricosanoic acid content (2.43 vs 1.26%) in Longissimus lumborurm muscle (LLM). The meat pH ranged from 5.1 to 6.0. Protein and lipid average values were 19.2 and 5.1%, respectively. Lambs fed alfalfa diet had similar physicochemical characteristics than those fed concentrate feed, indicating the possibility of producing lamb meat using alfalfa. Meat of male lambs had the highest linoleic acid content, which provides positive health benefits to the consumers.</t>
  </si>
  <si>
    <t>[Canton-Castillo, Jose G.; Moguel-Ordonez, Yolanda; Alcaraz-Romero, Alberto] Inst Nacl Invest Forestales Agr &amp; Pecuarias INIFA, Merida, Mexico; [Pina-Cardenas, Benjamin] Inst Nacl Invest Forestales Agr &amp; Pecuarias INIFA, Medellin, Veracruz, Mexico; [Betancur-Ancona, David] Univ Autonoma Yucatan, Fac Ingn Quim, Merida, Mexico</t>
  </si>
  <si>
    <t>Universidad Autonoma de Yucatan</t>
  </si>
  <si>
    <t>Canton-Castillo, JG (corresponding author), Inst Nacl Invest Forestales Agr &amp; Pecuarias INIFA, Campo Expt Mococha, Antigua Carretera Merida Motul Km 25, Merida 97454, Yucatan, Mexico.</t>
  </si>
  <si>
    <t>gcanton.javier@inifap.gob.mx</t>
  </si>
  <si>
    <t>G. Canton Castillo, Jose Javier/0000-0002-2073-2765</t>
  </si>
  <si>
    <t>Instituto Nacional de Investigaciones Forestales, Agricolas y Pecuarias [SIGI 10514934004]; University of California Institute for Mexico and United States [CN-14-75]</t>
  </si>
  <si>
    <t>Instituto Nacional de Investigaciones Forestales, Agricolas y Pecuarias; University of California Institute for Mexico and United States</t>
  </si>
  <si>
    <t>This work was supported by Instituto Nacional de Investigaciones Forestales, Agricolas y Pecuarias [SIGI 10514934004]; University of California Institute for Mexico and the United States [CN-14-75].</t>
  </si>
  <si>
    <t>0971-2119</t>
  </si>
  <si>
    <t>0974-1844</t>
  </si>
  <si>
    <t>J APPL ANIM RES</t>
  </si>
  <si>
    <t>J. Appl. Anim. Res.</t>
  </si>
  <si>
    <t>DEC 31</t>
  </si>
  <si>
    <t>10.1080/09712119.2022.2147184</t>
  </si>
  <si>
    <t>Agriculture, Dairy &amp; Animal Science</t>
  </si>
  <si>
    <t>6U2NU</t>
  </si>
  <si>
    <t>WOS:000894206700001</t>
  </si>
  <si>
    <t>Kaya, S; Yuksel, D; Curle, S</t>
  </si>
  <si>
    <t>Kaya, Sibel; Yuksel, Dogan; Curle, Samantha</t>
  </si>
  <si>
    <t>JOURNAL OF ENGINEERING EDUCATION</t>
  </si>
  <si>
    <t>ENGLISH-MEDIUM INSTRUCTION; GROWTH MINDSET; IMPLICIT THEORIES; STUDENTS; ACHIEVEMENT; INTELLIGENCE; MATHEMATICS; BELIEFS; MOTIVATION; EDUCATION</t>
  </si>
  <si>
    <t>Background: Mindsets are based on two basic assumptions: some people think that their intellectual abilities can be developed through hard work and instruction (i.e., a growth mindset), whereas others believe that nothing can change their level of intellectual ability (i.e., a fixed mindset). The association between mindsets and academic achievement has been examined in different academic subjects, such as biology and math. However, no previous study has examined the effects of language learning mindsets (LLMs) and math mindsets (MMs) on academic success in an English medium instruction (EMI) setting in which English, rather than the first language of the students, is used for teaching content (e.g., mechatronics engineering). Purpose/Hypothesis: This study explores the relationship between Turkish mechatronics engineering undergraduate students' domain-specific mindsets, LLMs and MMs, and their academic success. Design/Method: Student test scores for English medium and first-language medium courses were collected from fourth-year students studying mechatronics engineering (n = 68) at a public university in Turkey. Students also completed the LLM and MM inventories. Results: Regression analyses revealed that growth LLM and MM were positive predictors of EMI and Turkish medium of instruction (TMI) academic success, whereas fixed LLM and MM were negative predictors of EMI and TMI academic success. Conclusions: In both EMI and TMI courses, a growth mindset in math and language learning can profoundly predict students' academic achievement in a mechatronics engineering program. We argue that domain-specific mindsets can effectively explain the self-theories of intelligence and achievement.</t>
  </si>
  <si>
    <t>[Kaya, Sibel] Univ Bedfordshire, Acad Learning &amp; Teaching Excellence, Luton, England; [Yuksel, Dogan] Open Univ, Fac Wellbeing Educ &amp; Language Studies, Milton Keynes, England; [Curle, Samantha] Univ Bath, Dept Educ, Bath, England; [Kaya, Sibel] Univ Bedfordshire, Acad Learning &amp; Teaching Excellence, Univ Sq,Vicarage St, Luton LU1 3JU, England</t>
  </si>
  <si>
    <t>University of Bedfordshire; Open University - UK; University of Bath; University of Bedfordshire</t>
  </si>
  <si>
    <t>Kaya, S (corresponding author), Univ Bedfordshire, Acad Learning &amp; Teaching Excellence, Univ Sq,Vicarage St, Luton LU1 3JU, England.</t>
  </si>
  <si>
    <t>sibel.kaya@beds.ac.uk; dogan.yuksel@open.ac.uk; smc20@bath.ac.uk</t>
  </si>
  <si>
    <t>Curle, Samantha/0000-0003-3790-8656; Yuksel, Dogan/0000-0001-9131-3907</t>
  </si>
  <si>
    <t>AMER SOC ENGINEERING EDUCATION</t>
  </si>
  <si>
    <t>1818 N ST, N W, STE 600, WASHINGTON, DC 20036 USA</t>
  </si>
  <si>
    <t>1069-4730</t>
  </si>
  <si>
    <t>2168-9830</t>
  </si>
  <si>
    <t>J ENG EDUC</t>
  </si>
  <si>
    <t>DEC 2022</t>
  </si>
  <si>
    <t>Education &amp; Educational Research; Education, Scientific Disciplines; Engineering, Multidisciplinary</t>
  </si>
  <si>
    <t>Education &amp; Educational Research; Engineering</t>
  </si>
  <si>
    <t>7Y6PT</t>
  </si>
  <si>
    <t>WOS:000905689200001</t>
  </si>
  <si>
    <t>Chua, YA; Nazli, SA; Rosman, A; Kasim, SS; Ibrahim, KS; Radzi, ABM; Kasim, NAM; Nawawi, H</t>
  </si>
  <si>
    <t>Chua, Yung-An; Nazli, Sukma Azureen; Rosman, Azhari; Kasim, Sazzli Shahlan; Ibrahim, Khairul Shafiq; Radzi, Ahmad Bakhtiar Md; Kasim, Noor Alicezah Mohd; Nawawi, Hapizah</t>
  </si>
  <si>
    <t>Attainment of Low-Density Lipoprotein Cholesterol Targets and Prescribing Pattern of Lipid-Lowering Medications among Patients with Familial Hypercholesterolemia Attending Specialist Clinics</t>
  </si>
  <si>
    <t>Familial hypercholesterolemia; Lipid-lowering medications; Prescribing pattern; Target LDL-C</t>
  </si>
  <si>
    <t>PRIMARY-CARE; EZETIMIBE; GUIDANCE; PROFILE; GENES</t>
  </si>
  <si>
    <t>Aims: Patients with familial hypercholesterolemia (FH) are known to have higher exposure to coronary risk than those without FH with similar low-density lipoprotein cholesterol (LDL-C) level. Lipid-lowering medications (LLMs) are the mainstay treatments to lower the risk of premature coronary artery disease in patients with hypercholesterolemia. However, the LLM prescription pattern and its effectiveness among Malaysian patients with FH are not yet reported. The aim of this study was to report the LLM prescribing pattern and its effectiveness in lowering LDL-C level among Malaysian patients with FH treated in specialist hospitals.Methods: Subjects were recruited from lipid and cardiac specialist hospitals. FH was clinically diagnosed using the Dutch Lipid Clinic Network Criteria. Patients' medical history was recorded using a standardized questionnaire. LLM prescription history and baseline LDL-C were acquired from the hospitals' database. Blood samples were acquired for the latest lipid profile assay.Results: A total of 206 patients with FH were recruited. Almost all of them were on LLMs (97.6%). Only 2.9% and 7.8% of the patients achieved the target LDL-C of &lt;1.4 and &lt;1.8 mmol/L, respectively. The majority of patients who achieved the target LDL-C were prescribed with statin-ezetimibe combination medications and high-intensity or moderate-intensity statins. All patients who were prescribed with ezetimibe monotherapy did not achieve the target LDL-C.Conclusion: The majority of Malaysian patients with FH received LLMs, but only a small fraction achieved the therapeutic target LDL-C level. Further investigation has to be conducted to identify the cause of the suboptimal treatment target attainment, be it the factors of patients or the prescription practice.</t>
  </si>
  <si>
    <t>[Chua, Yung-An; Nazli, Sukma Azureen; Kasim, Sazzli Shahlan; Kasim, Noor Alicezah Mohd; Nawawi, Hapizah] Univ Teknol MARA UiTM, Inst Pathol Lab &amp; Forens Med I PPerForM, Level 4,Acad Bldg,Jalan Hosp, Sungai Buloh 47000, Selangor, Malaysia; [Chua, Yung-An; Nazli, Sukma Azureen; Kasim, Sazzli Shahlan; Kasim, Noor Alicezah Mohd; Nawawi, Hapizah] Univ Teknol MARA UiTM, Fac Med, Sungai Buloh, Selangor, Malaysia; [Rosman, Azhari] Natl Heart Inst IJN, Kuala Lumpur, Malaysia; [Kasim, Sazzli Shahlan; Ibrahim, Khairul Shafiq; Radzi, Ahmad Bakhtiar Md] Univ Teknol MARA, Fac Med, Dept Cardiol, Sungai Buloh, Selangor, Malaysia; [Kasim, Noor Alicezah Mohd; Nawawi, Hapizah] Univ Teknol MARA, Fac Med, Dept Pathol, Sungai Buloh, Selangor, Malaysia</t>
  </si>
  <si>
    <t>Universiti Teknologi MARA; Universiti Teknologi MARA</t>
  </si>
  <si>
    <t>Nawawi, H (corresponding author), Univ Teknol MARA UiTM, Inst Pathol Lab &amp; Forens Med I PPerForM, Level 4,Acad Bldg,Jalan Hosp, Sungai Buloh 47000, Selangor, Malaysia.</t>
  </si>
  <si>
    <t>hapizah.nawawi@gmail.com</t>
  </si>
  <si>
    <t>Radzi, Ahmad/JDV-8188-2023</t>
  </si>
  <si>
    <t>Malaysia Ministry of Higher Education Long Term Research Grant Scheme [600-RMI/LRGS 5/3 (2/2011) -2]; UiTM MITRA Grant [600-IRMI/MYRA 5/3/MITRA (003/2017) -1]</t>
  </si>
  <si>
    <t>Malaysia Ministry of Higher Education Long Term Research Grant Scheme; UiTM MITRA Grant</t>
  </si>
  <si>
    <t>This study was funded by Malaysia Ministry of Higher Education Long Term Research Grant Scheme [600-RMI/LRGS 5/3 (2/2011) -2] and UiTM MITRA Grant [600-IRMI/MYRA 5/3/MITRA (003/2017) -1] , which had been awarded to the Corresponding Author. We would also like to acknowledge IJN, UiTM Cardiology Clinic and UiTM Specialist Lipid Clinic staff who assisted the patient recruitment.</t>
  </si>
  <si>
    <t>10.5551/jat.63389</t>
  </si>
  <si>
    <t>U2WW5</t>
  </si>
  <si>
    <t>WOS:000943507800001</t>
  </si>
  <si>
    <t>Zou, ZH; Zhu, P; Kim, CC; Deng, W; Wang, XQ; Hou, YW</t>
  </si>
  <si>
    <t>Zou, Zhihui; Zhu, Ping; Kim, Charlson C.; Deng, Wei; Wang, Xianqu; Hou, Yawei</t>
  </si>
  <si>
    <t>Frequency multiplication with toroidal mode number of kink/fishbone modes on a static HL-2A-like tokamak</t>
  </si>
  <si>
    <t>PLASMA SCIENCE &amp; TECHNOLOGY</t>
  </si>
  <si>
    <t>internal kink mode; fishbone mode; long-lived mode(LLM); energetic particles(EPs); HL-2A; NIMROD</t>
  </si>
  <si>
    <t>INTERNAL KINK MODES; ADVANCED SCENARIOS; DESTABILIZATION; EXCITATION; STABILITY; ITER</t>
  </si>
  <si>
    <t>In the presence of energetic particles (EPs), the long-lived mode (LLM) frequency multiplication with n = 1, 2, 3, or higher is often observed on HL-2A, where n is the toroidal mode number. Hybrid kinetic-MHD model simulations of the energetic particle (EP) driven kink/fishbone modes on a static HL-2A-like tokamak using NIMROD code find that when the background plasma pressure is relatively high, and the EP pressure and the beam energy are relatively low, the mode frequency increases almost linearly with EP pressure, and the frequency is proportional to n ('frequency multiplication'), even in the absence of any equilibrium plasma rotation. In addition, the frequency multiplication persists as the safety factor at the magnetic axis q (0) varies. In the absence of EPs, the growth rate of the 1/1 mode is the largest; however, as the EP pressure increases, the growth rate of 2/2 modes or 3/3 modes becomes dominant, suggesting that higher-n modes are more vulnerable to EPs. These results may shed light on the understanding of the toroidal mode number dependence of kink/fishbone modes in the advanced scenarios of tokamaks with weak or reversed central magnetic shear.</t>
  </si>
  <si>
    <t>[Zou, Zhihui; Hou, Yawei] Univ Sci &amp; Technol China, CAS Key Lab Geospace Environm, Hefei 230026, Peoples R China; [Zou, Zhihui; Hou, Yawei] Univ Sci &amp; Technol China, Dept Plasma Phys &amp; Fus Engn, Hefei 230026, Peoples R China; [Zhu, Ping] Huazhong Univ Sci &amp; Technol, Sch Elect &amp; Elect Engn, Int Joint Res Lab Magnet Confinement Fus &amp; Plasma, State Key Lab Adv Electromagnet Engn &amp; Technol, Wuhan 430074, Peoples R China; [Zhu, Ping] Univ Wisconsin, Dept Engn Phys, Madison, WI 53706 USA; [Kim, Charlson C.] SLS2 Consulting, San Diego, CA 92107 USA; [Deng, Wei] Southwestern Inst Phys, Chengdu 610041, Peoples R China; [Wang, Xianqu] Southwest Jiaotong Univ, Inst Fus Sci, Sch Phys Sci &amp; Technol, Chengdu 610031, Peoples R China; [Hou, Yawei] Anhui Jianzhu Univ, Sch Math &amp; Phys, Hefei 230601, Peoples R China</t>
  </si>
  <si>
    <t>Chinese Academy of Sciences; University of Science &amp; Technology of China, CAS; Chinese Academy of Sciences; University of Science &amp; Technology of China, CAS; Huazhong University of Science &amp; Technology; University of Wisconsin System; University of Wisconsin Madison; Southwestern Institute of Physics - China; Southwest Jiaotong University; Anhui Jianzhu University</t>
  </si>
  <si>
    <t>Hou, YW (corresponding author), Univ Sci &amp; Technol China, CAS Key Lab Geospace Environm, Hefei 230026, Peoples R China.;Hou, YW (corresponding author), Univ Sci &amp; Technol China, Dept Plasma Phys &amp; Fus Engn, Hefei 230026, Peoples R China.;Zhu, P (corresponding author), Huazhong Univ Sci &amp; Technol, Sch Elect &amp; Elect Engn, Int Joint Res Lab Magnet Confinement Fus &amp; Plasma, State Key Lab Adv Electromagnet Engn &amp; Technol, Wuhan 430074, Peoples R China.;Zhu, P (corresponding author), Univ Wisconsin, Dept Engn Phys, Madison, WI 53706 USA.;Hou, YW (corresponding author), Anhui Jianzhu Univ, Sch Math &amp; Phys, Hefei 230601, Peoples R China.</t>
  </si>
  <si>
    <t>zhup@hust.edu.cn; arvayhou@ustc.edu.cn</t>
  </si>
  <si>
    <t>Zhang, Xiaofeng/0000-0003-2738-3286; Kim, Charlson/0000-0002-8543-0880</t>
  </si>
  <si>
    <t>National Magnetic Confinement Fusion Program of China [2019YFE03050004]; National Natural Science Foundation of China [11875253, 11775221, 51821005, 11875018]; Fundamental Research Funds for the Central Universities [WK3420000004, 2019kfyXJJS193]; Collaborative Innovation Program of Hefei Science Center, CAS [2019HSC-CIP015]; U S Department of Energy [DE-FG02-86ER53218, DE-SC0018001]</t>
  </si>
  <si>
    <t>National Magnetic Confinement Fusion Program of China; National Natural Science Foundation of China(National Natural Science Foundation of China (NSFC)); Fundamental Research Funds for the Central Universities(Fundamental Research Funds for the Central Universities); Collaborative Innovation Program of Hefei Science Center, CAS; U S Department of Energy(United States Department of Energy (DOE))</t>
  </si>
  <si>
    <t>We thank Prof Lu Wang and Dr Da Li for their helpful discussions and suggestions. We appreciate the assistance from Dr Haolong Li. We are grateful for the support from the NIMROD team. This work was supported by the National Magnetic Confinement Fusion Program of China (No. 2019YFE03050004), National Natural Science Foundation of China (Nos. 11875253, 11775221, 51821005 and 11875018), the Fundamental Research Funds for the Central Universities (Nos. WK3420000004 and 2019kfyXJJS193), the Collaborative Innovation Program of Hefei Science Center, CAS (No. 2019HSC-CIP015), the U S Department of Energy (Nos. DE-FG02-86ER53218 and DE-SC0018001). This research used computing resources from the Supercomputing Center of University of Science and Technology of China.</t>
  </si>
  <si>
    <t>1009-0630</t>
  </si>
  <si>
    <t>2058-6272</t>
  </si>
  <si>
    <t>PLASMA SCI TECHNOL</t>
  </si>
  <si>
    <t>Plasma Sci. Technol.</t>
  </si>
  <si>
    <t>DEC 1</t>
  </si>
  <si>
    <t>10.1088/2058-6272/aca00a</t>
  </si>
  <si>
    <t>Physics, Fluids &amp; Plasmas</t>
  </si>
  <si>
    <t>6Q9XK</t>
  </si>
  <si>
    <t>WOS:000891962000001</t>
  </si>
  <si>
    <t>Kösling, P; Rüger, CP; Schade, J; Ehlert, S; Etzien, U; Kozhinov, AN; Tsybin, YO; Rigler, M; Adam, T; Walte, A; Buchholz, B; Zimmermann, R</t>
  </si>
  <si>
    <t>Koesling, Paul; Rueger, Christopher P.; Schade, Julian; Ehlert, Sven; Etzien, Uwe; Kozhinov, Anton N.; Tsybin, Yury O.; Rigler, Martin; Adam, Thomas; Walte, Andreas; Buchholz, Bert; Zimmermann, Ralf</t>
  </si>
  <si>
    <t>Real-Time Investigation of Primary Ship Engine Emissions by Vacuum Resonance-Enhanced Multiphoton Ionization High- Resolution Orbitrap Mass Spectrometry</t>
  </si>
  <si>
    <t>ANALYTICAL CHEMISTRY</t>
  </si>
  <si>
    <t>SINGLE-PHOTON IONIZATION; PARTICULATE MATTER; AEROSOL EMISSIONS; DIESEL FUEL; COMBUSTION</t>
  </si>
  <si>
    <t>The comprehensive chemical description of air pollution is a prerequisite for understanding atmospheric trans-formation processes and effects on climate and environmental health. In this study, a prototype vacuum photoionization Orbitrap mass spectrometer was evaluated for field-suitability by an online on-site investigation of emissions from a ship diesel engine. Despite remote measurements in a challenging environment, the mass spectrometric performance could fully be exploited. Due to the high resolution and mass accuracy in combination with resonance-enhanced multiphoton ionization, the aromatic hydrocarbon profile could selectively and sensitively be analyzed. Limitations from commonly deployed time-of-flight platforms could be overcome, allowing to unraveling the oxygen-and sulfur-containing compounds. Scan-by-scan evaluation of the online data revealed no shift in exact m/z, assignment statistics with root mean square error (RMSE) below 0.2 ppm, continuous high-resolution capabilities, and good isotopic profile matches. Emissions from three different feed fuels were investigated, namely, diesel, heavy fuel oil (HFO), and very low sulfur fuel oil (VLSFO). Regulations mainly concern the fuel sulfur content, and thus, exhaust gas treatment or new emerging fuels, such as the cycle-oil-based VLSFO, can legally be applied. Unfortunately, despite lower CHS-class emissions, a substantial amount of PAHs is emitted by the VLSFO with higher aromaticity compared to the HFO. Hence, legislative measures might need to take further chemical criteria into account.</t>
  </si>
  <si>
    <t>[Koesling, Paul; Rueger, Christopher P.; Schade, Julian; Zimmermann, Ralf] Univ Rostock, Chair Analyt Chem, Joint Mass Spectrometry Ctr JMSC, D-18059 Rostock, Germany; [Koesling, Paul; Rueger, Christopher P.; Schade, Julian; Zimmermann, Ralf] Univ Rostock, Dept Life Light &amp; Matter LLM, D-18059 Rostock, Germany; [Koesling, Paul; Schade, Julian; Adam, Thomas] Univ Bundeswehr Munich, Inst Chem &amp; Environm Engn, Fac Mech Engn, D-85577 Neubiberg, Germany; [Ehlert, Sven; Walte, Andreas] Photonion GmbH, D-19061 Schwerin, Germany; [Etzien, Uwe; Buchholz, Bert] Univ Rostock, Chair Piston Machines &amp; Internal Combust Engines, D-18059 Rostock, Germany; [Kozhinov, Anton N.; Tsybin, Yury O.] Spectroswiss, CH-1015 Lausanne, Switzerland; [Rigler, Martin] Aerosol Doo, SI-1000 Ljubljana, Slovenia; [Zimmermann, Ralf] Helmholtz Zent Muenchen, Joint Mass Spectrometry Ctr, Cooperat Grp Comprehens Mol Analyt, D-85764 Neuherberg, Germany</t>
  </si>
  <si>
    <t>University of Rostock; University of Rostock; Bundeswehr University Munich; University of Rostock</t>
  </si>
  <si>
    <t>Rüger, CP (corresponding author), Univ Rostock, Chair Analyt Chem, Joint Mass Spectrometry Ctr JMSC, D-18059 Rostock, Germany.;Rüger, CP (corresponding author), Univ Rostock, Dept Life Light &amp; Matter LLM, D-18059 Rostock, Germany.</t>
  </si>
  <si>
    <t>Rüger, Christopher P./0000-0001-9634-9239; Tsybin, Yury/0000-0001-7533-0774; Zimmermann, Ralf/0000-0002-6280-3218; Schade, Julian/0000-0002-7906-6744</t>
  </si>
  <si>
    <t>EUROSTARS project [03SX483D]; Helmholtz International Lab; Federal Ministry for Economic Affairs and Climate Action by the project SAARUS; dtec.bw-Digitalization and Technology Research Center of the Bundeswehr; Thermo Fisher Scientific; [12083]</t>
  </si>
  <si>
    <t>EUROSTARS project; Helmholtz International Lab; Federal Ministry for Economic Affairs and Climate Action by the project SAARUS; dtec.bw-Digitalization and Technology Research Center of the Bundeswehr; Thermo Fisher Scientific;</t>
  </si>
  <si>
    <t>This work is financed and supported by the EUROSTARS project E! 12083 AerOrbi. Support by the Helmholtz International Lab. aeroHEALTH ( www.aerohealth.eu) is gratefully acknowledged. The authors thank the Interdiscipli-nary Faculty, Department Life, Light, and Matter of the University of Rostock for providing laboratory space and infrastructure. This work was supported by the Federal Ministry for Economic Affairs and Climate Action by the project SAARUS (grant number 03SX483D) and by dtec.bw-Digitalization and Technology Research Center of the Bundeswehr (project LUKAS and MORE) . The authors thank Thermo Fisher Scientific for support, especially Tobias Werner, Kyle Fort, and Alexander Makarov.</t>
  </si>
  <si>
    <t>0003-2700</t>
  </si>
  <si>
    <t>1520-6882</t>
  </si>
  <si>
    <t>ANAL CHEM</t>
  </si>
  <si>
    <t>Anal. Chem.</t>
  </si>
  <si>
    <t>2022 NOV 23</t>
  </si>
  <si>
    <t>10.1021/acs.analchem.2c03972</t>
  </si>
  <si>
    <t>NOV 2022</t>
  </si>
  <si>
    <t>Chemistry, Analytical</t>
  </si>
  <si>
    <t>6S2ZE</t>
  </si>
  <si>
    <t>WOS:000892860100001</t>
  </si>
  <si>
    <t>Sap, M; Jafarpour, A; Choi, Y; Smith, NA; Pennebaker, JW; Horvitz, E</t>
  </si>
  <si>
    <t>Sap, Maarten; Jafarpour, Anna; Choi, Yejin; Smith, Noah A.; Pennebaker, James W.; Horvitz, Eric</t>
  </si>
  <si>
    <t>Quantifying the narrative flow of imagined versus autobiographical stories</t>
  </si>
  <si>
    <t>natural language processing; imagination; narrative; memory; deep neural networks</t>
  </si>
  <si>
    <t>MEMORY; COMPREHENSION; PERCEPTION; SELF</t>
  </si>
  <si>
    <t>Lifelong experiences and learned knowledge lead to shared expectations about how common situations tend to unfold. Such knowledge of narrative event flow enables people to weave together a story. However, comparable computational tools to evaluate the flow of events in narratives are limited. We quantify the differences between autobiographical and imagined stories by introducing sequentiality, a measure of narrative flow of events, drawing probabilistic inferences from a cutting-edge large language model (GPT-3). Sequentiality captures the flow of a narrative by comparing the probability of a sentence with and without its preceding story context. We applied our measure to study thousands of diary-like stories, collected from crowdworkers, about either a recent remembered experience or an imagined story on the same topic. The results show that imagined stories have higher sequentiality than autobiographical stories and that the sequentiality of autobiographical stories increases when the memories are retold several months later. In pursuit of deeper understandings of how sequentiality measures the flow of narratives, we explore proportions of major and minor events in story sentences, as annotated by crowdworkers. We find that lower sequentiality is associated with higher proportions of major events. The methods and results highlight opportunities to use cutting-edge computational analyses, such as sequentiality, on large corpora of matched imagined and autobiographical stories to investigate the influences of memory and reasoning on language generation processes.</t>
  </si>
  <si>
    <t>[Sap, Maarten] Carnegie Mellon Univ, Language Technol Inst, Pittsburgh, PA 15213 USA; [Sap, Maarten; Choi, Yejin; Smith, Noah A.; Horvitz, Eric] Univ Washington, Paul G Allen Sch Comp Sci &amp; Amp Engn, Seattle, WA 98195 USA; [Sap, Maarten; Horvitz, Eric] Microsoft, Redmond, WA 98052 USA; [Jafarpour, Anna] Univ Washington, Dept Physiol &amp; Biophys, Seattle, WA 98195 USA; [Choi, Yejin; Smith, Noah A.] Allen Inst AI, Seattle, WA 98103 USA; [Pennebaker, James W.] Univ Texas Austin, Dept Psychol, Austin, TX 78712 USA</t>
  </si>
  <si>
    <t>Carnegie Mellon University; University of Washington; University of Washington Seattle; Microsoft; University of Washington; University of Washington Seattle; University of Texas System; University of Texas Austin</t>
  </si>
  <si>
    <t>Sap, M (corresponding author), Carnegie Mellon Univ, Language Technol Inst, Pittsburgh, PA 15213 USA.;Sap, M; Horvitz, E (corresponding author), Univ Washington, Paul G Allen Sch Comp Sci &amp; Amp Engn, Seattle, WA 98195 USA.;Sap, M; Horvitz, E (corresponding author), Microsoft, Redmond, WA 98052 USA.;Jafarpour, A (corresponding author), Univ Washington, Dept Physiol &amp; Biophys, Seattle, WA 98195 USA.</t>
  </si>
  <si>
    <t>maartensap@cmu.edu; annaja@uw.edu; horvitz@microsoft.com</t>
  </si>
  <si>
    <t>Pennebaker, James/0000-0001-9091-214X; Horvitz, Eric/0000-0002-8823-0614</t>
  </si>
  <si>
    <t>NIH [K99MH120048]</t>
  </si>
  <si>
    <t>NIH(United States Department of Health &amp; Human ServicesNational Institutes of Health (NIH) - USA)</t>
  </si>
  <si>
    <t>Microsoft provided an internship for M.S, support for crowdworkers, and computing resources for running the GPT-3 neural language model on HIPPOCORPUS. A.J. was supported by NIH Brain Initiative Grant K99MH120048. We are indebted to Paul Koch at the Office of the Chief Scientific Officer for for running the GPT-3 computation. We thank Zhilin Wang and members of the Buffalo Lab at the University of Washington for valuable discussions.</t>
  </si>
  <si>
    <t>NOV 8</t>
  </si>
  <si>
    <t>e2211715119</t>
  </si>
  <si>
    <t>10.1073/pnas.2211715119</t>
  </si>
  <si>
    <t>7N9GJ</t>
  </si>
  <si>
    <t>WOS:000907643500053</t>
  </si>
  <si>
    <t>Raza, A; Pulakka, A; Hanson, LLM; Westerlund, H; Halonen, JI</t>
  </si>
  <si>
    <t>Raza, Auriba; Pulakka, Anna; Hanson, Linda L. Magnusson; Westerlund, Hugo; Halonen, Jaana, I</t>
  </si>
  <si>
    <t>Distance to sports facilities and low frequency of exercise and obesity: a cross-sectional study</t>
  </si>
  <si>
    <t>BMC PUBLIC HEALTH</t>
  </si>
  <si>
    <t>Proximity; Exercise; Physical inactivity; Physical activity facilities; Home; Work; Obesity</t>
  </si>
  <si>
    <t>BEHAVIOR-RELATED HEALTH; PHYSICAL-ACTIVITY; ENVIRONMENTS; INACTIVITY; PROXIMITY; DISEASE; WORK; HOME</t>
  </si>
  <si>
    <t>Background Little research has investigated the associations between proximity to physical activity facilities and behavior-related health and the majority have focused on proximity from home address. We add to the literature by examining proximity of these facilities to work and home address and including a wide range of physical activity facilities. We assess the associations for proximity of physical activity facilities from home and work address with self-reported frequency of exercise and obesity. Methods Our analytical sample of 7358 participants was from the 2018 wave of the Swedish Longitudinal Occupational Survey of Health. We used logistic binomial regression adjusting for age, sex, education, civil status, individual socioeconomic status, neighborhood socioeconomic status, number of children under 12 years of age, work strain, and chronic disease. Results Longer distance from home to paid outdoor and paid indoor physical activity facilities was associated with low frequency of exercise (fully adjusted Relative Risk for both 1.01, 95% CI 1.01-1.02). Associations of any or free outdoor facility with low frequency of exercise were not robust. Findings also indicated associations between long distance from workplace to any and paid outdoor facility and low frequency of exercise. Results for obesity were in the similar direction, however, these were not statistically significant. Conclusion Increased distance of paid outdoor and paid indoor physical activity facilities from home and of paid outdoor facilities from work was associated with low frequency of exercise. Longitudinal and larger studies are needed to confirm our findings, particularly regarding obesity.</t>
  </si>
  <si>
    <t>[Raza, Auriba; Halonen, Jaana, I] Stockholm Univ, Stress Res Inst, Dept Psychol, S-10691 Stockholm, Sweden; [Pulakka, Anna] Univ Oulu, Fac Med, Res Unit Populat Hlth, POB 8000, Oulu 90014, Finland; [Pulakka, Anna] Finnish Inst Hlth &amp; Welf, Dept Publ Hlth &amp; Welf, POB 30, Helsinki 00271, Finland; [Hanson, Linda L. Magnusson; Westerlund, Hugo; Halonen, Jaana, I] Finnish Inst Hlth &amp; Welf, Dept Hlth Secur, POB 30, Helsinki 00271, Finland</t>
  </si>
  <si>
    <t>Stockholm University; University of Oulu</t>
  </si>
  <si>
    <t>Raza, A (corresponding author), Stockholm Univ, Stress Res Inst, Dept Psychol, S-10691 Stockholm, Sweden.</t>
  </si>
  <si>
    <t>auriba.raza@su.se</t>
  </si>
  <si>
    <t>Westerlund, Hugo/0000-0002-8806-5698; Westerlund, Hugo/0000-0002-8806-5698; RAZA, AURIBA/0000-0002-5030-3697</t>
  </si>
  <si>
    <t>Stockholm University; Forskningsradet for halsa, arbetsliv och valfard (Forte), Swedish Research Council for Health, Working Life and Welfare [2018-00479]; Forte [2018-00479] Funding Source: Forte</t>
  </si>
  <si>
    <t>Stockholm University; Forskningsradet for halsa, arbetsliv och valfard (Forte), Swedish Research Council for Health, Working Life and Welfare; Forte(Swedish Research Council for Health Working Life &amp; Welfare (Forte))</t>
  </si>
  <si>
    <t>Open access funding provided by Stockholm University. This study was funded by Forskningsradet for halsa, arbetsliv och valfard (Forte), Swedish Research Council for Health, Working Life and Welfare (project 2018-00479). Auriba Raza was supported by this funding. The funder has no role in the study design; data collection; analysis or interpretation of data; in the writing of the manuscript; or in the decision to submit the paper for publication.</t>
  </si>
  <si>
    <t>1471-2458</t>
  </si>
  <si>
    <t>BMC Public Health</t>
  </si>
  <si>
    <t>NOV 7</t>
  </si>
  <si>
    <t>10.1186/s12889-022-14444-7</t>
  </si>
  <si>
    <t>Public, Environmental &amp; Occupational Health</t>
  </si>
  <si>
    <t>5Z1YL</t>
  </si>
  <si>
    <t>WOS:000879774000001</t>
  </si>
  <si>
    <t>Sueur, M; Rueger, CP; Maillard, JF; Lavanant, H; Zimmermann, R; Afonso, C</t>
  </si>
  <si>
    <t>Sueur, Maxime; Rueger, Christopher P.; Maillard, Julien F.; Lavanant, Helene; Zimmermann, Ralf; Afonso, Carlos</t>
  </si>
  <si>
    <t>Selective characterization of petroporphyrins in shipping fuels and their corresponding emissions using electron-transfer matrix-assisted laser desorption/ionization Fourier transform ion cyclotron resonance mass spectrometry</t>
  </si>
  <si>
    <t>FUEL</t>
  </si>
  <si>
    <t>Petroporphyrins; High-resolution mass spectrometry; MALDI; Ship emissions; Particulate matter; Bunker fuel</t>
  </si>
  <si>
    <t>ENHANCED MULTIPHOTON IONIZATION; CHEMICAL-CHARACTERIZATION; SOURCE APPORTIONMENT; VANADYL PORPHYRINS; PARTICULATE MATTER; PARTICLE EMISSIONS; AEROSOL EMISSIONS; MARINE ENGINE; DIESEL FUEL; CRUDE OILS</t>
  </si>
  <si>
    <t>In the context of the global transportation of goods, shipping emissions account for a significant proportion of air pollution. Indeed, a focus has been made over recent years on this primary emission source, leading to several regulations with respect to the chemical composition of shipping fuels. However, these regulations mainly concern the fuel sulfur content (FSC) and do not consider other compound classes such as polycyclic aromatic hydrocarbons (PAHs) or metal-containing aromatics, i.e., petroporphyrins, known to be present in bunker fuels. Petroporphyrins are tetrapyrrole-based metal complexes derived from the transformation of chlorophylls through geological time scales. In contrast to PAHs, their fate in the combustion process and effects on envi-ronmental health are widely unknown. In this study, we present electron-transfer ionization in matrix-assisted laser desorption/ionization Fourier transform ion cyclotron resonance mass spectrometry (ET-MALDI FTICR MS) for the characterization of vanadyl and nickel porphyrins in shipping feed fuels and primary particulate matter emissions. For the first time, these petroporphyrins could successfully be described in the heavy fuel oil (HFO) feeds but also in the particles emitted by the combustion of the respective fuel on a molecular level. Three main alkylated series of porphyrins were observed; these series can be qualified by their double bond equivalent, i.e., 17, 18, and 20, and correspond to various core structures. Our results highlight the molecular fate of the petroporphyrins through combustion and show that a significant amount of petroporphyrins is released un-burned or partially dealkylated to the atmosphere. Furthermore, our results suggest that a higher amount of petroporphyrins might be released in harbors than in open sea, due to a less efficient combustion at lower engine load. This last observation motivates a future specific study on porphyrins' health and environmental effects.</t>
  </si>
  <si>
    <t>[Sueur, Maxime; Maillard, Julien F.; Lavanant, Helene; Afonso, Carlos] Univ Rouen, Normandie Univ, COBRA, UMR 6014 &amp; FR 3038, Mont St Aignan, France; [Sueur, Maxime; Rueger, Christopher P.; Maillard, Julien F.; Afonso, Carlos] Int Joint Lab, iC2MC: Complex Matr Mol Characterizat, TRTG, BP 27, F-76700 Harfleur, France; [Rueger, Christopher P.; Zimmermann, Ralf] Univ Rostock, Chair Analyt Chem, Joint Mass Spectrometry Ctr, D-18059 Rostock, Germany; [Rueger, Christopher P.; Zimmermann, Ralf] Univ Rostock, Dept Life, Light &amp; Matter LLM, D-18051 Rostock, Germany</t>
  </si>
  <si>
    <t>christopher.rueger@uni-rostock.de</t>
  </si>
  <si>
    <t>Afonso, Carlos/E-9736-2011; Lavanant, Helene/F-9677-2011</t>
  </si>
  <si>
    <t>Centre National de la Recherche Scientifique (CNRS); European Regional Development Fund (ERDF); Labex SynOrg [NR-18-EURE-0020 XL CHEM]; Carnot Institut I2C [731077]; European Union's Horizon 2020 Research Infrastructures program [ZI 764/28-1]; DFG [ANR-20-CE92-0036]; ANR; [ANR-11-LABX-0029]; Agence Nationale de la Recherche (ANR) [ANR-20-CE92-0036] Funding Source: Agence Nationale de la Recherche (ANR)</t>
  </si>
  <si>
    <t>Centre National de la Recherche Scientifique (CNRS)(Centre National de la Recherche Scientifique (CNRS)); European Regional Development Fund (ERDF)(European Union (EU)); Labex SynOrg; Carnot Institut I2C; European Union's Horizon 2020 Research Infrastructures program; DFG(German Research Foundation (DFG)); ANR(Agence Nationale de la Recherche (ANR)); ; Agence Nationale de la Recherche (ANR)(Agence Nationale de la Recherche (ANR))</t>
  </si>
  <si>
    <t>This work has been partially supported by the University of Rouen Normandy, INSA Rouen Normandy, the Centre National de la Recherche Scientifique (CNRS) , European Regional Development Fund (ERDF) , Labex SynOrg (ANR-11-LABX-0029) , Carnot Institut I2C, the graduate school for research Xl-Chem (ANR-18-EURE-0020 XL CHEM) , the European Union's Horizon 2020 Research Infrastructures program (Grant Agreement 731077) and by Region Normandie. We thank the DFG (ZI 764/28-1) and ANR (ANR-20-CE92-0036) for funding the research project TIMSAC.</t>
  </si>
  <si>
    <t>0016-2361</t>
  </si>
  <si>
    <t>1873-7153</t>
  </si>
  <si>
    <t>Fuel</t>
  </si>
  <si>
    <t>10.1016/j.fuel.2022.126283</t>
  </si>
  <si>
    <t>OCT 2022</t>
  </si>
  <si>
    <t>5R6JX</t>
  </si>
  <si>
    <t>WOS:000874615700007</t>
  </si>
  <si>
    <t>Fernandes, ACG; Valadares, NR; Rodrigues, CHO; Alves, RA; Guedes, LLM; Magalhaes, JR; da Silva, RB; Gomes, LSD; Azevedo, AM</t>
  </si>
  <si>
    <t>Fernandes, Ana Clara G.; Valadares, Nermy R.; Rodrigues, Clovis Henrique O.; Alves, Rayane A.; Guedes, Lis Lorena M.; Magalhaes, Jailson R.; da Silva, Rafael B.; Gomes, Luan S. de P.; Azevedo, Alcinei M.</t>
  </si>
  <si>
    <t>Feasibility of computational vision in the genetic improvement of sweet root</t>
  </si>
  <si>
    <t>HORTICULTURA BRASILEIRA</t>
  </si>
  <si>
    <t>Ipomoea batatas; image analysis; high efficiency phenotyping</t>
  </si>
  <si>
    <t>The improvement of sweet potato is a costly job due to the large number of characteristics to be analyzed for the selection of the best genotypes, making it necessary to adopt new technologies, such as the use of images, associated with the phenotyping process. The objective of this research was to develop a methodology for the phenotyping of the root production aiming genetic improvement of half-sib sweet potato progenies through computational analysis of images and to compare its performance to the traditional methodology of evaluation. Sixteen half-sib sweet potato families in a randomized block design with 4 replications were evaluated. At plant level, the weight per root and the total number of roots were evaluated. The images were acquired in a studio made of mdf with a digital camera model Canon PowerShotSX400 IS, under artificial lighting. The evaluations were carried out using the R software, where a second-degree polynomial regression model was fitted to predict the root weight (in grams) and the genetic values and expected gains were obtained. It was possible to predict the root weight at plant and plot level, obtaining high coefficients of determination between the predicted and observed weight. Computer vision allowed the prediction of root weight, maintaining the genotype ranking and consequently the similarity between the expected gains with the selection. Thus, the use of images is an efficient tool for sweet potato genetic improvement programs, assisting in the crop phenotyping process.</t>
  </si>
  <si>
    <t>[Fernandes, Ana Clara G.; Rodrigues, Clovis Henrique O.; Alves, Rayane A.; Guedes, Lis Lorena M.; Magalhaes, Jailson R.; da Silva, Rafael B.; Gomes, Luan S. de P.; Azevedo, Alcinei M.] Univ Fed Minas Gerais UFMG ICA, Montes Claros, MG, Brazil; [Valadares, Nermy R.] Inst Fed Norte Minas Gerais IFNMG, Aracuai, MG, Brazil</t>
  </si>
  <si>
    <t>Instituto Federal do Norte de Minas Gerais (IFNMG)</t>
  </si>
  <si>
    <t>Azevedo, AM (corresponding author), Univ Fed Minas Gerais UFMG ICA, Montes Claros, MG, Brazil.</t>
  </si>
  <si>
    <t>anaclaragoncalvesfernandes@gmail.com; nermyrv@gmail.com; clovis.rod1@gmail.com; rayaneaguiaralves@gmail.com; lislorenamelucio@gmail.com; jailsonrmagalhaes@hotmail.com; rafael.bolina2@gmail.com; luanspg@hotmail.com; alcineimistico@hotmail.com</t>
  </si>
  <si>
    <t>CAPES (Council for the Improvement of Higher Education Personnel); FAPEMIG (Research Support Foundation of the State of Minas Gerais); CNPq (National Council for Scientific and Technological Development); [001]</t>
  </si>
  <si>
    <t>CAPES (Council for the Improvement of Higher Education Personnel); FAPEMIG (Research Support Foundation of the State of Minas Gerais)(Fundacao de Amparo a Pesquisa do Estado de Minas Gerais (FAPEMIG)); CNPq (National Council for Scientific and Technological Development)(Conselho Nacional de Desenvolvimento Cientifico e Tecnologico (CNPQ));</t>
  </si>
  <si>
    <t>We thank CAPES (Council for the Improvement of Higher Education Personnel, code 001) , FAPEMIG (Research Support Foundation of the State of Minas Gerais) and CNPq (National Council for Scientific and Technological Development) for supporting this study.</t>
  </si>
  <si>
    <t>ASSOC BRASILEIRA HORTICULTURA</t>
  </si>
  <si>
    <t>CAMPINAS</t>
  </si>
  <si>
    <t>IAC-CENTRO HORTICULTURA, CAIXA POSTAL 28, CAMPINAS, SP 13012-970, BRAZIL</t>
  </si>
  <si>
    <t>0102-0536</t>
  </si>
  <si>
    <t>1806-9991</t>
  </si>
  <si>
    <t>HORTIC BRAS</t>
  </si>
  <si>
    <t>Hortic. Bras.</t>
  </si>
  <si>
    <t>OCT-DEC</t>
  </si>
  <si>
    <t>10.1590/s0102-0536-20220405</t>
  </si>
  <si>
    <t>Horticulture</t>
  </si>
  <si>
    <t>7V6IC</t>
  </si>
  <si>
    <t>WOS:000912915100005</t>
  </si>
  <si>
    <t>Tang, N; Siebers, N; Leinweber, P; Eckhardt, KU; Dultz, S; Nischwitz, V; Klumpp, E</t>
  </si>
  <si>
    <t>Tang, Ni; Siebers, Nina; Leinweber, Peter; Eckhardt, Kai-Uwe; Dultz, Stefan; Nischwitz, Volker; Klumpp, Erwin</t>
  </si>
  <si>
    <t>pubs.acs.org/est Article Implications of Free and Occluded Fine Colloids for Organic Matter Preservation in Arable Soils</t>
  </si>
  <si>
    <t>ENVIRONMENTAL SCIENCE &amp; TECHNOLOGY</t>
  </si>
  <si>
    <t>colloidal organo-mineral associations; organic matter composition; organic matter stability; soil microaggregates; asymmetric flow field-flow fractionation; mass spectrometry</t>
  </si>
  <si>
    <t>FIELD-FLOW FRACTIONATION; DENSITY FRACTIONS; LAND-USE; FACILITATED TRANSPORT; MINERAL ASSOCIATIONS; TEMPERATE SOILS; PLANT INPUTS; CLAY CONTENT; STABILIZATION; CARBON</t>
  </si>
  <si>
    <t>Colloidal organo-mineral associations contribute to soil organic matter (OM) preservation and mainly occur in two forms: (i) as water-dispersible colloids that are potentially mobile (free colloids) and (ii) as building units of soil microaggregates that are occluded inside them (occluded colloids). However, the way in which these two colloidal forms differ in terms of textural characteristics and chemical composition, together with the nature of their associated OM, remains unknown. To fill these knowledge gaps, free and occluded fine colloids &lt; 220 nm were isolated from arable soils with comparable organic carbon (C-org) but different clay contents. Free colloids were dispersed in water suspensions during wet-sieving, while occluded colloids were released from water-stable aggregates by sonication. The asymmetric flow field-flow fractionation analysis on the free and occluded colloids suggested that most of the 0.6-220 nm fine colloidal C-org was present in size fractions that showed high abundances of Si, Al, and Fe. The pyrolysis-field ionization mass spectrometry revealed that the free colloids were relatively rich in less decomposed plant-derived OM (i.e., lipids, suberin, and free fatty acids), whereas the occluded colloids generally contained more decomposed and microbial-derived OM (i.e., carbohydrates and amides). In addition, a higher thermal stability of OM in occluded colloids pointed to a higher resistance to further degradation and mineralization of OM in occluded colloids than that in free colloids. This study provides new insights into the characteristics of subsized fractions of fine colloidal organo-mineral associations in soils and explores the impacts of free versus occluded colloidal forms on the composition and stability of colloid-associated OM.</t>
  </si>
  <si>
    <t>[Tang, Ni; Siebers, Nina; Klumpp, Erwin] Forschungszentrum Julich GmbH, Inst Bio &amp; Geosci Agrosphere IBG 3, Wilhelm Johnen Str, D-52425 Julich, Germany; [Tang, Ni] Rhein Westfal TH Aachen, Inst Environm Res, Biol 5, D-52074 Aachen, Germany; [Siebers, Nina] Forschungszentrum Julich GmbH, Ernst Ruska Ctr Microscopy &amp; Spect Electrons ER C, Wilhelm Johnen Str, D-52425 Julich, Germany; [Leinweber, Peter; Eckhardt, Kai-Uwe] Univ Rostock, Fac Agr &amp; Environm Sci, Soil Sci, D-18051 Rostock, Germany; [Leinweber, Peter] Univ Rostock, Dept Life Light &amp; Matter LLM, D-18059 Rostock, Germany; [Dultz, Stefan] Leibniz Univ Hannover, Inst Soil Sci, D-30419 Hannover, Germany; [Nischwitz, Volker] Forschungszentrum Julich GmbH, Cent Inst Engn Elect &amp; Analyt ZEA 3, Wilhelm Johnen Str, Julich D-52425, Germany</t>
  </si>
  <si>
    <t>Helmholtz Association; Research Center Julich; RWTH Aachen University; Helmholtz Association; Research Center Julich; University of Rostock; University of Rostock; Leibniz University Hannover; Helmholtz Association; Research Center Julich</t>
  </si>
  <si>
    <t>Tang, N (corresponding author), Forschungszentrum Julich GmbH, Inst Bio &amp; Geosci Agrosphere IBG 3, Wilhelm Johnen Str, D-52425 Julich, Germany.;Tang, N (corresponding author), Rhein Westfal TH Aachen, Inst Environm Res, Biol 5, D-52074 Aachen, Germany.</t>
  </si>
  <si>
    <t>n.tang@fz-juelich.de</t>
  </si>
  <si>
    <t>Klumpp, E*/H-1382-2013</t>
  </si>
  <si>
    <t>Klumpp, E*/0000-0002-4810-9414; Tang, Ni/0000-0002-6726-2481</t>
  </si>
  <si>
    <t>DFG (Deutsche Forschungsgemeinschaft) [2179]; China Scholarship Council [201806190224]</t>
  </si>
  <si>
    <t>DFG (Deutsche Forschungsgemeinschaft)(German Research Foundation (DFG)); China Scholarship Council(China Scholarship Council)</t>
  </si>
  <si>
    <t>This work is associated with the MAD Soil project (MAD Soil Microaggregates: Formation and turnover of the structural building blocks of soils), which is funded by the DFG (Deutsche Forschungsgemeinschaft, Research Unit 2179). N.T. would like to thank the China Scholarship Council (No. 201806190224) for supporting her studies at Forschungszentrum Julich and RWTH Aachen University. The C and N determination by Jennifer Pelikan, ZEA-3, Forschungszentrum Julich, and the ICP-OES measurements by Sabrina Tuckhardt, ZEA-3, Forschungszentrum Julich are gratefully acknowledged.</t>
  </si>
  <si>
    <t>0013-936X</t>
  </si>
  <si>
    <t>1520-5851</t>
  </si>
  <si>
    <t>ENVIRON SCI TECHNOL</t>
  </si>
  <si>
    <t>Environ. Sci. Technol.</t>
  </si>
  <si>
    <t>10.1021/acs.est.2c01973</t>
  </si>
  <si>
    <t>SEP 2022</t>
  </si>
  <si>
    <t>8S0UA</t>
  </si>
  <si>
    <t>WOS:000861929900001</t>
  </si>
  <si>
    <t>Overview international best practices on customer due diligence and related anti-money laundering measures</t>
  </si>
  <si>
    <t>Customer due diligence; Anti-money laundering; International best practices; Measures</t>
  </si>
  <si>
    <t>Purpose The anti-money laundering (AML) frameworks of many countries were generally influenced by the international best practices of money laundering that were first established in 1988 through the Basel Committee on Banking Supervision (BCBS). The general belief is that these international best practices are applicable in all jurisdictions, although most countries are still affected by money laundering. The international best practices are universal measures that were developed as a yardstick to control and curb money laundering globally. Nonetheless, international best practices for money laundering are not tailor-made for specific jurisdictions and/or countries. Therefore, it remains the duty of respective jurisdictions and/or countries to develop their own context-sensitive AML measures in accordance with international best practices. An overview of the AML international best practices that were developed and adopted by several countries are analysed in this paper. These include customer due diligence measures established by the BCBS, the financial action task force (FATF) standards, as well as the ongoing monitoring and the risk-sensitive approach that were implemented to curb money laundering globally. Design/methodology/approach The article analyses the AML international best practices that were developed and adopted by several countries. These include customer due diligence measures established by the BCBS, the FATF standards, as well as the ongoing monitoring and the risk-sensitive approach that were implemented to curb money laundering globally. Findings It is hoped that policymakers and other relevant persons will use the recommendations provided in the paper to enhance the curbing of money laundering in financial institutions globally. Research limitations/implications The paper does not provide empirical research. Practical implications The study is useful to all policymakers, lawyers, law students and regulatory bodies globally. Social implications The study seeks to curb money laundering in the economy and society globally. Originality/value The study is original research on the use of AML/counter financing of terrorism international best practices to curb money laundering activities globally.</t>
  </si>
  <si>
    <t>Howard.Chitimira@nwu.ac.za</t>
  </si>
  <si>
    <t>This article was supported in part by the National Research Foundation of South Africa (NRF), Grant Number: 141933. Consequently, the author wishes to thank the NRF for its support. The article was influenced in part by S. Munedzi's Master of Laws (LLM) dissertation, The Reliance on Customer Due Diligence to Enhance the Combating of Money Laundering under the Financial Intelligence Centre Amendment Act 1 of 2017 (North-West University) 2018, pp. 74-82.</t>
  </si>
  <si>
    <t>10.1108/JMLC-07-2022-0102</t>
  </si>
  <si>
    <t>8G2LI</t>
  </si>
  <si>
    <t>WOS:000851216500001</t>
  </si>
  <si>
    <t>Li, B; Cheng, AM; Liu, H; Wang, H; Wang, C; Xu, QS; Han, ZX; Feng, ZE</t>
  </si>
  <si>
    <t>Li, Bo; Cheng, Aoming; Liu, Huan; Wang, Hao; Wang, Chong; Xu, Qiaoshi; Han, Zhengxue; Feng, Zhien</t>
  </si>
  <si>
    <t>The modified vermilion border-marionette line approach: A management for buccal cancer with wider indications and higher satisfaction</t>
  </si>
  <si>
    <t>ORAL DISEASES</t>
  </si>
  <si>
    <t>aesthetic; buccal squamous cell carcinoma; lower lip middle approach; modified vermilion border-marionette line approach</t>
  </si>
  <si>
    <t>SQUAMOUS-CELL CARCINOMA; SURGICAL SCARS; SPLIT-SCAR; MUCOSA; NECK; HEAD</t>
  </si>
  <si>
    <t>Objective The purpose of this study is to explore the effects of modified vermilion border-marionette line (MVBML) approach on postoperative facial scar, nerves injury, and prognosis of patients with buccal squamous cell carcinoma (BSCC). Patients and Methods This is a single-center, prospective cohort study that enrolled 80 patients with BSCC from June 2015 to December 2020. According to the different surgical approaches, the patients were divided into two groups: the lower lip median (LLM) approach group and the MVBML approach group. Results The results showed that the appearance (p = 0.003), scar consciousness (p &lt; 0.001) and satisfaction with appearance (p = 0.001) of patients in the MVBML group were significantly better than those in the LLM group, and the difference was more obvious in elderly group. Statistical analysis of postoperative nerves injury showed that the MVBML group had a lower risk of facial and mental nerves injury than the LLM group, and there was a significant statistical difference in mental nerve injury between the two groups (p &lt; 0.001). Through Kaplan-Meier survival analysis, we found no significant difference in disease-specific survival (p = 0.47) or disease-free survival (p = 0.70) between the LLM approach group and the MVBML approach group. Conclusions The MVBML surgical approach is worthy of advancement for the surgical treatment of BSCC.</t>
  </si>
  <si>
    <t>[Li, Bo; Cheng, Aoming; Liu, Huan; Wang, Hao; Wang, Chong; Xu, Qiaoshi; Han, Zhengxue; Feng, Zhien] Capital Med Univ, Beijing Stomatol Hosp, Dept Oral &amp; Maxillofacial Head &amp; Neck Oncol, 4 Tian Tan Xi Li, Beijing 100050, Peoples R China</t>
  </si>
  <si>
    <t>Capital Medical University</t>
  </si>
  <si>
    <t>Han, ZX; Feng, ZE (corresponding author), Capital Med Univ, Beijing Stomatol Hosp, Dept Oral &amp; Maxillofacial Head &amp; Neck Oncol, 4 Tian Tan Xi Li, Beijing 100050, Peoples R China.</t>
  </si>
  <si>
    <t>hanzx1989@163.com; jyfzhen@126.com</t>
  </si>
  <si>
    <t>Feng, Zhien/0000-0003-1952-6734; Han, Zhengxue/0000-0002-9508-1098</t>
  </si>
  <si>
    <t>Beijing Municipal Commission of Education [KM202110025008]; Beijing Science and Technology Commission [Z161100000516201]; innovation Research Team Project of Beijing Stomatological Hospital, Capital Medical University [CXTD202204]; Capitals Funds for Health Improvement and Research [CFH2020-2-2143, 2018-4-2082]; Capital Medical University; Beijing Municipal Education Commission; National Natural Science Foundation of China [82072984]</t>
  </si>
  <si>
    <t>Beijing Municipal Commission of Education(Beijing Municipal Commission of Education); Beijing Science and Technology Commission; innovation Research Team Project of Beijing Stomatological Hospital, Capital Medical University; Capitals Funds for Health Improvement and Research; Capital Medical University; Beijing Municipal Education Commission(Beijing Municipal Commission of Education); National Natural Science Foundation of China(National Natural Science Foundation of China (NSFC))</t>
  </si>
  <si>
    <t>Beijing Municipal Commission of Education, Grant/Award Number: KM202110025008; Beijing Science and Technology Commission, Grant/ Award Number: Z161100000516201; innovation Research Team Project of Beijing Stomatological Hospital, Capital Medical University, Grant/Award Number: CXTD202204; the Capitals Funds for Health Improvement and Research, Grant/ Award Number: CFH2020-2-2143 and 2018-4-2082; Capital Medical University; Beijing Municipal Education Commission; National Natural Science Foundation of China, Grant/Award Number: 82072984</t>
  </si>
  <si>
    <t>1354-523X</t>
  </si>
  <si>
    <t>1601-0825</t>
  </si>
  <si>
    <t>ORAL DIS</t>
  </si>
  <si>
    <t>Oral Dis.</t>
  </si>
  <si>
    <t>10.1111/odi.14340</t>
  </si>
  <si>
    <t>Dentistry, Oral Surgery &amp; Medicine</t>
  </si>
  <si>
    <t>W7IX9</t>
  </si>
  <si>
    <t>WOS:000852977200001</t>
  </si>
  <si>
    <t>Gamallo, P; Garcia, M; De-Dios-Flores, I</t>
  </si>
  <si>
    <t>Gamallo, Pablo; Garcia, Marcos; De-Dios-Flores, Iria</t>
  </si>
  <si>
    <t>Evaluating Contextualized Vectors from both Large Language Models and Compositional Strategies</t>
  </si>
  <si>
    <t>PROCESAMIENTO DEL LENGUAJE NATURAL</t>
  </si>
  <si>
    <t>Large Language Models; Contextualized Vectors; Comositionality; Semantic Similarity; Selection Preferences; Syntactic Dependencies</t>
  </si>
  <si>
    <t>In this article, we compare contextualized vectors derived from large language models with those generated by means of dependency-based compositional techniques. For this purpose, we make use of a word-in-context similarity task. As all experiments are conducted for the Galician language, we created a new Galician evaluation dataset for this specific semantic task. The results show that compositional vectors derived from syntactic approaches based on selectional preferences are competitive with the contextual embeddings derived from neural-based large language models.</t>
  </si>
  <si>
    <t>[Gamallo, Pablo; Garcia, Marcos; De-Dios-Flores, Iria] Univ Santiago de Compostela, Ctr Invest Tecnol Intelixentes CITIUS, Galiza, Spain</t>
  </si>
  <si>
    <t>Universidade de Santiago de Compostela</t>
  </si>
  <si>
    <t>Gamallo, P (corresponding author), Univ Santiago de Compostela, Ctr Invest Tecnol Intelixentes CITIUS, Galiza, Spain.</t>
  </si>
  <si>
    <t>pablo.gamallo@usc.gal; marcos.garcia.gonzalez@usc.gal; iria.dedios@usc.gal</t>
  </si>
  <si>
    <t>gamallo, pablo/0000-0002-5819-2469; de-Dios-Flores, Iria/0000-0002-5941-1707</t>
  </si>
  <si>
    <t>Xunta de Galicia; University of Santiago de Compostela; Galician Ministry of Education, University and Professional Training [ED431G2019/04]; European Regional Development Fund (ERDF/FEDER program) [ED431C 2020/21]; Ramon y Cajal grant [RYC2019-028473-I]; Galician Government [ED431F 2021/01]</t>
  </si>
  <si>
    <t>Xunta de Galicia(Xunta de Galicia); University of Santiago de Compostela; Galician Ministry of Education, University and Professional Training; European Regional Development Fund (ERDF/FEDER program)(European Union (EU)); Ramon y Cajal grant(Spanish Government); Galician Government</t>
  </si>
  <si>
    <t>This research was funded by the project N ' os: Galician in the society and economy of artificial intelligence, agreement between Xunta de Galicia and University of Santiago de Compostela, and grant ED431G2019/04 by the Galician Ministry of Education, University and Professional Training, and the European Regional Development Fund (ERDF/FEDER program), and Groups of Reference: ED431C 2020/21. In addition: Ramon y Cajal grant (RYC2019-028473-I) and Grant ED431F 2021/01 (Galician Government).</t>
  </si>
  <si>
    <t>SOC ESPANOLA PROCESAMIENTO LENGUAJE NATURAL-SEPLN</t>
  </si>
  <si>
    <t>ALICANTE</t>
  </si>
  <si>
    <t>DEPT LENGUAJES &amp; SISTEMAS INFORMATICOS, UNIV ALICANTE, APDO 99, ALICANTE, 03080, SPAIN</t>
  </si>
  <si>
    <t>1135-5948</t>
  </si>
  <si>
    <t>1989-7553</t>
  </si>
  <si>
    <t>PROCES LENG NAT</t>
  </si>
  <si>
    <t>Proces. Leng. Nat.</t>
  </si>
  <si>
    <t>10.26342/2022-69-13</t>
  </si>
  <si>
    <t>7A7BN</t>
  </si>
  <si>
    <t>WOS:000898606900014</t>
  </si>
  <si>
    <t>Rosa, BLT; Fujisawa, K; Santos, JCC; Zhang, TY; Matos, MJS; Sousa, FB; Barbosa, TC; Lafeta, L; Ramos, SLLM; Carvalho, BR; Chacham, H; Neves, BRA; Terrones, M; Malard, LM</t>
  </si>
  <si>
    <t>Rosa, Barbara L. T.; Fujisawa, Kazunori; Santos, Joyce C. C.; Zhang, Tianyi; Matos, Matheus J. S.; Sousa, Frederico B.; Barbosa, Tiago C.; Lafeta, Lucas; Ramos, Sergio L. L. M.; Carvalho, Bruno R.; Chacham, Helio; Neves, Bernardo R. A.; Terrones, Mauricio; Malard, Leandro M.</t>
  </si>
  <si>
    <t>Investigation of spatially localized defects in synthetic WS2 monolayers</t>
  </si>
  <si>
    <t>PHYSICAL REVIEW B</t>
  </si>
  <si>
    <t>GRAIN-BOUNDARIES; MONOLAYER; WS2; TRANSITION; PHOTOLUMINESCENCE; OPTOELECTRONICS; SPECTROSCOPY; LAYER; MOS2</t>
  </si>
  <si>
    <t>While the spatially nonhomogeneous light emission from synthetic WS2 monolayers is frequently reported in the literature, the nature of this phenomenon still requires thoughtful investigation. Here, we combine several characterization techniques (optical imaging, scanning probe and electron microscopy) along with density functional theory to investigate the presence of substitutional doping localized at narrow regions along the S zigzag edge of WS2 monolayers. We verified that photoluminescence quenching along narrow regions is not related to grain boundaries but to substitutional impurities of lighter metals at the W sites, which modify the radiative and nonradiative decay channels. We also found potential candidates for occupying the W site through ADF-STEM analysis and discussed their impact on photoluminescence quenching by performing density functional theory calculations. Our findings shed light on how atomic defects introduced during WS2 monolayer's synthesis impact the crystalline quality and, therefore, the development of high-performance optoelectronic devices based on semiconducting 2D materials.</t>
  </si>
  <si>
    <t>[Rosa, Barbara L. T.; Santos, Joyce C. C.; Sousa, Frederico B.; Lafeta, Lucas; Chacham, Helio; Neves, Bernardo R. A.; Malard, Leandro M.] Univ Fed Minas Gerais, Dept Fis, BR-30123970 Belo Horizonte, MG, Brazil; [Fujisawa, Kazunori; Terrones, Mauricio] Penn State Univ, Dept Phys, University Pk, PA 16802 USA; [Fujisawa, Kazunori; Zhang, Tianyi; Terrones, Mauricio] Penn State Univ, Ctr 2 Dimens &amp; Layered Mat, University Pk, PA 16802 USA; [Zhang, Tianyi] Penn State Univ, Dept Mat Sci &amp; Engn, University Pk, PA 16802 USA; [Matos, Matheus J. S.] Univ Fed Ouro Preto, Dept Fis, BR-35400000 Ouro Preto, MG, Brazil; [Barbosa, Tiago C.; Ramos, Sergio L. L. M.] Univ Fed Minas Gerais, CTNano, BR-31310260 Belo Horizonte, MG, Brazil; [Carvalho, Bruno R.] Univ Fed Rio Grande do Norte, Dept Fis, BR-59078970 Natal, RN, Brazil; [Terrones, Mauricio] Penn State Univ, Dept Chem &amp; Mat Sci &amp; Engn, University Pk, PA 16802 USA</t>
  </si>
  <si>
    <t>Universidade Federal de Minas Gerais; Pennsylvania Commonwealth System of Higher Education (PCSHE); Pennsylvania State University; Pennsylvania State University - University Park; 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Universidade Federal de Ouro Preto; Universidade Federal de Minas Gerais; Universidade Federal do Rio Grande do Norte; Pennsylvania Commonwealth System of Higher Education (PCSHE); Pennsylvania State University; Pennsylvania State University - University Park</t>
  </si>
  <si>
    <t>Terrones, M (corresponding author), Penn State Univ, Dept Phys, University Pk, PA 16802 USA.;Terrones, M (corresponding author), Penn State Univ, Ctr 2 Dimens &amp; Layered Mat, University Pk, PA 16802 USA.;Terrones, M (corresponding author), Penn State Univ, Dept Chem &amp; Mat Sci &amp; Engn, University Pk, PA 16802 USA.</t>
  </si>
  <si>
    <t>mut11@psu.edu; lmalard@fisica.ufmg.br</t>
  </si>
  <si>
    <t>CNPq; CAPES; FAPEMIG [APQ-02026-17, APQ-01171-21]; FINEP; INCT de Nanomateriais de Carbono; Universidade Federal de Ouro Preto</t>
  </si>
  <si>
    <t>CNPq(Conselho Nacional de Desenvolvimento Cientifico e Tecnologico (CNPQ)); CAPES(Coordenacao de Aperfeicoamento de Pessoal de Nivel Superior (CAPES)); FAPEMIG(Fundacao de Amparo a Pesquisa do Estado de Minas Gerais (FAPEMIG)); FINEP(Financiadora de Inovacao e Pesquisa (Finep)); INCT de Nanomateriais de Carbono; Universidade Federal de Ouro Preto</t>
  </si>
  <si>
    <t>The authors at Brazilian institutions acknowledge financial support from the Brazilian agencies CNPq, CAPES, FAPEMIG (APQ-02026-17, APQ-01171-21) , and FINEP, and from the projects INCT de Nanomateriais de Carbono and Rede Mineira de Materiais Bidimensionais. M.J.S.M. acknowledges support from Universidade Federal de Ouro Preto.</t>
  </si>
  <si>
    <t>AMER PHYSICAL SOC</t>
  </si>
  <si>
    <t>COLLEGE PK</t>
  </si>
  <si>
    <t>ONE PHYSICS ELLIPSE, COLLEGE PK, MD 20740-3844 USA</t>
  </si>
  <si>
    <t>2469-9950</t>
  </si>
  <si>
    <t>2469-9969</t>
  </si>
  <si>
    <t>PHYS REV B</t>
  </si>
  <si>
    <t>Phys. Rev. B</t>
  </si>
  <si>
    <t>SEP 1</t>
  </si>
  <si>
    <t>10.1103/PhysRevB.106.115301</t>
  </si>
  <si>
    <t>Materials Science, Multidisciplinary; Physics, Applied; Physics, Condensed Matter</t>
  </si>
  <si>
    <t>Materials Science; Physics</t>
  </si>
  <si>
    <t>4J6ZS</t>
  </si>
  <si>
    <t>WOS:000851415500001</t>
  </si>
  <si>
    <t>Wang, C; Shen, TX</t>
  </si>
  <si>
    <t>Wang, Chao; Shen, Taixia</t>
  </si>
  <si>
    <t>IMPLICATIONS OF THE EU'S POSITION ON TRADE DISTORTION FOR EU-CHINA TRADE RELATIONS: FROM SELECTIVE ADAPTATION TO COORDINATED COMPLIANCE</t>
  </si>
  <si>
    <t>ASIAN JOURNAL OF WTO &amp; INTERNATIONAL HEALTH LAW AND POLICY</t>
  </si>
  <si>
    <t>antidumping; non-market economy; significant distortion; selective adaptation; coordinated compliance; EU; China; WTO</t>
  </si>
  <si>
    <t>This paper revisits the significant distortion  standard created in the European Union's (hereinafter EU ) anti-dumping trade regulation, which leads to the application of third-country prices in the calculation of dumping margins. The authors argue that: (1) According to the detailed analysis in this article, it remains in question as to whether the significant distortion  standard adopted China's WTO Accession Protocol. (2) In the big picture and from a normative and strategic perspective, this paper argues that the paradigm of selective adaptation provides a more comprehensive understanding of both the EU's new trade policies and China's socialist market economy. (3) As a policy suggestion, it is proposed that, instead of using anti-dumping investigations to address the problems of China's state centred economy, coordinated compliance of international trade and human rights, with a focus on the labour rights in China, may be a desirable policy approach for the EU to take towards China in hope of a better treaty performance by China in both trade and human rights. This policy approach of coordinated compliance does not involve anti-dumping as a policy tool, but it is used by developing a comprehensive set of labour and environmental standards for Chinese and other non-EU producers to follow and comply with. Labour and environmental standards can be used to determine whether the fair trade is achieved in China's exports to the EU. To ensure labour and environmental standards are met will also significantly increase the production cost and exporting price of Chinese and other foreign products. This policy approach will also have a strong political implication for the future of EU-China trade relations.</t>
  </si>
  <si>
    <t>[Wang, Chao] Univ Macau, Fac Law, Macau, Peoples R China; [Shen, Taixia] Jinan Univ, Law Sch &amp; Intellectual Property Sch, Guangzhou, Peoples R China</t>
  </si>
  <si>
    <t>University of Macau; Jinan University</t>
  </si>
  <si>
    <t>Shen, TX (corresponding author), Jinan Univ, Law Sch &amp; Intellectual Property Sch, Guangzhou, Peoples R China.</t>
  </si>
  <si>
    <t>chaowang@um.edu.mo; sunbird726@hotmail.com</t>
  </si>
  <si>
    <t>SHEN, Taixia/GXF-7450-2022; Wang, Chao/GQP-2622-2022</t>
  </si>
  <si>
    <t>SHEN, Taixia/0000-0002-7008-6300;</t>
  </si>
  <si>
    <t>Major Collaborative Research Initiative (MCRI) of the Social Sciences and Humanities Research Council of Canada (SSHRC); Fundamental Research Funds for the Central Universities</t>
  </si>
  <si>
    <t>Major Collaborative Research Initiative (MCRI) of the Social Sciences and Humanities Research Council of Canada (SSHRC); Fundamental Research Funds for the Central Universities(Fundamental Research Funds for the Central Universities)</t>
  </si>
  <si>
    <t>Chao Wang, PhD (Law, UBC), Associate Professor, Faculty of Law, University of Macau, Macao SAR, China. The research on which this paper is based was previously supported by Dr. Pitman Potter and the Asia Pacific Dispute Resolution Program at UBC's Allard School of Law under the Major Collaborative Research Initiative (MCRI) of the Social Sciences and Humanities Research Council of Canada (SSHRC), as well ast he Fundamental Research Funds for the Central Universities,for which the author is deeply grateful.The author can be reached at:chaowang@um.edu.mo.Taixia Shen(Corresponding author), SJD (Renmin University); LLM (Universite Paris 1 Pantheon-Sorbonne),Associate Professor,Law School &amp; Intellectual Property School,Jinan University, Guangzhou, China.The author can be reached at: sunbird726@hotmail.com.</t>
  </si>
  <si>
    <t>NATL TAIWAN UNIV PRESS</t>
  </si>
  <si>
    <t>TAIPEI</t>
  </si>
  <si>
    <t>NO 1 SECTION 4, ROOSEVELT RD, TAIPEI, 106, TAIWAN</t>
  </si>
  <si>
    <t>1819-5164</t>
  </si>
  <si>
    <t>ASIAN J WTO INT HEAL</t>
  </si>
  <si>
    <t>Asian J. WTO Int. Health Law Po.</t>
  </si>
  <si>
    <t>Health Policy &amp; Services; International Relations; Law</t>
  </si>
  <si>
    <t>Health Care Sciences &amp; Services; International Relations; Government &amp; Law</t>
  </si>
  <si>
    <t>5H2AD</t>
  </si>
  <si>
    <t>WOS:000867485400002</t>
  </si>
  <si>
    <t>Xing, Y; Wang, JX; Kinder, CES; Yang, X; Slany, M; Wang, B; Song, H; Shaheen, SM; Leinweber, P; Rinklebe, J</t>
  </si>
  <si>
    <t>Xing, Ying; Wang, Jianxu; Kinder, Christoph E. S.; Yang, Xing; Slany, Michal; Wang, Bing; Song, Hocheol; Shaheen, Sabry M.; Leinweber, Peter; Rinklebe, Jorg</t>
  </si>
  <si>
    <t>Rice hull biochar enhances the mobilization and methylation of mercury in a soil under changing redox conditions: Implication for Hg risks management in paddy fields</t>
  </si>
  <si>
    <t>ENVIRONMENT INTERNATIONAL</t>
  </si>
  <si>
    <t>Hg methylation; Redox chemistry; Paddy soil; Soil organic matter composition; Mercury mine</t>
  </si>
  <si>
    <t>MICROBIAL COMMUNITY COMPOSITION; ORGANIC-MATTER COMPOSITION; CARBON; METHYLMERCURY; ACCUMULATION; SPECIATION; NITROGEN; DECOMPOSITION; REMEDIATION; SEDIMENTS</t>
  </si>
  <si>
    <t>Biochar amendment to paddy soils was promising to mitigate mercury (Hg) accumulation in rice; thus, it was applied to reduce human Hg exposure via rice consumption. However, how biochar affects Hg mobilization and MeHg formation in soil under changed redox potential (E-h) conditions remained unknown. Here, we explored the change of dissolved total Hg (DTHg) and dissolved MeHg (DMeHg), and their controlling biogeochemical factors in a soil with(out) biochar amendment under changing E-h conditions using biogeochemical microcosm. Biochar amendment resulted in a widen E-h range (-300 to 400 mV) compared to the control (-250 to 350 mV), demonstrating that biochar promoted reduction-oxidization reactions in soil. Biochar amendment enhanced Hg mobilization by mediating reductive dissolution of Fe/Mn (hydr)oxides. Thus, the increased Hg availability promoted MeHg formation in the soils. Biochar amendment changed the soil organic matter (SOM) composition. Positive correlations between the relative abundance of LIPID (lipids, alkanes/alkenes), ALKYL (alkylaromatics), and suberin and MeHg concentrations indicate that these SOM groups might be related to MeHg formation. Biochar enhanced the releasing and methylation of Hg by promoting the mobilization of Fe(oxyhydr)oxides and alternation of carbon chemistry under dynamic E-h conditions. There is an unexpected environmental risk associated with biochar application to paddy soils under dynamic E-h condition, and one should be aware this risk when applying biochar aiming to minimize human Hg exposure health risks via rice consumption.</t>
  </si>
  <si>
    <t>[Xing, Ying] Guizhou Normal Univ, Sch Chem &amp; Mat Sci, Guiyang 550002, Peoples R China; [Xing, Ying; Kinder, Christoph E. S.; Yang, Xing; Shaheen, Sabry M.; Rinklebe, Jorg] Univ Wuppertal, Inst Fdn Engn Water &amp; Waste Management, Sch Architecture &amp; Civil Engn, Lab Soil &amp; Groundwater Management, Pauluskirchstr 7, D-42285 Wuppertal, Germany; [Wang, Jianxu] Chinese Acad Sci, Inst Geochem, State Key Lab Environm Geochem, Guiyang 550082, Peoples R China; [Wang, Jianxu; Slany, Michal] Slovak Acad Sci, Inst Inorgan Chem, Dabravska Cesta 9, Bratislava 84536, Slovakia; [Wang, Bing] Guizhou Univ, Coll Resources &amp; Environm Engn, Guiyang 550025, Guizhou, Peoples R China; [Song, Hocheol; Rinklebe, Jorg] Univ Sejong, Dept Environm Energy &amp; Geoinformat, 98 Gunja Dong, Seoul, South Korea; [Shaheen, Sabry M.] King Abdulaziz Univ, Fac Meteorol Environm &amp; Arid Land Agr, Dept Arid Land Agr, Jeddah 21589, Saudi Arabia; [Shaheen, Sabry M.] Univ Kafrelsheikh, Fac Agr, Dept Soil &amp; Water Sci, Kafr Al Sheikh 33516, Egypt; [Leinweber, Peter] Univ Rostock, Dept Light Life &amp; Matter LLM, Albert Einstein Str 25, D-18059 Rostock, Germany; [Leinweber, Peter] Univ Rostock, Soil Sci, Justus Liebig Weg 6, D-18051 Rostock, Germany</t>
  </si>
  <si>
    <t>Rinklebe, J (corresponding author), Univ Wuppertal, Inst Fdn Engn Water &amp; Waste Management, Sch Architecture &amp; Civil Engn, Lab Soil &amp; Groundwater Management, Pauluskirchstr 7, D-42285 Wuppertal, Germany.</t>
  </si>
  <si>
    <t>wangjianxu@vip.gyig.ac.cn; rinklebe@uni-wuppertal.de</t>
  </si>
  <si>
    <t>Natural Science Foundation of China [42163008, 42073081, 41703116]; German Alexander von Humboldt Foundation [3.5-1186537-CHN-HFST-P]; Guizhou Provincial Science and Technology Project [QKHJC-ZK[2021]YB218]; Pioneer Hundred-Talent Program of Chinese Academy of Sciences; Guizhou thousand talents innovation and entrepreneurship plan [GZQ202208090]</t>
  </si>
  <si>
    <t>Natural Science Foundation of China(National Natural Science Foundation of China (NSFC)); German Alexander von Humboldt Foundation(Alexander von Humboldt Foundation); Guizhou Provincial Science and Technology Project; Pioneer Hundred-Talent Program of Chinese Academy of Sciences; Guizhou thousand talents innovation and entrepreneurship plan</t>
  </si>
  <si>
    <t>We thank the Natural Science Foundation of China (42163008, 42073081, 41703116), German Alexander von Humboldt Foundation (Ref 3.5-1186537-CHN-HFST-P), Guizhou Provincial Science and Technology Project (QKHJC-ZK[2021]YB218), National and the Pioneer Hundred-Talent Program of Chinese Academy of Sciences, and the Guizhou thousand talents innovation and entrepreneurship plan (GZQ202208090) for financial support. We thank Dipl.-Chem. Claus Vandenhirtz, Laboratory of Soil-and Groundwater-Management, University of Wuppertal for technical assistance. Thanks also to Dipl.-Chem. K.-U. Eckhardt, Mass Spectrometry Laboratory, Soil Science University of Rostock for recording the Py-FI mass spectra and data evaluations.</t>
  </si>
  <si>
    <t>0160-4120</t>
  </si>
  <si>
    <t>1873-6750</t>
  </si>
  <si>
    <t>ENVIRON INT</t>
  </si>
  <si>
    <t>Environ. Int.</t>
  </si>
  <si>
    <t>10.1016/j.envint.2022.107484</t>
  </si>
  <si>
    <t>AUG 2022</t>
  </si>
  <si>
    <t>Environmental Sciences</t>
  </si>
  <si>
    <t>4P9FY</t>
  </si>
  <si>
    <t>WOS:000855696200004</t>
  </si>
  <si>
    <t>Rüger, CP; Neumann, A; Kösling, P; Martínez, SJV; Chacón-Patiño, ML; Rodgers, RP; Zimmermann, R</t>
  </si>
  <si>
    <t>Rueger, Christopher P.; Neumann, Anika; Koesling, Paul; Martinez, Silvia Juliana Vesga; Chacon-Patino, Martha Liliana; Rodgers, Ryan P.; Zimmermann, Ralf</t>
  </si>
  <si>
    <t>Addressing Thermal Behavior and Molecular Architecture of Asphaltenes by a Thermal-Optical Carbon Analyzer Coupled to High-Resolution Mass Spectrometry</t>
  </si>
  <si>
    <t>SOURCE APPORTIONMENT; PYROLYSIS ANALYSIS; CRUDE OILS; EMISSIONS; ENGINE; ISLAND; CONSISTENCY; HYPHENATION; ADSORPTION; MORPHOLOGY</t>
  </si>
  <si>
    <t>In the past decade, extensive molecular-level research on asphaltenes, primarily based on mass spectrometric approaches, acknowledged the coexistence of two primary architecture motifs, island  single-core-and archipelago  (multi-core)-type structures. Nonetheless, analytical methods for a classification are still limited. In this study, the thermal desorption and pyrolysis behavior of a diverse set of asphaltenes covering island-and archipelago-enriched samples and their extrographic fractions has been investigated by a thermal-optical carbon analyzer (TOCA) hyphenated to high-resolution mass spectrometric evolved gas analysis. The capability of the TOCA for a temperature-resolved quantification of the released carbon is used together with the option of applying an inert or oxidative atmosphere. We found that the relative proportion of organic carbon emitted under an inert atmosphere and below 580 ? (OCdes/pyr) and the organic carbon released at elevated temperatures (&gt; 580 ?) and oxidative atmosphere (OCpyrogen) can be used as a classification approach for the prevalent architecture motif. This finding is likely caused by differences in the coking and charring behavior dependent on molecular structure. Hypothetically, single-core constituents will form more resistive shot-like coke due to their larger aromatic cores, whereas multi-core constituents seem to produce easier combustible sponge-like coke. Simultaneously, resonance-enhanced multiphoton ionization (REMPI), a soft ionization scheme particularly selective and sensitive for aromatic constituents, together with Orbitrap Fourier-transform mass spectrometry, allowed for time/temperature-resolved in-depth insights into the evolved chemistry. The alkylation pattern/length of the mass spectra received in OCdes/pyr (480/580 ?) fractions has been identified as a classification measure with lower and more narrow patterns for the asphaltenes dominated by single-core species. However, grouping based on the quantified TOCA results has been significantly more striking. Conclusively, TOCA of asphaltenes and their extrographic fractions can be used for structural classification as well as insights into coprecipitated maltenes, presumably also successfully applicable in future studies on residues from renewable oil sources.</t>
  </si>
  <si>
    <t>[Rueger, Christopher P.; Neumann, Anika; Koesling, Paul; Martinez, Silvia Juliana Vesga; Zimmermann, Ralf] Univ Rostock, Chair Analyt Chem, Joint Mass Spectrometry Ctr JMSC, D-18059 Rostock, Germany; [Rueger, Christopher P.; Neumann, Anika; Koesling, Paul; Martinez, Silvia Juliana Vesga; Zimmermann, Ralf] Univ Rostock, Dept Life Light &amp; Matter LLM, D-18059 Rostock, Germany; [Rueger, Christopher P.; Chacon-Patino, Martha Liliana; Rodgers, Ryan P.] TRTG, Int Joint Lab iC2MC Complex Matrices Mol Characte, F-76700 Harfleur, France; [Chacon-Patino, Martha Liliana; Rodgers, Ryan P.] Florida State Univ, Natl High Magnet Field Lab, Tallahassee, FL 32310 USA; [Zimmermann, Ralf] Helmholtz Zentrum Muenchen, Cooperat Grp Comprehens Mol Analyt, Joint Mass Spectrometry Ctr, D-85764 Neuherberg, Germany</t>
  </si>
  <si>
    <t>University of Rostock; University of Rostock; State University System of Florida; Florida State University; Helmholtz Association; Helmholtz-Center Munich - German Research Center for Environmental Health</t>
  </si>
  <si>
    <t>Rüger, CP (corresponding author), Univ Rostock, Chair Analyt Chem, Joint Mass Spectrometry Ctr JMSC, D-18059 Rostock, Germany.;Rüger, CP (corresponding author), Univ Rostock, Dept Life Light &amp; Matter LLM, D-18059 Rostock, Germany.;Rüger, CP (corresponding author), TRTG, Int Joint Lab iC2MC Complex Matrices Mol Characte, F-76700 Harfleur, France.</t>
  </si>
  <si>
    <t>EUROSTARS project [E! 12083]; Helmholtz International Lab; National Science Foundation Division of Chemistry [DMR-1644779]; State of Florida</t>
  </si>
  <si>
    <t>EUROSTARS project; Helmholtz International Lab; National Science Foundation Division of Chemistry(National Science Foundation (NSF)); State of Florida</t>
  </si>
  <si>
    <t>This work was financed and supported by the EUROSTARS project E! 12083 ?AerOrbi?. Support by the Helmholtz International Lab. aeroHEALTH ( www.aerohealth.eu) is gratefully acknowledged. The authors thank the Interdiscipli-nary Faculty, Department Life, Light and Matter of the University of Rostock for providing laboratory space and infrastructure. A portion of the work presented herein was performed at the National High Magnetic Field Laboratory ICR User Facility, which is supported by the National Science Foundation Division of Chemistry through Cooperative Agreement DMR-1644779, and the State of Florida.</t>
  </si>
  <si>
    <t>10.1021/acs.energyfuels.2c02122</t>
  </si>
  <si>
    <t>4I5FB</t>
  </si>
  <si>
    <t>WOS:000844868300001</t>
  </si>
  <si>
    <t>Hui, KPY; Ng, KC; Ho, JCW; Yeung, HW; Ching, RHH; Gu, HG; Chung, JCK; Chow, VLY; Sit, KY; Hsin, MKY; Au, TWK; Poon, LLM; Peiris, M; Nicholls, JM; Chan, MCW</t>
  </si>
  <si>
    <t>Hui, Kenrie P. Y.; Ng, Ka -Chun; Ho, John C. W.; Yeung, Hin-Wo; Ching, Rachel H. H.; Gu, Haogao; Chung, Joseph C. K.; Chow, Velda L. Y.; Sit, Ko-Yung; Hsin, Michael K. Y.; Au, Timmy W. K.; Poon, Leo L. M.; Peiris, Malik; Nicholls, John M.; Chan, Michael C. W.</t>
  </si>
  <si>
    <t>Replication of SARS-CoV-2 Omicron BA.2 variant in ex vivo cultures of the human upper and lower respiratory tract</t>
  </si>
  <si>
    <t>EBIOMEDICINE</t>
  </si>
  <si>
    <t>SARS-CoV-2; Omicron BA.2; Nasal tissue; Bronchial tissue; Transmission; Pathogenicity</t>
  </si>
  <si>
    <t>Background The Omicron BA.2 sublineage has replaced BA.1 worldwide and has comparable levels of immune evasion to BA.1. These observations suggest that the increased transmissibility of BA.2 cannot be explained by the anti-body evasion. Methods Here, we characterized the replication competence and respiratory tissue tropism of three Omicron variants (BA.1, BA.1.1, BA.2), and compared these with the wild-type virus and Delta variant, in human nasal, bronchial and lung tissues cultured ex vivo. Findings BA.2 replicated more efficiently in nasal and bronchial tissues at 33 degrees C than wild-type, Delta and BA.1. Both BA.2 and BA.1 had higher replication competence than wild-type and Delta viruses in bronchial tissues at 37 degrees C. BA.1, BA.1.1 and BA.2 replicated at a lower level in lung parenchymal tissues compared to wild-type and Delta viruses. Interpretation Higher replication competence of Omicron BA.2 in the human upper airway at 33 degrees C than BA.1 may be one of the reasons to explain the current advantage of BA.2 over BA.1. A lower replication level of the tested Omicron variants in human lung tissues is in line with the clinical manifestations of decreased disease severity of patients infected with the Omicron strains compared with other ancestral strains. Copyright (C) 2022 The Authors. Published by Elsevier B.V.</t>
  </si>
  <si>
    <t>[Hui, Kenrie P. Y.; Ng, Ka -Chun; Ho, John C. W.; Yeung, Hin-Wo; Ching, Rachel H. H.; Gu, Haogao; Poon, Leo L. M.; Peiris, Malik; Chan, Michael C. W.] Univ Hong Kong, Li Ka Shing Fac Med, Sch Publ Hlth, Pok Fu Lam, Hong Kong, Peoples R China; [Hui, Kenrie P. Y.; Poon, Leo L. M.; Peiris, Malik; Chan, Michael C. W.] Ctr Immunol &amp; Infect C2i, Hong Kong Sci Pk, Hong Kong, Peoples R China; [Chung, Joseph C. K.; Chow, Velda L. Y.; Sit, Ko-Yung; Hsin, Michael K. Y.; Au, Timmy W. K.] Univ Hong Kong, Queen Mary Hosp, Li Ka Shing Fac Med, Dept Surg,Pok Fu Lam, Hong Kong, Peoples R China; [Nicholls, John M.] Univ Hong Kong, Queen Mary Hosp, Li Ka Shing Fac Med, Sch Clin Med,Dept Pathol,Pok Fu Lam, Hong Kong, Peoples R China</t>
  </si>
  <si>
    <t>University of Hong Kong; University of Hong Kong; University of Hong Kong</t>
  </si>
  <si>
    <t>Hui, Kenrie Pui Yan/0000-0003-1506-0535; Gu, Haogao/0000-0002-7541-4262</t>
  </si>
  <si>
    <t>National Institute of Allergy and Infectious Diseases, National Institutes of Health, Department of Health and Human Services [75N93021C00016]; Theme-Based Research Scheme under University Grants Committee of Hong Kong Special Administrative Region [T11-705/21N, T11-712/19-N]</t>
  </si>
  <si>
    <t>National Institute of Allergy and Infectious Diseases, National Institutes of Health, Department of Health and Human Services(United States Department of Health &amp; Human ServicesNational Institutes of Health (NIH) - USANIH National Institute of Allergy &amp; Infectious Diseases (NIAID)); Theme-Based Research Scheme under University Grants Committee of Hong Kong Special Administrative Region</t>
  </si>
  <si>
    <t>This work was supported by grants from the National Institute of Allergy and Infectious Diseases, National Institutes of Health, Department of Health and Human Services (Contract No. 75N93021C00016) and the Theme-Based Research Scheme (Ref: T11-705/21N and T11-712/19-N) under University Grants Committee of Hong Kong Special Administrative Region. Authors acknowledge the technical support of Timmy Shack, Tonia Tong Kam, Cassia Lin (School of Public Health, LKS Faculty of Medicine, The University of Hong Kong, Hong Kong SAR, China) and Kevin Fung (School of Clinical Medicine, LKS Faculty of Medicine, The Uni-versity of Hong Kong, Hong Kong SAR, China) .</t>
  </si>
  <si>
    <t>2352-3964</t>
  </si>
  <si>
    <t>EBioMedicine</t>
  </si>
  <si>
    <t>10.1016/j.ebiom.2022.104232</t>
  </si>
  <si>
    <t>Medicine, General &amp; Internal; Medicine, Research &amp; Experimental</t>
  </si>
  <si>
    <t>General &amp; Internal Medicine; Research &amp; Experimental Medicine</t>
  </si>
  <si>
    <t>4X9SU</t>
  </si>
  <si>
    <t>WOS:000861176800001</t>
  </si>
  <si>
    <t>Steenbock, T; Rybakowski, LLM; Benner, D; Herrmann, C; Bester, G</t>
  </si>
  <si>
    <t>Steenbock, Torben; Rybakowski, Lawrence L. M.; Benner, Dominik; Herrmann, Carmen; Bester, Gabriel</t>
  </si>
  <si>
    <t>Exchange Spin Coupling in Optically Excited States</t>
  </si>
  <si>
    <t>JOURNAL OF CHEMICAL THEORY AND COMPUTATION</t>
  </si>
  <si>
    <t>DENSITY-FUNCTIONAL THEORY; CHARGE-TRANSFER; MAGNETIC POLARON; ACCURATE; POLARIZATION; DEPENDENCE; RADICALS</t>
  </si>
  <si>
    <t>In optically excited states in molecules and materials, coupling between local electron spills plays an important role for their photoemission properties and is interesting for potential applications in quantum information processing. Recently, it was experimentally demonstrated that the photogenerated local spins in donor-acceptor metal complexes can interact with the spin of an attached radical, resulting in a spin-coupling-dependent mixing of excited doublet states, which controls the local spin density distributions on donor, acceptor, and radical subunits in optically excited states. In this work, we propose an energy-difference scheme to evaluate spin coupling in optically excited states, using unrestricted and spin-flip simplified time-dependent density functional theory. We apply it to three platinum complexes which have been studied experimentally to validate our methodology. We find that all computed coupling constants are in excellent agreement with the experimental data. In addition, we show that the spin coupling between donor and acceptor in the optically excited state can be fine-tuned by replacing platinum with palladium and zinc in the structure. Besides the two previously discussed excited doublet states (one bright and one dark), our calculations reveal a third, bright excited doublet state which was not considered previously. This third state possesses the inverse spin polarization on donor and acceptor with respect to the previously studied bright doublet state and is by an order of magnitude brighter, which might be interesting for optically controlling local spin polarizations with potential applications in spin-only information transfer and manipulation of connected qubits.</t>
  </si>
  <si>
    <t>[Steenbock, Torben; Rybakowski, Lawrence L. M.; Benner, Dominik; Herrmann, Carmen; Bester, Gabriel] Univ Hamburg, Dept Chem, D-22761 Hamburg, Germany; [Herrmann, Carmen; Bester, Gabriel] Hamburg Ctr Ultrafast Imaging, D-22761 Hamburg, Germany; [Bester, Gabriel] Univ Hamburg, Dept Phys, D-22761 Hamburg, Germany</t>
  </si>
  <si>
    <t>University of Hamburg; University of Hamburg; University of Hamburg</t>
  </si>
  <si>
    <t>Steenbock, T (corresponding author), Univ Hamburg, Dept Chem, D-22761 Hamburg, Germany.</t>
  </si>
  <si>
    <t>Torben.Steenbock@chemie.uni-hamburg.de</t>
  </si>
  <si>
    <t>Cluster of Excellence Advanced Imaging of Matter of the Deutsche Forschungsgemeinschaft (DFG) [EXC 2056, 390715994]</t>
  </si>
  <si>
    <t>Cluster of Excellence Advanced Imaging of Matter of the Deutsche Forschungsgemeinschaft (DFG)(German Research Foundation (DFG))</t>
  </si>
  <si>
    <t>We thank Christoph Bannwarth for helpful discussions. Further, we acknowledge the high-performance computing center of the University of Hamburg (RRZ) for computational resources. This work is supported by the Cluster of Excellence Advanced Imaging of Matter of the Deutsche Forschungsgemeinschaft (DFG)-EXC 2056-Project ID 390715994.</t>
  </si>
  <si>
    <t>1549-9618</t>
  </si>
  <si>
    <t>1549-9626</t>
  </si>
  <si>
    <t>J CHEM THEORY COMPUT</t>
  </si>
  <si>
    <t>J. Chem. Theory Comput.</t>
  </si>
  <si>
    <t>AUG 9</t>
  </si>
  <si>
    <t>10.1021/acs.jctc.2c00256</t>
  </si>
  <si>
    <t>Chemistry, Physical; Physics, Atomic, Molecular &amp; Chemical</t>
  </si>
  <si>
    <t>Chemistry; Physics</t>
  </si>
  <si>
    <t>6Y3OV</t>
  </si>
  <si>
    <t>WOS:000897008200001</t>
  </si>
  <si>
    <t>Mokoloko, LL; Matsoso, JB; Antonatos, N; Mazánek, V; Moreno, BD; Forbes, RP; Barrett, DH; Sofer, Z; Coville, NJ</t>
  </si>
  <si>
    <t>Mokoloko, Lerato L.; Matsoso, Joyce B.; Antonatos, Nikolas; Mazanek, Vlastimil; Moreno, Beatriz D.; Forbes, Roy P.; Barrett, Dean H.; Sofer, Zdenek; Coville, Neil J.</t>
  </si>
  <si>
    <t>From 0D to 2D: N-doped carbon nanosheets for detection of alcohol-based chemical vapours</t>
  </si>
  <si>
    <t>RSC ADVANCES</t>
  </si>
  <si>
    <t>ETHANOL-SENSING PROPERTIES; VOLATILE ORGANIC-COMPOUNDS; REDUCED GRAPHENE OXIDE; DOTS COMPOSITE; GAS SENSORS; X-RAY; NANOPARTICLES; BEHAVIOR; NANOCOMPOSITES; METHANOL</t>
  </si>
  <si>
    <t>The application of N-doped carbon nanosheets, with and without embedded carbon dots, as active materials for the room temperature chemoresistive detection of methanol and/or ethanol is presented. The new carbons were made by converting 0D N-doped carbon dots (NCDs) to 2D nitrogen-doped carbon nanosheets by heat treatment (200-700 degrees C). The nanosheets exhibited a lateral size of similar to 3 mu m and a thickness of similar to 12 nm at the highest annealing temperature. Both Raman and TEM analyses showed morphological transitions of the dots to the sheets, whilst XPS analysis revealed transformation of the N-bonding states with increasing temperature. PDF analysis confirmed the presence of defective carbon sheets. Room temperature screening of the chemical vapours of two alcohols (methanol and ethanol), revealed that the structure and the type of N-configuration influenced the detection of the chemical vapours. For instance, the lateral size of the nanosheets and the high charge density N-configurations promoted detection of both methanol and ethanol vapours at good sensitivity (-16.8 x 10(-5) ppm(EtOH)(-1) and 1.2 x 10(-5) ppm(MeOH)(-1)) and low LoD (similar to 44 ppm(EtOH) and similar to 30.3 ppm(MeOH)) values. The study showed that the composite nature as well as the large basal area of the carbon nanosheets enabled generation of adequate defective sites that facilitated easy adsorption of the VOC analyte molecules, thereby eliminating the need to use conducting polymers or the formation of porous molecular frameworks for the alcohol detection.</t>
  </si>
  <si>
    <t>[Mokoloko, Lerato L.; Forbes, Roy P.; Barrett, Dean H.; Coville, Neil J.] Univ Witwatersrand, Mol Sci Inst, Sch Chem, ZA-2050 Johannesburg, South Africa; [Mokoloko, Lerato L.; Forbes, Roy P.; Coville, Neil J.] Univ Witwatersrand, DSI NRF Ctr Excellence Catalysis C Change, ZA-2050 Johannesburg, South Africa; [Matsoso, Joyce B.; Antonatos, Nikolas; Mazanek, Vlastimil; Sofer, Zdenek] Univ Chem &amp; Technol Prague, Dept Inorgan Chem, Tech 5, Prague 16628 6, Czech Republic; [Moreno, Beatriz D.] Canadian Light Source Inc, 44 Innovat Blvd, Saskatoon, SK S7N 2V3, Canada</t>
  </si>
  <si>
    <t>University of Witwatersrand; University of Witwatersrand; University of Chemistry &amp; Technology, Prague; University of Saskatchewan</t>
  </si>
  <si>
    <t>Coville, NJ (corresponding author), Univ Witwatersrand, Mol Sci Inst, Sch Chem, ZA-2050 Johannesburg, South Africa.;Coville, NJ (corresponding author), Univ Witwatersrand, DSI NRF Ctr Excellence Catalysis C Change, ZA-2050 Johannesburg, South Africa.;Sofer, Z (corresponding author), Univ Chem &amp; Technol Prague, Dept Inorgan Chem, Tech 5, Prague 16628 6, Czech Republic.</t>
  </si>
  <si>
    <t>neil.coville@wits.ac.za</t>
  </si>
  <si>
    <t>NRF; University of the Witwatersrand; European Structural and Investment Funds (JBM) [CZ.02.2.69/0.0/0.0/20_079/0017899]; Czech Science Foundation [20-16124J]; Canadian Light Source; Canada Foundation for Innovation (CFI); Natural Sciences and Engineering Research Council (NSERC); National Research Council (NRC); Canadian Institutes of Health Research (CIHR); Government of Saskatchewan</t>
  </si>
  <si>
    <t>NRF; University of the Witwatersrand; European Structural and Investment Funds (JBM); Czech Science Foundation(Grant Agency of the Czech Republic); Canadian Light Source; Canada Foundation for Innovation (CFI)(Canada Foundation for Innovation); Natural Sciences and Engineering Research Council (NSERC)(Natural Sciences and Engineering Research Council of Canada (NSERC)); National Research Council (NRC); Canadian Institutes of Health Research (CIHR)(Canadian Institutes of Health Research (CIHR)); Government of Saskatchewan</t>
  </si>
  <si>
    <t>The study was financially supported by the NRF, the University of the Witwatersrand (post graduate merit award to LLM), the DSI-NRF Centre of Excellence in Catalysis (c* change, LLM, NJC and RPF), the European Structural and Investment Funds (JBM) under OP RDE-funded project 'CHEMFELLS IV' (No. CZ.02.2.69/0.0/0.0/20_079/0017899), and by the Czech Science Foundation (GAR No. 20-16124J). Sincere gratitude goes to Dr Rudolph Erasmus from the School of Physics at the University of the Witwatersrand for his assistance with Raman and photoluminescence collection and analysis. We are also thankful to Dr Memory Zimuwandeyi and Dr Mudzuli Maphupha (School of Chemistry, University of the Witwatersrand) for NMR data collection and data processing, respectively. We would also like to thank Mr Solly Motaung and Ms Sinegugu Nzuza (Council for Scientific and Industrial Research, South Africa) for the HRTEM analysis data. Finally, we thank the Canadian Light Source, a national research facility of the University of Saskatchewan, which is supported by the Canada Foundation for Innovation (CFI), the Natural Sciences and Engineering Research Council (NSERC), the National Research Council (NRC), the Canadian Institutes of Health Research (CIHR), the Government of Saskatchewan, and the University of Saskatchewan for PDF data collection.</t>
  </si>
  <si>
    <t>2046-2069</t>
  </si>
  <si>
    <t>RSC ADV</t>
  </si>
  <si>
    <t>RSC Adv.</t>
  </si>
  <si>
    <t>JUL 21</t>
  </si>
  <si>
    <t>10.1039/d2ra03931a</t>
  </si>
  <si>
    <t>3M1VJ</t>
  </si>
  <si>
    <t>WOS:000835245700001</t>
  </si>
  <si>
    <t>Cowling, BJ; Wong, IOL; Shiu, EYC; Lai, AYT; Cheng, SMS; Chaothai, S; Kwan, KKH; Martín-Sánchez, M; Poon, LLM; Ip, DKM; Leung, GM; Leung, NHL; Peiris, JSM</t>
  </si>
  <si>
    <t>Cowling, Benjamin J.; Wong, Irene O. L.; Shiu, Eunice Y. C.; Lai, Amber Y. T.; Cheng, Samuel M. S.; Chaothai, Sara; Kwan, Kelvin K. H.; Martin-Sanchez, Mario; Poon, Leo L. M.; Ip, Dennis K. M.; Leung, Gabriel M.; Leung, Nancy H. L.; Peiris, J. S. Malik</t>
  </si>
  <si>
    <t>Strength and durability of antibody responses to BNT162b2 and CoronaVac</t>
  </si>
  <si>
    <t>VACCINE</t>
  </si>
  <si>
    <t>COVID-19; Vaccination; Antibodies</t>
  </si>
  <si>
    <t>MESSENGER-RNA</t>
  </si>
  <si>
    <t>We studied 2780 adults in Hong Kong who received CoronaVac inactivated virus vaccine (Sinovac) and BNT162b2 mRNA vaccine (Comirnaty, BioNTech/Fosun Pharma). We compared rates of antibody waning over time using an enzyme-linked immunosorbent assay for spike receptor binding domain and a surrogate virus neutralization test. We found stronger and more durable antibody responses to two doses of the mRNA vaccine, and slightly stronger initial antibody responses to each vaccine in younger adults and women. The weaker and less durable responses following CoronaVac support earlier provision of third doses to persons who previously received two doses of this vaccine. (C) 2022 The Author(s). Published by Elsevier Ltd.</t>
  </si>
  <si>
    <t>[Cowling, Benjamin J.; Wong, Irene O. L.; Shiu, Eunice Y. C.; Lai, Amber Y. T.; Cheng, Samuel M. S.; Chaothai, Sara; Kwan, Kelvin K. H.; Martin-Sanchez, Mario; Poon, Leo L. M.; Ip, Dennis K. M.; Leung, Gabriel M.; Leung, Nancy H. L.; Peiris, J. S. Malik] Univ Hong Kong, LKS Fac Med, WHO Collaborating Ctr Infect Dis Epidemiol &amp; Cont, Sch Publ Hlth, Hong Kong, Peoples R China; [Cowling, Benjamin J.; Leung, Gabriel M.; Leung, Nancy H. L.] Hong Kong Sci &amp; Technol Pk, Lab Data Discovery Hlth, Hong Kong, Peoples R China; [Poon, Leo L. M.; Peiris, J. S. Malik] Univ Hong Kong, Li Ka Shing Fac Med, HKU Pasteur Res Pole, Sch Publ Hlth, Hong Kong, Peoples R China; [Poon, Leo L. M.; Peiris, J. S. Malik] Hong Kong Sci &amp; Technol Pk, Ctr Immunol &amp; Infect, Hong Kong, Peoples R China</t>
  </si>
  <si>
    <t>World Health Organization; University of Hong Kong; University of Hong Kong</t>
  </si>
  <si>
    <t>Cowling, BJ; Leung, NHL (corresponding author), Univ Hong Kong, LKS Fac Med, WHO Collaborating Ctr Infect Dis Epidemiol &amp; Cont, Sch Publ Hlth, Hong Kong, Peoples R China.</t>
  </si>
  <si>
    <t>bcowling@hku.hk; leungnan@hku.hk</t>
  </si>
  <si>
    <t>Health and Medical Research Fund of the Food and Health Bureau of the Hong Kong SAR Government [COVID1903001, COVID190126]; Theme-based Research Scheme from the Research Grants Council from the University Grants Committee of Hong Kong [T11-712/19-N]; National Institute of Allergy and Infectious Diseases, National Institutes of Health, Department of Health and Human Services [75N93021C00015]; Wellcome Trust [221013/Z/20/Z]; RGC Senior Research Fellowship [HKU SRFS2021-7S03]; Wellcome Trust [221013/Z/20/Z] Funding Source: Wellcome Trust</t>
  </si>
  <si>
    <t>Health and Medical Research Fund of the Food and Health Bureau of the Hong Kong SAR Government; Theme-based Research Scheme from the Research Grants Council from the University Grants Committee of Hong Kong; National Institute of Allergy and Infectious Diseases, National Institutes of Health, Department of Health and Human Services(United States Department of Health &amp; Human ServicesNational Institutes of Health (NIH) - USANIH National Institute of Allergy &amp; Infectious Diseases (NIAID)); Wellcome Trust(Wellcome Trust); RGC Senior Research Fellowship; Wellcome Trust(Wellcome Trust)</t>
  </si>
  <si>
    <t>This project was financially supported by the Health and Medical Research Fund of the Food and Health Bureau of the Hong Kong SAR Government (project nos. COVID1903001 and COVID190126), the Theme-based Research Scheme (project no. T11-712/19-N) from the Research Grants Council from the University Grants Committee of Hong Kong, the National Institute of Allergy and Infectious Diseases, National Institutes of Health, Department of Health and Human Services under contract no. 75N93021C00015, and the Wellcome Trust (grant number: 221013/Z/20/Z). BJC is supported by an RGC Senior Research Fellowship (grant number: HKU SRFS2021-7S03).</t>
  </si>
  <si>
    <t>0264-410X</t>
  </si>
  <si>
    <t>1873-2518</t>
  </si>
  <si>
    <t>Vaccine</t>
  </si>
  <si>
    <t>10.1016/j.vaccine.2022.05.033</t>
  </si>
  <si>
    <t>JUL 2022</t>
  </si>
  <si>
    <t>3S4UV</t>
  </si>
  <si>
    <t>WOS:000839593900007</t>
  </si>
  <si>
    <t>Zheng, XW; Li, SX; Deng, Y; Xu, XQ; Ding, JH; Lau, FTK; Yau, CI; Poon, LLM; Tun, HM; Zhang, T</t>
  </si>
  <si>
    <t>Zheng, Xiawan; Li, Shuxian; Deng, Yu; Xu, Xiaoqing; Ding, Jiahui; Lau, Frankie T. K.; Yau, Chung In; Poon, Leo L. M.; Tun, Hein M.; Zhang, Tong</t>
  </si>
  <si>
    <t>Quantification of SARS-CoV-2 RNA in wastewater treatment plants mirrors the pandemic trend in Hong Kong</t>
  </si>
  <si>
    <t>SCIENCE OF THE TOTAL ENVIRONMENT</t>
  </si>
  <si>
    <t>SARS-CoV-2; WWTP; Longitudinal monitoring; WBE</t>
  </si>
  <si>
    <t>SETTLED SOLIDS; COVID-19</t>
  </si>
  <si>
    <t>Wastewater-based epidemiology (WBE) for the SARS-CoV-2 virus in wastewater treatment plants (WWTPs) has emerged as a cost-effective and unbiased tool for population-level testing in the community. In the present study, we conducted a 6-month wastewater monitoring campaign from three WWTPs of different flow rates and catchment area characteristics, which serve 28 % (2.1 million people) of Hong Kong residents in total. Wastewater samples collected daily or every other day were concentrated using ultracentrifugation and the SARS-CoV-2 virus RNA in the supernatant was detected using the N1 and E primer sets. The results showed significant correlations between the virus concentration and the number of daily new cases in corresponding catchment areas of the three WWTPs when using 7-day moving average values (Kendall's tau-b value: 0.227-0.608, p &lt; 0.001). SARS-CoV-2 virus concentration was normalized to a fecal indicator using PMMoV concentration and daily flow rates, but the normalization did not enhance the correlation. The key factors contributing to the correlation were also evaluated, including the sampling frequency, testing methods, and smoothing days. This study demonstrates the applicability of wastewater surveillance to monitor overall SARS-CoV-2 pandemic dynamics in a densely populated city like Hong Kong, and provides a largescale longitudinal reference for the establishment of the long-term sentinel surveillance in WWTPs for WBE of pathogens which could be combined into a city-wide public health observatory.</t>
  </si>
  <si>
    <t>[Zheng, Xiawan; Li, Shuxian; Deng, Yu; Xu, Xiaoqing; Ding, Jiahui; Zhang, Tong] Univ Hong Kong, Ctr Environm Engn Res, Dept Civil Engn, Environm Microbiome Engn &amp; Biotechnol Lab, Pokfulam Rd, Hong Kong, Peoples R China; [Lau, Frankie T. K.] Govt Hong Kong Special Adm Reg Peoples Republ Chin, Drainage Serv Dept, Wanchai, Hong Kong, Peoples R China; [Yau, Chung In; Poon, Leo L. M.; Tun, Hein M.] Univ Hong Kong, Li Ka Shing Fac Med, Sch Publ Hlth, Sassoon Rd, Hong Kong, Peoples R China</t>
  </si>
  <si>
    <t>University of Hong Kong; University of Hong Kong</t>
  </si>
  <si>
    <t>Tun, Hein Min/0000-0001-7597-5062</t>
  </si>
  <si>
    <t>Health and Medical Research Fund (HMRF) [COVID190209, COVID1903015]; Food and Health Bureau, the Government of the Hong Kong Special Administrative Region of the People's Republic of China; University of Hong Kong</t>
  </si>
  <si>
    <t>Health and Medical Research Fund (HMRF); Food and Health Bureau, the Government of the Hong Kong Special Administrative Region of the People's Republic of China; University of Hong Kong(University of Hong Kong)</t>
  </si>
  <si>
    <t>This study was financially supported by Health and Medical Research Fund (HMRF) (COVID190209 and COVID1903015) , the Food and Health Bureau, the Government of the Hong Kong Special Administrative Region of the People's Republic of China. We appreciated the help from Environ- mental Protection Department (EPD) and Drainage Services Department (DSD) of Hong Kong SAR Government for the wastewater sample collection and delivery. We also thank Vicky Fung for the technical support on lab fa- cilities. Xiawan Zheng, Shuxian Li, Xiaoqing Xu, and Jiahui Ding would like to thank for The University of Hong Kong for the Postgraduate Studentship (PGS) .</t>
  </si>
  <si>
    <t>0048-9697</t>
  </si>
  <si>
    <t>1879-1026</t>
  </si>
  <si>
    <t>SCI TOTAL ENVIRON</t>
  </si>
  <si>
    <t>Sci. Total Environ.</t>
  </si>
  <si>
    <t>10.1016/j.scitotenv.2022.157121</t>
  </si>
  <si>
    <t>3G9GD</t>
  </si>
  <si>
    <t>WOS:000831653300010</t>
  </si>
  <si>
    <t>De Koker, JN</t>
  </si>
  <si>
    <t>De Koker, Jeanne Nel</t>
  </si>
  <si>
    <t>REGULATING VOLUNTEER DIRECTORS' DUTIES IN COMPANIES REGISTERED WITH THE AUSTRALIAN CHARITIES AND NOT-FOR-PROFITS COMMISSION</t>
  </si>
  <si>
    <t>RESPONSIVE REGULATION; NONPROFIT ORGANIZATIONS; CIVIL PENALTIES; STATUTORY; LAW; CORPORATIONS; ENFORCEMENT; GOVERNANCE; SECTOR; CARE</t>
  </si>
  <si>
    <t>Australian directors, whether volunteering or serving a commercial or charitable company, have similar legal responsibilities and exposure to personal liability for unintentional mistakes. In 1991, the Supreme Court of Victoria awarded $97 million, equivalent to almost $200 million today, against a volunteer director of a not-forprofit charitable company. More recently, the Federal Court imposed a $90,000 penalty on a former Tennis Australia director, Harold Mitchell. Should volunteer charity directors and their fee-earning corporate counterparts be subject to the same legal duties, obligations and liability exposure? This article considers the potential impact of the 2018 Australian Charities and Not-for-profits Commission (`ACNC') Legislation Review Recommendation 11, that the statutory directors' duties in the Corporations Act 2001 (Cth) be turned `back on' for directors of ACNC registered charitable companies, with specific reference to individual directors, charities, and the regulation of the charity sector. It cautions against regulatory changes that impose unrealistic compliance obligations and complexity that could do significant long-term damage to the sector.</t>
  </si>
  <si>
    <t>[De Koker, Jeanne Nel] La Trobe Univ, La Trobe Law Sch, Bundoora, Vic, Australia</t>
  </si>
  <si>
    <t>La Trobe University</t>
  </si>
  <si>
    <t>De Koker, JN (corresponding author), La Trobe Univ, La Trobe Law Sch, Bundoora, Vic, Australia.</t>
  </si>
  <si>
    <t>Nel de Koker, Jeanne/HPC-5027-2023</t>
  </si>
  <si>
    <t>Australian Government Research Training Program Scholarship</t>
  </si>
  <si>
    <t>Australian Government Research Training Program Scholarship(Australian GovernmentDepartment of Industry, Innovation and Science)</t>
  </si>
  <si>
    <t>B Iuris, LLB, LLM (UFS). PhD candidate, La Trobe Law School, La Trobe University. The author acknowledges the valuable and constructive feedback provided by principal supervisor, Professor David Wishart, fellow PhD students and the anonymous referees. The research undertaken for this publication was supported by an Australian Government Research Training Program Scholarship.</t>
  </si>
  <si>
    <t>2W0PE</t>
  </si>
  <si>
    <t>WOS:000824236000008</t>
  </si>
  <si>
    <t>Varkevisser, RDM; Birnie, E; Vollenbrock, CE; Mul, D; van Dijk, PR; van der Klauw, MM; Veeze, H; Wolffenbuttel, BHR; Aanstoot, HJ</t>
  </si>
  <si>
    <t>Varkevisser, Rita Delphine Maiko; Birnie, Erwin; Vollenbrock, Charlotte E.; Mul, Dick; van Dijk, Peter R.; van der Klauw, Melanie M.; Veeze, Henk; Wolffenbuttel, Bruce H. R.; Aanstoot, Henk-Jan</t>
  </si>
  <si>
    <t>Cardiovascular risk management in people with type 1 diabetes: performance using three guidelines</t>
  </si>
  <si>
    <t>BMJ OPEN DIABETES RESEARCH &amp; CARE</t>
  </si>
  <si>
    <t>DISEASE; PREVENTION; MORTALITY</t>
  </si>
  <si>
    <t>Introduction Cardiovascular disease (CVD) is the leading cause of mortality in individuals with type 1 diabetes mellitus (T1DM). Cardiovascular risk management is therefore essential in the management of individuals with T1DM. This study describes the performance of lipid and blood pressure management in individuals with T1DM using three guidelines. Research design and methods Individuals &gt;= 18 years with T1DM, treated with insulin for &gt;= 1 year, visiting Diabeter or the University Medical Center Groningen between January 1, 2018 and December 31, 2018, were included. Lipid and blood pressure management were examined using the Dutch, American Diabetes Association (ADA) and National Institute for Health and Care Excellence (NICE) guidelines. Concordance of recommended and prescribed lipid-lowering (LLM) or antihypertensive medication (AHM) was assessed per guideline and 10-year age groups. Achievement of treatment targets was assessed for those prescribed medication. Results A total of 1855 individuals with T1DM were included. LLM and AHM was prescribed in 19% and 17%, respectively. In individuals recommended LLM, this was prescribed in 22%-46% according to Dutch, ADA or NICE guideline recommendations. For individuals recommended AHM, this was prescribed in 52%-75%. Recommended and actual prescription of LLM and AHM increased over age for all three guidelines. However, discordance between treatment recommendation and medication prescribed was higher in younger, compared with older, age groups. Low-density lipoprotein-cholesterol targets were achieved by 50% (without CVD) and 31% (with CVD) of those prescribed LLM. The blood pressure target was achieved by 46% of those prescribed AHM. Conclusion This study suggests that there is undertreatment of lipid and blood pressure according to guideline recommendations, particularly in younger age groups. Treatment targets are not met by most individuals prescribed medication, while guidelines recommendations differ considerably. We recommend to investigate the factors influencing undertreatment of lipid and blood pressure management in individuals with T1DM.</t>
  </si>
  <si>
    <t>[Varkevisser, Rita Delphine Maiko; Vollenbrock, Charlotte E.; van Dijk, Peter R.; van der Klauw, Melanie M.; Wolffenbuttel, Bruce H. R.] Univ Med Ctr Groningen, Dept Endocrinol, Groningen, Netherlands; [Birnie, Erwin; Mul, Dick; Veeze, Henk; Aanstoot, Henk-Jan] Ctr Focussed Diabet Care &amp; Res, Diabeter, Rotterdam, Netherlands; [Birnie, Erwin] Univ Med Ctr Groningen, Dept Genet, Groningen, Netherlands</t>
  </si>
  <si>
    <t>Varkevisser, RDM (corresponding author), Univ Med Ctr Groningen, Dept Endocrinol, Groningen, Netherlands.</t>
  </si>
  <si>
    <t>r.d.m.varkevisser@umcg.nl</t>
  </si>
  <si>
    <t>Varkevisser, Rita Delphine Maiko/JYQ-3350-2024; Mul, Dick/AAJ-1058-2020</t>
  </si>
  <si>
    <t>Dutch Diabetes Research Foundation [2015.16.1856]</t>
  </si>
  <si>
    <t>Dutch Diabetes Research Foundation</t>
  </si>
  <si>
    <t>This study was supported by Dutch Diabetes Research Foundation grant no. 2015.16.1856, for which we are very grateful.</t>
  </si>
  <si>
    <t>2052-4897</t>
  </si>
  <si>
    <t>BMJ OPEN DIAB RES CA</t>
  </si>
  <si>
    <t>BMJ Open Diab. Res. Care</t>
  </si>
  <si>
    <t>e002765</t>
  </si>
  <si>
    <t>Endocrinology &amp; Metabolism</t>
  </si>
  <si>
    <t>3C6MS</t>
  </si>
  <si>
    <t>WOS:000828736400001</t>
  </si>
  <si>
    <t>Jannasch, F; Dietrich, S; Bishop, TRP; Pearce, M; Fanidi, A; O'Donoghue, G; O'Gorman, D; Marques-Vidal, P; Vollenweider, P; Bes-Rastrollo, M; Byberg, L; Wolk, A; Hashemian, M; Malekzadeh, R; Poustchi, H; Luft, VC; de Matos, SMA; Kim, J; Kim, MK; Kim, Y; Stern, D; Lajous, M; Magliano, DJ; Shaw, JE; Akbaraly, T; Kivimaki, M; Maskarinec, G; Le Marchand, L; Martínez-González, MA; Soedamah-Muthu, SS; Wareham, NJ; Forouhi, NG; Schulze, MB</t>
  </si>
  <si>
    <t>Jannasch, Franziska; Dietrich, Stefan; Bishop, Tom R. P.; Pearce, Matthew; Fanidi, Anouar; O'Donoghue, Grainne; O'Gorman, Donal; Marques-Vidal, Pedro; Vollenweider, Peter; Bes-Rastrollo, Maira; Byberg, Liisa; Wolk, Alicja; Hashemian, Maryam; Malekzadeh, Reza; Poustchi, Hossein; Luft, Vivian C.; de Matos, Sheila M. Alvim; Kim, Jihye; Kim, Mi Kyung; Kim, Yeonjung; Stern, Dalia; Lajous, Martin; Magliano, Dianna J.; Shaw, Jonathan E.; Akbaraly, Tasnime; Kivimaki, Mika; Maskarinec, Gertraud; Le Marchand, Loic; Angel Martinez-Gonzalez, Miguel; Soedamah-Muthu, Sabita S.; Wareham, Nicholas J.; Forouhi, Nita G.; Schulze, Matthias B.</t>
  </si>
  <si>
    <t>EPIC-InterAct Consortium</t>
  </si>
  <si>
    <t>Associations between exploratory dietary patterns and incident type 2 diabetes: a federated meta-analysis of individual participant data from 25 cohort studies</t>
  </si>
  <si>
    <t>EUROPEAN JOURNAL OF NUTRITION</t>
  </si>
  <si>
    <t>Dietary patterns; Exploratory; Type 2 diabetes mellitus; Federated meta-analysis</t>
  </si>
  <si>
    <t>BLOOD-PRESSURE; LIFE-STYLE; RISK; HEALTH; ATHEROSCLEROSIS; DESIGN; CONSUMPTION; POPULATION; OBJECTIVES; PROFILE</t>
  </si>
  <si>
    <t>Purpose In several studies, exploratory dietary patterns (DP), derived by principal component analysis, were inversely or positively associated with incident type 2 diabetes (T2D). However, findings remained study-specific, inconsistent and rarely replicated. This study aimed to investigate the associations between DPs and T2D in multiple cohorts across the world. Methods This federated meta-analysis of individual participant data was based on 25 prospective cohort studies from 5 continents including a total of 390,664 participants with a follow-up for T2D (3.8-25.0 years). After data harmonization across cohorts we evaluated 15 previously identified T2D-related DPs for association with incident T2D estimating pooled incidence rate ratios (IRR) and confidence intervals (CI) by Piecewise Poisson regression and random-effects meta-analysis. Results 29,386 participants developed T2D during follow-up. Five DPs, characterized by higher intake of red meat, processed meat, French fries and refined grains, were associated with higher incidence of T2D. The strongest association was observed for a DP comprising these food groups besides others (IRRpooled per 1 SD = 1.104, 95% CI 1.059-1.151). Although heterogeneity was present (I-2 = 85%), IRR exceeded 1 in 18 of the 20 meta-analyzed studies. Original DPs associated with lower T2D risk were not confirmed. Instead, a healthy DP (HDP1) was associated with higher T2D risk (IRRpooled per 1 SD = 1.057, 95% CI 1.027-1.088). Conclusion Our findings from various cohorts revealed positive associations for several DPs, characterized by higher intake of red meat, processed meat, French fries and refined grains, adding to the evidence-base that links DPs to higher T2D risk. However, no inverse DP-T2D associations were confirmed.</t>
  </si>
  <si>
    <t>[Jannasch, Franziska; Dietrich, Stefan; Schulze, Matthias B.] German Inst Human Nutr Potsdam Rehbrucke, Dept Mol Epidemiol, Nuthetal, Germany; [Jannasch, Franziska; Schulze, Matthias B.] NutriAct Competence Cluster Nutr Res Potsdam Berl, Nuthetal, Germany; [Jannasch, Franziska; Schulze, Matthias B.] German Ctr Diabet Res, Munich, Germany; [Dietrich, Stefan] German Fed Inst Risk Assessment BfR, Dept Food Safety, Berlin, Germany; [Bishop, Tom R. P.; Pearce, Matthew; Fanidi, Anouar; Wareham, Nicholas J.; Forouhi, Nita G.] Univ Cambridge, MRC Epidemiol Unit, Sch Clin Med, Inst Metab Sci, Cambridge Biomed Campus, Cambridge CB2 0QQ, England; [O'Donoghue, Grainne] Univ Coll Dublin, Sch Publ Hlth Physiotherapy &amp; Sports Sci, Dublin, Ireland; [O'Gorman, Donal] Dublin City Univ, Sch Hlth &amp; Human Performance, Dublin, Ireland; [Marques-Vidal, Pedro; Vollenweider, Peter] Lausanne Univ Hosp, Dept Med, Internal Med, Off BH10-642,Rue Bugnon 46, CH-1011 Lausanne, Switzerland; [Marques-Vidal, Pedro; Vollenweider, Peter] Univ Lausanne, Off BH10-642,Rue Bugnon 46, CH-1011 Lausanne, Switzerland; [Bes-Rastrollo, Maira; Angel Martinez-Gonzalez, Miguel] Univ Navarra, Dept Prevent Med &amp; Publ Hlth, Pamplona, Spain; [Bes-Rastrollo, Maira; Angel Martinez-Gonzalez, Miguel] Inst Salud Carlos III, CIBERobn, Madrid, Spain; [Bes-Rastrollo, Maira; Angel Martinez-Gonzalez, Miguel] Navarra Inst Hlth Res IdiSNA, Pamplona, Spain; [Byberg, Liisa; Wolk, Alicja] Uppsala Univ, Dept Surg Sci, Med Epidemiol, Uppsala, Sweden; [Wolk, Alicja] Karolinska Inst, Inst Environm Med, Stockholm, Sweden; [Hashemian, Maryam; Malekzadeh, Reza] Univ Tehran Med Sci, Digest Dis Res Ctr, Digest Dis Res Inst, Tehran, Iran; [Hashemian, Maryam] Utica Coll, Sch Arts &amp; Sci, Biol Dept, Utica, NY 13502 USA; [Poustchi, Hossein] Univ Tehran Med Sci, Liver &amp; Pancreatobiliary Dis Res Ctr, Digest Dis Res Inst, Tehran, Iran; [Luft, Vivian C.] Univ Fed Rio Grande do Sul UFRGS, Fac Med, Porto Alegre, RS, Brazil; [de Matos, Sheila M. Alvim] Univ Fed Bahia, Inst Collect Hlth, Salvador, BA, Brazil; [Kim, Jihye; Kim, Mi Kyung] Hanyang Univ, Coll Med, Dept Prevent Med, Seoul, South Korea; [Kim, Yeonjung] Korea Dis Control Prevent Agcy, Div Hlth &amp; Nutr Survey &amp; Anal, Seoul, South Korea; [Stern, Dalia; Lajous, Martin] Natl Inst Publ Hlth, CONACyT Ctr Res Populat Hlth, Cuernavaca, Morelos, Mexico; [Magliano, Dianna J.; Shaw, Jonathan E.] Baker Heart &amp; Diabet Inst, 75 Commercial Rd, Melbourne, Vic 3004, Australia; [Akbaraly, Tasnime] Univ Paris Saclay, INSERM, U1018, UVSQ,Villejuif Maison Sci Homme SUD, Montpellier, France; [Akbaraly, Tasnime; Kivimaki, Mika] UCL, Dept Epidemiol &amp; Publ Hlth, London, England; [Maskarinec, Gertraud; Le Marchand, Loic] Univ Hawaii, Canc Ctr, Honolulu, HI 96822 USA; [Angel Martinez-Gonzalez, Miguel] Harvard TH Chan Sch Publ Hlth, Dept Nutr, 665 Huntington Ave, Boston, MA USA; [Soedamah-Muthu, Sabita S.] Tilburg Univ, Ctr Res Psychol &amp; Somat Disorders CORPS, Dept Med &amp; Clin Psychol, POB 90153, NL-5000 LE Tilburg, Netherlands; [Soedamah-Muthu, Sabita S.] Univ Reading, Inst Food Nutr &amp; Hlth, Reading RG6 6AR, Berks, England</t>
  </si>
  <si>
    <t>Jannasch, F (corresponding author), German Inst Human Nutr Potsdam Rehbrucke, Dept Mol Epidemiol, Nuthetal, Germany.;Jannasch, F (corresponding author), NutriAct Competence Cluster Nutr Res Potsdam Berl, Nuthetal, Germany.;Jannasch, F (corresponding author), German Ctr Diabet Res, Munich, Germany.</t>
  </si>
  <si>
    <t>franziska.jannasch@dife.de</t>
  </si>
  <si>
    <t>Projekt DEAL; European Union's Seventh Framework Programme(European Union (EU)); German Federal Ministry of Education and Research and the State of Brandenburg; NutriAct -Competence Cluster Nutrition Research Berlin-Potsdam - German Federal Ministry of Education and Research; Deutsche Forschungsgemeinschaft (DFG, German Research Foundation)(German Research Foundation (DFG)); Medical Research Council Epidemiology Unit(UK Research &amp; Innovation (UKRI)Medical Research Council UK (MRC)); NIHR Biomedical Research Centre Cambridge: Nutrition, Diet, and Lifestyle Research Theme; NIHR(National Institutes of Health Research (NIHR)); EUCAN-Connect under the European Union's Horizon 2020 research and innovation programme; EU FP6 programme(European Union (EU)); Spanish Government-Instituto de Salud Carlos III(Instituto de Salud Carlos III); European Regional Development Fund (FEDER)(European Union (EU)); Navarra Regional Government; PNSD 2020/2021; University of Navarra; Swedish Research Council(Swedish Research Council); Tehran University of Medical Sciences(Tehran University of Medical Sciences); Cancer Research UK(Cancer Research UK); Intramural Research Program of the U.S. National Cancer Institute, NIH; International Agency for Research on Cancer; Brazilian Ministry of Health (Department of Science and Technology); Ministry of Science, Technology and Innovation (Financiadora de Estudos e Projetos (FINEP); National Council for Scientific and Technological Development (CNPq)(Conselho Nacional de Desenvolvimento Cientifico e Tecnologico (CNPQ)); Korea Centers for Disease Control and Prevention, Ministry for Health and Welfare, Republic of Korea; Collaborative Genome Program for Fostering New Post-Genome Industry of the National Research Foundation (NRF) - Ministry of Science and ICT(National Research Foundation of Korea); American Institute for Cancer Research; Consejo Nacional de Ciencia y Tecnologia (CONACyT)(Consejo Nacional de Ciencia y Tecnologia (CONACyT)); US National Institutes of Health(United States Department of Health &amp; Human ServicesNational Institutes of Health (NIH) - USA); Dutch Dairy Association; Danish Dairy Research Foundation; GlaxoSmithKline(GlaxoSmithKline); Faculty of Biology and Medicine of Lausanne; Swiss National Science Foundation(Swiss National Science Foundation (SNSF)); UK Medical Research Council(UK Research &amp; Innovation (UKRI)Medical Research Council UK (MRC)); Wellcome Trust(Wellcome Trust); US National Institutes of Health (NIH)(United States Department of Health &amp; Human ServicesNational Institutes of Health (NIH) - USA); MRC(UK Research &amp; Innovation (UKRI)Medical Research Council UK (MRC))</t>
  </si>
  <si>
    <t>Open Access funding enabled and organized by Projekt DEAL. The InterConnect project is funded by the European Union's Seventh Framework Programme (grant number 602068). FJ and MBS acknowledge funding from the German Federal Ministry of Education and Research and the State of Brandenburg to the German Center for Diabetes Research (DZD) (82DZD00302). Furthermore, this work was supported by the NutriAct -Competence Cluster Nutrition Research Berlin-Potsdam funded by the German Federal Ministry of Education and Research (FKZ: 01EA1806A). This work was funded by the Deutsche Forschungsgemeinschaft (DFG, German Research Foundation) -491394008. This work was done as part of the NFDI4Health Consortium (www.nfdi4health.de).We gratefully acknowledge the financial support of the Deutsche Forschungsgemeinschaft (DFG, German Research Foundation) -NFDI 13/1. NJW and NGF acknowledge funding from the Medical Research Council Epidemiology Unit (MC_ UU_00006/1and MC_UU_00006/3) and NIHR Biomedical Research Centre Cambridge: Nutrition, Diet, and Lifestyle Research Theme (IS-BRC-1215-20014). NGF is an NIHR Senior Investigator (G111539). TB acknowledges funding from EUCAN-Connect under the European Union's Horizon 2020 research and innovation programme (grant agreement number 824989). The InterAct project was funded by the EU FP6 programme (grant number LSHM_CT_2006_037197). MBR and MAMG acknowledge that the SUN Project has received funding from the Spanish Government-Instituto de Salud Carlos III, and the European Regional Development Fund (FEDER) (RD 06/0045, CIBER-OBN, Grants PI10/02658, PI10/02293, PI13/00615, PI14/01668, PI14/01798, PI14/01764, PI17/01795, PI20/00564 and G03/140), PNSD-2020/021, the Navarra Regional Government (27/2011, 45/2011, 122/2014), PNSD 2020/2021, and the University of Navarra. LB and AW acknowledge that the COSM and SMC are part of the Swedish Infrastructure for Medical Population-Based LifeCourse and Environmental Research, SIMPLER. SIMPLER receives funding through the Swedish Research Council (grant no 2017-00644). RM acknowledges funding from the Tehran University of Medical Sciences (grant number: 81/15), Cancer Research UK (grant number: C20/A5860), the Intramural Research Program of the U.S. National Cancer Institute, NIH, and the International Agency for Research on Cancer. SMAM and VCL acknowledge that ELSA-Brasil was supported by the Brazilian Ministry of Health (Department of Science and Technology) and Ministry of Science, Technology and Innovation (Financiadora de Estudos e Projetos (FINEP); grant numbers 01 06 0010.00, 01 06 0212.00, 01 06 0300.00, 01 06 0278.00, 01 06 0115.00 and 01 06 0071.00) and the National Council for Scientific and Technological Development (CNPq). JK acknowledges funding from the Korea Centers for Disease Control and Prevention, Ministry for Health and Welfare, Republic of Korea (4845-301 and 4851-302), and the Collaborative Genome Program for Fostering New Post-Genome Industry of the National Research Foundation (NRF) funded by the Ministry of Science and ICT (NRF-2017M3C9A6047623). DS and ML acknowledge that this work of MTC was supported by the American Institute for Cancer Research (grant number 05B047) and the Consejo Nacional de Ciencia y Tecnologia (CONACyT) (grant number S0008-2009-1: 000000000115312).; LLM acknowledges funding from the US National Institutes of Health grant U01 CA164973; SSSM received the Wiebe Visser International Dairy Nutrition Prize and has received recent research funding (2019) for epidemiological studies on dairy products and cardiometabolic diseases from the Dutch Dairy Association and the Danish Dairy Research Foundation. PMV and PV acknowledge funding from GlaxoSmithKline, the Faculty of Biology and Medicine of Lausanne, and the Swiss National Science Foundation (grants 33CSCO-122661, 33CS30-139468, 33CS30-148401 and 33CS30_177535/1). MK and the Whitehall II study were supported by the UK Medical Research Council (MRCMR/R024227/1), the Wellcome Trust (221854/Z/20/Z) and the US National Institutes of Health (NIH, RF1AG062553, R01AG056477), during the conduct of the study. The funding sources did not participate in the design or conduct of the study; collection, management, analysis, or interpretation of the data; or preparation, review, or approval of the manuscript.</t>
  </si>
  <si>
    <t>1436-6207</t>
  </si>
  <si>
    <t>1436-6215</t>
  </si>
  <si>
    <t>EUR J NUTR</t>
  </si>
  <si>
    <t>Eur. J. Nutr.</t>
  </si>
  <si>
    <t>10.1007/s00394-022-02909-9</t>
  </si>
  <si>
    <t>JUN 2022</t>
  </si>
  <si>
    <t>Nutrition &amp; Dietetics</t>
  </si>
  <si>
    <t>4L1IH</t>
  </si>
  <si>
    <t>WOS:000803874400001</t>
  </si>
  <si>
    <t>Cheng, SMS; Mok, CKP; Chan, KCK; Ng, SS; Lam, BHS; Luk, LLH; Ko, FW; Chen, CK; Yiu, KR; Li, JKC; Chan, KKP; Tsang, LCH; Poon, LLM; Hui, DSC; Peiris, M</t>
  </si>
  <si>
    <t>Cheng, Samuel M. S.; Mok, Chris Ka Pun; Chan, Karl C. K.; Ng, Susanna S.; Lam, Bosco H. S.; Luk, Leo L. H.; Ko, Fanny W.; Chen, Chunke; Yiu, Karen; Li, John K. C.; Chan, Ken K. P.; Tsang, Leo C. H.; Poon, Leo L. M.; Hui, David S. C.; Peiris, Malik</t>
  </si>
  <si>
    <t>SARS-CoV-2 Omicron variant BA. 2 neutralisation in sera of people with Comirnaty or CoronaVac vaccination, infection or breakthrough infection, Hong Kong, 2020 to 2022</t>
  </si>
  <si>
    <t>EUROSURVEILLANCE</t>
  </si>
  <si>
    <t>Background: Omicron subvariant BA.2 circulation is rapidly increasing globally. Aim: We evaluated the neutralising antibody response from vaccination or prior SARS-CoV-2 infection against symptomatic infection by BA.2 or other variants. Methods: Using 50% plaque reduction neutralisation tests (PRNT50), we assessed neutralising antibody titres to BA. 2, wild type (WT) SARS- CoV-2 and other variants in Comirnaty or CoronaVac vaccinees, with or without prior WT-SARS-CoV-2 infection. Titres were also measured for non- vaccinees convalescing from a WT-SARS- CoV-2 infection. Neutralising antibodies in BA.2 and BA.1 breakthrough infections and in BA. 2 infections affecting non- vaccinees were additionally studied. Results: In vaccinees or prior WT-SARS-CoV-2-infected people, BA.2 and BA.1 PRNT 50 titres were comparable but significantly (p &lt; 10(-5)) lower than WT. In each group of 20 vaccinees with (i) three-doses of Comirnaty, (ii) two CoronaVac followed by one Comirnaty dose, or (iii) one dose of either vaccine after a WT-SARS-CoV-2 infection, = 19 individuals developed detectable (PRNT50 titre &lt;= 10) antibodies to BA.2, while only 15 of 20 vaccinated with three doses of CoronaVac did. Comirnaty vaccination elicited higher titres to BA.2 than CoronaVac. In people convalescing from a WT-SARS-CoV-2 infection, a single vaccine dose induced higher BA.2 titres than three Comirnaty (p = 0.02) or CoronaVac (p = 0.00001) doses in infection-naive individuals. BA.2 infections in previously uninfected and unvaccinated individuals elicited low (PRNT50 titre &lt;= 80) responses with little cross-neutralisation of other variants. However, vaccinees with BA.1 or BA.2 breakthrough infections had broad cross- neutralising antibodies to WT viruses, and BA.1, BA.2, Beta and Delta variants. Conclusions: Existing vaccines can be of help against the BA.2 subvariant.</t>
  </si>
  <si>
    <t>[Cheng, Samuel M. S.; Chan, Karl C. K.; Luk, Leo L. H.; Li, John K. C.; Tsang, Leo C. H.; Poon, Leo L. M.; Peiris, Malik] Univ Hong Kong, LKS Fac Med, Sch Publ Hlth, Hong Kong, Peoples R China; [Mok, Chris Ka Pun; Chen, Chunke] Chinese Univ Hong Kong, Jockey Club Sch Publ Hlth &amp; Primary Care, Hong Kong, Peoples R China; [Mok, Chris Ka Pun; Chen, Chunke] Chinese Univ Hong Kong, Fac Med, Li Ka Shing Inst Hlth Sci, Hong Kong, Peoples R China; [Ng, Susanna S.; Ko, Fanny W.; Yiu, Karen; Chan, Ken K. P.; Hui, David S. C.] Chinese Univ Hong Kong, Fac Med, Dept Med &amp; Therapeut, Hong Kong, Peoples R China; [Lam, Bosco H. S.] North Lantau Hosp, Dept Pathol, Hong Kong, Peoples R China; [Poon, Leo L. M.; Peiris, Malik] Ctr Immunol &amp; Infect, Shatin, Hong Kong Sci Pk, Hong Kong, Peoples R China; [Hui, David S. C.] Chinese Univ Hong Kong, Fac Med, Stanley Ho Ctr Emerging Infect Dis, Hong Kong, Peoples R China</t>
  </si>
  <si>
    <t>University of Hong Kong; Chinese University of Hong Kong; Chinese University of Hong Kong; Chinese University of Hong Kong; Chinese University of Hong Kong</t>
  </si>
  <si>
    <t>Peiris, M (corresponding author), Univ Hong Kong, LKS Fac Med, Sch Publ Hlth, Hong Kong, Peoples R China.;Hui, DSC (corresponding author), Chinese Univ Hong Kong, Fac Med, Dept Med &amp; Therapeut, Hong Kong, Peoples R China.;Peiris, M (corresponding author), Ctr Immunol &amp; Infect, Shatin, Hong Kong Sci Pk, Hong Kong, Peoples R China.;Hui, DSC (corresponding author), Chinese Univ Hong Kong, Fac Med, Stanley Ho Ctr Emerging Infect Dis, Hong Kong, Peoples R China.</t>
  </si>
  <si>
    <t>dschui@cuhk.edu.hk; malik@hku.hk</t>
  </si>
  <si>
    <t>Health and Medical Research Fund Commissioned Research on the Novel Coronavirus Disease (COVID-19), Hong Kong SAR [COVID1903003, COVID190126]; US National Institutes of Health [U01-Grant AI151810]; National Natural Science Foundation of China (NSFC)/Research Grants Council (RGC) Joint Research Scheme [N_HKU737/18]; RGC theme-based research schemes [T11-712/19-N, T11-705/21-N]; Guangdong-Hong Kong-Macau Joint Laboratory of Respiratory Infectious Disease [20191205]; Emergency Key Program of Guangzhou Laboratory [EKPG22-30-6]; C2i</t>
  </si>
  <si>
    <t>Health and Medical Research Fund Commissioned Research on the Novel Coronavirus Disease (COVID-19), Hong Kong SAR; US National Institutes of Health(United States Department of Health &amp; Human ServicesNational Institutes of Health (NIH) - USA); National Natural Science Foundation of China (NSFC)/Research Grants Council (RGC) Joint Research Scheme; RGC theme-based research schemes; Guangdong-Hong Kong-Macau Joint Laboratory of Respiratory Infectious Disease; Emergency Key Program of Guangzhou Laboratory; C2i</t>
  </si>
  <si>
    <t>This research was supported by grants from the Health and Medical Research Fund Commissioned Research on the Novel Coronavirus Disease (COVID-19), Hong Kong SAR (COVID1903003; COVID190126) (CKPM, DSH and MP), US National Institutes of Health (contract no. U01-Grant AI151810) (MP), National Natural Science Foundation of China (NSFC)/Research Grants Council (RGC) Joint Research Scheme (N_HKU737/18) (CKPM and MP), RGC theme-based research schemes (T11-712/19-N and T11-705/21-N) (LLMP, DSH, MP), Guangdong-Hong Kong-Macau Joint Laboratory of Respiratory Infectious Disease (20191205) (CKMP), Emergency Key Program of Guangzhou Laboratory (Grant No. EKPG22-30-6)(CKPM, MP) and C2i (LLMP, MP) administered by Innovation and Technology Commission of Hong Kong and visiting scientist scheme from Lee Kong Chian School of Medicine, Nanyang Technological University, Singapore (CKPM).</t>
  </si>
  <si>
    <t>EUR CENTRE DIS PREVENTION &amp; CONTROL</t>
  </si>
  <si>
    <t>STOCKHOLM</t>
  </si>
  <si>
    <t>TOMTEBODAVAGEN 11A, STOCKHOLM, 171 83, SWEDEN</t>
  </si>
  <si>
    <t>1025-496X</t>
  </si>
  <si>
    <t>1560-7917</t>
  </si>
  <si>
    <t>Eurosurveillance</t>
  </si>
  <si>
    <t>MAY 5</t>
  </si>
  <si>
    <t>10.2807/1560-7917.ES.2022.27.18.2200178</t>
  </si>
  <si>
    <t>3L6TA</t>
  </si>
  <si>
    <t>WOS:000834892300003</t>
  </si>
  <si>
    <t>Koch, A; Friederici, L; Fiala, P; Springer, A; Di Bucchianico, S; Stintz, M; Frank, M; Rüger, CP; Streibel, T; Zimmermann, R</t>
  </si>
  <si>
    <t>Koch, Arne; Friederici, Lukas; Fiala, Petra; Springer, Armin; Di Bucchianico, Sebastiano; Stintz, Michael; Frank, Marcus; Rueger, Christopher Paul; Streibel, Thorsten; Zimmermann, Ralf</t>
  </si>
  <si>
    <t>Impact of Thermal Stress on Abrasive Dust from a Carbon Fiber-Reinforced Concrete Composite</t>
  </si>
  <si>
    <t>FIBERS</t>
  </si>
  <si>
    <t>carbon fibers; concrete; WHO fibers; thermal exposure; scanning electron microscopy; evolved gas analysis; mass spectrometry</t>
  </si>
  <si>
    <t>CHROMATOGRAPHY-MASS-SPECTROMETRY; ENHANCED MULTIPHOTON IONIZATION; BASALT FIBER; MECHANICAL-PROPERTIES; HUMAN HEALTH; PYROLYSIS; ASBESTOS; POLYACRYLONITRILE; EXPOSURE; TEMPERATURES</t>
  </si>
  <si>
    <t>Recently, a novel corrosion-resistant construction material, Carbon Concrete Composite (C-3), consisting of coated carbon fibers embedded in a concrete matrix, was introduced. However, thermal exposure during domestic fires may impact the release of organic pollutants and fibers during abrasive processing and/or demolition. Consequently, the objective of this study was to explore the emission characteristics of toxic compounds and harmful fibers during the dry-cutting after exposure to 25-600 degrees C (3 h, air). These parameters mimic the abrasive machining and dismantling after a domestic fire event. Mass spectrometry and chromatography served as analytical methodologies, and no organic pollutants for exposure temperatures &gt;= 400 degrees C were found. In contrast, significant amounts of pyrolysis products from the organic fiber coating were released at lower temperatures. Studying the morphology of the released fibers by electron microscopy revealed a decrease in fiber diameter for temperatures exceeding 450 degrees C. At &gt;= 550 degrees C, harmful fibers, according to the World Health Organization (WHO) definition, occurred (28-41 x 10(3) WHO fibers/m(3) at 550-600 degrees C). This leads to the conclusion that there is a demand for restraining and protection measures, such as the use of wet cutting processes, suction devices, particle filtering masks and protective clothing, to handle thermally stressed C-3.</t>
  </si>
  <si>
    <t>[Koch, Arne; Friederici, Lukas; Rueger, Christopher Paul; Streibel, Thorsten; Zimmermann, Ralf] Univ Rostock, Joint Mass Spectrometry Ctr, Chair Analyt Chem, D-18059 Rostock, Germany; [Friederici, Lukas; Frank, Marcus; Rueger, Christopher Paul; Zimmermann, Ralf] Univ Rostock, Dept Life Light &amp; Matter LLM, D-18051 Rostock, Germany; [Fiala, Petra; Stintz, Michael] Tech Univ Dresden, Dept Mech Proc Engn, Munchner Pl 3, D-01187 Dresden, Germany; [Springer, Armin; Frank, Marcus] Univ Med Ctr Rostock, Med Biol &amp; Electron Microscopy Ctr, Strempelstr 14, D-18057 Rostock, Germany; [Di Bucchianico, Sebastiano; Streibel, Thorsten; Zimmermann, Ralf] Helmholtz Zentrum Munchen, Comprehens Mol Analyt, Joint Mass Spectrometry Ctr, Ingolstadter Landstr 1, D-85764 Neuherberg, Germany</t>
  </si>
  <si>
    <t>University of Rostock; University of Rostock; Technische Universitat Dresden; University of Rostock; Helmholtz Association; Helmholtz-Center Munich - German Research Center for Environmental Health</t>
  </si>
  <si>
    <t>Streibel, T (corresponding author), Univ Rostock, Joint Mass Spectrometry Ctr, Chair Analyt Chem, D-18059 Rostock, Germany.;Streibel, T (corresponding author), Helmholtz Zentrum Munchen, Comprehens Mol Analyt, Joint Mass Spectrometry Ctr, Ingolstadter Landstr 1, D-85764 Neuherberg, Germany.</t>
  </si>
  <si>
    <t>arne.koch@uni-rostock.de; lukas.friederici@uni-rostock.de; petra.fiala@tu-dresden.de; armin.springer@med.uni-rostock.de; dibucchianico@helmholtz-muenchen.de; michael.stintz@tu-dresden.de; marcus.frank@med.uni-rostock.cle; christopher.rueger@uni-rostock.de; thorsten.streibel@uni-rostock.de; ralf.zimmermann@uni-rostock.de</t>
  </si>
  <si>
    <t>Rüger, Christopher P./AAJ-5548-2020; Di Bucchianico, Sebastiano/AHI-8150-2022</t>
  </si>
  <si>
    <t>German Federal Ministry of Education and Research [03ZZ0332A]; German Research Foundation (DFG) [325496636]; University of Rostock/University Medical Center Rostock [325496636]; Research in the loan program Zwanzig20-Partnerschaft fur Innovation</t>
  </si>
  <si>
    <t>German Federal Ministry of Education and Research(Federal Ministry of Education &amp; Research (BMBF)); German Research Foundation (DFG)(German Research Foundation (DFG)); University of Rostock/University Medical Center Rostock; Research in the loan program Zwanzig20-Partnerschaft fur Innovation</t>
  </si>
  <si>
    <t>This research is part of the C3-Carbon Concrete Composites project funded by the German Federal Ministry of Education and Research, grant number 03ZZ0332A, and Research in the loan program Zwanzig20-Partnerschaft fur Innovation. We acknowledge financial support by German Research Foundation (DFG) and University of Rostock/University Medical Center Rostock within the funding program Open Access Publishing, grant number 325496636.</t>
  </si>
  <si>
    <t>2079-6439</t>
  </si>
  <si>
    <t>Fibers</t>
  </si>
  <si>
    <t>10.3390/fib10050039</t>
  </si>
  <si>
    <t>Materials Science, Multidisciplinary</t>
  </si>
  <si>
    <t>Materials Science</t>
  </si>
  <si>
    <t>1Q1ND</t>
  </si>
  <si>
    <t>WOS:000802462500001</t>
  </si>
  <si>
    <t>Martucci, LL; Cancela, JM</t>
  </si>
  <si>
    <t>Martucci, Lora L.; Cancela, Jose-Manuel</t>
  </si>
  <si>
    <t>Neurophysiological functions and pharmacological tools of acidic and non-acidic Ca2+ stores</t>
  </si>
  <si>
    <t>CELL CALCIUM</t>
  </si>
  <si>
    <t>ADENINE-DINUCLEOTIDE PHOSPHATE; CYCLIC-ADP-RIBOSE; CALCIUM-RELEASE CHANNEL; MUSCLE SARCOPLASMIC-RETICULUM; FROG NEUROMUSCULAR-JUNCTION; PURIFIED RYANODINE RECEPTOR; AUTISM SPECTRUM DISORDER; MUCOLIPIDOSIS TYPE-IV; NAADP MOBILIZES CA2+; 2-PORE CHANNELS</t>
  </si>
  <si>
    <t>Ca2+ signalling is of prime importance in controlling numerous cell functions in the brain. Endolysosomes are acidic organelles currently emerging as important Ca2+ stores in astrocytes, microglia, endothelial cells, and neurons. In neurons, these acidic Ca2+ stores are found in axons, soma, dendrites, and axon endings and could provide local sources of Ca2+ to control synaptic transmission, neuronal plasticity, and autophagy to name a few. This review will address how acidic Ca2+ stores are recruited in response to cell stimulation. We will focus on the role of the endolysosomal two-pore channels (TPCs) and their physiological agonist nicotinic acid adenine dinucleotide phosphate (NAADP) and how they interact with cyclic ADP-ribose and ryanodine receptors from the endoplasmic reticulum. Finally, this review will describe new pharmacological tools and animal mutant models now available to explore acidic Ca2+ stores as key elements in brain function and dysfunction.</t>
  </si>
  <si>
    <t>[Martucci, Lora L.] Univ Oxford, Dept Pharmacol, Mansfield Rd, Oxford OX1 3QT, England; [Cancela, Jose-Manuel] Univ Paris Sud, CNRS, Neurosci Paris Saclay Inst Neuro PSI, UMR 9197, Campus CEA,151 Rte Rotonde, F-91400 Saclay, France</t>
  </si>
  <si>
    <t>Martucci, LL (corresponding author), Univ Oxford, Dept Pharmacol, Mansfield Rd, Oxford OX1 3QT, England.;Cancela, JM (corresponding author), Univ Paris Sud, CNRS, Neurosci Paris Saclay Inst Neuro PSI, UMR 9197, Campus CEA,151 Rte Rotonde, F-91400 Saclay, France.</t>
  </si>
  <si>
    <t>lora.martucci@new.ox.ac.uk; manuel.cancela@universite-paris-saclay.fr</t>
  </si>
  <si>
    <t>Oxford University; CNRS</t>
  </si>
  <si>
    <t>Oxford University; CNRS(Centre National de la Recherche Scientifique (CNRS))</t>
  </si>
  <si>
    <t>LLM research is funded by Oxford University. JMC research is funded by the CNRS. Images were created using biorender.com.</t>
  </si>
  <si>
    <t>0143-4160</t>
  </si>
  <si>
    <t>1532-1991</t>
  </si>
  <si>
    <t>Cell Calcium</t>
  </si>
  <si>
    <t>10.1016/j.ceca.2022.102582</t>
  </si>
  <si>
    <t>APR 2022</t>
  </si>
  <si>
    <t>Cell Biology</t>
  </si>
  <si>
    <t>1D3SV</t>
  </si>
  <si>
    <t>WOS:000793724600005</t>
  </si>
  <si>
    <t>Schneider, E; Czech, H; Popovicheva, O; Lütdke, H; Schnelle-Kreis, J; Khodzher, T; Rüger, CP; Zimmermann, R</t>
  </si>
  <si>
    <t>Schneider, Eric; Czech, Hendryk; Popovicheva, Olga; Luetdke, Hannes; Schnelle-Kreis, Jurgen; Khodzher, Tamara; Rueger, Christopher P.; Zimmermann, Ralf</t>
  </si>
  <si>
    <t>Molecular Characterization of Water-Soluble Aerosol Particle Extracts by Ultrahigh-Resolution Mass Spectrometry: Observation of Industrial Emissions and an Atmospherically Aged Wildfire Plume at Lake Baikal</t>
  </si>
  <si>
    <t>ACS EARTH AND SPACE CHEMISTRY</t>
  </si>
  <si>
    <t>air pollution; Fourier transform ion cyclotron resonance mass spectrometry; electrospray ionization; solid-phase extraction; HULIS; biomass burning; BrC</t>
  </si>
  <si>
    <t>POLYCYCLIC AROMATIC-HYDROCARBONS; VOLATILE ORGANIC-COMPOUNDS; BROWN CARBON; LIGHT-ABSORPTION; PARTICULATE MATTER; OPTICAL-PROPERTIES; REACTIVE OXYGEN; HUMIC-LIKE; BASIS-SET; SECONDARY</t>
  </si>
  <si>
    <t>: Air pollution over Lake Baikal originating from anthropogenic emissions as well as wildfire events and secondary organic aerosol (SOA) formation poses a threat to this world heritage ecosystem. During a ship expedition in 2018, ambient aerosol particles were sampled on filters at different locations of Lake Baikal and extracted to obtain the fraction of water-soluble organic aerosol (WSOA). Subsequent analysis by Fourier transform ion cyclotron resonance (FTICR) mass spectrometry with direct-infusion electrospray ionization (ESI) in both ionization modes provides insights into the molecular composition of polar and high-molecular-weight species in WSOA. Light absorption spectral dependence determined by absorption Angstrom exponent (AAE) is correlated to summed compound class abundancies to identify light-absorbing compounds. Most detected species are heavily oxidized, associated with intense atmospheric aging, and contain significant amounts of nitrogen or sulfur, with the most abundant compound classes being CHO, CHON, and CHOS. Nitrogen-containing species are more frequently found in positive ESI and correlate well with AAE. Oxygen-to-nitrogen ratios (O/ N) larger than 3 indicate organic nitrates, and also less oxidized nitrogen species can be linked to brown carbon (BrC). ESI in both ionization modes provides complementary molecular information with, on the one hand, more sensitive detection of high average carbon oxidation state (OSC) and low-volatility oxidized organic aerosol species in negative mode, and on the other hand, lower OSC (OSC &lt; 0) species as well as oligomers and potential biomass burning organic aerosol in positive mode. Additionally, a great overlap of sum formulae was found at all sampling sites along the expedition route, regardless of the potential primary emission sources, indicating strong atmospheric aging and mixing, leading to a similar oxidized organic aerosol (OOA) from different primary sources</t>
  </si>
  <si>
    <t>[Schneider, Eric; Czech, Hendryk; Luetdke, Hannes; Rueger, Christopher P.; Zimmermann, Ralf] Univ Rostock, Joint Mass Spectrometry Ctr JMSC, Chair Analyt Chem, D-18059 Rostock, Germany; [Schneider, Eric; Luetdke, Hannes; Rueger, Christopher P.; Zimmermann, Ralf] Univ Rostock, Dept Life Light &amp; Matter LLM, D-18059 Rostock, Germany; [Popovicheva, Olga] Lomonosov Moscow State Univ, Skobeltsyn Inst Nucl Phys, Moscow 119991, Russia; [Czech, Hendryk; Schnelle-Kreis, Jurgen; Zimmermann, Ralf] Helmholtz Zentrum Munchen, Joint Mass Spectrometry Ctr JMSC, Cooperat Grp Comprehens Mol Analyt CMA, D-81379 Munich, Germany; [Khodzher, Tamara] Russian Acad Sci, Limnol Inst, Siberian Branch, Irkutsk 664033, Russia</t>
  </si>
  <si>
    <t>University of Rostock; University of Rostock; Lomonosov Moscow State University; Helmholtz Association; Helmholtz-Center Munich - German Research Center for Environmental Health; Irkutsk Science Centre of the Russian Academy of Sciences; Russian Academy of Sciences; Limnological Institute SB RAS</t>
  </si>
  <si>
    <t>Czech, H; Rüger, CP (corresponding author), Univ Rostock, Joint Mass Spectrometry Ctr JMSC, Chair Analyt Chem, D-18059 Rostock, Germany.;Rüger, CP (corresponding author), Univ Rostock, Dept Life Light &amp; Matter LLM, D-18059 Rostock, Germany.;Czech, H (corresponding author), Helmholtz Zentrum Munchen, Joint Mass Spectrometry Ctr JMSC, Cooperat Grp Comprehens Mol Analyt CMA, D-81379 Munich, Germany.</t>
  </si>
  <si>
    <t>hendryk.czech@uni-rostock.de; christopher.rueger@uni-rostock.de</t>
  </si>
  <si>
    <t>DFG; RFBR [ZI 764/24-1, 20-55-12001]; Horizon 2020 program for the EU FT-ICR MS project (European Network of Fourier-Transform Ion-Cyclotron-Resonance Mass Spectrometry Centers) [731077]; Helmholtz International Lab aeroHEALTH (Interlabs-0005); RF Ministry of Science and Higher Education [0279-2021-0014]; German Research Foundation (DFG) [INST 264/56]</t>
  </si>
  <si>
    <t>DFG(German Research Foundation (DFG)); RFBR(Russian Foundation for Basic Research (RFBR)); Horizon 2020 program for the EU FT-ICR MS project (European Network of Fourier-Transform Ion-Cyclotron-Resonance Mass Spectrometry Centers); Helmholtz International Lab aeroHEALTH (Interlabs-0005); RF Ministry of Science and Higher Education; German Research Foundation (DFG)(German Research Foundation (DFG))</t>
  </si>
  <si>
    <t>This work was supported by the DFG and RFBR under grants ZI 764/24-1 and 20-55-12001. Funding by the Horizon 2020 program for the EU FT-ICR MS project (European Network of Fourier-Transform Ion-Cyclotron-Resonance Mass Spectrometry Centers, Grant agreement ID: 731077) is gratefully acknowledged. H.C. acknowledges funding from Helmholtz International Lab aeroHEALTH (Interlabs-0005). T.K. thanks funding from RF Ministry of Science and Higher Education (project #0279-2021-0014). The authors thank the German Research Foundation (DFG) for funding the Bruker FT-ICR MS (INST 264/56). This research was performed according to the Development program of the Interdisciplinary Scientific and Educational School of M.V. Lomonosov Moscow State University &lt;&lt; Future Planet and Global Environmental Change &gt;&gt;.</t>
  </si>
  <si>
    <t>2472-3452</t>
  </si>
  <si>
    <t>ACS EARTH SPACE CHEM</t>
  </si>
  <si>
    <t>ACS Earth Space Chem.</t>
  </si>
  <si>
    <t>APR 21</t>
  </si>
  <si>
    <t>10.1021/acsearthspacechem.2c00017</t>
  </si>
  <si>
    <t>Chemistry, Multidisciplinary; Geochemistry &amp; Geophysics</t>
  </si>
  <si>
    <t>Chemistry; Geochemistry &amp; Geophysics</t>
  </si>
  <si>
    <t>1E5YU</t>
  </si>
  <si>
    <t>WOS:000794564400023</t>
  </si>
  <si>
    <t>Wee, LLM; Goy, SC</t>
  </si>
  <si>
    <t>Wee, Lynn Ling Min; Goy, Siew Ching</t>
  </si>
  <si>
    <t>The effects of ethnicity, gender and parental financial socialisation on financial knowledge among Gen Z: the case of Sarawak, Malaysia</t>
  </si>
  <si>
    <t>INTERNATIONAL JOURNAL OF SOCIAL ECONOMICS</t>
  </si>
  <si>
    <t>Malaysia; University students; Financial knowledge; Sarawak; Ethnic differences; Financial socialisation</t>
  </si>
  <si>
    <t>LITERACY; BEHAVIORS; CULTURE; MONEY</t>
  </si>
  <si>
    <t>Purpose The purpose of this paper is to examine the relationship between financial socialisation experiences, socio-economic factors, demographic characteristics and the financial knowledge of first year undergraduate students. Design/methodology/approach Using a questionnaire, data were collected from a sample of 450 first year university students from both private and public universities. A multivariate regression method was adopted to examine the influence of financial socialisation among respondents of different ethnic groups and their social backgrounds on the individual's financial knowledge. Findings The findings indicate that: firstly, financial knowledge is low among first-year university students in Sarawak. Secondly, male respondents outperform female counterparts in terms of financial knowledge. Thirdly, parental financial socialisation remains the main source of financial knowledge among the students. Fourthly, there are significant differences in financial knowledge across ethnic groups. Research limitations/implications It is paramount to implement financial education programmes to elevate the financial literacy for both youth and parents since parents remain the primary source of financial socialisation for young adults. Practical implications The study suggests that financial knowledge varies according to gender and ethnicity. Hence, financial education programmes should be designed to accommodate the differences between groups based on ethnicity and gender to achieve the best outcome. Originality/value This is the first study that draws a representative sample of university students in Sarawak that examines the effects of ethnicity, gender and parental financial socialisation on financial knowledge among first year university students.</t>
  </si>
  <si>
    <t>[Wee, Lynn Ling Min] Swinburne Univ Technol, Fac Business Design &amp; Arts, Sarawak Campus, Kuching, Malaysia; [Goy, Siew Ching] Univ Malaysia Sarawak, Fac Social Sci &amp; Humanities, Kota Samarahan, Malaysia</t>
  </si>
  <si>
    <t>Wee, LLM (corresponding author), Swinburne Univ Technol, Fac Business Design &amp; Arts, Sarawak Campus, Kuching, Malaysia.</t>
  </si>
  <si>
    <t>lwee@swinburne.edu.my</t>
  </si>
  <si>
    <t>Swinburne Sarawak Research Grant (SSRG) 2018</t>
  </si>
  <si>
    <t>The study was funded by Swinburne Sarawak Research Grant (SSRG) 2018.</t>
  </si>
  <si>
    <t>0306-8293</t>
  </si>
  <si>
    <t>1758-6712</t>
  </si>
  <si>
    <t>INT J SOC ECON</t>
  </si>
  <si>
    <t>Int. J. Soc. Econ.</t>
  </si>
  <si>
    <t>10.1108/IJSE-02-2021-0114</t>
  </si>
  <si>
    <t>Economics</t>
  </si>
  <si>
    <t>3O7WF</t>
  </si>
  <si>
    <t>WOS:000782801500001</t>
  </si>
  <si>
    <t>Bull, MB; Gu, HG; Ma, FNL; Perera, LP; Poon, LLM; Valkenburg, SA</t>
  </si>
  <si>
    <t>Bull, Maireid B.; Gu, Haogao; Ma, Fionn N. L.; Perera, Liyanage P.; Poon, Leo L. M.; Valkenburg, Sophie A.</t>
  </si>
  <si>
    <t>Next-generation T cell-activating vaccination increases influenza virus mutation prevalence</t>
  </si>
  <si>
    <t>A-VIRUS; MEDIATED PROTECTION; POSITIVE SELECTION; IMMUNE-RESPONSES; MOLECULAR-BASIS; VIRAL ESCAPE; LYMPHOCYTE; INFECTION; HEMAGGLUTININ; EPITOPES</t>
  </si>
  <si>
    <t>To determine the potential for viral adaptation to T cell responses, we probed the full influenza virus genome by next-generation sequencing directly ex vivo from infected mice, in the context of an experimental T cell-based vaccine, an H5N1-based viral vectored vaccinia vaccine Wyeth/IL-15/5Flu, versus the current standard-of-care, seasonal inactivated influenza vaccine (IIV) and unvaccinated conditions. Wyeth/IL-15/5Flu vaccination was coincident with increased mutation incidence and frequency across the influenza genome; however, mutations were not enriched within T cell epitope regions, but high allele frequency mutations within conserved hemagglutinin stem regions and PB2 mammalian adaptive mutations arose. Depletion of CD4(+) and CD8(+) T cell subsets led to reduced frequency of mutants in vaccinated mice; therefore, vaccine-mediated T cell responses were important drivers of virus diversification. Our findings suggest that Wyeth/IL-15/5Flu does not generate T cell escape mutants but increases stochastic events for virus adaptation by stringent bottlenecks.</t>
  </si>
  <si>
    <t>[Bull, Maireid B.; Ma, Fionn N. L.; Poon, Leo L. M.; Valkenburg, Sophie A.] Univ Hong Kong, Li Ka Shing Fac Med, Sch Publ Hlth, HKU Pasteur Res Pole, Hong Kong, Peoples R China; [Gu, Haogao; Poon, Leo L. M.] Univ Hong Kong, Li Ka Shing Fac Med, Sch Publ Hlth, Div Publ Hlth Lab Sci, Hong Kong, Peoples R China; [Perera, Liyanage P.] NCI, Metab Branch, Ctr Canc Res, NIH, Bethesda, MD 20892 USA; [Valkenburg, Sophie A.] Univ Melbourne, Peter Doherty Inst Infect &amp; Immun, Dept Microbiol &amp; Immunol, Melbourne, Vic, Australia</t>
  </si>
  <si>
    <t>Valkenburg, SA (corresponding author), Univ Hong Kong, Li Ka Shing Fac Med, Sch Publ Hlth, HKU Pasteur Res Pole, Hong Kong, Peoples R China.;Valkenburg, SA (corresponding author), Univ Melbourne, Peter Doherty Inst Infect &amp; Immun, Dept Microbiol &amp; Immunol, Melbourne, Vic, Australia.</t>
  </si>
  <si>
    <t>sophie.v@unimelb.edu.au</t>
  </si>
  <si>
    <t>Poon, Leo/AAP-6887-2020; Poon, Leo/C-4382-2009</t>
  </si>
  <si>
    <t>Poon, Leo/0000-0002-9101-7953; Bull, Maireid/0000-0002-5449-0215; Gu, Haogao/0000-0002-7541-4262</t>
  </si>
  <si>
    <t>Research Grant Council General Research Fund [17111517]; University of Hong Kong [201610159001]; Hong Kong SAR Government, Food and Health Bureau; Health and Medical Research Fund [18170452]</t>
  </si>
  <si>
    <t>Research Grant Council General Research Fund; University of Hong Kong(University of Hong Kong); Hong Kong SAR Government, Food and Health Bureau; Health and Medical Research Fund</t>
  </si>
  <si>
    <t>This work was supported by Research Grant Council General Research Fund 17111517 (to S.A.V.), University of Hong Kong seed fund 201610159001 (to S. A.V.), and Hong Kong SAR Government, Food and Health Bureau, and Health and Medical Research Fund 18170452 (to L.L.M.P.).</t>
  </si>
  <si>
    <t>eabl5209</t>
  </si>
  <si>
    <t>10.1126/sciadv.abl5209</t>
  </si>
  <si>
    <t>0H7FR</t>
  </si>
  <si>
    <t>WOS:000778897800019</t>
  </si>
  <si>
    <t>Hang, GY; Wang, JT; Wang, T; Shen, HM; Yu, WL</t>
  </si>
  <si>
    <t>Hang, Gui-yun; Wang, Jin-tao; Wang, Tao; Shen, Hui-ming; Yu, Wen-li</t>
  </si>
  <si>
    <t>Theoretical investigations on a novel CL-20/LLM-105 cocrystal explosive by molecular dynamics method</t>
  </si>
  <si>
    <t>THEORETICAL CHEMISTRY ACCOUNTS</t>
  </si>
  <si>
    <t>Hexanitrohexaazaisowurtzitane/2,6-diamino-3,5-dinitropyrazine-l-oxide (CL-20/LLM-105) cocrystal explosive; Molecular dynamics; Binding energy; Trigger bond; Detonation parameters; Mechanical properties</t>
  </si>
  <si>
    <t>UNIVERSAL FORCE-FIELD; DETONATION PROPERTY; ENERGY; SENSITIVITY; SIMULATIONS; VALIDATION; PARAMETERIZATION; PERFORMANCE; STABILITY; CRYSTALS</t>
  </si>
  <si>
    <t>The hexanitrohexaazaisowurtzitane/2,6-diamino-3,5-dinitropyrazine-l-oxide (CL-20/LLM-105) cocrystal models with different component ratios were established by the substitution method. The stability, sensitivity, energetic performance, and mechanical properties of CL-20, LLM-105, and CL-20/LLM-105 cocrystal models were predicted by the molecular dynamics method. The results show that the CL-20/LLM-105 cocrystal model with component ratio of 2:1 has the highest value of binding energy and is the most stable model. The cocrystal model has shorter trigger bond length than pure CL-20, but higher value of trigger bond energy and cohesive energy density, which implies that the sensitivity of cocrystal explosive is decreased. The cocrystal explosive has lower energy density than CL-20, but the cocrystal explosive with molar ratio of 10:12:1 still has high energy density and can be regarded as novel high energy density compound (HEDC). The tensile modulus, shear modulus, and bulk modulus of cocrystal models are decreased, Cauchy pressure is increased, meaning that the mechanical properties is improved. In a word, the CL-20/LLM-105 cocrystal explosive with component ratio of 2:1 has the best stability, lowest mechanical sensitivity, most desirable mechanical properties, and high energy density, it is very promising to become a novel HEDC.</t>
  </si>
  <si>
    <t>[Hang, Gui-yun; Wang, Jin-tao; Wang, Tao; Shen, Hui-ming; Yu, Wen-li] Xian Res Inst High Tech, Xian 710025, Shaanxi, Peoples R China</t>
  </si>
  <si>
    <t>Rocket Force University of Engineering</t>
  </si>
  <si>
    <t>Hang, GY (corresponding author), Xian Res Inst High Tech, Xian 710025, Shaanxi, Peoples R China.</t>
  </si>
  <si>
    <t>1910319052@qq.com</t>
  </si>
  <si>
    <t>Young Talent Fund of University Association for Science and Technology in Shaanxi, China [20200604]</t>
  </si>
  <si>
    <t>Young Talent Fund of University Association for Science and Technology in Shaanxi, China</t>
  </si>
  <si>
    <t>This research was supported by Young Talent Fund of University Association for Science and Technology in Shaanxi, China (No. 20200604).</t>
  </si>
  <si>
    <t>1432-881X</t>
  </si>
  <si>
    <t>1432-2234</t>
  </si>
  <si>
    <t>THEOR CHEM ACC</t>
  </si>
  <si>
    <t>Theor. Chem. Acc.</t>
  </si>
  <si>
    <t>10.1007/s00214-022-02886-6</t>
  </si>
  <si>
    <t>0L2XQ</t>
  </si>
  <si>
    <t>WOS:000781343100002</t>
  </si>
  <si>
    <t>Souza, LGM; Santos, DC</t>
  </si>
  <si>
    <t>Mota Souza, Luis Gustavo; Santos, Dhiego Carvalho</t>
  </si>
  <si>
    <t>A Performance Comparison of Robust Models in Wind Turbines Power Curve Estimation: A Case Study</t>
  </si>
  <si>
    <t>NEURAL PROCESSING LETTERS</t>
  </si>
  <si>
    <t>Artificial neural networks; Wind turbines power curve estimation; Global modeling; Local modeling; Outliers; M estimator</t>
  </si>
  <si>
    <t>EXTREME LEARNING-MACHINE; SELF-ORGANIZING MAPS; SYSTEM-IDENTIFICATION; LOCAL MODELS; REGRESSION</t>
  </si>
  <si>
    <t>The power curve modeling for wind turbines is a key tool used to predict the generated electric power, and to monitor and operate wind turbines, directly affecting the investments in wind farms. However, the collected data can sometimes contain outliers, which can significantly affect the modeling. A classic technique widely used for this purpose is called Polynomial Regression and recently, the use of the Multilayer Perceptron Network (MLP) has been gaining prominence. More recently, the Extreme Learning Machine (ELM) was developed, and it has been validated as a plausible solution for global modeling. In this paper, in addition to the mentioned techniques, the following Artificial Neural Networks (ANN) are also presented: the Self-Organizing Map with K winners (KSOM) and the Local Linear Mapping (LLM), which are based on local modeling. These models are implemented using Ordinary Least Squares (OLS) and M-estimator techniques to obtain the parameters used in the estimation and to verify the effect of the outliers on the input data. By employing qualitative and quantitative analysis, the obtained results prove that the proposed models based on local modeling are a realistic alternative to the conventional methods for estimating the power curve in wind turbines.</t>
  </si>
  <si>
    <t>[Mota Souza, Luis Gustavo; Santos, Dhiego Carvalho] Univ Fed Piaui, Ctr Technol, Dept Elect Engn, Av Ministro Petronio Portela S-N,Campus Ininga, BR-64049550 Teresina, PI, Brazil</t>
  </si>
  <si>
    <t>Universidade Federal do Piaui</t>
  </si>
  <si>
    <t>Souza, LGM (corresponding author), Univ Fed Piaui, Ctr Technol, Dept Elect Engn, Av Ministro Petronio Portela S-N,Campus Ininga, BR-64049550 Teresina, PI, Brazil.</t>
  </si>
  <si>
    <t>lmotasouza@ufpi.edu.br; engenheiro.dhiego@gmail.com</t>
  </si>
  <si>
    <t>Souza, Luis/AAC-6936-2020</t>
  </si>
  <si>
    <t>Souza, Luis/0000-0002-0139-9282</t>
  </si>
  <si>
    <t>National Council for the Improvement of Higher Education (CoordenacAo de Aperfeicoamento de Pessoal de Nivel Superior - CAPES - Brazil) [001]</t>
  </si>
  <si>
    <t>National Council for the Improvement of Higher Education (CoordenacAo de Aperfeicoamento de Pessoal de Nivel Superior - CAPES - Brazil)</t>
  </si>
  <si>
    <t>This study was financed in part by the support of the National Council for the Improvement of Higher Education (CoordenacAo de Aperfeicoamento de Pessoal de Nivel Superior - CAPES - Brazil) - Finacing Code 001. Special thanks to Phillip Gustavo Pinheiro Gallas for reviewing and correcting the translation of this paper into English. Last but not least, the authors thank the reviewers for their thought-provoking comments, which helped improve the work significantly.</t>
  </si>
  <si>
    <t>1370-4621</t>
  </si>
  <si>
    <t>1573-773X</t>
  </si>
  <si>
    <t>NEURAL PROCESS LETT</t>
  </si>
  <si>
    <t>Neural Process. Lett.</t>
  </si>
  <si>
    <t>10.1007/s11063-022-10772-2</t>
  </si>
  <si>
    <t>MAR 2022</t>
  </si>
  <si>
    <t>3T0LR</t>
  </si>
  <si>
    <t>WOS:000771913500001</t>
  </si>
  <si>
    <t>Ma, ZJ; Li, XS; Fan, RLY; Yang, KY; Ng, CSH; Lau, RWH; Wong, RHL; Ng, KK; Wang, CC; Ye, P; Fu, ZL; Chin, AWH; Lai, MYA; Huang, Y; Tian, XY; Poon, LLM; Lui, KO</t>
  </si>
  <si>
    <t>Ma, Zhangjing; Li, Xisheng; Fan, Rebecca L. Y.; Yang, Kevin Y.; Ng, Calvin S. H.; Lau, Rainbow W. H.; Wong, Randolph H. L.; Ng, Kevin K.; Wang, Chi Chiu; Ye, Peng; Fu, Zelong; Chin, Alex W. H.; Lai, M. Y. Alison; Huang, Yu; Tian, Xiao Yu; Poon, Leo L. M.; Lui, Kathy O.</t>
  </si>
  <si>
    <t>A human pluripotent stem cell-based model of SARS-CoV-2 infection reveals an ACE2-independent inflammatory activation of vascular endothelial cells through TLR4</t>
  </si>
  <si>
    <t>STEM CELL REPORTS</t>
  </si>
  <si>
    <t>HEART REGENERATION; DYSFUNCTION; COVID-19; RECEPTOR; ACE2</t>
  </si>
  <si>
    <t>To date, the direct causative mechanism of SARS-CoV-2-induced endotheliitis remains unclear. Here, we report that human ECs barely express surface ACE2, and ECs express less intracellular ACE2 than non-ECs of the lungs. We ectopically expressed ACE2 in hESC-ECs to model SARS-CoV-2 infection. ACE2-deficient ECs are resistant to the infection but are more activated than ACE2-expressing ones. The virus directly induces endothelial activation by increasing monocyte adhesion, NO production, and enhanced phosphorylation of p38 mitogen-associated protein kinase (MAPK), NF-kappa B, and eNOS in ACE2-expressing and -deficient ECs. ACE2-deficient ECs respond to SARS-CoV-2 through TLR4 as treatment with its antagonist inhibits p38 MAPK/NF-kappa B/ interleukin-1 beta (IL-1 beta) activation after viral exposure. Genome-wide, single-cell RNA-seq analyses further confirm activation of the TLR4/MAPK14/RELA/IL-1 beta axis in circulating ECs of mild and severe COVID-19 patients. Circulating ECs could serve as biomarkers for indicating patients with endotheliitis. Together, our findings support a direct role for SARS-CoV-2 in mediating endothelial inflammation in an ACE2-dependent or -independent manner.</t>
  </si>
  <si>
    <t>[Ma, Zhangjing; Li, Xisheng; Yang, Kevin Y.; Ye, Peng; Fu, Zelong; Lui, Kathy O.] Chinese Univ Hong Kong, Prince Wales Hosp, Fac Med, Dept Chem Pathol, Hong Kong, Peoples R China; [Fan, Rebecca L. Y.; Chin, Alex W. H.; Lai, M. Y. Alison; Poon, Leo L. M.] Univ Hong Kong, Sch Publ Hlth, Li Ka Shing Fac Med, Hong Kong, Peoples R China; [Ng, Calvin S. H.; Lau, Rainbow W. H.; Wong, Randolph H. L.; Ng, Kevin K.] Chinese Univ Hong Kong, Prince Wales Hosp, Dept Surg, Fac Med, Hong Kong, Peoples R China; [Wang, Chi Chiu] Chinese Univ Hong Kong, Prince Wales Hosp, Fac Med, Dept Obstet &amp; Gynaecol, Hong Kong, Peoples R China; [Wang, Chi Chiu; Lui, Kathy O.] Chinese Univ Hong Kong, Li Ka Shing Inst Hlth Sci, Prince Wales Hosp, Fac Med, Hong Kong, Peoples R China; [Wang, Chi Chiu; Tian, Xiao Yu] Chinese Univ Hong Kong, Sch Biomed Sci, Fac Med, Hong Kong, Peoples R China; [Huang, Yu] City Univ Hong Kong, Dept Biomed Sci, Hong Kong, Peoples R China; [Tian, Xiao Yu; Lui, Kathy O.] Chinese Univ Hong Kong, Shenzhen Res Inst, Shenzhen, Peoples R China; [Poon, Leo L. M.] Univ Hong Kong, Li Ka Shing Fac Med, HKU Pasteur Res Pole, Hong Kong, Peoples R China</t>
  </si>
  <si>
    <t>Lui, KO (corresponding author), Chinese Univ Hong Kong, Prince Wales Hosp, Fac Med, Dept Chem Pathol, Hong Kong, Peoples R China.;Poon, LLM (corresponding author), Univ Hong Kong, Sch Publ Hlth, Li Ka Shing Fac Med, Hong Kong, Peoples R China.;Lui, KO (corresponding author), Chinese Univ Hong Kong, Li Ka Shing Inst Hlth Sci, Prince Wales Hosp, Fac Med, Hong Kong, Peoples R China.;Lui, KO (corresponding author), Chinese Univ Hong Kong, Shenzhen Res Inst, Shenzhen, Peoples R China.;Poon, LLM (corresponding author), Univ Hong Kong, Li Ka Shing Fac Med, HKU Pasteur Res Pole, Hong Kong, Peoples R China.</t>
  </si>
  <si>
    <t>llmpoon@hku.hk; kathyolui@cuhk.edu.hk</t>
  </si>
  <si>
    <t>National Natural Science Foundation of China [81922077, 82070494]; Research Grants Council of Hong Kong [14100021, 14108420, C4026-17WF, M-402-20, T11-705/21-N]; University Grants Committee Research Matching Grant Scheme (2019); Health and Medical Research Council [CID-HKU2]; Croucher Foundation Innovation Award; Faculty Innovation Award; Young Researcher Award; CUHK [2020. 053]; University Grants Committee Research Matching Grant Scheme (2020); University Grants Committee Research Matching Grant Scheme (2021)</t>
  </si>
  <si>
    <t>National Natural Science Foundation of China(National Natural Science Foundation of China (NSFC)); Research Grants Council of Hong Kong(Hong Kong Research Grants Council); University Grants Committee Research Matching Grant Scheme (2019); Health and Medical Research Council; Croucher Foundation Innovation Award; Faculty Innovation Award; Young Researcher Award; CUHK(Chinese University of Hong Kong); University Grants Committee Research Matching Grant Scheme (2020); University Grants Committee Research Matching Grant Scheme (2021)</t>
  </si>
  <si>
    <t>We thank Dr. Martin ChiWai Chan (Department of Microbiology, CUHK) for all the discussion in the beginning of the study, and Dr. Michael Chi Wai Chan (Division of Public Health Laboratory Sciences, HKU) for contributing an anti-ACE2 antibody. This work was supported by the National Natural Science Foundation of China (81922077, 82070494); the Research Grants Council of Hong Kong (14100021, 14108420, C4026-17WF, M-402-20, T11-705/21-N); the University Grants Committee Research Matching Grant Scheme (2019, 2020, 2021); the Health and Medical Research Council (CID-HKU2); the Croucher Foundation Innovation Award; the Faculty Innovation Award; the Young Researcher Award; the Research Committee Funding, Direct Grants (2020. 053), and postgraduate studentship (Z.M., X.L., Z.F., P.Y., and M.P.C.) from CUHK.</t>
  </si>
  <si>
    <t>2213-6711</t>
  </si>
  <si>
    <t>STEM CELL REP</t>
  </si>
  <si>
    <t>Stem Cell Rep.</t>
  </si>
  <si>
    <t>10.1016/j.stemcr.2022.01.015</t>
  </si>
  <si>
    <t>Cell &amp; Tissue Engineering; Cell Biology</t>
  </si>
  <si>
    <t>ZR2EJ</t>
  </si>
  <si>
    <t>WOS:000767602800009</t>
  </si>
  <si>
    <t>Bochnia-Bueno, L; De Almeida, SM; Raboni, SM; Adamoski, D; Amadeu, LLM; Carstensen, S; Nogueira, MB</t>
  </si>
  <si>
    <t>Bochnia-Bueno, Lucas; De Almeida, Sergio Monteiro; Raboni, Sonia Mara; Adamoski, Douglas; Moreira Amadeu, Ludmilla Louise; Carstensen, Suzana; Nogueira, Meri Bordignon</t>
  </si>
  <si>
    <t>Dynamic of humoral response to SARS-CoV-2 anti-Nucleocapsid and Spike proteins after CoronaVac vaccination</t>
  </si>
  <si>
    <t>DIAGNOSTIC MICROBIOLOGY AND INFECTIOUS DISEASE</t>
  </si>
  <si>
    <t>Vaccine; Immunization; Public health; Immunoglobulin G; CoronaVac; Pandemic</t>
  </si>
  <si>
    <t>ANTIBODIES; BRAZIL; ASSAY</t>
  </si>
  <si>
    <t>This study aimed to calculate the seroconversion rate and IgG antibody dynamic range of the CoronaVac vaccine in healthcare workers (HCWs) after immunization. Serum samples from 133 HCWs from Southern Brazil were collected 1 day before (Day 0) and +10, +20, +40, + 60, +110 days after administering the vaccine's first dose. Immunoglobulin G (IgG) was quantified using immunoassays for anti-N-protein (nucleocapsid) antibodies (Abbott, Sligo, Ireland) and for anti-S1 (spike) protein antibodies (Euroimmun, Lubeck, Germany). Seroconversion by day 40 occurred in 129 (97%) HCWs for the S1 protein, and in 69 (51.87%) HCWs for the N protein. An absence of IgG antibodies (by both methodologies), occurred in 2 (1.5%) HCWs undergoing semi-annual rituximab administration, and also in another 2 (1.5%) HCWs with no apparent reason. This study showed that CoronaVac has a high seroconversion rate when evaluated in an HCW population. (C) 2021 Elsevier Inc. All rights reserved.</t>
  </si>
  <si>
    <t>[Bochnia-Bueno, Lucas; De Almeida, Sergio Monteiro; Raboni, Sonia Mara; Moreira Amadeu, Ludmilla Louise; Carstensen, Suzana; Nogueira, Meri Bordignon] Univ Fed Parana, Virol Lab, Curitiba, Parana, Brazil; [Bochnia-Bueno, Lucas; Raboni, Sonia Mara] Univ Fed Parana, Postgrad Program Microbiol Parasitol &amp; Pathol, Curitiba, Parana, Brazil; [Adamoski, Douglas] Brazilian Ctr Res Energy &amp; Mat CNPEM, Brazilian Biosci Natl Lab LNBio, Campinas, SP, Brazil</t>
  </si>
  <si>
    <t>Universidade Federal do Parana; Universidade Federal do Parana</t>
  </si>
  <si>
    <t>Nogueira, MB (corresponding author), Univ Fed Parana, Virol Lab, Curitiba, Parana, Brazil.</t>
  </si>
  <si>
    <t>meribordignon.nogueira@gmail.com</t>
  </si>
  <si>
    <t>NOGUEIRA, MERI BORDIGNON/AAX-9795-2021; Adamoski, Douglas/J-8570-2014</t>
  </si>
  <si>
    <t>NOGUEIRA, MERI BORDIGNON/0000-0001-6221-2891; Adamoski, Douglas/0000-0001-5062-2586; Moreira Amadeu, Ludmilla Louise/0000-0001-8081-3367; Bueno, Lucas Bochnia/0000-0002-9702-8063</t>
  </si>
  <si>
    <t>PROPLAN/Federal University of Parana, Curitiba-Parana, Brazil; FINEP, Funder of Studies and Projects, Ministry of Science, Technology and Innovation, Brazil Institutional Network, Project: Laboratories for Diagnostic Tests for COVID-19 [0494/20]</t>
  </si>
  <si>
    <t>PROPLAN/Federal University of Parana, Curitiba-Parana, Brazil; FINEP, Funder of Studies and Projects, Ministry of Science, Technology and Innovation, Brazil Institutional Network, Project: Laboratories for Diagnostic Tests for COVID-19</t>
  </si>
  <si>
    <t>This work was supported by the PROPLAN/Federal University of Parana, Curitiba-Parana, Brazil; FINEP, Funder of Studies and Projects, Ministry of Science, Technology and Innovation, Brazil Institutional Network, Project: Laboratories for Diagnostic Tests for COVID-19 (grant number 0494/20).</t>
  </si>
  <si>
    <t>0732-8893</t>
  </si>
  <si>
    <t>1879-0070</t>
  </si>
  <si>
    <t>DIAGN MICR INFEC DIS</t>
  </si>
  <si>
    <t>Diagn. Microbiol. Infect. Dis.</t>
  </si>
  <si>
    <t>10.1016/j.diagmicrobio.2021.115597</t>
  </si>
  <si>
    <t>Infectious Diseases; Microbiology</t>
  </si>
  <si>
    <t>2Q5VC</t>
  </si>
  <si>
    <t>WOS:000820488700003</t>
  </si>
  <si>
    <t>Born, M; Karaghiosoff, K; Klapötke, TM; Voggenreiter, M</t>
  </si>
  <si>
    <t>Born, Max; Karaghiosoff, Konstantin; Klapoetke, Thomas M.; Voggenreiter, Michael</t>
  </si>
  <si>
    <t>Oxetane Monomers Based On the Powerful Explosive LLM-116: Improved Performance, Insensitivity, and Thermostability</t>
  </si>
  <si>
    <t>CHEMPLUSCHEM</t>
  </si>
  <si>
    <t>energetic materials; heterocycles; LLM-116; nitration; oxetane monomers</t>
  </si>
  <si>
    <t>3-Bromomethyl-3-hydroxymethyloxetane represents an inexpensive and versatile precursor for the synthesis of 3,3-disubstituted oxetane derivatives. In the present work, its synthesis was improved and energetic oxetanes based on the explosive LLM-116 (4-amino-3,5-dinitro-1H-pyrazole) prepared. Reaching detonation velocities and pressures of up to 7335 ms(-1) and 20.9 GPa in combination with a high thermostability and insensitivity, these surpass the prior art by far. Next to a symmetric LLM-116 derivative, three asymmetric compounds were prepared using azido-, nitrato- and tetrazolyl-moieties. All compounds were intensively characterized by vibrational-, mass- and multinuclear (H-1, C-13, N-14) NMR spectroscopy, differential scanning calorimetry and elemental analysis. The molecular structures were elucidated by single crystal X-ray diffraction. Hirshfeld analysis allowed to estimate their sensitivity next to a practical evaluation using BAM standard procedures. Their performance was calculated using the EXPLO5 V6.04 code and a small-scale shock reactivity test and initiation test demonstrated their insensitivity and performance.</t>
  </si>
  <si>
    <t>[Born, Max; Karaghiosoff, Konstantin; Klapoetke, Thomas M.; Voggenreiter, Michael] Ludwig Maximilians Univ Munchen, Dept Chem, Butenandtstr 5-13, D-81377 Munich, Germany</t>
  </si>
  <si>
    <t>Klapötke, TM (corresponding author), Ludwig Maximilians Univ Munchen, Dept Chem, Butenandtstr 5-13, D-81377 Munich, Germany.</t>
  </si>
  <si>
    <t>tmk@cup.uni-muenchen.de</t>
  </si>
  <si>
    <t>Ludwig-Maximilians University of Munich (LMU); Office of Naval Research (ONR) [N00014-19-1-2078]; Strategic Environmental Research and Development Program (SERDP) [WP19-1287, W912HQ19C0033]; Projekt DEAL</t>
  </si>
  <si>
    <t>Ludwig-Maximilians University of Munich (LMU); Office of Naval Research (ONR)(Office of Naval Research); Strategic Environmental Research and Development Program (SERDP); Projekt DEAL</t>
  </si>
  <si>
    <t>Financial support of this work by the Ludwig-Maximilians University of Munich (LMU), the Office of Naval Research (ONR) under grant no.ONR N00014-19-1-2078 and the Strategic Environmental Research and Development Program (SERDP) grant WP19-1287 under contract no.W912HQ19C0033 is gratefully acknowledged. The authors also thank Stefan Huber for his help regarding sensitivity evaluations and Jakob Plank for his extensive help with all preparative tasks as well as Maximilian Benz for the dent volume measurements (SSRT). The authors declare no conflict of interest. Open Access funding enabled and organized by Projekt DEAL.</t>
  </si>
  <si>
    <t>2192-6506</t>
  </si>
  <si>
    <t>ChemPlusChem</t>
  </si>
  <si>
    <t>e202200049</t>
  </si>
  <si>
    <t>10.1002/cplu.202200049</t>
  </si>
  <si>
    <t>ZY3OF</t>
  </si>
  <si>
    <t>WOS:000772496600001</t>
  </si>
  <si>
    <t>Fang, M</t>
  </si>
  <si>
    <t>Fang, Meng (Mandy)</t>
  </si>
  <si>
    <t>SHEDDING ANY NEW LIGHT? THE WTO'S LATEST RULING IN THE US-CHINA SOLAR BATTLE</t>
  </si>
  <si>
    <t>safeguards; WTO; US-China frade war; solar</t>
  </si>
  <si>
    <t>LESSONS; PROTECTIONISM; SAFEGUARDS; ESCAPE; RULES</t>
  </si>
  <si>
    <t>The World Trade Organization (hereinafter WTO) panel report in United States - Safeguard Measure on Imports of Crystalline Silicon Photovoltaic Products (hereinafter US - Safeguard Measure on PV Products) could have far-reaching implications on the future of WTO jurisprudence and the interface between climate-related values and trade-related ones. For the first time, a panel determined that a Member's imposition of a global safeguard was consistent with the WTO rules governing the safeguard regime. A review of the panel decisions in US - Safeguard Measure on PV Product raises a few questions: Does the departure from the seemingly unfulfillable requirements established in the previous jurisprudence solve the safeguards mess? Has the panel provided guidance for Members seeking compliance with the regulatory requirements for the application of a safeguard measure? Why did the panel deviate from the previous jurisprudence and halt the string of adverse rulings against Member's seeking to defend the application of safeguards? Will the panel's legitimization of safeguards protection open the floodgate to a new wave of protectionism? In answering these questions, this article argues the panel's rulings in US - Safeguard Measure on PV Products fail to establish a sound legal framework disciplining the use of safeguard measures. Furthermore, the article argues that the panel decision does not provide much-needed interpretive guidance on the key issues of safeguard measures that have remained ambiguous or even controversial, such as causal link and non-attribution requirement. More broadly, at a time when the world is racing to mitigate climate change, lowering the thresholds for the invocation of safeguards will likely be hijacked by trade protectionists and hinder the diffusion of climate friendly technologies. In a post-pandemic era marked by rising protectionism, it is crucial that the WTO and its Dispute Settlement Body strike a delicate balance between respecting Member's policy autonomy to use safeguards in a WTO-consistent manner and preventing such measures from being abused and jeopardizing environmental sustainability interests.</t>
  </si>
  <si>
    <t>[Fang, Meng (Mandy)] City Univ Hong Kong City U, Sch Law, Hong Kong, Peoples R China; [Fang, Meng (Mandy)] Chinese Univ Hong Kong CUHK, Hong Kong, Peoples R China; [Fang, Meng (Mandy)] Natl Univ Singapore, Singapore, Singapore</t>
  </si>
  <si>
    <t>National University of Singapore</t>
  </si>
  <si>
    <t>Fang, M (corresponding author), City Univ Hong Kong City U, Sch Law, Hong Kong, Peoples R China.</t>
  </si>
  <si>
    <t>mengfang@cityu.edu.hk</t>
  </si>
  <si>
    <t>Chinese University of Hong Kong (CUHK); National University of Singapore</t>
  </si>
  <si>
    <t>Chinese University of Hong Kong (CUHK)(Chinese University of Hong Kong); National University of Singapore(National University of Singapore)</t>
  </si>
  <si>
    <t>Dr. Meng (Mandy) Fang joined City University of Hong Kong (City U) School of Law as Assistant Professor in July 2020. Dr. Fang held post-doctoral fellowships at the Chinese University of Hong Kong (CUHK) and National University of Singapore. She obtained her PhD from CUHK, her LLM from University College London, and Bachelor of Management and Bachelor of Laws degrees from Chongqing University. Her research interests include International Economic Law, World Trade Organization Law, Energy Law and Chinese Environmental Law. Her publications include peerreviewed articles in various journals such as Leiden Journal of International Law, Journal of World Trade, and Journal of World Investment and Trade. The paper was presented at the 7th Asian International Economic Law Network (AIELN) conference (Singapore Management University, 9 December 2021). The author would like to thank participants for the helpful comments received during the conference. All errors remain her own. The author can be reached at: mengfang@cityu.edu.hk.</t>
  </si>
  <si>
    <t>0J1CK</t>
  </si>
  <si>
    <t>WOS:000779845300009</t>
  </si>
  <si>
    <t>Schramowski, P; Turan, C; Andersen, N; Rothkopf, CA; Kersting, K</t>
  </si>
  <si>
    <t>Schramowski, Patrick; Turan, Cigdem; Andersen, Nico; Rothkopf, Constantin A.; Kersting, Kristian</t>
  </si>
  <si>
    <t>Large pre-trained language models contain human-like biases of what is right and wrong to do</t>
  </si>
  <si>
    <t>Large language models identify patterns in the relations between words and capture their relations in an embedding space. Schramowski and colleagues show that a direction in this space can be identified that separates 'right' and 'wrong' actions as judged by human survey participants. Artificial writing is permeating our lives due to recent advances in large-scale, transformer-based language models (LMs) such as BERT, GPT-2 and GPT-3. Using them as pre-trained models and fine-tuning them for specific tasks, researchers have extended the state of the art for many natural language processing tasks and shown that they capture not only linguistic knowledge but also retain general knowledge implicitly present in the data. Unfortunately, LMs trained on unfiltered text corpora suffer from degenerated and biased behaviour. While this is well established, we show here that recent LMs also contain human-like biases of what is right and wrong to do, reflecting existing ethical and moral norms of society. We show that these norms can be captured geometrically by a 'moral direction' which can be computed, for example, by a PCA, in the embedding space. The computed 'moral direction' can rate the normativity (or non-normativity) of arbitrary phrases without explicitly training the LM for this task, reflecting social norms well. We demonstrate that computing the 'moral direction' can provide a path for attenuating or even preventing toxic degeneration in LMs, showcasing this capability on the RealToxicityPrompts testbed.</t>
  </si>
  <si>
    <t>[Schramowski, Patrick; Turan, Cigdem; Kersting, Kristian] Tech Univ Darmstadt, Comp Sci Dept, Artificial Intelligence &amp; Machine Learning Lab, Darmstadt, Germany; [Turan, Cigdem; Rothkopf, Constantin A.; Kersting, Kristian] Tech Univ Darmstadt, Ctr Cognit Sci, Darmstadt, Germany; [Andersen, Nico] Leibniz Inst Res &amp; Informat Educ, Frankfurt, Germany; [Rothkopf, Constantin A.] Tech Univ Darmstadt, Inst Psychol, Darmstadt, Germany; [Rothkopf, Constantin A.; Kersting, Kristian] Hessian Ctr Artificial Intelligence Hessian Ai, Darmstadt, Germany</t>
  </si>
  <si>
    <t>Technical University of Darmstadt; Technical University of Darmstadt; Technical University of Darmstadt</t>
  </si>
  <si>
    <t>Schramowski, P; Turan, C (corresponding author), Tech Univ Darmstadt, Comp Sci Dept, Artificial Intelligence &amp; Machine Learning Lab, Darmstadt, Germany.;Turan, C (corresponding author), Tech Univ Darmstadt, Ctr Cognit Sci, Darmstadt, Germany.</t>
  </si>
  <si>
    <t>schramowski@cs.tu-darmstadt.de; cigdem.turan@cs.tu-darmstadt.de</t>
  </si>
  <si>
    <t>ICT-48 Network of AI Research Excellence Center 'TAILOR' (EU Horizon 2020) [952215]; Hessian research priority programme LOEWE within the project WhiteBox; Hessian Ministry of Higher Education, Research and the Arts (HMWK)</t>
  </si>
  <si>
    <t>ICT-48 Network of AI Research Excellence Center 'TAILOR' (EU Horizon 2020); Hessian research priority programme LOEWE within the project WhiteBox; Hessian Ministry of Higher Education, Research and the Arts (HMWK)</t>
  </si>
  <si>
    <t>The authors thank the anonymous reviewers for their valuable feedback. Further, the authors are thankful to Aleph Alpha for very useful feedback and access to the GPT-3 API. This work benefited from the ICT-48 Network of AI Research Excellence Center 'TAILOR' (EU Horizon 2020, grant agreement no. 952215) (K.K.), the Hessian research priority programme LOEWE within the project WhiteBox (K.K. and C.R.), and the Hessian Ministry of Higher Education, Research and the Arts (HMWK) cluster projects 'The Adaptive Mind' (K.K. and C.R.) and 'The Third Wave of AI' (K.K., C.R. and P.S.).</t>
  </si>
  <si>
    <t>10.1038/s42256-022-00458-8</t>
  </si>
  <si>
    <t>ZY2TX</t>
  </si>
  <si>
    <t>WOS:000772442700005</t>
  </si>
  <si>
    <t>Zheng, XW; Deng, Y; Xu, XQ; Li, SX; Zhang, YL; Ding, JH; On, HY; Lai, JCC; Yau, CI; Chin, AWH; Poon, LLM; Tun, HM; Zhang, T</t>
  </si>
  <si>
    <t>Zheng, Xiawan; Deng, Yu; Xu, Xiaoqing; Li, Shuxian; Zhang, Yulin; Ding, Jiahui; On, Hei Yin; Lai, Jimmy C. C.; Yau, Chung In; Chin, Alex W. H.; Poon, Leo L. M.; Tun, Hein M.; Zhang, Tong</t>
  </si>
  <si>
    <t>Comparison of virus concentration methods and RNA extraction methods for SARS-CoV-2 wastewater surveillance</t>
  </si>
  <si>
    <t>Ultracentrifugation; Concentration; Recovery efficiency; SARS-CoV-2</t>
  </si>
  <si>
    <t>Wastewater surveillance is a promising tool for population-level monitoring of the spread of infectious diseases, such as the coronavirus disease 2019 (COVID-19). Different from clinical specimens, viruses in community-scale wastewater samples need to be concentrated before detection because viral RNA is highly diluted. The present study evaluated eleven different virus concentration methods for the detection of severe acute respiratory syndrome coronavirus 2 (SARS-CoV-2) in wastewater. First, eight concentration methods of different principles were compared using spiked wastewater at a starting volume of 30 mL. Ultracentrifugation was the most effective method with a viral recovery efficiency of 25 +/- 6%. The second-best option, AlCl3 precipitation method, yielded a lower recovery efficiency, only approximately half that of the ultracentrifugation method. Second, the potential of increasing method sensitivity was explored using three concentration methods starting with a larger volume of 1000 mL. Although ultracentrifugation using a large volume outperformed the other two large-volume methods, it only yielded a comparable method sensitivity as the ultracentrifugation using a small volume (30 mL). Thus, ultracentrifugation using less volume of wastewater is more preferable considering the sample processing throughput. Third, a comparison of two viral RNA extraction methods showed that the lysis-buffer-based extraction method resulted in higher viral recovery efficiencies, with cycle threshold (Ct) values 0.9-4.2 lower than those obtained for the acid-guanidinium-phenol-based method using spiked samples. These results were further confirmed by using positive wastewater samples concentrated by ultracentrifugation and extracted separately by the two viral RNA extraction methods. In summary, concentration using ultracentrifugation followed by the lysis buffer-based extraction method enables sensitive and robust detection of SARS-CoV-2 for wastewater surveillance.</t>
  </si>
  <si>
    <t>[Zheng, Xiawan; Deng, Yu; Xu, Xiaoqing; Li, Shuxian; Zhang, Yulin; Ding, Jiahui; Zhang, Tong] Univ Hong Kong, Ctr Environm Engn Res, Dept Civil Engn, Environm Microbiome Engn &amp; Biotechnol Lab, Pokfulam Rd, Hong Kong, Peoples R China; [On, Hei Yin; Lai, Jimmy C. C.; Yau, Chung In; Chin, Alex W. H.; Poon, Leo L. M.; Tun, Hein M.] Univ Hong Kong, LKS Fac Med, Sch Publ Hlth, Pokfulam Rd, Hong Kong, Peoples R China; [On, Hei Yin; Lai, Jimmy C. C.; Poon, Leo L. M.; Tun, Hein M.] HKU Pasteur Res Pole, Pokfulam Rd, Hong Kong, Peoples R China</t>
  </si>
  <si>
    <t>Health and Medical Research Fund (HMRF), Food and Health Bureau, The Government of the Hong Kong Special Administrative Region (SAR), China [COVID1903015, COVID190116]</t>
  </si>
  <si>
    <t>Health and Medical Research Fund (HMRF), Food and Health Bureau, The Government of the Hong Kong Special Administrative Region (SAR), China</t>
  </si>
  <si>
    <t>This study was financially supported by Health and Medical Research Fund (HMRF) (COVID1903015 and COVID190116), the Food and Health Bureau, The Government of the Hong Kong Special Administrative Region (SAR), China. We thank the Environmental Protection Department (EPD) and Drainage Services Department (DSD) of Hong Kong SAR Government for the wastewater sample collection. Xiawan Zheng, Xiaoqing Xu, Shuxian Li, Yulin Zhang and Jiahui Ding would like to thank for The University of Hong Kong for the Postgraduate Studentship (PGS).</t>
  </si>
  <si>
    <t>10.1016/j.scitotenv.2022.153687</t>
  </si>
  <si>
    <t>FEB 2022</t>
  </si>
  <si>
    <t>ZN2SP</t>
  </si>
  <si>
    <t>WOS:000764890800018</t>
  </si>
  <si>
    <t>Shirazi, TN; Self, H; Rosenfield, KA; Dawood, K; Welling, LLM; Cárdenas, R; Bailey, JM; Balasubramanian, R; Delaney, A; Breedlove, SM; Puts, DA</t>
  </si>
  <si>
    <t>Shirazi, Talia N.; Self, Heather; Rosenfield, Kevin A.; Dawood, Khytam; Welling, Lisa L. M.; Cardenas, Rodrigo; Bailey, J. Michael; Balasubramanian, Ravikumar; Delaney, Angela; Breedlove, S. Marc; Puts, David A.</t>
  </si>
  <si>
    <t>Low Perinatal Androgens Predict Recalled Childhood Gender Nonconformity in Men</t>
  </si>
  <si>
    <t>PSYCHOLOGICAL SCIENCE</t>
  </si>
  <si>
    <t>childhood gender nonconformity; isolated gonadotropin-releasing-hormone deficiency; sex differences; sex hormones; androgens; open data; open materials</t>
  </si>
  <si>
    <t>BEHAVIORAL SEX-DIFFERENCES; HYPOGONADOTROPIC HYPOGONADISM; PRENATAL ANDROGENS; IDENTITY; HORMONES; GIRLS; PLAY; DIFFERENTIATION; SOCIALIZATION; TESTOSTERONE</t>
  </si>
  <si>
    <t>The contributions of gonadal hormones to the development of human behavioral sex differences are subjects of intense scientific and social interest. Isolated gonadotropin-releasing-hormone deficiency (IGD) is a rare endocrine disorder that can reveal a possible role of early gonadal hormones. IGD is characterized by low or absent gonadal hormone production after the first trimester of gestation, but external genitalia and hence gender of rearing are concordant with chromosomal and gonadal sex. We investigated recalled childhood gender nonconformity in men (n = 65) and women (n = 32) with IGD and typically developing men (n = 463) and women (n = 1,207). Men with IGD showed elevated childhood gender nonconformity, particularly if they also reported undescended testes at birth, a marker of low perinatal androgens. Women with IGD did not differ from typically developing women. These results indicate that early androgen exposure after the first trimester contributes to male-typical gender-role behaviors in childhood.</t>
  </si>
  <si>
    <t>[Shirazi, Talia N.; Self, Heather; Rosenfield, Kevin A.; Puts, David A.] Penn State Univ, Dept Anthropol, University Pk, PA 16802 USA; [Dawood, Khytam; Cardenas, Rodrigo] Penn State Univ, Dept Psychol, University Pk, PA 16802 USA; [Welling, Lisa L. M.] Oakland Univ, Dept Psychol, Rochester, MI 48063 USA; [Bailey, J. Michael] Northwestern Univ, Dept Psychol, Evanston, IL 60208 USA; [Balasubramanian, Ravikumar] Massachusetts Gen Hosp, Reprod Endocrine Unit, Boston, MA 02114 USA; [Delaney, Angela] NIH, Reprod Physiol &amp; Pathophysiol Grp, Bldg 10, Bethesda, MD 20892 USA; [Breedlove, S. Marc] Michigan State Univ, Dept Neurosci, E Lansing, MI 48824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</si>
  <si>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Oakland University; Northwestern University; Harvard University; Massachusetts General Hospital; National Institutes of Health (NIH) - USA; Michigan State University</t>
  </si>
  <si>
    <t>Puts, DA (corresponding author), Penn State Univ, Dept Anthropol, University Pk, PA 16802 USA.</t>
  </si>
  <si>
    <t>dap27@psu.edu</t>
  </si>
  <si>
    <t>Breedlove, S Marc/IYS-9947-2023</t>
  </si>
  <si>
    <t>Welling, Lisa/0000-0003-3555-5965</t>
  </si>
  <si>
    <t>National Science Foundation; American Institute of Bisexuality; National Institute of Mental Health</t>
  </si>
  <si>
    <t>National Science Foundation(National Science Foundation (NSF)); American Institute of Bisexuality; National Institute of Mental Health(United States Department of Health &amp; Human ServicesNational Institutes of Health (NIH) - USANIH National Institute of Mental Health (NIMH))</t>
  </si>
  <si>
    <t>This work was supported by the National Science Foundation, American Institute of Bisexuality, and National Institute of Mental Health.</t>
  </si>
  <si>
    <t>0956-7976</t>
  </si>
  <si>
    <t>1467-9280</t>
  </si>
  <si>
    <t>PSYCHOL SCI</t>
  </si>
  <si>
    <t>Psychol. Sci.</t>
  </si>
  <si>
    <t>10.1177/09567976211036075</t>
  </si>
  <si>
    <t>ZV6ON</t>
  </si>
  <si>
    <t>Green Submitted, Green Published</t>
  </si>
  <si>
    <t>WOS:000762693800001</t>
  </si>
  <si>
    <t>Akhtar, M; Dlott, DD</t>
  </si>
  <si>
    <t>Akhtar, Meysam; Dlott, Dana D.</t>
  </si>
  <si>
    <t>Comparing the shock sensitivity of insensitive energetic materials</t>
  </si>
  <si>
    <t>JOURNAL OF APPLIED PHYSICS</t>
  </si>
  <si>
    <t>We present a tabletop method to study the shock sensitivity of plastic-bonded explosives that are considered shock insensitive using high dynamic range optical emission spectroscopy with laser-launched km/s flyer plate impacts (2, 3, and 4 km/s), which measures the spectral radiance (the emission spectrum vs a calibrated intensity standard) every 0.8 ns in the nanosecond and microsecond regimes. The explosives were TATB (1,3,5 trinitro, 2,4,6 triamino benzene), FOX-7 (1,1-diamino-2,2-dinitroethylene), LLM-105 (2,6-diamino-3,5-dinitropyrazine-1-oxide), and NTO (nitrotriazolone), all with 20% Sylgard 182 binder. Time resolving emission from shocked explosives produces a unique fingerprint at each shock pressure, and the emission temporal profile can be used to understand each material's shock response and the underlying mechanisms within the framework of the well-known shock ignition and growth models. Ignition was characterized by the emission intensity during nanosecond hot spot ignition. The growth process, which occurs after the shock has unloaded, was characterized by the time derivative of microsecond emission intensity. Singular-value decomposition was used to determine a characteristic spectral radiance over the entire time range, and this radiance was fit to a graybody model to determine a characteristic temperature T-c. Even though these insensitive explosives have similar shock sensitivities, our method can clearly distinguish their shock response. FOX-7 and NTO were the most sensitive, with FOX-7 having the greatest shock ignition sensitivity, growth rate, and T-c. LLM-105 was much less sensitive than FOX-7 and NTO, and TATB consistently showed the lowest sensitivity by any measure.</t>
  </si>
  <si>
    <t>[Akhtar, Meysam; Dlott, Dana D.] Univ Illinois, Sch Chem Sci, 600 S Mathews Ave, Urbana, IL 61801 USA</t>
  </si>
  <si>
    <t>University of Illinois System; University of Illinois Urbana-Champaign</t>
  </si>
  <si>
    <t>Dlott, DD (corresponding author), Univ Illinois, Sch Chem Sci, 600 S Mathews Ave, Urbana, IL 61801 USA.</t>
  </si>
  <si>
    <t>dlott@illinois.edu</t>
  </si>
  <si>
    <t>Akhtar, Meysam/J-6934-2016</t>
  </si>
  <si>
    <t>Akhtar, Meysam/0000-0002-4389-7837</t>
  </si>
  <si>
    <t>Laboratory Directed Research and Development Program at Lawrence Livermore National Laboratory [18-SI-004, LLNL-JRNL-829959]; U.S. Air Force Office of Scientific Research [FA9550-19-1-0027, FA9550-19-1-0318]</t>
  </si>
  <si>
    <t>Laboratory Directed Research and Development Program at Lawrence Livermore National Laboratory; U.S. Air Force Office of Scientific Research(United States Department of DefenseAir Force Office of Scientific Research (AFOSR))</t>
  </si>
  <si>
    <t>ACKNOWLEDGMENTSThe research described in this study is based on work at the University of Illinois, supported by the Laboratory Directed Research and Development Program at Lawrence Livermore National Laboratory, Project No. 18-SI-004 with Lara Leininger as Principal Investigator, approved for unlimited release under Document No. LLNL-JRNL-829959; and the U.S. Air Force Office of Scientific Research under Award Nos. FA9550-19-1-0027 and FA9550-19-1-0318.</t>
  </si>
  <si>
    <t>AIP Publishing</t>
  </si>
  <si>
    <t>MELVILLE</t>
  </si>
  <si>
    <t>1305 WALT WHITMAN RD, STE 300, MELVILLE, NY 11747-4501 USA</t>
  </si>
  <si>
    <t>0021-8979</t>
  </si>
  <si>
    <t>1089-7550</t>
  </si>
  <si>
    <t>J APPL PHYS</t>
  </si>
  <si>
    <t>J. Appl. Phys.</t>
  </si>
  <si>
    <t>10.1063/5.0082085</t>
  </si>
  <si>
    <t>Physics, Applied</t>
  </si>
  <si>
    <t>YY8VX</t>
  </si>
  <si>
    <t>WOS:000755065500004</t>
  </si>
  <si>
    <t>Hosseini, M; Chin, AWH; Williams, MD; Behzadinasab, S; Falkinham, JO; Poon, LLM; Ducker, WA</t>
  </si>
  <si>
    <t>Hosseini, Mohsen; Chin, Alex W. H.; Williams, Myra D.; Behzadinasab, Saeed; Falkinham, Joseph O., III; Poon, Leo L. M.; Ducker, William A.</t>
  </si>
  <si>
    <t>Transparent Anti-SARS-CoV-2 and Antibacterial Silver Oxide Coatings</t>
  </si>
  <si>
    <t>ACS APPLIED MATERIALS &amp; INTERFACES</t>
  </si>
  <si>
    <t>SARS-CoV-2; antibacterial; antiviral; antimicrobial; silver oxide; Ag2O; transparent; coating; COVID-19</t>
  </si>
  <si>
    <t>RESISTANT STAPHYLOCOCCUS-AUREUS; AG2O NANOPARTICLES; TRANSMISSION; PREVENTION; INFECTION; PATHOGENS; COPPER; MRSA</t>
  </si>
  <si>
    <t>Transparent antimicrobial coatings can maintain the aesthetic appeal of surfaces and the functionality of a touch-screen while adding the benefit of reducing disease transmission. We fabricated an antimicrobial coating of silver oxide particles in a silicate matrix on glass. The matrix was grown by a modified Stober sol-gel process with vapor-phase water and ammonia. A coating on glass with 2.4 mg of Ag2O per mm(2) caused a reduction of 99.3% of SARS-CoV-2 and &gt;99.5% of Pseudomonas aeruginosa, Staphylococcus aureus, and methicillin-resistant Staphylococcus aureus compared to the uncoated glass after 1 h. We envisage that screen protectors with transparent antimicrobial coatings will find particular application to communal touch-screens, such as in supermarkets and other checkout or check-in facilities where a number of individuals utilize the same touch-screen in a short interval.</t>
  </si>
  <si>
    <t>[Chin, Alex W. H.; Poon, Leo L. M.] Univ Hong Kong, Sch Publ Hlth, LKS Fac Med, Hong Kong, Peoples R China; [Chin, Alex W. H.; Poon, Leo L. M.] Hong Kong Sci Pk, Ctr Immun &amp; Infect, Hong Kong, Peoples R China; [Poon, Leo L. M.] Univ Hong Kong, LKS Fac Med, HKU Pasteur Res Pole, Hong Kong, Peoples R China; [Hosseini, Mohsen; Behzadinasab, Saeed; Ducker, William A.] Virginia Tech, Dept Chem Engn, Blacksburg, VA 24061 USA; [Hosseini, Mohsen; Falkinham, Joseph O., III; Ducker, William A.] Virginia Tech, Ctr Soft Matter &amp; Biol Phys, Blacksburg, VA 24061 USA; [Williams, Myra D.; Falkinham, Joseph O., III] Virginia Tech, Dept Biol Sci, Blacksburg, VA 24061 USA</t>
  </si>
  <si>
    <t>University of Hong Kong; University of Hong Kong; Virginia Polytechnic Institute &amp; State University; Virginia Polytechnic Institute &amp; State University; Virginia Polytechnic Institute &amp; State University</t>
  </si>
  <si>
    <t>Poon, LLM (corresponding author), Univ Hong Kong, Sch Publ Hlth, LKS Fac Med, Hong Kong, Peoples R China.;Poon, LLM (corresponding author), Hong Kong Sci Pk, Ctr Immun &amp; Infect, Hong Kong, Peoples R China.;Poon, LLM (corresponding author), Univ Hong Kong, LKS Fac Med, HKU Pasteur Res Pole, Hong Kong, Peoples R China.;Ducker, WA (corresponding author), Virginia Tech, Dept Chem Engn, Blacksburg, VA 24061 USA.;Ducker, WA (corresponding author), Virginia Tech, Ctr Soft Matter &amp; Biol Phys, Blacksburg, VA 24061 USA.</t>
  </si>
  <si>
    <t>llmpoon@hku.hk; wducker@vt.edu</t>
  </si>
  <si>
    <t>Chin, Alex Wing Hong/0000-0002-6556-9092; Behzadinasab, Saeed/0000-0002-6271-2623</t>
  </si>
  <si>
    <t>National Science Foundation [CHE-1531834, CBET-1902364]; Health and Medical Research Fund [COVID190116]; National Institute of Allergy and Infectious Diseases [HHSN272201400006C]</t>
  </si>
  <si>
    <t>National Science Foundation(National Science Foundation (NSF)); Health and Medical Research Fund; National Institute of Allergy and Infectious Diseases(United States Department of Health &amp; Human ServicesNational Institutes of Health (NIH) - USANIH National Institute of Allergy &amp; Infectious Diseases (NIAID))</t>
  </si>
  <si>
    <t>The authors thank Stephen McCartney for assisting in capturing a part of the SEM images and acknowledge the use of Electron Microscopy facilities and the X-ray diffraction machine within the Nanoscale Characterization and Fabrication Laboratory and Material Characterization Laboratory at Virginia Polytechnic Institute and State University. We also thank Xu Feng for capturing the XPS spectra and acknowledge the use of Surface Analysis Laboratory in Department of Chemistry at Virginia Tech, which is supported by the National Science Foundation under grant no. CHE-1531834. This work was supported by the National Science Foundation under grant no. CBET-1902364, the Health and Medical Research Fund (COVID190116), and the National Institute of Allergy and Infectious Diseases (contract HHSN272201400006C).</t>
  </si>
  <si>
    <t>1944-8244</t>
  </si>
  <si>
    <t>1944-8252</t>
  </si>
  <si>
    <t>ACS APPL MATER INTER</t>
  </si>
  <si>
    <t>ACS Appl. Mater. Interfaces</t>
  </si>
  <si>
    <t>10.1021/acsami.1c20872</t>
  </si>
  <si>
    <t>Nanoscience &amp; Nanotechnology; Materials Science, Multidisciplinary</t>
  </si>
  <si>
    <t>Science &amp; Technology - Other Topics; Materials Science</t>
  </si>
  <si>
    <t>0U0TV</t>
  </si>
  <si>
    <t>Bronze, Green Accepted</t>
  </si>
  <si>
    <t>WOS:000758019200001</t>
  </si>
  <si>
    <t>Gu, HG; Xie, RP; Adam, DC; Tsui, JLH; Chu, DN; Chang, D; Cheuk, SSY; Gurung, S; Krishnan, P; Ng, DYM; Liu, GYZ; Wan, CKC; Cheng, SSM; Edwards, KM; Leung, KSM; Wu, OS; Tsang, DNC; Leung, GM; Cowling, BJ; Peiris, M; Lam, TTY; Dhanasekaran, V; Poon, LLM</t>
  </si>
  <si>
    <t>Gu, Haogao; Xie, Ruopeng; Adam, Dillon C.; Tsui, Joseph L-H; Chu, Daniel K.; Chang, Lydia D. J.; Cheuk, Sammi S. Y.; Gurung, Shreya; Krishnan, Pavithra; Ng, Daisy Y. M.; Liu, Gigi Y. Z.; Wan, Carrie K. C.; Cheng, Samuel S. M.; Edwards, Kimberly M.; Leung, Kathy S. M.; Wu, Joseph T.; Tsang, Dominic N. C.; Leung, Gabriel M.; Cowling, Benjamin J.; Peiris, Malik; Lam, Tommy T. Y.; Dhanasekaran, Vijaykrishna; Poon, Leo L. M.</t>
  </si>
  <si>
    <t>Genomic epidemiology of SARS-CoV-2 under an elimination strategy in Hong Kong</t>
  </si>
  <si>
    <t>NATURE COMMUNICATIONS</t>
  </si>
  <si>
    <t>CORONAVIRUS DISEASE 2019; POPULATION; COVID-19; DYNAMICS; TRANSMISSION; INFLUENZA; SEVERITY</t>
  </si>
  <si>
    <t>Hong Kong has used an elimination strategy to control SARS-CoV-2 with stringent measures including traveller quarantine. Here, the authors show that the majority of community-acquired cases until January 2021 resulted from three importations, and that increased transmission followed prolonged periods of restrictions, likely due to adherence fatigue. Hong Kong employed a strategy of intermittent public health and social measures alongside increasingly stringent travel regulations to eliminate domestic SARS-CoV-2 transmission. By analyzing 1899 genome sequences (&gt;18% of confirmed cases) from 23-January-2020 to 26-January-2021, we reveal the effects of fluctuating control measures on the evolution and epidemiology of SARS-CoV-2 lineages in Hong Kong. Despite numerous importations, only three introductions were responsible for 90% of locally-acquired cases. Community outbreaks were caused by novel introductions rather than a resurgence of circulating strains. Thus, local outbreak prevention requires strong border control and community surveillance, especially during periods of less stringent social restriction. Non-adherence to prolonged preventative measures may explain sustained local transmission observed during wave four in late 2020 and early 2021. We also found that, due to a tight transmission bottleneck, transmission of low-frequency single nucleotide variants between hosts is rare.</t>
  </si>
  <si>
    <t>[Gu, Haogao; Xie, Ruopeng; Adam, Dillon C.; Tsui, Joseph L-H; Chu, Daniel K.; Chang, Lydia D. J.; Cheuk, Sammi S. Y.; Gurung, Shreya; Krishnan, Pavithra; Ng, Daisy Y. M.; Liu, Gigi Y. Z.; Wan, Carrie K. C.; Cheng, Samuel S. M.; Edwards, Kimberly M.; Leung, Kathy S. M.; Wu, Joseph T.; Leung, Gabriel M.; Cowling, Benjamin J.; Peiris, Malik; Lam, Tommy T. Y.; Dhanasekaran, Vijaykrishna; Poon, Leo L. M.] Univ Hong Kong, LKS Fac Med, Sch Publ Hlth, Hong Kong, Peoples R China; [Xie, Ruopeng; Edwards, Kimberly M.; Peiris, Malik; Dhanasekaran, Vijaykrishna; Poon, Leo L. M.] Univ Hong Kong, LKS Fac Med, Sch Publ Hlth, HKU Pasteur Res Pole, Hong Kong, Peoples R China; [Leung, Kathy S. M.; Wu, Joseph T.; Leung, Gabriel M.; Cowling, Benjamin J.; Lam, Tommy T. Y.] Lab Data Discovery Hlth, Hong Kong Sci &amp; Technol Pk, Hong Kong, Peoples R China; [Tsang, Dominic N. C.] Govt Hong Kong Special Adm Reg, Dept Hlth, Ctr Hlth Protect, Hong Kong, Peoples R China; [Peiris, Malik; Lam, Tommy T. Y.; Poon, Leo L. M.] Ctr Immunol &amp; Infect, Hong Kong Sci &amp; Technol Pk, Hong Kong, Peoples R China</t>
  </si>
  <si>
    <t>Dhanasekaran, V; Poon, LLM (corresponding author), Univ Hong Kong, LKS Fac Med, Sch Publ Hlth, HKU Pasteur Res Pole, Hong Kong, Peoples R China.;Poon, LLM (corresponding author), Ctr Immunol &amp; Infect, Hong Kong Sci &amp; Technol Pk, Hong Kong, Peoples R China.</t>
  </si>
  <si>
    <t>veej@hku.hk; llmpoon@hku.hk</t>
  </si>
  <si>
    <t>Health and Medical Research Fund, Food and Health Bureau of the Hong Kong SAR Government [COVID190205]; Collaborative Research Fund of the Research Grants Council of the Hong Kong SAR Government [C7123-20G]; National Institute of Allergy and Infectious Diseases, National Institutes of Health, Department of Health and Human Services of the US [U01AI151810, HHSN272201400006C, 75N93021C00016]</t>
  </si>
  <si>
    <t>Health and Medical Research Fund, Food and Health Bureau of the Hong Kong SAR Government; Collaborative Research Fund of the Research Grants Council of the Hong Kong SAR Government; National Institute of Allergy and Infectious Diseases, National Institutes of Health, Department of Health and Human Services of the US</t>
  </si>
  <si>
    <t>We gratefully acknowledge the staff from the originating laboratories responsible for obtaining the specimens and from the submitting laboratories where the genome data were generated and shared via GISAID. We acknowledge the technical support provided by colleagues from the Centre for PanorOmic Sciences of the University of Hong Kong. We also acknowledge the Centre for Health Protection of the Department of Health for providing epidemiological data for the study. The computations were performed using research computing facilities offered by Information Technology Services, the University of Hong Kong. The funding bodies had no role in the design of the study, the collection, analysis, and interpretation of data, or writing of the manuscript. This study was funded by the Health and Medical Research Fund, Food and Health Bureau of the Hong Kong SAR Government COVID190205 (L.L.M.P.), Collaborative Research Fund of the Research Grants Council of the Hong Kong SAR Government C7123-20G (B.J.C.), and the National Institute of Allergy and Infectious Diseases, National Institutes of Health, Department of Health and Human Services of the US, under Contract Nos. U01AI151810 (L.L.M.P.), HHSN272201400006C (V.D., M.P., B.J.C., and L.L.M.P.), and 75N93021C00016 (V.D., M.P., and B.J.C.).</t>
  </si>
  <si>
    <t>2041-1723</t>
  </si>
  <si>
    <t>NAT COMMUN</t>
  </si>
  <si>
    <t>Nat. Commun.</t>
  </si>
  <si>
    <t>FEB 8</t>
  </si>
  <si>
    <t>10.1038/s41467-022-28420-7</t>
  </si>
  <si>
    <t>ZC1OC</t>
  </si>
  <si>
    <t>WOS:000757297200002</t>
  </si>
  <si>
    <t>Baharudin, N; Mohamed-Yassin, MS; Daher, AM; Ramli, AS; Khan, NAMN; Abdul-Razak, S</t>
  </si>
  <si>
    <t>Baharudin, Noorhida; Mohamed-Yassin, Mohamed-Syarif; Daher, Aqil Mohammad; Ramli, Anis Safura; Khan, Nor-Ashikin Mohamed Noor; Abdul-Razak, Suraya</t>
  </si>
  <si>
    <t>Prevalence and factors associated with lipid-lowering medications use for primary and secondary prevention of cardiovascular diseases among Malaysians: the REDISCOVER study</t>
  </si>
  <si>
    <t>Lipid-lowering medication; Statin; Primary prevention; Secondary prevention; Malaysia</t>
  </si>
  <si>
    <t>STATIN USE; DIABETES-MELLITUS; PRIMARY-CARE; HEALTH; RISK; DYSLIPIDEMIA; DETERMINANTS; METAANALYSIS; CHOLESTEROL; POPULATION</t>
  </si>
  <si>
    <t>Background Lipid-lowering medications (LLM) are commonly used for secondary prevention, as well as for primary prevention among patients with high global cardiovascular risk and with diabetes. This study aimed to determine the prevalence of LLM use among high-risk individuals [participants with diabetes, high Framingham general cardiovascular (FRS-CVD) score, existing cardiovascular disease (CVD)] and the factors associated with it. Methods This is a cross-sectional analysis from the baseline recruitment (years 2007 to 2011) of an ongoing prospective study involving 11,288 participants from 40 rural and urban communities in Malaysia. Multiple logistic regression was used to identify characteristics associated with LLM use. Results Majority (74.2%) of participants with CVD were not on LLM. Only 10.5% of participants with high FRS-CVD score, and 17.1% with diabetes were on LLM. Participants who were obese (OR = 1.80, 95% CI: 1.15-2.83), have diabetes (OR = 2.38, 95% CI: 1.78-3.19), have hypertension (OR = 2.87, 95% CI: 2.09-3.95), and attained tertiary education (OR = 2.25, 95% CI: 1.06-4.78) were more likely to be on LLM. Rural residents had lower odds of being on LLM (OR = 0.58, 95% CI: 0.41-0.82). In the primary prevention group, participants with high FRS-CVD score (OR = 3.81, 95% CI: 2.78-5.23) and high-income earners (OR = 1.54, 95% CI: 1.06-2.24) had higher odds of being on LLM. Conclusions LLM use among high CVD-risk individuals in the primary prevention group, and also among individuals with existing CVD was low. While CVD risk factors and global cardiovascular risk score were positively associated with LLM use, sociodemographic disparities were observed among the less-educated, rural residents and low-income earners. Measures are needed to ensure optimal and equitable use of LLM.</t>
  </si>
  <si>
    <t>[Baharudin, Noorhida; Mohamed-Yassin, Mohamed-Syarif; Ramli, Anis Safura; Abdul-Razak, Suraya] Univ Teknol MARA, Fac Med, Dept Primary Care Med, Selayang Campus,Jalan Prima Selayang 7, Batu Caves 68100, Selangor, Malaysia; [Daher, Aqil Mohammad] Int Med Univ, Sch Med, Dept Community Med, Kuala Lumpur 57000, Malaysia; [Ramli, Anis Safura; Abdul-Razak, Suraya] Univ Teknol MARA, Inst Pathol Lab &amp; Forens Med I PPerForM, Sungai Buloh Campus,Jalan Hosp, Sungai Buloh 47000, Selangor, Malaysia; [Khan, Nor-Ashikin Mohamed Noor] Univ Teknol MARA, Fac Med, Dept Physiol, Sungai Buloh Campus,Jalan Hosp, Sungai Buloh 47000, Selangor, Malaysia; [Abdul-Razak, Suraya] Hosp Univ Teknol MARA HUiTM, Bandar Puncak Alam 42300, Selangor, Malaysia; [Abdul-Razak, Suraya] Univ Teknol MARA, Cardio Vasc &amp; Lungs Res Inst CaVaLRI, Sungai Buloh Campus,Jalan Hosp, Sungai Buloh 47000, Selangor, Malaysia</t>
  </si>
  <si>
    <t>International Medical University Malaysia; Universiti Teknologi MARA; Universiti Teknologi MARA; Universiti Teknologi MARA</t>
  </si>
  <si>
    <t>Baharudin, N (corresponding author), Univ Teknol MARA, Fac Med, Dept Primary Care Med, Selayang Campus,Jalan Prima Selayang 7, Batu Caves 68100, Selangor, Malaysia.</t>
  </si>
  <si>
    <t>noorhida8229@uitm.edu.my</t>
  </si>
  <si>
    <t>Ministry of Higher Education, Malaysia [600-RMI/LRGS 5/3 (2/2011)]; Ministry of Science, Technology and Innovation, Malaysia [07-05-IFN BPH 010]</t>
  </si>
  <si>
    <t>Ministry of Higher Education, Malaysia(Ministry of Education, Malaysia); Ministry of Science, Technology and Innovation, Malaysia(Ministry of Energy, Science, Technology, Environment and Climate Change (MESTECC), Malaysia)</t>
  </si>
  <si>
    <t>This research is funded by the Ministry of Higher Education, Malaysia (Grant no. 600-RMI/LRGS 5/3 (2/2011)) and Ministry of Science, Technology and Innovation, Malaysia (Grant no. 07-05-IFN BPH 010).</t>
  </si>
  <si>
    <t>FEB 4</t>
  </si>
  <si>
    <t>10.1186/s12889-022-12595-1</t>
  </si>
  <si>
    <t>YT4IQ</t>
  </si>
  <si>
    <t>WOS:000751326100002</t>
  </si>
  <si>
    <t>Hui, KPY; Ho, JCW; Cheung, MC; Ng, KC; Ching, RHH; Lai, KL; Kam, TT; Gu, HG; Sit, KY; Hsin, MKY; Au, TWK; Poon, LLM; Peiris, M; Nicholls, JM; Chan, MCW</t>
  </si>
  <si>
    <t>Hui, Kenrie P. Y.; Ho, John C. W.; Cheung, Man-chun; Ng, Ka-chun; Ching, Rachel H. H.; Lai, Ka-ling; Kam, Tonia Tong; Gu, Haogao; Sit, Ko-Yung; Hsin, Michael K. Y.; Au, Timmy W. K.; Poon, Leo L. M.; Peiris, Malik; Nicholls, John M.; Chan, Michael C. W.</t>
  </si>
  <si>
    <t>SARS-CoV-2 Omicron variant replication in human bronchus and lung ex vivo</t>
  </si>
  <si>
    <t>INFLUENZA-VIRUS; IN-VITRO; TROPISM; H5N1; AFRICA; CAMELS</t>
  </si>
  <si>
    <t>The emergence of SARS-CoV-2 variants of concern with progressively increased transmissibility between humans is a threat to global public health. The Omicron variant of SARS-CoV-2 also evades immunity from natural infection or vaccines(1), but it is unclear whether its exceptional transmissibility is due to immune evasion or intrinsic virological properties. Here we compared the replication competence and cellular tropism of the wild-type virus and the D614G, Alpha (B.1.1.7), Beta (B.1.351), Delta (B.1.617.2) and Omicron (B.1.1.529) variants in ex vivo explant cultures of human bronchi and lungs. We also evaluated the dependence on TMPRSS2 and cathepsins for infection. We show that Omicron replicates faster than all other SARS-CoV-2 variants studied in the bronchi but less efficiently in the lung parenchyma. All variants of concern have similar cellular tropism compared to the wild type. Omicron is more dependent on cathepsins than the other variants of concern tested, suggesting that the Omicron variant enters cells through a different route compared with the other variants. The lower replication competence of Omicron in the human lungs may explain the reduced severity of Omicron that is now being reported in epidemiological studies, although determinants of severity are multifactorial. These findings provide important biological correlates to previous epidemiological observations.</t>
  </si>
  <si>
    <t>[Hui, Kenrie P. Y.; Ho, John C. W.; Cheung, Man-chun; Ng, Ka-chun; Ching, Rachel H. H.; Lai, Ka-ling; Kam, Tonia Tong; Gu, Haogao; Poon, Leo L. M.; Peiris, Malik; Chan, Michael C. W.] Univ Hong Kong, Li Ka Shing Fac Med, Sch Publ Hearth, Hong Kong, Peoples R China; [Hui, Kenrie P. Y.; Poon, Leo L. M.; Peiris, Malik; Chan, Michael C. W.] Hong Kong Sci Pk, Ctr Immunol &amp; Infect C21, Hong Kong, Peoples R China; [Sit, Ko-Yung; Hsin, Michael K. Y.; Au, Timmy W. K.] Queen Mary Hosp, Dept Surg, Div Cardiothorac Surg, Hong Kong, Peoples R China; [Nicholls, John M.] Univ Hong Kong, Li Ka Shing Fac Med, Dept Pathol, Hong Kong, Peoples R China</t>
  </si>
  <si>
    <t>Chan, MCW (corresponding author), Univ Hong Kong, Li Ka Shing Fac Med, Sch Publ Hearth, Hong Kong, Peoples R China.;Chan, MCW (corresponding author), Hong Kong Sci Pk, Ctr Immunol &amp; Infect C21, Hong Kong, Peoples R China.</t>
  </si>
  <si>
    <t>Hui, Kenrie Pui Yan/0000-0003-1506-0535; Cheung, Man Chun/0000-0001-5717-3322; Gu, Haogao/0000-0002-7541-4262; Sit, Ko Yung/0000-0001-6289-663X</t>
  </si>
  <si>
    <t>National Institute of Allergy and Infectious Diseases, National Institutes of Health, Department of Health and Human Services [75N93021C00016, T11-705/21N, T11-712/19-N]</t>
  </si>
  <si>
    <t>National Institute of Allergy and Infectious Diseases, National Institutes of Health, Department of Health and Human Services(United States Department of Health &amp; Human ServicesNational Institutes of Health (NIH) - USANIH National Institute of Allergy &amp; Infectious Diseases (NIAID))</t>
  </si>
  <si>
    <t>T. Shack, H.-W. Yeung, C. Lin and Kevin Fung provided technical support. We acknowledge research funding from the National Institute of Allergy and Infectious Diseases, National Institutes of Health, Department of Health and Human Services (contract no. 75N93021C00016) and the Theme-Based Research Scheme (T11-705/21N and T11-712/19-N) under University Grants Committee of Hong Kong Special Administrative Region. The funding providers had no role in study design, data collection, analysis or interpretation of the data, or in the writing of the report or in the decision to submit it for publication. The authors have not been paid to write this Article by a pharmaceutical company or other agency. The authors had full access to all the data in the study and had final responsibility for the decision to submit for publication. The corresponding author had full access to all of the data and the final responsibility to submit for publication.</t>
  </si>
  <si>
    <t>10.1038/s41586-022-04479-6</t>
  </si>
  <si>
    <t>ZY5YD</t>
  </si>
  <si>
    <t>Green Submitted, Bronze</t>
  </si>
  <si>
    <t>WOS:000769826200001</t>
  </si>
  <si>
    <t>Deng, Y; Xu, XQ; Zheng, XW; Ding, JH; Li, SX; Chui, HK; Wong, TK; Poon, LLM; Zhang, T</t>
  </si>
  <si>
    <t>Deng, Yu; Xu, Xiaoqing; Zheng, Xiawan; Ding, Jiahui; Li, Shuxian; Chui, Ho-Kwong; Wong, Tsz-Kin; Poon, Leo L. M.; Zhang, Tong</t>
  </si>
  <si>
    <t>Use of sewage surveillance for COVID-19 to guide public health response: A case study in Hong Kong</t>
  </si>
  <si>
    <t>Sewage surveillance; Public health intervention; Allele-specific RT-qPCR; Delta variant; Targeted upstream sampling</t>
  </si>
  <si>
    <t>VIRUS</t>
  </si>
  <si>
    <t>Sewage surveillance could help develop proactive response to the Coronavirus Disease 2019 (COVID-19) pandemic, but currently there are limited reports about examples in practical exercises. Here, we report a use case of intensified sewage surveillance to initiate public health action to thwart a looming Delta variant outbreak in Hong Kong. On 21 June 2021, albeit under basically contained COVID-19 situation in Hong Kong, routine sewage surveillance identified a high viral load of severe acute respiratory syndrome coronavirus 2 (SARS-CoV-2) in a sewage sample from one site covering over 33,000 population, suggesting infected cases living in the respective sewershed. The use of a newly developed method based on allele-specific real-time quantitative polymerase chain reaction (AS RT-qPCR) served to alert the first documentation of the Delta variant in local community sewage three days before the case was confirmed to be a Delta variant carrier. Intensified sewage surveillance was triggered. Targeted upstream sampling at sub-sewershed areas pinpointed the source of positive viral signal across spatial scales from sewershed to building level, and assisted in determining the specific area for issuing a compulsory testing order for individuals on 23 June 2021. A person who lived in a building with the positive result of sewage testing was confirmed to be infected with COVID-19 on 24 June 2021. Viral genome sequences determined from the sewage sample were compared to those from the clinic specimens of the matched patient, and confirmed that the person was the source of the positive SARS-CoV-2 signal in the sewage sample. This study could help build confidences for public health agencies in using the sewage surveillance in their own communities.</t>
  </si>
  <si>
    <t>[Deng, Yu; Xu, Xiaoqing; Zheng, Xiawan; Ding, Jiahui; Li, Shuxian; Zhang, Tong] Univ Hong Kong, Ctr Environm Engn Res, Environm Miaobiome Engn &amp; Biotechnol Lab, Dept Civil Engn, Pokfulam Rd, Hong Kong, Peoples R China; [Chui, Ho-Kwong] Environm Protect Dept, Governnumt Hong Kong SAR, Tamar, Hong Kong, Peoples R China; [Wong, Tsz-Kin] Drainage Serv Dept, Govt Hong Kong SAR, Wanchai, Hong Kong, Peoples R China; [Poon, Leo L. M.] Univ Hong Kong, Li Ka Shing Fac Med, Sch Publ Hlth, Sassoon Rd, Hong Kong, Peoples R China</t>
  </si>
  <si>
    <t>Zhang, T (corresponding author), Univ Hong Kong, Ctr Environm Engn Res, Environm Miaobiome Engn &amp; Biotechnol Lab, Dept Civil Engn, Pokfulam Rd, Hong Kong, Peoples R China.</t>
  </si>
  <si>
    <t>Health and Medical Research Fund (HMRF) from the Food and Health Bureau, the Government of the Hong Kong Special Administrative Region (SAR), China [COVID190209, COVID1903015]</t>
  </si>
  <si>
    <t>Health and Medical Research Fund (HMRF) from the Food and Health Bureau, the Government of the Hong Kong Special Administrative Region (SAR), China</t>
  </si>
  <si>
    <t>This study was financially supported by Health and Medical Research Fund (HMRF) (COVID190209 and COVID1903015) from the Food and Health Bureau, the Government of the Hong Kong Special Administrative Region (SAR), China. We thank both the Centre for Health Protection of Food and Health Bureau of Hong Kong and the Hospital Authority of Hong Kong for sharing clinical data and epidemiological details. We thank HKUPasteur Research Centre for the technical support on lab facilities. Xiaoqing Xu, Xiawan Zheng, Jiahui Ding and Shuxian Li would like to thank for the University of Hong Kong for the Postgraduate Studentship (PGS).</t>
  </si>
  <si>
    <t>10.1016/j.scitotenv.2022.153250</t>
  </si>
  <si>
    <t>JAN 2022</t>
  </si>
  <si>
    <t>ZQ0JU</t>
  </si>
  <si>
    <t>WOS:000766801100015</t>
  </si>
  <si>
    <t>Ahmed, SI; Cheng, CL; Gonzalez, J; Kang, JJ; Ho, J; Soto-Sanchez, L</t>
  </si>
  <si>
    <t>Ahmed, Syed Istiyak; Cheng, Chu-Lin; Gonzalez, Juan; Kang, James J.; Ho, Jungseok; Soto-Sanchez, Leslie</t>
  </si>
  <si>
    <t>Groundwater vulnerability assessment of shallow aquifer in the South Texas sand sheet using a GIS-based DRASTIC model</t>
  </si>
  <si>
    <t>MODELING EARTH SYSTEMS AND ENVIRONMENT</t>
  </si>
  <si>
    <t>Groundwater vulnerability; DRASTIC modeling; South Texas Sand Sheet; Environmental flow; Sensitivity analysis; Water resources management</t>
  </si>
  <si>
    <t>SENSITIVITY</t>
  </si>
  <si>
    <t>The South Texas Sand Sheet (STSS) consists predominantly of medium- to fine-grain eolian sand deposits and sand dunes. STSS covers over six counties with an area of approximately 9.15 x 10(3) km(2) with thickness ranging between less than a meter and over 10 m. Groundwater contamination is of particular concern as groundwater resources are the principal water source in this area. The preliminary conceptual hydro-geologic model implies that the STSS is a significant hydrologic component for shallow groundwater flow and can be potential storage and/or significant environmental flow input into nearby hypersaline Lower Laguna Madre (LLM). Water (fresh/brackish) held in the STSS should be taken into consideration when accounting for regional water balance/budget, e.g., groundwater recharge and storage, flood control, and discharge to coastal areas. The geospatial analysis was conducted using geographic information systems (GIS) spatial analysis tools with well logs from Texas Water Development Board (TWDB) groundwater database and preliminary drilling in the field. A DRASTIC model developed within a GIS framework was applied to evaluate the groundwater vulnerability of the STSS. DRASTIC modeling suggested that STSS with high risk to pollution is mainly located in the eastern portions of the STSS where factors, i.e., high hydraulic conductivity and high-water table, allow easy access for contaminants to reach the shallow groundwater aquifer. The assessment found that around 94% of the unconfined aquifer in STSS has moderate to high vulnerability to contamination. The sensitivity analysis of DRASTIC model showed that the removal of hydraulic conductivity, topography, and soil media parameters caused an increase in groundwater vulnerability to pollution. Moreover, single-parameter sensitivity analysis results suggested that the net recharge rate, hydraulic conductivity, and soil media parameters were more effective in determining the groundwater vulnerability than the DRASTIC model assumed. Results of this study suggest that the groundwater vulnerability in STSS is high and assessment maps can be used to evaluate possible environmental and economic impacts to ecosystems on the adjacent Lower Laguna Madre.</t>
  </si>
  <si>
    <t>[Ahmed, Syed Istiyak; Cheng, Chu-Lin; Ho, Jungseok] Univ Texas Rio Grande Valley, Dept Civil Engn, Edinburg, TX 78539 USA; [Cheng, Chu-Lin; Gonzalez, Juan; Kang, James J.; Soto-Sanchez, Leslie] Univ Texas Rio Grande Valley, Sch Earth Environm &amp; Marine Sci, Edinburg, TX 78539 USA</t>
  </si>
  <si>
    <t>University of Texas System; University of Texas Rio Grande Valley; University of Texas System; University of Texas Rio Grande Valley</t>
  </si>
  <si>
    <t>Cheng, CL (corresponding author), Univ Texas Rio Grande Valley, Dept Civil Engn, Edinburg, TX 78539 USA.;Cheng, CL (corresponding author), Univ Texas Rio Grande Valley, Sch Earth Environm &amp; Marine Sci, Edinburg, TX 78539 USA.</t>
  </si>
  <si>
    <t>chulin.cheng@utrgv.edu</t>
  </si>
  <si>
    <t>Graduate College of University of Texas-Rio Grande Valley; Department of Civil Engineering; School of Earth Environmental and Marine Sciences</t>
  </si>
  <si>
    <t>Ahmed was supported by the Graduate College of University of Texas-Rio Grande Valley and partial support was provided by the Department of Civil Engineering and School of Earth Environmental and Marine Sciences. Soto-Sanchez was supported partially with teaching and research assistantship provided by School of Earth Environmental and Marine Sciences and College of Science of University of Texas-Rio Grande Valley.</t>
  </si>
  <si>
    <t>2363-6203</t>
  </si>
  <si>
    <t>2363-6211</t>
  </si>
  <si>
    <t>MODEL EARTH SYST ENV</t>
  </si>
  <si>
    <t>Model. Earth Syst. Environ.</t>
  </si>
  <si>
    <t>10.1007/s40808-021-01292-4</t>
  </si>
  <si>
    <t>3X7QD</t>
  </si>
  <si>
    <t>WOS:000744438500001</t>
  </si>
  <si>
    <t>Alexeeva, M; Cohen, AAB; Surdeanu, M</t>
  </si>
  <si>
    <t>Assoc Computat Linguist</t>
  </si>
  <si>
    <t>Alexeeva, Maria; Cohen, Allegra A. Beal; Surdeanu, Mihai</t>
  </si>
  <si>
    <t>Combining Extraction and Generation for Constructing Belief-Consequence Causal Links</t>
  </si>
  <si>
    <t>PROCEEDINGS OF THE THIRD WORKSHOP ON INSIGHTS FROM NEGATIVE RESULTS IN NLP (INSIGHTS 2022)</t>
  </si>
  <si>
    <t>3rd Workshop on Insights from Negative Results in NLP (Insights)</t>
  </si>
  <si>
    <t>MAY 26, 2022</t>
  </si>
  <si>
    <t>Dublin, IRELAND</t>
  </si>
  <si>
    <t>Google</t>
  </si>
  <si>
    <t>In this paper, we introduce and justify a new task-causal link extraction based on beliefs-and do a qualitative analysis of the ability of a large language model-InstructGPT3-to generate implicit consequences of beliefs. With the language model-generated consequences being promising, but not consistent, we propose directions of future work, including data collection, explicit consequence extraction using rule-based and language modeling-based approaches, and using explicitly stated consequences of beliefs to fine-tune or prompt the language model to produce outputs suitable for the task.</t>
  </si>
  <si>
    <t>[Alexeeva, Maria] Univ Arizona, Dept Linguist, Tucson, AZ 85721 USA; [Cohen, Allegra A. Beal] Univ Florida, Agr &amp; Biol Engn Dept, Gainesville, FL USA; [Surdeanu, Mihai] Univ Arizona, Dept Comp Sci, Tucson, AZ 85721 USA</t>
  </si>
  <si>
    <t>University of Arizona; State University System of Florida; University of Florida; University of Arizona</t>
  </si>
  <si>
    <t>Alexeeva, M (corresponding author), Univ Arizona, Dept Linguist, Tucson, AZ 85721 USA.</t>
  </si>
  <si>
    <t>alexeeva@email.arizona.edu; aa.cohen@ufl.edu; surdeanu@email.arizona.edu</t>
  </si>
  <si>
    <t>Defense Advanced Research Projects Agency (DARPA) under the Habitus program</t>
  </si>
  <si>
    <t>Defense Advanced Research Projects Agency (DARPA) under the Habitus program(United States Department of DefenseDefense Advanced Research Projects Agency (DARPA))</t>
  </si>
  <si>
    <t>This work was supported by the Defense Advanced Research Projects Agency (DARPA) under the Habitus program. Maria Alexeeva and Mihai Surdeanu declare a financial interest in lum.ai. This interest has been properly disclosed to the University of Arizona Institutional Review Committee and is managed in accordance with its conflict of interest policies.</t>
  </si>
  <si>
    <t>ASSOC COMPUTATIONAL LINGUISTICS-ACL</t>
  </si>
  <si>
    <t>STROUDSBURG</t>
  </si>
  <si>
    <t>209 N EIGHTH STREET, STROUDSBURG, PA 18360 USA</t>
  </si>
  <si>
    <t>978-1-955917-40-7</t>
  </si>
  <si>
    <t>Business; Computer Science, Artificial Intelligence; Language &amp; Linguistics</t>
  </si>
  <si>
    <t>Business &amp; Economics; Computer Science; Linguistics</t>
  </si>
  <si>
    <t>BT6ZW</t>
  </si>
  <si>
    <t>WOS:000846896600022</t>
  </si>
  <si>
    <t>Bollen, Y; Hageman, JR; van Leenen, P; Derks, LLM; Ponsioen, B; des Amorie, JB; Verlaan-Klink, I; van den Bos, M; Terstappen, LWMM; van Boxtel, R; Snippert, HJG</t>
  </si>
  <si>
    <t>Bollen, Yannik; Hageman, Joris R.; van Leenen, Petra; Derks, Lucca L. M.; Ponsioen, Bas; Buissant des Amorie, Julian; Verlaan-Klink, Ingrid; van den Bos, Myrna; Terstappen, Leon W. M. M.; van Boxtel, Ruben; Snippert, Hugo J. G.</t>
  </si>
  <si>
    <t>Efficient and error-free fluorescent gene tagging in human organoids without double-strand DNA cleavage</t>
  </si>
  <si>
    <t>PLOS BIOLOGY</t>
  </si>
  <si>
    <t>ADULT STEM-CELLS; MUTATION ACCUMULATION; GENOME; PROTEIN; CRISPR/CAS9; EXPRESSION; GENERATION; REVEALS; NICKING; NANOG</t>
  </si>
  <si>
    <t>CRISPR-associated nucleases are powerful tools for precise genome editing of model systems, including human organoids. Current methods describing fluorescent gene tagging in organoids rely on the generation of DNA double-strand breaks (DSBs) to stimulate homology-directed repair (HDR) or nonhomologous end joining (NHEJ)-mediated integration of the desired knock-in. A major downside associated with DSB-mediated genome editing is the required clonal selection and expansion of candidate organoids to verify the genomic integrity of the targeted locus and to confirm the absence of off-target indels. By contrast, concurrent nicking of the genomic locus and targeting vector, known as in-trans paired nicking (ITPN), stimulates efficient HDR-mediated genome editing to generate large knock-ins without introducing DSBs. Here, we show that ITPN allows for fast, highly efficient, and indel-free fluorescent gene tagging in human normal and cancer organoids. Highlighting the ease and efficiency of ITPN, we generate triple fluorescent knock-in organoids where 3 genomic loci were simultaneously modified in a single round of targeting. In addition, we generated model systems with allele-specific readouts by differentially modifying maternal and paternal alleles in one step. ITPN using our palette of targeting vectors, publicly available from Addgene, is ideally suited for generating error-free heterozygous knock-ins in human organoids.</t>
  </si>
  <si>
    <t>[Bollen, Yannik; Hageman, Joris R.; van Leenen, Petra; Ponsioen, Bas; Buissant des Amorie, Julian; Verlaan-Klink, Ingrid; van den Bos, Myrna; Snippert, Hugo J. G.] Univ Utrecht, Univ Med Ctr Utrecht, Ctr Mol Med, Mol Canc Res, Utrecht, Netherlands; [Bollen, Yannik; Hageman, Joris R.; van Leenen, Petra; Derks, Lucca L. M.; Ponsioen, Bas; Buissant des Amorie, Julian; Verlaan-Klink, Ingrid; van den Bos, Myrna; van Boxtel, Ruben; Snippert, Hugo J. G.] Oncode Inst, Utrecht, Netherlands; [Bollen, Yannik; Terstappen, Leon W. M. M.] Univ Twente, TechMed Ctr, Med Cell Biophys, Enschede, Netherlands; [Derks, Lucca L. M.; van Boxtel, Ruben] Princess Maxima Ctr Pediat Oncol, Utrecht, Netherlands</t>
  </si>
  <si>
    <t>Utrecht University; Utrecht University Medical Center; University of Twente</t>
  </si>
  <si>
    <t>Snippert, HJG (corresponding author), Univ Utrecht, Univ Med Ctr Utrecht, Ctr Mol Med, Mol Canc Res, Utrecht, Netherlands.;Snippert, HJG (corresponding author), Oncode Inst, Utrecht, Netherlands.</t>
  </si>
  <si>
    <t>h.j.g.snippert@umcutrecht.nl</t>
  </si>
  <si>
    <t>Dutch Cancer Society; European Research Council (ERC) [803608]; NWO TOP; University of Twente; UMC Utrecht on Advanced Biomanufacturing; European Research Council (ERC) [803608] Funding Source: European Research Council (ERC)</t>
  </si>
  <si>
    <t>Dutch Cancer Society(KWF Kankerbestrijding); European Research Council (ERC)(European Research Council (ERC)Spanish Government); NWO TOP(Netherlands Organization for Scientific Research (NWO)); University of Twente; UMC Utrecht on Advanced Biomanufacturing; European Research Council (ERC)(European Research Council (ERC)Spanish Government)</t>
  </si>
  <si>
    <t>This work is part of the Oncode Institute, which is partly financed by the Dutch Cancer Society. HGJS received European Research Council (ERC) starting grant (IntratumoralNiche), project number 803608 (https://erc.europa.eu/funding/starting-grants) and NWO TOP. YB was supported by a strategic alliance between University of Twente and UMC Utrecht on Advanced Biomanufacturing (to LWMMT and HJGS). The funders had no role in study design, data collection and analysis, decision to publish, or preparation of the manuscript.</t>
  </si>
  <si>
    <t>1544-9173</t>
  </si>
  <si>
    <t>1545-7885</t>
  </si>
  <si>
    <t>PLOS BIOL</t>
  </si>
  <si>
    <t>PLoS. Biol.</t>
  </si>
  <si>
    <t>e3001527</t>
  </si>
  <si>
    <t>10.1371/journal.pbio.3001527</t>
  </si>
  <si>
    <t>Biochemistry &amp; Molecular Biology; Biology</t>
  </si>
  <si>
    <t>Biochemistry &amp; Molecular Biology; Life Sciences &amp; Biomedicine - Other Topics</t>
  </si>
  <si>
    <t>YY5EE</t>
  </si>
  <si>
    <t>WOS:000754811500001</t>
  </si>
  <si>
    <t>Chen, ZJ</t>
  </si>
  <si>
    <t>Chen, Zhijie</t>
  </si>
  <si>
    <t>THE UNITY OF NON-TERRITORIALITY IN OUTER SPACE VERSUS THE DIVERSITY OF TERRITORIALITY IN INTELLECTUAL PROPERTY: A RECONCILIATION REGIME FOR SUSTAINABLE SPACE COMMERCIALISATION</t>
  </si>
  <si>
    <t>HONG KONG LAW JOURNAL</t>
  </si>
  <si>
    <t>NONAPPROPRIATION PRINCIPLE; COOPERATION; PROTECTION; MECHANISM; LAW</t>
  </si>
  <si>
    <t>The commercial and sustainable development of outer space requires a proper intellectual property protection legal regime. The international intellectual property treaties have not explicitly considered intellectual property protection in outer space in their provisions. Likewise, none of the five outer space treaties' provisions address the issue of intellectual property protection. This may discourage states and non-governmental entities from actively engaging in space activities. One principal reason leading to this legal status is the potential conflict caused by the unity of non-territoriality in outer space and the diversity of territoriality in intellectual property. This article will firstly examine in detail the contrasting feature of territoriality between the legal regimes of outer space and intellectual property. It then moves to argue that art VIII of the Outer Space Treaty offers a regulatory approach to reconcile the conflict. There is a self-contained mechanism that uses registered space objects as a connecting factor and the mode of quasi-territorial jurisdiction in public international law to permit the legitimate extension of the national sovereignty of the state of registry to space objects, thereby enabling guaranteed levels of functional intellectual property rights in outer space. An optimum balance can be reached between the unity of non-territoriality in outer space and the diversity of territoriality in intellectual property. As a result, intellectual property rights created from space activities can be legally protected by extending existing intellectual property laws to space objects, which has been well demonstrated in certain spacefaring countries' national space legislation. There is also a need to consider the legal harmonisation of rules concerning intellectual property protection in outer space at the international level in the long run.</t>
  </si>
  <si>
    <t>[Chen, Zhijie] Jinan Univ, Sch Humanities, Dept Law, Jinan, Shandong, Peoples R China</t>
  </si>
  <si>
    <t>University of Jinan</t>
  </si>
  <si>
    <t>Chen, ZJ (corresponding author), Jinan Univ, Sch Humanities, Dept Law, Jinan, Shandong, Peoples R China.</t>
  </si>
  <si>
    <t>Chen, Zhijie/AAL-7919-2021</t>
  </si>
  <si>
    <t>Chen, Zhijie/0000-0002-6546-7352</t>
  </si>
  <si>
    <t>LLM (Univ. of Macau); National Social Science Foundation of China [21CFX078]; Faculty of Law of the University of Hong Kong</t>
  </si>
  <si>
    <t>LLM (Univ. of Macau); National Social Science Foundation of China(National Office of Philosophy and Social Sciences); Faculty of Law of the University of Hong Kong</t>
  </si>
  <si>
    <t>Lecturer and Head of Department of Law, School of Humanities, Jinan University. LLM (Univ. of Macau), MPhil and PhD (HKU). This research is one part of research works supported by the National Social Science Foundation of China grant (Youth Project: 21CFX078), and the project is titled Research on Multiple Protection of China's Space Patent against the Context of New Era [................]. The author thanks Professor Yun Zhao from the Faculty of Law of the University of Hong Kong as well as the anonymous reviewer for their constructive comments and suggestion on the article; the author also thanks research assistants Kunyi Li, Qing Zhu and Siqi Du from Jinan University for their research assistance.</t>
  </si>
  <si>
    <t>SWEET MAXWELL LTD</t>
  </si>
  <si>
    <t>ANDOVER</t>
  </si>
  <si>
    <t>NORTH WAY, ANDOVER SP10 5BE, HANTS, ENGLAND</t>
  </si>
  <si>
    <t>0378-0600</t>
  </si>
  <si>
    <t>HONG KONG LAW J</t>
  </si>
  <si>
    <t>Hong Kong Law J.</t>
  </si>
  <si>
    <t>0M2DB</t>
  </si>
  <si>
    <t>WOS:000781969400007</t>
  </si>
  <si>
    <t>Das, SS; Dutta, A; Purohit, S; Serra, E; Halappanavar, M; Pothen, A</t>
  </si>
  <si>
    <t>Das, Siddhartha Shankar; Dutta, Ashutosh; Purohit, Sumit; Serra, Edoardo; Halappanavar, Mahantesh; Pothen, Alex</t>
  </si>
  <si>
    <t>Towards Automatic Mapping of Vulnerabilities to Attack Patterns using Large Language Models</t>
  </si>
  <si>
    <t>2022 IEEE INTERNATIONAL SYMPOSIUM ON TECHNOLOGIES FOR HOMELAND SECURITY (HST)</t>
  </si>
  <si>
    <t>Virtual IEEE International Symposium on Technologies for Homeland Security (HST)</t>
  </si>
  <si>
    <t>NOV 14-15, 2022</t>
  </si>
  <si>
    <t>CLASSIFICATION</t>
  </si>
  <si>
    <t>Cyber-attack surface of an enterprise continuously evolves due to the advent of new devices and applications with inherent vulnerabilities, and the emergence of novel attack techniques that exploit these vulnerabilities. Therefore, security management tools must assess the cyber-risk of an enterprise at regular intervals by comprehensively identifying associations among attack techniques, weaknesses, and vulnerabilities. However, existing repositories providing such associations are incomplete (i.e., missing associations), which increases the likelihood of undermining the risk of specific set of attack techniques with missing information. Further, such associations often rely on manual interpretations that are slow compared to the speed of attacks, and therefore, ineffective in combating the ever increasing list of vulnerabilities and attack actions. Therefore, developing methodologies to associate vulnerabilities to all relevant attack techniques automatically and accurately is critically important. In this paper, we present a framework - Vulnerabilities and Weakness to Common Attack Pattern Mapping (VWC-MAP) - that can automatically identify all relevant attack techniques of a vulnerability via weakness based on their text descriptions, applying natural language process (NLP) techniques. VWC-MAP is enabled by a novel two-tiered classification approach, where the first tier classifies vulnerabilities to weakness, and the second tier classifies weakness to attack techniques. In this work, we improve the scalability of the current state-of-the-art tool to significantly speedup the mapping of vulnerabilities to weaknesses. We also present two novel automated approaches for mapping weakness to attack techniques by applying Text-to-Text and link prediction techniques. Our experimental results are cross-validated by cyber-security experts and demonstrate that VWC-MAP can associate vulnerabilities to weakness-types with up to 87% accuracy, and weaknesses to new attack patterns with up to 80% accuracy.</t>
  </si>
  <si>
    <t>[Das, Siddhartha Shankar; Pothen, Alex] Purdue Univ, W Lafayette, IN 47907 USA; [Dutta, Ashutosh; Purohit, Sumit; Serra, Edoardo; Halappanavar, Mahantesh] Pacific Northwest Natl Lab, Richland, WA USA; [Serra, Edoardo] Boise State Univ, Boise, ID USA</t>
  </si>
  <si>
    <t>Das, SS (corresponding author), Purdue Univ, W Lafayette, IN 47907 USA.</t>
  </si>
  <si>
    <t>das90@purdue.edu; ashutosh.dutta@pnnl.gov; Sumit.Purohit@pnnl.gov; edoardoserra@boisestate.edu; hala@pnnl.gov; apothen@purdue.edu</t>
  </si>
  <si>
    <t>Pothen, Alex/0000-0002-3421-3325</t>
  </si>
  <si>
    <t>U.S. Department of Energy (DOE) through the Center for ARtificial Intelligence-focused ARchitectures and Algorithms (ARIAA), Idaho Global Entrepreneurial Mission/Higher Education Research Council [IGEM22-001]; Laboratory Directed Research and Development Program at Pacific Northwest National Laboratory</t>
  </si>
  <si>
    <t>U.S. Department of Energy (DOE) through the Center for ARtificial Intelligence-focused ARchitectures and Algorithms (ARIAA), Idaho Global Entrepreneurial Mission/Higher Education Research Council(United States Department of Energy (DOE)); Laboratory Directed Research and Development Program at Pacific Northwest National Laboratory</t>
  </si>
  <si>
    <t>This work is supported in part by the U.S. Department of Energy (DOE) through the Center for ARtificial Intelligence-focused ARchitectures and Algorithms (ARIAA), Idaho Global Entrepreneurial Mission/Higher Education Research Council #IGEM22-001, and Laboratory Directed Research and Development Program at Pacific Northwest National Laboratory. We are grateful for access to institutional computational resources at PNNL.</t>
  </si>
  <si>
    <t>978-1-6654-9404-5</t>
  </si>
  <si>
    <t>10.1109/HST56032.2022.10025459</t>
  </si>
  <si>
    <t>Computer Science, Interdisciplinary Applications; Engineering, Multidisciplinary</t>
  </si>
  <si>
    <t>BV5OA</t>
  </si>
  <si>
    <t>WOS:001050968600039</t>
  </si>
  <si>
    <t>Fariborz, M; Samani, M; Fotouhi, P; Proietti, R; Yi, IM; Akella, V; Lowe-Power, J; Palermo, S; Ben Yoo, SJ</t>
  </si>
  <si>
    <t>Varbanescu, AL; Bhatele, A; Luszczek, P; Marc, B</t>
  </si>
  <si>
    <t>Fariborz, Marjan; Samani, Mahyar; Fotouhi, Pouya; Proietti, Roberto; Yi, Il-Min; Akella, Venkatesh; Lowe-Power, Jason; Palermo, Samuel; Ben Yoo, S. J.</t>
  </si>
  <si>
    <t>LLM: Realizing Low-Latency Memory by Exploiting Embedded Silicon Photonics for Irregular Workloads</t>
  </si>
  <si>
    <t>HIGH PERFORMANCE COMPUTING, ISC HIGH PERFORMANCE 2022</t>
  </si>
  <si>
    <t>37th International Supercomputing Conference on High Performance Computing (ISC High Performance Computing)</t>
  </si>
  <si>
    <t>MAY 29-JUN 02, 2022</t>
  </si>
  <si>
    <t>DRAM; RETHINKING; CHIP</t>
  </si>
  <si>
    <t>As emerging workloads exhibit irregular memory access patterns with poor data reuse and locality, they would benefit from a DRAM that achieves low latency without sacrificing bandwidth and energy efficiency. We propose LLM (Low Latency Memory), a codesign of the DRAM microarchitecture, the memory controller and the LLC/DRAM interconnect by leveraging embedded silicon photonics in 2.5D/3D integrated system on chip. LLM relies on Wavelength Division Multiplexing (WDM)based photonic interconnects to reduce the contention throughout the memory subsystem. LLM also increases the bank-level parallelism, eliminates bus conflicts by using dedicated optical data paths, and reduces the access energy per bit with shorter global bitlines and smaller row buffers. We evaluate the design space of LLM for a variety of synthetic benchmarks and representative graph workloads on a full-system simulator (gem5). LLM exhibits low memory access latency for traffics with both regular and irregular access patterns. For irregular traffic, LLM achieves high bandwidth utilization (over 80% peak throughput compared to 20% of HBM2.0). For real workloads, LLM achieves 3x and 1.8x lower execution time compared to HBM2.0 and a state-of-the-art memory system with high memory level parallelism, respectively. This study also demonstrates that by reducing queuing on the data path, LLM can achieve on average 3.4x lower memory latency variation compared to HBM2.0.</t>
  </si>
  <si>
    <t>[Fariborz, Marjan; Samani, Mahyar; Fotouhi, Pouya; Proietti, Roberto; Akella, Venkatesh; Lowe-Power, Jason; Ben Yoo, S. J.] Univ Calif Davis, Davis, CA 95616 USA; [Yi, Il-Min; Palermo, Samuel] Texas A&amp;M Univ, College Stn, TX 77843 USA</t>
  </si>
  <si>
    <t>University of California System; University of California Davis; Texas A&amp;M University System; Texas A&amp;M University College Station</t>
  </si>
  <si>
    <t>Fariborz, M (corresponding author), Univ Calif Davis, Davis, CA 95616 USA.</t>
  </si>
  <si>
    <t>mfariborz@ucdavis.edu; msamani@ucdavis.edu; pfotouhi@ucdavis.edu; rproietti@ucdavis.edu; ilmin.yi@tamu.edu; akella@ucdavis.edu; jlowepower@ucdavis.edu; spalermo@tamu.edu; sbyoo@ucdavis.edu</t>
  </si>
  <si>
    <t>Lowe-Power, Jason/0000-0002-8880-8703</t>
  </si>
  <si>
    <t>ARO [W911NF1910470]; U.S. Department of Defense (DOD) [W911NF1910470] Funding Source: U.S. Department of Defense (DOD)</t>
  </si>
  <si>
    <t>ARO; U.S. Department of Defense (DOD)(United States Department of Defense)</t>
  </si>
  <si>
    <t>This work was supported in part by ARO award W911NF1910470.</t>
  </si>
  <si>
    <t>978-3-031-07312-0; 978-3-031-07311-3</t>
  </si>
  <si>
    <t>10.1007/978-3-031-07312-0_3</t>
  </si>
  <si>
    <t>BU0UC</t>
  </si>
  <si>
    <t>WOS:000871773100003</t>
  </si>
  <si>
    <t>Goodman, SM; Buehler, E; Clary, P; Coenen, A; Donsbach, A; Horne, TN; Lahav, M; MacDonald, R; Michaels, RB; Narayanan, A; Pushkarna, M; Riley, J; Santana, A; Shi, L; Sweeney, R; Weaver, P; Yuan, A; Morris, MR</t>
  </si>
  <si>
    <t>Goodman, Steven M.; Buehler, Erin; Clary, Patrick; Coenen, Andy; Donsbach, Aaron; Horne, Tiffanie N.; Lahav, Michal; MacDonald, Robert; Michaels, Rain Breaw; Narayanan, Ajit; Pushkarna, Mahima; Riley, Joel; Santana, Alex; Shi, Lei; Sweeney, Rachel; Weaver, Phil; Yuan, Ann; Morris, Meredith Ringel</t>
  </si>
  <si>
    <t>LaMPost: Design and Evaluation of an AI-assisted EmailWriting Prototype for Adults with Dyslexia</t>
  </si>
  <si>
    <t>PROCEEDINGS OF THE 24TH INTERNATIONAL ACM SIGACCESS CONFERENCE ON COMPUTERS AND ACCESSIBILITY, ASSETS 2022</t>
  </si>
  <si>
    <t>24th International ACM SIGACCESS Conference on Computers and Accessibility (ASSETS)</t>
  </si>
  <si>
    <t>OCT 23-26, 2022</t>
  </si>
  <si>
    <t>Athens, GREECE</t>
  </si>
  <si>
    <t>Assoc Comp Machinery,ACM SIGACCESS,Fable,Google,Adobe,Amazon,Apple,Meta,Microsoft,Univ Washington, Ctr Res &amp; Educ Accessible Technol &amp; Experiences,Natl Inst Disabil, Independent Living &amp; Rehabilitat Res,Twitter,Volkswagen,NSF</t>
  </si>
  <si>
    <t>large language models; dyslexia; writing</t>
  </si>
  <si>
    <t>HIGHER-EDUCATION; STUDENTS; SKILLS; EXPERIENCE</t>
  </si>
  <si>
    <t>Prior work has explored the writing challenges experienced by people with dyslexia, and the potential for new spelling, grammar, andword retrieval technologies to address these challenges. However, the capabilities for natural language generation demonstrated by the latest class of large language models (LLMs) highlight an opportunity to explore new forms of human-AI writing support tools. In this paper, we introduce LaMPost, a prototype email-writing interface that explores the potential for LLMs to power writing support tools that address the varied needs of people with dyslexia. LaMPost draws from our understanding of these needs and introduces novel AI-powered features for email-writing, including: outlining main ideas, generating a subject line, suggesting changes, rewriting a selection. We evaluated LaMPost with 19 adults with dyslexia,identifying many promising routes for further exploration (including the popularity of the rewrite and subject line features), but also fnding that the current generation of LLMs may not surpass the accuracy and quality thresholds required to meet the needs of writers with dyslexia. Surprisingly, we found that participants' awareness of the AI had no efect on their perception of the system, nor on their feelings of autonomy, expression, and self-efcacy when writing emails. Our fndings yield further insight into the benefts and drawbacks of using LLMs as writing support for adults with dyslexia and provide a foundation to build upon in future research.</t>
  </si>
  <si>
    <t>[Goodman, Steven M.] Univ Washington, Seattle, WA 98195 USA; [Goodman, Steven M.; Morris, Meredith Ringel] Google Res, Seattle, WA 98109 USA; [Buehler, Erin; Clary, Patrick; Coenen, Andy; Donsbach, Aaron; Horne, Tiffanie N.; Lahav, Michal; MacDonald, Robert; Michaels, Rain Breaw; Narayanan, Ajit; Pushkarna, Mahima; Riley, Joel; Santana, Alex; Shi, Lei; Sweeney, Rachel; Weaver, Phil; Yuan, Ann] Google, Mountain View, CA 94043 USA</t>
  </si>
  <si>
    <t>University of Washington; University of Washington Seattle; Google Incorporated; Google Incorporated</t>
  </si>
  <si>
    <t>Goodman, SM (corresponding author), Univ Washington, Seattle, WA 98195 USA.;Goodman, SM (corresponding author), Google Res, Seattle, WA 98109 USA.</t>
  </si>
  <si>
    <t>smgoodmn@uw.edu; ebuehler@google.com; pclary@google.com; andycoenen@google.com; donsbach@google.com; tiffanieh@google.com; mlahav@google.com; bmacdonald@google.com; rainb@google.com; ajitnarayanan@google.com; mahimap@google.com; joel.c.riley@gmail.com; alexsantana@google.com; leileilei@google.com; rachelsweeney@google.com; pweaver@google.com; annyuan@google.com; merrie@google.com</t>
  </si>
  <si>
    <t>978-1-4503-9258-7</t>
  </si>
  <si>
    <t>10.1145/3517428.3544819</t>
  </si>
  <si>
    <t>Computer Science, Interdisciplinary Applications; Computer Science, Theory &amp; Methods</t>
  </si>
  <si>
    <t>BW4AZ</t>
  </si>
  <si>
    <t>Bronze, Green Submitted</t>
  </si>
  <si>
    <t>WOS:001146369800024</t>
  </si>
  <si>
    <t>Hennebry-Leung, M</t>
  </si>
  <si>
    <t>Pun, JKH; Curle, SM</t>
  </si>
  <si>
    <t>Hennebry-Leung, Mairin</t>
  </si>
  <si>
    <t>Teachers' cognitions on motivational practice in medium of instruction settings Lessons learned in using stimulated recall interviews</t>
  </si>
  <si>
    <t>RESEARCH METHODS IN ENGLISH MEDIUM INSTRUCTION</t>
  </si>
  <si>
    <t>Routledge Research in Higher Education</t>
  </si>
  <si>
    <t>L2 SELVES; STRATEGIES; STUDENT</t>
  </si>
  <si>
    <t>This chapter critically reflects on the constraints and affordances experienced in the implementation of stimulated recall interviews (SRIs) used to explore teachers' cognitions on motivational language teaching practice across Hong Kong secondary schools that are adopting a diverse medium of instruction (MoI). The study in which this chapter is grounded adopted a multi-variate perspective to examine the interplay between MoI, as a key feature of the learning context, and learners' language learning motivation (LLM). The study gathered data on students' language learning motivational orientations, their language learning self-efficacy, and their personality traits in addition to gathering data on teachers' practices and their cognitions on motivational teaching practice. A key element of the study was to understand the extent to which MoI, as a key feature of the learning environment, interacted with learner motivation and teacher practice. This was theoretically important because it increased recognition of the role context plays in shaping motivation and of the existing gaps in the field with relation to teacher motivational practice. Informing a richer understanding of Hong Kong school learners' LLM was also of significance for policy and practice.</t>
  </si>
  <si>
    <t>[Hennebry-Leung, Mairin] Univ Tasmania, Languages &amp; TESOL, Hobart, Tas, Australia</t>
  </si>
  <si>
    <t>Hennebry-Leung, M (corresponding author), Univ Tasmania, Languages &amp; TESOL, Hobart, Tas, Australia.</t>
  </si>
  <si>
    <t>Hennebry-Leung, Mairin/U-2511-2019</t>
  </si>
  <si>
    <t>Hennebry-Leung, Mairin/0000-0002-1841-9497</t>
  </si>
  <si>
    <t>ROUTLEDGE</t>
  </si>
  <si>
    <t>2 PARK SQ, MILTON PARK, ABINGDON OX14 4RN, OXFORD, ENGLAND</t>
  </si>
  <si>
    <t>978-1-032-10019-7; 978-1-003-02511-5; 978-0-367-45755-6</t>
  </si>
  <si>
    <t>ROUT RES HIGH EDUC</t>
  </si>
  <si>
    <t>10.4324/9781003025115-4</t>
  </si>
  <si>
    <t>10.4324/9781003025115</t>
  </si>
  <si>
    <t>BT5XC</t>
  </si>
  <si>
    <t>WOS:000839183400004</t>
  </si>
  <si>
    <t>Hou, J; Xu, SS</t>
  </si>
  <si>
    <t>Hou, James; Xu, Susu</t>
  </si>
  <si>
    <t>Near-real-time Seismic Human Fatality Information Retrieval from Social Media with Few-shot Large-Language Models</t>
  </si>
  <si>
    <t>PROCEEDINGS OF THE TWENTIETH ACM CONFERENCE ON EMBEDDED NETWORKED SENSOR SYSTEMS, SENSYS 2022</t>
  </si>
  <si>
    <t>20th ACM Conference on Embedded Networked Sensor Systems (SenSys)</t>
  </si>
  <si>
    <t>NOV 06-09, 2022</t>
  </si>
  <si>
    <t>Boston, MA</t>
  </si>
  <si>
    <t>Assoc Comp Machinery,ACM SIGCHI,ACM SIGARCH,ACM SIGCOMM,ACM SIGBED,ACM SIGMETRICS,ACM SIGOPS,Qualcomm,Nokia Bell Labs,Google,UMass Amherst, Manning Coll Informat &amp; Comp Sci</t>
  </si>
  <si>
    <t>Earthquake; Few-shot Learning; Large Language Models; Near-realtime Information Retrieval; Rapid Disaster Response</t>
  </si>
  <si>
    <t>Real-time disaster-induced human fatality information is critical for rapid and accurate disaster impact and loss estimation and effective emergency response. Systems like PAGER incorporate online reported death tolls and loss projection models trained on significant historical earthquake events and ground shaking data to provide projected final seismic loss estimations. However, the input reported death toll data are mainly retrieved from news platforms manually, which is time-consuming and may have a large time bias. In recent years, platforms such as Facebook and Twitter have become hot spots for witness reporting and communication during disaster events, producing large volumes of immediate fatality information without the hindrances of official channels. Though lucrative, social media data is very noisy both in syntax and accuracy, necessitating robust solutions. In this work, we design and deploy a new online system that automatically extracts near-realtime multi-lingual human fatality information including death tolls and injury tolls, from a variety of information sources immediately after an earthquake occurs. Past studies have proposed to use popular machine learning methods such as SVMs, CNNs and Logistic Regression in conjunction with word embeddings to classify the relevancy of each social media message. However, these techniques suffer from impeding requirements of annotated data, which are unavailable at the onset of natural disasters, and cannot directly extract disaster information, instead relying on statistical analysis on their classification results. To address such challenges, we propose a Large Language Model-based approach that leverages its robust language understanding and few-shot learning abilities. In combination with our novel multilingual Hierarchical Event Classifier, another contribution, we achieve effective automatic earthquake casualty information retrieval from social media, which we test by deploying our framework to two recent earthquakes.</t>
  </si>
  <si>
    <t>[Hou, James; Xu, Susu] SUNY Stony Brook, Stony Brook, NY 11794 USA</t>
  </si>
  <si>
    <t>State University of New York (SUNY) System; State University of New York (SUNY) Stony Brook</t>
  </si>
  <si>
    <t>Hou, J (corresponding author), SUNY Stony Brook, Stony Brook, NY 11794 USA.</t>
  </si>
  <si>
    <t>houjames05@gmail.com; susu.xu@stonybrook.edu</t>
  </si>
  <si>
    <t>Xu, Susu/0000-0001-7170-648X</t>
  </si>
  <si>
    <t>USGS Earthquake Hazards Program [G22AP00032]; Simons Summer Research program at Stony Brook University</t>
  </si>
  <si>
    <t>USGS Earthquake Hazards Program; Simons Summer Research program at Stony Brook University</t>
  </si>
  <si>
    <t>This project is supported by USGS Earthquake Hazards Program G22AP00032. Any use of trade, firm, or product names is for descriptive purposes only and does not imply endorsement by the U.S. Government. James Hou is supported by Simons Summer Research program at Stony Brook University. Special thanks to Dr. Kishor Jaiswal, Dr. David J. Wald., and Davis Engler.</t>
  </si>
  <si>
    <t>978-1-4503-9886-2</t>
  </si>
  <si>
    <t>10.1145/3560905.3568431</t>
  </si>
  <si>
    <t>BV8TG</t>
  </si>
  <si>
    <t>WOS:001082249700152</t>
  </si>
  <si>
    <t>Jia, ML; Tang, LM; Chen, BC; Cardie, C; Belongie, S; Hariharan, B; Lim, SN</t>
  </si>
  <si>
    <t>Avidan, S; Brostow, G; Cisse, M; Farinella, GM; Hassner, T</t>
  </si>
  <si>
    <t>Jia, Menglin; Tang, Luming; Chen, Bor-Chun; Cardie, Claire; Belongie, Serge; Hariharan, Bharath; Lim, Ser-Nam</t>
  </si>
  <si>
    <t>Visual Prompt Tuning</t>
  </si>
  <si>
    <t>COMPUTER VISION - ECCV 2022, PT XXXIII</t>
  </si>
  <si>
    <t>17th European Conference on Computer Vision (ECCV)</t>
  </si>
  <si>
    <t>OCT 23-27, 2022</t>
  </si>
  <si>
    <t>Tel Aviv, ISRAEL</t>
  </si>
  <si>
    <t>The current modus operandi in adapting pre-trained models involves updating all the backbone parameters, i.e., full fine-tuning. This paper introduces Visual Prompt Tuning (VPT) as an efficient and effective alternative to full fine-tuning for large-scale Transformer models in vision. Taking inspiration from recent advances in efficiently tuning large language models, VPT introduces only a small amount (less than 1% of model parameters) of trainable parameters in the input space while keeping the model backbone frozen. Via extensive experiments on a wide variety of downstream recognition tasks, we show that VPT achieves significant performance gains compared to other parameter efficient tuning protocols. Most importantly, VPT even outperforms full fine-tuning in many cases across model capacities and training data scales, while reducing per-task storage cost. Code is available at github.com/kmnp/vpt.</t>
  </si>
  <si>
    <t>[Jia, Menglin; Tang, Luming; Cardie, Claire; Hariharan, Bharath] Cornell Univ, Ithaca, NY 14850 USA; [Jia, Menglin; Chen, Bor-Chun; Lim, Ser-Nam] Meta AI, New York, NY 10003 USA; [Belongie, Serge] Univ Copenhagen, Copenhagen, Denmark</t>
  </si>
  <si>
    <t>Cornell University; University of Copenhagen</t>
  </si>
  <si>
    <t>Jia, ML (corresponding author), Cornell Univ, Ithaca, NY 14850 USA.;Jia, ML (corresponding author), Meta AI, New York, NY 10003 USA.</t>
  </si>
  <si>
    <t>mj493@cornell.edu</t>
  </si>
  <si>
    <t>Tang, Luming/AAU-8906-2021</t>
  </si>
  <si>
    <t>Belongie, Serge/0000-0002-0388-5217</t>
  </si>
  <si>
    <t>Meta AI research grant; NSF [IIS-2144117]; Pioneer Centre for AI, DNRF [P1]</t>
  </si>
  <si>
    <t>Meta AI research grant; NSF(National Science Foundation (NSF)); Pioneer Centre for AI, DNRF</t>
  </si>
  <si>
    <t>Menglin is supported by a Meta AI research grant awarded to Cornell University, Luming and Bharath is supported by NSF IIS-2144117, Serge is supported in part by the Pioneer Centre for AI, DNRF grant number P1. We would like to thank Alexander Rush, Yin Cui for valuable suggestions and discussion.</t>
  </si>
  <si>
    <t>978-3-031-19826-7; 978-3-031-19827-4</t>
  </si>
  <si>
    <t>10.1007/978-3-031-19827-4_41</t>
  </si>
  <si>
    <t>Computer Science, Artificial Intelligence; Imaging Science &amp; Photographic Technology</t>
  </si>
  <si>
    <t>Computer Science; Imaging Science &amp; Photographic Technology</t>
  </si>
  <si>
    <t>BU4LZ</t>
  </si>
  <si>
    <t>WOS:000903572500041</t>
  </si>
  <si>
    <t>Li, HR; Song, YQ; Fan, LX</t>
  </si>
  <si>
    <t>ASSOC COMPUTAT LINGUIST</t>
  </si>
  <si>
    <t>Li, Haoran; Song, Yangqiu; Fan, Lixin</t>
  </si>
  <si>
    <t>You Don't Know My Favorite Color: Preventing Dialogue Representations from Revealing Speakers' Private Personas</t>
  </si>
  <si>
    <t>NAACL 2022: THE 2022 CONFERENCE OF THE NORTH AMERICAN CHAPTER OF THE ASSOCIATION FOR COMPUTATIONAL LINGUISTICS: HUMAN LANGUAGE TECHNOLOGIES</t>
  </si>
  <si>
    <t>Conference of the North-American-Chapter-of-the-Association-for-Computational-Linguistics (NAAACL) - Human Language Technologies</t>
  </si>
  <si>
    <t>JUL 10-15, 2022</t>
  </si>
  <si>
    <t>Seattle, WA</t>
  </si>
  <si>
    <t>Assoc Computat Linguist, N Amer Chapter,Amazon Sci,Bloomberg Engn,Google Res,LivepersoMetan,ByteDance,KENSH,Grammarly,Megagon Labs,Microsoft,Reveal Brainspace,Cohere,GResearch,Relativity,Servicenow,ASAPP,Duolingo,Adobe,Linkedin,Babelscape,Rakuten Inst Technol,UC Santa Cruz, Baskin Engn,Nat Language Proc,NSF,ETS,OpenAI,TIAA,Two Sigma,Mag Data</t>
  </si>
  <si>
    <t>Social chatbots, also known as chit-chat chatbots, evolve rapidly with large pretrained language models. Despite the huge progress, privacy concerns have arisen recently: training data of large language models can be extracted via model inversion attacks. On the other hand, the datasets used for training chatbots contain many private conversations between two individuals. In this work, we further investigate the privacy leakage of the hidden states of chatbots trained by language modeling which has not been well studied yet. We show that speakers' personas can be inferred through a simple neural network with high accuracy. To this end, we propose effective defense objectives to protect persona leakage from hidden states. We conduct extensive experiments to demonstrate that our proposed defense objectives can greatly reduce the attack accuracy from 37.6% to 0.5%. Meanwhile, the proposed objectives preserve language models' powerful generation ability.</t>
  </si>
  <si>
    <t>[Li, Haoran; Song, Yangqiu] Hong Kong Univ Sci &amp; Technol, Dept CSE, Hong Kong, Peoples R China; [Fan, Lixin] WeBank, AI Grp, Shenzhen, Peoples R China</t>
  </si>
  <si>
    <t>Hong Kong University of Science &amp; Technology</t>
  </si>
  <si>
    <t>Li, HR (corresponding author), Hong Kong Univ Sci &amp; Technol, Dept CSE, Hong Kong, Peoples R China.</t>
  </si>
  <si>
    <t>hlibt@connect.ust.hk; yqsong@cse.ust.hk; lixinfan@webank.com</t>
  </si>
  <si>
    <t>NSFC Fund from the NSFC of China [U20B2053]; RGC of Hong Kong [R6020-19, R6021-20, 16211520]; MHKJFS from ITC of Hong Kong [MHP/001/19]; National Key R&amp;D Program of China [2019YFE0198200]; Jiangsu Province Science and Technology Collaboration Fund [BZ2021065]</t>
  </si>
  <si>
    <t>NSFC Fund from the NSFC of China(National Natural Science Foundation of China (NSFC)); RGC of Hong Kong(Hong Kong Research Grants Council); MHKJFS from ITC of Hong Kong; National Key R&amp;D Program of China; Jiangsu Province Science and Technology Collaboration Fund</t>
  </si>
  <si>
    <t>The authors of this paper were supported by the NSFC Fund (U20B2053) from the NSFC of China, the RIF (R6020-19 and R6021-20) and the GRF (16211520) from RGC of Hong Kong, the MHKJFS (MHP/001/19) from ITC of Hong Kong and the National Key R&amp;D Program of China (2019YFE0198200) with special thanks to Hong Kong Mediation and Arbitration Centre (HKMAAC) and California University, School of Business Law &amp; Technology (CUSBLT), and the Jiangsu Province Science and Technology Collaboration Fund (BZ2021065).</t>
  </si>
  <si>
    <t>978-1-955917-71-1</t>
  </si>
  <si>
    <t>Computer Science, Artificial Intelligence; Computer Science, Interdisciplinary Applications; Linguistics</t>
  </si>
  <si>
    <t>BT9EE</t>
  </si>
  <si>
    <t>WOS:000859869505071</t>
  </si>
  <si>
    <t>Surkov, MK; Mosin, VD; Yamshchikov, IP</t>
  </si>
  <si>
    <t>Surkov, Maxim K.; Mosin, Vladislav D.; Yamshchikov, Ivan P.</t>
  </si>
  <si>
    <t>Do Data-based Curricula Work?</t>
  </si>
  <si>
    <t>Current state-of-the-art NLP systems use large neural networks that require extensive computational resources for training. Inspired by human knowledge acquisition, researchers have proposed curriculum learning - sequencing tasks (task-based curricula) or ordering and sampling the datasets (data-based curricula) that facilitate training. This work investigates the benefits of data-based curriculum learning for large language models such as BERT and T5. We experiment with various curricula based on complexity measures and different sampling strategies. Extensive experiments on several NLP tasks show that curricula based on various complexity measures rarely have any benefits, while random sampling performs either as well or better than curricula.</t>
  </si>
  <si>
    <t>[Surkov, Maxim K.; Mosin, Vladislav D.; Yamshchikov, Ivan P.] Yandex, LEYA Lab, Higher Sch Econ, Moscow, Russia</t>
  </si>
  <si>
    <t>HSE University (National Research University Higher School of Economics)</t>
  </si>
  <si>
    <t>Surkov, MK (corresponding author), Yandex, LEYA Lab, Higher Sch Econ, Moscow, Russia.</t>
  </si>
  <si>
    <t>Analytical Center for the Government of the Russian Federation (ACRF) [000000D730321P5Q0002]; HSE University [70-202100139]</t>
  </si>
  <si>
    <t>Analytical Center for the Government of the Russian Federation (ACRF); HSE University</t>
  </si>
  <si>
    <t>The publication was supported by the grant for research centers in the field of AI provided by the Analytical Center for the Government of the Russian Federation (ACRF) in accordance with the agreement on the provision of subsidies (identifier of the agreement 000000D730321P5Q0002) and the agreement with HSE University No. 70-202100139. This research was supported in part through computational resources of HPC facilities at HSE University (Kostenetskiy et al., 2021)</t>
  </si>
  <si>
    <t>WOS:000846896600016</t>
  </si>
  <si>
    <t>Tewel, Y; Shalev, Y; Schwartz, I; Wolf, L</t>
  </si>
  <si>
    <t>IEEE COMP SOC</t>
  </si>
  <si>
    <t>Tewel, Yoad; Shalev, Yoav; Schwartz, Idan; Wolf, Lior</t>
  </si>
  <si>
    <t>ZeroCap: Zero-Shot Image-to-Text Generation for Visual-Semantic Arithmetic</t>
  </si>
  <si>
    <t>2022 IEEE/CVF CONFERENCE ON COMPUTER VISION AND PATTERN RECOGNITION (CVPR 2022)</t>
  </si>
  <si>
    <t>JUN 18-24, 2022</t>
  </si>
  <si>
    <t>New Orleans, LA</t>
  </si>
  <si>
    <t>Recent text-to-image matching models apply contrastive learning to large corpora of uncurated pairs of images and sentences. While such models can provide a powerful score for matching and subsequent zero-shot tasks, they are not capable of generating caption given an image. In this work, we repurpose such models to generate a descriptive text given an image at inference time, without any further training or tuning step. This is done by combining the visual-semantic model with a large language model, benefiting from the knowledge in both web-scale models. The resulting captions are much less restrictive than those obtained by supervised captioning methods. Moreover, as a zero-shot learning method, it is extremely flexible and we demonstrate its ability to perform image arithmetic in which the inputs can be either images or text and the output is a sentence. This enables novel high-level vision capabilities such as comparing two images or solving visual analogy tests. Our code is available at: https://github.com/YoadTew/zero-shot-image-to-text.</t>
  </si>
  <si>
    <t>[Tewel, Yoad; Shalev, Yoav; Schwartz, Idan; Wolf, Lior] Tel Aviv Univ, Sch Comp Sci, Tel Aviv, Israel</t>
  </si>
  <si>
    <t>Tel Aviv University</t>
  </si>
  <si>
    <t>Tewel, Y (corresponding author), Tel Aviv Univ, Sch Comp Sci, Tel Aviv, Israel.</t>
  </si>
  <si>
    <t>European Research Council (ERC) under the European Union [ERC CoG 725974]</t>
  </si>
  <si>
    <t>European Research Council (ERC) under the European Union(European Research Council (ERC))</t>
  </si>
  <si>
    <t>This project has received funding from the European Research Council (ERC) under the European Unions Horizon 2020 research, innovation programme (grant ERC CoG 725974). The contribution of the first author is part of a PhD thesis at Tel Aviv University.</t>
  </si>
  <si>
    <t>978-1-6654-6946-3</t>
  </si>
  <si>
    <t>10.1109/CVPR52688.2022.01739</t>
  </si>
  <si>
    <t>BU0OQ</t>
  </si>
  <si>
    <t>WOS:000870783003071</t>
  </si>
  <si>
    <t>Wang, ZC; Valdez, J; Mallick, DB; Baraniuk, RG</t>
  </si>
  <si>
    <t>Rodrigo, MM; Matsuda, N; Cristea, AI; Dimitrova, V</t>
  </si>
  <si>
    <t>Wang, Zichao; Valdez, Jakob; Mallick, Debshila Basu; Baraniuk, Richard G.</t>
  </si>
  <si>
    <t>Towards Human-Like Educational Question Generation with Large Language Models</t>
  </si>
  <si>
    <t>ARTIFICIAL INTELLIGENCE IN EDUCATION, PT I</t>
  </si>
  <si>
    <t>23rd International Conference on Artificial Intelligence in Education (AIED)</t>
  </si>
  <si>
    <t>JUL 27-31, 2022</t>
  </si>
  <si>
    <t>Durham Univ, Durham, ENGLAND</t>
  </si>
  <si>
    <t>Durham Univ</t>
  </si>
  <si>
    <t>RETRIEVAL</t>
  </si>
  <si>
    <t>We investigate the utility of large pretrained language models (PLMs) for automatic educational assessment question generation. While PLMs have shown increasing promise in a wide range of natural language applications, including question generation, they can generate unreliable and undesirable content. For high-stakes applications such as educational assessments, it is not only critical to ensure that the generated content is of high quality but also relates to the specific content being assessed. In this paper, we investigate the impact of various PLM prompting strategies on the quality of generated questions. We design a series of generation scenarios to evaluate various generation strategies and evaluate generated questions via automatic metrics and manual examination. With empirical evaluation, we identify the prompting strategy that is most likely to lead to high-quality generated questions. Finally, we demonstrate the promising educational utility of generated questions using our concluded best generation strategy by presenting generated questions together with human-authored questions to a subject matter expert, who despite their expertise, could not effectively distinguish between generated and human-authored questions.</t>
  </si>
  <si>
    <t>[Wang, Zichao; Valdez, Jakob; Baraniuk, Richard G.] Rice Univ, Houston, TX 77005 USA; [Mallick, Debshila Basu; Baraniuk, Richard G.] OpenStax, Houston, TX USA</t>
  </si>
  <si>
    <t>Rice University</t>
  </si>
  <si>
    <t>Wang, ZC (corresponding author), Rice Univ, Houston, TX 77005 USA.</t>
  </si>
  <si>
    <t>jzwang@rice.edu; jpv3@rice.edu; debshila@rice.edu; richb@rice.edu</t>
  </si>
  <si>
    <t>Basu Mallick, Debshila/0000-0002-0597-3528</t>
  </si>
  <si>
    <t>NSF [1842378, 1917713, 2118706]; ONR [N0014-20-1-2534]; AFOSR [FA9550-18-1-0478]; Vannevar Bush Faculty Fellowship, ONR [N00014-18-1-2047]; Div Of Information &amp; Intelligent Systems; Direct For Computer &amp; Info Scie &amp; Enginr [2118706, 1917713] Funding Source: National Science Foundation</t>
  </si>
  <si>
    <t>NSF(National Science Foundation (NSF)); ONR(Office of Naval Research); AFOSR(United States Department of DefenseAir Force Office of Scientific Research (AFOSR)); Vannevar Bush Faculty Fellowship, ONR; Div Of Information &amp; Intelligent Systems; Direct For Computer &amp; Info Scie &amp; Enginr(National Science Foundation (NSF)NSF - Directorate for Computer &amp; Information Science &amp; Engineering (CISE))</t>
  </si>
  <si>
    <t>This work is supported by NSF grants 1842378, 1917713, 2118706, ONR grant N0014-20-1-2534, AFOSR grant FA9550-18-1-0478, and a Vannevar Bush Faculty Fellowship, ONR grant N00014-18-1-2047. We thank Prof. Sandra Adams (Excelsior College), Prof. Tyler Rust (California State University), Prof. Julie Dinh (Baruch College, CUNY) for contributing their subject matter and instructional expertise. Thanks to the anonymous reviewers for thoughtful feedback on the manuscript.</t>
  </si>
  <si>
    <t>978-3-031-11644-5; 978-3-031-11643-8</t>
  </si>
  <si>
    <t>10.1007/978-3-031-11644-5_13</t>
  </si>
  <si>
    <t>Computer Science, Artificial Intelligence; Computer Science, Interdisciplinary Applications; Education &amp; Educational Research</t>
  </si>
  <si>
    <t>BU1FW</t>
  </si>
  <si>
    <t>WOS:000877435100013</t>
  </si>
  <si>
    <t>Zhang, JY; Panthaplackel, S; Nie, PY; Li, JJ; Gligoric, M</t>
  </si>
  <si>
    <t>Zhang, Jiyang; Panthaplackel, Sheena; Nie, Pengyu; Li, Junyi Jessy; Gligoric, Milos</t>
  </si>
  <si>
    <t>CODITT5: Pretraining for Source Code and Natural Language Editing</t>
  </si>
  <si>
    <t>PROCEEDINGS OF THE 37TH IEEE/ACM INTERNATIONAL CONFERENCE ON AUTOMATED SOFTWARE ENGINEERING, ASE 2022</t>
  </si>
  <si>
    <t>37th IEEE/ACM International Conference on Automated Software Engineering (ASE)</t>
  </si>
  <si>
    <t>OCT 10-14, 2022</t>
  </si>
  <si>
    <t>Oakland Univ, MI</t>
  </si>
  <si>
    <t>IEEE,Assoc Comp Machinery,Meta,IBM,Ford,Huawei,Google,IEEE Comp Soc,IEEE Tech Council Software Engn,Special Interest Grp Software Engn,ACM SIGAI,Oakland Univ, Sch Engn &amp; Comp Sci</t>
  </si>
  <si>
    <t>Oakland Univ</t>
  </si>
  <si>
    <t>Pretrained language models; editing; bug fixing; comment updating; automated code review</t>
  </si>
  <si>
    <t>Pretrained language models have been shown to be effective in many software-related generation tasks; however, they are not well-suited for editing tasks as they are not designed to reason about edits. To address this, we propose a novel pretraining objective which explicitly models edits and use it to build CODITT5, a large language model for software-related editing tasks that is pretrained on large amounts of source code and natural language comments. We fine-tune it on various downstream editing tasks, including comment updating, bug fixing, and automated code review. By outperforming standard generation-based models, we demonstrate the generalizability of our approach and its suitability for editing tasks. We also show how a standard generation model and our edit-based model can complement one another through simple reranking strategies, with which we achieve state-of-the-art performance for the three downstream editing tasks.</t>
  </si>
  <si>
    <t>[Zhang, Jiyang; Panthaplackel, Sheena; Nie, Pengyu; Li, Junyi Jessy; Gligoric, Milos] Univ Texas Austin, Austin, TX 78712 USA</t>
  </si>
  <si>
    <t>Zhang, JY (corresponding author), Univ Texas Austin, Austin, TX 78712 USA.</t>
  </si>
  <si>
    <t>jiyang.zhang@utexas.edu; spantha@cs.utexas.edu; pynie@utexas.edu; jessy@austin.utexas.edu; gligoric@utexas.edu</t>
  </si>
  <si>
    <t>zhu, zhu/JDN-0159-2023; yin, yue/JQV-9753-2023</t>
  </si>
  <si>
    <t>US National Science Foundation [CCF-1652517, CCF-2107291, IIS-2107524, IIS-2145479]</t>
  </si>
  <si>
    <t>We thank Nader Al Awar, Yu Liu, Raymond J. Mooney, Aditya Thimmaiah, Zhiqiang Zang, and the anonymous reviewers for their comments and feedback. We acknowledge the Texas Advanced Computing Center (TACC) at The University of Texas at Austin for providing HPC resources that have contributed to the research results reported within this paper. This work is partially supported by the US National Science Foundation under Grant Nos. CCF-1652517, CCF-2107291, IIS-2107524 and IIS-2145479.</t>
  </si>
  <si>
    <t>978-1-4503-9475-8</t>
  </si>
  <si>
    <t>10.1145/3551349.3556955</t>
  </si>
  <si>
    <t>Automation &amp; Control Systems; Computer Science, Software Engineering; Computer Science, Theory &amp; Methods</t>
  </si>
  <si>
    <t>BV6UR</t>
  </si>
  <si>
    <t>WOS:001062775200063</t>
  </si>
  <si>
    <t>Wang, JK; Gao, C; Xu, ZL; Zhong, C; Dai, RC; Wang, ZP; Li, HZ; Zhang, ZM</t>
  </si>
  <si>
    <t>Wang, Junke; Gao, Chan; Xu, Zilong; Zhong, Cheng; Dai, Rucheng; Wang, Zhongping; Li, Hongzhen; Zhang, Zengming</t>
  </si>
  <si>
    <t>Pressure effects on the thermal decomposition of the LLM-105 crystal</t>
  </si>
  <si>
    <t>PHYSICAL CHEMISTRY CHEMICAL PHYSICS</t>
  </si>
  <si>
    <t>MOLECULAR-DYNAMICS; ENERGETIC MATERIALS; HYDROGEN-TRANSFER; PHASE-DIAGRAM; TEMPERATURE; SENSITIVITY; MECHANISM; SIMULATIONS; STABILITY</t>
  </si>
  <si>
    <t>Thermal mechanical responses under high temperature and high pressure are basic information to understand the performance of energetic materials. In this work, the pressure effects on the thermal decay of 2,6-diamino-3,5-dinitropyrazine-1-oxide (LLM-105) are explored. Up to the initial pressure of 4.6 GPa, the pressure dependent decomposition boundary is built and no phase transition occurs until the decomposition of the LLM-105 crystal. The decomposition temperature is significantly lifted via a weak loading pressure. The experimental measurement confirms the decomposition products, including NO2, CO2 and NH3, which are predicted by the density functional tight-binding molecular dynamics method. The calculation described the details of thermal decay in the initial stages under high pressure. The sudden drop in the shifts of the Raman modes associated with hydrogen bonds under high pressure indicates the strengthening of the intermolecular hydrogen bonds and the occurrence of intermolecular hydrogen transfer prior to crystal decomposition. The simulation supported the existence of intermolecular hydrogen transfer and provided the transfer path and decomposition mechanism. All of these jobs not only contribute significantly to the understanding of thermal decomposition of energetic materials as a function of pressure, but also contribute to the understanding of sensitivity mechanisms and safety issues.</t>
  </si>
  <si>
    <t>[Wang, Junke; Xu, Zilong; Zhong, Cheng] Univ Sci &amp; Technol China, Dept Phys, Hefei 230026, Anhui, Peoples R China; [Gao, Chan; Dai, Rucheng; Wang, Zhongping; Zhang, Zengming] Univ Sci &amp; Technol China, Ctr Phys Expt, Hefei 230026, Anhui, Peoples R China; [Li, Hongzhen] China Acad Engn Phys, Inst Chem Mat, Mianyang 621900, Sichuan, Peoples R China; [Zhang, Zengming] Univ Sci &amp; Technol China, Chinese Acad Sci, Sch Phys Sci, Key Lab Strongly Coupled Quantum Matter Phys, Hefei 230026, Anhui, Peoples R China</t>
  </si>
  <si>
    <t>Chinese Academy of Sciences; University of Science &amp; Technology of China, CAS; Chinese Academy of Sciences; University of Science &amp; Technology of China, CAS; Chinese Academy of Engineering Physics; Chinese Academy of Sciences; University of Science &amp; Technology of China, CAS</t>
  </si>
  <si>
    <t>Zhang, ZM (corresponding author), Univ Sci &amp; Technol China, Ctr Phys Expt, Hefei 230026, Anhui, Peoples R China.;Li, HZ (corresponding author), China Acad Engn Phys, Inst Chem Mat, Mianyang 621900, Sichuan, Peoples R China.;Zhang, ZM (corresponding author), Univ Sci &amp; Technol China, Chinese Acad Sci, Sch Phys Sci, Key Lab Strongly Coupled Quantum Matter Phys, Hefei 230026, Anhui, Peoples R China.</t>
  </si>
  <si>
    <t>zzm@ustc.edu.cn</t>
  </si>
  <si>
    <t>National Natural Science Foundation of China [12074360, 11672273, 21905263]; Supercomputing Center of University of Science and Technology of China</t>
  </si>
  <si>
    <t>National Natural Science Foundation of China(National Natural Science Foundation of China (NSFC)); Supercomputing Center of University of Science and Technology of China</t>
  </si>
  <si>
    <t>This work was supported by the National Natural Science Foundation of China (12074360, 11672273, 21905263) and Supercomputing Center of University of Science and Technology of China.</t>
  </si>
  <si>
    <t>1463-9076</t>
  </si>
  <si>
    <t>1463-9084</t>
  </si>
  <si>
    <t>PHYS CHEM CHEM PHYS</t>
  </si>
  <si>
    <t>Phys. Chem. Chem. Phys.</t>
  </si>
  <si>
    <t>10.1039/d1cp04076f</t>
  </si>
  <si>
    <t>DEC 2021</t>
  </si>
  <si>
    <t>YM9EX</t>
  </si>
  <si>
    <t>WOS:000741637800001</t>
  </si>
  <si>
    <t>Shaheen, SM; Wang, JX; Baumann, K; Ahmed, AA; Hsu, LC; Liu, YT; Wang, SL; Kühn, O; Leinweber, P; Rinklebe, J</t>
  </si>
  <si>
    <t>Shaheen, Sabry M.; Wang, Jianxu; Baumann, Karen; Ahmed, Ashour A.; Hsu, Liang-Ching; Liu, Yu-Ting; Wang, Shan-Li; Kuehn, Oliver; Leinweber, Peter; Rinklebe, Joerg</t>
  </si>
  <si>
    <t>Stepwise redox changes alter the speciation and mobilization of phosphorus in hydromorphic soils</t>
  </si>
  <si>
    <t>CHEMOSPHERE</t>
  </si>
  <si>
    <t>Hydromorphic arable soils; Phosphorus loss; Sustainable management; XANES; Quantum chemical calculations</t>
  </si>
  <si>
    <t>MICROBIAL COMMUNITY STRUCTURE; DYNAMICS; PH; GOETHITE; RELEASE; BINDING; SYSTEMS; IRON; PHYTOAVAILABILITY; SPECTROSCOPY</t>
  </si>
  <si>
    <t>Sustainable engineering and management of hydromorphic arable soils need deep knowledge about the redox-mediated interactions between nutrients and soil colloids. Consequently, we examined the redox-mediated in-teractions of P with metal oxides and organic carbon (OC) in toe-, mid-, and upper-slope arable soils under dynamic redox changes using geochemical (biogeochemical microcosm), spectroscopic (XANES), and molecular (quantum chemical calculations (QCC)) approaches. We controlled the redox potential (E-H) in two directions i.e., 1) slowly oxidizing direction (SOD; E-H increased from-286 to +564 mV); and 2) slowly reducing direction (SRD; E-H decreased from +564 to-148 mV). In the SOD of all soils, P, Fe2+ and OC mobilized at E-H &lt;= 200 mV, due to the pH decrease from 7.2 to 4.1 and dissolution of Fe-oxyhydroxides/carbonates, as indicated by the decrease of Fe-P and Ca-P determined by P-K-edge-XANES. At E-H &gt; 200 mV, P immobilized due to the strong P binding with Fe3+ as suggested by QCC. In the SRD of mid-slope-soil, P immobilized with decreasing E-H, due to pH increase and P retention by aromatic carbon and/or precipitation by carbonates, as supported by increase of organic-P and Ca-P. These findings help for management of P in arable soils.</t>
  </si>
  <si>
    <t>[Shaheen, Sabry M.; Wang, Jianxu; Rinklebe, Joerg] Univ Wuppertal, Sch Architecture &amp; Civil Engn, Inst Fdn Engn Water &amp; Waste Management, Lab Soil &amp; Groundwater Management, Pauluskirchstr 7, D-42285 Wuppertal, Germany; [Shaheen, Sabry M.] King Abdulaziz Univ, Fac Meteorol Environm &amp; Arid Land Agr, Dept Arid Land Agr, Jeddah 21589, Saudi Arabia; [Shaheen, Sabry M.] Univ Kafrelsheikh, Fac Agr, Dept Soil &amp; Water Sci, Kafr Al Sheikh 33516, Egypt; [Wang, Jianxu] Chinese Acad Sci, Inst Geochem, State Key Lab Environm Geochem, Guiyang 550082, Peoples R China; [Baumann, Karen; Leinweber, Peter] Univ Rostock, Fac Agr &amp; Environm Sci, Soil Sci, Justus von Liebig Weg 6, D-18051 Rostock, Germany; [Ahmed, Ashour A.; Kuehn, Oliver] Univ Rostock, Inst Phys, Albert Einstein Str 23-24, D-18059 Rostock, Germany; [Ahmed, Ashour A.; Kuehn, Oliver; Leinweber, Peter] Univ Rostock, Dept Life Light &amp; Matter LLM, Albert Einstein Str 25, D-18059 Rostock, Germany; [Hsu, Liang-Ching; Liu, Yu-Ting] Natl Chung Hsing Univ, Dept Soil &amp; Environm Sci, 145 Xingda Rd, Taichung 402, Taiwan; [Liu, Yu-Ting] Natl Chung Hsing Univ, Innovat &amp; Dev Ctr Sustainable Agr, 145 Xingda Rd, Taichung 402, Taiwan; [Wang, Shan-Li] Natl Taiwan Univ, Dept Agr Chem, 1 Sect 4,Roosevelt Rd, Taipei 10617, Taiwan; [Rinklebe, Joerg] Univ Sejong, Dept Environm Energy &amp; Geoinformat, Seoul 05006, South Korea</t>
  </si>
  <si>
    <t>Rinklebe, J (corresponding author), Univ Wuppertal, Sch Architecture &amp; Civil Engn, Inst Fdn Engn Water &amp; Waste Management, Lab Soil &amp; Groundwater Management, Pauluskirchstr 7, D-42285 Wuppertal, Germany.</t>
  </si>
  <si>
    <t>shaheen@uni-wuppertal.de; rinklebe@uni-wuppertal.de</t>
  </si>
  <si>
    <t>German Federal Ministry of Education and Research (BMBF) [521 031B0509A]</t>
  </si>
  <si>
    <t>We thank the German Federal Ministry of Education and Research (BMBF) who funded the InnoSoilPhos-project (http:// www.innosoilph os.de/default.aspx) , in the frame of the BonaRes-program (No. 521 031B0509A) . Also, we thank the team of Laboratory of Soil-andGroundwater-Management at Wuppertal University for the technical support.</t>
  </si>
  <si>
    <t>0045-6535</t>
  </si>
  <si>
    <t>1879-1298</t>
  </si>
  <si>
    <t>Chemosphere</t>
  </si>
  <si>
    <t>10.1016/j.chemosphere.2021.132652</t>
  </si>
  <si>
    <t>XU3EV</t>
  </si>
  <si>
    <t>WOS:000734153600007</t>
  </si>
  <si>
    <t>Yang, J; Xu, YC; Wang, JH; Gao, SJ; Huang, YS; Hung, FY; Li, T; Li, Q; Yue, L; Wu, KQ; Yang, SG</t>
  </si>
  <si>
    <t>Yang, Jie; Xu, Yingchao; Wang, Jianhao; Gao, Sujuan; Huang, Yisui; Hung, Fu-Yu; Li, Tao; Li, Qing; Yue, Lin; Wu, Keqiang; Yang, Songguang</t>
  </si>
  <si>
    <t>The chromatin remodelling ATPase BRAHMA interacts with GATA-family transcription factor GNC to regulate flowering time in Arabidopsis</t>
  </si>
  <si>
    <t>JOURNAL OF EXPERIMENTAL BOTANY</t>
  </si>
  <si>
    <t>BRAHMA (BRM); chromatin remodelling; flowering time; GNC (GATA; NITRATE-INDUCIBLE; CARBON METABOLISM INVOLVED); SUPPRESSOR OF OVEREXPRESSION OF CONSTANS 1 (SOC1)</t>
  </si>
  <si>
    <t>LLM-DOMAIN; GENE SOC1; DNA; REPRESSION; CYTOKININ; COMPLEXES; TRANSFORMATION; DOWNSTREAM; EXPRESSION; MATURATION</t>
  </si>
  <si>
    <t>BRAHMA (BRM) is the ATPase of the SWItch/Sucrose Non-Fermentable (SWI/SNF) chromatin remodelling complex, which is indispensable for transcriptional inhibition and activation, associated with vegetative and reproductive development in Arabidopsis thaliana. Here, we show that BRM directly binds to the chromatin of SUPPRESSOR OF OVEREXPRESSION OF CONSTANS 1 (SOC1), which integrates multiple flowering signals to regulate floral transition, leading to flowering. In addition, genetic and molecular analysis showed that BRM interacts with GNC (GATA, NITRATE-INDUCIBLE, CARBON METABOLISM INVOLVED), a GATA transcription factor that represses flowering by directly repressing SOC1 expression. Furthermore, BRM is recruited by GNC to directly bind to the chromatin of SOC1. The transcript level of SOC1 is elevated in brm-3, gnc, and brm-3/gnc mutants, which is associated with increased histone H3 lysine 4 tri-methylation (H3K4Me3) but decreased DNA methylation. Taken together, our results indicate that BRM associates with GNC to regulate SOC1 expression and flowering time. The chromatin remodelling ATPase BRAHMA associates with the GATA-family transcription factor GNC to directly repress SOC1expression by decreasing H3K4Me3 and increasing DNA methylation at the SOC1locus during flowering.</t>
  </si>
  <si>
    <t>[Yang, Jie; Xu, Yingchao; Huang, Yisui; Yang, Songguang] Chinese Acad Sci, Key Lab South China Agr Plant Mol Anal &amp; Genet Im, Guangdong Prov Key Lab Appl Bot, South China Bot Garden, Guangzhou 510650, Peoples R China; [Xu, Yingchao] Chinese Acad Sci, Univ Chinese Acad Sci, Beijing 100049, Peoples R China; [Wang, Jianhao; Yue, Lin] Guangzhou Univ, Innovat Ctr Mol Genet &amp; Evolut, Sch Life Sci, Guangzhou, Peoples R China; [Gao, Sujuan] Zhongkai Univ Agr &amp; Engn, Coll Light Ind &amp; Food Sci, Guangzhou 510225, Peoples R China; [Gao, Sujuan] Zhongkai Univ Agr &amp; Engn, Acad Contemporary Agr Engn Innovat, Guangzhou 510225, Peoples R China; [Hung, Fu-Yu; Wu, Keqiang] Natl Taiwan Univ, Inst Plant Biol, Taipei 106, Taiwan; [Li, Tao; Yang, Songguang] Guangdong Acad Agr Sci, Vegetable Res Inst, Guangzhou, Peoples R China; [Li, Qing] Guangdong Acad Agr Sci, Agrobiol Gene Res Ctr, Guangdong Prov Key Lab Crop Germplasm Resources P, Guangzhou, Peoples R China</t>
  </si>
  <si>
    <t>Chinese Academy of Sciences; South China Botanical Garden, CAS; Chinese Academy of Sciences; University of Chinese Academy of Sciences, CAS; Guangzhou University; Zhongkai University of Agriculture &amp; Engineering; Zhongkai University of Agriculture &amp; Engineering; National Taiwan University; Guangdong Academy of Agricultural Sciences; Guangdong Academy of Agricultural Sciences</t>
  </si>
  <si>
    <t>Yang, SG (corresponding author), Chinese Acad Sci, Key Lab South China Agr Plant Mol Anal &amp; Genet Im, Guangdong Prov Key Lab Appl Bot, South China Bot Garden, Guangzhou 510650, Peoples R China.;Wu, KQ (corresponding author), Natl Taiwan Univ, Inst Plant Biol, Taipei 106, Taiwan.;Yang, SG (corresponding author), Guangdong Acad Agr Sci, Vegetable Res Inst, Guangzhou, Peoples R China.</t>
  </si>
  <si>
    <t>kewu@ntu.edu.tw; yangsongguang@scbg.ac.cn</t>
  </si>
  <si>
    <t>Key-Area Research and Development Program of Guangdong Province [2019B020238003, 2020B020220001]; Open Research Fund of Guangdong Key Laboratory for New Technology Research of Vegetables [202001]; Guang dong Academy of Agricultural Sciences [R2021YJ-QG001]; National Natural Science Foundation of China [31672161, 31901567]; Foundation Project of President of Guangdong Academy of Agricultural Sciences [202021]; Ministry of Science and Technology of Taiwan [108-2311-B-002-013-MY3, 109-2311-B-002-027]; National Taiwan University [NTU-CC-110L893601]</t>
  </si>
  <si>
    <t>Key-Area Research and Development Program of Guangdong Province; Open Research Fund of Guangdong Key Laboratory for New Technology Research of Vegetables; Guang dong Academy of Agricultural Sciences; National Natural Science Foundation of China(National Natural Science Foundation of China (NSFC)); Foundation Project of President of Guangdong Academy of Agricultural Sciences; Ministry of Science and Technology of Taiwan(Ministry of Science and Technology, Taiwan); National Taiwan University(National Taiwan University)</t>
  </si>
  <si>
    <t>This work was supported by Key-Area Research and Development Program of Guangdong Province (2019B020238003, 2020B020220001); the Open Research Fund of Guangdong Key Laboratory for New Technology Research of Vegetables (202001); Guang dong Academy of Agricultural Sciences (R2021YJ-QG001); the National Natural Science Foundation of China (No. 31672161, No.31901567); Foundation Project of President of Guangdong Academy of Agricultural Sciences (No.202021). This work was also supported by the Ministry of Science and Technology of Taiwan (108-2311-B-002-013-MY3 and 109-2311-B-002-027) and National Taiwan University (NTU-CC-110L893601).</t>
  </si>
  <si>
    <t>0022-0957</t>
  </si>
  <si>
    <t>1460-2431</t>
  </si>
  <si>
    <t>J EXP BOT</t>
  </si>
  <si>
    <t>J. Exp. Bot.</t>
  </si>
  <si>
    <t>10.1093/jxb/erab430</t>
  </si>
  <si>
    <t>ZI3EF</t>
  </si>
  <si>
    <t>WOS:000761507000015</t>
  </si>
  <si>
    <t>Stolbova, E; Baldan, F</t>
  </si>
  <si>
    <t>Stolbova, Ekaterina; Baldan, Federica</t>
  </si>
  <si>
    <t>Abstract ideas and patent-eligible subject matter in the US patent system: who can provide guidance in this uncertain legal landscape?</t>
  </si>
  <si>
    <t>JOURNAL OF INTELLECTUAL PROPERTY LAW &amp; PRACTICE</t>
  </si>
  <si>
    <t>LAW</t>
  </si>
  <si>
    <t>[Stolbova, Ekaterina] Katholieke Univ Leuven, Intellectual Property &amp; ICT Law, Leuven, Belgium; [Baldan, Federica] Univ Antwerp, Res Grp Govt &amp; Law, Antwerp, Belgium</t>
  </si>
  <si>
    <t>KU Leuven; University of Antwerp</t>
  </si>
  <si>
    <t>Stolbova, E (corresponding author), Katholieke Univ Leuven, Intellectual Property &amp; ICT Law, Leuven, Belgium.</t>
  </si>
  <si>
    <t>ek.stolbova@gmail.com</t>
  </si>
  <si>
    <t>University of Antwerp, Research Group Government and Law [1257321N]</t>
  </si>
  <si>
    <t>University of Antwerp, Research Group Government and Law</t>
  </si>
  <si>
    <t>Ekaterina Stolbova is an LLM candidate in Intellectual Property and ICT law at KU Leuven. Federica Baldan is FWO Postdoctoral Researcher (fellowship number 1257321N) at the University of Antwerp, Research Group Government and Law.</t>
  </si>
  <si>
    <t>1747-1532</t>
  </si>
  <si>
    <t>1747-1540</t>
  </si>
  <si>
    <t>J INTELLET PROP LAW</t>
  </si>
  <si>
    <t>J. Intellect. Prop. Law Pract.</t>
  </si>
  <si>
    <t>10.1093/jiplp/jpab128</t>
  </si>
  <si>
    <t>YI1HN</t>
  </si>
  <si>
    <t>WOS:000743607200011</t>
  </si>
  <si>
    <t>Song, MA; Seffernick, AE; Archer, KJ; Mori, KM; Park, SY; Chang, L; Ernst, T; Tiirikainen, M; Peplowska, K; Wilkens, LR; Le Marchand, L; Lim, U</t>
  </si>
  <si>
    <t>Song, Min-Ae; Seffernick, Anna Eames; Archer, Kellie J.; Mori, Kellie M.; Park, Song-Yi; Chang, Linda; Ernst, Thomas; Tiirikainen, Maarit; Peplowska, Karolina; Wilkens, Lynne R.; Le Marchand, Loic; Lim, Unhee</t>
  </si>
  <si>
    <t>Race/ethnicity-associated blood DNA methylation differences between Japanese and European American women: an exploratory study</t>
  </si>
  <si>
    <t>CLINICAL EPIGENETICS</t>
  </si>
  <si>
    <t>OBESITY; NORMALIZATION; PREVALENCE; EXPRESSION; PACKAGE; PNPLA3; LIVER; GENE</t>
  </si>
  <si>
    <t>Background: Racial/ethnic disparities in health reflect a combination of genetic and environmental causes, and DNA methylation may be an important mediator. We compared in an exploratory manner the blood DNA methylome of Japanese Americans (JPA) versus European Americans (EUA). Methods: Genome-wide buffy coat DNA methylation was profiled among healthy Multiethnic Cohort participant women who were Japanese (JPA; n = 30) or European (EUA; n = 28) Americans aged 60-65. Differentially methylated CpGs by race/ethnicity (DM-CpGs) were identified by linear regression (Bonferroni-corrected P &lt; 0.1) and analyzed in relation to corresponding gene expression, a priori selected single nucleotide polymorphisms (SNPs), and blood biomarkers of inflammation and metabolism using Pearson or Spearman correlations (FDR &lt; 0.1). Results: We identified 174 DM-CpGs with the majority of hypermethylated in JPA compared to EUA (n = 133), often in promoter regions (n = 48). Half (51%) of the genes corresponding to the DM-CpGs were involved in liver function and liver disease, and the methylation in nine genes was significantly correlated with gene expression for DM-CpGs. A total of 156 DM-CpGs were associated with rs7489665 (SH2B1). Methylation of DM-CpGs was correlated with blood levels of the cytokine MIP1B (n = 146). We confirmed some of the DM-CpGs in the TCGA adjacent non-tumor liver tissue of Asians versus EUA. Conclusion: We found a number of differentially methylated CpGs in blood DNA between JPA and EUA women with a potential link to liver disease, specific SNPs, and systemic inflammation. These findings may support further research on the role of DNA methylation in mediating some of the higher risk of liver disease among JPA.</t>
  </si>
  <si>
    <t>[Song, Min-Ae; Mori, Kellie M.] Ohio State Univ, Div Environm Hlth Sci, Coll Publ Hlth, 404 Cunz Hall,1841 Neil Ave, Columbus, OH 43210 USA; [Seffernick, Anna Eames; Archer, Kellie J.] Ohio State Univ, Div Biostat, Coll Publ Hlth, Columbus, OH 43210 USA; [Park, Song-Yi; Tiirikainen, Maarit; Wilkens, Lynne R.; Le Marchand, Loic; Lim, Unhee] Univ Hawaii, Univ Hawaii Canc Ctr, Populat Sci Pacif Program, Honolulu, HI USA; [Chang, Linda; Ernst, Thomas] Univ Maryland, Sch Med, Baltimore, MD 21201 USA; [Peplowska, Karolina] Univ Hawaii, Univ Hawaii Canc Ctr, Genom &amp; Bioinformat Shared Resources, Honolulu, HI USA</t>
  </si>
  <si>
    <t>University System of Ohio; Ohio State University; University System of Ohio; Ohio State University; University of Hawaii System; Cancer Research Center of Hawaii; University System of Maryland; University of Maryland Baltimore; University of Hawaii System; Cancer Research Center of Hawaii</t>
  </si>
  <si>
    <t>Song, MA (corresponding author), Ohio State Univ, Div Environm Hlth Sci, Coll Publ Hlth, 404 Cunz Hall,1841 Neil Ave, Columbus, OH 43210 USA.</t>
  </si>
  <si>
    <t>Song.991@osu.edu</t>
  </si>
  <si>
    <t>U.S. National Cancer Institute (NCI) [P30 CA071789, P01 CA168530]; OSU College of Public Health; OSUCCC; U.S. National Institutes of Health (NIH) [3U01CA164973-09S1]</t>
  </si>
  <si>
    <t>U.S. National Cancer Institute (NCI)(United States Department of Health &amp; Human ServicesNational Institutes of Health (NIH) - USANIH National Cancer Institute (NCI)); OSU College of Public Health; OSUCCC; U.S. National Institutes of Health (NIH)(United States Department of Health &amp; Human ServicesNational Institutes of Health (NIH) - USA)</t>
  </si>
  <si>
    <t>This work was supported by the U.S. National Cancer Institute (NCI) for the University of Hawaii Cancer Center (P30 CA071789; MT, LRW, LLM, and UL) and NCI Program Project Grant (P01 CA168530; LLM, UL, LRW, MT), a research startup fund (MAS) provided by OSU College of Public Health, a research start-up fund (KJA) from OSUCCC, and a U.S. National Institutes of Health (NIH) Grant (3U01CA164973-09S1; MAS, KJA, UL, LLM, LRW).</t>
  </si>
  <si>
    <t>1868-7075</t>
  </si>
  <si>
    <t>1868-7083</t>
  </si>
  <si>
    <t>CLIN EPIGENETICS</t>
  </si>
  <si>
    <t>Clin. Epigenetics</t>
  </si>
  <si>
    <t>10.1186/s13148-021-01171-w</t>
  </si>
  <si>
    <t>Oncology; Genetics &amp; Heredity</t>
  </si>
  <si>
    <t>WF2GF</t>
  </si>
  <si>
    <t>WOS:000706128700002</t>
  </si>
  <si>
    <t>Wang, M; Gauthier, AG; Kennedy, TP; Wang, HC; Velagapudi, UK; Talele, TT; Lin, MS; Wu, JQ; Daley, L; Yang, XJ; Patel, V; Mun, SS; Ashby, CR; Mantell, LL</t>
  </si>
  <si>
    <t>Wang, Mao; Gauthier, Alex G.; Kennedy, Thomas P.; Wang, Haichao; Velagapudi, Uday Kiran; Talele, Tanaji T.; Lin, Mosi; Wu, Jiaqi; Daley, LeeAnne; Yang, Xiaojing; Patel, Vivek; Mun, Sung Soo; Ashby, Charles R.; Mantell, Lin L.</t>
  </si>
  <si>
    <t>2-O, 3-O desulfated heparin (ODSH) increases bacterial clearance and attenuates lung injury in cystic fibrosis by restoring HMGB1-compromised macrophage function</t>
  </si>
  <si>
    <t>MOLECULAR MEDICINE</t>
  </si>
  <si>
    <t>Cystic fibrosis; Pulmonary infection; HMGB1; Macrophage functions; Phagocytosis; ODSH; NO</t>
  </si>
  <si>
    <t>COMMUNITY-ACQUIRED PNEUMONIA; PSEUDOMONAS-AERUGINOSA; NITRIC-OXIDE; EPITHELIAL-CELLS; INFLAMMATORY RESPONSE; MOUSE MODEL; HMGB1; INFECTION; PHAGOCYTOSIS; EXPRESSION</t>
  </si>
  <si>
    <t>Background: High mobility group box 1 protein (HMGB1) is an alarmin following its release by immune cells upon cellular activation or stress. High levels of extracellular HMGB1 play a critical role in impairing the clearance of invading pulmonary pathogens and dying neutrophils in the injured lungs of cystic fibrosis (CF) and acute respiratory distress syndrome (ARDS). A heparin derivative, 2-O, 3-O desulfated heparin (ODSH), has been shown to inhibit HMGB1 release from a macrophage cell line and is efficacious in increasing bacterial clearance in a mouse model of pneumonia. Thus, we hypothesized that ODSH can attenuate the bacterial burden and inflammatory lung injury in CF and we conducted experiments to determine the underlying mechanisms. Methods: We determined the effects of ODSH on lung injury produced by Pseudomonas aeruginosa (PA) infection in CF mice with the transmembrane conductance regulator gene knockout (CFTR-/-). Mice were given ODSH or normal saline intraperitoneally, followed by the determination of the bacterial load and lung injury in the airways and lung tissues. ODSH binding to HMGB1 was determined using surface plasmon resonance and in silico docking analysis of the interaction of the pentasaccharide form of ODSH with HMGB1. Results: CF mice given 25 mg/kg i.p. of ODSH had significantly lower PA-induced lung injury compared to mice given vehicle alone. The CF mice infected with PA had decreased levels of nitric oxide (NO), increased levels of airway HMGB1 and HMGB1-impaired macrophage phagocytic function. ODSH partially attenuated the PA-induced alteration in the levels of NO and airway HMGB1 in CF mice. In addition, ODSH reversed HMGB1-impaired macrophage phagocytic function. These effects of ODSH subsequently decreased the bacterial burden in the CF lungs. In a surface plasmon resonance assay, ODSH interacted with HMGB1 with high affinity (K-D = 3.89 x 10(-8) M) and induced conformational changes that may decrease HMGB1's binding to its membrane receptors, thus attenuating HMGB1-induced macrophage dysfunction. Conclusions: The results suggest that ODSH can significantly decrease bacterial infection-induced lung injury in CF mice by decreasing both HMGB1-mediated impairment of macrophage function and the interaction of HMGB1 with membrane receptors. Thus, ODSH could represent a novel approach for treating CF and ARDS patients that have HMGB1-mediated lung injury.</t>
  </si>
  <si>
    <t>[Wang, Mao; Gauthier, Alex G.; Velagapudi, Uday Kiran; Talele, Tanaji T.; Lin, Mosi; Wu, Jiaqi; Daley, LeeAnne; Yang, Xiaojing; Patel, Vivek; Mun, Sung Soo; Ashby, Charles R.; Mantell, Lin L.] St Johns Univ, Coll Pharm &amp; Hlth Sci, Dept Pharmaceut Sci, Queens, NY 11439 USA; [Kennedy, Thomas P.] Wake Forest Univ, Bowman Gray Sch Med, Winston Salem, NC USA; [Wang, Haichao; Mantell, Lin L.] Northwell Hlth Syst, Feinstein Inst Med Res, Manhasset, NY USA</t>
  </si>
  <si>
    <t>Saint John's University; Wake Forest University; Wake Forest Baptist Medical Center; Northwell Health</t>
  </si>
  <si>
    <t>Mantell, LL (corresponding author), St Johns Univ, Coll Pharm &amp; Hlth Sci, Dept Pharmaceut Sci, Queens, NY 11439 USA.</t>
  </si>
  <si>
    <t>Patel, Vivek/0000-0001-8583-1548; Mun, Sung Soo/0000-0002-3735-6057</t>
  </si>
  <si>
    <t>National Heart and Blood Institute [HL093708]; St. John's University</t>
  </si>
  <si>
    <t>National Heart and Blood Institute(United States Department of Health &amp; Human ServicesNational Institutes of Health (NIH) - USANIH National Heart Lung &amp; Blood Institute (NHLBI)); St. John's University</t>
  </si>
  <si>
    <t>This work was supported by grants (LLM) from National Heart and Blood Institute (HL093708) and St. John's University.</t>
  </si>
  <si>
    <t>1076-1551</t>
  </si>
  <si>
    <t>1528-3658</t>
  </si>
  <si>
    <t>MOL MED</t>
  </si>
  <si>
    <t>Mol. Med.</t>
  </si>
  <si>
    <t>10.1186/s10020-021-00334-y</t>
  </si>
  <si>
    <t>Biochemistry &amp; Molecular Biology; Cell Biology; Medicine, Research &amp; Experimental</t>
  </si>
  <si>
    <t>Biochemistry &amp; Molecular Biology; Cell Biology; Research &amp; Experimental Medicine</t>
  </si>
  <si>
    <t>TK3RK</t>
  </si>
  <si>
    <t>WOS:000674079600001</t>
  </si>
  <si>
    <t>Wu, F; Xu, LL; Tu, YL; Cheung, OKW; Szeto, LLM; Mok, MTS; Yang, WQ; Kang, W; Cao, Q; Lai, PBS; Chan, SL; Tan, P; Sung, JJY; Yip, KY; Cheng, ASL; To, KF</t>
  </si>
  <si>
    <t>Wu, Feng; Xu, Liangliang; Tu, Yalin; Cheung, Otto K. W.; Szeto, Lemuel L. M.; Mok, Myth T. S.; Yang, Weiqin; Kang, Wei; Cao, Qin; Lai, Paul B. S.; Chan, Stephen L.; Tan, Patrick; Sung, Joseph J. Y.; Yip, Kevin Y.; Cheng, Alfred S. L.; To, Ka F.</t>
  </si>
  <si>
    <t>Sirtuin 7 super-enhancer drives epigenomic reprogramming in hepatocarcinogenesis</t>
  </si>
  <si>
    <t>CANCER LETTERS</t>
  </si>
  <si>
    <t>Enhancer; Epigenetics; HCC; Histone modifications; Immunoevasion; Metabolism; Sirtuin</t>
  </si>
  <si>
    <t>HEPATOCELLULAR-CARCINOMA; TRANSCRIPTION FACTORS; EXPRESSION ANALYSIS; DEACETYLASE SIRT6; PREDICT PROGNOSIS; TUMOR-SUPPRESSOR; CELL IDENTITY; CANCER; ACTIVATION; PATTERNS</t>
  </si>
  <si>
    <t>Hepatocellular carcinoma (HCC) is a major cancer burden worldwide with increasing incidence in many developed countries. Super-enhancers (SEs) drive gene expressions required for cell type-specificity and tumor cell identity. However, their roles in HCC remain unclear because of data scarcity from primary tumors. Herein, chromatin profiling of non-alcoholic fatty liver disease (NAFLD)-associated HCCs and matched liver tissues uncovered an average of similar to 500 somatically-acquired SEs per patient. The identified SE-target genes were functionally enriched for aberrant metabolism and cancer phenotypes, especially chromatin regulators including deacetylases and Polycomb repressive complexes. Notably, all examined tumors exhibited SE activation of Sirtuin 7 (SIRT7), genome-wide promoter H3K18 deacetylation and concurrent H3K27me3, as well as tumor-suppressor gene silencing. Depletion of SIRT7 SE in hepatoma cells induced global H3K18 acetylation and reactivated key metabolic and immune regulators, leading to marked suppression of tumorigenicity in vitro and in vivo. In concordance, SIRT7 physically interacted with the methyltransferase EZH2, and they were co-expressed in primary HCCs. In summary, our integrative analysis establishes a compendium of SEs in NAFLD-associated HCCs and uncovers SIRT7-driven chromatin regulatory network as potential druggable vulnerability of this increasingly prevalent cancer.</t>
  </si>
  <si>
    <t>[Wu, Feng; Kang, Wei; To, Ka F.] Chinese Univ Hong Kong, Dept Anat &amp; Cellular Pathol, Hong Kong, Peoples R China; [Xu, Liangliang; Tu, Yalin; Cheung, Otto K. W.; Szeto, Lemuel L. M.; Mok, Myth T. S.; Yang, Weiqin; Cao, Qin; Cheng, Alfred S. L.] Chinese Univ Hong Kong, Sch Biomed Sci, Hong Kong, Peoples R China; [Lai, Paul B. S.] Chinese Univ Hong Kong, Dept Surg, Hong Kong, Peoples R China; [Chan, Stephen L.] Chinese Univ Hong Kong, Dept Clin Oncol, Hong Kong, Peoples R China; [Chan, Stephen L.] Chinese Univ Hong Kong, Key Lab Translat Oncol, Hong Kong, Peoples R China; [Tan, Patrick] Duke NUS Med Sch, Program Canc &amp; Stem Cell Biol, Singapore, Singapore; [Sung, Joseph J. Y.] Nanyang Technol Univ, Lee Kong Chian Sch Med, Room 406, Singapore, Singapore; [Sung, Joseph J. Y.] Sun Yat Sen Univ, Inst Precis Med, Affiliated Hosp 1, Guangzhou, Peoples R China; [Yip, Kevin Y.] Chinese Univ Hong Kong, Dept Comp Sci &amp; Engn, Hong Kong, Peoples R China</t>
  </si>
  <si>
    <t>Chinese University of Hong Kong; Chinese University of Hong Kong; Chinese University of Hong Kong; Chinese University of Hong Kong; Chinese University of Hong Kong; National University of Singapore; Nanyang Technological University; Sun Yat Sen University; Chinese University of Hong Kong</t>
  </si>
  <si>
    <t>Yip, KY (corresponding author), Chinese Univ Hong Kong, Room 406, Hong Kong, Peoples R China.;Cheng, ASL (corresponding author), Chinese Univ Hong Kong, Room 1006,Ho Sin Hang Engn Bldg, Hong Kong, Peoples R China.;To, KF (corresponding author), Prince Wales Hosp, Rm 38060A,Lui Che Woo Clin Sci Bldg, Hong Kong, Peoples R China.</t>
  </si>
  <si>
    <t>kevinyip@cse.cuhk.edu.hk; alfredcheng@cuhk.edu.hk; kfto@cuhk.edu.hk</t>
  </si>
  <si>
    <t>University Grants Committee [C4045-18W, 14115820]; Terry Fox Foundation; Li Ka Shing Foundation; Hong Kong Epigenomics Project (EpiHK); Chinese University of Hong Kong Young Researcher Award; Project Impact Enhancement Fund</t>
  </si>
  <si>
    <t>University Grants Committee; Terry Fox Foundation; Li Ka Shing Foundation; Hong Kong Epigenomics Project (EpiHK); Chinese University of Hong Kong Young Researcher Award; Project Impact Enhancement Fund</t>
  </si>
  <si>
    <t>This project is supported by the University Grants Committee through the Collaborative Research Fund (C4045-18W) and General Research Fund (14115820) , the Terry Fox Foundation and the Li Ka Shing Foundation. KYY and ASLC are additionally supported by the Hong Kong Epigenomics Project (EpiHK) and the Chinese University of Hong Kong Young Researcher Award. KYY is further supported by Outstanding Fellowship and Project Impact Enhancement Fund.</t>
  </si>
  <si>
    <t>ELSEVIER IRELAND LTD</t>
  </si>
  <si>
    <t>CLARE</t>
  </si>
  <si>
    <t>ELSEVIER HOUSE, BROOKVALE PLAZA, EAST PARK SHANNON, CO, CLARE, 00000, IRELAND</t>
  </si>
  <si>
    <t>0304-3835</t>
  </si>
  <si>
    <t>1872-7980</t>
  </si>
  <si>
    <t>CANCER LETT</t>
  </si>
  <si>
    <t>Cancer Lett.</t>
  </si>
  <si>
    <t>10.1016/j.canlet.2021.10.039</t>
  </si>
  <si>
    <t>NOV 2021</t>
  </si>
  <si>
    <t>XA2FY</t>
  </si>
  <si>
    <t>WOS:000720470900006</t>
  </si>
  <si>
    <t>Kaenkumchorn, TK; Merritt, MA; Lim, U; Le Marchand, L; Boushey, CJ; Shepherd, JA; Wilkens, LR; Ernst, T; Lampe, JW</t>
  </si>
  <si>
    <t>Kaenkumchorn, Tanyaporn K.; Merritt, Melissa A.; Lim, Unhee; Le Marchand, Loic; Boushey, Carol J.; Shepherd, John A.; Wilkens, Lynne R.; Ernst, Thomas; Lampe, Johanna W.</t>
  </si>
  <si>
    <t>Diet and Liver Adiposity in Older Adults: The Multiethnic Cohort Adiposity Phenotype Study</t>
  </si>
  <si>
    <t>JOURNAL OF NUTRITION</t>
  </si>
  <si>
    <t>liver; liver fat; nonalcoholic fatty liver disease; diet; nutrients</t>
  </si>
  <si>
    <t>FATTY LIVER; DISEASE; POPULATION; PREVALENCE; NAFLD; RISK; ASSOCIATION; STEATOSIS; CAFFEINE; HAWAII</t>
  </si>
  <si>
    <t>Background: Diet plays a key role in the pathogenesis of nonalcoholic fatty liver disease. Limited data exist regarding specific nutrients and food groups and liver fat continuously, particularly among different ethnicities. Objectives: We aimed to determine the relationship between usual dietary intake and accurately measured liver fat content in a multiethnic population. Methods: Participants from the Multiethnic Cohort were recruited into the cross-sectional Adiposity Phenotype Study including women and men aged 60-77 y and 5 race/ethnic groups (African American, Japanese American, Latino, Native Hawaiian, and white). They filled out a detailed FFQ and underwent abdominal MRI for liver fat quantification and whole-body DXA for total adiposity. Intake of a priori-selected dietary factors (total and macronutrient energy, specific micronutrients, and food groups) was analyzed in relation to liver fat by estimating the mean percentage liver fat for quartiles of each dietary factor in a general linear model that adjusted for age, sex, race/ethnicity, percentage body fat, and daily energy intake (kcal/d). Results: In total, 1682 participants (mean age: 69.2 y; 51% female) were included. Mean +/- SD liver fat percentage was 5.7 +/- 4.6. A significant positive association with liver fat was found across quartiles of percentage energy from fat, saturated fat, cholesterol, total red meat, red meat excluding processed red meat, and coffee (Bonferroni-adjusted P-trend &lt; 0.05). A significant inverse association was observed for dietary fiber, vitamin C, and vitamin E (Bonferroni-adjusted P-trend &lt; 0.05). Conclusions: This study of ethnically diverse older adults shows that certain dietary factors, in particular red meat and saturated fat from red meat, were strongly associated with liver fat, whereas dietary fiber was inversely associated with liver fat, replicating some of the previous studies conducted mostly in whites.</t>
  </si>
  <si>
    <t>[Kaenkumchorn, Tanyaporn K.] Seattle Childrens Hosp, Dept Pediat, Div Pediat Gastroenterol Hepatol &amp; Nutr, Seattle, WA 98105 USA; [Merritt, Melissa A.; Lim, Unhee; Le Marchand, Loic; Boushey, Carol J.; Shepherd, John A.; Wilkens, Lynne R.] Univ Hawaii, Canc Ctr, Canc Epidemiol Program, Honolulu, HI 96822 USA; [Ernst, Thomas] Univ Maryland, Sch Med, Dept Diagnost Radiol &amp; Nucl Med, Baltimore, MD 21201 USA; [Lampe, Johanna W.] Fred Hutchinson Canc Res Ctr, Div Publ Hlth Sci, 1124 Columbia St, Seattle, WA 98104 USA</t>
  </si>
  <si>
    <t>Kaenkumchorn, TK (corresponding author), Seattle Childrens Hosp, Dept Pediat, Div Pediat Gastroenterol Hepatol &amp; Nutr, Seattle, WA 98105 USA.</t>
  </si>
  <si>
    <t>tkaenkumchorn@chla.usc.edu</t>
  </si>
  <si>
    <t>National Institutes of Health (NIH) National Cancer Institute (NCI) [P01 CA168530]; NIH [U01 CA164973]; NCI [P30 CA0717890]; NIH National Center for Advancing Translational Sciences [UL1 TR000130]</t>
  </si>
  <si>
    <t>National Institutes of Health (NIH) National Cancer Institute (NCI)(United States Department of Health &amp; Human ServicesNational Institutes of Health (NIH) - USANIH National Cancer Institute (NCI)); NIH(United States Department of Health &amp; Human ServicesNational Institutes of Health (NIH) - USA); NCI(United States Department of Health &amp; Human ServicesNational Institutes of Health (NIH) - USANIH National Cancer Institute (NCI)); NIH National Center for Advancing Translational Sciences</t>
  </si>
  <si>
    <t>The Adiposity Phenotype Study was funded by National Institutes of Health (NIH) National Cancer Institute (NCI) grant P01 CA168530 (to LLM). The Multiethnic Cohort Study was funded by NIH grant U01 CA164973 (to LLM and LRW). The University of Hawaii Cancer Center Shared Resources (Analytical Biochemistry, Biostatistics, and Nutrition Support) were supported in part by NCI grant P30 CA0717890. Recruitment activities at the University of Southern Californiawere supported in part by NIH National Center for Advancing Translational Sciences grant UL1 TR000130 to the Southern California Clinical and Translational Science Institute.</t>
  </si>
  <si>
    <t>0022-3166</t>
  </si>
  <si>
    <t>1541-6100</t>
  </si>
  <si>
    <t>J NUTR</t>
  </si>
  <si>
    <t>J. Nutr.</t>
  </si>
  <si>
    <t>10.1093/jn/nxab300</t>
  </si>
  <si>
    <t>XQ9MA</t>
  </si>
  <si>
    <t>WOS:000731863600032</t>
  </si>
  <si>
    <t>Li, TM; Fan, JY; Wang, ZR; Qi, HH; Su, Y; Zhao, JJ</t>
  </si>
  <si>
    <t>Li, Tianming; Fan, Junyu; Wang, Zhuoran; Qi, Hanhan; Su, Yan; Zhao, Jijun</t>
  </si>
  <si>
    <t>Compression Behavior and Vibrational Properties of New Energetic Material LLM-105 Analyzed Using the Dispersion-Corrected Density Functional Theory</t>
  </si>
  <si>
    <t>MOLECULES</t>
  </si>
  <si>
    <t>high pressure; vibrational properties; energetic material; anisotropy; uniaxial compression</t>
  </si>
  <si>
    <t>THERMAL-DECOMPOSITION; ELECTRONIC-STRUCTURE; 2,6-DIAMINO-3,5-DINITROPYRAZINE-1-OXIDE; SENSITIVITY; 1ST-PRINCIPLES; MECHANISM; PRESSURE; CRYSTAL</t>
  </si>
  <si>
    <t>The 2,6-diamino-3,5-dinitropyrazine-1-oxide (LLM-105) is a newly energetic material with an excellent performance and low sensitivity and has attracted considerable attention. On the basis of the dispersion-corrected density functional theory (DFT-D), the high-pressure responses of vibrational properties, in conjunction with structural properties, are used to understand its intermolecular interactions and anisotropic properties under hydrostatic and uniaxial compressions. At ambient and pressure conditions, the DFT-D scheme could reasonably describe the structural parameters of LLM-105. The hydrogen bond network, resembling a parallelogram shape, links two adjacent molecules and contributes to the structure stability under hydrostatic compression. The anisotropy of LLM-105 is pronounced, especially for Raman spectra under uniaxial compression. Specifically, the red-shifts of modes are obtained for [100] and [010] compressions, which are caused by the pressure-induced enhance of the strength of the hydrogen bonds. Importantly, coupling modes and discontinuous Raman shifts are observed along [010] and [001] compressions, which are related to the intramolecular vibrational redistribution and possible structural transformations under uniaxial compressions. Overall, the detailed knowledge of the high-pressure responses of LLM-105 is established from the atomistic level. Uniaxial compression responses provide useful insights for realistic shock conditions.</t>
  </si>
  <si>
    <t>[Li, Tianming; Fan, Junyu] Taiyuan Normal Univ, Dept Phys, Jinzhong 030619, Peoples R China; [Li, Tianming; Fan, Junyu; Wang, Zhuoran; Qi, Hanhan; Su, Yan; Zhao, Jijun] Ion &amp; Elect Beams Dalian Univ Technol, Key Lab Mat Modificat Laser, Minist Educ, Dalian 116024, Peoples R China; [Fan, Junyu] Taiyuan Normal Univ, Inst Computat &amp; Appl Phys, Jinzhong 030619, Peoples R China</t>
  </si>
  <si>
    <t>Taiyuan Normal University; Taiyuan Normal University</t>
  </si>
  <si>
    <t>Fan, JY (corresponding author), Taiyuan Normal Univ, Dept Phys, Jinzhong 030619, Peoples R China.;Fan, JY; Su, Y (corresponding author), Ion &amp; Elect Beams Dalian Univ Technol, Key Lab Mat Modificat Laser, Minist Educ, Dalian 116024, Peoples R China.;Fan, JY (corresponding author), Taiyuan Normal Univ, Inst Computat &amp; Appl Phys, Jinzhong 030619, Peoples R China.</t>
  </si>
  <si>
    <t>litianming21@mails.ucas.ac.cn; fanjunyu@tynu.edu.cn; wangzr@ihep.ac.cn; qhh0818@mail.ustc.edu.cn; su.yan@dlut.edu.cn; zhaojj@dlut.edu.cn</t>
  </si>
  <si>
    <t>Zhao, Jijun/W-3527-2019</t>
  </si>
  <si>
    <t>Zhao, Jijun/0000-0002-3263-7159</t>
  </si>
  <si>
    <t>Science Challenge Program; Fundamental Research Funds for the Central Universities; Scientific and Technological Innovation Programs of Higher Education Institutions in Shanxi</t>
  </si>
  <si>
    <t>Science Challenge Program; Fundamental Research Funds for the Central Universities(Fundamental Research Funds for the Central Universities); Scientific and Technological Innovation Programs of Higher Education Institutions in Shanxi</t>
  </si>
  <si>
    <t>This research was funded by Science Challenge Program (Grant No. TZ2016001), the Fundamental Research Funds for the Central Universities (Grant No. DUT20ZD207), and Scientific and Technological Innovation Programs of Higher Education Institutions in Shanxi (Grant No. 2021L412).</t>
  </si>
  <si>
    <t>1420-3049</t>
  </si>
  <si>
    <t>Molecules</t>
  </si>
  <si>
    <t>10.3390/molecules26226831</t>
  </si>
  <si>
    <t>Biochemistry &amp; Molecular Biology; Chemistry, Multidisciplinary</t>
  </si>
  <si>
    <t>Biochemistry &amp; Molecular Biology; Chemistry</t>
  </si>
  <si>
    <t>XF6DX</t>
  </si>
  <si>
    <t>WOS:000724160700001</t>
  </si>
  <si>
    <t>Lau, EHY; Hui, DSC; Tsang, OTY; Chan, WH; Kwan, MYW; Chiu, SS; Cheng, SMS; Ko, RL; Li, JKC; Chaothai, S; Tsang, CH; Poon, LLM; Peiris, M</t>
  </si>
  <si>
    <t>Lau, Eric H. Y.; Hui, David S. C.; Tsang, Owen T. Y.; Chan, Wai-Hung; Kwan, Mike Y. W.; Chiu, Susan S.; Cheng, Samuel M. S.; Ko, Ronald Lw; Li, John K. C.; Chaothai, Sara; Tsang, Chi H.; Poon, Leo L. M.; Peiris, Malik</t>
  </si>
  <si>
    <t>Long-term persistence of SARS-CoV-2 neutralizing antibody responses after infection and estimates of the duration of protection</t>
  </si>
  <si>
    <t>ECLINICALMEDICINE</t>
  </si>
  <si>
    <t>COVID-19; SARS-CoV-2; Coronavirus; Neutralizing antibody; Kinetics; Protection; Immunity duration</t>
  </si>
  <si>
    <t>REINFECTION</t>
  </si>
  <si>
    <t>Background: The duration of immunity in SARS-CoV-2 infected people remains unclear. Neutralizing antibody responses are the best available correlate of protection against re-infection. Recent studies estimated that the correlate of 50% protection from re-infection was 20% of the mean convalescent neutralizing antibody titre. Methods: We collected sera from a cohort of 124 individuals with RT-PCR confirmed SARS-CoV-2 infections from Prince of Wales Hospital, Princess Margaret Hospital, Queen Elizabeth Hospital and Queen Mary Hospi-tals of the Hospital Authority of Hong Kong, for periods up to 386 days after symptom onset and tested these for antibody to SARS-CoV-2 using 50% virus plaque reduction neutralization tests (PRNT50), surrogate neu-tralization tests and spike receptor binding domain (RBD) binding antibody. Patients were recruited from 21 January 2020 to 16 February 2021 and follow-up samples were collected until 9th March 2021. Findings: Because the rate of antibody waning slows with time, we fitted lines of decay to 115 sera from 62 patients collected beyond 90 days after symptom onset and estimate that PRNT50 antibody will remain detectable for around 1,717 days after symptom onset and that levels conferring 50% protection will be maintained for around 990 days post-symptom onset, in symptomatic patients. This would potentially be affected by emerging virus variants. PRNT titres wane faster in children. There was a high level of correlation between PRNT50 antibody titers and the % of inhibition in surrogate virus neutralization tests. Interpretation: The data suggest that symptomatic COVID-19 disease is followed by relatively long-lived pro-tection from re-infection by antigenically similar viruses. (C) 2021 The Author(s). Published by Elsevier Ltd.</t>
  </si>
  <si>
    <t>[Lau, Eric H. Y.; Cheng, Samuel M. S.; Ko, Ronald Lw; Li, John K. C.; Chaothai, Sara; Tsang, Chi H.; Poon, Leo L. M.; Peiris, Malik] Univ Hong Kong, Sch Publ Hlth, Hong Kong, Peoples R China; [Hui, David S. C.] Chinese Univ Hong Kong, Prince Wales Hosp, Dept Med &amp; Therapeut, Hong Kong, Peoples R China; [Tsang, Owen T. Y.] Hosp Author Hong Kong, Infect Dis Ctr, Princess Margaret Hosp, Hong Kong, Peoples R China; [Chan, Wai-Hung] Hosp Author Hong Kong, Dept Paediat, Queen Elizabeth Hosp, Hong Kong, Peoples R China; [Kwan, Mike Y. W.] Hosp Author Hong Kong, Dept Paediat &amp; Adolescent Med, Princess Margaret Hosp, Hong Kong, Peoples R China; [Chiu, Susan S.] Univ Hong Kong, Dept Paediat &amp; Adolescent Med, Hong Kong, Peoples R China; [Chiu, Susan S.] Hosp Author Hong Kong, Queen Mary Hosp, Hong Kong, Peoples R China; [Poon, Leo L. M.; Peiris, Malik] Univ Hong Kong, HKU Pasteur Res Pole, Hong Kong, Peoples R China</t>
  </si>
  <si>
    <t>University of Hong Kong; Chinese University of Hong Kong; Prince of Wales Hospital; University of Hong Kong; University of Hong Kong; University of Hong Kong</t>
  </si>
  <si>
    <t>Peiris, M (corresponding author), Univ Hong Kong, Sch Publ Hlth, Hong Kong, Peoples R China.</t>
  </si>
  <si>
    <t>Poon, Leo/AAP-6887-2020; Hui, David Shu-Cheong/O-2754-2015; Cheng, samuel M.S./GNH-2164-2022; Lau, Eric HY/C-4487-2009</t>
  </si>
  <si>
    <t>Hui, David Shu-Cheong/0000-0003-4382-2445; Cheng, samuel M.S./0000-0001-7293-2331; Chan, Wai Hung/0000-0002-9256-4799; Lau, Eric HY/0000-0002-6688-9637</t>
  </si>
  <si>
    <t>Health and Medical Research Fund, Commissioned research on Novel Coronavirus Disease (COVID-19) from the Food and Health Bureau [COVID190126, COVID1903003]; Hong Kong SAR Government; University Grants Committee of the Hong Kong Government [T11-712/19-N]</t>
  </si>
  <si>
    <t>Health and Medical Research Fund, Commissioned research on Novel Coronavirus Disease (COVID-19) from the Food and Health Bureau; Hong Kong SAR Government; University Grants Committee of the Hong Kong Government</t>
  </si>
  <si>
    <t>The study was supported by the Health and Medical Research Fund, Commissioned research on Novel Coronavirus Disease (COVID19) (Reference nos COVID190126 and COVID1903003) from the Food and Health Bureau, Hong Kong SAR Government and the Themebased Research Scheme project no. T11-712/19-N, the University Grants Committee of the Hong Kong Government.</t>
  </si>
  <si>
    <t>2589-5370</t>
  </si>
  <si>
    <t>EClinicalMedicine</t>
  </si>
  <si>
    <t>10.1016/j.eclinm.2021.101174</t>
  </si>
  <si>
    <t>OCT 2021</t>
  </si>
  <si>
    <t>XD9SH</t>
  </si>
  <si>
    <t>WOS:000723039100003</t>
  </si>
  <si>
    <t>Shirazi, TN; Self, H; Dawood, K; Welling, LLM; Cárdenas, R; Rosenfield, KA; Bailey, JM; Balasubramanian, R; Delaney, A; Breedlove, SM; Puts, DA</t>
  </si>
  <si>
    <t>Shirazi, Talia N.; Self, Heather; Dawood, Khytam; Welling, Lisa L. M.; Cardenas, Rodrigo; Rosenfield, Kevin A.; Bailey, J. Michael; Balasubramanian, Ravikumar; Delaney, Angela; Breedlove, S. Marc; Puts, David A.</t>
  </si>
  <si>
    <t>Evidence that perinatal ovarian hormones promote women's sexual attraction to men</t>
  </si>
  <si>
    <t>PSYCHONEUROENDOCRINOLOGY</t>
  </si>
  <si>
    <t>Androphilia; Gynephilia; Isolated GnRH deficiency; Sex hormones; Sexual orientation</t>
  </si>
  <si>
    <t>HYPOGONADOTROPIC HYPOGONADISM; CORPUS-CALLOSUM; BRAIN; ORIENTATION; ANDROGEN; DIFFERENTIATION; MASCULINIZATION; TESTOSTERONE; DEFICIENCY; ESTRADIOL</t>
  </si>
  <si>
    <t>Ovarian estrogens may influence the development of the human brain and behavior, but there are few opportunities to test this possibility. Isolated GnRH deficiency (IGD) is a rare endocrine disorder that could provide evidence for the role of estrogens in organizing sexually differentiated phenotypes: Unlike typical development, development in individuals with IGD is characterized by low or absent gonadal hormone production after the first trimester of gestation. Because external genitalia develop in the first trimester, external appearance is nevertheless concordant with gonadal sex in people with IGD. We therefore investigated the effects of gonadal hormones on sexual orientation by comparing participants with IGD (n = 97) to controls (n = 1670). Women with IGD reported lower male-attraction compared with typically developing women. In contrast, no consistent sexuality differences between IGD and typically developing men were evident. Ovarian hormones after the first trimester appear to influence female-typical dimensions of sexual orientation.</t>
  </si>
  <si>
    <t>[Shirazi, Talia N.; Self, Heather; Rosenfield, Kevin A.; Puts, David A.] Penn State Univ, Dept Anthropol, Carpenter Bldg, University Pk, PA 16802 USA; [Dawood, Khytam; Cardenas, Rodrigo] Penn State Univ, Dept Psychol, Moore Bldg, University Pk, PA 16802 USA; [Welling, Lisa L. M.] Oakland Univ, Dept Psychol, 212 Pryale Hall, Rochester, MI 48309 USA; [Bailey, J. Michael] Northwestern Univ, Dept Psychol, Swift Hall 303B, Evanston, IL 60208 USA; [Balasubramanian, Ravikumar] Massachusetts Gen Hosp, Reprod Endocrine Unit, 55 Fruit St, Boston, MA 02114 USA; [Delaney, Angela] NIH, Reprod Physiol &amp; Pathophysiol Grp, 10 Ctr Dr, Bethesda, MD 20814 USA; [Breedlove, S. Marc] Michigan State Univ, Neurosci Program, 240 Giltner Hall, E Lansing, MI 48824 USA</t>
  </si>
  <si>
    <t>Puts, DA (corresponding author), Penn State Univ, Dept Anthropol, Carpenter Bldg, University Pk, PA 16802 USA.</t>
  </si>
  <si>
    <t>Welling, Lisa/0000-0003-3555-5965; Delaney, ANGELA/0000-0002-0632-6365</t>
  </si>
  <si>
    <t>National Science Foundation Graduate Research Fellowship, USA; American Institute of Bisexuality, USA; Penn State Social Science Research Institute, USA; National Institute of Mental Health [MH70343-05]</t>
  </si>
  <si>
    <t>National Science Foundation Graduate Research Fellowship, USA; American Institute of Bisexuality, USA; Penn State Social Science Research Institute, USA; National Institute of Mental Health(United States Department of Health &amp; Human ServicesNational Institutes of Health (NIH) - USANIH National Institute of Mental Health (NIMH))</t>
  </si>
  <si>
    <t>We thank William Crowley for logistical support and helpful feed-back on previous drafts of this paper. This research was funded by a National Science Foundation Graduate Research Fellowship, USA (awarded to TNS) ; the American Institute of Bisexuality, USA (awarded to DAP) ; the Penn State Social Science Research Institute, USA (awarded to DAP) ; and a National Institute of Mental Health T32 fellowship #MH70343-05, USA (awarded to SMB) .</t>
  </si>
  <si>
    <t>0306-4530</t>
  </si>
  <si>
    <t>1873-3360</t>
  </si>
  <si>
    <t>PSYCHONEUROENDOCRINO</t>
  </si>
  <si>
    <t>Psychoneuroendocrinology</t>
  </si>
  <si>
    <t>10.1016/j.psyneuen.2021.105431</t>
  </si>
  <si>
    <t>SEP 2021</t>
  </si>
  <si>
    <t>Endocrinology &amp; Metabolism; Neurosciences; Psychiatry</t>
  </si>
  <si>
    <t>Endocrinology &amp; Metabolism; Neurosciences &amp; Neurology; Psychiatry</t>
  </si>
  <si>
    <t>WD5MJ</t>
  </si>
  <si>
    <t>hybrid, Green Accepted, Green Submitted</t>
  </si>
  <si>
    <t>WOS:000704984200005</t>
  </si>
  <si>
    <t>I'm a salesman and my client is China: Language learning motivation, multicultural attitudes, and multilingualism among university students in Kazakhstan and Uzbekistan</t>
  </si>
  <si>
    <t>Multilingualism; International posture; Integrativeness; Multiculturalism; Gender; Foreign languages</t>
  </si>
  <si>
    <t>FOREIGN-LANGUAGE; INTERNATIONAL POSTURE; EDUCATION POLICY; SELF SYSTEM; PERSONALITY; ENGLISH; GENDER; WILLINGNESS; PREJUDICE; ANXIETY</t>
  </si>
  <si>
    <t>The Central Asian republics represent an interesting yet little-studied space for researching the interplay between language learning motivation (LLM), multiculturalism, and multilingualism given their cultural and linguistic diversity and official promotion of multilingualism and positive multicultural attitudes through language learning initiatives in schools and universities. This article reports on a questionnaire study that investigated the LLM of 235 university students in Kazakhstan and Uzbekistan, including their integrativeness and international posture. The students were learning Arabic, Chinese, English, French, German, Japanese, Russian, Spanish, and Turkish, with a majority of them learning two or more languages concurrently. The study also explored their views regarding the benefits of being multilingual and the extent to which their level of multilingualism, both formally and natively acquired, affected their multicultural attitudes and levels of prejudice towards outgroups. The findings revealed statistically significant gender differences in how the participants viewed the benefits of being multilingual, as well as statistically significant relationships between their levels of natively acquired multilingualism and their multicultural attitudes and levels of prejudice towards outgroups. International posture and integrativeness, meanwhile, were found to be distinct concepts with little overlap.</t>
  </si>
  <si>
    <t>[Calafato, Raees] Univ Bergen, Dept Foreign Languages, Sydnesplassen 7, N-5020 Bergen, Norway</t>
  </si>
  <si>
    <t>University of Bergen</t>
  </si>
  <si>
    <t>Calafato, R (corresponding author), Univ Bergen, Dept Foreign Languages, Sydnesplassen 7, N-5020 Bergen, Norway.</t>
  </si>
  <si>
    <t>raees.calafato@uib.no</t>
  </si>
  <si>
    <t>0346-251X</t>
  </si>
  <si>
    <t>1879-3282</t>
  </si>
  <si>
    <t>UR9FQ</t>
  </si>
  <si>
    <t>WOS:000697046100001</t>
  </si>
  <si>
    <t>Qin, Z; Zhao, JJ; Li, JM; Yang, QB; Geng, JW; Liao, RX; Su, BH</t>
  </si>
  <si>
    <t>Qin, Zheng; Zhao, Junjie; Li, Jiameng; Yang, Qinbo; Geng, Jiwen; Liao, Ruoxi; Su, Baihai</t>
  </si>
  <si>
    <t>Low lean mass is associated with lower urinary tract symptoms in US men from the 2005-2006 national health and nutrition examination survey dataset</t>
  </si>
  <si>
    <t>AGING-US</t>
  </si>
  <si>
    <t>low lean mass; lower urinary tract symptoms; NHANES; cross-sectional study</t>
  </si>
  <si>
    <t>GROWTH-HORMONE; SEX-HORMONES; SARCOPENIA; TESTOSTERONE; PRESSURE; FRAILTY</t>
  </si>
  <si>
    <t>We investigated the relationship between low lean mass (LLM) and lower urinary tract symptoms (LUTS) using the 2005-2006 National Health and Nutrition Examination Survey (NHANES) dataset. We enrolled 959 men with an average age of 52.08 +/- 7.91 years and performed weighted multiple regression analysis to determine the independent relationship between exposure variables (LLM, alternate LLM) and outcomes variables (urinary hesitancy, incomplete emptying, urinary frequency, nocturia, daytime LUTS, clinical LUTS) after adjusting for confounding factors. The prevalence of urinary hesitancy (OR = 7.76, P &lt; 0.0001), incomplete emptying (OR = 2.49, P = 0.0070), urinary frequency (OR = 3.28, P &lt; 0.0001), daytime LUTS (OR = 3.88, P &lt; 0.0001) and clinical LUTS (OR = 8.11, P &lt; 0.0001) was significantly higher among men with LLM compared to men without LLM. Moreover, alternate LLM (ALLM) was positively associated with urinary hesitancy (OR = 17.97, P &lt; 0.0001), incomplete emptying (OR = 4.68, P = 0.0003), daytime LUTS (OR = 2.47, P = 0.0136) and clinical LUTS (OR = 12.18, P &lt; 0.0001). These findings demonstrate that both LLM and ALLM were associated with a higher risk of LUTS in men aged &gt;= 40 years, which suggested that early management and treatment of lean mass loss may improve or alleviate LUTS.</t>
  </si>
  <si>
    <t>[Qin, Zheng; Li, Jiameng; Yang, Qinbo; Geng, Jiwen; Liao, Ruoxi; Su, Baihai] Sichuan Univ, Natl Clin Res Ctr Geriatr, Dept Nephrol, West China Hosp, Chengdu 610041, Peoples R China; [Qin, Zheng; Li, Jiameng; Yang, Qinbo; Geng, Jiwen; Liao, Ruoxi; Su, Baihai] Sichuan Univ, Med Biomat Inst, West China Hosp, West China Sch Med, Chengdu 610041, Peoples R China; [Qin, Zheng; Li, Jiameng; Yang, Qinbo; Geng, Jiwen; Liao, Ruoxi; Su, Baihai] Sichuan Univ, Med X Ctr Mat, Chengdu 610041, Peoples R China; [Zhao, Junjie] Sichuan Univ, West China Sch Med, West China Hosp, Chengdu 610041, Peoples R China</t>
  </si>
  <si>
    <t>Sichuan University; Sichuan University; Sichuan University; Sichuan University</t>
  </si>
  <si>
    <t>Su, BH (corresponding author), Sichuan Univ, Natl Clin Res Ctr Geriatr, Dept Nephrol, West China Hosp, Chengdu 610041, Peoples R China.;Su, BH (corresponding author), Sichuan Univ, Med Biomat Inst, West China Hosp, West China Sch Med, Chengdu 610041, Peoples R China.;Su, BH (corresponding author), Sichuan Univ, Med X Ctr Mat, Chengdu 610041, Peoples R China.</t>
  </si>
  <si>
    <t>imsbh@163.com</t>
  </si>
  <si>
    <t>National Natural Science Foundation of China [82000702]; Science and Technology Achievement Transformation Fund of West China Hospital of Sichuan University [CGZH19006]; 1.3.5 project for disciplines of excellence from West China Hospital of Sichuan University [ZYJC21010]; Med+ Biomaterial Institute of West China Hospital/West China School of Medicine of Sichuan University [ZYME20001]</t>
  </si>
  <si>
    <t>National Natural Science Foundation of China(National Natural Science Foundation of China (NSFC)); Science and Technology Achievement Transformation Fund of West China Hospital of Sichuan University; 1.3.5 project for disciplines of excellence from West China Hospital of Sichuan University; Med+ Biomaterial Institute of West China Hospital/West China School of Medicine of Sichuan University</t>
  </si>
  <si>
    <t>This work was supported by the National Natural Science Foundation of China [Grant No. 82000702], the Science and Technology Achievement Transformation Fund of West China Hospital of Sichuan University [Grant No. CGZH19006], the 1.3.5 project for disciplines of excellence from West China Hospital of Sichuan University [Grant No. ZYJC21010] and Med+ Biomaterial Institute of West China Hospital/West China School of Medicine of Sichuan University [Grant No. ZYME20001].</t>
  </si>
  <si>
    <t>IMPACT JOURNALS LLC</t>
  </si>
  <si>
    <t>ORCHARD PARK</t>
  </si>
  <si>
    <t>6666 E QUAKER ST, STE 1, ORCHARD PARK, NY 14127 USA</t>
  </si>
  <si>
    <t>1945-4589</t>
  </si>
  <si>
    <t>Aging-US</t>
  </si>
  <si>
    <t>SEP 15</t>
  </si>
  <si>
    <t>Cell Biology; Geriatrics &amp; Gerontology</t>
  </si>
  <si>
    <t>WC6XE</t>
  </si>
  <si>
    <t>WOS:000704398100013</t>
  </si>
  <si>
    <t>Zheng, YT; He, SC; Cai, WW; Shen, L; Huang, XY; Yang, S; Huang, YU; Lu, QL; Wang, H; Guan, DY; He, SL</t>
  </si>
  <si>
    <t>Zheng, Yutong; He, Shicong; Cai, Weiwei; Shen, Lei; Huang, Xueying; Yang, Sheng; Huang, Y. U.; Lu, Qiaoling; Wang, Hui; Guan, Deyi; He, Shuilin</t>
  </si>
  <si>
    <t>CaAIL1 Acts Positively in Pepper Immunity against Ralstonia solanacearum by Repressing Negative Regulators</t>
  </si>
  <si>
    <t>PLANT AND CELL PHYSIOLOGY</t>
  </si>
  <si>
    <t>CaAIL1; Immuinity; Pepper; Ralstonia solanacearum; Regulation; Target gene</t>
  </si>
  <si>
    <t>WRKY TRANSCRIPTION FACTOR; DNA-BINDING DOMAIN; CELL-DEATH; SESQUITERPENE CYCLASE; APETALA2-LIKE GENE; TRIGGERED IMMUNITY; HIGH-TEMPERATURE; LLM-DOMAIN; RESISTANCE; ARABIDOPSIS</t>
  </si>
  <si>
    <t>APETALA2 (AP2) subfamily transcription factors participate in plant growth and development, but their roles in plant immunity remain unclear. Here, we discovered that the AP2 transcription factor CaAIL1 functions in immunity against Ralstonia solanacearum infection (RSI) in pepper (Capsicum annuum). CaAIL1 expression was upregulated by RSI, and loss- and gain-of-function assays using virus-induced gene silencing and transient overexpression, respectively, revealed that CaAIL1 plays a positive role in immunity to RSI in pepper. Chromatin immunoprecipitation sequencing (Ch IP-seq) uncovered a subset of transcription-factor-encoding genes, including CaRAP2-7, CaGATA17, CaGtf3a and CaTCF25, that were directly targeted by CaAIL1 via their cis-elements, such as GT or AGGCA motifs. ChIP-qPCR and electrophoretic mobility shift assays confirmed these findings. These genes, encoding transcription factors with negative roles in immunity, were repressed by CaAIL1 during pepper response to RSI, whereas genes encoding positive immune regulators such as CaEAS were derepressed by CaAIL1. Importantly, we showed that the atypical EAR motif (LXXLXXLXX) in CaAIL1 is indispensable for its function in immunity. These findings indicate that CaAIL1 enhances the immunity of pepper against RSI by repressing a subset of negative immune regulators during the RSI response through its binding to several cis-elements in their promoters.</t>
  </si>
  <si>
    <t>[Zheng, Yutong; He, Shicong; Cai, Weiwei; Shen, Lei; Huang, Xueying; Yang, Sheng; Huang, Y. U.; Lu, Qiaoling; Wang, Hui; Guan, Deyi; He, Shuilin] Fujian Agr &amp; Forestry Univ, Key Lab Appl Genet Univ Fujian Prov, 15 Shang Xia Dian Rd, Fuzhou 350002, Fujian, Peoples R China; [Zheng, Yutong; He, Shicong; Cai, Weiwei; Shen, Lei; Huang, Xueying; Yang, Sheng; Huang, Y. U.; Lu, Qiaoling; Wang, Hui; Guan, Deyi; He, Shuilin] Fujian Agr &amp; Forestry Univ, Natl Educ Minist Key Lab Plant Genet Improvement, 15 Shang Xia Dian Rd, Fuzhou 350002, Fujian, Peoples R China; [Zheng, Yutong; He, Shicong; Cai, Weiwei; Shen, Lei; Huang, Xueying; Yang, Sheng; Huang, Y. U.; Lu, Qiaoling; Wang, Hui; Guan, Deyi; He, Shuilin] Fujian Agr &amp; Forestry Univ, Coll Agr, 15 Shang Xia Dian Rd, Fuzhou 350002, Fujian, Peoples R China</t>
  </si>
  <si>
    <t>Fujian Agriculture &amp; Forestry University; Fujian Agriculture &amp; Forestry University; Fujian Agriculture &amp; Forestry University</t>
  </si>
  <si>
    <t>He, SL (corresponding author), Fujian Agr &amp; Forestry Univ, Key Lab Appl Genet Univ Fujian Prov, 15 Shang Xia Dian Rd, Fuzhou 350002, Fujian, Peoples R China.;He, SL (corresponding author), Fujian Agr &amp; Forestry Univ, Natl Educ Minist Key Lab Plant Genet Improvement, 15 Shang Xia Dian Rd, Fuzhou 350002, Fujian, Peoples R China.;He, SL (corresponding author), Fujian Agr &amp; Forestry Univ, Coll Agr, 15 Shang Xia Dian Rd, Fuzhou 350002, Fujian, Peoples R China.</t>
  </si>
  <si>
    <t>shlhe201304@aliyun.com</t>
  </si>
  <si>
    <t>He, Shuilin/JQV-7124-2023</t>
  </si>
  <si>
    <t>Zheng, Yutong/0009-0004-2129-3137; , sheng yang/0000-0002-6428-7034</t>
  </si>
  <si>
    <t>National Natural Science Foundation of China [31572136, 31372061, 31902032]; Development Fund Project of Fujian Agriculture and Forestry University [CXZX2016158, CXZX2017548]; Scientific Research Foundation of Graduate School of Fujian Agriculture and Forestry University [324-1122yb047]</t>
  </si>
  <si>
    <t>National Natural Science Foundation of China(National Natural Science Foundation of China (NSFC)); Development Fund Project of Fujian Agriculture and Forestry University; Scientific Research Foundation of Graduate School of Fujian Agriculture and Forestry University</t>
  </si>
  <si>
    <t>This work was supported by the National Natural Science Foundation of China (31572136, 31372061, 31902032); Development Fund Project of Fujian Agriculture and Forestry University (CXZX2016158, CXZX2017548); Scientific Research Foundation of Graduate School of Fujian Agriculture and Forestry University (324-1122yb047).</t>
  </si>
  <si>
    <t>0032-0781</t>
  </si>
  <si>
    <t>1471-9053</t>
  </si>
  <si>
    <t>PLANT CELL PHYSIOL</t>
  </si>
  <si>
    <t>Plant Cell Physiol.</t>
  </si>
  <si>
    <t>10.1093/pcp/pcab125</t>
  </si>
  <si>
    <t>Plant Sciences; Cell Biology</t>
  </si>
  <si>
    <t>XU2CG</t>
  </si>
  <si>
    <t>WOS:000734079300006</t>
  </si>
  <si>
    <t>Ye, LF; Ji, XM; Ren, C; Wang, ZQ; Lin, CP; Chen, DL; Cai, YQ; Jin, Y; Qiu, MZ; Du, ZM; Xi, SY; Zhang, DS; Wang, F; Wang, FH; Xu, RH; Li, YH; Wang, DS</t>
  </si>
  <si>
    <t>Ye, Liu-Fang; Ji, Xiao-Meng; Ren, Chao; Wang, Zhi-Qiang; Lin, Chun-Ping; Chen, Dong-Liang; Cai, Yan-Qing; Jin, Ying; Qiu, Miao-Zhen; Du, Zi-Ming; Xi, Shao-Yan; Zhang, Dong-Sheng; Wang, Feng; Wang, Feng-Hua; Xu, Rui-Hua; Li, Yu-Hong; Wang, De-Shen</t>
  </si>
  <si>
    <t>The Prognostic Value of Locoregional Interventions for BRAF V600E Metastatic Colorectal Cancer: A Retrospective Cohort Analysis</t>
  </si>
  <si>
    <t>BIOMOLECULES</t>
  </si>
  <si>
    <t>BRAF V600E; metastatic colorectal cancer; prognosis; heterogeneity; locoregional interventions</t>
  </si>
  <si>
    <t>CYTOREDUCTIVE SURGERY; PERITONEAL METASTASES; MISMATCH REPAIR; POOLED ANALYSIS; CHEMOTHERAPY; MUTATION; IMPACT; OXALIPLATIN; COIN; KRAS</t>
  </si>
  <si>
    <t>The prognostic heterogeneity in patients with BRAF V600E metastatic colorectal cancer (mCRC) remains poorly defined. Real-world data of 93 BRAF V600E mCRC patients from Sun Yat-sen University Cancer Center were evaluated using the prognostic factors affecting overall survival (OS). Treatment of metastases served as an independent prognosticator, where curative locoregional interventions (LRIs) were associated with superior clinical outcomes (adjusted hazard ratio (HR): 0.46, 95% confidence interval (CI): 0.22-0.98; p = 0.044). The LRIs group showed an improved median OS of 49.4 months versus 18.3 months for the palliative treatments (PTs) group. The median OS of patients with colorectal liver metastasis (CRLM) was significantly prolonged after undergoing LRIs (42.4 vs. 23.7 months; HR: 0.11, 95% CI: 0.01-1.22; p = 0.030), and patients in the LRIs plus liver-limited or lung-limited metastasis (LLM) group benefited more than those in the LRIs plus non-LLM group when compared to the PTs group (LLM from LRIs vs. PTs, HR: 0.16, 95% CI: 0.04-0.68; p = 0.006. Non-LLM from LRIs vs. PTs, HR: 0.47, 95% CI: 0.21-1.05; p = 0.074). In conclusion, we confirmed the positive prognostic value of LRIs in BRAF V600E mCRC, particularly in patients with CRLM or LLM.</t>
  </si>
  <si>
    <t>[Ye, Liu-Fang; Ren, Chao; Wang, Zhi-Qiang; Chen, Dong-Liang; Jin, Ying; Qiu, Miao-Zhen; Zhang, Dong-Sheng; Wang, Feng; Wang, Feng-Hua; Xu, Rui-Hua; Li, Yu-Hong; Wang, De-Shen] Sun Yat Sen Univ, Sun Yat Sen Univ Canc Ctr, Collaborat Innovat Ctr Canc Med, State Key Lab Oncol South China, Guangzhou 510060, Peoples R China; [Ye, Liu-Fang; Ren, Chao; Wang, Zhi-Qiang; Chen, Dong-Liang; Jin, Ying; Qiu, Miao-Zhen; Zhang, Dong-Sheng; Wang, Feng; Wang, Feng-Hua; Xu, Rui-Hua; Li, Yu-Hong; Wang, De-Shen] Chinese Acad Med Sci, Res Unit Precis Diag &amp; Treatment Gastrointestinal, Guangzhou 510060, Peoples R China; [Ye, Liu-Fang; Ren, Chao; Wang, Zhi-Qiang; Chen, Dong-Liang; Jin, Ying; Qiu, Miao-Zhen; Zhang, Dong-Sheng; Wang, Feng; Wang, Feng-Hua; Xu, Rui-Hua; Li, Yu-Hong; Wang, De-Shen] Sun Yat Sen Univ, Dept Med Oncol, Canc Ctr, Guangzhou 510060, Peoples R China; [Ji, Xiao-Meng; Du, Zi-Ming] Sun Yat Sen Univ, Dept Mol Diagnost, Canc Ctr, Guangzhou 510060, Peoples R China; [Lin, Chun-Ping; Cai, Yan-Qing] Sun Yat Sen Univ, Jieyang Affiliated Hosp, Dept Oncol, Jieyang 522000, Peoples R China; [Xi, Shao-Yan] Sun Yat Sen Univ, Dept Pathol, Canc Ctr, Guangzhou 510060, Peoples R China</t>
  </si>
  <si>
    <t>Li, YH; Wang, DS (corresponding author), Sun Yat Sen Univ, Sun Yat Sen Univ Canc Ctr, Collaborat Innovat Ctr Canc Med, State Key Lab Oncol South China, Guangzhou 510060, Peoples R China.;Li, YH; Wang, DS (corresponding author), Chinese Acad Med Sci, Res Unit Precis Diag &amp; Treatment Gastrointestinal, Guangzhou 510060, Peoples R China.;Li, YH; Wang, DS (corresponding author), Sun Yat Sen Univ, Dept Med Oncol, Canc Ctr, Guangzhou 510060, Peoples R China.</t>
  </si>
  <si>
    <t>yelf@sysucc.org.cn; jixm@sysucc.org.cn; renchao@sysucc.org.cn; wangzhq@sysucc.org.cn; jylcpd@163.com; chendl@sysucc.org.cn; cai99yq@126.com; jinying1@sysucc.org.cn; qiumzh@sysucc.org.cn; duzm1@sysucc.org.cn; xishy@sysucc.org.cn; zhangdsh@sysucc.org.cn; wangfeng@sysucc.org.cn; wangfh@sysucc.org.cn; xurh@sysucc.org.cn; liyh@sysucc.org.cn; wangdsh@sysucc.org.cn</t>
  </si>
  <si>
    <t>National Natural Science Foundation of China [82073302, 81602070, 81930065]; Science and Technology Program of Guangdong [2019B020227002]; Science and Technology Program of Guangzhou [201904020046, 201803040019, 201704020228]; CAMS Innovation Fund for Medical Sciences (CIFMS) [2019-I2M-5-036]</t>
  </si>
  <si>
    <t>National Natural Science Foundation of China(National Natural Science Foundation of China (NSFC)); Science and Technology Program of Guangdong; Science and Technology Program of Guangzhou; CAMS Innovation Fund for Medical Sciences (CIFMS)</t>
  </si>
  <si>
    <t>This work was supported, in part, by the National Natural Science Foundation of China (grants 82073302, 81602070, and 81930065); Science and Technology Program of Guangdong (2019B020227002); Science and Technology Program of Guangzhou (201904020046, 201803040019, 201704020228); CAMS Innovation Fund for Medical Sciences (CIFMS) (2019-I2M-5-036).</t>
  </si>
  <si>
    <t>2218-273X</t>
  </si>
  <si>
    <t>UV1DX</t>
  </si>
  <si>
    <t>WOS:000699229600001</t>
  </si>
  <si>
    <t>Mazaleuskaya, LL; Lee, S; Meng, H; Winkler, JD; FitzGerald, GA</t>
  </si>
  <si>
    <t>Mazaleuskaya, Liudmila L.; Lee, Seokwoo; Meng, Hu; Winkler, Jeffrey D.; FitzGerald, Garret A.</t>
  </si>
  <si>
    <t>Targeted delivery of mPGES-1 inhibitors to macrophages via the folate receptor-β for inflammatory pain</t>
  </si>
  <si>
    <t>BIOORGANIC &amp; MEDICINAL CHEMISTRY LETTERS</t>
  </si>
  <si>
    <t>NSAID; mPGES-1 inhibitor; Folate-drug conjugate; Folate receptor beta; Inflammatory pain; Macrophages</t>
  </si>
  <si>
    <t>PROSTAGLANDIN-E SYNTHASE-1; REGIOSELECTIVE SYNTHESIS; SYNOVIAL TISSUE; NEW-GENERATION; MICE LACKING; EXPRESSION; DELETION; DESIGN; CHEMOTHERAPEUTICS; IMMUNOTOXIN</t>
  </si>
  <si>
    <t>Activated macrophages overexpress the folate receptor beta (FR-beta) that can be used for targeted delivery of drugs conjugated to folic acid. FR-expressing macrophages contribute to arthritis progression by secreting prostaglandin E-2 (PGE(2)). Non-steroidal anti-inflammatory drugs (NSAIDs) block PGs and thromboxane by inhibiting the cyclooxygenase (COX) enzymes and are used for chronic pain and inflammation despite their well-known toxicity. New NSAIDs target an enzyme downstream of COXs, microsomal prostaglandin E synthase-1 (mPGES-1). Inhibition of mPGES-1 in inflammatory macrophages promises to retain NSAID efficacy while limiting toxicity. We conjugated a potent mPGES-1 inhibitor, MK-7285, to folate, but the construct released the drug inefficiently. Folate conjugation to the primary alcohol of MK-7285 improved the construct's stability and the release of free drug. Surprisingly, the drug-folate conjugate potentiated PGE(2) in FR-positive KB cells, and reduced PGE(2) in macrophages independently of the FR. Folate conjugation of NSAIDs is not an optimal strategy for targeting of macrophages.</t>
  </si>
  <si>
    <t>[Mazaleuskaya, Liudmila L.; Meng, Hu; FitzGerald, Garret A.] Univ Penn, Inst Translat Med &amp; Therapeut, Dept Syst Pharmacol &amp; Translat Therapeut, Perelman Sch Med, Philadelphia, PA 19104 USA; [Lee, Seokwoo; Winkler, Jeffrey D.] Univ Penn, Dept Chem, Philadelphia, PA 19104 USA</t>
  </si>
  <si>
    <t>University of Pennsylvania; University of Pennsylvania</t>
  </si>
  <si>
    <t>FitzGerald, GA (corresponding author), Univ Penn, Inst Translat Med &amp; Therapeut, Perelman Sch Med, 3400 Civ Ctr Blvd,10-122 SCTR, Philadelphia, PA 19104 USA.</t>
  </si>
  <si>
    <t>mazali@pennmedicine.upenn.edu; mirue7@sas.upenn.edu; menghu@pennmedicine.upenn.edu; winkler@sas.upenn.edu; garret@upenn.edu</t>
  </si>
  <si>
    <t>lee, seokwoo/0000-0002-8309-0624</t>
  </si>
  <si>
    <t>National institutes of Health [HL117798, TR001623]; Institute for Translational Medicine and Therapeutics; Center for Targeted Therapeutics and Translational Nanomedicine at the PerelmanSchool of Medicine at the University of Pennsylvania; National Center for Advancing Translational Sciences of the National Institutes of Health [UL1TR001878]</t>
  </si>
  <si>
    <t>National institutes of Health(United States Department of Health &amp; Human ServicesNational Institutes of Health (NIH) - USA); Institute for Translational Medicine and Therapeutics; Center for Targeted Therapeutics and Translational Nanomedicine at the PerelmanSchool of Medicine at the University of Pennsylvania; National Center for Advancing Translational Sciences of the National Institutes of Health(United States Department of Health &amp; Human ServicesNational Institutes of Health (NIH) - USANIH National Center for Advancing Translational Sciences (NCATS))</t>
  </si>
  <si>
    <t>This work was supported by grants HL117798 and TR001623 to GAF from the National institutes of Health. Supported in part by the Institute for Translational Medicine and Therapeutics, and the Center for Targeted Therapeutics and Translational Nanomedicine at the PerelmanSchool of Medicine at the University of Pennsylvania and by the National Center for Advancing Translational Sciences of the National Institutes of Health under Award Number UL1TR001878 (Pilot Grant to LLM) . The content is solely the responsibility of the authors and does not necessarily represent the official views of the NIH. GAF is the McNeil Professor of Translational Medicine and Therapeutics.</t>
  </si>
  <si>
    <t>0960-894X</t>
  </si>
  <si>
    <t>1464-3405</t>
  </si>
  <si>
    <t>BIOORG MED CHEM LETT</t>
  </si>
  <si>
    <t>Bioorg. Med. Chem. Lett.</t>
  </si>
  <si>
    <t>10.1016/j.bmcl.2021.128313</t>
  </si>
  <si>
    <t>AUG 2021</t>
  </si>
  <si>
    <t>Chemistry, Medicinal; Chemistry, Organic</t>
  </si>
  <si>
    <t>Science Citation Index Expanded (SCI-EXPANDED); Index Chemicus (IC)</t>
  </si>
  <si>
    <t>Pharmacology &amp; Pharmacy; Chemistry</t>
  </si>
  <si>
    <t>UY8VU</t>
  </si>
  <si>
    <t>Green Accepted, hybrid</t>
  </si>
  <si>
    <t>WOS:000701795800013</t>
  </si>
  <si>
    <t>Surisetty, VVAK; Venkateswarlu, C; Gireesh, B; Prasad, KVSR; Sharma, R</t>
  </si>
  <si>
    <t>Surisetty, V. V. Arun Kumar; Venkateswarlu, Ch.; Gireesh, B.; Prasad, K. V. S. R.; Sharma, Rashmi</t>
  </si>
  <si>
    <t>On improved nearshore bathymetry estimates from satellites using ensemble and machine learning approaches</t>
  </si>
  <si>
    <t>ADVANCES IN SPACE RESEARCH</t>
  </si>
  <si>
    <t>Optical remote sensing; Nearshore; Bathymetry; Ensemble; SVR; Sentinel-2</t>
  </si>
  <si>
    <t>SHALLOW-WATER BATHYMETRY; MULTISPECTRAL SATELLITE; ATMOSPHERIC CORRECTION; IMAGERY; SEAGRASS; DEPTH; RIVER; VISAKHAPATNAM; ALGORITHMS; DERIVATION</t>
  </si>
  <si>
    <t>In this article, two popular linear empirical methods viz., log-ratio model (LRM) and log-linear model (LLM) are used to derive water depths in shallow nearshore waters from Sentinel-2 multi-spectral images. Based on these empirical models, a multi-scene ensemble and a non-linear Support Vector Regression (SVR) machine learning approaches are applied to improve the accuracies from these traditional methods. In this analysis, firstly the best scene is selected from a set of six Sentinel-2 A&amp;B images using noise-equivalent reflectance NE Delta R-rs (sr(-1)), optimal bands for LRM and LLM are selected using Optimal band ratio analysis (OBRA) and by computing Pearson Correlation Coefficient (R) between each band respectively. A total of 80% depth data points obtained from JetSki based echo-sounding measurements are used for training and the remaining 20% are used for testing each approach. The overall errors during the test phase for the range of depth 0-12 m are 0.79 m (0.67 m), 0.94 m (0.66 m) and 0.57 m (0.39 m) using traditional empirical LRM (LLM) methods from the best image, empirical-based ensemble and SVR approaches respectively. Irrespective of the approach, the LLM produced smoother and relatively accurate bathymetry as compared to the LRM. The LLM based SVR ML approach provides the best performance over the entire depth range as compared to all the methods considered in this study. Therefore, this method can be used for efficiently estimating nearshore depths and produce updated high-resolution bathymetry maps for many coastal applications. (C) 2021 COSPAR. Published by Elsevier B.V. All rights reserved.</t>
  </si>
  <si>
    <t>[Surisetty, V. V. Arun Kumar; Sharma, Rashmi] Space Applicat Ctr ISRO, Earth Ocean Atmosphere Planetary Sci &amp; Applicat A, Ahmadabad, Gujarat, India; [Venkateswarlu, Ch.; Gireesh, B.; Prasad, K. V. S. R.] Andhra Univ, Dept Meteorol &amp; Oceanog, Visakhapatnam, Andhra Pradesh, India</t>
  </si>
  <si>
    <t>Department of Space (DoS), Government of India; Indian Space Research Organisation (ISRO); Space Applications Centre (SAC); Andhra University</t>
  </si>
  <si>
    <t>Surisetty, VVAK (corresponding author), Space Applicat Ctr, Ahmadabad 380015, Gujarat, India.</t>
  </si>
  <si>
    <t>arunkumar@sac.isro.gov.in</t>
  </si>
  <si>
    <t>SURISETTY, V. V. ARUN KUMAR/0000-0002-7100-5170</t>
  </si>
  <si>
    <t>SAMUDRA project at Space Applications Centre (ISRO)</t>
  </si>
  <si>
    <t>The authors are thankful to the Director, Space Appli-cations Centre (SAC/ISRO) for constant support and encouragement. The authors are thankful to the Head (GSD) , Group Director (GHCAG) and Deputy Director (EPSA) for their constructive suggestions and encourage-ment. The authors are thankful to the European Space Agency and the Copernicus program for distributing Sentinel-2A &amp; 2B imagery. They are equally thankful to the Royal Belgian Institute of Natural Sciences (RBINS) for providing ACOLITE processing software. The extended co-operation from the Andhra Pradesh Tourism department, Visakhapatnam and research scholars Mr. Sivaiah, Mr. Venkateswara Rao of Andhra University dur-ing the field campaigns are gratefully thanked. The work is supported under the SAMUDRA project at Space Appli-cations Centre (ISRO) .</t>
  </si>
  <si>
    <t>0273-1177</t>
  </si>
  <si>
    <t>1879-1948</t>
  </si>
  <si>
    <t>ADV SPACE RES</t>
  </si>
  <si>
    <t>Adv. Space Res.</t>
  </si>
  <si>
    <t>10.1016/j.asr.2021.06.034</t>
  </si>
  <si>
    <t>Engineering, Aerospace; Astronomy &amp; Astrophysics; Geosciences, Multidisciplinary; Meteorology &amp; Atmospheric Sciences</t>
  </si>
  <si>
    <t>Engineering; Astronomy &amp; Astrophysics; Geology; Meteorology &amp; Atmospheric Sciences</t>
  </si>
  <si>
    <t>UF2BW</t>
  </si>
  <si>
    <t>WOS:000688385400005</t>
  </si>
  <si>
    <t>Xu, XZ; Zhang, L; Chu, JTS; Wang, YQ; Chin, AWH; Chong, TH; Dai, ZX; Poon, LLM; Cheung, PPH; Huang, XH</t>
  </si>
  <si>
    <t>Xu, Xinzhou; Zhang, Lu; Chu, Julie Tung Sem; Wang, Yuqing; Chin, Alex Wing Hong; Chong, Tin Hang; Dai, Zixi; Poon, Leo Lit Man; Cheung, Peter Pak-Hang; Huang, Xuhui</t>
  </si>
  <si>
    <t>A novel mechanism of enhanced transcription activity and fidelity for influenza A viral RNA-dependent RNA polymerase</t>
  </si>
  <si>
    <t>NUCLEIC ACIDS RESEARCH</t>
  </si>
  <si>
    <t>HEPATITIS-C-VIRUS; REVERSE-TRANSCRIPTASE; CRYSTAL-STRUCTURE; KINETIC-ANALYSIS; STRUCTURAL BASIS; POLIOVIRUS; INITIATION; RNA-POLYMERASE-(3D(POL)); REPLICATION; NUCLEOTIDE</t>
  </si>
  <si>
    <t>During RNA elongation, the influenza A viral (IAV) RNA-dependent RNA polymerase (RdRp) residues in the active site interact with the triphosphate moiety of nucleoside triphosphate (NTP) for catalysis. The molecular mechanisms by which they control the rate and fidelity of NTP incorporation remain elusive. Here, we demonstrated through enzymology, virology and computational approaches that the R239 and K235 in the PB1 subunit of RdRp are critical to controlling the activity and fidelity of transcription. Contrary to common beliefs that high-fidelity RdRp variants exert a slower incorporation rate, we discovered a first-of-its-kind, single lysine-to-arginine mutation on K235 exhibited enhanced fidelity and activity compared with wild-type. In particular, we employed a single-turnover NTP incorporation assay for the first time on IAV RdRp to show that K235R mutant RdRp possessed a 1.9-fold increase in the transcription activity of the cognate NTP and a 4.6-fold increase in fidelity compared to wild-type. Our all-atom molecular dynamics simulations further elucidated that the higher activity is attributed to the shorter distance between K235R and the triphosphate moiety of NTP compared with wild-type. These results provide novel insights into NTP incorporation and fidelity control mechanisms, which lay the foundation for the rational design of IAV vaccine and antiviral targets.</t>
  </si>
  <si>
    <t>[Xu, Xinzhou; Wang, Yuqing; Chong, Tin Hang; Cheung, Peter Pak-Hang; Huang, Xuhui] Hong Kong Univ Sci &amp; Technol, Shenzhen Res Inst, Hitech Pk, Shenzhen 518057, Peoples R China; [Zhang, Lu] Chinese Acad Sci, State Key Lab Struct Chem, Fujian Inst Res Struct Matter, Fuzhou 350002, Fujian, Peoples R China; [Chu, Julie Tung Sem; Chin, Alex Wing Hong; Poon, Leo Lit Man] Univ Hong Kong, LKS Fac Med, Sch Publ Hlth, Hong Kong, Peoples R China; [Chong, Tin Hang; Dai, Zixi; Cheung, Peter Pak-Hang; Huang, Xuhui] Hong Kong Univ Sci &amp; Technol, Dept Chem, State Key Lab Mol Neurosci, Kowloon, Hong Kong, Peoples R China; [Xu, Xinzhou; Wang, Yuqing] Hong Kong Univ Sci &amp; Technol, Dept Biol &amp; Chem Engn, Bioengn Grad Program, Clear Water Bay, Hong Kong, Peoples R China; [Zhang, Lu] Univ Chinese Acad Sci, Beijing 100049, Peoples R China; [Cheung, Peter Pak-Hang] Chinese Univ Hong Kong, Prince Wales Hosp, Dept Chem Pathol, Shatin,New Terr, Hong Kong, Peoples R China; [Cheung, Peter Pak-Hang] Li Ka Shing Inst Hlth Sci, Chinese Univ Hong Kong, New Terr, Shatin, Li Ka Shing Med Sci Bldg, Hong Kong, Peoples R China; [Poon, Leo Lit Man] Univ Hong Kong, HKU Pasteur Res Pole, LKS Fac Med, Hong Kong, Peoples R China; [Chin, Alex Wing Hong; Poon, Leo Lit Man] Ctr Immun &amp; Infect, Hong Kong Sci Pk, Hong Kong, Peoples R China</t>
  </si>
  <si>
    <t>Hong Kong University of Science &amp; Technology; Chinese Academy of Sciences; Fujian Institute of Research on the Structure of Matter, CAS; University of Hong Kong; Hong Kong University of Science &amp; Technology; Hong Kong University of Science &amp; Technology; Chinese Academy of Sciences; University of Chinese Academy of Sciences, CAS; Chinese University of Hong Kong; Prince of Wales Hospital; Chinese University of Hong Kong; University of Hong Kong</t>
  </si>
  <si>
    <t>Cheung, PPH; Huang, XH (corresponding author), Hong Kong Univ Sci &amp; Technol, Shenzhen Res Inst, Hitech Pk, Shenzhen 518057, Peoples R China.;Zhang, L (corresponding author), Chinese Acad Sci, State Key Lab Struct Chem, Fujian Inst Res Struct Matter, Fuzhou 350002, Fujian, Peoples R China.;Cheung, PPH; Huang, XH (corresponding author), Hong Kong Univ Sci &amp; Technol, Dept Chem, State Key Lab Mol Neurosci, Kowloon, Hong Kong, Peoples R China.;Zhang, L (corresponding author), Univ Chinese Acad Sci, Beijing 100049, Peoples R China.;Cheung, PPH (corresponding author), Chinese Univ Hong Kong, Prince Wales Hosp, Dept Chem Pathol, Shatin,New Terr, Hong Kong, Peoples R China.;Cheung, PPH (corresponding author), Li Ka Shing Inst Hlth Sci, Chinese Univ Hong Kong, New Terr, Shatin, Li Ka Shing Med Sci Bldg, Hong Kong, Peoples R China.</t>
  </si>
  <si>
    <t>luzhang@fjirsm.ac.cn; ppcheung@cuhk.edu.hk; xuhuihuang@ust.hk</t>
  </si>
  <si>
    <t>Shenzhen Science and Technology Innovation Committee [JCYJ20170413173837121]; National Natural Science Foundation of China [21733007, 21803071]; Croucher Foundation; Research Grants Council, University Grants Committee [17110920, T11-712/19-N, 16303919, HKUST635/20, AoE/P-705/16, T13-605/18-W, ITCPD/17-1183, C602119EF, 16302618, CUHK602/21]</t>
  </si>
  <si>
    <t>Shenzhen Science and Technology Innovation Committee; National Natural Science Foundation of China(National Natural Science Foundation of China (NSFC)); Croucher Foundation; Research Grants Council, University Grants Committee</t>
  </si>
  <si>
    <t>Shenzhen Science and Technology Innovation Committee [JCYJ20170413173837121 to X.H.]; National Natural Science Foundation of China [21733007, 21803071 to L.Z.]; Croucher Foundation (to L.L.M.P.); Research Grants Council, University Grants Committee [17110920, T11-712/19-N to L.L.M.P.; 16303919, N HKUST635/20, AoE/P-705/16, T13-605/18-W, ITCPD/17-1183, C602119EF to X.H.; 16302618, N CUHK602/21 to P.P.C.]. Funding for open access charge: Research Grants Council, University Grants Committee [AoE/P-705/16].</t>
  </si>
  <si>
    <t>0305-1048</t>
  </si>
  <si>
    <t>1362-4962</t>
  </si>
  <si>
    <t>NUCLEIC ACIDS RES</t>
  </si>
  <si>
    <t>Nucleic Acids Res.</t>
  </si>
  <si>
    <t>10.1093/nar/gkab660</t>
  </si>
  <si>
    <t>US4EA</t>
  </si>
  <si>
    <t>WOS:000697383500032</t>
  </si>
  <si>
    <t>Feng, SJ</t>
  </si>
  <si>
    <t>Feng, Shujie</t>
  </si>
  <si>
    <t>The reform of passing off in Chinese Law: effects of the 2017 revision of the Anti-Unfair Competition Law</t>
  </si>
  <si>
    <t>confusion; passing off; unfair competition; Chinese Unfair Competition Law</t>
  </si>
  <si>
    <t>Confusion, or passing off, is a typical unfair practice recognized internationally, but national laws still differ from each other. Although the Chinese Anti-Unfair Competition Law of 1993 provided a narrow rule on passing off, a rich amount of case law has considerably enlarged its scope of application. The reform of the passing off regime in 2017 was essentially based on case law. This reform consists of four main aspects: expansion of the scope of protectable commercial signs: clarification of the applicability of the passing off rule to registered and unregistered trademarks; the adjustment of fame as a qualifying condition of passing off; and the adoption of a general rule prohibiting confusion. This reform has not only consolidated the case law and approach developed by the courts, but also bestowed an open and flexible spirit in the passing off regime which will enhance its efficiency in the fight against unfair imitation.</t>
  </si>
  <si>
    <t>[Feng, Shujie] Tsinghua Univ, Beijing, Peoples R China</t>
  </si>
  <si>
    <t>Feng, SJ (corresponding author), Tsinghua Univ, Beijing, Peoples R China.</t>
  </si>
  <si>
    <t>National Social Science Fund of China [20BFX142]</t>
  </si>
  <si>
    <t>PhD (University of Paris I -Pantheon Sorbonne), LLM (Renmin University of China), LLB (Shandong University), Director of the Innovation &amp; Competition Law Center, Former VicePresident of the Trademark &amp; Unfair Competition Committee of the IP Case Law Center (Beijing) of the Chinese Supreme People's Court, Vice President of the Beijing IP Judicial Protection Association, Expert Council Member of China Trademark Association, Co-Chair of American Society of International Law Intellectual Property Interest Group, Visiting Professor or Research Fellow (University of Milan, University of Toulouse I, University of Paris I, University of Paris XI, Max Plank Institute for Procedural Law and Strasbourg University CEIPI). The author is thankful to Miss Kristina DaCosta (LLM graduate of Tsinghua University), Miss Ling Zhang (PhD candidate of Tsinghua University) and Mr Yu Huang (LLM graduate of Tsinghua University) for their valuable assistance in this research. This research is part of the project 20BFX142 of the National Social Science Fund of China.</t>
  </si>
  <si>
    <t>10.4337/qmjip.2021.03.03</t>
  </si>
  <si>
    <t>UH1UY</t>
  </si>
  <si>
    <t>WOS:000689726300004</t>
  </si>
  <si>
    <t>Leite, ID; Sdiri, K; Taylor, A; Viallon, J; Gharbia, HB; Júnior, LLM; Swarzenski, P; Oberhaensli, F; Darius, HT; Chinain, M; Bottein, MYD</t>
  </si>
  <si>
    <t>Leite, Isabel do Prado; Sdiri, Khalil; Taylor, Angus; Viallon, Jerome; Gharbia, Hela Ben; Mafra Junior, Luiz Laureno; Swarzenski, Peter; Oberhaensli, Francois; Darius, Helene Taiana; Chinain, Mireille; Bottein, Marie-Yasmine Dechraoui</t>
  </si>
  <si>
    <t>Experimental Evidence of Ciguatoxin Accumulation and Depuration in Carnivorous Lionfish</t>
  </si>
  <si>
    <t>TOXINS</t>
  </si>
  <si>
    <t>ciguatoxins; experimental exposure; lionfish; trophic transfer; toxin accumulation; ciguatera poisoning</t>
  </si>
  <si>
    <t>DINOFLAGELLATE GAMBIERDISCUS-TOXICUS; RECEPTOR-BINDING ASSAY; DEVELOPMENTAL TOXICITY; PTEROIS-VOLITANS; CIGUATERA; TOXINS; PACIFIC; FISH; BREVETOXINS; GUADELOUPE</t>
  </si>
  <si>
    <t>Ciguatera poisoning is a food intoxication associated with the consumption of fish or shellfish contaminated, through trophic transfer, with ciguatoxins (CTXs). In this study, we developed an experimental model to assess the trophic transfer of CTXs from herbivorous parrotfish, Chlorurus microrhinos, to carnivorous lionfish, Pterois volitans. During a 6-week period, juvenile lionfish were fed naturally contaminated parrotfish fillets at a daily dose of 0.11 or 0.035 ng CTX3C equiv. g(-1), as measured by the radioligand-receptor binding assay (r-RBA) or neuroblastoma cell-based assay (CBA-N2a), respectively. During an additional 6-week depuration period, the remaining fish were fed a CTX-free diet. Using r-RBA, no CTXs were detectable in muscular tissues, whereas CTXs were measured in the livers of two out of nine fish sampled during exposure, and in four out of eight fish sampled during depuration. Timepoint pooled liver samples, as analyzed by CBA-N2a, confirmed the accumulation of CTXs in liver tissues, reaching 0.89 ng CTX3C equiv. g(-1) after 41 days of exposure, followed by slow toxin elimination, with 0.37 ng CTX3C equiv. g(-1) measured after the 6-week depuration. These preliminary results, which need to be pursued in adult lionfish, strengthen our knowledge on CTX transfer and kinetics along the food web.</t>
  </si>
  <si>
    <t>[Leite, Isabel do Prado; Mafra Junior, Luiz Laureno] Univ Fed Parana, Ctr Marine Studies, Av Beira Mar S-N,Pontal Parana POB 61, Curitiba, Parana, Brazil; [Sdiri, Khalil; Bottein, Marie-Yasmine Dechraoui] Univ Cote dAzur, CNRS, ECOSEAS, UMR7035, Parc Valrose, F-06103 Nice 2, France; [Taylor, Angus; Swarzenski, Peter; Oberhaensli, Francois] IAEA, Dept Nucl Sci &amp; Applicat, Environm Labs, 4 Quai Antoine 1er, MC-98000 Monaco, Monaco; [Viallon, Jerome; Darius, Helene Taiana; Chinain, Mireille] IFREMER, Inst Louis Malarde, Lab Marine Biotoxins, UMR,EIO,IRD,ILM,UPF, POB 30 Papeete, Tahiti, French Polynesi, France; [Gharbia, Hela Ben] Le Mans Univ, Sci &amp; Techn Fac, MMS Lab, EA 2160, Ave Olivier Messiaen, F-72085 Le Mans, France; [Mafra Junior, Luiz Laureno] IFREMER, Lab Phycotoxines, Rue Ille Yeu, F-44311 Nantes, France</t>
  </si>
  <si>
    <t>Leite, ID (corresponding author), Univ Fed Parana, Ctr Marine Studies, Av Beira Mar S-N,Pontal Parana POB 61, Curitiba, Parana, Brazil.;Bottein, MYD (corresponding author), Univ Cote dAzur, CNRS, ECOSEAS, UMR7035, Parc Valrose, F-06103 Nice 2, France.</t>
  </si>
  <si>
    <t>isabel.oceano@gmail.com; sdiri.khalil06@gmail.com; angustaylor93@gmail.com; Hela.Ben_Gharbia@univ-lemans.fr; luiz.mafra@ufpr.br; P.Swarzenski@iaea.org; F.R.Oberhaensli@iaea.org; tdarius@ilm.pf; mchinain@ilm.pf; y.bottein@gmail.com</t>
  </si>
  <si>
    <t>country of France [7937/MSR/REC, HC/491/DIE/BPT]; country of French Polynesia [7937/MSR/REC, HC/491/DIE/BPT]; International Atomic Energy Agency (IAEA) [CRPK41014, 18827]; Coordenacao de Aperfeicoamento de Pessoal de Nivel Superior (CAPES, Brazil) at Federal University of Parana [88881.172853/2018-01, 7338918]</t>
  </si>
  <si>
    <t>country of France; country of French Polynesia; International Atomic Energy Agency (IAEA)(International Atomic Energy Agency); Coordenacao de Aperfeicoamento de Pessoal de Nivel Superior (CAPES, Brazil) at Federal University of Parana</t>
  </si>
  <si>
    <t>The research was funded by the countries of France and French Polynesia in the framework of the CARISTO-Pf (no. 7937/MSR/REC of 4 December 2015 and Arrete no. HC/491/DIE/BPT of 30 March 2016) research program. This study was also partially supported by the International Atomic Energy Agency (IAEA) through the Coordinated Research Project (CRPK41014), contract #18827 (Bentox Project) and the CoordenacAo de Aperfeicoamento de Pessoal de Nivel Superior (CAPES, Brazil) for the Ph.D. scholarship awarded to I.d.P.L. at Federal University of Parana, and for the PVEX (n. 88881.172853/2018-01) and PDSE-2018 (n. 7338918) grants awarded to L.L.M.J. and I.d.P.L., respectively.</t>
  </si>
  <si>
    <t>2072-6651</t>
  </si>
  <si>
    <t>Toxins</t>
  </si>
  <si>
    <t>10.3390/toxins13080564</t>
  </si>
  <si>
    <t>Food Science &amp; Technology; Toxicology</t>
  </si>
  <si>
    <t>UH7XE</t>
  </si>
  <si>
    <t>WOS:000690137800001</t>
  </si>
  <si>
    <t>Zhang, YA</t>
  </si>
  <si>
    <t>Zhang, Yanan</t>
  </si>
  <si>
    <t>Punitive damages in trademark infringement disputes in China: challenges and prospects</t>
  </si>
  <si>
    <t>punitive damages; aggravated damages; intellectual property; trademark; infringement; burden of proof; compensatory damages; statutory damages</t>
  </si>
  <si>
    <t>Punitive damages were introduced into the intellectual property field in China by legislation permitting their imposition for malicious and serious infringements. This paper offers a comprehensive legal framework of punitive damages regarding trademark infringement and a critical analysis of the application of punitive damages in trademark infringement disputes in Chinese judicial practice. My research reveals that punitive damages have rarely been imposed since the punitive damages provision, Article 63 of the Trademark Law, took effect in 2014, whereas statutory damages have been applied extensively. The reason for this is that there are few guidelines for the application of this provision. The challenges to the application include undefined statutory requirements, difficulties in not only assessing compensation but also providing evidence and determining the multiple of compensation, and an unclear relationship between statutory damages and punitive damages. The 2019 Amendment of the Trademark Law retains these problems. Fortunately, the recently released Judicial Interpretation and typical cases concerning punitive damages contribute to resolving them. Moreover, those cases in which punitive damages have been applied have gradually revealed some basic principles for their application. Reform suggestions are offered in order to stimulate the development of a more thorough and uniform application of the punitive damages provision.</t>
  </si>
  <si>
    <t>[Zhang, Yanan] Shanghai Univ Polit Sci &amp; Law SHUPL, Int Law Sch, Shanghai, Peoples R China; [Zhang, Yanan] Univ Lapland, Sch Law, Rovaniemi, Finland</t>
  </si>
  <si>
    <t>Shanghai University of Political Science &amp; Law; University of Lapland</t>
  </si>
  <si>
    <t>Zhang, YA (corresponding author), Shanghai Univ Polit Sci &amp; Law SHUPL, Int Law Sch, Shanghai, Peoples R China.;Zhang, YA (corresponding author), Univ Lapland, Sch Law, Rovaniemi, Finland.</t>
  </si>
  <si>
    <t>zhangyanan@shupl.edu.cn</t>
  </si>
  <si>
    <t>Zhang, Yanan/IYJ-1165-2023</t>
  </si>
  <si>
    <t>Shanghai High-Level Legal Research Project, Shanghai Young Eastern Scholar Program; Shanghai Pujiang Program [15PJC086]</t>
  </si>
  <si>
    <t>Shanghai High-Level Legal Research Project, Shanghai Young Eastern Scholar Program; Shanghai Pujiang Program(Shanghai Pujiang Program)</t>
  </si>
  <si>
    <t>The author earned her PhD at the University of Eastern Finland and her LLM at the University of Leicester, England. The research is sponsored by the Shanghai High-Level Legal Research Project, Shanghai Young Eastern Scholar Program, and Shanghai Pujiang Program (Project No. 15PJC086). The author is very thankful for the critical and thoughtful comments from Rosa Ballardini and Soili Nysten Haarala, and for the clarification of punitive damages in US law by Xuan-Thao Nguyen. The author also would like to give sincere thanks to Ezra Wasserman Mitchell for his valuable comments and help with checking the language of the manuscript; Aimo Tattari for his help with language proofreading; and the referees and editors of QMJIP for their valuable suggestions on the improvement and publication of the manuscript. All remaining errors are mine. The author can be contacted by email at zhangyanan@shupl.edu.cn or yananzhang6@qq.com.</t>
  </si>
  <si>
    <t>10.4337/qmjip.2021.03.05</t>
  </si>
  <si>
    <t>WOS:000689726300006</t>
  </si>
  <si>
    <t>Jung, MY; Sedlacek, CJ; Kits, KD; Mueller, AJ; Rhee, SK; Hink, L; Nicol, GW; Bayer, B; Lehtovirta-Morley, L; Wright, C; De la Torre, JR; Herbold, CW; Pjevac, P; Daims, H; Wagner, M</t>
  </si>
  <si>
    <t>Jung, Man-Young; Sedlacek, Christopher J.; Kits, K. Dimitri; Mueller, Anna J.; Rhee, Sung-Keun; Hink, Linda; Nicol, Graeme W.; Bayer, Barbara; Lehtovirta-Morley, Laura; Wright, Chloe; de la Torre, Jose R.; Herbold, Craig W.; Pjevac, Petra; Daims, Holger; Wagner, Michael</t>
  </si>
  <si>
    <t>Ammonia-oxidizing archaea possess a wide range of cellular ammonia affinities</t>
  </si>
  <si>
    <t>ISME JOURNAL</t>
  </si>
  <si>
    <t>NITROSOMONAS-EUROPAEA; NICHE DIFFERENTIATION; COMPLETE NITRIFICATION; KINETIC-PARAMETERS; GROUP I.1A; TEMPERATURE; OXIDATION; BACTERIAL; SOIL; NITROGEN</t>
  </si>
  <si>
    <t>Nitrification, the oxidation of ammonia to nitrate, is an essential process in the biogeochemical nitrogen cycle. The first step of nitrification, ammonia oxidation, is performed by three, often co-occurring guilds of chemolithoautotrophs: ammonia-oxidizing bacteria (AOB), archaea (AOA), and complete ammonia oxidizers (comammox). Substrate kinetics are considered to be a major niche-differentiating factor between these guilds, but few AOA strains have been kinetically characterized. Here, the ammonia oxidation kinetic properties of 12 AOA representing all major cultivated phylogenetic lineages were determined using microrespirometry. Members of the genus Nitrosocosmicus have the lowest affinity for both ammonia and total ammonium of any characterized AOA, and these values are similar to previously determined ammonia and total ammonium affinities of AOB. This contrasts previous assumptions that all AOA possess much higher substrate affinities than their comammox or AOB counterparts. The substrate affinity of ammonia oxidizers correlated with their cell surface area to volume ratios. In addition, kinetic measurements across a range of pH values supports the hypothesis that-like for AOB-ammonia and not ammonium is the substrate for the ammonia monooxygenase enzyme of AOA and comammox. Together, these data will facilitate predictions and interpretation of ammonia oxidizer community structures and provide a robust basis for establishing testable hypotheses on competition between AOB, AOA, and comammox.</t>
  </si>
  <si>
    <t>[Jung, Man-Young; Sedlacek, Christopher J.; Kits, K. Dimitri; Mueller, Anna J.; Bayer, Barbara; Herbold, Craig W.; Pjevac, Petra; Daims, Holger; Wagner, Michael] Univ Vienna, Ctr Microbiol &amp; Environm Syst Sci, Dept Microbiol &amp; Ecosyst Sci, Vienna, Austria; [Jung, Man-Young] Jeju Natl Univ, Dept Biol Educ, Jeju, South Korea; [Jung, Man-Young] Jeju Natl Univ, Interdisciplinary Grad Program Adv Convergence Te, Jeju, South Korea; [Sedlacek, Christopher J.; Daims, Holger; Wagner, Michael] Univ Vienna, Comammox Res Platform, Vienna, Austria; [Rhee, Sung-Keun] Chungbuk Natl Univ, Dept Microbiol, Cheongju, South Korea; [Hink, Linda; Nicol, Graeme W.] Univ Lyon, Ecole Cent Lyon, Lab Ampere, Environm Microbial Genom Grp, Ecully, France; [Bayer, Barbara] Univ Vienna, Div Biooceanog, Dept Funct &amp; Evolutionary Ecol, Vienna, Austria; [Lehtovirta-Morley, Laura; Wright, Chloe] Univ East Anglia, Sch Biol Sci, Norwich Res Pk, Norwich, Norfolk, England; [de la Torre, Jose R.] San Francisco State Univ, Dept Biol, San Francisco, CA 94132 USA; [Pjevac, Petra] Joint Microbiome Facil Med Univ Vienna, Vienna, Austria; [Pjevac, Petra] Univ Vienna, Vienna, Austria; [Wagner, Michael] Aalborg Univ, Ctr Microbial Communities, Dept Chem &amp; Biosci, Aalborg, Denmark; [Hink, Linda] Leibniz Univ Hannover, Inst Microbiol, Hannover, Germany; [Bayer, Barbara] Univ Calif Santa Barbara, Dept Ecol Evolut &amp; Marine Biol, Santa Barbara, CA 93106 USA</t>
  </si>
  <si>
    <t>Jung, MY; Sedlacek, CJ (corresponding author), Univ Vienna, Ctr Microbiol &amp; Environm Syst Sci, Dept Microbiol &amp; Ecosyst Sci, Vienna, Austria.;Jung, MY (corresponding author), Jeju Natl Univ, Dept Biol Educ, Jeju, South Korea.;Jung, MY (corresponding author), Jeju Natl Univ, Interdisciplinary Grad Program Adv Convergence Te, Jeju, South Korea.;Sedlacek, CJ (corresponding author), Univ Vienna, Comammox Res Platform, Vienna, Austria.</t>
  </si>
  <si>
    <t>myjung@jejunu.ac.kr; sedlacekc88@univie.ac.at</t>
  </si>
  <si>
    <t>Wittgenstein award of the Austrian Science Fund FWF(Austrian Science Fund (FWF)); Austrian Science Fund FWF through the Young Investigators Research Grant program(Austrian Science Fund (FWF)); Research Institute for Basic Sciences (RIBS) of Jeju National University; National research Facilities and Equipment Center of Korea Basic Science Institute through the National Research Foundation of Korea (NRF) - Ministry of Education(Ministry of Education (MOE), Republic of KoreaNational Research Foundation of Korea); MSIT by Korea government(Ministry of Science &amp; ICT (MSIT), Republic of Korea); NRF - Ministry of Environment (MOE) of the Republic of Korea(National Research Foundation of Korea); University of East Anglia; Royal Society Dorothy Hodgkin Research Fellowship(Royal Society); European Research Council (ERC)(European Research Council (ERC)Spanish Government); Austrian Science Fund (FWF)(Austrian Science Fund (FWF))</t>
  </si>
  <si>
    <t>We would like to thank Marton Palatinszky, Ping Han, Michael Lukumbuzya, and Dimitra Sakoula for their assistance with microscopy and culture maintenance. CJS and DK were supported by the Wittgenstein award of the Austrian Science Fund FWF (Z383-B) to MW. PP and CJS were supported by the Austrian Science Fund FWF through the Young Investigators Research Grant program (ZK74). M-YJ was supported by the Research Institute for Basic Sciences (RIBS) of Jeju National University (2019R1A6A10072987) and the National research Facilities and Equipment Center of Korea Basic Science Institute (2020R1A6C101A188) through the National Research Foundation of Korea (NRF) grant funded by the Ministry of Education and MSIT (NRF-2021R1C1C1008303) by the Korea government. S-KR was supported by NRF grant funded by the Ministry of Environment (MOE) of the Republic of Korea (2021R1A2C3004015). CW was supported by a University of East Anglia-funded PhD studentship. LLM was supported by a Royal Society Dorothy Hodgkin Research Fellowship (DH150187) and by a European Research Council (ERC) Starting Grant (UNITY 852993).</t>
  </si>
  <si>
    <t>1751-7362</t>
  </si>
  <si>
    <t>1751-7370</t>
  </si>
  <si>
    <t>ISME J</t>
  </si>
  <si>
    <t>ISME J.</t>
  </si>
  <si>
    <t>10.1038/s41396-021-01064-z</t>
  </si>
  <si>
    <t>JUL 2021</t>
  </si>
  <si>
    <t>Ecology; Microbiology</t>
  </si>
  <si>
    <t>Environmental Sciences &amp; Ecology; Microbiology</t>
  </si>
  <si>
    <t>XS1WU</t>
  </si>
  <si>
    <t>WOS:000677942400001</t>
  </si>
  <si>
    <t>Ngounouno, MA; Ngueyep, LLM; Kingni, ST; Nforsoh, SN; Ngounouno, I</t>
  </si>
  <si>
    <t>Ngounouno, Mouhamed Ayiwouo; Ngueyep, Luc Leroy Mambou; Kingni, Sifeu Takougang; Nforsoh, Sirri Neba; Ngounouno, Ismaila</t>
  </si>
  <si>
    <t>Evaluation of the impact of gold mining activities on the waters and sediments of Lom River, Wakaso, Cameroon and the restorative effect of Moringa Oleifera seeds</t>
  </si>
  <si>
    <t>APPLIED WATER SCIENCE</t>
  </si>
  <si>
    <t>Waters; Sediments; Physicochemical characterization; Heavy metals; Contamination; Moringa oleifera seeds; Water treatment</t>
  </si>
  <si>
    <t>The impact of gold mining activities on the Lom River in Wakaso (Adamawa Cameroon) and the potential of Moringa Oleifera seeds for the removal of pollutants from wastewater is evaluated on this paper. Water samples were collected for physicochemical (hydrogen potential, electrical conductivity, turbidity and suspended solids) and chemical (major ions and heavy metals) analyses. To evaluate the effect of mining activities on waters and sediments, a combination of multivariate statistical analysis (MSA) and methods to assess the sediment quality was used. The restorative effect of Moringa oleifera seeds was studied with the determination of the maximum removal efficiencies and the maximum adsorption capacities. The results of the physicochemical characterization of waters showed that these waters were slightly acidic to slightly basic (6.12-8.12), weakly conductive (185.8-584.1 mu S cm(-1)), turbid (345-801NTU) and had high content of suspended solids (167-700 mg L-1). The average concentrations of studied heavy metals (Ni, Cd, Fe, Mn, As and Hg) in waters exceeded the limits recommended by the World Health Organization (WHO) standards. Physicochemical characterization of sediments revealed that they were acidic to neutral (5.95-6.80) and organic matter (OM) content ranged from 11.11 to 15.78%. The concentrations of studied trace metals (Ni, Cd, Fe, Hg, Mn and As) in sediments were below the limits recommended by the WHO except for Cd and Hg. The study of the capacity of Moringa oleifera seeds to remove pollutants in waters showed that 54% of the electrical conductivity, 80% of turbidity and 94% of suspended solids were reduced. The maximum removal efficiency of 91.66, 92.30 and 24.48 and the maximum adsorption capacity of 2.4, 2.6 and 16.6 mg g(-1)were observed for Cd (II), Hg (II) and Fe (II), respectively. Thus, the Moringa oleifera seeds which are locally available natural bio-adsorbent exhibit attractive property to treat wastewater.</t>
  </si>
  <si>
    <t>[Ngounouno, Mouhamed Ayiwouo; Ngueyep, Luc Leroy Mambou; Nforsoh, Sirri Neba] Univ Ngaoundere, Sch Geol &amp; Min Engn, Dept Min Engn, POB 115, Meiganga, Cameroon; [Kingni, Sifeu Takougang] Univ Maroua, Fac Mines &amp; Petr Ind, Dept Mech Petr &amp; Gas Engn, POB 46, Maroua, Cameroon; [Ngounouno, Ismaila] Univ Ngaoundere, Sch Geol &amp; Min Engn, Dept Min Geol, POB 115, Meiganga, Cameroon</t>
  </si>
  <si>
    <t>Ngueyep, LLM (corresponding author), Univ Ngaoundere, Sch Geol &amp; Min Engn, Dept Min Engn, POB 115, Meiganga, Cameroon.</t>
  </si>
  <si>
    <t>mamboulucleroy@gmail.com</t>
  </si>
  <si>
    <t>laboratory of Hydrobiology and Environment laboratory of the University of Yaounde I (Cameroon); promotion of local materials (MIPROMALO)''; Framework of Support for the Promotion of Mining Handicrafts '(CAPAM)''</t>
  </si>
  <si>
    <t>The authors would like to thank the laboratory of Hydrobiology and Environment laboratory of the University of Yaounde I (Cameroon), the promotion of local materials (MIPROMALO)'' and the Framework of Support for the Promotion of Mining Handicrafts '(CAPAM)'' for their support during the analysis works.</t>
  </si>
  <si>
    <t>2190-5487</t>
  </si>
  <si>
    <t>2190-5495</t>
  </si>
  <si>
    <t>APPL WATER SCI</t>
  </si>
  <si>
    <t>Appl. Water Sci.</t>
  </si>
  <si>
    <t>10.1007/s13201-021-01445-x</t>
  </si>
  <si>
    <t>Water Resources</t>
  </si>
  <si>
    <t>ST1OJ</t>
  </si>
  <si>
    <t>WOS:000662219600001</t>
  </si>
  <si>
    <t>Su, Z; Dasgupta, M; Poitevin, F; Mathews, II; van den Bedem, H; Wall, ME; Yoon, CH; Wilson, MA</t>
  </si>
  <si>
    <t>Su, Zhen; Dasgupta, Medhanjali; Poitevin, Frederic; Mathews, Irimpan I.; van den Bedem, Henry; Wall, Michael E.; Yoon, Chun Hong; Wilson, Mark A.</t>
  </si>
  <si>
    <t>Reproducibility of protein x-ray diffuse scattering and potential utility for modeling atomic displacement parameters</t>
  </si>
  <si>
    <t>STRUCTURAL DYNAMICS-US</t>
  </si>
  <si>
    <t>RIGID-BODY MOTION; CRYSTALS; DYNAMICS; CRYSTALLOGRAPHY; DIFFRACTION; MOVEMENTS</t>
  </si>
  <si>
    <t>Protein structure and dynamics can be probed using x-ray crystallography. Whereas the Bragg peaks are only sensitive to the average unit-cell electron density, the signal between the Bragg peaks-diffuse scattering-is sensitive to spatial correlations in electron-density variations. Although diffuse scattering contains valuable information about protein dynamics, the diffuse signal is more difficult to isolate from the background compared to the Bragg signal, and the reproducibility of diffuse signal is not yet well understood. We present a systematic study of the reproducibility of diffuse scattering from isocyanide hydratase in three different protein forms. Both replicate diffuse datasets and datasets obtained from different mutants were similar in pairwise comparisons (Pearson correlation coefficient &gt;= 0.8). The data were processed in a manner inspired by previously published methods using custom software with modular design, enabling us to perform an analysis of various data processing choices to determine how to obtain the highest quality data as assessed using unbiased measures of symmetry and reproducibility. The diffuse data were then used to characterize atomic mobility using a liquid-like motions (LLM) model. This characterization was able to discriminate between distinct anisotropic atomic displacement parameter (ADP) models arising from different anisotropic scaling choices that agreed comparably with the Bragg data. Our results emphasize the importance of data reproducibility as a model-free measure of diffuse data quality, illustrate the ability of LLM analysis of diffuse scattering to select among alternative ADP models, and offer insights into the design of successful diffuse scattering experiments.</t>
  </si>
  <si>
    <t>[Su, Zhen; Yoon, Chun Hong] SLAC Natl Accelerator Lab, Linac Coherent Light Source, Menlo Pk, CA 94025 USA; [Su, Zhen] Stanford Univ, Dept Appl Phys, Stanford, CA 94305 USA; [Dasgupta, Medhanjali; Poitevin, Frederic] Lawrence Berkeley Natl Lab, Mol Biophys &amp; Integrated Bioimaging Div, Berkeley, CA 94720 USA; [Mathews, Irimpan I.] SLAC Natl Accelerator Lab, Stanford Synchrotron Radiat Lightsource, Menlo Pk, CA 94025 USA; [van den Bedem, Henry] SLAC Natl Accelerator Lab, Biosci Div, Menlo Pk, CA 94025 USA; [van den Bedem, Henry] Univ Calif San Francisco, Dept Bioengn &amp; Therapeut Sci, San Francisco, CA 94158 USA; [Wall, Michael E.] Los Alamos Natl Lab, Comp Computat &amp; Stat Sci Div, Los Alamos, NM 87545 USA; [Wilson, Mark A.] Univ Nebraska, Dept Biochem, Lincoln, NE 68588 USA; [Wilson, Mark A.] Univ Nebraska, Redox Biol Ctr, Lincoln, NE 68588 USA</t>
  </si>
  <si>
    <t>Stanford University; United States Department of Energy (DOE); SLAC National Accelerator Laboratory; Stanford University; United States Department of Energy (DOE); Lawrence Berkeley National Laboratory; Stanford University; United States Department of Energy (DOE); SLAC National Accelerator Laboratory; Stanford University; United States Department of Energy (DOE); SLAC National Accelerator Laboratory; University of California System; University of California San Francisco; United States Department of Energy (DOE); Los Alamos National Laboratory; University of Nebraska System; University of Nebraska Lincoln; University of Nebraska System; University of Nebraska Lincoln</t>
  </si>
  <si>
    <t>Yoon, CH (corresponding author), SLAC Natl Accelerator Lab, Linac Coherent Light Source, Menlo Pk, CA 94025 USA.;Wall, ME (corresponding author), Los Alamos Natl Lab, Comp Computat &amp; Stat Sci Div, Los Alamos, NM 87545 USA.;Wilson, MA (corresponding author), Univ Nebraska, Dept Biochem, Lincoln, NE 68588 USA.;Wilson, MA (corresponding author), Univ Nebraska, Redox Biol Ctr, Lincoln, NE 68588 USA.</t>
  </si>
  <si>
    <t>mewall@lanl.gov; yoon82@stanford.edu; mwilson13@unl.edu</t>
  </si>
  <si>
    <t>Poitevin, Frederic/K-1718-2014</t>
  </si>
  <si>
    <t>Wall, Michael/0000-0003-1000-688X; Poitevin, Frederic/0000-0002-3181-8652; van den Bedem, Henry/0000-0003-2358-841X</t>
  </si>
  <si>
    <t>Exascale Computing Project [17-SC-20-SC]; NIH [R01GM139978, R01GM123159]; Deutsche Forschungsgemeinschaft [LE 1841/5-1]; University of California Laboratory Fees Research Program [LFR-17-476732]; U.S. Department of Energy, Office of Science, Office of Basic Energy Sciences [DE-AC02-76SF00515]; DOE Office of Biological and Environmental Research; National Institutes of Health, National Institute of General Medical Sciences [P30GM133894]; The Los Alamos National Laboratory [LA-UR-22724]</t>
  </si>
  <si>
    <t>Exascale Computing Project; NIH(United States Department of Health &amp; Human ServicesNational Institutes of Health (NIH) - USA); Deutsche Forschungsgemeinschaft(German Research Foundation (DFG)); University of California Laboratory Fees Research Program; U.S. Department of Energy, Office of Science, Office of Basic Energy Sciences(United States Department of Energy (DOE)); DOE Office of Biological and Environmental Research(United States Department of Energy (DOE)); National Institutes of Health, National Institute of General Medical Sciences(United States Department of Health &amp; Human ServicesNational Institutes of Health (NIH) - USANIH National Institute of General Medical Sciences (NIGMS)); The Los Alamos National Laboratory(United States Department of Energy (DOE)Los Alamos National Laboratory)</t>
  </si>
  <si>
    <t>The authors are grateful to Steve P. Meisburger for comments that led to substantial improvements in the manuscript and insights that enabled us to determine the source of the difference in ADPs between the PHENIX and Refmac5 models. Z.S. would like to thank Professor Mike Dunne for his guidance and support, and Professor James Holton for the discussion on x-ray cross sections of glasses and plastics. C.H.Y acknowledges support from the Exascale Computing Project (No. 17-SC-20-SC). M.A.W. acknowledges support from NIH R01GM139978. H.v.d.B. was supported by NIH R01GM123159 and by a Mercator Fellowship from the Deutsche Forschungsgemeinschaft (No. LE 1841/5-1). M.E.W. was supported by the Exascale Computing Project (No. 17-SC-20-SC), a collaborative effort of the U.S. Department of Energy Office of Science and the National Nuclear Security Administration, and the University of California Laboratory Fees Research Program (No. LFR-17-476732). Use of the Stanford Synchrotron Radiation Lightsource and Linac Coherent Light Source (LCLS), SLAC National Accelerator Laboratory, is supported by the U.S. Department of Energy, Office of Science, Office of Basic Energy Sciences under Contract No. DE-AC02-76SF00515. The SSRL Structural Molecular Biology Program is supported by the DOE Office of Biological and Environmental Research, and by the National Institutes of Health, National Institute of General Medical Sciences (No. P30GM133894). The contents of this publication are solely the responsibility of the authors and do not necessarily represent the official views of NIGMS or NIH. The Los Alamos National Laboratory technical release number of this article is LA-UR-22724.</t>
  </si>
  <si>
    <t>AMER INST PHYSICS</t>
  </si>
  <si>
    <t>2329-7778</t>
  </si>
  <si>
    <t>STRUCT DYNAM-US</t>
  </si>
  <si>
    <t>Struct. Dyn.-US</t>
  </si>
  <si>
    <t>10.1063/4.0000087</t>
  </si>
  <si>
    <t>TF5RO</t>
  </si>
  <si>
    <t>WOS:000670778600003</t>
  </si>
  <si>
    <t>Kösling, P; Rüger, CP; Schade, J; Fort, KL; Ehlert, S; Irsig, R; Kozhinov, AN; Nagornov, KO; Makarov, A; Rigler, M; Tsybin, YO; Walte, A; Zimmermann, R</t>
  </si>
  <si>
    <t>Koesling, Paul; Rueger, Christopher P.; Schade, Julian; Fort, Kyle L.; Ehlert, Sven; Irsig, Robert; Kozhinov, Anton N.; Nagornov, Konstantin O.; Makarov, Alexander; Rigler, Martin; Tsybin, Yury O.; Walte, Andreas; Zimmermann, Ralf</t>
  </si>
  <si>
    <t>Vacuum Laser Photoionization inside the C-trap of an Orbitrap Mass Spectrometer: Resonance-Enhanced Multiphoton Ionization High-Resolution Mass Spectrometry</t>
  </si>
  <si>
    <t>POLYCYCLIC AROMATIC-HYDROCARBONS; SINGLE-PHOTON IONIZATION; ATMOSPHERIC-PRESSURE PHOTOIONIZATION; ELECTRON-IMPACT IONIZATION; REAL-TIME ANALYSIS; CHEMICAL-IONIZATION; GAS-CHROMATOGRAPHY; THERMAL-ANALYSIS; CRUDE OILS; ONLINE</t>
  </si>
  <si>
    <t>State-of-the-art mass spectrometry with ultraviolet (UV) photo-ionization is mostly limited to time-of-flight (ToF) mass spectrometers with 1000-10000 m/Delta m mass resolution. However, higher resolution and higher spectral dynamic range mass spectrometry may be indispensable in complex mixture characterization. Here, we present the concept, implementation, and initial evaluation of a compact ultrahigh-resolution mass spectrometer with gas-phase laser ionization. The concept is based on direct laser photoionization in the ion accumulation and ejection trap (C-trap) of an Orbitrap mass spectrometer. Resonance-enhanced multiphoton ionization (REMPI) using 266 nm UV pulses from a frequency-quadrupled Nd:YAG laser was applied for selective and efficient ionization of monocyclic and polycyclic aromatic hydrocarbons. The system is equipped with a gas inlet for volatile compounds and a heated gas chromatography coupling. The former can be employed for rapid system m/z-calibration and performance evaluation, whereas the latter enables analysis of semivolatile and higher-molecular-weight compounds. The capability to evaluate complex mixtures is demonstrated for selected petrochemical materials. In these experiments, several hundred to over a thousand compounds could be attributed with a root-mean-square mass error generally below 1 ppm and a mass resolution of over 140 000 at 200 m/z. Isobaric interferences could be resolved, and narrow mass splits, such as 3.4 mDa (SH4/C-3), are determined. Single laser shots provided limits of detection in the 20-ppb range for p-xylene and 1,2,4-trimethylbenzene, similar to compact vacuum REMPI-ToF systems.</t>
  </si>
  <si>
    <t>[Koesling, Paul; Rueger, Christopher P.; Schade, Julian; Ehlert, Sven; Irsig, Robert; Zimmermann, Ralf] Univ Rostock, Joint Mass Spectrometry Ctr JMSC, Chair Analyt Chem, D-18059 Rostock, Germany; [Koesling, Paul; Rueger, Christopher P.; Schade, Julian; Ehlert, Sven; Irsig, Robert; Zimmermann, Ralf] Univ Rostock, Dept Life Light &amp; Matter LLM, D-18059 Rostock, Germany; [Fort, Kyle L.; Makarov, Alexander] Thermo Fisher Sci Bremen GmbH, D-28199 Bremen, Germany; [Ehlert, Sven; Irsig, Robert; Walte, Andreas] Photon GmbH, D-19061 Schwerin, Germany; [Kozhinov, Anton N.; Nagornov, Konstantin O.; Tsybin, Yury O.] Spectroswiss, CH-1015 Lausanne, Switzerland; [Rigler, Martin] Aerosol Doo, SI-1000 Ljubljana, Slovenia; [Zimmermann, Ralf] Helmholtz Zentrum Muenchen, Joint Mass Spectrometry Ctr, Cooperat Grp Comprehens Mol Analyt, D-85764 Neuherberg, Germany</t>
  </si>
  <si>
    <t>University of Rostock; University of Rostock; Thermo Fisher Scientific; Helmholtz Association; Helmholtz-Center Munich - German Research Center for Environmental Health</t>
  </si>
  <si>
    <t>Rüger, CP (corresponding author), Univ Rostock, Joint Mass Spectrometry Ctr JMSC, Chair Analyt Chem, D-18059 Rostock, Germany.;Rüger, CP (corresponding author), Univ Rostock, Dept Life Light &amp; Matter LLM, D-18059 Rostock, Germany.</t>
  </si>
  <si>
    <t>EUROSTARS project [E! 12083]; Helmholtz International Lab. aeroHEALTH</t>
  </si>
  <si>
    <t>EUROSTARS project; Helmholtz International Lab. aeroHEALTH</t>
  </si>
  <si>
    <t>This work was financed and supported by the EUROSTARS project E! 12083 AerOrbi. The authors gratefully acknowledge the support by the Helmholtz International Lab. aeroHEALTH (www.aerohealth.eu).The authors thank the Interdisciplinary Faculty, Department Life, Light, and Matter of the University of Rostock for providing laboratory space and infrastructure.</t>
  </si>
  <si>
    <t>10.1021/acs.analchem.1c01018</t>
  </si>
  <si>
    <t>JUN 2021</t>
  </si>
  <si>
    <t>TK6GP</t>
  </si>
  <si>
    <t>WOS:000674254900016</t>
  </si>
  <si>
    <t>Zhou, ZQ; Hui, KPY; So, RTY; Lv, HB; Perera, RAPM; Chu, DKW; Gelaye, E; Oyas, H; Njagi, O; Abayneh, T; Kuria, W; Walelign, E; Wanglia, R; El Masry, I; Von Dobschuetz, S; Kalpravidh, W; Chevalier, V; Miguel, E; Fassi-Fihri, O; Trarore, A; Liang, WW; Wang, YQ; Nicholls, JM; Zhao, JC; Chan, MCW; Poon, LLM; Mok, CKP; Peiris, M</t>
  </si>
  <si>
    <t>Zhou, Ziqi; Hui, Kenrie P. Y.; So, Ray T. Y.; Lv, Huibin; Perera, Ranawaka A. P. M.; Chu, Daniel K. W.; Gelaye, Esayas; Oyas, Harry; Njagi, Obadiah; Abayneh, Takele; Kuria, Wilson; Walelign, Elias; Wanglia, Rinah; El Masry, Ihab; Von Dobschuetz, Sophie; Kalpravidh, Wantanee; Chevalier, Veronique; Miguel, Eve; Fassi-Fihri, Ouafaa; Trarore, Amadou; Liang, Weiwen; Wang, Yanqun; Nicholls, John M.; Zhao, Jincun; Chan, Michael C. W.; Poon, Leo L. M.; Mok, Chris Ka Pun; Peiris, Malik</t>
  </si>
  <si>
    <t>Phenotypic and genetic characterization of MERS coronaviruses from Africa to understand their zoonotic potential</t>
  </si>
  <si>
    <t>MERS-CoV; coronaviruses; Africa; phenotype; characterization</t>
  </si>
  <si>
    <t>EAST RESPIRATORY SYNDROME; DROMEDARY CAMELS; TRANSMISSION; MECHANISMS; PNEUMONIA; OUTBREAK; ANTIBODY; VIRUS</t>
  </si>
  <si>
    <t>Coronaviruses are pathogens of pandemic potential. Middle East respiratory syndrome coronavirus (MERS-CoV) causes a zoonotic respiratory disease of global public health concern, and dromedary camels are the only proven source of zoonotic infection. More than 70% of MERS-CoV-infected dromedaries are found in East, North, and West Africa, but zoonotic MERS disease is only reported from the Arabian Peninsula. We compared viral replication competence of clade A and B viruses from the Arabian Peninsula with genetically diverse clade C viruses found in East (Egypt, Kenya, and Ethiopia), North (Morocco), and West (Nigeria and Burkina Faso) Africa. Viruses from Africa had lower replication competence in ex vivo cultures of the human lung and in lungs of experimentally infected human-DPP4 (hDPP4) knockin mice. We used lentivirus pseudo types expressing MERS-CoV spike from Saudi Arabian clade A prototype strain (EMC) or African clade C1.1 viruses and demonstrated that clade C1.1 spike was associated with reduced virus entry into the respiratory epithelial cell line Calu-3. Isogenic EMC viruses with spike protein from EMC or clade C1.1 generated by reverse genetics showed that the clade C1.1 spike was associated with reduced virus replication competence in Calu-3 cells in vitro, in ex vivo human bronchus, and in lungs of hDPP4 knockin mice in vivo. These findings may explain why zoonotic MERS disease has not been reported from Africa so far, despite exposure to and infection with MERS-CoV.</t>
  </si>
  <si>
    <t>[Zhou, Ziqi; Hui, Kenrie P. Y.; Perera, Ranawaka A. P. M.; Chu, Daniel K. W.; Chan, Michael C. W.; Poon, Leo L. M.; Peiris, Malik] Univ Hong Kong HKU, Sch Publ Hlth, Li Ka Shing Fac Med, Hong Kong, Peoples R China; [So, Ray T. Y.; Lv, Huibin; Liang, Weiwen; Poon, Leo L. M.; Mok, Chris Ka Pun; Peiris, Malik] Univ Hong Kong, Li Ka Shing Fac Med, Sch Publ Hlth, HKU Pasteur Res Pole, Hong Kong, Peoples R China; [Gelaye, Esayas; Abayneh, Takele] Nat Vet Inst, Debre Zeit, Ethiopia; [Oyas, Harry; Njagi, Obadiah; Kuria, Wilson] Directorate Vet Serv, Nairobi, Kenya; [Walelign, Elias; Wanglia, Rinah] Food &amp; Agr Org, Emergency Ctr Transboundary Anim Dis, Addis Ababa, Ethiopia; [El Masry, Ihab; Von Dobschuetz, Sophie; Kalpravidh, Wantanee] Food &amp; Agr Org United Nations, I-00153 Rome, Italy; [Chevalier, Veronique] Univ Montpellier, Ctr Cooperat Int Rech Agron Dev, UMR Anim Hlth Terr Risk Ecosyst ASTRE Anim Sante, Inst Natl Rech Agron, F-34398 Montpellier, France; [Chevalier, Veronique] Inst Pasteur Cambodge, Epidemiol &amp; Publ Hlth Unit, Phnom Penh, Cambodia; [Miguel, Eve] Univ Montpellier, Inst Natl Rech Agron, Ctr Cooperat Int Rech Agron Dev, Anim Sante Terr Risques &amp; Ecosyst, F-34398 Montpellier, France; [Miguel, Eve] CNRS, Malad Infect &amp; Vecteurs Ecol Genet Evolut &amp; Contr, Inst Rech Dev, F-34090 Montpellier, France; [Fassi-Fihri, Ouafaa] Ctr Natl Rech Sci &amp; Technol, Lab Biol &amp; Sante Anim, Inst Environm &amp; Rech Agr Burkina Faso, 04 BP 8645, Ouagadougou 04, Burkina Faso; [Trarore, Amadou] Hassan II Univ, Inst Agron &amp; Vet, Rabat Inst, BP 6202, Rabat, Morocco; [Wang, Yanqun; Zhao, Jincun] Guangzhou Med Univ, Guangzhou Inst Resp Hlth, Natl Clin Res Ctr Resp Dis, Affiliated Hosp 1,State Key Lab Resp Dis, Guangzhou, Peoples R China; [Nicholls, John M.] Univ Hong Kong, Li Ka Shing Fac Med, Dept Pathol, Pokfulam, Hong Kong, Peoples R China; [Mok, Chris Ka Pun] Chinese Univ Hong Kong, Jockey Club Sch Publ Hlth &amp; Primary Care, Hong Kong, Peoples R China</t>
  </si>
  <si>
    <t>Peiris, M (corresponding author), Univ Hong Kong HKU, Sch Publ Hlth, Li Ka Shing Fac Med, Hong Kong, Peoples R China.;Mok, CKP; Peiris, M (corresponding author), Univ Hong Kong, Li Ka Shing Fac Med, Sch Publ Hlth, HKU Pasteur Res Pole, Hong Kong, Peoples R China.;Mok, CKP (corresponding author), Chinese Univ Hong Kong, Jockey Club Sch Publ Hlth &amp; Primary Care, Hong Kong, Peoples R China.</t>
  </si>
  <si>
    <t>kapunmok@cuhk.edu.hk; malik@hku.hk</t>
  </si>
  <si>
    <t>Commissioned Research on Control of Infectious Diseases (phase III and IV) from the Health and Medical Research Fund; Hong Kong Special Administrative Region; Health and Medical Research Fund [19181032]; NIH [HHSN272201400006C, AI151810]; Pasteur International Network Association; Guangdong Province International Scientific and Technological Cooperation Projects [2020A0505100063]; US Agency for International Development (USAID) [OSRO/GLO/505/USA]</t>
  </si>
  <si>
    <t>Commissioned Research on Control of Infectious Diseases (phase III and IV) from the Health and Medical Research Fund; Hong Kong Special Administrative Region; Health and Medical Research Fund; NIH(United States Department of Health &amp; Human ServicesNational Institutes of Health (NIH) - USA); Pasteur International Network Association; Guangdong Province International Scientific and Technological Cooperation Projects; US Agency for International Development (USAID)(United States Agency for International Development (USAID))</t>
  </si>
  <si>
    <t>We acknowledge Dr. Jean Millet for advice on the MERS-CoV spike fusion assays and Dr. Eric H. Y. Lau for advice on statistical analysis. We acknowledge the technical assistance of Dr. B. Getachew, Mr. K. Adamu, Mrs. H. Mohammed (National Veterinary Institute, Ethiopia), Drs. O. Njagi, G. Njogu, L. Wangui, J. Ngoci, andW. Mbaya (Central Veterinary Laboratory, Kenya), Dr. T. Nyariki (National MERS-CoV Coordinator, Food and Agriculture Organization [FAO], Kenya), and Drs. Gijs van `t Klooster, Nega Tewolde, and G. Gari (FAO Emergency Centre for Transboundary Animal Diseases [ECTAD] Program, Ethiopia). We acknowledge the support of Yilma Makonnen, Emma Garder, Ryan Aguanno, Cristian De Battisti, and Agneleque Angot (FAO of the United Nations). We thank M. C. Cheung, Rachel H. H. Ching, John C. W. Ho, Rita Lai, L. K. Chi, and Keith Chan (The University of Hong Kong) for technical assistance. The research was funded by the Commissioned Research on Control of Infectious Diseases (phase III and IV) from the Health and Medical Research Fund, Hong Kong Special Administrative Region; Health and Medical Research Fund Grant 19181032; NIH (Contract HHSN272201400006C and U01 Grant AI151810), a Calmette and Yersin scholarship from the Pasteur International Network Association, and Guangdong Province International Scientific and Technological Cooperation Projects (Grant 2020A0505100063). Field studies in Kenya and Ethiopia were supported through the FAO of the United Nations project OSRO/GLO/505/USA, which is funded by the US Agency for International Development (USAID). The views and opinions expressed in this paper are those of the authors and are not necessarily the views of USAID or FAO.</t>
  </si>
  <si>
    <t>JUN 22</t>
  </si>
  <si>
    <t>e2103984118</t>
  </si>
  <si>
    <t>10.1073/pnas.2103984118</t>
  </si>
  <si>
    <t>TI1RU</t>
  </si>
  <si>
    <t>WOS:000672563300021</t>
  </si>
  <si>
    <t>Kessler, M</t>
  </si>
  <si>
    <t>Kessler, Matt</t>
  </si>
  <si>
    <t>Though much scholarship has investigated the nexus of language teachers' identities and classroom pedagogies, such studies often have focused on novice teachers in training or experienced practitioners who are working within university IEP or EAP program contexts. Crucially, little scholarship has examined contexts involving content-based instruction (CBI), where many times, instructors are not linguistically trained yet may adopt discipline-specific practices and/or develop their own unique methods for teaching L2 learners. The current study explores this gap, examining a CBI instructor of a legal research and writing course in an L2 English legal education program (i.e., LLM program). For 16 weeks, the researcher conducted a classroom-based ethnography to investigate how an experienced law instructor's various role identities impacted his pedagogical practices as he taught LLM students to write a legal genre called the office memorandum. Data consisted of: in-class observations, fieldnotes, artifacts (e.g., syllabi, assignments), semi-structured interviews, and a visualization reflection. The findings illustrate how three primary role identities shaped the instructor's pedagogy in ways that permeated his curriculum design and his manner of lesson presentation. Implications for L2 educators and researchers are discussed.</t>
  </si>
  <si>
    <t>[Kessler, Matt] Univ S Florida, Tampa, FL 33620 USA</t>
  </si>
  <si>
    <t>State University System of Florida; University of South Florida</t>
  </si>
  <si>
    <t>Kessler, M (corresponding author), Univ S Florida, Dept World Languages, 4202 E Fowler Ave,CPR 413, Tampa, FL 33620 USA.</t>
  </si>
  <si>
    <t>mattjkess@gmail.com</t>
  </si>
  <si>
    <t>Kessler, Matt/AAT-3850-2021</t>
  </si>
  <si>
    <t>Kessler, Matt/0000-0001-5264-0059</t>
  </si>
  <si>
    <t>TG0NO</t>
  </si>
  <si>
    <t>WOS:000671110300016</t>
  </si>
  <si>
    <t>Xu, XQ; Zheng, XW; Li, SX; Lam, NS; Wang, YL; Chu, DKW; Poon, LLM; Tun, HM; Peiris, M; Deng, Y; Leung, GM; Zhang, T</t>
  </si>
  <si>
    <t>Xu, Xiaoqing; Zheng, Xiawan; Li, Shuxian; Lam, Nga Sze; Wang, Yulin; Chu, Daniel K. W.; Poon, Leo L. M.; Tun, Hein Min; Peiris, Malik; Deng, Yu; Leung, Gabriel M.; Zhang, Tong</t>
  </si>
  <si>
    <t>The first case study of wastewater-based epidemiology of COVID-19 in Hong Kong</t>
  </si>
  <si>
    <t>Sewage surveillance; SARS-CoV-2; COVID-19; Sewage system characteristics; Early warnings; Hong Kong</t>
  </si>
  <si>
    <t>SARS-COV-2; CHALLENGES; RNA</t>
  </si>
  <si>
    <t>Early detection and surveillance of severe acute respiratory syndrome-coronavirus 2 (SARS-CoV-2) virus are key pre-requisites for the effective control of coronavirus disease (COVID-19). So far, sewage testing has been increasingly employed as an alternative surveillance tool for this disease. However, sampling site characteristics impact the testing results and should be addressed in the early use stage of this emerging tool. In this study, we implemented the sewage testing for SARS-CoV-2 virus across sampling sites with different sewage system characteristics. We first validated a testing method using positive samples from a hospital treating COVID-19 patients. This method was used to test 107 sewage samples collected during the third wave of the COVID-19 outbreak in Hong Kong (from June 8 to September 29, 2020), covering sampling sites associated with a COVID-19 hospital, public housing estates, and conventional sewage treatment facilities. The highest viral titer of 1975 copy/mL in sewage was observed in a sample collected from the isolation ward of the COVID-19 hospital. Sewage sampling at individual buildings detected the virus 2 days before the first cases were identified. Sequencing of the detected viral fragment confirmed an identical nucleotide sequence to that of the SARS-CoV-2 isolated from human samples. The virus was also detected in sewage treatment facilities, which serve populations of approximately 40,000 to more than one million people. (c) 2021 Elsevier B.V. All rights reserved.</t>
  </si>
  <si>
    <t>[Xu, Xiaoqing; Zheng, Xiawan; Li, Shuxian; Lam, Nga Sze; Wang, Yulin; Deng, Yu; Zhang, Tong] Univ Hong Kong, Dept Civil Engn, Environm Microbiome Engn &amp; Biotechnol Lab, Pok Fu Lam Rd, Hong Kong, Peoples R China; [Chu, Daniel K. W.; Poon, Leo L. M.; Tun, Hein Min; Peiris, Malik; Leung, Gabriel M.] Univ Hong Kong, LKS Fac Med, Sch Publ Hlth, Hong Kong, Peoples R China</t>
  </si>
  <si>
    <t>Deng, Y; Zhang, T (corresponding author), Univ Hong Kong, Dept Civil Engn, Environm Microbiome Engn &amp; Biotechnol Lab, Pok Fu Lam Rd, Hong Kong, Peoples R China.;Leung, GM (corresponding author), Univ Hong Kong, LKS Fac Med, Sch Publ Hlth, Hong Kong, Peoples R China.</t>
  </si>
  <si>
    <t>dengyu@hku.hk; gmleung@hku.hk; zhangt@hku.hk</t>
  </si>
  <si>
    <t>Yulin, Wang/0000-0002-9899-7712; Zhang, Tong/0000-0003-1148-4322</t>
  </si>
  <si>
    <t>Hong Kong Drainage Services Department; Environmental Protection Department under the Environmental Bureau of Hong Kong SAR, China; HKU Faculty of Engineering COVID-19 Action Seed Funding; University of Hong Kong</t>
  </si>
  <si>
    <t>Hong Kong Drainage Services Department; Environmental Protection Department under the Environmental Bureau of Hong Kong SAR, China; HKU Faculty of Engineering COVID-19 Action Seed Funding; University of Hong Kong(University of Hong Kong)</t>
  </si>
  <si>
    <t>This study was supported by the Hong Kong Drainage Services Department and the Environmental Protection Department under the Environmental Bureau of Hong Kong SAR, China. The authors would like to thank for the financial support of HKU Faculty of Engineering COVID-19 Action Seed Funding. Xiaoqing Xu and Xiawan Zheng would like to thank The University of Hong Kong for the Postgraduate Studentship.</t>
  </si>
  <si>
    <t>RADARWEG 29a, 1043 NX AMSTERDAM, NETHERLANDS</t>
  </si>
  <si>
    <t>10.1016/j.scitotenv.2021.148000</t>
  </si>
  <si>
    <t>UA2MW</t>
  </si>
  <si>
    <t>Green Published, Bronze</t>
  </si>
  <si>
    <t>WOS:000684999300010</t>
  </si>
  <si>
    <t>Khater, SI; Mohamed, AAR; Arisha, AH; Ebraheim, LLM; El-Mandrawy, SAM; Nassan, MA; Mohammed, AT; Abdo, SA</t>
  </si>
  <si>
    <t>Khater, Safaa I.; Mohamed, Amany Abdel-Rahman; Arisha, Ahmed Hamed; Ebraheim, Lamiaa L. M.; El-Mandrawy, Shefaa A. M.; Nassan, Mohamed A.; Mohammed, Amany Tharwat; Abdo, Samar Ahmed</t>
  </si>
  <si>
    <t>Stabilized-chitosan selenium nanoparticles efficiently reduce renal tissue injury and regulate the expression pattern of aldose reductase in the diabetic-nephropathy rat model</t>
  </si>
  <si>
    <t>LIFE SCIENCES</t>
  </si>
  <si>
    <t>Chitosan; Selenium nanoparticles; Nephropathy; Fibrosis; Oxidative stress; Aldose reductase</t>
  </si>
  <si>
    <t>HIGH-FAT DIET; OXIDATIVE STRESS; GENE-EXPRESSION; GLUCOSE; DAMAGE; ACTIVATION; INHIBITION; PODOCYTES; APOPTOSIS; DEPLETION</t>
  </si>
  <si>
    <t>One of the global alarming prevalent metabolic diseases is Type 2 diabetes mellitus (T2DM) than other diabetes and sustains a substantial burden on public and healthcare systems. This study attempts to endeavor the beneficial effect of chitosan stabilized nanoparticles Ch-SeNPs on combating diabetic nephropathy (DN) after induction of T2DM in rats (DN.STZ-induced T2D). High-fat diet (HFD) and STZ were used for the induction of T2DM in rats, and then they were treated with either metformin alone (MEF) (500 mg/kg b.wt.) or combined with (Ch-SeNPs) (2 mg Se/kg b.wt.) for eight weeks. The microvascular complications in renal tissue of diabetic rats were pronounced by the prevalence of microalbuminuria and elevated levels of urea, creatinine, and BUN. Pronounced oxidative stress with enhanced inflammatory response. In the urine of diabetic rats, a marked increase in Kim 1, beta 2-microglobulin, and urinary albumin. Renal morphological alterations were observed in all groups upon induction of T2DM, except for the Ch-SeNPs/MEF group showed noticeable improvements. The expression levels of Aldo-keto reductase AKr1B1, profibrotic protein transforming growth factor-beta 1 (TGF-beta 1), nestin, desmin, and vimentin, were up-regulated in the diabetic group. Significant down-regulation of their expression and restored antioxidant capacity was observed in the combined-treated group than single treated ones. Ch-SeNPs helped limit the prevalence of TNF-alpha, IL-6, and IL-1 beta while used after T2DM induction by STZ and HFD. Ch-SeNPs/MEF co-therapy could effectively guard the kidneys and reduce the renal tissue injury via inhibiting oxidative stress and restoring glucose hemostasis, which indicates a promising line for treating T2DM nephropathy.</t>
  </si>
  <si>
    <t>[Khater, Safaa I.; Abdo, Samar Ahmed] Zagazig Univ, Fac Vet Med, Dept Biochem, Zagazig 4511, Egypt; [Mohamed, Amany Abdel-Rahman; Mohammed, Amany Tharwat] Zagazig Univ, Dept Forens Med &amp; Toxicol, Zagazig 4511, Egypt; [Arisha, Ahmed Hamed] Badr Univ Cairo BUC, Fac Vet Med, Dept Anim Physiol &amp; Biochem, Cairo 11865, Egypt; [Arisha, Ahmed Hamed] Zagazig Univ, Fac Vet Med, Dept Physiol, Zagazig 44511, Egypt; [Ebraheim, Lamiaa L. M.] Zagazig Univ, Dept Cytol &amp; Histol, Zagazig 44511, Egypt; [El-Mandrawy, Shefaa A. M.] Zagazig Univ, Fac Vet Med, Dept Clin Pathol, Zagazig 44519, Egypt; [Nassan, Mohamed A.] Taif Univ, Turabah Univ Coll, Dept Clin Lab Sci, POB 11099, At Taif 21944, Saudi Arabia</t>
  </si>
  <si>
    <t>Egyptian Knowledge Bank (EKB); Zagazig University; Egyptian Knowledge Bank (EKB); Zagazig University; Badr University in Cairo; Egyptian Knowledge Bank (EKB); Zagazig University; Egyptian Knowledge Bank (EKB); Zagazig University; Egyptian Knowledge Bank (EKB); Zagazig University; Taif University</t>
  </si>
  <si>
    <t>Khater, SI (corresponding author), Zagazig Univ, Fac Vet Med, Dept Biochem, Zagazig 4511, Egypt.;Mohamed, AAR (corresponding author), Zagazig Univ, Dept Forens Med &amp; Toxicol, Zagazig 4511, Egypt.</t>
  </si>
  <si>
    <t>safaa_khater83@yahoo.com; aabdaziz@zu.edu.eg; vetahmedhamed@zu.edu.eg; dr.llamiaa@gmail.com; shifo_vet@yahoo.com; m.nassan@tu.edu.sa; amany_tharwat@yahoo.com</t>
  </si>
  <si>
    <t>Taif University, Taif, Saudi Arabia [TURSP-2020/71]</t>
  </si>
  <si>
    <t>Taif University, Taif, Saudi Arabia</t>
  </si>
  <si>
    <t>This research was funded by the Taif University Researchers Supporting Project number (TURSP-2020/71), Taif University, Taif, Saudi Arabia.</t>
  </si>
  <si>
    <t>0024-3205</t>
  </si>
  <si>
    <t>1879-0631</t>
  </si>
  <si>
    <t>LIFE SCI</t>
  </si>
  <si>
    <t>Life Sci.</t>
  </si>
  <si>
    <t>10.1016/j.lfs.2021.119674</t>
  </si>
  <si>
    <t>Medicine, Research &amp; Experimental; Pharmacology &amp; Pharmacy</t>
  </si>
  <si>
    <t>Research &amp; Experimental Medicine; Pharmacology &amp; Pharmacy</t>
  </si>
  <si>
    <t>SV9BX</t>
  </si>
  <si>
    <t>WOS:000664113400004</t>
  </si>
  <si>
    <t>Azevedo, IL; Nogueira, WCL; de Almeida, AC; Guedes, LLM; Vieira, CR; Santos, SHS; Carvalho, CMC; da Fonseca, FSA; de Souza, RM; de Souza, CN</t>
  </si>
  <si>
    <t>Azevedo, Izabela Lorena; Lima Nogueira, Wedson Carlos; de Almeida, Anna Christina; Melucio Guedes, Lis Lorena; Vieira, Claudia Regina; Sousa Santos, Sergio Henrique; Caires Carvalho, Carolina Magalhaes; Alves da Fonseca, Francine Souza; de Souza, Rogerio Marcos; de Souza, Cintya Neves</t>
  </si>
  <si>
    <t>Antioxidant activity and chemical composition of meat from broilers fed diets containing different essential oils</t>
  </si>
  <si>
    <t>VETERINARY WORLD</t>
  </si>
  <si>
    <t>broiler; Cymbopogon flexuosus; Lippia aff; rotundifolia; moisture; storage time</t>
  </si>
  <si>
    <t>LIPPIA-ROTUNDIFOLIA; OXIDATION</t>
  </si>
  <si>
    <t>Background and Aim: Broiler meat is susceptible to lipid oxidation due to its high content of unsaturated fatty acids, especially when stored for a long time. Concerning with that problem, we can add natural compounds to the animal feed, as the plant essential oils, which have antioxidant, antimicrobial, and antifungal activities. The objective of this study was to evaluate the antioxidant activity, fatty acid profile, and chemical composition of the meat of broilers fed with diets containing different essential oil, including lemongrass (Cymbopogon flexuosus) and pedestrian tea (Lippia aff. rotundifolia). Materials and Methods: The experimental design used was a 4x4 factorial scheme (storage timexdiets), and each treatment was repeated thrice. The treatments were applied as negative control (without antimicrobial); positive control (ration supplemented with 10 ppm of enramycin and 42 ppm of salinomycin), lemongrass (ration with 120 mg of essential oil of lemongrass for each kilogram of live weight of the animals), and pedestrian tea (ration with 120 mg of essential oil of pedestrian tea for each kilogram of live weight of the animals). Storage was performed after slaughter and evaluated monthly for 4 months. Results: The inclusion of lemongrass oil and pedestrian tea in the broiler diet did not change the ether extract content of the meat sample obtained from thigh and drumstick. The storage time promotes an increase in the moisture loss of the meat from the 2nd month in all treatments. There was an interaction between the additive and storage time for moisture loss. In the 2nd month of storage, the meat from broilers fed the antibiotic-containing feed had a lower moisture loss than those from broilers in the other treatment groups. The fatty acid profile did not differ statistically between the different treatment groups. The inclusion of additives in the food dropped the lipid oxidation at the 2nd month of storage. From the 3rd month, however, only the essential oils showed antioxidant effect. Conclusion: Antioxidant activity was positive for treatments that included essential oils. The lemongrass oil and pedestrian tea can be used as antioxidant additives in broiler diets to improve the oxidative stability of thigh-drumstick meat during storage. The results of the study suggest a good prospective for further research with profitability of usage essentials oils examined, for their economical application as feed components in broiler nutrition.</t>
  </si>
  <si>
    <t>[Azevedo, Izabela Lorena; Lima Nogueira, Wedson Carlos; de Almeida, Anna Christina; Melucio Guedes, Lis Lorena; Vieira, Claudia Regina; Sousa Santos, Sergio Henrique; Caires Carvalho, Carolina Magalhaes; Alves da Fonseca, Francine Souza; de Souza, Rogerio Marcos; de Souza, Cintya Neves] Univ Fed Minas Gerais, Inst Agr Sci, Ctr Res Agr Sci, Montes Claros, MG, Brazil</t>
  </si>
  <si>
    <t>de Almeida, AC (corresponding author), Univ Fed Minas Gerais, Inst Agr Sci, Ctr Res Agr Sci, Montes Claros, MG, Brazil.</t>
  </si>
  <si>
    <t>azevedobella71@yahoo.com.br; wedsonlima3@yahoo.com.br; aca2006@ica.ufmg.br; lislorenamelucio@gmail.com; crvieira70@gmail.com; sergiosousas@hotmail.com; carollcaires@yahoo.com.br; francinefonseca@yahoo.com.br; rogeriosouza@ica.ufmg.br; cintyamicro@hotmail.com</t>
  </si>
  <si>
    <t>CNPQ (National Council for Scientific and Technological Development); Fapemig (Minas Gerais State Research Support Foundation) [APQ-00219-13]; Capes (Coordination Improvement of Higher Education Personnel) [001]</t>
  </si>
  <si>
    <t>CNPQ (National Council for Scientific and Technological Development)(Conselho Nacional de Desenvolvimento Cientifico e Tecnologico (CNPQ)); Fapemig (Minas Gerais State Research Support Foundation)(Fundacao de Amparo a Pesquisa do Estado de Minas Gerais (FAPEMIG)); Capes (Coordination Improvement of Higher Education Personnel)(Coordenacao de Aperfeicoamento de Pessoal de Nivel Superior (CAPES))</t>
  </si>
  <si>
    <t>The authors express their gratitude to the Federal University of the Minas Gerais (PRPq/UFMG) for providing the material and technical base and the CNPQ (National Council for Scientific and Technological Development), Fapemig (Minas Gerais State Research Support Foundation) (Grant no. APQ-00219-13), and Capes (Coordination Improvement of Higher Education Personnel) Finance code 001 for receiving financial support for the study, and to the Laboratory of Instrumental Chemistry-ICA/UFMG, for support in the analysis.</t>
  </si>
  <si>
    <t>GUJARAT</t>
  </si>
  <si>
    <t>STAR, GULSHAN PARK, NH-8A, CHANDRAPUR RD, WANKANER, GUJARAT, 363 621, INDIA</t>
  </si>
  <si>
    <t>0972-8988</t>
  </si>
  <si>
    <t>2231-0916</t>
  </si>
  <si>
    <t>VET WORLD</t>
  </si>
  <si>
    <t>Vet. World</t>
  </si>
  <si>
    <t>10.14202/vetworld.2021.1638-1643</t>
  </si>
  <si>
    <t>Agriculture, Dairy &amp; Animal Science; Veterinary Sciences</t>
  </si>
  <si>
    <t>Agriculture; Veterinary Sciences</t>
  </si>
  <si>
    <t>TG6TF</t>
  </si>
  <si>
    <t>WOS:000671534100024</t>
  </si>
  <si>
    <t>Pandori, LLM; Sorte, CJB</t>
  </si>
  <si>
    <t>Pandori, Lauren L. M.; Sorte, Cascade J. B.</t>
  </si>
  <si>
    <t>Spatial and temporal scales of exposure and sensitivity drive mortality risk patterns across life stages</t>
  </si>
  <si>
    <t>ECOSPHERE</t>
  </si>
  <si>
    <t>exposure; habitat; heat wave; life stage; Mytilus; sensitivity; warming</t>
  </si>
  <si>
    <t>MYTILUS-CALIFORNIANUS CONRAD; THERMAL TOLERANCE; BODY-TEMPERATURE; CLIMATE-CHANGE; HEAT-SHOCK; INTERTIDAL MUSSELS; LARVAL SETTLEMENT; EDULIS L; STRESS; ONTOGENY</t>
  </si>
  <si>
    <t>Impacts of increases in extreme heat events under climate change may differ across ontogeny for species with complex life cycles. Different life stages may (1) experience unequal levels of environmental stress that vary across space and time (exposure) and (2) have different stress tolerances (sensitivity). We used a field experiment to investigate whether exposure, sensitivity, and overall mortality risk differed between life stages of a marine foundation species (the mussel Mytilus californianus) across thermal conditions that vary in space (habitat, elevation, and site) and time (season) in southern California, USA. We deployed temperature loggers to document habitat-specific exposure patterns, conducted laboratory thermal tolerance assays to calculate sensitivity, and performed field surveys to determine whether risk patterns were reflected in distributions. Exposure to extreme temperatures was highest in solitary habitats and during spring. Juvenile mussels were more sensitive to extreme heat than adults, and sensitivity for both life stages was highest in December and March. Risk was largely seasonal for juveniles but was more temporally variable for adults. Spatial occurrence patterns were congruent with risk assessments for both life stages (i.e., higher occurrence in lower risk habitats). These results highlight the importance of incorporating life stage and temporal dynamics when predicting impacts of climate change.</t>
  </si>
  <si>
    <t>[Pandori, Lauren L. M.; Sorte, Cascade J. B.] Univ Calif Irvine, Dept Ecol &amp; Evolutionary Biol, Irvine, CA 92697 USA</t>
  </si>
  <si>
    <t>University of California System; University of California Irvine</t>
  </si>
  <si>
    <t>Pandori, LLM (corresponding author), Univ Calif Irvine, Dept Ecol &amp; Evolutionary Biol, Irvine, CA 92697 USA.</t>
  </si>
  <si>
    <t>llmpandori@gmail.com</t>
  </si>
  <si>
    <t>Sorte, Cascade/0000-0003-0952-951X; Pandori, Lauren L.M./0000-0001-8116-8769</t>
  </si>
  <si>
    <t>University of California, Irvine OCEANS Initiative graduate fellowship; National Science Foundation [1756173]; Directorate For Geosciences; Division Of Ocean Sciences [1756173] Funding Source: National Science Foundation</t>
  </si>
  <si>
    <t>University of California, Irvine OCEANS Initiative graduate fellowship(University of California System); National Science Foundation(National Science Foundation (NSF)); Directorate For Geosciences; Division Of Ocean Sciences(National Science Foundation (NSF)NSF - Directorate for Geosciences (GEO))</t>
  </si>
  <si>
    <t>We thank G. Bernatchez, K. Bush, E. Cruz, H. Heesch, K. Monuki, M. Peich, N. Silbiger, and P. Wallingford for their assistance with data collection and analysis. We also thank all Sorte Lab members past and present, M. Bracken, and M. McHenry for helpful comments and insights on the project design and manuscript. We thank Crystal Cove State Park, and the City of Newport Beach for site access. We also thank the University of California, Irvine Center for Environmental Biology (https://ceb.bio.uci.edu/) and Southern California Coastal Ocean Observing System (http://sccoos.org/) for use of datasets. This work was funded by a University of California, Irvine OCEANS Initiative graduate fellowship to LP and a grant from the National Science Foundation (#1756173) to CS.</t>
  </si>
  <si>
    <t>2150-8925</t>
  </si>
  <si>
    <t>Ecosphere</t>
  </si>
  <si>
    <t>e03552</t>
  </si>
  <si>
    <t>10.1002/ecs2.3552</t>
  </si>
  <si>
    <t>TB1ML</t>
  </si>
  <si>
    <t>WOS:000667707100041</t>
  </si>
  <si>
    <t>Xue, ZA; Fan, MB; Cao, BH; Wen, DD</t>
  </si>
  <si>
    <t>Xue, Zhian; Fan, Mengbao; Cao, Binghua; Wen, Dongdong</t>
  </si>
  <si>
    <t>Enhancement of Thickness Measurement in Eddy Current Testing Using a Log-Log Method</t>
  </si>
  <si>
    <t>JOURNAL OF NONDESTRUCTIVE EVALUATION</t>
  </si>
  <si>
    <t>Eddy current testing; Tangent of phase angle; Log– log method; Thickness measurement</t>
  </si>
  <si>
    <t>Eddy current testing for thickness measurement has great advantages, such as non-contact, low cost, and high efficiency. It is reported that there is a linear relationship between the tangent of the phase angle of impedance change and the thickness, termed as the approximate linear method (ALM). However, the accuracy of ALM is not very good, especially when the thickness of a specimen is very thin compared with standard penetration depth. The relationship between tangent of phase angle and thickness is simulated by Dodd-Deed model. The first and second derivatives of tangent of phase angle to thickness is consistent with the power function. Thus, the log-log method (LLM) is obtained by taking logarithm of power fitting equation. And, it is found that the change of excitation frequencies and lift-offs hardly affect the slope and linearity of LLM. The correctness and feasibility of LLM are verified by numerical simulation and experiments.</t>
  </si>
  <si>
    <t>[Xue, Zhian; Fan, Mengbao] China Univ Min &amp; Technol, Sch Mech Engn, Xuzhou, Jiangsu, Peoples R China; [Cao, Binghua] China Univ Min &amp; Technol, Sch Informat &amp; Control Engn, Xuzhou, Jiangsu, Peoples R China; [Wen, Dongdong] Xuzhou Univ Technol, Sch Elect &amp; Control Engn, Xuzhou 221018, Jiangsu, Peoples R China</t>
  </si>
  <si>
    <t>China University of Mining &amp; Technology; China University of Mining &amp; Technology; Xuzhou University of Technology</t>
  </si>
  <si>
    <t>Fan, MB (corresponding author), China Univ Min &amp; Technol, Sch Mech Engn, Xuzhou, Jiangsu, Peoples R China.</t>
  </si>
  <si>
    <t>wuzhi3495@cumt.edu.cn</t>
  </si>
  <si>
    <t>General Project of National Natural Science Foundation of China [62071471]; Priority Academic Program Development of Jiangsu Higher Education Institutions</t>
  </si>
  <si>
    <t>General Project of National Natural Science Foundation of China; Priority Academic Program Development of Jiangsu Higher Education Institutions</t>
  </si>
  <si>
    <t>This work is supported by the General Project of National Natural Science Foundation of China under Grants 62071471, and Priority Academic Program Development of Jiangsu Higher Education Institutions for funding this study.</t>
  </si>
  <si>
    <t>SPRINGER/PLENUM PUBLISHERS</t>
  </si>
  <si>
    <t>233 SPRING ST, NEW YORK, NY 10013 USA</t>
  </si>
  <si>
    <t>0195-9298</t>
  </si>
  <si>
    <t>1573-4862</t>
  </si>
  <si>
    <t>J NONDESTRUCT EVAL</t>
  </si>
  <si>
    <t>J. Nondestruct. Eval.</t>
  </si>
  <si>
    <t>10.1007/s10921-021-00773-x</t>
  </si>
  <si>
    <t>Materials Science, Characterization &amp; Testing</t>
  </si>
  <si>
    <t>RU3RS</t>
  </si>
  <si>
    <t>WOS:000645067000001</t>
  </si>
  <si>
    <t>Kovacic, M; Esmaeili, HR; Zarei, F; Abbasi, K; Schliewen, UK</t>
  </si>
  <si>
    <t>Kovacic, Marcelo; Esmaeili, Hamid Reza; Zarei, Fatah; Abbasi, Keyvan; Schliewen, Ulrich K.</t>
  </si>
  <si>
    <t>A new species of tadpole-goby, Benthophilus persicus sp. nov. (Teleostei: Gobiidae) from the southern Caspian Sea</t>
  </si>
  <si>
    <t>ZOOTAXA</t>
  </si>
  <si>
    <t>Gobioidei; Systematics; Endemic; Iran</t>
  </si>
  <si>
    <t>A new gobiid species, Benthophilus persicus sp. nov., is described from the southern Caspian Sea, Iran. The new species is diagnosed by the following character states: dermal fold on cheek well-developed, large, rectangular; chin barbel 1/3-2/3 of eye diameter; maximum body width 15.1-22.9% of standard length; mouth width, 36.3-55.8% of head length; second dorsal fin I+7-8; origin of anal fin in front of vertical through origin of second dorsal fin; dermal tubercles present on body, clearly larger than granules, with two posterior rows of spinules forming an acute angle, always less than right angle; dorsal row of tubercles complete, 22-29; ventral row of tubercles 22-25; ventrolateral row of tubercles absent; tubercles not present on temporal and occipital head regions; granules not present on flanks; transversal suborbital row 6i below posterior end of row b; anterior interorbital transversal row pa with one or two papillae and anterior interorbital transversal papilla row pp with two or three papillae; body with 20-22 transversal ltm rows starting anteriorly behind pectoral axilla and alternating anteriorly with three longitudinal llm rows.</t>
  </si>
  <si>
    <t>[Kovacic, Marcelo] Nat Hist Museum Rijeka, Lorenzov Prolaz 1, HR-51000 Rijeka, Croatia; [Esmaeili, Hamid Reza; Zarei, Fatah] Shiraz Univ, Sch Sci, Ichthyol &amp; Mol Systemat Res Lab, Zool Sect,Dept Biol, Shiraz, Iran; [Abbasi, Keyvan] Agr Res Educ &amp; Extens Org, Iranian Fisheries Sci Res Inst, Inland Waters Aquaculture Res Ctr, Educ &amp; Extens Org, Bandar Anzali, Iran; [Schliewen, Ulrich K.] SNSB Bavarian State Collect Zool, Dept Ichthyol, Munchhausenstr 21, D-81247 Munich, Germany</t>
  </si>
  <si>
    <t>Shiraz University</t>
  </si>
  <si>
    <t>Kovacic, M (corresponding author), Nat Hist Museum Rijeka, Lorenzov Prolaz 1, HR-51000 Rijeka, Croatia.</t>
  </si>
  <si>
    <t>marcelo@prirodoslovni.com; hresmaeili@shirazu.ac.ir; fataahazeri@gmail.com; keyvan_abbasi@yahoo.com; schliewen@sndb.de</t>
  </si>
  <si>
    <t>Shiraz University [SU9630190]; Croatian Science Foundation [IP-2016-06-9884, IP-2016-06-5251]; Freunde der Zoologischen Staatssammlung Munchen e.V; SeaLife Munchen</t>
  </si>
  <si>
    <t>Shiraz University; Croatian Science Foundation; Freunde der Zoologischen Staatssammlung Munchen e.V; SeaLife Munchen</t>
  </si>
  <si>
    <t>We are grateful to S. Abdolmaleki, A. Sarapnah, M. Tavakoli and R. Sadeghi for helping with fish collection. We thanks H. Larson and the second anonymous reviewer for their precise reviews resulting in significant improvement of this description. The research work was funded by Shiraz University and was approved by Ethics Committee of Biology Department (SU9630190) . MK has been supported in part by the grant of the Croatian Science Foundation under the project IP-2016-06-9884 and in part by the grant of the Croatian Science Foundation under the project IP2016065251. HRE and UKS are grateful for a travel grant provided for HRE by the Freunde der Zoologischen Staatssammlung Munchen e.V. to study Benthophilus specimens at SNSB-ZSM in January 2019. Goby studies of UKS benefitted from support of SeaLife Munchen. D. Neumann (SNSB-ZSM) is acknowledged for technical collection support.</t>
  </si>
  <si>
    <t>MAGNOLIA PRESS</t>
  </si>
  <si>
    <t>AUCKLAND</t>
  </si>
  <si>
    <t>250F Marua Road Mt Wellington, AUCKLAND, ST LUKES 1023, NEW ZEALAND</t>
  </si>
  <si>
    <t>1175-5326</t>
  </si>
  <si>
    <t>1175-5334</t>
  </si>
  <si>
    <t>Zootaxa</t>
  </si>
  <si>
    <t>10.11646/zootaxa.4980.1.3</t>
  </si>
  <si>
    <t>Zoology</t>
  </si>
  <si>
    <t>SO7YD</t>
  </si>
  <si>
    <t>WOS:000659190800003</t>
  </si>
  <si>
    <t>Wu, XP; Xu, TS; Zhang, Y</t>
  </si>
  <si>
    <t>Wu, Xiaopeng; Xu, Tianshu; Zhang, Yi</t>
  </si>
  <si>
    <t>Research on the data analysis knowledge assessment of pre-service teachers from China based on cognitive diagnostic assessment</t>
  </si>
  <si>
    <t>Cognitive diagnostic assessment; Teacher education; Data analysis; Literacy measurement; Pre-service teacher</t>
  </si>
  <si>
    <t>DATA LITERACY; PARAMETER-ESTIMATION; DINA MODEL</t>
  </si>
  <si>
    <t>Data analysis knowledge is an indispensable aspect of teachers' data literacy, which not only has a profound impact on the cultivation of students' data analysis ability, but also is related to reasonable decision-makings in education. Based on the analyses of teachers' data literacy and data analysis ability, this study constructed a cognitive model of teachers' data analysis knowledge and developed an instrument for measuring teachers' data analysis knowledge. Meanwhile, from a data-driven approach, G-DINA package in software R was used to select a well-fitted GDM Model from a series of cognitive diagnostic models such as DINA, DINO, RRUM, ACDM, LLM, G-DINA and Mixed Model for parameter assessment of cognitive diagnosis, and the reliability and model fit of the instrument were analyzed afterwards. By analyzing the pre-service dataset of 531 Chinese teachers, it made the conclusion that teachers with the same attributes have differences in attribute mastery and knowledge status, and teachers show a main learning path of A8 -&gt; A4 -&gt; A1 -&gt; A3 -&gt; A7 -&gt; A5 -&gt; A2 -&gt; A6 in terms of data analysis knowledge. It provided a systematic case study for the assessment of pre-service teachers' knowledge of data analysis, and also provides a new perspective in assessing other knowledges and abilities.</t>
  </si>
  <si>
    <t>[Wu, Xiaopeng] Shaanxi Normal Univ, Fac Educ, Xian, Peoples R China; [Wu, Xiaopeng; Xu, Tianshu] East China Normal Univ, Coll Teacher Educ, Fac Educ, Shanghai, Peoples R China; [Wu, Xiaopeng] Purdue Univ, Coll Educ, W Lafayette, IN 47907 USA; [Zhang, Yi] Qiannan Normal Univ Nationalities, Sch Math &amp; Stat, Qiannan, Peoples R China; [Zhang, Yi] East China Normal Univ, Sch Math Sci, Shanghai, Peoples R China</t>
  </si>
  <si>
    <t>Wu, XP (corresponding author), Shaanxi Normal Univ, Fac Educ, Xian, Peoples R China.;Wu, XP (corresponding author), East China Normal Univ, Coll Teacher Educ, Fac Educ, Shanghai, Peoples R China.;Wu, XP (corresponding author), Purdue Univ, Coll Educ, W Lafayette, IN 47907 USA.;Zhang, Y (corresponding author), Qiannan Normal Univ Nationalities, Sch Math &amp; Stat, Qiannan, Peoples R China.;Zhang, Y (corresponding author), East China Normal Univ, Sch Math Sci, Shanghai, Peoples R China.</t>
  </si>
  <si>
    <t>1819868970@126.com; 52185500031@stu.ecnu.edu.cn</t>
  </si>
  <si>
    <t>Xu, Tianshu/0009-0001-4198-0784</t>
  </si>
  <si>
    <t>China Scholarship Council [201906140104]; 2020 Academic Innovation Ability Enhancement Plan for outstanding doctoral Students of East China Normal University [YBNLTS2020-003]; Peak Discipline Construction Project of Education at East China Normal University</t>
  </si>
  <si>
    <t>China Scholarship Council(China Scholarship Council); 2020 Academic Innovation Ability Enhancement Plan for outstanding doctoral Students of East China Normal University; Peak Discipline Construction Project of Education at East China Normal University</t>
  </si>
  <si>
    <t>This work was support by China Scholarship Council (No. 201906140104); 2020 Academic Innovation Ability Enhancement Plan for outstanding doctoral Students of East China Normal University (No. YBNLTS2020-003) and Peak Discipline Construction Project of Education at East China Normal University.</t>
  </si>
  <si>
    <t>10.1007/s12144-021-01836-y</t>
  </si>
  <si>
    <t>MAY 2021</t>
  </si>
  <si>
    <t>F7LS8</t>
  </si>
  <si>
    <t>WOS:000650108700002</t>
  </si>
  <si>
    <t>DuBois, S; Lacy, B; Rahman, AF; Rahman, S</t>
  </si>
  <si>
    <t>DuBois, Stephanie; Lacy, Brittney; Rahman, Abdullah Faiz; Rahman, Saydur</t>
  </si>
  <si>
    <t>Elevated CYP1A expression detected in pinfish collected from a coastal lagoon in the southern Texas Gulf Coast: indicative of exposure to microplastics or pollutants?</t>
  </si>
  <si>
    <t>ENVIRONMENTAL SCIENCE AND POLLUTION RESEARCH</t>
  </si>
  <si>
    <t>Microplastics; Pollution; Biomarker; CYP1A; Pinfish; Texas Gulf Coast</t>
  </si>
  <si>
    <t>LOWER LAGUNA MADRE; OF-MEXICO; CYTOCHROME-P4501A CYP1A; LAGODON-RHOMBOIDES; FISH; LIVER; BIOMARKERS; INDUCTION; COMMUNITY; SEDIMENTS</t>
  </si>
  <si>
    <t>The marine environment is increasingly polluted by anthropogenic wastes, notably plastic debris. This debris breaks down into smaller pieces, known as microplastics. When consumed by marine organisms, microplastics cause various physiological effects. In this study, we sought to determine a link between ingested microplastics and cytochrome P450-1A (CYP1A) expression in fish liver. To achieve this goal, we collected pinfish from five sites in Lower Laguna Madre (LLM, a large coastal lagoon), analyzed stomach contents, excised liver tissues, and performed immunohistochemical analysis to determine CYP1A expression. Microplastics were not discovered in the stomach/intestine of pinfish, though plastic debris was present at various stages of decomposition within sampling sites. Hepatic CYP1A expression was significantly higher in pinfish collected from four of five sampling sites when compared to fish in laboratory conditions. These results imply that pinfish, as well as other organisms, may be exposed to pollutants other than microplastics in LLM.</t>
  </si>
  <si>
    <t>[DuBois, Stephanie; Rahman, Saydur] Univ Texas Rio Grande Valley, Dept Biol, 1 West Univ Dr, Brownsville, TX 78520 USA; [Lacy, Brittney; Rahman, Abdullah Faiz; Rahman, Saydur] Univ Texas Rio Grande Valley, Sch Earth Environm &amp; Marine Sci, 1 West Univ Dr, Brownsville, TX 78520 USA</t>
  </si>
  <si>
    <t>Rahman, S (corresponding author), Univ Texas Rio Grande Valley, Dept Biol, 1 West Univ Dr, Brownsville, TX 78520 USA.;Rahman, S (corresponding author), Univ Texas Rio Grande Valley, Sch Earth Environm &amp; Marine Sci, 1 West Univ Dr, Brownsville, TX 78520 USA.</t>
  </si>
  <si>
    <t>md.rahman@ungv.edu</t>
  </si>
  <si>
    <t>Lacy, Brittney/0009-0005-3544-1548</t>
  </si>
  <si>
    <t>NOAA marine debris education program [NA15NOS4630153]; UTRGV College of Science SEED grant [210000371]</t>
  </si>
  <si>
    <t>NOAA marine debris education program(National Oceanic Atmospheric Admin (NOAA) - USA); UTRGV College of Science SEED grant</t>
  </si>
  <si>
    <t>This study was supported by grants from the NOAA marine debris education program to Abdullah Faiz Rahman (Clean ValleyClean Gulf: A Marine Debris Prevention Program for the Rio Grande Valley, grant no. NA15NOS4630153) and in part by the start-up fund and UTRGV College of Science SEED grant (grant no. 210000371) to Md Saydur Rahman.</t>
  </si>
  <si>
    <t>0944-1344</t>
  </si>
  <si>
    <t>1614-7499</t>
  </si>
  <si>
    <t>ENVIRON SCI POLLUT R</t>
  </si>
  <si>
    <t>Environ. Sci. Pollut. Res.</t>
  </si>
  <si>
    <t>10.1007/s11356-021-14351-1</t>
  </si>
  <si>
    <t>TB2VK</t>
  </si>
  <si>
    <t>WOS:000650138500002</t>
  </si>
  <si>
    <t>Dothan, S</t>
  </si>
  <si>
    <t>Dothan, Shai</t>
  </si>
  <si>
    <t>The ICC Is NOT a Slice of Cheese</t>
  </si>
  <si>
    <t>JOURNAL OF INTERNATIONAL CRIMINAL JUSTICE</t>
  </si>
  <si>
    <t>ENFORCEMENT</t>
  </si>
  <si>
    <t>In an article published a few years ago, my friend Jakob Holtermann compared the International Criminal Court (ICC) to a slice of Swiss cheese. The metaphor is meant to indicate that the ICC operates as a filter that deters some of the criminals left undeterred by national criminal law systems. This is true. But the metaphor also suggests that the ICC would only deter extra criminals and would not damage the deterrence achieved by preceding filters, which is false. This article explains why.</t>
  </si>
  <si>
    <t>[Dothan, Shai] Univ Copenhagen, Fac Law, Int &amp; Publ Law, iCourts Ctr Excellence Int Courts, Copenhagen, Denmark</t>
  </si>
  <si>
    <t>University of Copenhagen</t>
  </si>
  <si>
    <t>Dothan, S (corresponding author), Univ Copenhagen, Fac Law, Int &amp; Publ Law, iCourts Ctr Excellence Int Courts, Copenhagen, Denmark.</t>
  </si>
  <si>
    <t>shai.dothan@jur.ku.dk</t>
  </si>
  <si>
    <t>Dothan, Shai/0000-0001-7026-4114</t>
  </si>
  <si>
    <t>Danish National Research Foundation Grant [DNRF105]; iCourts, the Danish National Research Foundation's Centre of Excellence for International Courts</t>
  </si>
  <si>
    <t>Danish National Research Foundation Grant; iCourts, the Danish National Research Foundation's Centre of Excellence for International Courts</t>
  </si>
  <si>
    <t>Associate Professor of International and Public Law, University of Copenhagen Faculty of Law affiliated with iCourts -the Centre of Excellence for International Courts. PhD, LLM, LLB, Tel Aviv University Faculty of Law. I thank Patrick Barry and Jakob v.H. Holtermann for many discussions we held on this paper. This research is funded by the Danish National Research Foundation Grant no. DNRF105 and conducted under the auspices of iCourts, the Danish National Research Foundation's Centre of Excellence for International Courts. [shai.dothan@jur.ku.dk]</t>
  </si>
  <si>
    <t>1478-1387</t>
  </si>
  <si>
    <t>1478-1395</t>
  </si>
  <si>
    <t>J INT CRIM JUSTICE</t>
  </si>
  <si>
    <t>J. Int. Crim. Justice</t>
  </si>
  <si>
    <t>10.1093/jicj/mqab019</t>
  </si>
  <si>
    <t>YI6NR</t>
  </si>
  <si>
    <t>WOS:000743963800008</t>
  </si>
  <si>
    <t>Wagner, BM; Robinson, JW; Lin, YW; Lee, YC; Kaci, N; Legeai-Mallet, L; Potter, LR</t>
  </si>
  <si>
    <t>Wagner, Brandon M.; Robinson, Jerid W.; Lin, Yun-Wen; Lee, Yi-Ching; Kaci, Nabil; Legeai-Mallet, Laurence; Potter, Lincoln R.</t>
  </si>
  <si>
    <t>Prevention of guanylyl cyclase-B dephosphorylation rescues achondroplastic dwarfism</t>
  </si>
  <si>
    <t>JCI INSIGHT</t>
  </si>
  <si>
    <t>FIBROBLAST-GROWTH-FACTOR; PEPTIDE RECEPTOR-B; OF-FUNCTION MUTATION; KINASE HOMOLOGY DOMAIN; NATRIURETIC PEPTIDE; ACROMESOMELIC DYSPLASIA; MOUSE MODEL; NPR2 GENE; HETEROZYGOUS MUTATIONS; CLEARANCE RECEPTOR</t>
  </si>
  <si>
    <t>Activating mutations in the fibroblast growth factor receptor 3 (FGFR3) or inactivating mutations in guanylyl cyclase-B (GC-B), also known as NPR-B or Npr2, cause short-limbed dwarfism. FGFR3 activation causes dephosphorylation and inactivation of GC-B, but the contribution of GC-B dephosphorylation to achondroplasia (ACH) is unknown. GC-B-7E/7E mice that express a glutamate-substituted version of GC-B that cannot be inactivated by dephosphorylation were bred with mice expressing FGFR3-G380R, the most common human ACH mutation, to determine if GC-B dephosphorylation is required for ACH. Crossing GC-B-7E/7E mice with FGFR3(G380R/G380R) mice increased naso-anal and long (tibia and femur), but not cranial, bone length twice as much as crossing GCB(7E/7E) mice with FGFR3(WT/WT) mice from 4 to 16 weeks of age. Consistent with increased GC-B activity rescuing ACH, long bones from the GC-B-7E/7E/FGFR(3G380R/G380R) mice were not shorter than those from GC-B-WT/WT/FGFR3(WT/WT) mice. At 2 weeks of age, male but not female FGFR3(G380R/G380R) mice had shorter long bones and smaller growth plate hypertrophic zones, whereas female but not male GC-B-7E/7E mice had longer bones and larger hypertrophic zones. In 2-week-old males, crossing FGFR3(G380R/G380R) mice with GC-B-7E/7E mice increased long bone length and hypertrophic zone area to levels observed in mice expressing WT versions of both receptors. We conclude that preventing GC-B dephosphorylation rescues reduced axial and appendicular skeleton growth in a mouse model of achondroplasia.</t>
  </si>
  <si>
    <t>[Wagner, Brandon M.; Potter, Lincoln R.] Univ Minnesota, Dept Integrat Biol &amp; Physiol, Minneapolis, MN 55455 USA; [Robinson, Jerid W.; Potter, Lincoln R.] Univ Minnesota, Dept Biochem Mol Biol &amp; Biophys, Minneapolis, MN 55455 USA; [Lin, Yun-Wen; Lee, Yi-Ching] Acad Sinica, Inst Cellular &amp; Organism Biol, Taipei, Taiwan; [Kaci, Nabil; Legeai-Mallet, Laurence] Univ Paris, Imagine Inst, Lab Mol &amp; Physiopathol Bases OsteochonDrodysplasi, INSERM,UMR 1163, F-75015 Paris, France</t>
  </si>
  <si>
    <t>Potter, LR (corresponding author), Univ Minnesota, Dept Biochem Mol Biol &amp; Biophys, Minneapolis, MN 55455 USA.;Legeai-Mallet, L (corresponding author), Univ Paris, Imagine Inst, Lab Mol &amp; Physiopathol Bases OsteochonDrodysplasi, INSERM,UMR 1163, F-75015 Paris, France.</t>
  </si>
  <si>
    <t>laurence.legeai-mallet@inserm.fr; potter@umn.edu</t>
  </si>
  <si>
    <t>NIH [R01GM098309, T32DK007203]; University of Minnesota Foundation Bridge Grant; University of Minnesota-Mayo Clinic Partnership grant; University of Minnesota Academic Health Center Faculty Research and Development grant; Fund for Science; Hormone Receptor Fund; National Research Agency under the Investments for the Future program [ANR-10-IA-HU-01]</t>
  </si>
  <si>
    <t>NIH(United States Department of Health &amp; Human ServicesNational Institutes of Health (NIH) - USA); University of Minnesota Foundation Bridge Grant; University of Minnesota-Mayo Clinic Partnership grant; University of Minnesota Academic Health Center Faculty Research and Development grant; Fund for Science; Hormone Receptor Fund; National Research Agency under the Investments for the Future program(Agence Nationale de la Recherche (ANR))</t>
  </si>
  <si>
    <t>The authors wish to thank Laurinda Jaffe, Leia Shuhaibar, and Siu-Pok Yee for many helpful conversations and instructive comments regarding this manuscript. We are grateful to Ruey-Bing Yang for bringing the Potter and Lee laboratories together for this project. We thank Snigdhansu Chatterjee of the University of Minnesota School of Statistics for advice regarding the statistical comparisons of naso-anal lengths between various mouse lines. This work was supported by NIH grants R01GM098309 and NIHT32DK007203, a University of Minnesota Foundation Bridge Grant, a University of Minnesota-Mayo Clinic Partnership grant, a University of Minnesota Academic Health Center Faculty Research and Development grant, and grants from the Fund for Science and the Hormone Receptor Fund to LRP. LLM received a state subsidy managed by the National Research Agency under the Investments for the Future program (ANR-10-IA-HU-01) that funded a portion of the work described in this manuscript.</t>
  </si>
  <si>
    <t>AMER SOC CLINICAL INVESTIGATION INC</t>
  </si>
  <si>
    <t>ANN ARBOR</t>
  </si>
  <si>
    <t>2015 MANCHESTER RD, ANN ARBOR, MI 48104 USA</t>
  </si>
  <si>
    <t>2379-3708</t>
  </si>
  <si>
    <t>JCI Insight</t>
  </si>
  <si>
    <t>MAY 10</t>
  </si>
  <si>
    <t>e147832</t>
  </si>
  <si>
    <t>10.1172/jci.insight.147832</t>
  </si>
  <si>
    <t>SE8PT</t>
  </si>
  <si>
    <t>WOS:000652331300026</t>
  </si>
  <si>
    <t>Almanjahie, IM; Elmezouar, ZC; Laksaci, A; Rachdi, M</t>
  </si>
  <si>
    <t>Almanjahie, Ibrahim M.; Elmezouar, Zouaoui Chikr; Laksaci, Ali; Rachdi, Mustapha</t>
  </si>
  <si>
    <t>Smooth kNN Local Linear Estimation of the Conditional Distribution Function</t>
  </si>
  <si>
    <t>functional mixing data; complete convergence (a.co.); Local Linear Fitting (LLM); distribution function; kernel weighting; conditional predictive region; k nearest neighbors smoothing (kNN)</t>
  </si>
  <si>
    <t>MODELED REGRESSION; CONSISTENCY</t>
  </si>
  <si>
    <t>Previous works were dedicated to the functional k-Nearest Neighbors (kNN) and the local linearity method estimations of a regression operator. In this paper, a sequence pair of (X-i,Y-i)(i=1,...,n) of functional mixing observations are considered. We treat the local linear estimation of the cumulative function of Y-i given functional input variable X-i. Precisely, we combine the kNN method with the local linear algorithm to construct a new and fast efficiency estimator of the conditional distribution function. The main purpose of this paper is to prove the strong convergence of the constructed estimator under mixing conditions. An application to the functional times series prediction is used to compare our proposed estimator with the existing competitive estimators, and show its efficiency and superiority.</t>
  </si>
  <si>
    <t>[Almanjahie, Ibrahim M.; Elmezouar, Zouaoui Chikr; Laksaci, Ali] King Khalid Univ, Coll Sci, Dept Math, Abha 62529, Saudi Arabia; [Almanjahie, Ibrahim M.; Elmezouar, Zouaoui Chikr; Laksaci, Ali] King Khalid Univ, Stat Res &amp; Studies Support Unit, Abha 62529, Saudi Arabia; [Rachdi, Mustapha] Univ Grenoble Alpes France, AGIM Team, Lab AGEIS, UFR SHS,EA 7407, BP 47, F-38040 Grenoble 09, France</t>
  </si>
  <si>
    <t>King Khalid University; King Khalid University</t>
  </si>
  <si>
    <t>Almanjahie, IM (corresponding author), King Khalid Univ, Coll Sci, Dept Math, Abha 62529, Saudi Arabia.;Almanjahie, IM (corresponding author), King Khalid Univ, Stat Res &amp; Studies Support Unit, Abha 62529, Saudi Arabia.</t>
  </si>
  <si>
    <t>imalmanjahi@kku.edu.sa; chikrtime@yahoo.fr; alilak@yahoo.fr; mustapha.rachdi@univ-grenoble-alpes.fr</t>
  </si>
  <si>
    <t>Almanjahie, Ibrahim/0000-0002-4651-3210; Rachdi, Mustapha/0000-0002-9203-056X; ali, Laksaci/0000-0001-6527-5783</t>
  </si>
  <si>
    <t>Deanship of Scientific Research at King Khalid University [R.G.P. 2/82/42]</t>
  </si>
  <si>
    <t>Deanship of Scientific Research at King Khalid University</t>
  </si>
  <si>
    <t>This research was funded by the Deanship of Scientific Research at King Khalid University through the Research Groups Program under grant number R.G.P. 2/82/42.</t>
  </si>
  <si>
    <t>10.3390/math9101102</t>
  </si>
  <si>
    <t>SJ0DO</t>
  </si>
  <si>
    <t>WOS:000655197500001</t>
  </si>
  <si>
    <t>Hirko, SB</t>
  </si>
  <si>
    <t>Hirko, Sileshi B.</t>
  </si>
  <si>
    <t>THE IMPLICATIONS OF TRIPs' CRIMINAL PROVISIONS ON COPYRIGHT EXCEPTION FOR EDUCATION IN ETHIOPIA: A CRITICAL APPROACH FROM A HUMAN RIGHTS PERSPECTIVE</t>
  </si>
  <si>
    <t>INTELLECTUAL PROPERTY; INNOVATION</t>
  </si>
  <si>
    <t>[Hirko, Sileshi B.] Univ Ottawa, Ottawa, ON, Canada; [Hirko, Sileshi B.] Haramaya Univ Ethiopia, Dire Dawa, Ethiopia</t>
  </si>
  <si>
    <t>Hirko, SB (corresponding author), Univ Ottawa, Ottawa, ON, Canada.</t>
  </si>
  <si>
    <t>Centre for International Governance Innovation (CIGI); Open AIR</t>
  </si>
  <si>
    <t>QES-AS Postdoctoral Fellow, University of Ottawa; PhD (University of Ottawa), LLM (MIPLC) and LLB (Haramaya University). Former Assistant Professor, Haramaya University Ethiopia; Research Fellow, Open African Innovation Research (Open AIR), University of Ottawa, Canada. The author is grateful to both Open AIR and the Centre for International Governance Innovation (CIGI) for their generous financial assistance in support of this research.</t>
  </si>
  <si>
    <t>10.3366/ajicl.2021.0363</t>
  </si>
  <si>
    <t>RX0ZW</t>
  </si>
  <si>
    <t>WOS:000646952100005</t>
  </si>
  <si>
    <t>Palacios-Arapiles, S</t>
  </si>
  <si>
    <t>Palacios-Arapiles, Sara</t>
  </si>
  <si>
    <t>Unfolding Africa's Impact on the Development of International Refugee Law</t>
  </si>
  <si>
    <t>Refugee definition; 1951 Refugee Convention; 1969 OAU Convention; Bangkok Principles; African human rights system; African states</t>
  </si>
  <si>
    <t>This article traces the contributions of African states to the development of international refugee law and explores the role African human rights supervisory bodies have played in the interpretation and application of this field of law. While Africa's contributions to international refugee law are often overlooked, this article sets out to identify Africa's involvement in the drafting process of the UN Refugee Convention and its 1967 Protocol. It also explores the legal framework for refugees in Africa, in particular the OAU Refugee Convention and the Bangkok Principles on Status and Treatment of Refugees, and the extent to which these two instruments have enriched international refugee law. The article argues that some of their provisions may provide evidence of customary rules of international law. Lastly, it examines some of the authoritative pronouncements made by African human rights supervisory bodies, in so far as they adopt a progressive approach to interpreting the rights of refugees and asylum-seekers.</t>
  </si>
  <si>
    <t>[Palacios-Arapiles, Sara] Univ Nottingham, Forced Migrat Unit, Sch Law, Nottingham, England</t>
  </si>
  <si>
    <t>University of Nottingham</t>
  </si>
  <si>
    <t>Palacios-Arapiles, S (corresponding author), Univ Nottingham, Forced Migrat Unit, Sch Law, Nottingham, England.</t>
  </si>
  <si>
    <t>sara.arapiles@nottingham.ac.uk</t>
  </si>
  <si>
    <t>Palacios Arapiles, Sara/0000-0002-3281-1356</t>
  </si>
  <si>
    <t>LLB/LLM (University of Salamanca), LLM (Institute for European Studies, Vrije Universiteit Brussels), MA (University of Nottingham). Doctoral researcher, Forced Migration Unit, School of Law, University of Nottingham, UK. The author wishes to thank Dr Romola Adeola for the invitation to present an earlier version of this article at the International Conference on the Protection of Forced Migration in Africa (Centre for Human Rights, University of Pretoria, 7 September 2019). This work is supported by the Economic and Social Research Council (grant number ES/P000711/1).</t>
  </si>
  <si>
    <t>10.1017/S0021855321000036</t>
  </si>
  <si>
    <t>SB1VW</t>
  </si>
  <si>
    <t>WOS:000649790600004</t>
  </si>
  <si>
    <t>Chang, YC; Garoupa, N; Wells, MT</t>
  </si>
  <si>
    <t>Chang, Yun-chien; Garoupa, Nuno; Wells, Martin T.</t>
  </si>
  <si>
    <t>DRAWING THE LEGAL FAMILY TREE: AN EMPIRICAL COMPARATIVE STUDY OF 170 DIMENSIONS OF PROPERTY LAW IN 129 JURISDICTIONS</t>
  </si>
  <si>
    <t>JOURNAL OF LEGAL ANALYSIS</t>
  </si>
  <si>
    <t>COMPETITION LAW; COMMON-LAW; ECONOMIC-ANALYSIS; ORIGINS; WORLD; STANDARDIZATION; TRADITIONS; CONTRACT; COURTS</t>
  </si>
  <si>
    <t>Traditional comparative private law scholars have a firm grasp of laws in several countries, but rarely of those in more than one hundred countries. Quantitative comparative private law scholars have placed dozens of countries into a legal family genealogy, but not based on a systematic understanding of legal substance around the world. Using a unique, hand-coded data set on 108 property doctrines (transformed into 170 binary variables) in 129 jurisdictions, we ran supervised and unsupervised machine-learning algorithms. Some of our findings confirm the conventional wisdom: French and German property laws are influential; mixed jurisdictions like South Africa and Scotland are one of a kind; common law jurisdictions form a group of their own; and a handful of formerly socialist countries, led by Russia, cluster together. Unlike the prior literature, however, we do not find that East Asian jurisdictions warrant a category of their own; but belong to distant groups. Spain and many Latin American countries form a separate group. Rather than finding a clear-cut common versus civil law division, we observe that the France-inspired group is one supercluster, separate from other jurisdictions.</t>
  </si>
  <si>
    <t>[Chang, Yun-chien] Acad Sinica, Ctr Empir Legal Studies, Inst Iurisprudentiae, Taipei, Taiwan; [Chang, Yun-chien] NYU, Sch Law, New York, NY 10003 USA; [Garoupa, Nuno] George Mason Univ, Scalia Law, Res &amp; Fac Dev, Fairfax, VA 22030 USA; [Wells, Martin T.] Cornell Univ, Stat Sci, Dept Stat &amp; Data Sci, Ithaca, NY 14853 USA</t>
  </si>
  <si>
    <t>Academia Sinica - Taiwan; New York University; George Mason University; Cornell University</t>
  </si>
  <si>
    <t>Chang, YC (corresponding author), Acad Sinica, Ctr Empir Legal Studies, Inst Iurisprudentiae, Taipei, Taiwan.;Chang, YC (corresponding author), NYU, Sch Law, New York, NY 10003 USA.</t>
  </si>
  <si>
    <t>kleiber@sinica.edu.tw; ngaroup@gmu.edu; mtwl@cornell.edu</t>
  </si>
  <si>
    <t>Chang, Yun-chien/0000-0001-8050-2702; Garoupa, Nuno/0000-0001-6792-0918</t>
  </si>
  <si>
    <t>Academia Sinica [106-H02]</t>
  </si>
  <si>
    <t>Academia Sinica(Academia Sinica - Taiwan)</t>
  </si>
  <si>
    <t>I thank my home institute Academia Sinica for the main funding (Career Development Award 106-H02). I thank my dean Tzu-Yi Lin for his confidence in me and this project. Dr. Han-Wei Ho provided superb hellp in statistical programming. The librarians at the University of Chicago Law School and Cornell Law School provided great help in identifying foreign law materials when I was a visiting professor there. Some of the aforementioned RAs are LL.M. students at Chicago and Cornell. The University of Chicago Law School also covered the expenses for the LLM RAs. The law library at University of Iowa College of Law also provided me with foreign legal materials when I was Law Library's Bonfield Fellow for 2016. Prof. XU Guodong, though we have never met in person, allowed me to photocopy his civil code collections. Many other scholars have helped in making this gigantic coding project possible. I am grateful to all of them-including but not limited to Daphna Lewinsohn-Zamir, Sjef van Erp, Bram Akkermanns, Benito Arru~nada, Chung-wu Chen, TANG Han Wu, CHEN Lei, CHEN Weitseng, Lee Fennell, Tzung-Mou Wu, WU Ying Chieh, etc. In addition, Universidad de Monterrey, Departamento Academico de la Escuela de Derecho, Prof. Rafael Ibarra Garza and Cynthia Alejandra Sanchez Torres helped me understand the differences between the Federal Civil Code of Mexico and the civil codes in each Mexican state. Chang has reported some of the results in Chinese in the context of PR China's enacting its first civil code in Global Law Review 2019 No. 1, pp.81-101.</t>
  </si>
  <si>
    <t>2161-7201</t>
  </si>
  <si>
    <t>1946-5319</t>
  </si>
  <si>
    <t>J LEGAL ANAL</t>
  </si>
  <si>
    <t>J. Leg. Anal.</t>
  </si>
  <si>
    <t>10.1093/jla/laaa004</t>
  </si>
  <si>
    <t>APR 2021</t>
  </si>
  <si>
    <t>YL6DL</t>
  </si>
  <si>
    <t>WOS:000745979700001</t>
  </si>
  <si>
    <t>Behairy, A; Mohamed, WAM; Ebraheim, LLM; Soliman, MM; Abd-Elhakim, YM; El-Sharkawy, NI; Saber, TM; El Deib, MM</t>
  </si>
  <si>
    <t>Behairy, Amany; Mohamed, Wafaa A. M.; Ebraheim, Lamiaa L. M.; Soliman, Mohamed Mohamed; Abd-Elhakim, Yasmina M.; El-Sharkawy, Nabela I.; Saber, Taghred M.; El Deib, Maha M.</t>
  </si>
  <si>
    <t>Boldenone Undecylenate-Mediated Hepatorenal Impairment by Oxidative Damage and Dysregulation of Heat Shock Protein 90 and Androgen Receptors Expressions: Vitamin C Preventive Role</t>
  </si>
  <si>
    <t>FRONTIERS IN PHARMACOLOGY</t>
  </si>
  <si>
    <t>boldenone undecylenate; vitamin C; hepatorenal damage; oxidative stress; heat shock protein 90; androgen receptors</t>
  </si>
  <si>
    <t>ANTIOXIDANT ENZYME-ACTIVITY; ASCORBIC-ACID; NANDROLONE DECANOATE; ANABOLIC-STEROIDS; TOTAL CHOLESTEROL; BLOOD-PRESSURE; RENAL-DISEASE; LIVER; RATS; SERUM</t>
  </si>
  <si>
    <t>Boldenone Undecylenate (BLD) is a synthetic derivative of testosterone and a widely used anabolic androgenic steroid. The health risk of BLD use as a pharmaceutical or dietary supplement is still underestimated and under-reported. Vitamin C (VC) has been recognized as an antioxidant with prominent hepatorenal protective effects. This study investigated the possible preventive activity of VC against BLD-induced hepatorenal damage. Forty adult male Wistar rats were classified into five groups: control, vehicle control, VC (orally given 120 mg/kg b. wt./day), BLD (intramuscularly injected 5 mg/kg b. wt./week), and BLD + VC-treated groups. The experiment continued for eight weeks. Serum levels of alanine aminotransferase (ALT) and aspartate aminotransferase (AST) were measured. Serum contents of total protein (TP), albumin (ALB), globulin, total cholesterol (TC), triglycerides (TG), high-density lipoprotein-cholesterol (HDL-C), low-density lipoprotein-cholesterol (LDL-C), and very-low-density lipoprotein-cholesterol (VLDL-C) were also assayed. Urea, creatinine, and uric acid levels were determined together with sodium and potassium electrolytes measuring. Moreover, oxidative stress indicators including reduced glutathione (GSH), glutathione peroxidase (GPx), glutathione-S-transferase (GST), and glutathione reductase (GSR) as well as malondialdehyde (MDA) levels were measured in both hepatic and renal tissues. Corresponding histological examination of renal and hepatic tissues was conducted. Besides, immunohistochemical evaluations for androgen receptors protein (AR) and heat shock protein 90 (Hsp 90) expressions were performed. BLD caused significant rises in serum ALT, AST, TP, ALB, TC, TG, LDL-C, VLDL-C, urea, creatinine, uric acid, potassium, and MDA levels. Further, BLD-injected rats showed significant declines in the serum levels of HDL-C, sodium, GSH, GPx, GST, and GSR. Besides, distinct histopathological perturbations were detected in renal and hepatic tissues of BLD-injected rats. AR and Hsp 90 immunoexpression were increased in hepatic and renal tissues. In contrast, VC significantly reversed the BLD-induced hepatorenal damage in co-treated rats but not ameliorated AR protein overexpression. VC could be an efficient preventive supplement for mitigating BLD-induced hepatorenal damage, possibly via controlling oxidative stress events.</t>
  </si>
  <si>
    <t>[Behairy, Amany] Zagazig Univ, Dept Physiol, Fac Vet Med, Zagazig, Egypt; [Mohamed, Wafaa A. M.] Zagazig Univ, Dept Clin Pathol, Fac Vet Med, Zagazig, Egypt; [Ebraheim, Lamiaa L. M.] Zagazig Univ, Dept Histol &amp; Cytol, Fac Vet Med, Zagazig, Egypt; [Soliman, Mohamed Mohamed] Taif Univ, Turabah Univ Coll, Clin Lab Sci Dept, At Taif, Saudi Arabia; [Abd-Elhakim, Yasmina M.; El-Sharkawy, Nabela I.; Saber, Taghred M.] Zagazig Univ, Dept Forens Med &amp; Toxicol, Fac Vet Med, Zagazig, Egypt; [El Deib, Maha M.] Zagazig Univ, Dept Biochem, Fac Vet Med, Zagazig, Egypt</t>
  </si>
  <si>
    <t>Egyptian Knowledge Bank (EKB); Zagazig University; Egyptian Knowledge Bank (EKB); Zagazig University; Egyptian Knowledge Bank (EKB); Zagazig University; Taif University; Egyptian Knowledge Bank (EKB); Zagazig University; Egyptian Knowledge Bank (EKB); Zagazig University</t>
  </si>
  <si>
    <t>Abd-Elhakim, YM (corresponding author), Zagazig Univ, Dept Forens Med &amp; Toxicol, Fac Vet Med, Zagazig, Egypt.</t>
  </si>
  <si>
    <t>yasmina_forensic@hotmail.com</t>
  </si>
  <si>
    <t>Taif University [TURSP-2020/09]</t>
  </si>
  <si>
    <t>Taif University</t>
  </si>
  <si>
    <t>We much appreciate and thank Taif University for the financial support for Taif University Researchers Supporting Project (TURSP-2020/09), Taif University, Taif, Saudi Arabia.</t>
  </si>
  <si>
    <t>1663-9812</t>
  </si>
  <si>
    <t>FRONT PHARMACOL</t>
  </si>
  <si>
    <t>Front. Pharmacol.</t>
  </si>
  <si>
    <t>APR 27</t>
  </si>
  <si>
    <t>10.3389/fphar.2021.651497</t>
  </si>
  <si>
    <t>Pharmacology &amp; Pharmacy</t>
  </si>
  <si>
    <t>RZ9DI</t>
  </si>
  <si>
    <t>WOS:000648898300001</t>
  </si>
  <si>
    <t>Castellano, GG; Tosato, A</t>
  </si>
  <si>
    <t>Castellano, Giuliano G.; Tosato, Andrea</t>
  </si>
  <si>
    <t>Commercial Law Intersections</t>
  </si>
  <si>
    <t>HASTINGS LAW JOURNAL</t>
  </si>
  <si>
    <t>INTELLECTUAL PROPERTY; SECURITY INTERESTS; ARTICLE 9; GOVERNANCE; CONTRACTS; COPYRIGHT; PRIORITY; ACT; FRAGMENTATION; COMPETITION</t>
  </si>
  <si>
    <t>Commercial law is not a single, monolithic entity. It has grown into a dense thicket of subject-specific branches that govern a broad range of transactions and corporate actions. When one of such dealings or activities falls concurrently within the purview of two or more of these commercial law branches-such as corporate law, intellectual property law, secured transactions law, conduct and prudential regulation-an overlap materializes. We refer to this legal phenomenon as a commercial law intersection (CLI). CLIs are ubiquitous. Notable examples include traditional commercial transactions, such as bank loans secured by shares, supply chain financing, or patent cross-licensing agreements, as well as nascent FinTech arrangements, such as blockchain-based initial coin offerings and other dealings in digital tokens. CLIs present a multi-faceted challenge. The unharmonious convergence of commercial law branches generates failures in coordination that both increase transaction costs and distort incentives for market participants. Crucially, in the most severe cases, this affliction deters business actors from entering into the affected transactions altogether. The cries of scholars, judges, and practitioners lamenting these issues have grown ever louder; yet methodical, comprehensive solutions remain elusive. This Article endeavors to fill this void. First, it provides a comprehensive analysis of CLIs and the dynamics that give rise to coordination failures. Drawing from systems theory and jurisprudence, it then identifies the deficiencies of the most common approaches used to reconcile tensions between commercial law branches, before advancing the concepts of legal coherence and unity of purpose as the key to addressing such shortcomings. Finally, leveraging these insights, it formulates a normative blueprint, comprising a two-step method which aims to assist lawmakers, regulators, and courts in untangling the Gordian knot created by CLI coordination failures.</t>
  </si>
  <si>
    <t>[Castellano, Giuliano G.] Univ Hong Kong, Fac Law, Hong Kong, Peoples R China; [Castellano, Giuliano G.] Asian Inst Int Financial Law AIIFL, Hong Kong, Peoples R China; [Tosato, Andrea] Univ Nottingham, Sch Law, Nottingham, England; [Tosato, Andrea] Univ Penn, Law Sch, Philadelphia, PA 19104 USA</t>
  </si>
  <si>
    <t>University of Hong Kong; University of Nottingham; University of Pennsylvania</t>
  </si>
  <si>
    <t>Castellano, GG (corresponding author), Univ Hong Kong, Fac Law, Hong Kong, Peoples R China.;Castellano, GG (corresponding author), Asian Inst Int Financial Law AIIFL, Hong Kong, Peoples R China.</t>
  </si>
  <si>
    <t>Castellano, Giuliano/H-3002-2015</t>
  </si>
  <si>
    <t>Castellano, Giuliano/0000-0002-4752-8959</t>
  </si>
  <si>
    <t>Hong Kong Research Grant Council through the General Research Fund (GRF) [17607119]</t>
  </si>
  <si>
    <t>Hong Kong Research Grant Council through the General Research Fund (GRF)</t>
  </si>
  <si>
    <t>We would like to thank Douglas W. Arner, Emilios Avgouleas, Marco Dell'Erba, Marek Dubovec, Carsten Gerner-Beuerle, Lucio Ghia, David A. Hoffman, Andrew Hinkes, Hideki Kanda, Gideon Parchomovsky, Carla Reyes, Paul Roberts, Teresa Rodriguez de las Heras Ballell, Ignacio Tirado, Charles W. Mooney Jr., Marc Moore, Ruth Plato-Shinar, Magda Raczynska, Kemar Richards, Dalvinder Singh, Tibor Tajti, Anna Veneziano, Catherine Walsh, and Simon N.M. Young for inspiring us with thought-provoking discussions and insightful comments offered during various stages of our work. We are grateful to the participants at the LLM Workshop of the Faculty of Laws of the University College of London (UCL) and at the University Research Priority Program (URPP) Financial Market Regulation Forum of the University of Zurich. We also owe a debt of gratitude to the student editors of the Hastings Law Journal for their comments, suggestions, and support in preparing this Article. All mistakes are our own. Giuliano G. Castellano further thanks the Central European University (CEU) for the gracious hospitality and the Hong Kong Research Grant Council through the General Research Fund (GRF project n. 17607119) for the generous support.</t>
  </si>
  <si>
    <t>UNIV CALIF</t>
  </si>
  <si>
    <t>HASTINGS COLLEGE LAW 200 MCALLISTER ST, SAN FRANCISCO, CA 94102 USA</t>
  </si>
  <si>
    <t>0017-8322</t>
  </si>
  <si>
    <t>HASTINGS LAW J</t>
  </si>
  <si>
    <t>Hastings Law J.</t>
  </si>
  <si>
    <t>APR 19</t>
  </si>
  <si>
    <t>RP2UI</t>
  </si>
  <si>
    <t>WOS:000641588600001</t>
  </si>
  <si>
    <t>Lee, J</t>
  </si>
  <si>
    <t>Lee, Joyman</t>
  </si>
  <si>
    <t>The irreducible core of trustee duties in East Asian trusts</t>
  </si>
  <si>
    <t>TRUSTS &amp; TRUSTEES</t>
  </si>
  <si>
    <t>This article examines the idea of the irreducible core of trustee duties in relation to East Asian trusts. Although the Japanese Trust Act of 2006 has designated many duties as non-core, the extent of reduction is far from certain. This is because regulatory law continues to apply, as well as the court's policy interest in giving effect to the trust only where this is intended by the parties. The New Zealand Trust Act of 2019, which highlights the centrality of good faith rather than self-denial, clearly identifies the duties which stand at the core of the Japanese and Chinese trusts.</t>
  </si>
  <si>
    <t>[Lee, Joyman] UCL, Private Law, London, England; [Lee, Joyman] Univ Glasgow, Common Law, Glasgow, Lanark, Scotland</t>
  </si>
  <si>
    <t>University of London; University College London; University of Glasgow</t>
  </si>
  <si>
    <t>Lee, J (corresponding author), UCL, Private Law, London, England.;Lee, J (corresponding author), Univ Glasgow, Common Law, Glasgow, Lanark, Scotland.</t>
  </si>
  <si>
    <t>joymanleel@gmail.com</t>
  </si>
  <si>
    <t>Lee, Joyman/0000-0003-0617-6827</t>
  </si>
  <si>
    <t>Master of the Rolls Scholarship from UCL Faculty of Laws</t>
  </si>
  <si>
    <t>This article is based on the author's LLM independent research essay at University College London. The LLM degree was supported by a Master of the Rolls Scholarship from UCL Faculty of Laws. The author wishes to acknowledge the advice and contribution of his supervisor Professor Charles Mitchell to the essay, and Professor Paul Davies who served as second reader.</t>
  </si>
  <si>
    <t>1363-1780</t>
  </si>
  <si>
    <t>1752-2110</t>
  </si>
  <si>
    <t>TRUSTS TRUSTEES</t>
  </si>
  <si>
    <t>Trusts Trustees</t>
  </si>
  <si>
    <t>10.1093/tandt/ttab013</t>
  </si>
  <si>
    <t>UQ0CY</t>
  </si>
  <si>
    <t>Green Published, Green Accepted, hybrid</t>
  </si>
  <si>
    <t>WOS:000695741400005</t>
  </si>
  <si>
    <t>Tsolakos, K; Katselis, G; Theodorou, JA</t>
  </si>
  <si>
    <t>Tsolakos, Konstantinos; Katselis, George; Theodorou, John A.</t>
  </si>
  <si>
    <t>Taphonomy of mass mollusc shell accumulation at Amvrakikos Gulf lagoon complex sandy barriers (NW Greece)</t>
  </si>
  <si>
    <t>OCEANOLOGIA</t>
  </si>
  <si>
    <t>Taphonomic analysis; Amvrakikos Gulf; Bivalves shells accumulation; Lagoon sandy barriers; Cerastoderma glaucum; Polititapes aureus</t>
  </si>
  <si>
    <t>The preservation status of the mollusc shell accumulation of sandy barriers at the Amvrakikos Gulf lagoon complex was studied. Taphonomic shell analysis of dead mollusc depositions was undertaken in the summer of 2016 at Amvrakikos lagoon complex within the Tsoukalio and Logarou sandy barriers, which showed significant differences among the major abundant bivalve species of Cerastoderma glaucum and Polititapes aureus. Both hydrodynamic transport and differential exposure to environmental conditions differ among the accumulated shells depositions of the lagoonal sandy barriers. The heavier and more durable shells of C. glaucum are frequently found concentrated at the Tsoukalio lagoon accumulations and show a higher intensity of fragmentation whereas at Logarou lagoon the bioerosion and abrasion is more intense. On the other hand, the lighter, thinner, and thus more fragile shells of P. aureus show higher concentration and intensity of fragmentation and bioerosion at Logarou lagoon sandy barriers. The continuous deposition of shells at Tsoukalio lagoonal sandy barriers, contrary to the long-term deposition at Logarou lagoon, explains the different types of accumulations among the lagoons which are attributed to the geomorphology of the sandy shores as well as the morphological characteristics of the different shells. (C) 2020 Institute of Oceanology of the Polish Academy of Sciences. Production and hosting by Elsevier B.V.</t>
  </si>
  <si>
    <t>[Tsolakos, Konstantinos; Katselis, George; Theodorou, John A.] Univ Patras, Sch Agr Sci, Dept Anim Prod Fisheries &amp; Aquaculture, GR-30200 Mesolonghi, Greece</t>
  </si>
  <si>
    <t>University of Patras</t>
  </si>
  <si>
    <t>Tsolakos, K (corresponding author), Univ Patras, Sch Agr Sci, Dept Anim Prod Fisheries &amp; Aquaculture, GR-30200 Mesolonghi, Greece.</t>
  </si>
  <si>
    <t>k.tsolakos@upatras.gr</t>
  </si>
  <si>
    <t>Tsolakos, Konstantinos/0000-0002-7865-8369</t>
  </si>
  <si>
    <t>European Economic Area Financial Mechanism (EEA FM)</t>
  </si>
  <si>
    <t>Data collected through the project Identification, consequences and management of the anoxic zone of Amvrakikos Gulf (NW Greece) was funded by European Economic Area Financial Mechanism (EEA FM) 2009-2014. Special thanks to our friends and English teachers Christine Christakou and Efrosini Antonopoulou as well as to my brother Cpt. Grigorios Tsolakos graduate of University of Plymouth (BSc) and Univertisy of Cardiff(LLM), for assisting in drafting this manuscript.</t>
  </si>
  <si>
    <t>POLISH ACAD SCIENCES INST OCEANOLOGY</t>
  </si>
  <si>
    <t>SOPOT</t>
  </si>
  <si>
    <t>POWSTANCOW WASZAWY 55, PL-81-712 SOPOT, POLAND</t>
  </si>
  <si>
    <t>0078-3234</t>
  </si>
  <si>
    <t>2300-7370</t>
  </si>
  <si>
    <t>Oceanologia</t>
  </si>
  <si>
    <t>APR-JUN</t>
  </si>
  <si>
    <t>10.1016/j.oceano.2020.11.004</t>
  </si>
  <si>
    <t>Oceanography</t>
  </si>
  <si>
    <t>RF6DK</t>
  </si>
  <si>
    <t>WOS:000634931500002</t>
  </si>
  <si>
    <t>Wardhaugh, B</t>
  </si>
  <si>
    <t>Wardhaugh, Bruce</t>
  </si>
  <si>
    <t>Subsidies and Competition in the EU-UK Trade and Cooperation Agreement: All Pain for No Gain?</t>
  </si>
  <si>
    <t>MANCHESTER JOURNAL OF INTERNATIONAL ECONOMIC LAW</t>
  </si>
  <si>
    <t>As a result of the UK's withdrawal from the EU, the two parties negotiated two agreements: a Withdrawal Agreement which would in part determine their post-Brexit relationship, and a Trade and Cooperation Agreement (TCA) which would determine the conditions under which trade in most goods would be conducted. In negotiating these agreements, the UK focused on three totemic issues: sovereignty, fisheries, and competition and state aid policy. The latter took significance, as-it was argued-by taking control of its competition and subsidy policy, the UK could pursue an industrial policy that would ensure its success in the post-Brexit global economy. This article considers the TCA's provisions on competition and state aid. It finds, contrary to the desires of those who promoted Brexit on this ground that as a result of the TCA's provisions, little can change in terms of policy space in the UK's competition or industrial subsidy regimes. The substantive provisions contained in the TCA and the EU's regime are in essence identical. The procedural aspects of the TCA's subsidy provisions may grant the UK some flexibility (or 'freedom'). But, we conclude this comes at a high price, given the economic effect to Brexit for the UK.</t>
  </si>
  <si>
    <t>[Wardhaugh, Bruce] Univ Manchester, Competit Law, Manchester, Lancs, England</t>
  </si>
  <si>
    <t>University of Manchester</t>
  </si>
  <si>
    <t>Wardhaugh, B (corresponding author), Univ Manchester, Competit Law, Manchester, Lancs, England.</t>
  </si>
  <si>
    <t>British Academy/Leverhulme Trust small research grant [SRG20\201069]</t>
  </si>
  <si>
    <t>British Academy/Leverhulme Trust small research grant</t>
  </si>
  <si>
    <t>Bruce Wardhaugh, Senior Lecturer in Competition Law, University of Manchester, UK, LLM (Amsterdam), LLB (Toronto), PhD, MA (Toronto, Philosophy). This project was supported by a British Academy/Leverhulme Trust small research grant (SRG20\201069).</t>
  </si>
  <si>
    <t>ELECTRONIC PUBL LTD</t>
  </si>
  <si>
    <t>MIDDLESEX</t>
  </si>
  <si>
    <t>120 SPRING GROVE RD, HOUNSLOW E, HOUNSLOW, MIDDLESEX, ENGLAND</t>
  </si>
  <si>
    <t>1742-3945</t>
  </si>
  <si>
    <t>MANCH J INT ECON LAW</t>
  </si>
  <si>
    <t>Manchester J. Int. Econ. Law</t>
  </si>
  <si>
    <t>Economics; Law</t>
  </si>
  <si>
    <t>Business &amp; Economics; Government &amp; Law</t>
  </si>
  <si>
    <t>RZ6NZ</t>
  </si>
  <si>
    <t>WOS:000648718900004</t>
  </si>
  <si>
    <t>Geng, JW; Deng, LH; Qiu, S; Bian, HY; Cai, BY; Li, YP; Li, JM; Qin, Z; Yang, QB; Dong, BR; Su, BH</t>
  </si>
  <si>
    <t>Geng, Jiwen; Deng, Linghui; Qiu, Shi; Bian, Haiyang; Cai, Boyu; Li, Yupei; Li, Jiameng; Qin, Zheng; Yang, Qinbo; Dong, Birong; Su, Baihai</t>
  </si>
  <si>
    <t>Low lean mass and cognitive performance: data from the National Health and Nutrition Examination Surveys</t>
  </si>
  <si>
    <t>AGING CLINICAL AND EXPERIMENTAL RESEARCH</t>
  </si>
  <si>
    <t>Cognitive performance; Low lean mass; Cognitive impairment; LLM</t>
  </si>
  <si>
    <t>Background Low lean mass and cognitive impairment are both age-related diseases. In addition, these conditions share many risk factors. However, the association between them has been controversial in recent years. Objective To investigate the association between low lean mass and cognitive performance in U.S. adults using NHANES data from 1999 to 2002. Methods A total of 2550 participants were identified in the National Health and Nutrition Examination Survey Database (1999-2002). The independent variable was low lean mass, and the dependent variable was cognitive performance. Men and women were classified as having low lean mass if appendicular lean mass (ALM) adjusted for BMI (ALM(BMI)) was &lt; 0.789 and &lt; 0.512, respectively. Cognitive performance was assessed using the Digit Symbol Substitution Test (DSST). Higher scores on the DSST indicated better cognitive performance. The covariates included sex, age, race, poverty income ratio, comorbidity index, educational level, physical activity and smoking status. Results For the primary outcome, our multivariate linear regression analysis indicated that participants without low lean mass were associated with better cognitive performance (beta = 1.50; 95% CI [0.12-2.89]). Subgroup analysis results indicated that the association was similar in sex, age, race, poverty income ratio, comorbidity index, educational level, physical activity and smoking status. Conclusions Participants without low lean mass were associated with better cognitive performance. We might be able to improve cognitive performance by treating low lean mass, thus providing an opportunity for intervention at a younger age.</t>
  </si>
  <si>
    <t>[Geng, Jiwen; Li, Yupei; Li, Jiameng; Qin, Zheng; Yang, Qinbo; Su, Baihai] Sichuan Univ, West China Hosp, Dept Nephrol, 37 Guoxue Alley, Chengdu 610041, Sichuan, Peoples R China; [Geng, Jiwen; Li, Yupei; Li, Jiameng; Qin, Zheng; Yang, Qinbo; Su, Baihai] Sichuan Univ, West China Hosp, Natl Clin Res Ctr Geriatr, 37 Guoxue Alley, Chengdu 610041, Sichuan, Peoples R China; [Deng, Linghui; Dong, Birong] Sichuan Univ, West China Hosp, Natl Clin Res Ctr Geriatr, Ctr Gerontol &amp; Geriatr, Chengdu, Sichuan, Peoples R China; [Deng, Linghui; Dong, Birong] Sichuan Univ, West China Hosp, Dept Gerontol, Chengdu, Sichuan, Peoples R China; [Qiu, Shi; Cai, Boyu] Sichuan Univ, West China Hosp, Inst Urol, Dept Urol, Chengdu, Sichuan, Peoples R China; [Bian, Haiyang] Peking Univ, Sch Publ Hlth, Inst Reprod &amp; Child Hlth, Beijing, Peoples R China; [Bian, Haiyang] Peking Univ, Sch Publ Hlth, Dept Epidemiol &amp; Biostat, Beijing, Peoples R China; [Li, Yupei] Sichuan Univ, Inst Disaster Management &amp; Reconstruct, Chengdu, Sichuan, Peoples R China</t>
  </si>
  <si>
    <t>Sichuan University; Sichuan University; Sichuan University; Sichuan University; Sichuan University; Peking University; Peking University; Sichuan University</t>
  </si>
  <si>
    <t>Su, BH (corresponding author), Sichuan Univ, West China Hosp, Dept Nephrol, 37 Guoxue Alley, Chengdu 610041, Sichuan, Peoples R China.;Su, BH (corresponding author), Sichuan Univ, West China Hosp, Natl Clin Res Ctr Geriatr, 37 Guoxue Alley, Chengdu 610041, Sichuan, Peoples R China.</t>
  </si>
  <si>
    <t>Geng, Jiwen/0000-0001-6266-1945; Li, Yupei/0000-0002-7364-3731; Su, Baihai/0000-0002-2187-8168</t>
  </si>
  <si>
    <t>National Natural Science Foundation of China [81902578]; Post-doctoral Science Research Foundation of Sichuan University [2020SCU12041]; West China Hospital, Sichuan University [2018HXBH085]; State Key Research Program of China [2016YFC1103003]; Key Project of Research and Development of Science and Technology Department of Sichuan Province [2018FZ0102]; World-Class University Construction Foundation of Sichuan University [2040204401012]</t>
  </si>
  <si>
    <t>National Natural Science Foundation of China(National Natural Science Foundation of China (NSFC)); Post-doctoral Science Research Foundation of Sichuan University; West China Hospital, Sichuan University(Sichuan University); State Key Research Program of China(State Key Development Program for Basic Research of China); Key Project of Research and Development of Science and Technology Department of Sichuan Province; World-Class University Construction Foundation of Sichuan University</t>
  </si>
  <si>
    <t>This work was supported by the National Natural Science Foundation of China (Grant Nos. 81902578), Post-doctoral Science Research Foundation of Sichuan University (Grant No. 2020SCU12041), Post-Doctor Research Project, West China Hospital, Sichuan University (Grant No. 2018HXBH085), the State Key Research Program of China (Grant No. 2016YFC1103003), the Key Project of Research and Development of Science and Technology Department of Sichuan Province (Grant No. 2018FZ0102) and the World-Class University Construction Foundation of Sichuan University (Grant No. 2040204401012).</t>
  </si>
  <si>
    <t>1594-0667</t>
  </si>
  <si>
    <t>1720-8319</t>
  </si>
  <si>
    <t>AGING CLIN EXP RES</t>
  </si>
  <si>
    <t>Aging Clin. Exp. Res.</t>
  </si>
  <si>
    <t>10.1007/s40520-021-01835-w</t>
  </si>
  <si>
    <t>MAR 2021</t>
  </si>
  <si>
    <t>Geriatrics &amp; Gerontology</t>
  </si>
  <si>
    <t>WK6BK</t>
  </si>
  <si>
    <t>WOS:000635075300002</t>
  </si>
  <si>
    <t>Müller, MA; Stammler, G; De Mio, LLM</t>
  </si>
  <si>
    <t>Mueller, Monica Anghinoni; Stammler, Gerd; May De Mio, Louise Larissa</t>
  </si>
  <si>
    <t>Multiple resistance to DMI, QoI and SDHI fungicides in field isolates of Phakopsora pachyrhizi</t>
  </si>
  <si>
    <t>CROP PROTECTION</t>
  </si>
  <si>
    <t>Asian soybean rust; Demethylation-inhibitors; Quinone-outside-inhibitors; Succinate-dehydrogenase inhibitors; Fungicide resistance</t>
  </si>
  <si>
    <t>CYTOCHROME-B GENE; SUCCINATE-DEHYDROGENASE; MOLECULAR CHARACTERIZATION; DIAGRAMMATIC SCALE; SENSITIVITY; FITNESS; RUST; MUTATIONS; STRAINS; YIELD</t>
  </si>
  <si>
    <t>Asian soybean rust (ASR), caused by the fungus Phakopsora pachyrhizi Syd &amp; P. Syd, is the main disease that affects soybean crop in South America. Disease control is based on the use of site-specific fungicides (QoIs, DMIs and SDHIs), multisite fungicides and host-free period. Continuous and intensive use of fungicides has selected isolates of P. pachyrhizi, with reduced sensitivity to DMIs, QoIs and SDHIs. This work includes sensitivity studies for prothioconazole and SDHIs and genetic analysis of target site mutations in P. pachyrhizi related to sensitivity reduction to DMIs, QoIs and SDHIs collected from different regions of soybean production areas. Different CYP51 genotypes with distinct point mutations known to influence DMI sensitivity are present in Brazilian isolates. Combined mutation F120L + Y131H on CYP51 gene was the most frequent among Brazilian isolates. Mutant isolates showed higher EC50 values to the DMI prothioconazole compared to wild type isolates. Regarding QoI, almost all Brazilian isolates carried the mutation F129L in the CYTB gene. Wild type of the SdhC gene was the most frequent genotype to SDHI fungicides, but the mutation leading to the I86F amino acid exchange has also been detected. Such isolates showed higher EC50 values to the SDHIs bixafen, benzovindiflupyr and fluxapyroxad compared to wild type isolates. The most frequent genotype in our collection presented target site mutations in the CYP51 and CYTB genes. A monouredinial isolate with mutations in all three target genes was detected and is here described for the first time. Its current and further spread, and the impact on field performance of fungicides with these modes of action needs further evaluation.</t>
  </si>
  <si>
    <t>[Mueller, Monica Anghinoni; May De Mio, Louise Larissa] Univ Fed Parana, Rua Funcionarios 1540, BR-80035050 Curitiba, Parana, Brazil; [Stammler, Gerd] BASF SE, Speyerer Str 2, D-67117 Limburgerhof, Germany</t>
  </si>
  <si>
    <t>Universidade Federal do Parana; BASF</t>
  </si>
  <si>
    <t>De Mio, LLM (corresponding author), Univ Fed Parana, Rua Funcionarios 1540, BR-80035050 Curitiba, Parana, Brazil.</t>
  </si>
  <si>
    <t>Coordination for the Improvement of Higher Education Personnel-Brazil (CAPES) [001]; National Council for Scientific and Technological Development (CNPq)/Brazil</t>
  </si>
  <si>
    <t>Coordination for the Improvement of Higher Education Personnel-Brazil (CAPES)(Coordenacao de Aperfeicoamento de Pessoal de Nivel Superior (CAPES)); National Council for Scientific and Technological Development (CNPq)/Brazil(Conselho Nacional de Desenvolvimento Cientifico e Tecnologico (CNPQ))</t>
  </si>
  <si>
    <t>This study was financed in part by the Coordination for the Improvement of Higher Education PersonnelBrazil (CAPES) Finance Code 001. The last author received research fellowships from National Council for Scientific and Technological Development (CNPq) /Brazil. The authors would like to thank Gerd Stammler lab team for excellent technical assistance, Kelly Simoes and Fernando Gava for training and sending samples.</t>
  </si>
  <si>
    <t>0261-2194</t>
  </si>
  <si>
    <t>1873-6904</t>
  </si>
  <si>
    <t>CROP PROT</t>
  </si>
  <si>
    <t>Crop Prot.</t>
  </si>
  <si>
    <t>10.1016/j.cropro.2021.105618</t>
  </si>
  <si>
    <t>RU3ZK</t>
  </si>
  <si>
    <t>WOS:000645087000018</t>
  </si>
  <si>
    <t>Fujisawa, K; Carvalho, BR; Zhang, TY; Perea-López, N; Lin, Z; Carozo, V; Ramos, SLLM; Kahn, E; Bolotsky, A; Liu, H; Elías, AL; Terrones, M</t>
  </si>
  <si>
    <t>Fujisawa, Kazunori; Carvalho, Bruno R.; Zhang, Tianyi; Perea-Lopez, Nestor; Lin, Zhong; Carozo, Victor; Ramos, Sergio L. L. M.; Kahn, Ethan; Bolotsky, Adam; Liu, He; Elias, Ana Laura; Terrones, Mauricio</t>
  </si>
  <si>
    <t>Quantification and Healing of Defects in Atomically Thin Molybdenum Disulfide: Beyond the Controlled Creation of Atomic Defects</t>
  </si>
  <si>
    <t>ACS NANO</t>
  </si>
  <si>
    <t>two-dimensional material; transition metal dichalcogenides; molybdenum disulfide; defects; defect healing; vibrational properties; electronic properties</t>
  </si>
  <si>
    <t>RAMAN-SPECTROSCOPY; MONOLAYER MOSE2; GRAPHENE; CONFINEMENT</t>
  </si>
  <si>
    <t>Atomically thin 2D materials provide an opportunity to investigate the atomic-scale details of defects introduced by particle irradiation. Once the atomic configuration of defects and their spatial distribution are revealed, the details of the mesoscopic phenomena can be unveiled. In this work, we created atomically small defects by controlled irradiation of gallium ions with doses ranging from 4.94 x 10(12) to 4.00 x 10(14 )ions/cm(2) on monolayer molybdenum disulfide (MoS2) crystals. The optical signatures of defects, such as the evolution of defect-activated LA-bands and a broadening of the first-order (E' and A(1)') modes, can be studied by Raman spectroscopy. High-resolution scanning transmission electron microscopy (HR-STEM) analysis revealed that most defects are vacancies of few-molybdenum atoms with surrounding sulfur atoms (VxMo+yS) at a low ion dose. When increasing the ion dose, the atomic vacancies merge and form nanometer-sized holes. Utilizing HR-STEM and image analysis, we propose the estimation of the finite crystal length (L-fc) via the careful quantification of 0D defects in 2D systems through the formula L-fc = 4.41/root eta(ion), where eta(ion) corresponds to the ion dose. Combining HR-STEM and Raman spectroscopy, the formula to calculate L-f(c) from Raman features, I(LA)/1(A(1)') = 5.09/L-fc(2), is obtained. We have also demonstrated an effective route to healing the ion irradiation-induced atomic vacancies by annealing defective MoS2 in a hydrogen disulfide (H2S) atmosphere. The H2S annealing improved the crystal quality of MoS2 with L-fc greater than the calculated size of the A exciton wave function, which leads to a partial recovery of the photoluminescence signal after its quenching by ion irradiation.</t>
  </si>
  <si>
    <t>[Fujisawa, Kazunori; Carvalho, Bruno R.; Zhang, Tianyi; Perea-Lopez, Nestor; Lin, Zhong; Carozo, Victor; Kahn, Ethan; Bolotsky, Adam; Liu, He; Elias, Ana Laura] Penn State Univ, Ctr 2 Dimens &amp; Layered Mat, University Pk, PA 16802 USA; [Zhang, Tianyi] Penn State Univ, Dept Mat Sci &amp; Engn, University Pk, PA 16802 USA; [Fujisawa, Kazunori; Carvalho, Bruno R.; Perea-Lopez, Nestor; Lin, Zhong; Carozo, Victor; Bolotsky, Adam] Penn State Univ, Dept Phys, University Pk, PA 16802 USA; [Carozo, Victor] Pontifical Catholic Univ Rio de Janeiro, Dept Phys, BR-22451900 Rio De Janeiro, RJ, Brazil; [Ramos, Sergio L. L. M.] Univ Fed Minas Gerais, Ctr Tecnol Nanomat CT Nano, BR-30161970 Belo Horizonte, MG, Brazil; [Liu, He; Terrones, Mauricio] Penn State Univ, Dept Chem, 152 Davey Lab, University Pk, PA 16802 USA; [Elias, Ana Laura] Binghamton Univ, Dept Phys, Binghamton, NY 13902 USA; [Fujisawa, Kazunori; Terrones, Mauricio] Shinshu Univ, Res Initiat Supra Mat, Nagano 3808553, Japan; [Carvalho, Bruno R.] Univ Fed Rio Grande do Norte, Dept Fis, BR-59078970 Natal, RN, Brazil; [Terrones, Mauricio] Penn State Univ, Ctr 2 Dimens &amp; Layered Mat, Dept Phys, Dept Mat Sci &amp; Engn,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</si>
  <si>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Pennsylvania Commonwealth System of Higher Education (PCSHE); Pennsylvania State University; Pennsylvania State University - University Park; Pontificia Universidade Catolica do Rio de Janeiro; Universidade Federal de Minas Gerais; Pennsylvania Commonwealth System of Higher Education (PCSHE); Pennsylvania State University; Pennsylvania State University - University Park; State University of New York (SUNY) System; State University of New York (SUNY) Binghamton; Shinshu University; Universidade Federal do Rio Grande do Norte; Pennsylvania Commonwealth System of Higher Education (PCSHE); Pennsylvania State University; Pennsylvania State University - University Park</t>
  </si>
  <si>
    <t>Fujisawa, K; Carvalho, BR (corresponding author), Penn State Univ, Ctr 2 Dimens &amp; Layered Mat, University Pk, PA 16802 USA.;Fujisawa, K; Carvalho, BR (corresponding author), Penn State Univ, Dept Phys, University Pk, PA 16802 USA.;Terrones, M (corresponding author), Penn State Univ, Dept Chem, 152 Davey Lab, University Pk, PA 16802 USA.;Fujisawa, K; Terrones, M (corresponding author), Shinshu Univ, Res Initiat Supra Mat, Nagano 3808553, Japan.;Carvalho, BR (corresponding author), Univ Fed Rio Grande do Norte, Dept Fis, BR-59078970 Natal, RN, Brazil.;Terrones, M (corresponding author), Penn State Univ, Ctr 2 Dimens &amp; Layered Mat, Dept Phys, Dept Mat Sci &amp; Engn, University Pk, PA 16802 USA.</t>
  </si>
  <si>
    <t>fujisawa@endomoribu.shinshu-u.ac.jp; brunorc@fisica.ufrn.br; mut11@psu.edu</t>
  </si>
  <si>
    <t>Air Force Office of Scientific Research (AFOSR) [FA9550-18-1-0072]; CAPES; CNPq</t>
  </si>
  <si>
    <t>Air Force Office of Scientific Research (AFOSR)(United States Department of DefenseAir Force Office of Scientific Research (AFOSR)); CAPES(Coordenacao de Aperfeicoamento de Pessoal de Nivel Superior (CAPES)); CNPq(Conselho Nacional de Desenvolvimento Cientifico e Tecnologico (CNPQ))</t>
  </si>
  <si>
    <t>K.F. and M.T. are grateful for the support of the Air Force Office of Scientific Research (AFOSR) through Grant No. FA9550-18-1-0072. B.R.C., V.C., and S.L.L.M.R acknowledge the financial support from the Brazilian agencies CNPq and CAPES. We thank the LCPNano at the Universidade Federal de Minas Gerais for the technical assistance.</t>
  </si>
  <si>
    <t>1936-0851</t>
  </si>
  <si>
    <t>1936-086X</t>
  </si>
  <si>
    <t>ACS Nano</t>
  </si>
  <si>
    <t>10.1021/acsnano.0c10897</t>
  </si>
  <si>
    <t>Chemistry, Multidisciplinary; Chemistry, Physical; Nanoscience &amp; Nanotechnology; Materials Science, Multidisciplinary</t>
  </si>
  <si>
    <t>Chemistry; Science &amp; Technology - Other Topics; Materials Science</t>
  </si>
  <si>
    <t>SY2UZ</t>
  </si>
  <si>
    <t>WOS:000665748900038</t>
  </si>
  <si>
    <t>Li, YH; Wang, Y; Liao, LY; Guo, ZC; Chen, LP; Wu, WQ</t>
  </si>
  <si>
    <t>Li, Yuehua; Wang, Yang; Liao, Longyu; Guo, Zichao; Chen, Liping; Wu, Wenqian</t>
  </si>
  <si>
    <t>Thermal Risk Analysis Based on Reaction Mechanism: Application to the 2,6-Diaminopyrazine-1-oxide Synthesis Process</t>
  </si>
  <si>
    <t>ORGANIC PROCESS RESEARCH &amp; DEVELOPMENT</t>
  </si>
  <si>
    <t>2,6-diaminopyrazine-1-oxide (DAPO); cyclization reaction; reaction mechanism; thermal risk assessment</t>
  </si>
  <si>
    <t>AROMATIC NITRATIONS; OPTIMIZATION</t>
  </si>
  <si>
    <t>Thermal risk analysis is essential for the development of chemical reactions. This work should be carried out on the basis of a thorough comprehension of the reaction mechanism. In this article, the synthesis process for 2,6-diaminopyrazine-1-oxide (DAPO), an important intermediate in the synthesis of the famous explosive 2,6-diamino-3,5-dinitropyrazine-1-oxide (LLM-105), was employed to show the importance of understanding the reaction mechanism for thermal risk analysis. First, we investigated the reaction mechanism of DAPO synthesis. The reaction mechanism was divided into two stages on the basis of the amount of triethylamine dosed: the first half of triethylamine dosing and the second half of triethylamine dosing until the end of the reaction. Then the thermal properties of DAPO synthesis and the thermal stability of the materials involved were experimentally studied using a reaction calorimeter (RC1) and a differential scanning calorimeter (DSC), respectively. The results show that the temperature corresponding to the maximum reaction rate reached in a time of 24 h under adiabatic conditions (T-D24) is higher than the maximum temperature of the synthesis reaction (MTSR) for both of these stages, indicating that once cooling failure occurs, immediately stopping addition of triethylamine could prevent the occurrence of secondary decomposition.</t>
  </si>
  <si>
    <t>[Li, Yuehua; Wang, Yang; Guo, Zichao; Chen, Liping; Wu, Wenqian] Nanjing Univ Sci &amp; Technol, Sch Chem Engn, Dept Safety Engn, Nanjing 210094, Jiangsu, Peoples R China; [Liao, Longyu] China Acad Engn Phys, Inst Chem Mat, Mianyang 621999, Sichuan, Peoples R China</t>
  </si>
  <si>
    <t>Nanjing University of Science &amp; Technology; Chinese Academy of Engineering Physics</t>
  </si>
  <si>
    <t>Guo, ZC (corresponding author), Nanjing Univ Sci &amp; Technol, Sch Chem Engn, Dept Safety Engn, Nanjing 210094, Jiangsu, Peoples R China.</t>
  </si>
  <si>
    <t>gzc319@njust.edu.cn</t>
  </si>
  <si>
    <t>National Key R&amp;D Program of China [2017YFC0804701-4]; Opening Project of the Key Laboratory of Special Energy Materials (Nanjing University of Science and Technology), Ministry of Education, China</t>
  </si>
  <si>
    <t>National Key R&amp;D Program of China; Opening Project of the Key Laboratory of Special Energy Materials (Nanjing University of Science and Technology), Ministry of Education, China</t>
  </si>
  <si>
    <t>The authors thank Dr. Shi Mingyang for the 1H NMR tests and Dr. Li Xin for his help in formation heat calculation. This work was financially supported by the National Key R&amp;D Program of China (2017YFC0804701-4) and the Opening Project of the Key Laboratory of Special Energy Materials (Nanjing University of Science and Technology), Ministry of Education, China.</t>
  </si>
  <si>
    <t>1083-6160</t>
  </si>
  <si>
    <t>1520-586X</t>
  </si>
  <si>
    <t>ORG PROCESS RES DEV</t>
  </si>
  <si>
    <t>Org. Process Res. Dev.</t>
  </si>
  <si>
    <t>10.1021/acs.oprd.0c00529</t>
  </si>
  <si>
    <t>Chemistry, Applied; Chemistry, Organic</t>
  </si>
  <si>
    <t>RO8MM</t>
  </si>
  <si>
    <t>WOS:000641295300016</t>
  </si>
  <si>
    <t>Dowling, M; Gelain, J; De Mio, LLM; Schnabel, G</t>
  </si>
  <si>
    <t>Dowling, Madeline; Gelain, Jhulia; May De Mio, Louise Larissa; Schnabel, Guido</t>
  </si>
  <si>
    <t>Characterization of High Fludioxonil Resistance in Botrytis cinerea Isolates from Calibrachoa Flowers</t>
  </si>
  <si>
    <t>PHYTOPATHOLOGY</t>
  </si>
  <si>
    <t>antimicrobial or fungicide resistance; chemical control; disease control and pest management</t>
  </si>
  <si>
    <t>ACTIVATED PROTEIN-KINASE; FUNGICIDE RESISTANCE; VEGETATIVE DIFFERENTIATION; STRAWBERRY FIELDS; CHEMICAL CLASSES; GRAY MOLD; PATHOGENICITY; VIRULENCE; FITNESS; FRUIT</t>
  </si>
  <si>
    <t>The fungicide fludioxonil is one of the most effective single-site fungicides available for managing flower blight caused by Botrytis cinerea on fruit and ornamental crops. Although low and moderate levels of resistance to fludioxonil have been reported in the pathogen across the United States and Europe, high resistance has been reported only from greenhouses in China. In this study, two B. cinerea isolates with high resistance (half maximal effective concentration &gt;100 mu g/ml) to fludioxonil were detected on ornamental calibrachoa flowers grown in a greenhouse. These isolates exhibited stable resistance for &gt;20 generations, produced symptoms on calibrachoa flowers sprayed with label rates of fludioxonil, and displayed in vitro fitness penalties with decreased mycelial growth (P &lt; 0.0001) and sporulation (P &lt; 0.0001) compared with sensitive isolates. Highly resistant isolates were identified as MDR1h, containing the Delta L/V497 deletion in mrr1. However, resistance levels and in vitro fitness parameter characteristics were not consistent with this phenotype. One isolate contained the mutation L267V between HAMP domains 1 and 2 of the Bos-1 gene, and both isolates exhibited high osmotic sensitivity and reduced glycerol accumulation in the presence of fludioxonil, indicating that high resistance of these isolates may be associated with the high-osmolarity glycerol mitogen-activated protein kinase pathway.</t>
  </si>
  <si>
    <t>[Dowling, Madeline; Schnabel, Guido] Clemson Univ, Dept Plant &amp; Environm Sci, Clemson, SC 29634 USA; [Gelain, Jhulia; May De Mio, Louise Larissa] Univ Fed Parana, Dept Plant Sci, Curitiba, Parana, Brazil</t>
  </si>
  <si>
    <t>Clemson University; Universidade Federal do Parana</t>
  </si>
  <si>
    <t>Schnabel, G (corresponding author), Clemson Univ, Dept Plant &amp; Environm Sci, Clemson, SC 29634 USA.</t>
  </si>
  <si>
    <t>schnabe@clemson.edu</t>
  </si>
  <si>
    <t>May De Mio, Louise Larissa/K-3065-2012</t>
  </si>
  <si>
    <t>May De Mio, Louise Larissa/0000-0002-4202-4428</t>
  </si>
  <si>
    <t>NIFA/USDA [SC-1700530]</t>
  </si>
  <si>
    <t>NIFA/USDA(United States Department of Agriculture (USDA))</t>
  </si>
  <si>
    <t>Technical contribution number 6899 of the Clemson University Experiment Station. This material is based on work supported by NIFA/USDA, under project number SC-1700530.</t>
  </si>
  <si>
    <t>AMER PHYTOPATHOLOGICAL SOC</t>
  </si>
  <si>
    <t>ST PAUL</t>
  </si>
  <si>
    <t>3340 PILOT KNOB ROAD, ST PAUL, MN 55121 USA</t>
  </si>
  <si>
    <t>0031-949X</t>
  </si>
  <si>
    <t>1943-7684</t>
  </si>
  <si>
    <t>Phytopathology</t>
  </si>
  <si>
    <t>10.1094/PHYTO-07-20-0268-R</t>
  </si>
  <si>
    <t>RA0AG</t>
  </si>
  <si>
    <t>WOS:000631080100006</t>
  </si>
  <si>
    <t>Ganta, PB; Morshedizad, M; Kühn, O; Leinweber, P; Ahmed, AA</t>
  </si>
  <si>
    <t>Ganta, Prasanth B.; Morshedizad, Mohsen; Kuehn, Oliver; Leinweber, Peter; Ahmed, Ashour A.</t>
  </si>
  <si>
    <t>The Binding of Phosphorus Species at Goethite: A Joint Experimental and Theoretical Study</t>
  </si>
  <si>
    <t>MINERALS</t>
  </si>
  <si>
    <t>P-fertility; orthophosphate; glycerolphosphate; inositolhexaphosphate; goethite; adsorption; surface complexation; MD simulations; QMMM</t>
  </si>
  <si>
    <t>SURFACE COMPLEX STRUCTURES; MOLECULAR-ORBITAL THEORY; INOSITOL HEXAPHOSPHATE; PHOSPHATE ADSORPTION; ATR-FTIR; MYOINOSITOL HEXAPHOSPHATE; SORPTION EXPERIMENTS; GLYPHOSATE BINDING; SOIL; FERRIHYDRITE</t>
  </si>
  <si>
    <t>Knowledge of the interaction between inorganic and organic phosphates with soil minerals is vital for improving soil P-fertility. To achieve an in-depth understanding, we combined adsorption experiments and hybrid ab initio molecular dynamics simulations to analyze the adsorption of common phosphates, i.e., orthophosphate (OP), glycerolphosphate (GP) and inositolhexaphosphate (IHP), onto the 100 surface plane of goethite. Experimental adsorption data per mol P-molecule basis fitted to the Freundlich model show the adsorption strength increases in the order GP &lt; OP &lt; IHP, and IHP adsorption being saturated faster followed by GP and OP. Modeling results show that OP and GP form stable monodentate (M) and binuclear bidentate (B) motifs, with B being more stable than M, whereas IHP forms stable M and 3M motifs. Interfacial water plays an important role through hydrogen bonds and proton transfers with OP/GP/IHP and goethite. It also controls the binding motifs of phosphates with goethite. Combining both experimental and modeling results, we propose that the B motif dominates for OP, whereas GP forms M and IHP forms a combination of M and 3M motifs. The joint approach plausibly explains why IHP is the predominant organically bound P form in soil. This study could be considered as a preliminary step for further studies for understanding the mechanisms of how microbes and plants overcome strong IHP-mineral binding to implement the phosphate groups into their metabolism.</t>
  </si>
  <si>
    <t>[Ganta, Prasanth B.; Kuehn, Oliver; Ahmed, Ashour A.] Univ Rostock, Inst Phys, Albert Einstein Str 2324, D-18059 Rostock, Germany; [Morshedizad, Mohsen; Leinweber, Peter] Univ Rostock, Chair Soil Sci, Justus von Liebig Weg 6, D-18059 Rostock, Germany; [Kuehn, Oliver; Leinweber, Peter; Ahmed, Ashour A.] Univ Rostock, Dept Life Light &amp; Matter LLM, Albert Einstein Str 25, D-18059 Rostock, Germany</t>
  </si>
  <si>
    <t>University of Rostock; Justus Liebig University Giessen; University of Rostock; University of Rostock</t>
  </si>
  <si>
    <t>Ahmed, AA (corresponding author), Univ Rostock, Inst Phys, Albert Einstein Str 2324, D-18059 Rostock, Germany.;Ahmed, AA (corresponding author), Univ Rostock, Dept Life Light &amp; Matter LLM, Albert Einstein Str 25, D-18059 Rostock, Germany.</t>
  </si>
  <si>
    <t>prasanth.ganta@uni-rostock.de; mohsen.morshedizad3@uni-rostock.de; oliver.kuehn@uni-rostock.de; peter.leinweber@uni-rostock.de; ashour.ahmed@uni-rostock.de</t>
  </si>
  <si>
    <t>German Research Foundation (DFG) [SPP 1685]; InnoSoilPhos-project - German Federal Ministry of Education and Research (BMBF) [031A558]; North German Super computing Alliance [mvp00016]</t>
  </si>
  <si>
    <t>German Research Foundation (DFG)(German Research Foundation (DFG)); InnoSoilPhos-project - German Federal Ministry of Education and Research (BMBF)(Federal Ministry of Education &amp; Research (BMBF)); North German Super computing Alliance</t>
  </si>
  <si>
    <t>We are grateful to S. Dultz, Soil Science, University of Hannover, for preparing and characterizing the goethite. We gratefully acknowledge the financial support by the German Research Foundation (DFG) as a part of the SPP 1685 Priority program Ecosystem Nutrition: Forest strategies for limited phosphorus resources (P.B.G., O.K., A.A.A.) and the InnoSoilPhos-project (A.A.A.), funded by the German Federal Ministry of Education and Research (BMBF) in the frame of the BonaRes-program (No. 031A558). This research was performed within the scope of the Leibniz Science Campus Phosphorus Research Rostock. The authors thank the North German Super computing Alliance for providing HPC resources (project mvp00016).</t>
  </si>
  <si>
    <t>2075-163X</t>
  </si>
  <si>
    <t>MINERALS-BASEL</t>
  </si>
  <si>
    <t>Minerals</t>
  </si>
  <si>
    <t>10.3390/min11030323</t>
  </si>
  <si>
    <t>Geochemistry &amp; Geophysics; Mineralogy; Mining &amp; Mineral Processing</t>
  </si>
  <si>
    <t>RE1MP</t>
  </si>
  <si>
    <t>WOS:000633927800001</t>
  </si>
  <si>
    <t>Shaheen, SM; Wang, JX; Baumann, K; Wang, SL; Leinweber, P; Rinklebe, J</t>
  </si>
  <si>
    <t>Shaheen, Sabry M.; Wang, Jianxu; Baumann, Karen; Wang, Shan-Li; Leinweber, Peter; Rinklebe, Joerg</t>
  </si>
  <si>
    <t>Redox-induced mobilization of phosphorus in groundwater affected arable soil profiles</t>
  </si>
  <si>
    <t>Redoximorphic soils; Redox chemistry; Phosphorus solubility; Governing factors</t>
  </si>
  <si>
    <t>ORGANIC-MATTER; RELEASE; DISSOLUTION; ADSORPTION; PHOSPHATE; POLLUTION; IRON</t>
  </si>
  <si>
    <t>Y Mobilization of phosphorus (P) in arable soils might be affected by groundwater fluctuations and the associated changes in redox potential (E-H). However, the impact of systematic changes of E-H on P mobilization in redoximorphic arable soils along a catena has not been studied so far. Therefore, we investigated P mobilization under different redox conditions in top- and sub-soil horizons of three groundwater affected arable soils along a slight slope (toe-, mid-, and upper-slope position) in Northern Germany using an automated biogeochemical microcosm system. The impact of pH, Al, Fe, Mn, and dissolved organic carbon (DOC) on P mobilization was also studied. The initial EH (+351 to +431 mV) and pH (6.5-7.0) decreased in all soil samples (E-H = 280 mV; pH = 4.4) when creating a slurry. Thereafter, the pH increased to 7.1 and 6.4 with increasing EH in the mid-and toe-slope soil, respectively. Concentrations of dissolved P ranged between 20.8 mg L-1 under low E-H in the toe slope topsoil and 0.69 mg L-1 under high E-H in the toe- and mid-slop subsoil. Concentrations (mg L-1) of dissolved Fe (0.31-13.3) and DOC (92-2651) increased under low EH and decreased under high EH. The increase of P mobilization under low EH and pH in the soils might be due to the release of P via the reductive and acidic dissolution of Fe-(oxhydr)oxides and/or due to soil organic matter mineralization. The high mobilization of P under reducing conditions may increase its bioavailability; however, it may increase its loss in the soils, particularly in the toe slope profile. (C) 2021 Elsevier Ltd. All rights reserved.</t>
  </si>
  <si>
    <t>[Shaheen, Sabry M.; Wang, Jianxu; Rinklebe, Joerg] Univ Wuppertal, Inst Fdn Engn Water &amp; Waste Management, Sch Architecture &amp; Civil Engn, Lab Soil &amp; Groundwater Management, Pauluskirchstr 7, D-42285 Wuppertal, Germany; [Shaheen, Sabry M.] King Abdulaziz Univ, Fac Meteorol Environm &amp; Arid Land Agr, Dept Arid Land Agr, Jeddah 21589, Saudi Arabia; [Shaheen, Sabry M.] Univ Kafrelsheikh, Fac Agr, Dept Soil &amp; Water Sci, Kafr Al Sheikh 33516, Egypt; [Wang, Jianxu] Chinese Acad Sci, Inst Geochem, State Key Lab Environm Geochem, Guiyang 550082, Peoples R China; [Baumann, Karen; Leinweber, Peter] Univ Rostock, Fac Agr &amp; Environm Sci, Soil Sci, Justus von Liebig Weg 6, D-18051 Rostock, Germany; [Wang, Shan-Li] Natl Taiwan Univ, Dept Agr Chem, 1 Sect 4,Roosevelt Rd, Taipei 10617, Taiwan; [Leinweber, Peter] Univ Rostock, Dept Life Light &amp; Matter LLM, Albert Einstein Str 25, D-18059 Rostock, Germany; [Rinklebe, Joerg] Univ Sejong, Dept Environm Energy &amp; Geoinformat, Seoul 05006, South Korea</t>
  </si>
  <si>
    <t>We thank the German Federal Ministry of Education and Research (BMBF) who funded the InnoSoilPhos-project (http://www.innosoilphos.de/default.aspx), in the frame of the BonaResprogram (No. 521 031B0509A). Also, we thank the team of Laboratory of Soil-and Groundwater-Management at Wuppertal University for the technical support.</t>
  </si>
  <si>
    <t>10.1016/j.chemosphere.2021.129928</t>
  </si>
  <si>
    <t>FEB 2021</t>
  </si>
  <si>
    <t>RY3LP</t>
  </si>
  <si>
    <t>WOS:000647817200010</t>
  </si>
  <si>
    <t>Fahner, JH</t>
  </si>
  <si>
    <t>Fahner, Johannes Hendrik</t>
  </si>
  <si>
    <t>Settling Interstate Trade Disputes: Lessons from the EFTA Complaints Procedure</t>
  </si>
  <si>
    <t>JOURNAL OF INTERNATIONAL ECONOMIC LAW</t>
  </si>
  <si>
    <t>SETTLEMENT</t>
  </si>
  <si>
    <t>When the European Free Trade Association (EFTA) was founded 60 years ago, the contracting parties established a dispute settlement procedure that sought to strike a balance between the need to supervise compliance with the EFTA Convention and the need to respect the sovereignty of the member states. The procedure of Article 31 empowered the EFTA Council to hear interstate complaints, establish examining committees, issue recommendations, and authorize retaliation. This article investigates the successes and failures of this mechanism on the basis of historical documents from the EFTA archives. It provides an overview of the complaints that were brought under Article 31 and analyses how the Council exercised its functions in dealing with these cases. The article evaluates why the complaints procedure quickly fell into disuse, finding that it failed to provide a real alternative to ordinary discussions in the Council. The article argues that lessons can be drawn from this understudied chapter of European integration, concluding that systems of dispute settlement in international economic law should avoid fusing diplomatic and judicial elements if this might preclude an independent evaluation of the legal questions raised in the context of a concrete dispute.</t>
  </si>
  <si>
    <t>[Fahner, Johannes Hendrik] Univ Amsterdam, Amsterdam Ctr Int Law, Amsterdam, Netherlands; [Fahner, Johannes Hendrik] Allen &amp; Overy LLP, Amsterdam, Netherlands</t>
  </si>
  <si>
    <t>University of Amsterdam</t>
  </si>
  <si>
    <t>Fahner, JH (corresponding author), Univ Amsterdam, Amsterdam Ctr Int Law, Amsterdam, Netherlands.;Fahner, JH (corresponding author), Allen &amp; Overy LLP, Amsterdam, Netherlands.</t>
  </si>
  <si>
    <t>EFTA</t>
  </si>
  <si>
    <t>University of Amsterdam, Amsterdam Center for International Law, Netherlands; Allen &amp; Overy LLP, Amsterdam, Netherlands; MA (History of International Relations), LLM, PhD (Public International Law). The author would like to thank Graham Butler, Youssef Cassis, Henri Getaz, and Dieter Schlenker for their valuable feedback on an earlier draft of this article. Thanks are also due to EFTA and to the staff of the Historical Archives of the European Union for their support of the research presented in this article.</t>
  </si>
  <si>
    <t>1369-3034</t>
  </si>
  <si>
    <t>1464-3758</t>
  </si>
  <si>
    <t>J INT ECON LAW</t>
  </si>
  <si>
    <t>J. Int. Econ. Law</t>
  </si>
  <si>
    <t>10.1093/jiel/jgab004</t>
  </si>
  <si>
    <t>RJ0LP</t>
  </si>
  <si>
    <t>WOS:000637295300005</t>
  </si>
  <si>
    <t>Chitimira, H</t>
  </si>
  <si>
    <t>Chitimira, Howard</t>
  </si>
  <si>
    <t>An exploration of the current regulatory aspects of money laundering in South Africa</t>
  </si>
  <si>
    <t>Money laundering; Customer due diligence; High-risk customers; Risk-based approach; Ongoing due diligence</t>
  </si>
  <si>
    <t>Purpose Money laundering activities were allegedly rampant and poorly regulated in the South African financial markets and financial institutions prior to 1998. In other words, prior to the enactment of the Prevention of Organised Crime Act 121 of 1998 as amended (POCA), there was no statute that expressly and adequately provided for the regulation of money laundering in South Africa. Consequently, the POCA was enacted to curb organised criminal activities such as money laundering in South Africa. Thereafter, the Financial Intelligence Centre Act 38 of 2001 as amended (FICA) was enacted in a bid to, inter alia, enhance financial regulation and the combating of money laundering in the South African financial institutions and financial markets. Design/methodology/approach The paper provides an overview analysis of the current legislation regulating money laundering in South Africa. In this regard, prohibited offences and measures that are used to curb money laundering under each relevant statute are discussed. The paper further discusses the regulation and use of customer due diligence measures to combat money laundering activities in South Africa. Accordingly, the regulation of customer due diligence under the FICA and the Banks Act 94 of 1990 as amended (Banks Act) is provided. Findings It is hoped that policymakers and other relevant persons will use the recommendations provided in the paper to enhance the curbing of money laundering in South Africa. Research limitations/implications The paper does not provide empirical research. Practical implications The paper is useful to all policymakers, lawyers, law students, regulatory bodies, especially, in South Africa. Social implications The paper seeks to curb money laundering in the economy and society at large, especially in the South African financial markets. Originality/value The paper is original research on the South African anti-money laundering regime.</t>
  </si>
  <si>
    <t>[Chitimira, Howard] North West Univ, Fac Law, Potchefstroom, South Africa</t>
  </si>
  <si>
    <t>tafarachitimira@gmail.com</t>
  </si>
  <si>
    <t>National Research Foundation of South Africa (NRF) [112115]</t>
  </si>
  <si>
    <t>National Research Foundation of South Africa (NRF)(National Research Foundation - South Africa)</t>
  </si>
  <si>
    <t>This article was supported in part by the National Research Foundation of South Africa (NRF), Grant Number: 112115. In this regard, the author wishes to acknowledge and thank the NRF for its valuable support. Moreover, the author is also grateful to Ms Sharon Munedzi for her insightful comments during preliminary drafting of this article. For related comments and information see Ms Munedzi's Master of Laws (LLM) dissertation entitled: The Reliance on Customer Due Diligence to Enhance the Combating of Money Laundering under the Financial Intelligence Centre Amendment Act 1 of 2017, North West University, 2018, pp. 30-42.</t>
  </si>
  <si>
    <t>10.1108/JMLC-10-2020-0120</t>
  </si>
  <si>
    <t>WK0LP</t>
  </si>
  <si>
    <t>WOS:000618350600001</t>
  </si>
  <si>
    <t>Che, LY</t>
  </si>
  <si>
    <t>Che, Luyao</t>
  </si>
  <si>
    <t>The Chinese Conception of the Rule of Law an Its Embodiment Under the 'Belt and Road' Initiative (BRI)</t>
  </si>
  <si>
    <t>JOURNAL OF WORLD TRADE</t>
  </si>
  <si>
    <t>the rule of law; the Belt-and-Road Initiative (BRI); outward foreign direct investment (OFDI); state-owned enterprises (SOEs); state-directed economies</t>
  </si>
  <si>
    <t>Although China has consolidated the aim of reforming its society towards the rule of law, the Chinese version of the rule of law differs significantly from its counterparts in the Western tradition. Increasing attention is being paid to the peculiarities of the Chinese conception as China strives to expand its influence through launching the 'Belt and Road' Initiative (BRI). This article focuses on the question of whether and by what means various BRI projects are impacted by and impact upon the Chinese conception of the rule of law. The uniqueness of the Chinese approach can be examined from three dimensions: the ontological dimension, describing the preference for integration over convergence in the governance models of economies; the epistemological dimension, in which a posteriori justifications prevail over a priori ones; and the methodological dimension, in which the coordination between the public and the private spheres overshadows the confrontation between them. Following this, the paper profiles the practices of BRI investment and assesses whether these practices present consistently with the Chinese conception. Finally, this article examined the strong needs often embedded within BRI projects that call for sustainable cooperation, market-generating governmental intervention, as well as the coordination of various social interests. All these factors are consistent with the peculiarity of the Chinese conception of the rule of law. The paper argues that the BRI is highly consistent with the Chinese conception of the rule of law and may help further enhance it. This conclusion further suggests that the distinctive conception is not solely the result of ideological or political factors but also of the unique demands of certain types of economic undertakings.</t>
  </si>
  <si>
    <t>[Che, Luyao] China Univ Polit Sci &amp; Law CUPL, Beijing, Peoples R China</t>
  </si>
  <si>
    <t>China University of Political Science &amp; Law</t>
  </si>
  <si>
    <t>Che, LY (corresponding author), China Univ Polit Sci &amp; Law CUPL, Beijing, Peoples R China.</t>
  </si>
  <si>
    <t>cheluyao@cupl.edu.cn</t>
  </si>
  <si>
    <t>Che, Luyao/HDM-0466-2022</t>
  </si>
  <si>
    <t>Programme for Young Innovative Research team in China University of Political Science and Law [19CXTD09]; National Rule of Law and Legal Theory Research Programme by Ministry of Justice of the People's Republic of China [18SFB3044]; Programme for Young Innovative Scholar in China University of Political Science and Law [18ZFQ82003]; Programme of Social Science in China University of Political Science and Law [19ZFG82008]</t>
  </si>
  <si>
    <t>Programme for Young Innovative Research team in China University of Political Science and Law; National Rule of Law and Legal Theory Research Programme by Ministry of Justice of the People's Republic of China; Programme for Young Innovative Scholar in China University of Political Science and Law; Programme of Social Science in China University of Political Science and Law</t>
  </si>
  <si>
    <t>PhD (University of Nottingham), LLM (Renmin University of China), is an assistant professor at the China University of Political Science and Law (CUPL). This research is supported by the Programme for Young Innovative Research team in China University of Political Science and Law (19CXTD09), the National Rule of Law and Legal Theory Research Programme by Ministry of Justice of the People's Republic of China (18SFB3044), the Programme for Young Innovative Scholar in China University of Political Science and Law (18ZFQ82003), and the Programme of Social Science in China University of Political Science and Law (19ZFG82008). The author expresses special acknowledgement to Dr Mark McLaughlin and Emily X Han for their insightful suggestions for the improvement of this article. Email: cheluyao@cupl.edu.cn.</t>
  </si>
  <si>
    <t>KLUWER LAW INT</t>
  </si>
  <si>
    <t>ALPHEN AAN DEN RIJN</t>
  </si>
  <si>
    <t>ZUIDPOOLSINGEL 2, PO BOX 316, 2400 AH ALPHEN AAN DEN RIJN, NETHERLANDS</t>
  </si>
  <si>
    <t>1011-6702</t>
  </si>
  <si>
    <t>2210-2795</t>
  </si>
  <si>
    <t>J WORLD TRADE</t>
  </si>
  <si>
    <t>J. World Trade</t>
  </si>
  <si>
    <t>FEB</t>
  </si>
  <si>
    <t>Economics; International Relations; Law</t>
  </si>
  <si>
    <t>Business &amp; Economics; International Relations; Government &amp; Law</t>
  </si>
  <si>
    <t>QO8DO</t>
  </si>
  <si>
    <t>WOS:000623368700007</t>
  </si>
  <si>
    <t>Dommen, C</t>
  </si>
  <si>
    <t>Dommen, Caroline</t>
  </si>
  <si>
    <t>APPLYING THE HUMAN RIGHTS FRAMEWORK TO ECONOMIC POLICY: INSIGHTS FROM AN IMPACT ASSESSMENT OF SERVICES TRADE LIBERALISATION IN MAURITIUS</t>
  </si>
  <si>
    <t>DEVELOPING-COUNTRIES; STANDARDS</t>
  </si>
  <si>
    <t>[Dommen, Caroline] Univ London, Kings Coll, Law &amp; Dev, London, England</t>
  </si>
  <si>
    <t>Dommen, C (corresponding author), Univ London, Kings Coll, Law &amp; Dev, London, England.</t>
  </si>
  <si>
    <t>Commonwealth Secretariat</t>
  </si>
  <si>
    <t>LLM Law &amp; Development (King's College, University of London). Caroline Dommen is an independent researcher based in Mauritius and Switzerland, specialising in human rights, economic law and policy, and sustainable development. This article draws on work undertaken in 2018 for an Impact Assessment of the Trade in Services Agreement for Mauritius, commissioned and financed by the Commonwealth Secretariat. Sincere gratitude is expressed to all those who provided insights and assistance to the impact assessment. Responsibility for any errors or omissions in this article are entirely the author's, as are the opinions expressed.</t>
  </si>
  <si>
    <t>10.3366/ajicl.2021.0348</t>
  </si>
  <si>
    <t>QH1UL</t>
  </si>
  <si>
    <t>WOS:000618062900001</t>
  </si>
  <si>
    <t>Kilian, N</t>
  </si>
  <si>
    <t>Kilian, Neels</t>
  </si>
  <si>
    <t>The Definition of Member/Shareholder in the South African Companies Act: A Brief Comparison with Australian Legislation</t>
  </si>
  <si>
    <t>Shareholder register; shareholder locus standi; oppressive remedy; nominee shareholder; beneficial shareholder; director as shareholder</t>
  </si>
  <si>
    <t>This article discusses relevant Australian case law with reference to the oppressive remedy in company law. In South Africa, only shareholders who are entered in the shareholders' register can make use of the remedy, contrary to the Australian application. The Australian case law explains the locus standi of shareholders who are not entered in the register. Reference is also made to South Africa's previous Companies Act 1973 due to the Smyth v Investec appeal court case, where the court applied the principles, relevant to an oppressive remedy under the 1973 act. In this regard, the appeal court's reasoning is compared to that of the Australian court; possible new perspectives relevant to South Africa's new Companies Act 2008 are also discussed. The Australian perspective is included to facilitate investigation of a South African court's approach to oppressive conduct concerning the narrow interpretation of shareholder. It is concluded that shareholder should also be interpreted to include a beneficial shareholder.</t>
  </si>
  <si>
    <t>[Kilian, Neels] Univ North West, Potchefstroom, South Africa</t>
  </si>
  <si>
    <t>Kilian, N (corresponding author), Univ North West, Potchefstroom, South Africa.</t>
  </si>
  <si>
    <t>Neels.kilian@nwu.ac.za</t>
  </si>
  <si>
    <t>PA and Alize Malan Memorial Trust</t>
  </si>
  <si>
    <t>MA (Regensburg), LLM (Pretoria), LLD (Free State). Former research fellow, Deakin University and Law Faculty member, University of the North West. The author thanks the PA and Alize Malan Memorial Trust for its grants; PA Malan founded Naspers Ltd and Santam Ltd/Sanlam Ltd in 1914 and 1918 respectively.</t>
  </si>
  <si>
    <t>PII S0021855320000236</t>
  </si>
  <si>
    <t>10.1017/S0021855320000236</t>
  </si>
  <si>
    <t>QR4VW</t>
  </si>
  <si>
    <t>WOS:000625214500004</t>
  </si>
  <si>
    <t>Peng, WY; Li, W; Song, N; Tang, ZJ; Liu, J; Wang, YS; Pan, SJ; Dai, LY; Wang, B</t>
  </si>
  <si>
    <t>Peng, Weiye; Li, Wei; Song, Na; Tang, Zejun; Liu, Jing; Wang, Yunsheng; Pan, Sujun; Dai, Liangying; Wang, Bing</t>
  </si>
  <si>
    <t>Genome-Wide Characterization, Evolution, and Expression Profile Analysis of GATA Transcription Factors in Brachypodium distachyon</t>
  </si>
  <si>
    <t>INTERNATIONAL JOURNAL OF MOLECULAR SCIENCES</t>
  </si>
  <si>
    <t>Brachypodium distachyon; GATA transcription factors; genome-wide characterization; phylogenetic analysis; profile analysis</t>
  </si>
  <si>
    <t>GENE FAMILY; LLM-DOMAIN; ARABIDOPSIS; IDENTIFICATION; MICRORNAS; RESISTANCE; REVEALS; PATTERN; PLAYS</t>
  </si>
  <si>
    <t>The GATA proteins, functioning as transcription factors (TFs), are involved in multiple plant physiological and biochemical processes. In this study, 28 GATA TFs of Brachypodium distachyon (BdGATA) were systematically characterized via whole-genome analysis. BdGATA genes unevenly distribute on five chromosomes of B. distachyon and undergo purifying selection during the evolution process. The putative cis-acting regulatory elements and gene interaction network of BdGATA were found to be associated with hormones and defense responses. Noticeably, the expression profiles measured by quantitative real-time PCR indicated that BdGATA genes were sensitive to methyl jasmonate (MeJA) and salicylic acid (SA) treatment, and 10 of them responded to invasion of the fungal pathogen Magnaporthe oryzae, which causes rice blast disease. Genome-wide characterization, evolution, and expression profile analysis of BdGATA genes can open new avenues for uncovering the functions of the GATA genes family in plants and further improve the knowledge of cellular signaling in plant defense.</t>
  </si>
  <si>
    <t>[Peng, Weiye; Li, Wei; Song, Na; Tang, Zejun; Liu, Jing; Wang, Yunsheng; Pan, Sujun; Dai, Liangying; Wang, Bing] Hunan Agr Univ, Hunan Prov Key Lab Biol &amp; Control Plant Dis &amp; Ins, Changsha 410128, Peoples R China; [Peng, Weiye; Li, Wei; Song, Na; Tang, Zejun; Liu, Jing; Wang, Yunsheng; Pan, Sujun; Dai, Liangying; Wang, Bing] Hunan Agr Univ, Coll Plant Protect, Changsha 410128, Peoples R China</t>
  </si>
  <si>
    <t>Hunan Agricultural University; Hunan Agricultural University</t>
  </si>
  <si>
    <t>Dai, LY; Wang, B (corresponding author), Hunan Agr Univ, Hunan Prov Key Lab Biol &amp; Control Plant Dis &amp; Ins, Changsha 410128, Peoples R China.;Dai, LY; Wang, B (corresponding author), Hunan Agr Univ, Coll Plant Protect, Changsha 410128, Peoples R China.</t>
  </si>
  <si>
    <t>15580076854@163.com; liwei350551@163.com; chinasong86@126.com; Tangzj516@126.com; liujing3878@sina.com; wyunsheng@gmail.com; sujunpan@126.com; daily@hunau.net; zhufu@hunau.edu.cn</t>
  </si>
  <si>
    <t>weiye, peng/GSE-9650-2022</t>
  </si>
  <si>
    <t>peng, wei ye/0000-0003-3397-2052; LI, WEI/0000-0003-3633-1082</t>
  </si>
  <si>
    <t>National Natural Science Foundation of China [31801721, 31672017]; National Key Research and Development Project [2016YFD0200800, 2016YFD0300707]; Natural Science Foundation of Hunan Province, China [2020JJ5240]; Scientific Research Fund of Hunan Provincial Education Department [19B247]; Youth Fund Project of Hunan Agricultural University [19QN31]</t>
  </si>
  <si>
    <t>National Natural Science Foundation of China(National Natural Science Foundation of China (NSFC)); National Key Research and Development Project; Natural Science Foundation of Hunan Province, China(Natural Science Foundation of Hunan Province); Scientific Research Fund of Hunan Provincial Education Department(Hunan Provincial Education Department); Youth Fund Project of Hunan Agricultural University</t>
  </si>
  <si>
    <t>This study was supported by grants from the National Natural Science Foundation of China (31801721; 31672017); National Key Research and Development Project (2016YFD0200800; 2016YFD0300707); the Natural Science Foundation of Hunan Province, China (2020JJ5240); the Scientific Research Fund of Hunan Provincial Education Department (19B247); and the Youth Fund Project of Hunan Agricultural University (19QN31).</t>
  </si>
  <si>
    <t>1422-0067</t>
  </si>
  <si>
    <t>INT J MOL SCI</t>
  </si>
  <si>
    <t>Int. J. Mol. Sci.</t>
  </si>
  <si>
    <t>10.3390/ijms22042026</t>
  </si>
  <si>
    <t>QP3WM</t>
  </si>
  <si>
    <t>WOS:000623767900001</t>
  </si>
  <si>
    <t>Hosseini, M; Chin, AWH; Behzadinasab, S; Poon, LLM; Ducker, WA</t>
  </si>
  <si>
    <t>Hosseini, Mohsen; Chin, Alex W. H.; Behzadinasab, Saeed; Poon, Leo L. M.; Ducker, William A.</t>
  </si>
  <si>
    <t>Cupric Oxide Coating That Rapidly Reduces Infection by SARS-CoV-2 via Solids</t>
  </si>
  <si>
    <t>SARS-CoV-2; coronavirus; coating; CuO; cupric oxide; viricidal; COVID-19</t>
  </si>
  <si>
    <t>TRANSMISSION ELECTRON-MICROSCOPY; RAY PHOTOELECTRON-SPECTROSCOPY; INFLUENZA-VIRUS; CUO; COPPER; NANOPARTICLES; CU2O; SIZE; REDUCTION; NANOWIRES</t>
  </si>
  <si>
    <t>The ongoing COVID-19 pandemic has created a need for coatings that reduce infection from SARS-CoV-2 via surfaces. Such a coating could be used on common touch surfaces (e.g., door handles and railings) to reduce both disease transmission and fear of touching objects. Herein, we describe the design, fabrication, and testing of a cupric oxide anti-SARS-CoV-2 coating. Rapid loss of infectivity is an important design criterion, so a porous hydrophilic coating was created to allow rapid infiltration of aqueous solutions into the coating where diffusion distances to the cupric oxide surface are short and the surface area is large. The coating was deposited onto glass from a dispersion of cuprous oxide in ethanol and then thermally treated at 700 degrees C for 2 h to produce a CuO coating that is approximate to 30 mu m thick. The heat treatment oxidized the cuprous oxide to cupric oxide and sintered the particles into a robust film. The SARS-CoV-2 infectivity from the CuO film was reduced by 99.8% in 30 min and 99.9% in 1 h compared to that from glass. The coating remained hydrophilic for at least 5 months, and there was no significant change in the cross-hatch test of robustness after exposure to 70% ethanol or 3 wt % bleach.</t>
  </si>
  <si>
    <t>[Hosseini, Mohsen; Behzadinasab, Saeed; Ducker, William A.] Virginia Tech, Dept Chem Engn, Blacksburg, VA 24061 USA; [Hosseini, Mohsen; Behzadinasab, Saeed; Ducker, William A.] Virginia Tech, Ctr Soft Matter &amp; Biol Phys, Blacksburg, VA 24061 USA; [Chin, Alex W. H.; Poon, Leo L. M.] Univ Hong Kong, LKS Fac Med, Sch Publ Hlth, Hong Kong, Peoples R China; [Poon, Leo L. M.] Univ Hong Kong, LKS Fac Med, HKU Pasteur Res Pole, Hong Kong, Peoples R China</t>
  </si>
  <si>
    <t>Virginia Polytechnic Institute &amp; State University; Virginia Polytechnic Institute &amp; State University; University of Hong Kong; University of Hong Kong</t>
  </si>
  <si>
    <t>Ducker, WA (corresponding author), Virginia Tech, Dept Chem Engn, Blacksburg, VA 24061 USA.;Ducker, WA (corresponding author), Virginia Tech, Ctr Soft Matter &amp; Biol Phys, Blacksburg, VA 24061 USA.;Poon, LLM (corresponding author), Univ Hong Kong, LKS Fac Med, Sch Publ Hlth, Hong Kong, Peoples R China.;Poon, LLM (corresponding author), Univ Hong Kong, LKS Fac Med, HKU Pasteur Res Pole, Hong Kong, Peoples R China.</t>
  </si>
  <si>
    <t>Poon, Leo/AAP-6887-2020; Chin, Alex Wing Hong/U-6277-2019; Behzadinasab, Saeed/AAS-8661-2021</t>
  </si>
  <si>
    <t>The authors thank Stephen McCartney for capturing the SEM images and acknowledge the use of Electron Microscopy facilities within the Nanoscale Characterization and Fabrication Laboratory at Virginia Polytechnic Institute and State University. The authors also thank Xu Feng for capturing the XPS spectra and acknowledge the use of Surface Analysis Laboratory in the Department of Chemistry at Virginia Tech, which was supported by the National Science Foundation under grant no. CHE-1531834. The authors also thank Professor Thomas Staley for heat treatment of the door handle and railing and Matthew Ducker for help with the statistical analysis. The authors thank Mr. Majid Hosseini for the design and preparation of the cover art. This work was supported by the National Science Foundation under grant no. CBET-1902364, the Health and Medical Research Fund (COVID190116), and the National Institute of Allergy and Infectious Diseases (contract HHSN272201400006C).</t>
  </si>
  <si>
    <t>10.1021/acsami.0c19465</t>
  </si>
  <si>
    <t>JAN 2021</t>
  </si>
  <si>
    <t>QJ4CE</t>
  </si>
  <si>
    <t>Green Published, Green Accepted</t>
  </si>
  <si>
    <t>WOS:000619638400002</t>
  </si>
  <si>
    <t>Wu, XP; Zhang, Y; Wu, RX; Chang, HH</t>
  </si>
  <si>
    <t>Wu, Xiaopeng; Zhang, Yi; Wu, Rongxiu; Chang, Hua-Hua</t>
  </si>
  <si>
    <t>A comparative study on cognitive diagnostic assessment of mathematical key competencies and learning trajectories --PISA Data Analysis Based on 19, 454 Students from 8 Countries</t>
  </si>
  <si>
    <t>Cognitive diagnosis assessment; Learning trajectory; Mathematical key competency; Program for international student assessment; International comparative education</t>
  </si>
  <si>
    <t>PARAMETER-ESTIMATION; DINA MODEL; CLASSIFICATION</t>
  </si>
  <si>
    <t>Initiated by the Program for International Student Assessment (PISA), Mathematical Key Competencies (MKCs), which integrate into the process of solving situational problems, becomes a typical example of Mathematical Key Competencies assessment. Cognitive Diagnostic Assessment, as a new generation of measurement theory, integrates the measurement objectives into the cognitive process model via cognitive analysis, and helps increase understanding of students' mastery over fine-grained knowledge points. This paper analyzed 12 PISA test items and calibrated their attributes, thus forming a cognitive model based on six PISA's MKCs, which were namely Mathematical ion, Logical Reasoning, Intuitive Imagination, Mathematical Modeling, Mathematical Operation and Data Analysis. Through the comparison of models fit for DINA, DINO, RRUM, ACDM, GDM, LCDM, LLM, G-DINA and Mixed Model, the LCDM with a good model fit was selected to analyze the data of 19, 454 students in eight countries, and comparisons of the six MKCs among these countries were obtained. Through analyzing the knowledge states, combing the prerequisite relationships between the attributes, and exploring the learning trajectories of students' MKCs in different countries, we found that the students' performance in China was the best among all countries for each of the six MKCs. In all other countries, the students' performance in Logical Reasoning and Intuitive Imagination were weaker than the other attributes. An analysis of learning trajectories found that Russia, Singapore, Australia and Finland had very similar main learning trajectories (highlighted in red), and the main learning trajectories of Russia and Singapore are the same; however, there exist distinct differences in learning trajectories between China and the United States, where the learning trajectories in China is complicated with varied branches, while the ones in the United States is relatively simple with fewer branches.</t>
  </si>
  <si>
    <t>[Wu, Xiaopeng] Shaanxi Normal Univ, Sch Educ, Xian, Peoples R China; [Wu, Xiaopeng] East China Normal Univ, Fac Educ, Coll Teacher Educ, Shanghai, Peoples R China; [Wu, Xiaopeng; Chang, Hua-Hua] Purdue Univ, Coll Educ, W Lafayette, IN 47907 USA; [Zhang, Yi] Qiannan Normal Univ Nationalities, Coll Math &amp; Stat, Duyun, Peoples R China; [Zhang, Yi] East China Normal Univ, Sch Math Sci, Shanghai, Peoples R China; [Wu, Rongxiu] Univ Kentucky, Coll Educ, Lexington, KY USA</t>
  </si>
  <si>
    <t>Wu, XP (corresponding author), Shaanxi Normal Univ, Sch Educ, Xian, Peoples R China.;Wu, XP (corresponding author), East China Normal Univ, Fac Educ, Coll Teacher Educ, Shanghai, Peoples R China.;Wu, XP (corresponding author), Purdue Univ, Coll Educ, W Lafayette, IN 47907 USA.;Wu, RX (corresponding author), Univ Kentucky, Coll Educ, Lexington, KY USA.</t>
  </si>
  <si>
    <t>wuxp@snnu.edu.cn; rongxiu.wu@uky.edu</t>
  </si>
  <si>
    <t>wu, xiaopeng/0000-0003-0147-8228</t>
  </si>
  <si>
    <t>China Scholarship Council [201906140104]; 2020 Academic Innovation Ability Enhancement Plan for outstanding doctoral Students of East China Normal University [YBNLTS2020-003]; Guizhou Philosophy and Social Science Planning Youth Fund [19GZQN29]</t>
  </si>
  <si>
    <t>China Scholarship Council(China Scholarship Council); 2020 Academic Innovation Ability Enhancement Plan for outstanding doctoral Students of East China Normal University; Guizhou Philosophy and Social Science Planning Youth Fund</t>
  </si>
  <si>
    <t>This work was support by China Scholarship Council (No. 201906140104); 2020 Academic Innovation Ability Enhancement Plan for outstanding doctoral Students of East China Normal University (No. YBNLTS2020-003) and Guizhou Philosophy and Social Science Planning Youth Fund(No. 19GZQN29).</t>
  </si>
  <si>
    <t>10.1007/s12144-020-01230-0</t>
  </si>
  <si>
    <t>5L2VK</t>
  </si>
  <si>
    <t>WOS:000605556200002</t>
  </si>
  <si>
    <t>Balazy, K; Banaei, M; Lebret, R; Tabor, J; Aberer, K</t>
  </si>
  <si>
    <t>Balazy, Klaudia; Banaei, Mohammadreza; Lebret, Remi; Tabor, Jacek; Aberer, Karl</t>
  </si>
  <si>
    <t>Direction is what you need: Improving Word Embedding Compression in Large Language Models</t>
  </si>
  <si>
    <t>REPL4NLP 2021: PROCEEDINGS OF THE 6TH WORKSHOP ON REPRESENTATION LEARNING FOR NLP</t>
  </si>
  <si>
    <t>Joint Conference of 59th Annual Meeting of the Association-for-Computational-Linguistics (ACL) / 11th International Joint Conference on Natural Language Processing (IJCNLP) / 6th Workshop on Representation Learning for NLP (RepL4NLP)</t>
  </si>
  <si>
    <t>AUG 01-06, 2021</t>
  </si>
  <si>
    <t>Assoc Computat Linguist,Apple,Bloomberg Engn,Facebook AI,Google Res,Amazon Science,ByteDance,Megagon Labs,Microsoft,Baidu,DeepMind,Tencent,IBM,Alibaba Grp,Duolingo,Naver,Babelscape,Bosch,LegalForce,Adobe ETS</t>
  </si>
  <si>
    <t>The adoption of Transformer-based models in natural language processing (NLP) has led to great success using a massive number of parameters. However, due to deployment constraints in edge devices, there has been a rising interest in the compression of these models to improve their inference time and memory footprint. This paper presents a novel loss objective to compress token embeddings in the Transformer-based models by leveraging an AutoEncoder architecture. More specifically, we emphasize the importance of the direction of compressed embeddings with respect to original uncompressed embeddings. The proposed method is task-agnostic and does not require further language modeling pre-training. Our method significantly outperforms the commonly used SVD-based matrix-factorization approach in terms of initial language model Perplexity. Moreover, we evaluate our proposed approach over SQuAD v1.1 dataset and several downstream tasks from the GLUE benchmark, where we also outperform the baseline in most scenarios. Our code is public.(1).</t>
  </si>
  <si>
    <t>[Balazy, Klaudia; Tabor, Jacek] Jagiellonian Univ, Krakow, Poland; [Banaei, Mohammadreza; Lebret, Remi; Aberer, Karl] Ecole Polytech Fed Lausanne, Lausanne, Switzerland</t>
  </si>
  <si>
    <t>Jagiellonian University; Swiss Federal Institutes of Technology Domain; Ecole Polytechnique Federale de Lausanne</t>
  </si>
  <si>
    <t>Balazy, K (corresponding author), Jagiellonian Univ, Krakow, Poland.</t>
  </si>
  <si>
    <t>klaudia.balazy@doctoral.uj.edu.pl; mohammadreza.banaei@epfl.ch; remi.lebret@epfl.ch; jacek.tabor@uj.edu.pl; karl.aberer@epfl.ch</t>
  </si>
  <si>
    <t>Aberer, Karl/G-6336-2011</t>
  </si>
  <si>
    <t>Priority Research Area Digiworld under the program Excellence Initiative - Research University at the Jagiellonian University in Krakow</t>
  </si>
  <si>
    <t>This research was partially funded by the Priority Research Area Digiworld under the program Excellence Initiative - Research University at the Jagiellonian University in Krakow.</t>
  </si>
  <si>
    <t>978-1-954085-72-5</t>
  </si>
  <si>
    <t>BS1QE</t>
  </si>
  <si>
    <t>WOS:000694699300032</t>
  </si>
  <si>
    <t>Chen, YZ; Kong, LY; Wang, Y; Kong, DZ</t>
  </si>
  <si>
    <t>Chen, Yuezhe; Kong, Lingyun; Wang, Yang; Kong, Dezhi</t>
  </si>
  <si>
    <t>Multi-Grained Attention Representation With ALBERT for Aspect-Level Sentiment Classification</t>
  </si>
  <si>
    <t>Aspect-level sentiment classi~cation; ALBERT; natural language processing; deep learning</t>
  </si>
  <si>
    <t>Aspect-level sentiment classification aims to solve the problem, which is to judge the sentiment tendency of each aspect in a sentence with multiple aspects. Previous works mainly employed Long Short-Term Memory (LSTM) and Attention mechanisms to fuse information between aspects and sentences, or to improve large language models such as BERT to adapt aspect-level sentiment classification tasks. The former methods either did not integrate the interactive information of related aspects and sentences, or ignored the feature extraction of sentences. This paper proposes a novel multi-grained attention representation with ALBERT (MGAR-ALBERT). It can learn the representation that contains the relevant information of the sentence and the aspect, while integrating it into the process of sentence modeling with multi granularity, and finally get a comprehensive sentence representation. In Masked LM (MLM) task, in order to avoid the influence of aspect words being masked in the initial stage of the pre-training, the noise linear cosine decay is introduced into n-gram. We implemented a series of comparative experiments to verify the effectiveness of the method. The experimental results show that our model can achieve excellent results on Restaurant dataset with numerous number of parameters reduced, and it is not inferior to other models on Laptop dataset.</t>
  </si>
  <si>
    <t>[Chen, Yuezhe; Kong, Lingyun; Wang, Yang] Xijing Univ, Sch Sci, Xian 710123, Shaanxi, Peoples R China; [Kong, Lingyun; Wang, Yang] Xijing Univ, Sch Sci, Artificial Intelligence Lab, Xian 710123, Shaanxi, Peoples R China; [Kong, Dezhi] Northwestern Polytech Univ, Sch Mech Engn, Xian 710072, Shaanxi, Peoples R China</t>
  </si>
  <si>
    <t>Xijing University; Xijing University; Northwestern Polytechnical University</t>
  </si>
  <si>
    <t>Chen, YZ (corresponding author), Xijing Univ, Sch Sci, Xian 710123, Shaanxi, Peoples R China.</t>
  </si>
  <si>
    <t>chen1995086@163.com</t>
  </si>
  <si>
    <t>Kong, Dezhi/0000-0002-0801-2730</t>
  </si>
  <si>
    <t>Key Research and Development Program of Shanxi Province [2019GY-025]; Science and Technology Plan Project of Xi'an [2020KJRC0134]; Special Fund for High Level Talents of Xijing University [XJ20B07]</t>
  </si>
  <si>
    <t>Key Research and Development Program of Shanxi Province; Science and Technology Plan Project of Xi'an; Special Fund for High Level Talents of Xijing University</t>
  </si>
  <si>
    <t>This work was supported in part by the Key Research and Development Program of Shanxi Province under Grant 2019GY-025, in part by the Science and Technology Plan Project of Xi'an under Project 2020KJRC0134, and in part by the Special Fund for High Level Talents of Xijing University under Grant XJ20B07.</t>
  </si>
  <si>
    <t>10.1109/ACCESS.2021.3100299</t>
  </si>
  <si>
    <t>TU5MT</t>
  </si>
  <si>
    <t>WOS:000681081100001</t>
  </si>
  <si>
    <t>Feng, YJ; Xu, J; Ji, YM; Wu, F</t>
  </si>
  <si>
    <t>Feng, Yujian; Xu, Jing; Ji, Yi-mu; Wu, Fei</t>
  </si>
  <si>
    <t>LLM: Learning Cross-Modality Person Re-Identification via Low-Rank Local Matching</t>
  </si>
  <si>
    <t>IEEE SIGNAL PROCESSING LETTERS</t>
  </si>
  <si>
    <t>Feature extraction; Correlation; Telecommunications; Streaming media; Loss measurement; Thermal expansion; Task analysis; Cross-modality person Re-ID; local feature matching; low-rank matching; metric learning</t>
  </si>
  <si>
    <t>Existing methods of cross-modality person re-identification usually use set-level global feature constraints to reduce the cross-modality discrepancy. However they often ignore the modality-specific and modality-shared local feature matching. Modality-specific local matching could help extract discriminative identity-consistent features and alleviate spatial misalignment, and modality-shared local matching could make identity-consistent features be correlated in two modalities and mitigate the modality misalignment. Therefore, we establish the intra-modality and inter-modality co-occurrence relation between identity parts. We observe the modality-specific and modality-shared local feature matching of identity parts as intra-modality and inter-modality low-rank relation-finding problems. Therefore, in this work, we propose low-rank local matching (LLM) approach to establish the intra-modality and inter-modality co-occurrence relation between identity parts. First, in order to reinforce identity-consist features in two modalities and correlate these cross-modality identity-consist features together, the local matching (LM) module is designed to estimate partial co-occurrence probability by measuring local feature similarity. Moreover, we propose cross-modality triplet-center loss (CTLoss) which adds global constraint for each class distribution in embedding space to alleviate dramatic data expansion due to modality variance. Extensive experiments on two datasets demonstrate the superior performance of our approach over the existing state-of-the-art. Our code is released on https://github.com/fegnyujian/LLM.</t>
  </si>
  <si>
    <t>[Feng, Yujian] Nanjing Univ Posts &amp; Telecommun, Sch Internet Things, Nanjing 210049, Peoples R China; [Xu, Jing] Hohai Univ, Sch Law, Nanjing 210046, Peoples R China; [Ji, Yi-mu] Nanjing Univ Posts &amp; Telecommun, Sch Comp Sci, Nanjing 210049, Peoples R China; [Wu, Fei] Nanjing Univ Posts &amp; Telecommun, Coll Automat, Nanjing 210049, Peoples R China; [Wu, Fei] Nanjing Univ Posts &amp; Telecommun, Coll Artificial Intelligence, Nanjing 210049, Peoples R China</t>
  </si>
  <si>
    <t>Nanjing University of Posts &amp; Telecommunications; Hohai University; Nanjing University of Posts &amp; Telecommunications; Nanjing University of Posts &amp; Telecommunications; Nanjing University of Posts &amp; Telecommunications</t>
  </si>
  <si>
    <t>Ji, YM (corresponding author), Nanjing Univ Posts &amp; Telecommun, Sch Comp Sci, Nanjing 210049, Peoples R China.</t>
  </si>
  <si>
    <t>fengyujian_904@163.com; 1076073150@qq.com; jiym@njupt.edu.cn; wufei_8888@126.com</t>
  </si>
  <si>
    <t>National Key R&amp;D Program of China [2020YFB2104000]; Natural Science Foundation of the Jiangsu Province [BK20170900, 19KJB520046, 20KJA520001]; Innovative and Entrepreneurial talents projects of Jiangsu Province, Jiangsu Planned Projects for Postdoctoral Research Funds [2019K024]; Six talent peak projects in Jiangsu Province [JY02]; National Natural Science Foundation of China [62076139, 61702280]; National Postdoctoral Program for Innovative Talents [BX20180146]; China Postdoctoral Science Foundation [2019M661901]; Jiangsu Planned Projects for Postdoctoral Research Funds [2019K024]; Zhejiang Lab [2021KF0AB05]; 1311 Talent Program of Nanjing University of Posts and Telecommunications; Natural Science Foundation of Jiangsu Province [BK20170900]; Postgraduate Research &amp; Practice Innovation Program of Jiangsu Province [KYCX21_0798]</t>
  </si>
  <si>
    <t>National Key R&amp;D Program of China; Natural Science Foundation of the Jiangsu Province(Natural Science Foundation of Jiangsu Province); Innovative and Entrepreneurial talents projects of Jiangsu Province, Jiangsu Planned Projects for Postdoctoral Research Funds; Six talent peak projects in Jiangsu Province; National Natural Science Foundation of China(National Natural Science Foundation of China (NSFC)); National Postdoctoral Program for Innovative Talents; China Postdoctoral Science Foundation(China Postdoctoral Science Foundation); Jiangsu Planned Projects for Postdoctoral Research Funds; Zhejiang Lab; 1311 Talent Program of Nanjing University of Posts and Telecommunications; Natural Science Foundation of Jiangsu Province(Natural Science Foundation of Jiangsu Province); Postgraduate Research &amp; Practice Innovation Program of Jiangsu Province</t>
  </si>
  <si>
    <t>This work was supported in part by the National Key R&amp;D Program of China underGrant 2020YFB2104000; in part by theNatural Science Foundation of the Jiangsu Province under Grants BK20170900, 19KJB520046, and 20KJA520001; in part by the Innovative and Entrepreneurial talents projects of Jiangsu Province, Jiangsu Planned Projects for Postdoctoral Research Funds, under Grant 2019K024; in part by Six talent peak projects in Jiangsu Province (JY02); in part by the National Natural Science Foundation of China under Grants 62076139 and 61702280; in part by the National Postdoctoral Program for Innovative Talents under Grant BX20180146; in part by the China Postdoctoral Science Foundation under Grant 2019M661901; in part by Jiangsu Planned Projects for Postdoctoral Research Funds under Grant 2019K024; in part by the Zhejiang Lab under Grant 2021KF0AB05; in part by the 1311 Talent Program of Nanjing University of Posts and Telecommunications; in part by the Natural Science Foundation of Jiangsu Province under Grant BK20170900; and in part by the Postgraduate Research &amp; Practice Innovation Program of Jiangsu Province KYCX21_0798.</t>
  </si>
  <si>
    <t>1070-9908</t>
  </si>
  <si>
    <t>1558-2361</t>
  </si>
  <si>
    <t>IEEE SIGNAL PROC LET</t>
  </si>
  <si>
    <t>IEEE Signal Process. Lett.</t>
  </si>
  <si>
    <t>10.1109/LSP.2021.3107209</t>
  </si>
  <si>
    <t>Engineering, Electrical &amp; Electronic</t>
  </si>
  <si>
    <t>UR3PG</t>
  </si>
  <si>
    <t>WOS:000696663300002</t>
  </si>
  <si>
    <t>Gauthier, Alex G.; Wu, Jiaqi; Lin, Mosi; Sitapara, Ravikumar; Kulkarni, Abhijit; Thakur, Ganesh A.; Schmidt, Edward E.; Perron, Jeanette C.; Ashby Jr, Charles R.; Mantell, Lin L.</t>
  </si>
  <si>
    <t>The Positive Allosteric Modulation of alpha7-Nicotinic Cholinergic Receptors by GAT107 Increases Bacterial Lung Clearance in Hyperoxic Mice by Decreasing Oxidative Stress in Macrophages</t>
  </si>
  <si>
    <t>ANTIOXIDANTS</t>
  </si>
  <si>
    <t>hyperoxia; α 7nAChR; GAT107; ago-PAM; macrophage; pulmonary infection; antioxidant; oxygen therapy; phagocytosis; vagus nerve; oxidative stress</t>
  </si>
  <si>
    <t>VENTILATOR-ASSOCIATED PNEUMONIA; NICOTINIC ACETYLCHOLINE-RECEPTOR; OXYGEN-THERAPY; VAGUS NERVE; PSEUDOMONAS-AERUGINOSA; HEME OXYGENASE-1; ANTIBACTERIAL FUNCTION; INFLAMMATORY RESPONSE; INTENSIVE-CARE; HOST-DEFENSE</t>
  </si>
  <si>
    <t>Supplemental oxygen therapy with supraphysiological concentrations of oxygen (hyperoxia; &gt;21% O-2) is a life-saving intervention for patients experiencing respiratory distress. However, prolonged exposure to hyperoxia can compromise bacterial clearance processes, due to oxidative stress-mediated impairment of macrophages, contributing to the increased susceptibility to pulmonary infections. This study reports that the activation of the alpha 7 nicotinic acetylcholine receptor (alpha 7nAChR) with the delete allosteric agonistic-positive allosteric modulator, GAT107, decreases the bacterial burden in mouse lungs by improving hyperoxia-induced lung redox imbalance. The incubation of RAW 264.7 cells with GAT107 (3.3 mu M) rescues hyperoxia-compromised phagocytic functions in cultured macrophages, RAW 264.7 cells, and primary bone marrow-derived macrophages. Similarly, GAT107 (3.3 mu M) also attenuated oxidative stress in hyperoxia-exposed macrophages, which prevents oxidation and hyper-polymerization of phagosome filamentous actin (F-actin) from oxidation. Furthermore, GAT107 (3.3 mu M) increases the (1) activity of superoxide dismutase 1; (2) activation of Nrf2 and (3) the expression of heme oxygenase-1 (HO-1) in macrophages exposed to hyperoxia. Overall, these data suggest that the novel alpha 7nAChR compound, GAT107, could be used to improve host defense functions in patients, such as those with COVID-19, who are exposed to prolonged periods of hyperoxia.</t>
  </si>
  <si>
    <t>[Gauthier, Alex G.; Wu, Jiaqi; Lin, Mosi; Sitapara, Ravikumar; Perron, Jeanette C.; Ashby Jr, Charles R.; Mantell, Lin L.] St Johns Univ, Coll Pharm &amp; Hlth Sci, Dept Pharmaceut Sci, New York, NY 11439 USA; [Kulkarni, Abhijit; Thakur, Ganesh A.] Northeastern Univ, Dept Pharmaceut Sci, Boston, MA 02115 USA; [Schmidt, Edward E.] Montana State Univ, Dept Microbiol &amp; Immunol, Bozeman, MT 59717 USA; [Mantell, Lin L.] Northwell Hlth, Feinstein Inst Med Res, Manhasset, NY 11030 USA</t>
  </si>
  <si>
    <t>Saint John's University; Northeastern University; Montana State University System; Montana State University Bozeman; Northwell Health</t>
  </si>
  <si>
    <t>Mantell, LL (corresponding author), St Johns Univ, Coll Pharm &amp; Hlth Sci, Dept Pharmaceut Sci, New York, NY 11439 USA.;Mantell, LL (corresponding author), Northwell Hlth, Feinstein Inst Med Res, Manhasset, NY 11030 USA.</t>
  </si>
  <si>
    <t>Alexgauthier4@gmail.com; Jiaqi.wu16@stjohns.edu; mosi.lin19@stjohns.edu; Ravi.sitapara@gmail.com; kulkarni.abh@husky.neu.edu; g.thakur@northeastern.edu; eschmidt@montana.edu; perronj@stjohns.edu; cnsratdoc@optonline.net; mantelll@stjohns.edu</t>
  </si>
  <si>
    <t>Perron, Jeanette C./0000-0002-6942-6320</t>
  </si>
  <si>
    <t>National Heart, Lung, and Blood Institute [HL093708]; St. John's University</t>
  </si>
  <si>
    <t>National Heart, Lung, and Blood Institute(United States Department of Health &amp; Human ServicesNational Institutes of Health (NIH) - USANIH National Heart Lung &amp; Blood Institute (NHLBI)); St. John's University</t>
  </si>
  <si>
    <t>This work was supported by grants from the National Heart, Lung, and Blood Institute (HL093708) and St. John's University (LLM).</t>
  </si>
  <si>
    <t>2076-3921</t>
  </si>
  <si>
    <t>ANTIOXIDANTS-BASEL</t>
  </si>
  <si>
    <t>Antioxidants</t>
  </si>
  <si>
    <t>10.3390/antiox10010135</t>
  </si>
  <si>
    <t>Biochemistry &amp; Molecular Biology; Chemistry, Medicinal; Food Science &amp; Technology</t>
  </si>
  <si>
    <t>Biochemistry &amp; Molecular Biology; Pharmacology &amp; Pharmacy; Food Science &amp; Technology</t>
  </si>
  <si>
    <t>PV1KN</t>
  </si>
  <si>
    <t>WOS:000609753000001</t>
  </si>
  <si>
    <t>Lee, Jaemin</t>
  </si>
  <si>
    <t>FRAGMENTED BEFORE A GLOBAL MENACE: WHO, COVID-19 AND THE FRAGMENTATION OF INTERNATIONAL LAW</t>
  </si>
  <si>
    <t>COURTS; FEAR</t>
  </si>
  <si>
    <t>The COVID-19 outbreak revealed the structural problem of international law with fragmented norms. While WHO's IHR 2005 offers an important legal tool in this regard, the instrument is only confined to health information collection and dissemination and health recommendation issuance. In addition, principles and jurisprudence of international law applicable to international organisations tend to further entrench fragmentation as regards the WHO's management of the pandemic. The global events unfolding with COVID-19 evidence that a health crisis of this magnitude demands overcoming or at least alleviating fragmentation so as to ensure closer cooperation and coordination between states and international organisations. In this regard, a stand-alone convention covering a pandemic situation comprehensively with a systematic and multi-dimensional angle can be contemplated. Alternatively, IHR 2005 can be amended as well, reflecting COVID-19 experiences. In addition, the prospective FCGH may be expanded and elaborated to address a pandemic situation effectively. When opportunities arise, other related treaties and agreements should also be re-evaluated and amended as necessary. Exploring an effective legal regime to cope with future pandemics should begin with how to enhance and ensure cooperation and coordination of states and international organisations with the fragmentation challenge in mind.</t>
  </si>
  <si>
    <t>[Lee, Jaemin] Seoul Natl Univ, Sch Law, Law, Seoul, South Korea</t>
  </si>
  <si>
    <t>Lee, J (corresponding author), Seoul Natl Univ, Sch Law, Law, Seoul, South Korea.</t>
  </si>
  <si>
    <t>jaemin@snu.ac.kr</t>
  </si>
  <si>
    <t>2021 Research Fund of the Seoul National University Law Research Institute; Seoul National University Law Foundation</t>
  </si>
  <si>
    <t>PhD, LLM, LLB (Seoul National University); LLM (Georgetown University Law Center); JD (Boston College Law School). Professor of Law, School of Law, Seoul National University, Seoul, Korea. The author can be reached via e-mail at jaemin@snu.ac.kr.The author posted a short issue brief on the American Society of International Law on COVID-19 (ASIL Insight, Vol 24 (13) (12 June 2020)), which includes some of the elements in this article. This article presents distinct, separate and independent arguments. This article was funded by the 2021 Research Fund of the Seoul National University Law Research Institute, donated by the Seoul National University Law Foundation. All internet links cited in the article were last visited on 28 February 2021.</t>
  </si>
  <si>
    <t>2Q9ZC</t>
  </si>
  <si>
    <t>WOS:000820773100009</t>
  </si>
  <si>
    <t>Lenard, A</t>
  </si>
  <si>
    <t>Lenard, Ana</t>
  </si>
  <si>
    <t>Lessons and Opportunities for Negotiation Teachers Following the COVID-19 Pandemic</t>
  </si>
  <si>
    <t>AUSTRALASIAN DISPUTE RESOLUTION JOURNAL</t>
  </si>
  <si>
    <t>TEACHING NEGOTIATION; BASIC PRINCIPLES; DESIGN</t>
  </si>
  <si>
    <t>In 2020-2021, and resulting from the COVID-19 pandemic, I taught and studied university negotiation courses online. In this article I reflect on my experiences of teaching and learning online, ground them in pedagogical research, and distil key lessons and opportunities for negotiation teachers across three topics (creating inclusive classrooms, the role of technology, and equipping our students to meet the demands of the modern world). Teaching online has led to a collective upskilling in our understanding of our students, of what matters in life, and of how technology can enhance our teaching. We have agency in our classrooms to help create a more equitable world, as we indeed need to, if we are going to be transformational teachers and serve all of our students as best as we can.</t>
  </si>
  <si>
    <t>[Lenard, Ana] UNSW, Sydney, NSW, Australia; [Lenard, Ana] Univ Auckland, Fac Law, Auckland, New Zealand</t>
  </si>
  <si>
    <t>University of New South Wales Sydney; University of Auckland</t>
  </si>
  <si>
    <t>Lenard, A (corresponding author), UNSW, Sydney, NSW, Australia.</t>
  </si>
  <si>
    <t>Fulbright New Zealand; New Zealand Law Foundation</t>
  </si>
  <si>
    <t>I would like to thank Professor David Ross at Columbia Law School, Fulbright New Zealand and the New Zealand Law Foundation (through the Ethel Benjamin Scholarship) for their support. The views expressed in this article, and any errors, are entirely my own. Ana Lenard LLB(Hons)/BSc (Auckland), LLM (Columbia), Law PhD candidate (UNSW); Barrister; Teaching Fellow at the University of Auckland Faculty of Law.</t>
  </si>
  <si>
    <t>LAWBOOK CO LTD</t>
  </si>
  <si>
    <t>PYRMONT</t>
  </si>
  <si>
    <t>LEVEL 6, 19 HARRIS ST, PYRMONT, NSW 2009, AUSTRALIA</t>
  </si>
  <si>
    <t>1441-7847</t>
  </si>
  <si>
    <t>AUSTRALAS DISPUT RES</t>
  </si>
  <si>
    <t>Australas. Disput. Resolut. J.</t>
  </si>
  <si>
    <t>XK2LL</t>
  </si>
  <si>
    <t>WOS:000727303100005</t>
  </si>
  <si>
    <t>Locke, C</t>
  </si>
  <si>
    <t>Locke, Cara</t>
  </si>
  <si>
    <t>DEBATING THE RULE OF LAW: THE CURIOUS RE-ENACTMENT OF THE SOLICITATION OFFENCE</t>
  </si>
  <si>
    <t>ALBERTA LAW REVIEW</t>
  </si>
  <si>
    <t>CANADA</t>
  </si>
  <si>
    <t>The author worries that the rule of law was diminished when Parliament re-enacted section 213(1.1) of the Criminal Code. This offence is a refurbished version of the unconstitutional prohibition against communicating in public for prostitution, which was invalidated by the Supreme Court of Canada in 2013. On its face, section 213(1.1) appears to create an offence to offer sexual services near select public places where minors might be present. But on the ground, section 213(1.1) is not actually operating as an offence at all - at least according to government politicians responsible for passing section 213(1.1) into law and police officers who lobbied for its re-enactment. By delving into the lawmaking process, the author discovers evidence that section 213(1.1) was instead re-enacted to operate as a warrantless detention power. If the debate between legislators and police is taken seriously, de facto detention under section 213(1.1) appears to serve as a means to two ends: (1) to extricate people who sell sex out of the industry; and (2) to collect evidence of graver offences by pimps and johns. Neither of these two ends involve charging the citizens who are technically criminalized under section 213(1.1), yet who are otherwise cloaked in moral blamelessness by legislators and police. Despite the benevolent motives of legislators and police, the author identifies four interconnected rule of law problems with de facto detentions under section 213(1.1): unaccountability to law, misallocation of power, unanswerability to citizens, and inaccessibility to justice. The author argues that distorting a criminal offence into a de facto detention power deprives people not only of constrained choices, but also of vital procedural safeguards, without which they cannot seek the answers, accountability, and justice that everyone deserves.</t>
  </si>
  <si>
    <t>[Locke, Cara] Univ Toronto, Fac Law, Nova Scotia &amp; Ontario Bars, Toronto, ON, Canada</t>
  </si>
  <si>
    <t>Locke, C (corresponding author), Univ Toronto, Fac Law, Nova Scotia &amp; Ontario Bars, Toronto, ON, Canada.</t>
  </si>
  <si>
    <t>Social Sciences and Humanities Research Council; Arthur and Sandra Irving Foundation</t>
  </si>
  <si>
    <t>Social Sciences and Humanities Research Council(Social Sciences and Humanities Research Council of Canada (SSHRC)); Arthur and Sandra Irving Foundation</t>
  </si>
  <si>
    <t>BA (Hons), JD, LLM, Doctor of Juridical Science Candidate, Faculty of Law, University of Toronto, of the Nova Scotia and Ontario Bars, C David Naylor Fellow, Joseph-Armand Bombardier Scholar. During the drafting of this article, the author benefitted from funding by the Social Sciences and Humanities Research Council and the Arthur and Sandra Irving Foundation. The views expressed in this article belong to the author alone in her personal academic capacity and do not represent the views of any employers or clients, nor any institutions with which she is or has been affiliated. Initially, the idea for this article was sparked by research conducted in 2017 under the supervision of Hamish Stewart for the author's LLM thesis. The author thanks Mariana Mota Prado for encouraging the author to pursue this idea afterwards, and also thanks Stephane Serafin for exchanges on legal theory. The author appreciates challenging comments from anonymous reviewers. Much gratitude to Sandrine AmplemanTremblay for her enthusiastic feedback. Heartfelt thanks to Debbie and Norma for their support back home in Newfoundland, where this project materialized.</t>
  </si>
  <si>
    <t>UNIV ALBERTA</t>
  </si>
  <si>
    <t>EDMONTON</t>
  </si>
  <si>
    <t>DEPT SOCIOLOGY, EDMONTON, ALBERTA T6G 2E1, CANADA</t>
  </si>
  <si>
    <t>0002-4821</t>
  </si>
  <si>
    <t>1925-8356</t>
  </si>
  <si>
    <t>ALTA LAW REV</t>
  </si>
  <si>
    <t>Alta. Law Rev.</t>
  </si>
  <si>
    <t>QW7HH</t>
  </si>
  <si>
    <t>WOS:000628820100006</t>
  </si>
  <si>
    <t>Romanopoulou, E; Zilidou, V; Gylou, S; Dratsiou, I; Katsouli, A; Karagianni, M; Petronikolou, V; Varella, A; Bamidis, P</t>
  </si>
  <si>
    <t>Stoicu-Tivadar, L; Mantas, J; Chronaki, C; Hasman, A; Weber, P; Gallos, P; Crisan-Vida, M; Zoulias, E; Chirila, OS</t>
  </si>
  <si>
    <t>Romanopoulou, Evangelia; Zilidou, Vasiliki; Gylou, Sotiria; Dratsiou, Ioanna; Katsouli, Aikaterini; Karagianni, Maria; Petronikolou, Vasileia; Varella, Annita; Bamidis, Panagiotis</t>
  </si>
  <si>
    <t>Health and Social Care During Coronavirus Outbreak: The Exploitation of Long Lasting Memories - LLM Care</t>
  </si>
  <si>
    <t>PUBLIC HEALTH AND INFORMATICS, PROCEEDINGS OF MIE 2021</t>
  </si>
  <si>
    <t>Studies in Health Technology and Informatics</t>
  </si>
  <si>
    <t>31st Medical Informatics in Europe Conference (MIE)</t>
  </si>
  <si>
    <t>MAY 29-31, 2021</t>
  </si>
  <si>
    <t>MCO Congress</t>
  </si>
  <si>
    <t>Covid-19; cognitive training; health care; social care</t>
  </si>
  <si>
    <t>The Covid-19 pandemic has globally introduced a new crisis with severe consequences and led to a series of pandemic-related containment measures, including social distancing and self-isolation may cause significant impact on mental health. This study describes a social care initiative that was actualized during the Covid-19 outbreak with regard to the potential benefits in older adults' quality of life through the use of the Integrated Healthcare System Long Lasting Memories Care (LLM Care), and specifically the web-based cognitive training software. Online questionnaires, assessing various psychosocial and mental health domains, were distributed to 28 older adults before and after the interaction with the software aiming at evaluating the potential positive effect and usability of cognitive training software. Overall, the study demonstrates that the interaction with the web-based cognitive training software during the pandemic plays a significant role in maintaining mental health among older people, through improvements in well-being.</t>
  </si>
  <si>
    <t>[Romanopoulou, Evangelia; Zilidou, Vasiliki; Gylou, Sotiria; Dratsiou, Ioanna; Katsouli, Aikaterini; Karagianni, Maria; Petronikolou, Vasileia; Varella, Annita; Bamidis, Panagiotis] Aristotle Univ Thessaloniki, Sch Med, Lab Med Phys, Thessaloniki, Greece</t>
  </si>
  <si>
    <t>Aristotle University of Thessaloniki</t>
  </si>
  <si>
    <t>Romanopoulou, E (corresponding author), Aristotle Univ Thessaloniki, Sch Med, Lab Med Phys, POB 376, Thessaloniki 54124, Greece.</t>
  </si>
  <si>
    <t>evangeliaromanopoulou@gmail.com</t>
  </si>
  <si>
    <t>Dratsiou, Ioanna/JDC-5005-2023</t>
  </si>
  <si>
    <t>Dratsiou, Ioanna/0000-0003-0724-1213; Zilidou, Vasiliki/0000-0002-4859-6996; Katsouli, Aikaterini-Marina/0000-0002-5742-0941; Gilou, Sotiria/0000-0002-3503-7976</t>
  </si>
  <si>
    <t>business exploitation scheme of the ICT-PSP</t>
  </si>
  <si>
    <t>This research is supported by the business exploitation scheme of the ICT-PSP funded project LLM, namely, LLM Care which is a self-funded initiative at the Aristotle University of Thessaloniki (www.llmcare.gr).The authors would like to thank all the participants, as well as all facilitators that contributed to this study and especially Maria Metaxa and Foteini Dolianiti.</t>
  </si>
  <si>
    <t>IOS PRESS</t>
  </si>
  <si>
    <t>NIEUWE HEMWEG 6B, 1013 BG AMSTERDAM, NETHERLANDS</t>
  </si>
  <si>
    <t>0926-9630</t>
  </si>
  <si>
    <t>1879-8365</t>
  </si>
  <si>
    <t>978-1-64368-185-6</t>
  </si>
  <si>
    <t>STUD HEALTH TECHNOL</t>
  </si>
  <si>
    <t>10.3233/SHTI210261</t>
  </si>
  <si>
    <t>Computer Science, Interdisciplinary Applications; Health Care Sciences &amp; Services; Public, Environmental &amp; Occupational Health; Medical Informatics</t>
  </si>
  <si>
    <t>Computer Science; Health Care Sciences &amp; Services; Public, Environmental &amp; Occupational Health; Medical Informatics</t>
  </si>
  <si>
    <t>BV7HX</t>
  </si>
  <si>
    <t>WOS:001066457700149</t>
  </si>
  <si>
    <t>Stadin, M; Nordin, M; Broström, A; Hanson, LLM; Westerlund, H; Fransson, EI</t>
  </si>
  <si>
    <t>Stadin, Magdalena; Nordin, Maria; Brostrom, Anders; Hanson, Linda L. Magnusson; Westerlund, Hugo; Fransson, Eleonor, I</t>
  </si>
  <si>
    <t>Technostress operationalised as information and communication technology (ICT) demands among managers and other occupational groups - Results from the Swedish Longitudinal Occupational Survey of Health (SLOSH)</t>
  </si>
  <si>
    <t>COMPUTERS IN HUMAN BEHAVIOR</t>
  </si>
  <si>
    <t>EFFORT-REWARD IMBALANCE; PSYCHOSOCIAL WORK FACTORS; JOB STRAIN; STRESS</t>
  </si>
  <si>
    <t>Exposure to technostress operationalised as ICT demands is more prevalent in higher socioeconomic groups, but little is known about the exposure in different occupational groups considering industry and position. The aim of the present study was to explore the exposure to ICT demands in managers and other occupational groups. Cross-sectional self-reported data from the Swedish Longitudinal Occupational Survey of Health (SLOSH), collected in 2016 was used, including 13 572 respondents (1 241 'managers', 12 331 'non-managers'). ICT demands based on a six-item Likert scale were analysed as the main measure. 'Managers' (varying industries and positions) in comparison with 'non-managers', including nine occupational groups separated by industry and education level, showed the highest prevalence (74.7%) of ICT demands. 'Managers in health care, other community services and education' showed the highest odds ratio (OR) with 95% Confidence Intervals (CI) of ICT demands, in comparison with 'non-managers' (OR 4.64 [CI 3.26-6.61], and with 'all other managers' (OR 1.55 [CI 1.01-2.38]), after adjustment for sex, age, job strain, and social support. In conclusion, managers have increased odds of exposure to ICT demands, especially managers in health care, other community services and education. Targeted actions to improve the digitalised work environment among managers are warranted.</t>
  </si>
  <si>
    <t>[Stadin, Magdalena; Brostrom, Anders; Fransson, Eleonor, I] Jonkoping Univ, Sch Hlth &amp; Welf, POB 1026, SE-55111 Jonkoping, Sweden; [Stadin, Magdalena] Uppsala Univ, Dept Informat Technol, Uppsala, Sweden; [Nordin, Maria; Hanson, Linda L. Magnusson; Westerlund, Hugo; Fransson, Eleonor, I] Stockholm Univ, Stress Res Inst, Stockholm, Sweden; [Nordin, Maria] Umea Univ, Dept Psychol, Umea, Sweden; [Brostrom, Anders] Linkoping Univ Hosp, Dept Clin Neurophysiol, Linkoping, Sweden</t>
  </si>
  <si>
    <t>Jonkoping University; Uppsala University; Stockholm University; Umea University; Linkoping University</t>
  </si>
  <si>
    <t>Stadin, M (corresponding author), Jonkoping Univ, Sch Hlth &amp; Welf, POB 1026, SE-55111 Jonkoping, Sweden.</t>
  </si>
  <si>
    <t>magdalena.stadin@it.uu.se</t>
  </si>
  <si>
    <t>Swedish Research Council for Health, Working Life and Welfare [2013-1141]; Jonkoping University</t>
  </si>
  <si>
    <t>Swedish Research Council for Health, Working Life and Welfare(Swedish Research Council for Health Working Life &amp; Welfare (Forte)); Jonkoping University</t>
  </si>
  <si>
    <t>This study was funded by the Swedish Research Council for Health, Working Life and Welfare (grant #2013-1141) and Jonkoping University.</t>
  </si>
  <si>
    <t>0747-5632</t>
  </si>
  <si>
    <t>1873-7692</t>
  </si>
  <si>
    <t>COMPUT HUM BEHAV</t>
  </si>
  <si>
    <t>Comput. Hum. Behav.</t>
  </si>
  <si>
    <t>10.1016/j.chb.2020.106486</t>
  </si>
  <si>
    <t>Psychology, Multidisciplinary; Psychology, Experimental</t>
  </si>
  <si>
    <t>OF0VV</t>
  </si>
  <si>
    <t>WOS:000580937800002</t>
  </si>
  <si>
    <t>Zhu, L; Li, XJ</t>
  </si>
  <si>
    <t>Zhu, Ling; Li, Xiaojing</t>
  </si>
  <si>
    <t>MARITIME COURTS IN CHINA AND THEIR JURISDICTION</t>
  </si>
  <si>
    <t>In addition to the local people's courts at different levels, China has gradually established maritime courts specifically to adjudicate maritime claims and disputes. However, although the legal framework regulating the bifurcation of jurisdiction of first-instance civil and commercial cases seems clear and straightforward, conflicts may continue to arise in choosing a maritime court or a local people's court when deciding a maritime dispute. This article aims to conduct a comprehensive study of Chinese maritime courts and to examine the reasons for jurisdictional conflicts between them and the local people's courts. It concludes that, despite all the legislative efforts made so far, uncertainties continue to arise concerning the appropriate jurisdiction over maritime disputes and claims. Greater clarity and direction from the relevant authorities are thus needed for a better and more efficient system for deciding the jurisdiction of maritime cases in China.</t>
  </si>
  <si>
    <t>[Zhu, Ling; Li, Xiaojing] Hong Kong Polytech Univ, Dept Logist &amp; Maritime Studies, Hong Kong, Peoples R China; [Li, Xiaojing] China Univ Polit Sci &amp; Law, Beijing, Peoples R China</t>
  </si>
  <si>
    <t>Hong Kong Polytechnic University; China University of Political Science &amp; Law</t>
  </si>
  <si>
    <t>Zhu, L (corresponding author), Hong Kong Polytech Univ, Dept Logist &amp; Maritime Studies, Hong Kong, Peoples R China.</t>
  </si>
  <si>
    <t>HKSAR General Research Grant [B-Q57K]</t>
  </si>
  <si>
    <t>HKSAR General Research Grant</t>
  </si>
  <si>
    <t>Ling Zhu, PhD LLM LLB, Associate Professor, Department of Logistics and Maritime Studies, The Hong Kong Polytechnic University. The writing of this article is financially supported by the HKSAR General Research Grant (Project Code: B-Q57K). The earlier version of this article was presented at the eighth Journal of Private International Law Conference 2019. ** Xiaojing Li, Research Assistant (October 2017-August 2019), Department of Logistics and Maritime Studies, The Hong Kong Polytechnic University; and now PhD Candidate of China University of Political Science and Law, Beijing, China.</t>
  </si>
  <si>
    <t>YE5WY</t>
  </si>
  <si>
    <t>WOS:000741196900010</t>
  </si>
  <si>
    <t>Marshall, JL; Doughty, BR; Subramanian, V; Guckelberger, P; Wang, QB; Chen, LLM; Rodriques, SG; Zhang, KT; Fulco, CP; Nasser, J; Grinkevich, EJ; Noel, T; Mangiameli, S; Bergman, DT; Greka, A; Lander, ES; Chen, F; Engreitz, JM</t>
  </si>
  <si>
    <t>Marshall, Jamie L.; Doughty, Benjamin R.; Subramanian, Vidya; Guckelberger, Philine; Wang, Qingbo; Chen, Linlin M.; Rodriques, Samuel G.; Zhang, Kaite; Fulco, Charles P.; Nasser, Joseph; Grinkevich, Elizabeth J.; Noel, Teia; Mangiameli, Sarah; Bergman, Drew T.; Greka, Anna; Lander, Eric S.; Chen, Fei; Engreitz, Jesse M.</t>
  </si>
  <si>
    <t>HyPR-seq: Single-cell quantification of chosen RNAs via hybridization and sequencing of DNA probes</t>
  </si>
  <si>
    <t>gene regulation; single cell; enhancers; genomics</t>
  </si>
  <si>
    <t>TRANSCRIPTS; EXPRESSION; PROTEINS</t>
  </si>
  <si>
    <t>Single-cell quantification of RNAs is important for understanding cellular heterogeneity and gene regulation, yet current approaches suffer from low sensitivity for individual transcripts, limiting their utility for many applications. Here we present Hybridization of Probes to RNA for sequencing (HyPR-seq), a method to sensitively quantify the expression of hundreds of chosen genes in single cells. HyPR-seq involves hybridizing DNA probes to RNA, distributing cells into nanoliter droplets, amplifying the probes with PCR, and sequencing the amplicons to quantify the expression of chosen genes. HyPR-seq achieves high sensitivity for individual transcripts, detects nonpolyadenylated and low-abundance transcripts, and can profile more than 100,000 single cells. We demonstrate how HyPR-seq can profile the effects of CRISPR perturbations in pooled screens, detect time-resolved changes in gene expression via measurements of gene introns, and detect rare transcripts and quantify cell-type frequencies in tissue using low-abundance marker genes. By directing sequencing power to genes of interest and sensitively quantifying individual transcripts, HyPR-seq reduces costs by up to 100-fold compared to whole-transcriptome single-cell RNA-sequencing, making HyPR-seq a powerful method for targeted RNA profiling in single cells.</t>
  </si>
  <si>
    <t>[Marshall, Jamie L.; Doughty, Benjamin R.; Subramanian, Vidya; Guckelberger, Philine; Wang, Qingbo; Chen, Linlin M.; Rodriques, Samuel G.; Zhang, Kaite; Fulco, Charles P.; Nasser, Joseph; Grinkevich, Elizabeth J.; Noel, Teia; Mangiameli, Sarah; Bergman, Drew T.; Greka, Anna; Lander, Eric S.; Chen, Fei; Engreitz, Jesse M.] Broad Inst MIT &amp; Harvard, Cambridge, MA 02142 USA; [Guckelberger, Philine] Free Univ Berlin, Dept Biol Chem &amp; Pharm, D-14195 Berlin, Germany; [Wang, Qingbo] Massachusetts Gen Hosp, Analyt &amp; Translat Genet Unit, Boston, MA 02114 USA; [Wang, Qingbo] Harvard Med Sch, Program Bioinformat &amp; Integrat Genom, Boston, MA 02115 USA; [Rodriques, Samuel G.] MIT, Dept Phys, Cambridge, MA 02139 USA; [Rodriques, Samuel G.] MIT, Media Lab, Cambridge, MA 02139 USA; [Greka, Anna] Brigham &amp; Womens Hosp, Dept Med, 75 Francis St, Boston, MA 02115 USA; [Greka, Anna] Harvard Med Sch, Boston, MA 02115 USA; [Lander, Eric S.] Harvard Med Sch, Dept Syst Biol, Boston, MA 02115 USA; [Lander, Eric S.] MIT, Dept Biol, 77 Massachusetts Ave, Cambridge, MA 02139 USA; [Engreitz, Jesse M.] Stanford Univ, Dept Genet, Sch Med, Stanford, CA 94305 USA; [Engreitz, Jesse M.] Stanford Univ, Basic Sci &amp; Engn Initiat, Betty Irene Moore Childrens Heart Ctr, Lucile Packard Childrens Hosp,Sch Med, Stanford, CA 94305 USA; [Rodriques, Samuel G.] Petri Bio, Boston, MA 02111 USA; [Fulco, Charles P.] Bristol Myers Squibb Co, Cambridge, MA 02142 USA</t>
  </si>
  <si>
    <t>Lander, ES; Chen, F; Engreitz, JM (corresponding author), Broad Inst MIT &amp; Harvard, Cambridge, MA 02142 USA.;Lander, ES (corresponding author), Harvard Med Sch, Dept Syst Biol, Boston, MA 02115 USA.;Lander, ES (corresponding author), MIT, Dept Biol, 77 Massachusetts Ave, Cambridge, MA 02139 USA.;Engreitz, JM (corresponding author), Stanford Univ, Dept Genet, Sch Med, Stanford, CA 94305 USA.;Engreitz, JM (corresponding author), Stanford Univ, Basic Sci &amp; Engn Initiat, Betty Irene Moore Childrens Heart Ctr, Lucile Packard Childrens Hosp,Sch Med, Stanford, CA 94305 USA.</t>
  </si>
  <si>
    <t>lander@broadinstitute.org; chenf@broadinstitute.org; engreitz@stanford.edu</t>
  </si>
  <si>
    <t>Broad Institute; NIH Early Independence Award [1DP5OD024583]; Schmidt Fellows Program at the Broad Institute; NIH Pathway to Independence Awards [1K99HG009917, R00HG009917]; Harvard Society of Fellows; Basic Science and Engineering Research Initiative at the Lucile Packard Children's Hospital at Stanford University; Hertz Graduate Fellowship; National Science Foundation Graduate Research Fellowship Program [1122374]; Nakajima Foundation Scholarship</t>
  </si>
  <si>
    <t>Broad Institute; NIH Early Independence Award(United States Department of Health &amp; Human ServicesNational Institutes of Health (NIH) - USA); Schmidt Fellows Program at the Broad Institute; NIH Pathway to Independence Awards(United States Department of Health &amp; Human ServicesNational Institutes of Health (NIH) - USA); Harvard Society of Fellows; Basic Science and Engineering Research Initiative at the Lucile Packard Children's Hospital at Stanford University; Hertz Graduate Fellowship; National Science Foundation Graduate Research Fellowship Program(National Science Foundation (NSF)); Nakajima Foundation Scholarship</t>
  </si>
  <si>
    <t>We thank Jason Buenrostro, Christoph Muus, Aviv Regev, Arjun Raj, Vijay Sankaran, and Tung Nguyen for discussions. This work was supported by the Broad Institute; an NIH Early Independence Award 1DP5OD024583 (to F.C.); the Schmidt Fellows Program at the Broad Institute (F.C.); and NIH Pathway to Independence Awards 1K99HG009917 and R00HG009917 (to J.M.E.). J.M.E. was supported by the Harvard Society of Fellows and the Basic Science and Engineering Research Initiative at the Lucile Packard Children's Hospital at Stanford University. S.G.R. was supported by the Hertz Graduate Fellowship and the National Science Foundation Graduate Research Fellowship Program (Award 1122374). Q.W. was supported by the Nakajima Foundation Scholarship.</t>
  </si>
  <si>
    <t>DEC 29</t>
  </si>
  <si>
    <t>10.1073/pnas.2010738117</t>
  </si>
  <si>
    <t>PN5XM</t>
  </si>
  <si>
    <t>Green Published, Bronze, Green Submitted</t>
  </si>
  <si>
    <t>WOS:000604551600075</t>
  </si>
  <si>
    <t>Angelstam, P; Manton, M; Yamelynets, T; Fedoriak, M; Albulescu, AC; Bravo, F; Cruz, F; Jaroszewicz, B; Kavtarishvili, M; Munoz-Rojas, J; Sijtsma, F; Washbourne, CL; Agnoletti, M; Dobrynin, D; Izakovicova, Z; Jansson, N; Kanka, R; Kopperoinen, L; Lazdinis, M; Metzger, M; van der Moolen, B; Özut, D; Gjorgieska, DP; Stryamets, N; Tolunay, A; Turkoglu, T; Zagidullina, A</t>
  </si>
  <si>
    <t>Angelstam, Per; Manton, Michael; Yamelynets, Taras; Fedoriak, Mariia; Albulescu, Andra-Cosmina; Bravo, Felipe; Cruz, Fatima; Jaroszewicz, Bogdan; Kavtarishvili, Marika; Munoz-Rojas, Jose; Sijtsma, Frans; Washbourne, Carla-Leanne; Agnoletti, Mauro; Dobrynin, Denis; Izakovicova, Zita; Jansson, Nicklas; Kanka, Robert; Kopperoinen, Leena; Lazdinis, Marius; Metzger, Marc; van der Moolen, Bert; Ozut, Deniz; Gjorgieska, Dori Pavloska; Stryamets, Natalie; Tolunay, Ahmet; Turkoglu, Turkay; Zagidullina, Asiya</t>
  </si>
  <si>
    <t>Maintaining natural and traditional cultural green infrastructures across Europe: learning from historic and current landscape transformations</t>
  </si>
  <si>
    <t>LANDSCAPE ECOLOGY</t>
  </si>
  <si>
    <t>Cultural landscape; Forest naturalness; Green infrastructure; Landscape history; Land-sharing and land-sparing; Social-ecological system; Reference landscape</t>
  </si>
  <si>
    <t>SUSTAINABLE FOREST MANAGEMENT; ECOSYSTEM SERVICES; LAND-COVER; BIODIVERSITY CONSERVATION; CRITICAL THRESHOLDS; GAP ANALYSIS; DEAD WOOD; ECOLOGY; HABITAT; BORDERS</t>
  </si>
  <si>
    <t>Context Maintaining functional green infrastructures (GIs) require evidence-based knowledge about historic and current states and trends of representative land cover types. Objectives We address: (1) the long-term loss and transformation of potential natural forest vegetation; (2) the effects of site productivity on permanent forest loss and emergence of traditional cultural landscapes; (3) the current management intensity; and (4) the social-ecological contexts conducive to GI maintenance . Methods We selected 16 case study regions, each with a local hotspot landscape, ranging from intact forest landscapes, via contiguous and fragmented forest covers, to severe forest loss. Quantitative open access data were used to estimate (i) the historic change and (ii) transformation of land covers, and (iii) compare the forest canopy loss from 2000 to 2018. Qualitative narratives about each hotspot landscape were analysed for similarities (iv). Results While the potential natural forest vegetation cover in the 16 case study regions had a mean of 86%, historically it has been reduced to 34%. Higher site productivity coincided with transformation to non-forest land covers. The mean annual forest canopy loss for 2000-2018 ranged from 0.01 to 1.08%. The 16 case studies represented five distinct social-ecological contexts (1) radical transformation of landscapes, (2) abuse of protected area concepts, (3) ancient cultural landscapes (4) multi-functional forests, and (5) intensive even-aged forest management, of which 1 and 4 was most common. Conclusions GIs encompass both forest naturalness and traditional cultural landscapes. Our review of Pan-European regions and landscapes revealed similarities in seemingly different contexts, which can support knowledge production and learning about how to sustain GIs.</t>
  </si>
  <si>
    <t>[Angelstam, Per] Swedish Univ Agr Sci SLU, Fac Forest Sci, Sch Forest Management, POB 43, S-73921 Skinnskatteberg, Sweden; [Manton, Michael] Vytautas Magnus Univ, Fac Forest Sci &amp; Ecol, Studentu 11, LT-53361 Kaunas Dist, Akademija, Lithuania; [Yamelynets, Taras] Ivan Franko Natl Univ, Fac Geog, Doroshenko St 41, UA-79000 Lvov, Ukraine; [Fedoriak, Mariia] Chernivtsi Natl Univ, Dept Ecol &amp; Biomonitoring, 2 Kotsyubynski St, UA-58029 Chernovtsy, Ukraine; [Albulescu, Andra-Cosmina] Alexandru Ioan Cuza Univ, Fac Geog &amp; Geol, Dept Geog, Bd Carol I 11, Iasi 700506, Romania; [Bravo, Felipe] Univ Valladolid, Sustainable Forest Management Res Inst iuFOR, Campus Yutera,Av Madrid 44, Palencia 34071, Spain; [Cruz, Fatima] Univ Valladolid, Sustainable Forest Management Res Inst iuFOR, Dept Psychol, Campus Yutera,Av Madrid 44, Palencia 34071, Spain; [Jaroszewicz, Bogdan] Univ Warsaw, Fac Biol, Bialowieza Geobot Stn, Ul Sportowa 19, PL-17230 Bialowieza, Poland; [Kavtarishvili, Marika] LLM European &amp; Int Law Sch, Tbilisi, Georgia; [Munoz-Rojas, Jose] Univ Evora, Nucleo Mitra, MED Mediterranean Inst Agr Food &amp; Environm, Gab 206,Edificio Regentes Agile Apartado 94, P-7006554 Evora, Portugal; [Sijtsma, Frans] Univ Groningen, Fac Spatial Sci, POB 800, NL-9700 AV Groningen, Netherlands; [Washbourne, Carla-Leanne] UCL, Dept Sci Technol Engn &amp; Publ Policy, Gower St, London, England; [Agnoletti, Mauro] Univ Firenze, Sci &amp; Tecnol Agr Alimentari Ambientali &amp; Forestal, Via San Bonaventura 13, I-50145 Florence, Italy; [Dobrynin, Denis] Univ Eastern Finland, Dept Geog &amp; Hist Studies, POB 111, Joensuu 80101, Finland; [Izakovicova, Zita; Kanka, Robert] Slovak Acad Sci, Inst Landscape Ecol, Stefanikova 3,POB 254, Bratislava 81499, Slovakia; [Jansson, Nicklas] Linkoping Univ, IFM Biol, Conservat Ecol Grp, Linkoping, Sweden; [Kopperoinen, Leena] Finnish Environm Inst SYKE, Biodivers Ctr, Latokartanonkaari 11, Helsinki 00790, Finland; [Lazdinis, Marius] European Commiss, Directorate Gen Agr &amp; Rural Dev, Brussels, Belgium; [Metzger, Marc] Univ Edinburgh, GeoSci, Drummond St, Edinburgh EH8 9XP, Midlothian, Scotland; [van der Moolen, Bert] Bosgrp Noord Oost Nederland, Balkerweg 48a, NL-7738 PB Witharen, Netherlands; [Ozut, Deniz] Nat Conservat Ctr, Asagi Ovecler Mah 1065 Cad 1293 Sok 9-32 Cankaya, Ankara, Turkey; [Gjorgieska, Dori Pavloska] Secretariat Reg Rural Dev Standing Working Grp SW, Head Off, Blvd Goce Delcev 18, Skopje 1000, North Macedonia; [Stryamets, Natalie] Nat Reserve Rortochya, Sitchovuh Strilciv 7, UA-81070 Ivano Frankove, Ukraine; [Tolunay, Ahmet] Isparta Univ Appl Sci, Fac Forestry, TR-32000 Isparta, Turkey; [Turkoglu, Turkay] Mugla Sitki Kocman Univ, Koycegiz Vocat Sch, Dept Forestry, TR-48800 Mugla, Turkey; [Zagidullina, Asiya] St Petersburg State Univ, Dept Ecol &amp; Vegetat Sci, St Petersburg 199034, Russia</t>
  </si>
  <si>
    <t>Swedish University of Agricultural Sciences; Vytautas Magnus University; Ministry of Education &amp; Science of Ukraine; Ivan Franko National University Lviv; Ministry of Education &amp; Science of Ukraine; Yuri Fedkovych Chernivtsi National University; Alexandru Ioan Cuza University; Universidad de Valladolid; Universidad de Valladolid; University of Warsaw; University of Evora; University of Groningen; University of London; University College London; University of Florence; University of Eastern Finland; Slovak Academy of Sciences; Linkoping University; Finnish Environment Institute; University of Edinburgh; Ministry of National Education - Turkey; Isparta University of Applied Sciences; Mugla Sitki Kocman University; Saint Petersburg State University</t>
  </si>
  <si>
    <t>Angelstam, P (corresponding author), Swedish Univ Agr Sci SLU, Fac Forest Sci, Sch Forest Management, POB 43, S-73921 Skinnskatteberg, Sweden.</t>
  </si>
  <si>
    <t>per.angelstam@slu.se; michael.manton@vdu.lt; taras.yamelynets@gmail.com; m.m.fedoriak@gmail.com; cosminaalbulescu@yahoo.com; fbravo@pvs.uva.es; fatimaregina.cruz@uva.es; b.jaroszewicz@uw.edu.pl; kavtarishvilim@gmail.com; jmrojas@uevora.pt; f.j.sijtsma@rug.nl; c.washbourne@ucl.ac.uk; mauro.agnoletti@unifi.it; denis.dobrynin@uef.fi; zita.izakovicova@savba.sk; nicklas.jansson@liu.se; Robert.Kanka@savba.sk; leena.kopperoinen@ymparisto.fi; Marius.LAZDINIS@ec.europa.eu; marc.metzger@ed.ac.uk; b.vandermoolen@bosgroepen.n1; denizozut@gmail.com; dori.pavloska@swg-seerural.org; natastr@gmail.com; ahmettolunay@isparta.edu.tr; turkayturkoglu@mu.edu.tr; azagidullina@gmail.com</t>
  </si>
  <si>
    <t>Swedish University of Agricultural Sciences</t>
  </si>
  <si>
    <t>Open access funding provided by Swedish University of Agricultural Sciences.</t>
  </si>
  <si>
    <t>0921-2973</t>
  </si>
  <si>
    <t>1572-9761</t>
  </si>
  <si>
    <t>LANDSCAPE ECOL</t>
  </si>
  <si>
    <t>Landsc. Ecol.</t>
  </si>
  <si>
    <t>10.1007/s10980-020-01161-y</t>
  </si>
  <si>
    <t>DEC 2020</t>
  </si>
  <si>
    <t>Ecology; Geography, Physical; Geosciences, Multidisciplinary</t>
  </si>
  <si>
    <t>Environmental Sciences &amp; Ecology; Physical Geography; Geology</t>
  </si>
  <si>
    <t>QA4AR</t>
  </si>
  <si>
    <t>WOS:000599036400001</t>
  </si>
  <si>
    <t>Tang, YX; Yin, ZY; Chinnam, AK; Staples, RJ; Shreeve, JM</t>
  </si>
  <si>
    <t>Tang, Yongxing; Yin, Zhaoyang; Chinnam, Ajay Kumar; Staples, Richard J.; Shreeve, Jean'ne M.</t>
  </si>
  <si>
    <t>A Duo and a Trio of Triazoles as Very Thermostable and Insensitive Energetic Materials</t>
  </si>
  <si>
    <t>INORGANIC CHEMISTRY</t>
  </si>
  <si>
    <t>SERIES; SALTS</t>
  </si>
  <si>
    <t>The triazole moiety with a high heat of formation and a high nitrogen content has been investigated for decades in combination with other nitrogen-rich heterocyclic rings in the field of energetic materials. A novel strategy for the construction of both thermally stable and mechanically insensitive energetic materials using a multi-aminotriazole system is now described. Using this methodology, two series of energetic materials were created on the basis of a duo of triazoles, 5-amino-3-(3,4-diamino-1,2,4-triazol-5-yl)-1H-1,2,4-triazole (TT), and a trio of triazoles, 4,5-di(3,4-diamino-1,2,4-triazol-5-yl)-2H-1,2,3-triazole (TTT). Their nitrogen-rich salts were also synthesized. Compound TT exhibits an excellent onset decomposition temperature (T-d = 341 degrees C), which is superior to that of the conventional heat-resistant explosive hexanitrostilbene (HNS) (T-d = 318 degrees C). The nitrogen-rich salt 4,S-di(3,4-diamino-1,2,4-triazol-5-yl)-2H-1,2,3-triazolium 3,4,5-trinitropyrazol-1-ide (TTT-1) exhibits both remark- able detonation properties and low sensitivities (D-v = 8715 m S-1; P = 32.6 GPa; IS &gt; 40 J; FS &gt; 360 N), which are superior to those of the traditional explosive LLM-105 (D-v = 8639 m S-1; P = 31.7 GPa; IS = 20 J; FS = 360 N). Therefore, this methodology of building a multi-aminotriazole system could effectively assist in the design of thermally stable and mechanically insensitive energetic materials in future exploration.</t>
  </si>
  <si>
    <t>[Tang, Yongxing; Yin, Zhaoyang] Nanjing Univ Sci &amp; Technol, Nanjing 210094, Peoples R China; [Tang, Yongxing; Chinnam, Ajay Kumar; Shreeve, Jean'ne M.] Univ Idaho, Dept Chem, Moscow, ID 83844 USA; [Staples, Richard J.] Michigan State Univ, Dept Chem, E Lansing, MI 48825 USA</t>
  </si>
  <si>
    <t>Nanjing University of Science &amp; Technology; Idaho; University of Idaho; Michigan State University</t>
  </si>
  <si>
    <t>Tang, YX (corresponding author), Nanjing Univ Sci &amp; Technol, Nanjing 210094, Peoples R China.;Tang, YX; Shreeve, JM (corresponding author), Univ Idaho, Dept Chem, Moscow, ID 83844 USA.</t>
  </si>
  <si>
    <t>yongxing@just.edu.cn; jshreeve@uidaho.edu</t>
  </si>
  <si>
    <t>Staples, Richard J./ABC-8783-2021; Chinnam, Ajay Kumar/A-1054-2014</t>
  </si>
  <si>
    <t>Office of Naval Research [N00014-16-1-2089]; Defense Threat Reduction Agency [HDTRA 1-15-1-0028]; National Science Foundation MRI program [1919565]; National Natural Science Foundation of China [21905135]; Natural Science Foundation of Jiangsu Province [BK20190458]; Large Equipment Open Funding of Nanjing University of Science and Technology</t>
  </si>
  <si>
    <t>Office of Naval Research(Office of Naval Research); Defense Threat Reduction Agency(United States Department of DefenseDefense Threat Reduction Agency); National Science Foundation MRI program(National Science Foundation (NSF)); National Natural Science Foundation of China(National Natural Science Foundation of China (NSFC)); Natural Science Foundation of Jiangsu Province(Natural Science Foundation of Jiangsu Province); Large Equipment Open Funding of Nanjing University of Science and Technology</t>
  </si>
  <si>
    <t>Financial support of the Office of Naval Research (N00014-16-1-2089) and the Defense Threat Reduction Agency (HDTRA 1-15-1-0028) is gratefully acknowledged. The Rigaku Synergy S Diffractometer was purchased with support from the National Science Foundation MRI program (1919565). This work was supported by the National Natural Science Foundation of China (21905135), the Natural Science Foundation of Jiangsu Province (BK20190458), and the Large Equipment Open Funding of Nanjing University of Science and Technology.</t>
  </si>
  <si>
    <t>0020-1669</t>
  </si>
  <si>
    <t>1520-510X</t>
  </si>
  <si>
    <t>INORG CHEM</t>
  </si>
  <si>
    <t>Inorg. Chem.</t>
  </si>
  <si>
    <t>10.1021/acs.inorgchem.0c03014</t>
  </si>
  <si>
    <t>Chemistry, Inorganic &amp; Nuclear</t>
  </si>
  <si>
    <t>PF6VU</t>
  </si>
  <si>
    <t>WOS:000599190300105</t>
  </si>
  <si>
    <t>Fan, WL; Yang, SW; Zhang, YZ; Huang, B; Gong, ZJ; Wang, DM; Fan, MK</t>
  </si>
  <si>
    <t>Fan, Wanli; Yang, Shiwei; Zhang, Yongzheng; Huang, Bing; Gong, Zhengjun; Wang, Dongmei; Fan, Meikun</t>
  </si>
  <si>
    <t>Multifunctional Flexible SERS Sensor on a Fixate Gel Pad: Capturing, Derivation, and Selective Picogram Indirect Detection of Explosive 2,2′,4,4′,6,6′-Hexanitrostilbene</t>
  </si>
  <si>
    <t>ACS SENSORS</t>
  </si>
  <si>
    <t>2,2 ',4,4 ',6,6 '-hexanitrostilbene (HNS); 2,4,6-trinitrotoluene (TNT); SERS; fixate gel pads; Meisenheimer-alike complex; Ag NPs</t>
  </si>
  <si>
    <t>MASS-SPECTROMETRY; SURFACE; SUBSTRATE; SPECTROSCOPY; AG; ADSORPTION; MECHANISM; AU</t>
  </si>
  <si>
    <t>2,2',4,4',6,6'-Hexanitrostilbene (HNS) is an explosive with better explosion performance than the well-known 2,4,6-trinitrotoluene (TNT). Surprisingly, unlike other nitroaromatic explosives, there are limited reports regarding the detection of the HNS, let alone sensing reports on surface residues. In this work, a multifunctional flexible SERS sensor was proposed for the indirect detection of HNS based on the transparent fixate gel pads. The sticky and flexible gel pad can effectively collect any HNS surface residues. The inherent amine groups within the gel pad of which the main ingredient is polyurethane can react with HNS to form the orange Meisenheimer-alike complex. The modification of Ag NPs with halide ions was screened for the best SERS performance. KI-modified-citrate-reduced Ag NPs showed selective but enormous SERS enhancement for the HNS derivative. The detection of HNS in the solution phase was explored, and a linear range of 0.01-25 ppm was achieved. The lowest detectable amount (LDA) of HNS was found to be 50 pg, making it one of the most sensitive methods in literature. It was successfully utilized for the HNS residues sensing on fingerprints and bags with LDAs of 5 and 200 ng, respectively. In addition, other explosives including TATB, LLM-105, RDX, HMX, FOX-7, and TNT were also examined to assess the selectivity of the fixate. It was found that the fixate showed excellent selectivity for HNS.</t>
  </si>
  <si>
    <t>[Fan, Wanli; Gong, Zhengjun; Wang, Dongmei; Fan, Meikun] Southwest Jiaotong Univ, Fac Geosci &amp; Environm Engn, Chengdu 610031, Sichuan, Peoples R China; [Yang, Shiwei; Fan, Meikun] Southwest Jiaotong Univ, Sch Civil Engn, Chengdu 610031, Sichuan, Peoples R China; [Zhang, Yongzheng] Qufu Normal Univ, Sch Phys &amp; Phys Engn, Qufu 273165, Shandong, Peoples R China; [Huang, Bing] China Acad Engn Phys, Inst Chem Mat, Mianyang 621999, Sichuan, Peoples R China</t>
  </si>
  <si>
    <t>Southwest Jiaotong University; Southwest Jiaotong University; Qufu Normal University; Chinese Academy of Engineering Physics</t>
  </si>
  <si>
    <t>Fan, MK (corresponding author), Southwest Jiaotong Univ, Fac Geosci &amp; Environm Engn, Chengdu 610031, Sichuan, Peoples R China.;Fan, MK (corresponding author), Southwest Jiaotong Univ, Sch Civil Engn, Chengdu 610031, Sichuan, Peoples R China.</t>
  </si>
  <si>
    <t>meikunfan@gmail.com</t>
  </si>
  <si>
    <t>National Natural Science Foundation of China [21677117, 21777131]; Sichuan Science and Technology Program [2020YFH0048, 2020YFQ0026, 2018SZDZX0026]; Fundamental Research Funds for the National Universities [A0920502052001-6]; Doctoral Innovation Fund Program of Southwest Jiaotong University [D-CX201801]</t>
  </si>
  <si>
    <t>National Natural Science Foundation of China(National Natural Science Foundation of China (NSFC)); Sichuan Science and Technology Program; Fundamental Research Funds for the National Universities; Doctoral Innovation Fund Program of Southwest Jiaotong University</t>
  </si>
  <si>
    <t>The work was supported by National Natural Science Foundation of China (no. 21677117 and 21777131), Sichuan Science and Technology Program (no. 2020YFH0048, 2020YFQ0026, and 2018SZDZX0026), the Fundamental Research Funds for the National Universities (no. A0920502052001-6) and Doctoral Innovation Fund Program of Southwest Jiaotong University (no. D-CX201801).</t>
  </si>
  <si>
    <t>2379-3694</t>
  </si>
  <si>
    <t>ACS Sens.</t>
  </si>
  <si>
    <t>NOV 25</t>
  </si>
  <si>
    <t>10.1021/acssensors.0c01908</t>
  </si>
  <si>
    <t>Chemistry, Multidisciplinary; Chemistry, Analytical; Nanoscience &amp; Nanotechnology</t>
  </si>
  <si>
    <t>Chemistry; Science &amp; Technology - Other Topics</t>
  </si>
  <si>
    <t>PA3PL</t>
  </si>
  <si>
    <t>WOS:000595550100032</t>
  </si>
  <si>
    <t>Epplein, M; Le Marchand, L; Cover, TL; Song, MY; Blot, WJ; Peek, RM; Teras, LR; Visvanathan, K; Chen, Y; Sesso, HD; Zeleniuch-Jacquotte, A; Berndt, SI; Potter, JD; Ryser, MD; Haiman, CA; Wassertheil-Smoller, S; Tinker, LF; Waterboer, T; Butt, J</t>
  </si>
  <si>
    <t>Epplein, Meira; Le Marchand, Loic; Cover, Timothy L.; Song, Mingyang; Blot, William J.; Peek, Richard M.; Teras, Lauren R.; Visvanathan, Kala; Chen, Yu; Sesso, Howard D.; Zeleniuch-Jacquotte, Anne; Berndt, Sonja I.; Potter, John D.; Ryser, Marc D.; Haiman, Christopher A.; Wassertheil-Smoller, Sylvia; Tinker, Lesley F.; Waterboer, Tim; Butt, Julia</t>
  </si>
  <si>
    <t>Association of Combined Sero-Positivity to Helicobacter pylori and Streptococcus gallolyticus with Risk of Colorectal Cancer</t>
  </si>
  <si>
    <t>MICROORGANISMS</t>
  </si>
  <si>
    <t>Helicobacter pylori; Streptococcus gallolyticus; colorectal cancer; sero-positivity; antibodies</t>
  </si>
  <si>
    <t>INFECTION</t>
  </si>
  <si>
    <t>Previously, we found that risk of colorectal cancer (CRC) is increased in individuals with serum antibody response to both Helicobacter pylori (HP) Vacuolating Cytotoxin (VacA) toxin or Streptococcus gallolyticus (SGG) pilus protein Gallo2178. In the present analysis, we tested the hypothesis that combined seropositivity to both antigens is a better indicator of CRC risk than seropositivity to single antigens. We used multiplex serologic assays to analyze pre-diagnostic serum for antibody responses from 4063 incident CRC cases and 4063 matched controls from 10 US cohorts. To examine whether combined SGG Gallo2178 and HP VacA sero-status was associated with CRC risk, we used conditional logistic regression models to estimate odds ratios (ORs) and 95% confidence intervals (CIs). Compared to dual sero-negative individuals, there was no increased risk for individuals sero-positive to SGG Gallo2178 only (OR: 0.93; 95% CI: 0.66-1.31) or to HP VacA only (OR: 1.08; 95% CI: 0.98-1.19). However, dual sero-positive individuals had a &gt;50% increased odds of developing CRC (OR: 1.54; 95% CI: 1.16-2.04), suggesting an interaction between antibody responses to these two pathogens and CRC risk (p(interaction) = 0.06). In conclusion, this study suggests that dual sero-positivity to HP VacA and SGG Gallo2178 is an indicator of increased risk of CRC.</t>
  </si>
  <si>
    <t>[Epplein, Meira; Ryser, Marc D.] Duke Univ, Canc Control &amp; Populat Hlth Sci Program, Duke Canc Inst, Durham, NC 27705 USA; [Epplein, Meira; Ryser, Marc D.] Duke Univ, Dept Populat Hlth Sci, Durham, NC 27705 USA; [Le Marchand, Loic] Univ Hawaii, Epidmiol Program, Ctr Canc, Honolulu, HI 96813 USA; [Cover, Timothy L.; Peek, Richard M.] Vanderbilt Univ, Dept Med, Med Ctr, Nashville, TN 37232 USA; [Cover, Timothy L.; Peek, Richard M.] Vanderbilt Univ, Dept Pathol Microbiol &amp; Immunol, Med Ctr, Nashville, TN 37232 USA; [Cover, Timothy L.; Peek, Richard M.] Vet Affairs Tennessee Valley Healthcare Syst, Nashville, TN 37212 USA; [Song, Mingyang; Sesso, Howard D.] Harvard TH Chan Sch Publ Hlth, Dept Epidmiol, Boston, MA 02215 USA; [Song, Mingyang] Harvard TH Chan Sch Publ Hlth, Dept Nutr, Boston, MA 02215 USA; [Song, Mingyang] Massachusetts Gen Hosp, Clin &amp; Translat Epidemiol Unit, Boston, MA 02115 USA; [Song, Mingyang] Massachusetts Gen Hosp, Div Gastroenterol, Boston, MA 02115 USA; [Song, Mingyang] Harvard Med Sch, Boston, MA 02115 USA; [Blot, William J.] Vanderbilt Univ, Div Epidmiol, Med Ctr, Nashville, TN 37203 USA; [Peek, Richard M.] Vanderbilt Univ, Dept Med, Div Gastroenterol, Med Ctr, Nashville, TN 37232 USA; [Teras, Lauren R.] Amer Canc Soc, Behav &amp; Epidmiol Res Grp, Atlanta, GA 30303 USA; [Visvanathan, Kala] Johns Hopkins Sch Publ Hlth, Dept Epidemiol, Baltimore, MD 21205 USA; [Visvanathan, Kala] Johns Hopkins Sch Med, Dept Oncol, Baltimore, MD 21205 USA; [Chen, Yu; Zeleniuch-Jacquotte, Anne] NYU, Dept Populat Hlth, Grossman Sch Med, 550 1St Ave, New York, NY 10016 USA; [Sesso, Howard D.] Brigham &amp; Womens Hosp, Boston, MA 02215 USA; [Berndt, Sonja I.] NCI, Occupat &amp; Environm Epidemiol Branch, Div Canc Epidemiol &amp; Genet, NIH, Rockville, MD 20850 USA; [Potter, John D.] Massey Univ, Ctr Publ Hlth Res, Wellington 6140, New Zealand; [Ryser, Marc D.] Duke Univ, Dept Math, Durham, NC 27705 USA; [Haiman, Christopher A.] Univ Southern Calif, Ctr Genet Epidmiol, USC Norris Comprehens Canc Ctr, Dept Prevent Med, Los Angeles, CA 90089 USA; [Haiman, Christopher A.] USC Norris Comprehens Canc Ctr, Los Angeles, CA 90089 USA; [Wassertheil-Smoller, Sylvia] Albert Einstein Coll Med, Dept Epidmiol &amp; Populat Hlth, Bronx, NY 10461 USA; [Tinker, Lesley F.] Fred Hutchinson Canc Res Ctr, Div Publ Hlth Sci, Seattle, WA 98109 USA; [Waterboer, Tim; Butt, Julia] German Canc Res Ctr, Infect &amp; Canc Epidemiol, D-69120 Heidelberg, Germany</t>
  </si>
  <si>
    <t>Duke University; Duke University; Cancer Research Center of Hawaii; University of Hawaii System; Vanderbilt University; Vanderbilt University; US Department of Veterans Affairs; Veterans Health Administration (VHA); VA Tennessee Valley Healthcare System; Harvard University; Harvard T.H. Chan School of Public Health; Harvard University; Harvard T.H. Chan School of Public Health; Harvard University; Massachusetts General Hospital; Harvard University; Massachusetts General Hospital; Harvard University; Harvard Medical School; Vanderbilt University; Vanderbilt University; American Cancer Society; Johns Hopkins University; Johns Hopkins Bloomberg School of Public Health; Johns Hopkins University; Johns Hopkins Medicine; New York University; Harvard University; Brigham &amp; Women's Hospital; National Institutes of Health (NIH) - USA; NIH National Cancer Institute (NCI); Massey University; Duke University; University of Southern California; University of Southern California; Yeshiva University; Albert Einstein College of Medicine; Fred Hutchinson Cancer Center; Helmholtz Association; German Cancer Research Center (DKFZ)</t>
  </si>
  <si>
    <t>Epplein, M (corresponding author), Duke Univ, Canc Control &amp; Populat Hlth Sci Program, Duke Canc Inst, Durham, NC 27705 USA.</t>
  </si>
  <si>
    <t>meira.epplein@duke.edu; loic@cc.hawaii.edu; timothy.l.cover@vumc.org; mis911@mail.harvard.edu'; william.j.blot@vumc.org; richard.peek@vumc.org; lauren.teras@cancer.org; kvisvan1@jhu.edu; yu.chen@nyulangone.org; hsesso@hsph.harvard.edu; Anne.Jacquotte@nyulangone.org; berndts@mail.nih.gov; j.d.potter@massey.ac.nz; marc.ryser@duke.edu; christopher.haiman@med.usc.edu; sylvia.smoller@einstein.yu.edu; ltinker@whi.org; t.waterboer@dkfz-heidelberg.de; j.butt@dkfz-heidelberg.de</t>
  </si>
  <si>
    <t>National Cancer Institute of the National Institutes of Health funds [R01 CA190428]; Southern Community Cohort Study [U01 CA202979]; New York University Women's Health Study [U01 CA182934, P30 CA016087]; Nurses' Health Study/Health Professionals Follow-Up Study [U01 CA167552, P01 CA087969, UM1 CA186107, R00 CA215314, UM1 CA167552]; Physicians' Health Study [R01 CA097193, R01 CA040360, R01 HL034595]; Multiethnic Cohort Study [U01 CA164973]; National Institutes of Health (NIH) [R01 AI039657, R01 AI118932, P01 CA116087]; Department of Veterans Affairs [BX004447]; American Cancer Society [MRSG-17-220-01-NEC]; NIH [R00 CA215314]; National Heart, Lung, and Blood Institute, NOH, US Department of Health and Human Services [HHSN268201600018C, HHSN268201600001C, HHSN268201600002C, HHSN268201600003C, HHSN268201600004C]; Joint Initiative for Innovation and Research of the German Helmholtz Association; [R01 DK058587]; [R01 CA077955]</t>
  </si>
  <si>
    <t>National Cancer Institute of the National Institutes of Health funds; Southern Community Cohort Study; New York University Women's Health Study; Nurses' Health Study/Health Professionals Follow-Up Study; Physicians' Health Study; Multiethnic Cohort Study; National Institutes of Health (NIH)(United States Department of Health &amp; Human ServicesNational Institutes of Health (NIH) - USA); Department of Veterans Affairs(US Department of Veterans Affairs); American Cancer Society(American Cancer Society); NIH(United States Department of Health &amp; Human ServicesNational Institutes of Health (NIH) - USA); National Heart, Lung, and Blood Institute, NOH, US Department of Health and Human Services; Joint Initiative for Innovation and Research of the German Helmholtz Association; ;</t>
  </si>
  <si>
    <t>The National Cancer Institute of the National Institutes of Health funds: this consortium [R01 CA190428 to ME); the Southern Community Cohort Study [U01 CA202979 to WJB]; the New York University Women's Health Study [U01 CA182934 to AZ-J/YC and P30 CA016087); the Nurses' Health Study/Health Professionals Follow-Up Study [U01 CA167552; P01 CA087969; UM1 CA186107; R00 CA215314; and UM1 CA167552]; the Physicians' Health Study [R01 CA097193; R01 CA040360; and R01 HL034595]; and the Multiethnic Cohort Study [U01 CA164973 to LLM). RMP is supported by R01 DK058587 and R01 CA077955. TLC is supported by National Institutes of Health (NIH) R01 AI039657, R01 AI118932, P01 CA116087 and the Department of Veterans Affairs BX004447. MS is supported by the American Cancer Society [MRSG-17-220-01-NEC] and the NIH [R00 CA215314]. The Women's Health Initiative program is funded by the National Heart, Lung, and Blood Institute, NOH, US Department of Health and Human Services through contracts, HHSN268201600018C, HHSN268201600001C, HHSN268201600002C, HHSN268201600003C, and HHSN268201600004C. The development of Helicobacter pylori multiplex serology was funded in part by the Joint Initiative for Innovation and Research of the German Helmholtz Association. The funding sources played no role in the analysis or interpretation of the data. Study sponsors had no role in the study design or collection, analysis, or interpretation of the data.</t>
  </si>
  <si>
    <t>2076-2607</t>
  </si>
  <si>
    <t>Microorganisms</t>
  </si>
  <si>
    <t>10.3390/microorganisms8111698</t>
  </si>
  <si>
    <t>OW8YO</t>
  </si>
  <si>
    <t>WOS:000593165400001</t>
  </si>
  <si>
    <t>Hoyle, TM; Leroy, SAG; López-Merino, L; van Baak, CGC; Cortizas, AM; Richards, K; Aghayeva, V</t>
  </si>
  <si>
    <t>Hoyle, Thomas M.; Leroy, Suzanne A. G.; Lopez-Merino, Lourdes; van Baak, Christiaan G. C.; Cortizas, Antonio Martinez; Richards, Keith; Aghayeva, Vusala</t>
  </si>
  <si>
    <t>Biological turnovers in response to marine incursion into the Caspian Sea at the Plio-Pleistocene transition</t>
  </si>
  <si>
    <t>GLOBAL AND PLANETARY CHANGE</t>
  </si>
  <si>
    <t>Biodiversity turnover; Sea-level change; Marine connection; Akchagylian marine incursion; Palaeoenvironmental monitoring; Dinoflagellate cysts; Sediment geochemistry</t>
  </si>
  <si>
    <t>WALLED DINOFLAGELLATE CYSTS; NEOGENE PRODUCTIVE SERIES; KARA-BOGAZ-GOL; BLACK-SEA; LATE MIOCENE; CALCIUM-CARBONATE; LEVEL RISE; BALTIC SEA; BASIN; WATER</t>
  </si>
  <si>
    <t>Marine influence on low-salinity environments can trigger aquatic ecosystem shifts, including biodiversity turnovers. High-resolution palaeoenvironmental records of marine connection events are particularly valuable, as they provide natural laboratories to understand analogous oceanographic and biodiversity turnover events in present-day climate- and anthropogenically-induced incursions. One such incursion event occurred across the Plio-Pleistocene transition when water from the open ocean spilled into the Eurasian continental interior, inundating the Caspian area. Here we record the so-called Akchagylian marine incursion using well-dated palynological and geochemical records of the Lokbatan section (Azerbaijan). Immediately prior to the intensification of northern hemisphere glaciations (-2.75 Ma), fresh-brackish peri-Paratethyan dinocyst assemblages were replaced by monospecific assemblages of the marine dinocyst, Operculodinium centrocarpum sensu Wall and Dale (1966). This indicates that the Caspian Sea experienced a marine incursion during a period of global high sea level. The marine incursion also registered in the geochemical record as a peak in excess-strontium and carbonate content. Marine influence on the Caspian ceased after -2.46 Ma and a second biological turnover took place, with low-salinity tolerant peri-Paratethyan dinoflagellate communities replacing the marine assemblages. The large-scale Akchagylian marine incursion episode shows the extreme degree of biodiversity change that marine influence on fresh-brackish water basins could trigger. Similar processes are increasingly relevant to present-day marginal and landlocked basins, which face ever-greater incursions from marine species and water due to both climate-mediated sea-level rise and human-made infrastructure projects.</t>
  </si>
  <si>
    <t>[Hoyle, Thomas M.; van Baak, Christiaan G. C.] CASP, West Bldg,Madingley Rd, Cambridge CB3 0UD, England; [Leroy, Suzanne A. G.] Aix Marseille Univ, CNRS, UMR 7269, Minist Culture,LAMPEA, F-13094 Aix En Provence, France; [Leroy, Suzanne A. G.; Richards, Keith] Univ Liverpool, Sch Environm Sci, Liverpool L69 3GP, Merseyside, England; [Lopez-Merino, Lourdes] Univ Complutense Madrid, Fac Farm, Unidad Bot, ENVIROVEG,UCM 910164, E-28040 Madrid, Spain; [Lopez-Merino, Lourdes; Cortizas, Antonio Martinez] Univ Santiago de Compostela, Fac Biol, CRETUS, EcoPast GI 1553, E-15782 Santiago De Compostela, Spain; [Richards, Keith] KrA Stratig Ltd, 116 Albert Dr, Conwy LL31 9YY, England; [Aghayeva, Vusala] Univ Leoben, Dept Angew Geowissensch &amp; Geophys, A-8700 Leoben, Austria; [Aghayeva, Vusala] Inst Geog, Dept Palaeogeog, 115 Ave H Javid, AZ-1143 Baku, Azerbaijan</t>
  </si>
  <si>
    <t>Hoyle, TM (corresponding author), CASP, West Bldg,Madingley Rd, Cambridge CB3 0UD, England.</t>
  </si>
  <si>
    <t>thomas.hoyle@casp.cam.ac.uk</t>
  </si>
  <si>
    <t>López-Merino, Lourdes/GLT-0551-2022; Martínez-Cortizas, Antonio/M-6196-2015</t>
  </si>
  <si>
    <t>BP Exploration Operating Company Limited; Madrid Talent Attraction Program (Programa de Atraccion de Talento de la Comunidad de Madrid) [2019-T1/AMB-12782]</t>
  </si>
  <si>
    <t>BP Exploration Operating Company Limited; Madrid Talent Attraction Program (Programa de Atraccion de Talento de la Comunidad de Madrid)</t>
  </si>
  <si>
    <t>This work was funded by BP Exploration Operating Company Limited as a grant to SL at Brunel University London. LLM is supported by the Madrid Talent Attraction Program (Programa de Atraccion de Talento de la Comunidad de Madrid, modalidad 1, 2019-T1/AMB-12782) . Thanks to Manuel Sala-Perez, Francesca Sangiorgi, Arjen Grothe and Ali Soliman for discussion of the dinocyst taxonomy and ecology during preparation of this manuscript. We are also very grateful to Sergei Lazarev, Wout Krijgsman, Dan Palcu and Frank Wesselingh for discus-sion and comments on various aspects during the thought process that preceded the publication of this work. Thanks to Shahnaz Mammadova for all the help with fieldwork at Lokbatan, and Elshan Abdullayev for all his help with organisation in Azerbaijan. We would also like to express our gratitude to the two anonymous reviewers for their highly constructive feedback, which contributed greatly to the quality of the final manuscript.</t>
  </si>
  <si>
    <t>0921-8181</t>
  </si>
  <si>
    <t>1872-6364</t>
  </si>
  <si>
    <t>GLOBAL PLANET CHANGE</t>
  </si>
  <si>
    <t>Glob. Planet. Change</t>
  </si>
  <si>
    <t>10.1016/j.gloplacha.2021.103623</t>
  </si>
  <si>
    <t>Geography, Physical; Geosciences, Multidisciplinary</t>
  </si>
  <si>
    <t>Physical Geography; Geology</t>
  </si>
  <si>
    <t>WC6BY</t>
  </si>
  <si>
    <t>WOS:000704342700001</t>
  </si>
  <si>
    <t>Dutra, PSS; Lichtemberg, PSF; Martinez, MB; Michailides, TJ; De Mio, LLM</t>
  </si>
  <si>
    <t>Salvador Dutra, Pamela Suellen; Lichtemberg, Paulo S. F.; Bernat Martinez, Maria; Michailides, Themis J.; May De Mio, Louise Larissa</t>
  </si>
  <si>
    <t>Cross-Resistance Among Demethylation Inhibitor Fungicides With Brazilian Monilinia fructicola Isolates as a Foundation to Discuss Brown Rot Control in Stone Fruit</t>
  </si>
  <si>
    <t>PLANT DISEASE</t>
  </si>
  <si>
    <t>sterol biosynthesis inhibitors; triazoles; tebuconazole; prothioconazole; propiconazole; myclobutanil</t>
  </si>
  <si>
    <t>BASE-LINE SENSITIVITY; REDUCED SENSITIVITY; 14-ALPHA-DEMETHYLASE GENE; TEBUCONAZOLE RESISTANCE; VENTURIA-INAEQUALIS; PEACH PRODUCTION; 1ST REPORT; PROPICONAZOLE; POPULATIONS; EXPRESSION</t>
  </si>
  <si>
    <t>Despite the resistance problems in Monilinia fructicola, demethylation inhibitor fungicides (DMIs) are still effective for the disease management of brown rot in commercial stone fruit orchards in Brazil. This study aims to investigate the sensitivity of M. fructicola isolates and efficiency of DMIs to reduce brown rot. A set of 93 isolates collected from Brazilian commercial orchards were tested for their sensitivities to tebuconazole, propiconazole, prothioconazole, and myclobutanil. The isolates were analyzed separately according to the presence or absence of the G461S mutation in MfCYP51 gene, determined by allele specific test. The mean EC50 values for G461S mutants and wild-type isolates were respectively 8.443 and 1.13 mu g/ml for myclobutanil, 0.236 and 0.026 mu g/rnl for propiconazole, 0.115 and 0.002 mu g/ml for prothioconazole, and 1.482 and 0.096 mu g/ml for tebuconazole. The density distribution curves of DMI sensitivity for both genotypes showed that myclobutanil and prothioconazole curves were mostly shifted toward resistance and sensitivity, respectively. Incomplete cross-resistance was detected among propiconazole and tebuconazole in both wild-type (r = 0.45) and G461S (r = 0.38) populations. No cross-sensitivity was observed among wild-type isolates to prothioconazole and the others DMIs tested. Fungicide treatments on detached fruit inoculated with M. fructicola genotypes showed significant DMI efficacy differences when fruit were inoculated with wild-type and G461S isolates. Protective applications with prothioconazole were more effective for control of both G461S and wild-type isolates compared with tebuconazole. Curative applications with tebuconazole were most effective in reducing the incidence and lesion size of G461S isolates. Sporulation occurred only for G461S isolates treated with tebuconazole under curative and preventative treatments. The differences found among the performance of triazoles against M. fructicola isolates will form the basis for recommendations of rational DMI usage to control brown rot in Brazil.</t>
  </si>
  <si>
    <t>[Salvador Dutra, Pamela Suellen; May De Mio, Louise Larissa] Univ Fed Parana, BR-80035050 Curitiba, Parana, Brazil; [Lichtemberg, Paulo S. F.; Michailides, Themis J.] Univ Calif Davis, Kearney Agr Res &amp; Extens Ctr, Parlier, CA 93648 USA; [Bernat Martinez, Maria] Inst Agrifood Res &amp; Technol IRTA, Barcelona 08140, Spain</t>
  </si>
  <si>
    <t>Universidade Federal do Parana; University of California System; University of California Davis; IRTA</t>
  </si>
  <si>
    <t>De Mio, LLM (corresponding author), Univ Fed Parana, BR-80035050 Curitiba, Parana, Brazil.</t>
  </si>
  <si>
    <t>Coordination for the Improvement of Higher Education Personnel (CAPES) - Brazil [001]</t>
  </si>
  <si>
    <t>Coordination for the Improvement of Higher Education Personnel (CAPES) - Brazil(Coordenacao de Aperfeicoamento de Pessoal de Nivel Superior (CAPES))</t>
  </si>
  <si>
    <t>We thank the Coordination for the Improvement of Higher Education Personnel (CAPES) -Finance Code 001 - Brazil for the scholarship offered to the first author.</t>
  </si>
  <si>
    <t>0191-2917</t>
  </si>
  <si>
    <t>1943-7692</t>
  </si>
  <si>
    <t>PLANT DIS</t>
  </si>
  <si>
    <t>PLANT DIS.</t>
  </si>
  <si>
    <t>10.1094/PDIS-04-20-0714-RE</t>
  </si>
  <si>
    <t>OI7DV</t>
  </si>
  <si>
    <t>WOS:000583435500012</t>
  </si>
  <si>
    <t>Sitapara, RA; Gauthier, AG; Patel, VS; Lin, MS; Zur, M; Ashby, CR; Mantell, LL</t>
  </si>
  <si>
    <t>Sitapara, Ravikumar A.; Gauthier, Alex G.; Patel, Vivek S.; Lin, Mosi; Zur, Michelle; Ashby, Charles R., Jr.; Mantell, Lin L.</t>
  </si>
  <si>
    <t>The α7 nicotinic acetylcholine receptor agonist GTS-21 improves bacterial clearance in mice by restoring hyperoxia-compromised macrophage function</t>
  </si>
  <si>
    <t>α 7nAChR; Hyperoxia; Macrophage function; HMGB1; NF-κ B; Acute lung injury; Pulmonary infection</t>
  </si>
  <si>
    <t>MOBILITY GROUP BOX-1; CHROMATIN PROTEIN HMGB1; INTENSIVE-CARE UNITS; PSEUDOMONAS-AERUGINOSA; ALVEOLAR MACROPHAGES; CYTOKINE ACTIVITY; HOST-DEFENSE; RELEASE; PHAGOCYTOSIS; STIMULATION</t>
  </si>
  <si>
    <t>Background Mechanical ventilation, in combination with supraphysiological concentrations of oxygen (i.e., hyperoxia), is routinely used to treat patients with respiratory distress, such as COVID-19. However, prolonged exposure to hyperoxia compromises the clearance of invading pathogens by impairing macrophage phagocytosis. Previously, we have shown that the exposure of mice to hyperoxia induces the release of the nuclear protein high mobility group box-1 (HMGB1) into the pulmonary airways. Furthermore, extracellular HMGB1 impairs macrophage phagocytosis and increases the mortality of mice infected with Pseudomonas aeruginosa (PA). The aim of this study was to determine whether GTS-21 (3-(2,4-dimethoxybenzylidene) anabaseine), an alpha 7 nicotinic acetylcholine receptor (alpha 7nAChR) agonist, could (1) inhibit hyperoxia-induced HMGB1 release into the airways; (2) enhance macrophage phagocytosis and (3) increase bacterial clearance from the lungs in a mouse model of ventilator-associated pneumonia. Method GTS-21 (0.04, 0.4, and 4 mg/kg) or saline were administered by intraperitoneal injection to mice that were exposed to hyperoxia (&gt;= 99% O-2) and subsequently challenged with PA. Results The systemic administration of 4 mg/kg i.p. of GTS-21 significantly increased bacterial clearance, decreased acute lung injury and decreased accumulation of airway HMGB1 compared to the saline control. To determine the mechanism of action of GTS-21, RAW 264.7 cells, a macrophage-like cell line, were incubated with different concentrations of GTS-21 in the presence of 95% O-2. The phagocytic activity of macrophages was significantly increased by GTS-21 in a dose-dependent manner. In addition, GTS-21 significantly inhibited the cytoplasmic translocation and release of HMGB1 from RAW 264.7 cells and attenuated hyperoxia-induced NF-kappa B activation in macrophages and mouse lungs exposed to hyperoxia and infected with PA. Conclusions Our results indicate that GTS-21 is efficacious in improving bacterial clearance and reducing acute lung injury via enhancing macrophage function by inhibiting the release of nuclear HMGB1. Therefore, the alpha 7nAChR represents a possible pharmacological target to improve the clinical outcome of patients on ventilators by augmenting host defense against bacterial infections.</t>
  </si>
  <si>
    <t>[Sitapara, Ravikumar A.; Gauthier, Alex G.; Patel, Vivek S.; Lin, Mosi; Zur, Michelle; Ashby, Charles R., Jr.; Mantell, Lin L.] St Johns Univ, Dept Pharmaceut Sci, Coll Pharm &amp; Hlth Sci, 8000 Utopia Pkwy, Queens, NY 11439 USA; [Mantell, Lin L.] Northwell Hlth Syst, Feinstein Inst Med Res, Manhasset, NY 11030 USA</t>
  </si>
  <si>
    <t>Saint John's University; Northwell Health</t>
  </si>
  <si>
    <t>Mantell, LL (corresponding author), St Johns Univ, Dept Pharmaceut Sci, Coll Pharm &amp; Hlth Sci, 8000 Utopia Pkwy, Queens, NY 11439 USA.</t>
  </si>
  <si>
    <t>Patel, Vivek/0000-0001-8583-1548</t>
  </si>
  <si>
    <t>This study was funded by grants from The National Heart and Blood Institute (HL093708, to LLM) and intramural grants from St. John's University (to LLM). We would also like to thank Dr. Huan Yang for her insightful discussion on this project.</t>
  </si>
  <si>
    <t>OCT 30</t>
  </si>
  <si>
    <t>10.1186/s10020-020-00224-9</t>
  </si>
  <si>
    <t>OI1BL</t>
  </si>
  <si>
    <t>WOS:000583022600001</t>
  </si>
  <si>
    <t>Nespeca, LD; Paulino, HFD; da Silva, TBV; Bona, E; Leimann, FV; Marques, LLM; Cardoso, FAR; Droval, AA; Fuchs, RHB</t>
  </si>
  <si>
    <t>Nespeca, Lucas de Souza; da Silva Paulino, Hellen Fernanda; Barlati Vieira da Silva, Tamires; Bona, Evandro; Leimann, Fernanda Vitoria; Marques, Leila Larisa Medeiros; Cardoso, Flavia Aparecida Reitz; Droval, Adriana Aparecida; Fuchs, Renata Hernandez Barros</t>
  </si>
  <si>
    <t>How does the replacement of rice flour with flours of higher nutritional quality impact the texture and sensory profile and acceptance of gluten-free chocolate cakes?</t>
  </si>
  <si>
    <t>INTERNATIONAL JOURNAL OF FOOD SCIENCE AND TECHNOLOGY</t>
  </si>
  <si>
    <t>Celiac disease; flash profile; gluten-free cakes; sorghum (Sorghum bicolor(L; )Moench); teff (Eragrostis tef)</t>
  </si>
  <si>
    <t>FREE BREAD; FREE BREADMAKING; BUCKWHEAT FLOUR; SORGHUM; PREFERENCE; STARCH; BATTER</t>
  </si>
  <si>
    <t>Gluten-free bakery products usually use rice flour as substitute for wheat flour. This paper aims to evaluate whether and how the substitution of rice flour for sorghum and teff flour changes the overall acceptance, texture and sensory profile of gluten-free chocolate cakes. An experimental design composed of three factors (rice, sorghum and teff flours) was developed, and formulations were analysed by acceptance test and fibre content. Four formulations were submitted to sensory descriptive analysis. The formulations did not show significant differences in the overall acceptance although the sensory profile has changed. The texture was affected by the type of flour, being the optimised formulation the softer among the samples. From these data, it can be concluded that it is possible to replace rice flour with sorghum and teff flour in chocolate cake formulations, since the change in the sensory profile did not affect the acceptance of the products.</t>
  </si>
  <si>
    <t>[Nespeca, Lucas de Souza; da Silva Paulino, Hellen Fernanda; Marques, Leila Larisa Medeiros; Droval, Adriana Aparecida] Fed Univ Technol Parana UTFPR, Dept Food Engn, BR-87301005 Campo Mourao, Parana, Brazil; [Barlati Vieira da Silva, Tamires; Bona, Evandro; Leimann, Fernanda Vitoria; Fuchs, Renata Hernandez Barros] Fed Univ Technol Parana UTFPR, Postgrad Program Food Technol PPGTA, BR-87301005 Campo Mourao, Parana, Brazil; [Leimann, Fernanda Vitoria] Inst Politecn Braganca, Ctr Invest Montanha CIMO, Campus Santa Apolonia, P-5300253 Braganca, Portugal; [Cardoso, Flavia Aparecida Reitz] Univ Tecnol Fed Parana, Postgrad Program Technol Innovat PPGIT, BR-87301005 Campo Mourao, Parana, Brazil</t>
  </si>
  <si>
    <t>Universidade Tecnologica Federal do Parana; Universidade Tecnologica Federal do Parana; Instituto Politecnico de Braganca; Universidade Tecnologica Federal do Parana</t>
  </si>
  <si>
    <t>Fuchs, RHB (corresponding author), Fed Univ Technol Parana UTFPR, Postgrad Program Food Technol PPGTA, BR-87301005 Campo Mourao, Parana, Brazil.</t>
  </si>
  <si>
    <t>renata@utfpr.edu.br</t>
  </si>
  <si>
    <t>Leimann, Fernanda V/0000-0001-6230-9597; Bona, Evandro/0000-0001-8557-7527; Reitz Cardoso, Flávia Aparecida/0000-0002-0432-9191; Fuchs, Renata/0000-0003-1695-1209; Marques, Leila/0000-0002-5024-0542</t>
  </si>
  <si>
    <t>Federal University of Technology- Parana (UTFPR); Araucaria Foundation; Coordenacao de Aperfeicoamento de Pessoal de Nivel Superior - Brasil (CAPES) [001]</t>
  </si>
  <si>
    <t>Federal University of Technology- Parana (UTFPR); Araucaria Foundation(Fundacao Araucaria de Apoio ao Desenvolvimento Cientifico e Tecnologico do Estado do Parana FA); Coordenacao de Aperfeicoamento de Pessoal de Nivel Superior - Brasil (CAPES)(Coordenacao de Aperfeicoamento de Pessoal de Nivel Superior (CAPES))</t>
  </si>
  <si>
    <t>This work was supported by the Federal University of Technology- Parana (UTFPR) and Araucaria Foundation. This study was financed in part by the Coordenacao de Aperfeicoamento de Pessoal de Nivel Superior - Brasil (CAPES) - Finance Code 001. The authors thank the 'Central Analitica Multiusuario da UTFPR Campo MourAo' (CAMulti-CM) for the analyses.</t>
  </si>
  <si>
    <t>0950-5423</t>
  </si>
  <si>
    <t>1365-2621</t>
  </si>
  <si>
    <t>INT J FOOD SCI TECH</t>
  </si>
  <si>
    <t>Int. J. Food Sci. Technol.</t>
  </si>
  <si>
    <t>10.1111/ijfs.14833</t>
  </si>
  <si>
    <t>OCT 2020</t>
  </si>
  <si>
    <t>RF9FO</t>
  </si>
  <si>
    <t>WOS:000580578900001</t>
  </si>
  <si>
    <t>Lietzan, E; Lybecker, KMLAN</t>
  </si>
  <si>
    <t>Lietzan, Erika; Lybecker, Kristina M. L. Acri Nee</t>
  </si>
  <si>
    <t>DISTORTED DRUG PATENTS</t>
  </si>
  <si>
    <t>WASHINGTON LAW REVIEW</t>
  </si>
  <si>
    <t>PHARMACEUTICAL-INDUSTRY; MARKET EXCLUSIVITY; PRESCRIPTION DRUGS; INNOVATION; TRENDS; TIME</t>
  </si>
  <si>
    <t>Drug patents are distorted. Unlike most other inventors, drug inventors must complete years of testing to the governments specifications and seek government approval to commercialize their inventions. All the while, the patent term runs. When a drug inventor finally launches a medicine that embodies the invention, only a fraction of the patent life remains. And yet, conventional wisdom holds - and empirical studies show - that patent life is essential to innovation in the pharmaceutical industry, perhaps more so than any other inventive industry. Congress tried to do something about this in 1984, authorizing the Patent and Trademark Office to restore a portion of the patent lost to premarket testing. PTO doesnt restore all of the lost time, though, which raises the question whether the U.S. legal system may steer researchers away from drugs that take a long time to develop. This Article focuses on that question. It examines every grant of patent term restoration for a new drug or biologic from the schemes 1984 enactment to April 1, 2018. And it fills a conspicuous gap in the literature: few scholars have considered patent term restoration from an empirical perspective, none has used a dataset of this size and scope, and none has addressed the questions this Article addresses. Two significant conclusions stand out. First, longer clinical programs lead to shorter effective patent life, even after PTO has granted patent term restoration. The results are strongly statistically significant and contribute to a growing body of literature raising the alarm that the U.S. legal system may be systematically skewing drug research incentives away from the harder problems - such as a cure for Alzheimers Disease and interventions at the early stages of cancers. Second, Congress decided to allow drug companies to apply patent term restoration to continuation patents, specifically because this would increase the chances of reaching 14 years of effective patent life. Ten years later Congress changed the way patent terms are calculated without considering the effect on patent term restoration. Selecting a continuation patent no longer has the same effect. Today a drug company is most likely to achieve the 14 years of effective patent life by securing a new, original patent that issues late in clinical trials. Policymakers and scholars complain when companies secure these later-expiring patents, but the findings in this Article suggest those patents may be necessary to accomplish what Congress intended in 1984.</t>
  </si>
  <si>
    <t>[Lietzan, Erika] Univ Missouri, Sch Law, Law, Columbia, MO 65211 USA; [Lybecker, Kristina M. L. Acri Nee] Colorado Coll, Dept Econ &amp; Business, Colorado Springs, CO 80903 USA</t>
  </si>
  <si>
    <t>University of Missouri System; University of Missouri Columbia; Colorado College</t>
  </si>
  <si>
    <t>Lietzan, E (corresponding author), Univ Missouri, Sch Law, Law, Columbia, MO 65211 USA.</t>
  </si>
  <si>
    <t>lietzane@missouri.edu; kacri@coloradocollege.edu</t>
  </si>
  <si>
    <t>L.G. Greg Copeland Faculty Research Fellowship; Webb R. Gilmore Faculty Research Fellowship; David F. Yates Faculty Research Fellowship; Dean s Office Summer Research Collaboration Grant; Leonardo da Vinci Fellowship Research Grant from the Center for the Protection of Intellectual Property at Scalia Law School</t>
  </si>
  <si>
    <t>Erika Lietzan is a William H. Pittman Professor of Law and Timothy J. Heinsz Professor of Law at the University of Missouri School of Law. Her work on this project was supported by an L.G. Greg Copeland Faculty Research Fellowship, a Webb R. Gilmore Faculty Research Fellowship, and a David F. Yates Faculty Research Fellowship.; Kristina M.L. Acri nee Lybecker is Associate Professor and Department Chair, Department of Economics &amp; Business, Colorado College. Her work on this project was supported by a Dean s Office Summer Research Collaboration Grant.; The dataset used in this article was prepared by Erika Lietzan, assisted by, and supervising the work of, Jessica Chinnadurai (University of Missouri Class of 2018), Matthew Davis (2017), Erika Dopuch (2017), Jason Horne (2017), James Kopfensteiner (2018), Alec Larsen (2019), Max Mauldin (2018), Emily Titus (2019), and Alex Weidner (2019), as well as Nick Churchill (Scalia Law School LLM Class of 2018). Alex Weidner also assisted with data analysis. Launch dates for certain drug products in the dataset were purchased with a Leonardo da Vinci Fellowship Research Grant from the Center for the Protection of Intellectual Property at Scalia Law School. The statistical regressions were prepared by Kristina Acri. She is grateful for the research assistance of Ella Tulchinsky (class of 2019). An early version of the analysis was presented at the CPIP Summer Institute (July 2018) and at the Western Social Science Association Annual Meeting (April 2019) and benefitted from the comments of John Duffy, Christopher Erickson, Camilla Hrdy. Olena Ivus, Stan Liebowitz, David Lund, Adam Mossoff, Michael Risch, Ted Sichelman, and Saurabh Vishnubhakat. Subsequent helpful comments were provided by participants at the First annual Technology, Innovation, and Intellectual Property program of the Classical Liberal Institute (CLI-TIIP) at the Hoover Institution of Stanford University (January 2020). In particular, we appreciate the comments of Denise Hickey, Stefani Smith, Scott Kieff, Laurie Hill, Saurabh Vishnubhatkat, and Samantha Zyontz. The authors are also grateful for the comments of Kurt Karst and David Korn.</t>
  </si>
  <si>
    <t>UNIV WASHINGTON SCHOOL OF LAW</t>
  </si>
  <si>
    <t>SEATTLE</t>
  </si>
  <si>
    <t>WASHINGTON LAW REVIEW 1100 NE CAMPUS PARKWAY 410 CONDON HALL, SEATTLE, WA 98105 USA</t>
  </si>
  <si>
    <t>0043-0617</t>
  </si>
  <si>
    <t>WASH LAW REV</t>
  </si>
  <si>
    <t>Wash. Law Rev.</t>
  </si>
  <si>
    <t>PU0NE</t>
  </si>
  <si>
    <t>WOS:000609004500004</t>
  </si>
  <si>
    <t>Mitchell, AD; O'Brien, P</t>
  </si>
  <si>
    <t>Mitchell, Andrew D.; O'Brien, Paula</t>
  </si>
  <si>
    <t>If One Thai Bottle Should Accidentally Fall: Health Information, Alcohol Labelling and International Investment Law</t>
  </si>
  <si>
    <t>JOURNAL OF WORLD INVESTMENT &amp; TRADE</t>
  </si>
  <si>
    <t>alcohol labels; industry; international investment law; marketing; non-communicable diseases; public health warnings</t>
  </si>
  <si>
    <t>PRODUCTS; STANDARD; TREATIES</t>
  </si>
  <si>
    <t>This article considers the issues that would arise in a dispute under an international investment agreement about two innovative, public health alcohol labelling policies pursued by Thailand. One measure proposes graphic health warnings on alcoholic beverages. The other measure places extensive restrictions on the words and images that producers can use on alcoholic beverage labels. We focus on the consistency of these measures with the obligations of fair and equitable treatment and indirect expropriation. We place particular emphasis on the evidence that would likely be needed to defend these measures, including the areas where the science is somewhat tentative and might therefore pose problems for 'first-mover' States like Thailand. We conclude that there is a good chance that the warnings measure would be found compatible with investment law obligations. However, some aspects of the marketing measure are more vulnerable to findings of inconsistency.</t>
  </si>
  <si>
    <t>[Mitchell, Andrew D.] Monash Univ, Fac Law, Melbourne, Vic, Australia; [O'Brien, Paula] Univ Melbourne, Sch Law, Melbourne, Vic, Australia</t>
  </si>
  <si>
    <t>Mitchell, AD (corresponding author), Monash Univ, Fac Law, Melbourne, Vic, Australia.</t>
  </si>
  <si>
    <t>andrew.mitchell@monash.edu; obrienpl@unimelb.edu.au</t>
  </si>
  <si>
    <t>Mitchell, Andrew D/AAO-3714-2021</t>
  </si>
  <si>
    <t>Mitchell, Andrew D/0000-0001-8399-8563; O'Brien, Paula/0000-0002-6879-0489</t>
  </si>
  <si>
    <t>Australian Research Council [FT130100416]; Australian Research Council [FT130100416] Funding Source: Australian Research Council</t>
  </si>
  <si>
    <t>Andrew D Mitchell, PhD (Cantab); LLM (Harv); Dip Int Law (Melb); LLB (Melb); BCom (Melb). Professor, Faculty of Law, Monash University; Future Fellow, Australian Research Council; Director, Global Economic Law Network. Paula O'Brien, PhD (Melb); LLM (Cantab); BA/LLB(Hons) (Melb). Senior Lecturer, University of Melbourne Law School; Director, Health Law and Ethics Network. The authors thank Tania Voon, John Holmes, Caroline Henckels, Maristela Monteiro and Rosa Sandoval for helpful comments on an earlier draft and Mark Huber, Kyle Dickson-Smith, Donia Alwan, Pei Xuan Liu and Sophia Kaiko for their research and editorial assistance, as well as Kasinee Wongsang for her translations. This research was supported in part by the Australian Research Council pursuant to the Future Fellowship scheme (project number FT130100416).</t>
  </si>
  <si>
    <t>BRILL</t>
  </si>
  <si>
    <t>LEIDEN</t>
  </si>
  <si>
    <t>PLANTIJNSTRAAT 2, P O BOX 9000, 2300 PA LEIDEN, NETHERLANDS</t>
  </si>
  <si>
    <t>1660-7112</t>
  </si>
  <si>
    <t>2211-9000</t>
  </si>
  <si>
    <t>J WORLD INVEST TRADE</t>
  </si>
  <si>
    <t>J. World Invest. Trade</t>
  </si>
  <si>
    <t>10.1163/22119000-12340191</t>
  </si>
  <si>
    <t>OG3HY</t>
  </si>
  <si>
    <t>WOS:000581780900002</t>
  </si>
  <si>
    <t>Rucklidge, JJ; Shaw, IC</t>
  </si>
  <si>
    <t>Rucklidge, Julia J.; Shaw, Ian C.</t>
  </si>
  <si>
    <t>Are over-the-counter fish oil supplements safe, effective and accurate with labelling? Analysis of 10 New Zealand fish oil supplements</t>
  </si>
  <si>
    <t>NEW ZEALAND MEDICAL JOURNAL</t>
  </si>
  <si>
    <t>POLYUNSATURATED FATTY-ACIDS; PLACEBO-CONTROLLED TRIAL; RHEUMATOID-ARTHRITIS; CLINICAL-TRIALS; OMEGA-3; OMEGA-3-FATTY-ACIDS; METAANALYSIS; BIOAVAILABILITY; DISORDER</t>
  </si>
  <si>
    <t>AIM: Fish oil supplements are regulated in New Zealand under the Dietary Supplement Regulations (Section 42, Food Act 1981) and therefore are not subject to the same level of scrutiny and regulations as medicines. We investigated accuracy of labelling, stated health benefits of fish oil supplements sold in New Zealand, and risks relating to possible mercury content. METHOD: The amounts of omega-3 fatty acids contained per capsule were determined by an independent laboratory using gas chromatography on 10 of the most popular over-the-counter fish oil supplements sold in New Zealand and were compared with amounts stated on product labels. Information on doses recommended to achieve a specific health benefit were taken from the 10 labels as well as the company websites. These recommended doses were compared with published recommended doses identified as being effective in those health areas stipulated on the labels, based on either systematic reviews, meta-analyses and/or consensus statements. Mercury was analysed by an independent laboratory using inductively coupled plasma mass spectrometry. RESULTS: The actual amounts of EPA and DHA per capsule in 90% of the over-the-counter fish oil supplements analysed were within 10% of the amount stated on the product labels. Only one product was greater than 10% below the stated dose on the label. All products suggested benefit across heart, brain and joint health and all but two products stated a range of capsules required to achieve that health benefit (eg, 2-6 capsules). Based on the maximum number of capsules recommended (which ranged from 3-6 capsules), only three products would likely confer the dose identified as optimal for achieving a health benefit across all three health areas. Only two products recommended doses that would likely confer a health benefit both at the minimum and maximum number of capsules. More products would likely benefit brain and heart health than joint health. Mercury was not detected in any sample. CONCLUSIONS: It is reassuring that the doses of 90% of the products were accurate and that mercury was not detected in any sample; however, less than a third of the supplements would likely confer all the health benefits stated, even at the highest recommended daily doses. This paper has highlighted the ongoing challenges associated with the regulation of health claims associated with dietary supplements in New Zealand. Indeed, the literature on health effects is contradictory at best. Clearer definitions of the types of health statements that can be made and the research necessary to support them requires regulatory clarification.</t>
  </si>
  <si>
    <t>[Rucklidge, Julia J.] Univ Canterbury, Sch Psychol Speech &amp; Hearing, Clin Psychol, Christchurch, New Zealand; [Shaw, Ian C.] Univ Canterbury, Sch Phys &amp; Chem Sci, Toxicol, Christchurch, New Zealand</t>
  </si>
  <si>
    <t>University of Canterbury; University of Canterbury</t>
  </si>
  <si>
    <t>Rucklidge, JJ (corresponding author), Univ Canterbury, Sch Psychol Speech &amp; Hearing, Christchurch, New Zealand.</t>
  </si>
  <si>
    <t>julia.rucldidge@canterbury.ac.nz</t>
  </si>
  <si>
    <t>School of Psychology, Speech and Hearing, University of Canterbury; School of Physical and Chemical Sciences, University of Canterbury</t>
  </si>
  <si>
    <t>We thank the School of Psychology, Speech and Hearing and the School of Physical and Chemical Sciences, University of Canterbury for assistance with funding this work. We are grateful to Peter Harris LLM for his advice on legal and regulatory aspects of dietary supplements. We acknowledge Shelby Hantz's MSc thesis which led to this paper.</t>
  </si>
  <si>
    <t>NEW ZEALAND MEDICAL ASSOC</t>
  </si>
  <si>
    <t>CHRISTCHURCH</t>
  </si>
  <si>
    <t>C/O BRENNAN EDWARDES, DEPT SURGERY, CHRISTCHURCH HOSPITAL, PO BOX 4345, CHRISTCHURCH, 00000, NEW ZEALAND</t>
  </si>
  <si>
    <t>0028-8446</t>
  </si>
  <si>
    <t>1175-8716</t>
  </si>
  <si>
    <t>NEW ZEAL MED J</t>
  </si>
  <si>
    <t>N. Z. Med. J.</t>
  </si>
  <si>
    <t>SEP 25</t>
  </si>
  <si>
    <t>OV4OG</t>
  </si>
  <si>
    <t>WOS:000592190800006</t>
  </si>
  <si>
    <t>Wu, XP; Wu, RX; Chang, HH; Kong, QP; Zhang, Y</t>
  </si>
  <si>
    <t>Wu, Xiaopeng; Wu, Rongxiu; Chang, Hua-Hua; Kong, Qiping; Zhang, Yi</t>
  </si>
  <si>
    <t>International Comparative Study on PISA Mathematics Achievement Test Based on Cognitive Diagnostic Models</t>
  </si>
  <si>
    <t>FRONTIERS IN PSYCHOLOGY</t>
  </si>
  <si>
    <t>PISA; cognitive diagnosis; educational evaluation; international comparison; mathematics education</t>
  </si>
  <si>
    <t>LEARNING TRAJECTORIES; DINA MODEL; EDUCATION; TIMSS; CREATIVITY; STANDARDS; STUDENTS; CRISIS; FAMILY</t>
  </si>
  <si>
    <t>As one of the most influential international large-scale educational assessments, the Program for International Student Assessment (PISA) provides a valuable platform for the horizontal comparisons and references of international education. The cognitive diagnostic model, a newly generated evaluation theory, can integrate measurement goals into the cognitive process model through cognitive analysis, which provides a better understanding of the mastery of students of fine-grained knowledge points. On the basis of the mathematical measurement framework of PISA 2012, 11 attributes have been formed from three dimensions in this study. Twelve test items with item responses from 24,512 students from 10 countries participated in answering were selected, and the analyses were divided into several steps. First, the relationships between the 11 attributes and the 12 test items were classified to form a Q matrix. Second, the cognitive model of the PISA mathematics test was established. The liner logistic model (LLM) with better model fit was selected as the parameter evaluation model through model comparisons. By analyzing the knowledge states of these countries and the prerequisite relations among the attributes, this study explored the different learning trajectories of students in the content field. The result showed that students from Australia, Canada, the United Kingdom, and Russia shared similar main learning trajectories, while Finland and Japan were consistent with their main learning trajectories. The primary learning trajectories of the United States and China were the same. Furthermore, the learning trajectory for Singapore was the most complicated, as it showed a diverse learning process, whereas the trajectory in the United States and Saudi Arabia was relatively simple. This study concluded the differences of the mastery of students of the 11 cognitive attributes from the three dimensions of content, process, and context across the 10 countries, which provided a reference for further understanding of the PISA test results in other countries and shed some evidence for a deeper understanding of the strengths and weaknesses of mathematics education in various countries.</t>
  </si>
  <si>
    <t>[Wu, Xiaopeng] Shaanxi Normal Univ, Sch Educ, Xian, Peoples R China; [Wu, Xiaopeng; Kong, Qiping] East China Normal Univ, Coll Teacher Educ, Fac Educ, Shanghai, Peoples R China; [Wu, Xiaopeng; Chang, Hua-Hua] Purdue Univ, Coll Educ, W Lafayette, IN 47907 USA; [Wu, Rongxiu] Univ Kentucky, Coll Educ, Lexington, KY USA; [Zhang, Yi] East China Normal Univ, Sch Math Sci, Shanghai, Peoples R China</t>
  </si>
  <si>
    <t>Wu, XP (corresponding author), Shaanxi Normal Univ, Sch Educ, Xian, Peoples R China.;Wu, XP (corresponding author), East China Normal Univ, Coll Teacher Educ, Fac Educ, Shanghai, Peoples R China.;Wu, XP (corresponding author), Purdue Univ, Coll Educ, W Lafayette, IN 47907 USA.;Zhang, Y (corresponding author), East China Normal Univ, Sch Math Sci, Shanghai, Peoples R China.</t>
  </si>
  <si>
    <t>wuxp@snnu.edu.cn; 52185500031@stu.ecnu.edu.cn</t>
  </si>
  <si>
    <t>China Scholarship Council [201906140104]; 2020 Academic Innovation Ability Enhancement Plan for Outstanding Doctoral Students of East China Normal University [YBNLTS2020-003]; Guizhou Philosophy and Social Science Planning Youth Fund [19GZQN29]</t>
  </si>
  <si>
    <t>China Scholarship Council(China Scholarship Council); 2020 Academic Innovation Ability Enhancement Plan for Outstanding Doctoral Students of East China Normal University; Guizhou Philosophy and Social Science Planning Youth Fund</t>
  </si>
  <si>
    <t>This work was supported by China Scholarship Council (No. 201906140104); 2020 Academic Innovation Ability Enhancement Plan for Outstanding Doctoral Students of East China Normal University (No. YBNLTS2020-003); and Guizhou Philosophy and Social Science Planning Youth Fund (No. 19GZQN29).</t>
  </si>
  <si>
    <t>1664-1078</t>
  </si>
  <si>
    <t>FRONT PSYCHOL</t>
  </si>
  <si>
    <t>Front. Psychol.</t>
  </si>
  <si>
    <t>SEP 9</t>
  </si>
  <si>
    <t>10.3389/fpsyg.2020.02230</t>
  </si>
  <si>
    <t>NV5WA</t>
  </si>
  <si>
    <t>WOS:000574390300001</t>
  </si>
  <si>
    <t>Shirazi, TN; Self, H; Dawood, K; Cárdenas, R; Welling, LLM; Rosenfield, KA; Ortiz, TL; Carré, JM; Balasubramanian, R; Delaney, A; Crowley, W; Breedlove, SM; Puts, DA</t>
  </si>
  <si>
    <t>Shirazi, Talia N.; Self, Heather; Dawood, Khytam; Cardenas, Rodrigo; Welling, Lisa L. M.; Rosenfield, Kevin A.; Ortiz, Triana L.; Carre, Justin M.; Balasubramanian, Ravikumar; Delaney, Angela; Crowley, William; Breedlove, S. Marc; Puts, David A.</t>
  </si>
  <si>
    <t>Pubertal timing predicts adult psychosexuality: Evidence from typically developing adults and adults with isolated GnRH deficiency</t>
  </si>
  <si>
    <t>Pubertal timing; Organizational effects; Hormones; Psychosexuality; Isolated GnRH deficiency</t>
  </si>
  <si>
    <t>CONGENITAL HYPOGONADOTROPIC HYPOGONADISM; MENTAL ROTATION PERFORMANCE; SEX-DIFFERENCES; SALIVARY TESTOSTERONE; HORMONAL PREDICTORS; TESTICULAR HORMONE; GENDER-DIFFERENCES; MENS TESTOSTERONE; GONADAL-HORMONES; STEROID-HORMONES</t>
  </si>
  <si>
    <t>Evidence suggests that psychosexuality in humans is modulated by both organizational effects of prenatal and peripubertal sex steroid hormones, and by activational effects of circulating hormones in adulthood. Experimental work in male rodents indicates that sensitivity to androgen-driven organization of sexual motivation decreases across the pubertal window, such that earlier puberty leads to greater sex-typicality. We test this hypothesis in typically developing men (n = 231) and women (n = 648), and in men (n = 72) and women (n = 32) with isolated GnRH deficiency (IGD), in whom the precise timing of peripubertal hormone exposure can be ascertained via the age at which hormone replacement therapy (HRT) was initiated. Psychosexuality was measured with the Sexual Desire Inventory-2 (SDI-2) and Sociosexual Orientation Inventory-Revised (SOI-R). In both sexes, earlier recalled absolute pubertal timing predicted higher psychosexuality in adulthood, although the magnitude of these associations varied with psychosexuality type and group (i.e., typically developing and IGD). Results were robust when controlling for circulating steroid hormones in typically developing participants. Age of initiation of HRT in men with IGD negatively predicted SOI-R. We discuss the clinical implications of our findings for conditions in which pubertal timing is medically altered.</t>
  </si>
  <si>
    <t>[Shirazi, Talia N.; Self, Heather; Rosenfield, Kevin A.; Puts, David A.] Penn State Univ, Dept Anthropol, Carpenter Bldg, University Pk, PA 16802 USA; [Dawood, Khytam; Cardenas, Rodrigo] Penn State Univ, Dept Psychol, Moore Bldg, University Pk, PA 16802 USA; [Welling, Lisa L. M.] Oakland Univ, Dept Psychol, Pryale Hall,654 Pioneer Dr, Rochester, MI 48309 USA; [Ortiz, Triana L.; Carre, Justin M.] Nipissing Univ, Dept Psychol, 100 Coll Dr, North Bay, ON P1B 8L7, Canada; [Balasubramanian, Ravikumar; Crowley, William] Massachusetts Gen Hosp, Reprod Endocrine Unit, 55 Fruit St, Boston, MA 02114 USA; [Delaney, Angela] Eunice Kennedy ShriverNatl Inst Child Hlth &amp; Huma, Genet Puberty &amp; Reprod Grp, NIH, 10 Ctr Dr, Bethesda, MD 20814 USA; [Breedlove, S. Marc] Michigan State Univ, Dept Neurosci, 240 Giltner Hall, E Lansing, MI 48824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</si>
  <si>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Oakland University; Nipissing University; Harvard University; Massachusetts General Hospital; National Institutes of Health (NIH) - USA; Michigan State University</t>
  </si>
  <si>
    <t>NSF GRFP; American Institute of Bisexuality; Penn State Social Science Research Institute</t>
  </si>
  <si>
    <t>NSF GRFP(National Science Foundation (NSF)NSF - Office of the Director (OD)); American Institute of Bisexuality; Penn State Social Science Research Institute</t>
  </si>
  <si>
    <t>This study was funded by the NSF GRFP (awarded to TNS), American Institute of Bisexuality (awarded to DAP), and the Penn State Social Science Research Institute (awarded to DAP).</t>
  </si>
  <si>
    <t>10.1016/j.psyneuen.2020.104733</t>
  </si>
  <si>
    <t>MY0EG</t>
  </si>
  <si>
    <t>Green Submitted, Green Accepted</t>
  </si>
  <si>
    <t>WOS:000558090500011</t>
  </si>
  <si>
    <t>Almanjahie, IM; Aissiri, KA; Laksaci, A; Elmezouar, ZC</t>
  </si>
  <si>
    <t>Almanjahie, Ibrahim M.; Aissiri, Khlood A.; Laksaci, Ali; Chikr Elmezouar, Zouaoui</t>
  </si>
  <si>
    <t>Theknearest neighbors smoothing of the relative-error regression with functional regressor</t>
  </si>
  <si>
    <t>COMMUNICATIONS IN STATISTICS-THEORY AND METHODS</t>
  </si>
  <si>
    <t>Functional data analysis (FDA); small ball probability; local linear method (LLM); spatial data; quantile regression; almost complete (a; co; ) convergence</t>
  </si>
  <si>
    <t>BANDWIDTH CONSISTENCY; PREDICTION; SOFTWARE; UNIFORM</t>
  </si>
  <si>
    <t>This paper deals with the problem of the nonparametric analysis by the relative-error regression when the explanatory of a variable is of infinite dimension. Based onk-Nearest Neighbors procedure (kNN), we construct an estimator and establish its asymptotic properties. Precisely, we show its Uniform consistency in Number of Neighbors (UNN) with the precision of the convergence rate. Some empirical studies are also performed to highlight the impact of this asymptotic result in nonparametric functional statistics.</t>
  </si>
  <si>
    <t>[Almanjahie, Ibrahim M.; Laksaci, Ali; Chikr Elmezouar, Zouaoui] King Khalid Univ, Coll Sci, Dept Math, Abha 62529, Saudi Arabia; [Almanjahie, Ibrahim M.; Laksaci, Ali; Chikr Elmezouar, Zouaoui] King Khalid Univ, Stat Res &amp; Studies Support Unit, Abha, Saudi Arabia; [Aissiri, Khlood A.] King Khalid Univ, Coll Arts &amp; Sci, Dept Math, Muhail Asir, Saudi Arabia; [Chikr Elmezouar, Zouaoui] Univ Tahri Mohammed, Dept Math, Bechar, Algeria</t>
  </si>
  <si>
    <t>King Khalid University; King Khalid University; King Khalid University</t>
  </si>
  <si>
    <t>Almanjahie, IM (corresponding author), King Khalid Univ, Coll Sci, Dept Math, Abha 62529, Saudi Arabia.</t>
  </si>
  <si>
    <t>imalmanjahi@kku.edu.sa</t>
  </si>
  <si>
    <t>CHIKR ELMEZOUAR, ZOUAOUI/ISR-8816-2023; Almanjahie, Ibrahim/HJH-0941-2022; Almanjahie, Ibrahim/GLN-4504-2022</t>
  </si>
  <si>
    <t>Almanjahie, Ibrahim/0000-0002-4651-3210</t>
  </si>
  <si>
    <t>Deanship of Scientific Research at King Khalid University [R.G.P. 2/67/41]</t>
  </si>
  <si>
    <t>The authors extend their appreciation to Deanship of Scientific Research at King Khalid University for funding this work through the Research Groups Program under grant number R.G.P. 2/67/41.</t>
  </si>
  <si>
    <t>0361-0926</t>
  </si>
  <si>
    <t>1532-415X</t>
  </si>
  <si>
    <t>COMMUN STAT-THEOR M</t>
  </si>
  <si>
    <t>Commun. Stat.-Theory Methods</t>
  </si>
  <si>
    <t>10.1080/03610926.2020.1811870</t>
  </si>
  <si>
    <t>AUG 2020</t>
  </si>
  <si>
    <t>Statistics &amp; Probability</t>
  </si>
  <si>
    <t>1J7MO</t>
  </si>
  <si>
    <t>WOS:000566635400001</t>
  </si>
  <si>
    <t>Hachim, A; Kavian, N; Cohen, CA; Chin, AWH; Chu, DKW; Mok, CKP; Tsang, OTY; Yeung, YC; Perera, RAPM; Poon, LLM; Peiris, JSM; Valkenburg, SA</t>
  </si>
  <si>
    <t>Hachim, Asmaa; Kavian, Niloufar; Cohen, Carolyn A.; Chin, Alex W. H.; Chu, Daniel K. W.; Mok, Chris K. P.; Tsang, Owen T. Y.; Yeung, Yiu Cheong; Perera, Ranawaka A. P. M.; Poon, Leo L. M.; Peiris, J. S. Malik; Valkenburg, Sophie A.</t>
  </si>
  <si>
    <t>ORF8 and ORF3b antibodies are accurate serological markers of early and late SARS-CoV-2 infection</t>
  </si>
  <si>
    <t>NATURE IMMUNOLOGY</t>
  </si>
  <si>
    <t>Accurate serology testing is urgently needed to help diagnose SARS-CoV-2 infection. Here Valkenburg and colleagues use a luciferase immunoprecipitation system to assess the antibody responses to 15 different SARS-CoV-2 antigens in patients with COVID-19 and find ORF8 and ORF3b antibodies, taken together as a cluster of points, identified 96.5% of COVID-19 samples at early and late time points of disease with 99.5% specificity The SARS-CoV-2 virus emerged in December 2019 and has caused a worldwide pandemic due to the lack of any pre-existing immunity. Accurate serology testing is urgently needed to help diagnose infection, determine past exposure of populations and assess the response to a future vaccine. The landscape of antibody responses to SARS-CoV-2 is unknown. In this study, we utilized the luciferase immunoprecipitation system to assess the antibody responses to 15 different SARS-CoV-2 antigens in patients with COVID-19. We identified new targets of the immune response to SARS-CoV-2 and show that nucleocapsid, open reading frame (ORF)8 and ORF3b elicit the strongest specific antibody responses. ORF8 and ORF3b antibodies, taken together as a cluster of points, identified 96.5% of COVID-19 samples at early and late time points of disease with 99.5% specificity. Our findings could be used to develop second-generation diagnostic tests to improve serological assays for COVID-19 and are important in understanding pathogenicity.</t>
  </si>
  <si>
    <t>[Hachim, Asmaa; Kavian, Niloufar; Cohen, Carolyn A.; Mok, Chris K. P.; Poon, Leo L. M.; Peiris, J. S. Malik; Valkenburg, Sophie A.] Univ Hong Kong, Li Ka Shing Fac Med, Sch Publ Hlth, HKU Pasteur Res Pole, Hong Kong, Peoples R China; [Kavian, Niloufar] Univ Paris 05, Ctr Hosp Univ Cochin, AP HP, Fac Med,Sorbonne Paris Cite,Hop Univ Paris Ctr, Paris, France; [Kavian, Niloufar] Univ Paris 05, Inst Cochin, INSERM U1016, Sorbonne Paris Cite, Paris, France; [Chin, Alex W. H.; Chu, Daniel K. W.; Perera, Ranawaka A. P. M.; Poon, Leo L. M.; Peiris, J. S. Malik] Univ Hong Kong, Li Ka Shing Fac Med, Sch Publ Hlth, Div Publ Hlth Lab Sci, Hong Kong, Peoples R China; [Tsang, Owen T. Y.; Yeung, Yiu Cheong] Princess Margaret Hosp, Hosp Author Hong Kong, Infect Dis Ctr, Hong Kong, Peoples R China</t>
  </si>
  <si>
    <t>Kavian, N; Valkenburg, SA (corresponding author), Univ Hong Kong, Li Ka Shing Fac Med, Sch Publ Hlth, HKU Pasteur Res Pole, Hong Kong, Peoples R China.;Kavian, N (corresponding author), Univ Paris 05, Ctr Hosp Univ Cochin, AP HP, Fac Med,Sorbonne Paris Cite,Hop Univ Paris Ctr, Paris, France.;Kavian, N (corresponding author), Univ Paris 05, Inst Cochin, INSERM U1016, Sorbonne Paris Cite, Paris, France.</t>
  </si>
  <si>
    <t>niloufar@hku.hk; sophiev@hku.hk</t>
  </si>
  <si>
    <t>Research Grants Scheme [GRF 17113718]; Health and Medical Research Fund [HMRF COVID190115]; Hong Kong Health and Medical Research Fund [COVID190115]; General Research Fund [17113718]</t>
  </si>
  <si>
    <t>Research Grants Scheme; Health and Medical Research Fund; Hong Kong Health and Medical Research Fund; General Research Fund</t>
  </si>
  <si>
    <t>This study was partly supported by the Research Grants Scheme (GRF 17113718) and Health and Medical Research Fund (HMRF COVID190115). We thank L.-F. Wang (Duke NUS, Singapore) for technical advice for establishing the LIPS assay. We thank J.T. Wu and K. Leung for providing access to the blood donor plasma as controls. The authors thank O. Kavian and H. Hagen for their help with the ConTeXt software used in Figs. 3f and 4d. This project was supported by the Hong Kong Health and Medical Research Fund (COVID190115, from S.A.V.) and General Research Fund (17113718, from S.A.V.). The study of the patients with COVID-19 was approved by the Institutional Review Board of the Hong Kong West Cluster of the Hospital Authority of Hong Kong (approval no. UW20-169). The collection of plasma from blood donors serving as controls was approved by the Institutional Review Board of The Hong Kong University and the Hong Kong Island West Cluster (reference no. UW16-254).</t>
  </si>
  <si>
    <t>1529-2908</t>
  </si>
  <si>
    <t>1529-2916</t>
  </si>
  <si>
    <t>NAT IMMUNOL</t>
  </si>
  <si>
    <t>Nat. Immunol.</t>
  </si>
  <si>
    <t>10.1038/s41590-020-0773-7</t>
  </si>
  <si>
    <t>Immunology</t>
  </si>
  <si>
    <t>NR0OB</t>
  </si>
  <si>
    <t>WOS:000561014100001</t>
  </si>
  <si>
    <t>Batsis, JA; Petersen, CL; Crow, RS; Cook, SB; Stevens, CJ; Seo, LM; Brooks, E; Mackenzie, TA</t>
  </si>
  <si>
    <t>Batsis, John A.; Petersen, Curtis L.; Crow, Rebecca S.; Cook, Summer B.; Stevens, Courtney J.; Seo, Lillian M.; Brooks, Emma; Mackenzie, Todd A.</t>
  </si>
  <si>
    <t>Weight change and risk of the foundation of National Institute of Health Sarcopenia-defined low lean mass: Data from the National Health and Nutrition examination surveys 1999-2004</t>
  </si>
  <si>
    <t>CLINICAL NUTRITION</t>
  </si>
  <si>
    <t>Low lean mass; Sarcopenia; Self-reported weight; Epidemiology</t>
  </si>
  <si>
    <t>OLDER-ADULTS; INSULIN-RESISTANCE; FOLLOW-UP; OBESITY; ASSOCIATION; MORTALITY; TRAJECTORIES; PREVALENCE; INDEX; MEN</t>
  </si>
  <si>
    <t>Background: Self-reported weight change may lead to adverse outcomes. We evaluated weight change with cutpoints of low lean mass (LLM) in older adults. Methods: Of 4984 subjects &gt;= 60 years from NHANES 1999-2004, we applied LLM cutoffs of appendicular lean mass (ALM):body mass index (BMI) males&lt;0.789, females&lt;0.512. Self-reported weight was assessed at time of survey, and questions asked participants their weight one and 10 years earlier, and at age 25. Weight changes were categorized as greater/less/none than 5%. Logistic regression assessed weight change (gain, loss, no change) on LLM, after adjustment. Results: Of 4984 participants (56.5% female), mean age and BMI were 71.1 years and 28.2 kg/m(2). Mean ALM was 19.7 kg. In those with LLM, 13.5% and 16.3% gained/lost weight in the past year, while 48.9% and 19.4% gained/lost weight in the past decade. Compared to weight at age 25, 85.2 and 6.1% of LLM participants gained and lost &gt;= 5% of their weight, respectively. Weight gain over the past year was associated with a higher risk of LLM (OR 1.35 [0.99,1.87]) compared to weight loss &gt;= 5% over the past year (0.89 [0.70,1.12]). Weight gain (&gt;= 5%) over 10-years was associated with a higher risk of LLM (OR 2.03 [1.66, 2.49]) while weight loss (&gt;= 5%) was associated with a lower risk (OR 0.98 [0.76,1.28]). Results were robust compared to weight at 25 years (gain OR 2.37 [1.76,3.20]; loss OR 0.95 [0.65,1.39]). Conclusion: Self-reported weight gain suggests an increased risk of LLM. Future studies need to verify the relationship with physical function. (C) 2019 Elsevier Ltd and European Society for Clinical Nutrition and Metabolism. All rights reserved.</t>
  </si>
  <si>
    <t>[Batsis, John A.; Crow, Rebecca S.; Stevens, Courtney J.; Seo, Lillian M.; Mackenzie, Todd A.] Geisel Sch Med Dartmouth, Hanover, NH USA; [Batsis, John A.; Crow, Rebecca S.; Brooks, Emma; Mackenzie, Todd A.] Dartmouth Hitchcock Med Ctr, Dept Med, Lebanon, NH 03766 USA; [Batsis, John A.; Petersen, Curtis L.; Mackenzie, Todd A.] Dartmouth Inst Hlth Policy, Lebanon, NH USA; [Cook, Summer B.] Univ New Hampshire, Dept Kinesiol, Durham, NH 03824 USA</t>
  </si>
  <si>
    <t>Dartmouth College; Dartmouth College; University System Of New Hampshire; University of New Hampshire</t>
  </si>
  <si>
    <t>Batsis, JA (corresponding author), Dartmouth Hitchcock Med Ctr, 1 Med Ctr Dr, Lebanon, NH 03756 USA.</t>
  </si>
  <si>
    <t>john.batsis@gmail.com</t>
  </si>
  <si>
    <t>National Institute on Aging of the National Institutes of Health [K23AG051681]; Geisel School of Medicine Office of Financial Aid for Medical Student Summer Research; Dartmouth Health Promotion and Disease Prevention Research Center - Centers for Disease Control and Prevention [U48DP005018]; Dartmouth Clinical and Translational Science Institute from the National Center for Advancing Translational Sciences (NCATS) of the National Institutes of Health (NIH) [UL1TR001086]; National Institute of Mental Health [T32 MH073553, T32MH020031]; Friends of the Norris Cotton Cancer Center at Dartmouth; National Cancer Institute Cancer Center Support Grant [5P30 CA023108-37]</t>
  </si>
  <si>
    <t>National Institute on Aging of the National Institutes of Health(United States Department of Health &amp; Human ServicesNational Institutes of Health (NIH) - USANIH National Institute on Aging (NIA)); Geisel School of Medicine Office of Financial Aid for Medical Student Summer Research; Dartmouth Health Promotion and Disease Prevention Research Center - Centers for Disease Control and Prevention; Dartmouth Clinical and Translational Science Institute from the National Center for Advancing Translational Sciences (NCATS) of the National Institutes of Health (NIH)(United States Department of Health &amp; Human ServicesNational Institutes of Health (NIH) - USANIH National Center for Advancing Translational Sciences (NCATS)); National Institute of Mental Health(United States Department of Health &amp; Human ServicesNational Institutes of Health (NIH) - USANIH National Institute of Mental Health (NIMH)); Friends of the Norris Cotton Cancer Center at Dartmouth; National Cancer Institute Cancer Center Support Grant(United States Department of Health &amp; Human ServicesNational Institutes of Health (NIH) - USANIH National Cancer Institute (NCI))</t>
  </si>
  <si>
    <t>This work is supported by the following agencies:; Dr. Batsis receives funding from the National Institute on Aging of the National Institutes of Health under Award Number K23AG051681. Dr. Batsis has consulted for the Royal College of Physicians of Ireland and Dinse, Knapp, McAndrew LLC, legal firm.; Lillian Seo receives funding from the Geisel School of Medicine Office of Financial Aid for Medical Student Summer Research.; Support was also provided by the Dartmouth Health Promotion and Disease Prevention Research Center supported by Cooperative Agreement Number U48DP005018 from the Centers for Disease Control and Prevention and the Dartmouth Clinical and Translational Science Institute, under award number UL1TR001086 from the National Center for Advancing Translational Sciences (NCATS) of the National Institutes of Health (NIH). Preparation of this manuscript was also supported in part by the National Institute of Mental Health (T32 MH073553, PI: Bartels, Fellow: Stevens; T32MH020031).; The findings and conclusions in this journal article are those of the authors and do not necessarily represent the official position of the Centers for Disease Control and Prevention or the National Institutes of Health. The authors acknowledge Friends of the Norris Cotton Cancer Center at Dartmouth and National Cancer Institute Cancer Center Support Grant 5P30 CA023108-37 Developmental Funds.</t>
  </si>
  <si>
    <t>CHURCHILL LIVINGSTONE</t>
  </si>
  <si>
    <t>JOURNAL PRODUCTION DEPT, ROBERT STEVENSON HOUSE, 1-3 BAXTERS PLACE, LEITH WALK, EDINBURGH EH1 3AF, MIDLOTHIAN, SCOTLAND</t>
  </si>
  <si>
    <t>0261-5614</t>
  </si>
  <si>
    <t>1532-1983</t>
  </si>
  <si>
    <t>CLIN NUTR</t>
  </si>
  <si>
    <t>Clin. Nutr.</t>
  </si>
  <si>
    <t>10.1016/j.clnu.2019.10.032</t>
  </si>
  <si>
    <t>MR2XE</t>
  </si>
  <si>
    <t>WOS:000553453200016</t>
  </si>
  <si>
    <t>Payarola, I</t>
  </si>
  <si>
    <t>Payarola, Ignacio</t>
  </si>
  <si>
    <t>The 2014 AIPN UROA Model Contract as a master contract for unconventional deals in Argentina</t>
  </si>
  <si>
    <t>JOURNAL OF WORLD ENERGY LAW &amp; BUSINESS</t>
  </si>
  <si>
    <t>This article provides an overview of the hydrocarbons and environmental regulatory framework in Argentina and a legal analysis of the 2014 Association of International Petroleum Negotiators UROA's adaptability to the oil and gas activities at the upstream level in such country, with special focus on the Vaca Muerta basin.</t>
  </si>
  <si>
    <t>[Payarola, Ignacio] Perez Alati Grondona Benites &amp; Arntsen, Buenos Aires, DF, Argentina</t>
  </si>
  <si>
    <t>Payarola, I (corresponding author), Perez Alati Grondona Benites &amp; Arntsen, Buenos Aires, DF, Argentina.</t>
  </si>
  <si>
    <t>IBA Section on Energy, Environment, Natural Resources and Infrastructure Law</t>
  </si>
  <si>
    <t>Ignacio Payarola is an Argentine lawyer. He obtained his JD equivalent (with honours) in 2014 from the University of Buenos Aires. He joined Pe ' rez Alati, Grondona, Benites &amp; Arntsen law firm in 2010 where he focused his practice in Energy Law until 2020. He obtained the following postgraduate degrees: (i) Oil &amp; Gas Law at the University of Buenos Aires (2016); (ii) Nuclear Law at the ISNL-OECD/NEA in the University of Montpellier (2017); (iii) Development and Financing of Renewable Energy Projects at the University of CEMA (2018); and (iv) American and International Law at The Center of American and International Law in Texas (2019). He is currently pursuing his LLM at the University of Melbourne, Australia. He wrote this article for the class of International Petroleum Transactions under the supervision of Professor &amp; Distinguished Oil &amp; Gas Scholar Owen L. Anderson. Ignacio Payarola is supported by a scholarship grant from the IBA Section on Energy, Environment, Natural Resources and Infrastructure Law.</t>
  </si>
  <si>
    <t>1754-9957</t>
  </si>
  <si>
    <t>1754-9965</t>
  </si>
  <si>
    <t>J WORLD ENERGY LAW B</t>
  </si>
  <si>
    <t>J. World Energy Law Bus.</t>
  </si>
  <si>
    <t>10.1093/jwelb/jwaa027</t>
  </si>
  <si>
    <t>Business; Law</t>
  </si>
  <si>
    <t>PN4ZU</t>
  </si>
  <si>
    <t>WOS:000604489700003</t>
  </si>
  <si>
    <t>Hui, KPY; Cheung, MC; Perera, RAPM; Ng, KC; Bui, CHT; Ho, JCW; Ng, MMT; Kuok, DIT; Shih, KC; Tsao, SW; Poon, LLM; Peiris, M; Nicholls, JM; Chan, MCW</t>
  </si>
  <si>
    <t>Hui, Kenrie P. Y.; Cheung, Man-Chun; Perera, Ranawaka A. P. M.; Ng, Ka-Chun; Bui, Christine H. T.; Ho, John C. W.; Ng, Mandy M. T.; Kuok, Denise I. T.; Shih, Kendrick C.; Tsao, Sai-Wah; Poon, Leo L. M.; Peiris, Malik; Nicholls, John M.; Chan, Michael C. W.</t>
  </si>
  <si>
    <t>Tropism, replication competence, and innate immune responses of the coronavirus SARS-CoV-2 in human respiratory tract and conjunctiva: an analysis in ex-vivo and in-vitro cultures</t>
  </si>
  <si>
    <t>LANCET RESPIRATORY MEDICINE</t>
  </si>
  <si>
    <t>COVID-19; PROTEIN; VIRUS; SARS; MERS</t>
  </si>
  <si>
    <t>Background Severe acute respiratory syndrome coronavirus 2 (SARS-CoV-2) emerged in December 2019, causing a respiratory disease (coronavirus disease 2019, COVID-19) of varying severity in Wuhan, China, and subsequently leading to a pandemic. The transmissibility and pathogenesis of SARS-CoV-2 remain poorly understood. We evaluate its tissue and cellular tropism in human respiratory tract, conjunctiva, and innate immune responses in comparison with other coronavirus and influenza virus to provide insights into COVID-19 pathogenesis. Methods We isolated SARS-CoV-2 from a patient with confirmed COVID-19, and compared virus tropism and replication competence with SARS-CoV, Middle East respiratory syndrome-associated coronavirus (MERS-CoV), and 2009 pandemic influenza H1N1 (H1N1pdm) in ex-vivo cultures of human bronchus (n=5) and lung (n=4). We assessed extrapulmonary infection using ex-vivo cultures of human conjunctiva (n=3) and in-vitro cultures of human colorectal adenocarcinoma cell lines. Innate immune responses and angiotensin-converting enzyme 2 expression were investigated in human alveolar epithelial cells and macrophages. In-vitro studies included the highly pathogenic avian influenza H5N1 virus (H5N1) and mock-infected cells as controls. Findings SARS-CoV-2 infected ciliated, mucus-secreting, and club cells of bronchial epithelium, type 1 pneumocytes in the lung, and the conjunctival mucosa. In the bronchus, SARS-CoV-2 replication competence was similar to MERS-CoV, and higher than SARS-CoV, but lower than H1N1pdm. In the lung, SARS-CoV-2 replication was similar to SARS-CoV and H1N1pdm, but was lower than MERS-CoV. In conjunctiva, SARS-CoV-2 replication was greater than SARS-CoV. SARS-CoV-2 was a less potent inducer of proinflammatory cytokines than H5N1, H1N1pdm, or MERS-CoV. Interpretation The conjunctival epithelium and conducting airways appear to be potential portals of infection for SARS-CoV-2. Both SARS-CoV and SARS-CoV-2 replicated similarly in the alveolar epithelium; SARS-CoV-2 replicated more extensively in the bronchus than SARS-CoV. These findings provide important insights into the transmissibility and pathogenesis of SARS-CoV-2 infection and differences with other respiratory pathogens.</t>
  </si>
  <si>
    <t>[Hui, Kenrie P. Y.; Cheung, Man-Chun; Perera, Ranawaka A. P. M.; Ng, Ka-Chun; Bui, Christine H. T.; Ho, John C. W.; Ng, Mandy M. T.; Kuok, Denise I. T.; Poon, Leo L. M.; Peiris, Malik; Nicholls, John M.; Chan, Michael C. W.] Univ Hong Kong, Li Ka Shing Fac Med, Sch Publ Hlth, Pokfulam, Hong Kong, Peoples R China; [Shih, Kendrick C.] Univ Hong Kong, Li Ka Shing Fac Med, Dept Ophthalmol, Pokfulam, Hong Kong, Peoples R China; [Tsao, Sai-Wah] Univ Hong Kong, Li Ka Shing Fac Med, Sch Biomed Sci, Pokfulam, Hong Kong, Peoples R China; [Nicholls, John M.] Univ Hong Kong, Li Ka Shing Fac Med, Dept Pathol, Queen Mary Hosp,Pokfulam, Hong Kong, Peoples R China</t>
  </si>
  <si>
    <t>Chan, MCW (corresponding author), Univ Hong Kong, Li Ka Shing Fac Med, Sch Publ Hlth, Pokfulam, Hong Kong, Peoples R China.</t>
  </si>
  <si>
    <t>US National Institute of Allergy and Infectious Diseases, University Grants Committee of Hong Kong Special Administrative Region, China; Health and Medical Research Fund, Food and Health Bureau, Government of Hong Kong Special Administrative Region, China</t>
  </si>
  <si>
    <t>US National Institute of Allergy and Infectious Diseases, University Grants Committee of Hong Kong Special Administrative Region, China; Health and Medical Research Fund, Food and Health Bureau, Government of Hong Kong Special Administrative Region, China.</t>
  </si>
  <si>
    <t>2213-2600</t>
  </si>
  <si>
    <t>LANCET RESP MED</t>
  </si>
  <si>
    <t>Lancet Resp. Med.</t>
  </si>
  <si>
    <t>10.1016/S2213-2600(20)30193-4</t>
  </si>
  <si>
    <t>Critical Care Medicine; Respiratory System</t>
  </si>
  <si>
    <t>General &amp; Internal Medicine; Respiratory System</t>
  </si>
  <si>
    <t>MI3QZ</t>
  </si>
  <si>
    <t>Bronze, Green Published</t>
  </si>
  <si>
    <t>WOS:000547326600021</t>
  </si>
  <si>
    <t>Sitapara, RA; Gauthier, AG; Valdés-Ferrer, SI; Lin, MS; Patel, V; Wang, M; Martino, AT; Perron, JC; Ashby, CR ; Tracey, KJ; Pavlov, VA; Mantell, LL</t>
  </si>
  <si>
    <t>Sitapara, Ravikumar A.; Gauthier, Alex G.; Valdes-Ferrer, Sergio I.; Lin, Mosi; Patel, Vivek; Wang, Mao; Martino, Ashley T.; Perron, Jeanette C.; Ashby, Charles R., Jr.; Tracey, Kevin J.; Pavlov, Valentin A.; Mantell, Lin L.</t>
  </si>
  <si>
    <t>The α7 nicotinic acetylcholine receptor agonist, GTS-21, attenuates hyperoxia-induced acute inflammatory lung injury by alleviating the accumulation of HMGB1 in the airways and the circulation</t>
  </si>
  <si>
    <t>Hyperoxia; Lung injury; a7nAChR; Vagus nerve; Cholinergic anti-inflammatory pathway; Inflammatory reflex; Sterile inflammation</t>
  </si>
  <si>
    <t>RESPIRATORY-DISTRESS-SYNDROME; CHROMATIN PROTEIN HMGB1; MOBILITY GROUP BOX-1; PSEUDOMONAS-AERUGINOSA; PATHOGENESIS; MONOCYTES; HMG-1; ACTIVATION; MICE; LIPOPOLYSACCHARIDE</t>
  </si>
  <si>
    <t>Background Oxygen therapy, using supraphysiological concentrations of oxygen (hyperoxia), is routinely administered to patients who require respiratory support including mechanical ventilation (MV). However, prolonged exposure to hyperoxia results in acute lung injury (ALI) and accumulation of high mobility group box 1 (HMGB1) in the airways. We previously showed that airway HMGB1 mediates hyperoxia-induced lung injury in a mouse model of ALI. Cholinergic signaling through the alpha 7 nicotinic acetylcholine receptor (alpha 7nAChR) attenuates several inflammatory conditions. The aim of this study was to determine whether 3-(2,4 dimethoxy-benzylidene)-anabaseine dihydrochloride, GTS-21, an alpha 7nAChR partial agonist, inhibits hyperoxia-induced HMGB1 accumulation in the airways and circulation, and consequently attenuates inflammatory lung injury. Methods Mice were exposed to hyperoxia (&gt;= 99% O-2) for 3 days and treated concurrently with GTS-21 (0.04, 0.4 and 4 mg/kg, i.p.) or the control vehicle, saline. Results The systemic administration of GTS-21 (4 mg/kg) significantly decreased levels of HMGB1 in the airways and the serum. Moreover, GTS-21 (4 mg/kg) significantly reduced hyperoxia-induced acute inflammatory lung injury, as indicated by the decreased total protein content in the airways, reduced infiltration of inflammatory monocytes/macrophages and neutrophils into the lung tissue and airways, and improved lung injury histopathology. Conclusions Our results indicate that GTS-21 can attenuate hyperoxia-induced ALI by inhibiting extracellular HMGB1-mediated inflammatory responses. This suggests that the alpha 7nAChR represents a potential pharmacological target for the treatment regimen of oxidative inflammatory lung injury in patients receiving oxygen therapy.</t>
  </si>
  <si>
    <t>[Sitapara, Ravikumar A.; Gauthier, Alex G.; Lin, Mosi; Patel, Vivek; Wang, Mao; Martino, Ashley T.; Perron, Jeanette C.; Ashby, Charles R., Jr.; Mantell, Lin L.] St Johns Univ, Dept Pharmaceut Sci, St Coll Pharm &amp; Hlth Sci, Coll Pharm &amp; Hlth Sci, St Albert Hall,8000 Utopia Pkwy, Queens, NY 11439 USA; [Valdes-Ferrer, Sergio I.; Tracey, Kevin J.; Pavlov, Valentin A.; Mantell, Lin L.] Northwell Hlth Syst, Feinstein Inst Med Res, 350 Community Dr, Manhasset, NY 11030 USA</t>
  </si>
  <si>
    <t>Mantell, LL (corresponding author), St Johns Univ, Dept Pharmaceut Sci, St Coll Pharm &amp; Hlth Sci, Coll Pharm &amp; Hlth Sci, St Albert Hall,8000 Utopia Pkwy, Queens, NY 11439 USA.;Pavlov, VA; Mantell, LL (corresponding author), Northwell Hlth Syst, Feinstein Inst Med Res, 350 Community Dr, Manhasset, NY 11030 USA.</t>
  </si>
  <si>
    <t>vpavlov@northwell.edu; mantelll@stjohns.edu</t>
  </si>
  <si>
    <t>Valdés-Ferrer, Sergio Iván/ABD-1057-2020</t>
  </si>
  <si>
    <t>Valdés-Ferrer, Sergio Iván/0000-0002-4863-6484; Patel, Vivek/0000-0001-8583-1548; Pavlov, Valentin/0000-0002-1994-2853</t>
  </si>
  <si>
    <t>This study was funded by Grants from The National Heart and Blood Institute (HL093708, to LLM) and intramural grants from St. John's University (to LLM).</t>
  </si>
  <si>
    <t>JUN 29</t>
  </si>
  <si>
    <t>10.1186/s10020-020-00177-z</t>
  </si>
  <si>
    <t>MG6PS</t>
  </si>
  <si>
    <t>WOS:000546152100001</t>
  </si>
  <si>
    <t>Park, SL; Li, YQ; Sheng, X; Hom, V; Xia, L; Zhao, KC; Pooler, L; Setiawan, VW; Lim, U; Monroe, KR; Wilkens, LR; Kristal, BS; Lampe, JW; Hullar, M; Shepherd, J; Loo, LLM; Ernst, T; Franke, AA; Tiirikainen, M; Haiman, CA; Stram, DO; Le Marchand, L; Cheng, IN</t>
  </si>
  <si>
    <t>Park, S. Lani; Li, Yuqing; Sheng, Xin; Hom, Victor; Xia, Lucy; Zhao, Kechen; Pooler, Loreall; Setiawan, V. Wendy; Lim, Unhee; Monroe, Kristine R.; Wilkens, Lynne R.; Kristal, Bruce S.; Lampe, Johanna W.; Hullar, Meredith; Shepherd, John; Loo, Lenora L. M.; Ernst, Thomas; Franke, Adrian A.; Tiirikainen, Maarit; Haiman, Christopher A.; Stram, Daniel O.; Le Marchand, Loic; Cheng, Iona</t>
  </si>
  <si>
    <t>Genome-Wide Association Study of Liver Fat: The Multiethnic Cohort Adiposity Phenotype Study</t>
  </si>
  <si>
    <t>HEPATOLOGY COMMUNICATIONS</t>
  </si>
  <si>
    <t>HOMEOSTASIS MODEL ASSESSMENT; CONFERS SUSCEPTIBILITY; GENETIC-VARIATION; TM6SF2 VARIANT; DISEASE; PNPLA3; I148M; RISK; POLYMORPHISMS; INDIVIDUALS</t>
  </si>
  <si>
    <t>The global rise in fatty liver is a major public health problem. Thus, it is critical to identify both global and population-specific genetic variants associated with liver fat. We conducted a genome-wide association study (GWAS) of percent liver fat and nonalcoholic fatty liver disease (NAFLD) assessed by magnetic resonance imaging in 1,709 participants from the population-based Multiethnic Cohort Adiposity Phenotype Study. Our participants comprised older adults of five U.S. racial/ethnic groups: African Americans (n = 277), Japanese Americans (n = 424), Latinos (n = 348), Native Hawaiians (n = 274), and European Americans (n = 386). The established missense risk variant rs738409 located in patatin-like phospholipase domain containing 3 (PNPLA3) at 22q13 was confirmed to be associated with percent liver fat (P = 3.52 x 10(-15)) but more strongly in women than men (Pheterogeneity = 0.002). Its frequency correlated with the prevalence of NAFLD across the five ethnic/racial groups. Rs738409 was also associated with homeostasis model assessment of insulin resistance (HOMA-IR) (beta = 0.028;P = 0.009) and circulating levels of insulin (beta = 0.022;P = 0.020) and alanine aminotransferase (beta = 0.016;P = 0.030). A novel association of percent liver fat with rs77249491 (located at 6q13 between limb region 1 domain containing 1 [LMBRD1] and collagen type XIX alpha 1 chain [COL19A1] (P = 1.42 x 10(-8)) was also observed. Rs7724941 was associated with HOMA-IR (beta = 0.12;P = 0.0005), insulin (beta = 0.11;P = 0.0003), triglycerides (beta = 0.059;P = 0.01), high-density lipoprotein (beta = -0.046;P = 0.04), and sex hormone binding globulin (beta = -0.084;P = 0.0012). This variant was present in Japanese Americans (minor allele frequency [MAF], 8%) and Native Hawaiians (MAF, 2%).Conclusion: We replicated thePNPLA3rs738409 association in a multiethnic population and identified a novel liver fat risk variant in Japanese Americans and Native Hawaiians. GWASes of percent liver fat in East Asian and Oceanic populations are needed to replicate the rs77249491 association.</t>
  </si>
  <si>
    <t>[Park, S. Lani; Sheng, Xin; Hom, Victor; Xia, Lucy; Zhao, Kechen; Pooler, Loreall; Setiawan, V. Wendy; Monroe, Kristine R.; Haiman, Christopher A.; Stram, Daniel O.] Univ Southern Calif, Keck Sch Med, Los Angeles, CA 90007 USA; [Li, Yuqing; Cheng, Iona] Univ Calif San Francisco, Dept Epidemiol &amp; Biostat, 550 16th St, San Francisco, CA 94143 USA; [Lim, Unhee; Wilkens, Lynne R.; Shepherd, John; Loo, Lenora L. M.; Franke, Adrian A.; Tiirikainen, Maarit; Le Marchand, Loic] Univ Hawaii Manoa, Univ Hawaii, Canc Ctr, Honolulu, HI 96822 USA; [Kristal, Bruce S.] Brigham &amp; Womens Hosp, Dept Med, Div Sleep &amp; Circadian Disorders, 75 Francis St, Boston, MA 02115 USA; [Kristal, Bruce S.] Harvard Med Sch, Div Sleep Med, Boston, MA 02115 USA; [Lampe, Johanna W.; Hullar, Meredith] Fred Hutchinson Canc Res Ctr, 1124 Columbia St, Seattle, WA 98104 USA; [Ernst, Thomas] Univ Maryland, Sch Med, Dept Diagnost Radiol &amp; Nucl Med, Baltimore, MD 21201 USA</t>
  </si>
  <si>
    <t>University of Southern California; University of California System; University of California San Francisco; Cancer Research Center of Hawaii; University of Hawaii System; University of Hawaii Manoa; Harvard University; Brigham &amp; Women's Hospital; Harvard University; Harvard Medical School; Fred Hutchinson Cancer Center; University System of Maryland; University of Maryland Baltimore</t>
  </si>
  <si>
    <t>Cheng, IN (corresponding author), Univ Calif San Francisco, Dept Epidemiol &amp; Biostat, 550 16th St, San Francisco, CA 94143 USA.</t>
  </si>
  <si>
    <t>Iona.Cheng@ucsf.edu</t>
  </si>
  <si>
    <t>U.S. National Institutes of Health (NIH); National Cancer Institute (NCI) [P01 CA168530, U01 CA164973]; NCI [P30 CA071789]; National Center for Advancing Translational Science, NIH [UL1TR000130]</t>
  </si>
  <si>
    <t>U.S. National Institutes of Health (NIH)(United States Department of Health &amp; Human ServicesNational Institutes of Health (NIH) - USA); National Cancer Institute (NCI)(United States Department of Health &amp; Human ServicesNational Institutes of Health (NIH) - USANIH National Cancer Institute (NCI)); NCI(United States Department of Health &amp; Human ServicesNational Institutes of Health (NIH) - USANIH National Cancer Institute (NCI)); National Center for Advancing Translational Science, NIH</t>
  </si>
  <si>
    <t>Supported by the U.S. National Institutes of Health (NIH), National Cancer Institute (NCI) for the Adiposity Phenotype Study (P01 CA168530 to L.L.M.) and Multiethnic Cohort Study (U01 CA164973 to L.L.M., L.R.W., and C. A.H.); NCI (P30 CA071789 to University of Hawaii Cancer Center Biostatistics, Analytical Biochemistry, and Nutrition Support Shared Resources); and the National Center for Advancing Translational Science, NIH, for recruitment activities (UL1TR000130 to Southern California Clinical and Translational Science Institute).</t>
  </si>
  <si>
    <t>2471-254X</t>
  </si>
  <si>
    <t>HEPATOL COMMUN</t>
  </si>
  <si>
    <t>Hepatol. Commun.</t>
  </si>
  <si>
    <t>10.1002/hep4.1533</t>
  </si>
  <si>
    <t>JUN 2020</t>
  </si>
  <si>
    <t>Gastroenterology &amp; Hepatology</t>
  </si>
  <si>
    <t>MX1TA</t>
  </si>
  <si>
    <t>WOS:000544302100001</t>
  </si>
  <si>
    <t>Leong, NKC; Chu, DKW; Chu, JTS; Tam, YH; Ip, DKM; Cowling, BJ; Poon, LLM</t>
  </si>
  <si>
    <t>Leong, Nathaniel K. C.; Chu, Daniel K. W.; Chu, Julie T. S.; Tam, Yat H.; Ip, Dennis K. M.; Cowling, Benjamin J.; Poon, Leo L. M.</t>
  </si>
  <si>
    <t>A six-plex droplet digital RT-PCR assay for seasonal influenza virus typing, subtyping, and lineage determination</t>
  </si>
  <si>
    <t>INFLUENZA AND OTHER RESPIRATORY VIRUSES</t>
  </si>
  <si>
    <t>digital RT-PCR; influenza; RT-PCR</t>
  </si>
  <si>
    <t>REAL-TIME; CHLAMYDIA-TRACHOMATIS; EPIDEMIC SEASON; MULTIPLEX PCR; B VIRUSES; COINFECTION</t>
  </si>
  <si>
    <t>Background There are two influenza A subtypes (H1 and H3) and two influenza B lineages (Victoria and Yamagata) that currently co-circulate in humans. In this study, we report the development of a six-plex droplet digital RT-PCR (ddRT-PCR) assay that can detect HA and M segments of influenza A (H1, H3, and M) and influenza B (Yamagata HA, Victoria HA, and M) viruses in a single reaction mixture. It can simultaneously detect six different nucleic acid targets in a ddRT-PCR platform. Methods The six-plex ddRT-PCR used in this study is an amplitude-based multiplex assay. The analytical performance of the assay was evaluated. Correlation with standard qRT-PCR methodology was assessed using 55 clinical samples. Results The assay has a wide dynamic range, and it has good reproducibility within and between runs. The limit of quantification of each target in this assay ranged from 15 copies/reaction for influenza B Victoria M gene to 45 copies/reaction for influenza B Yamagata M gene. In addition, this assay can accurately quantify each of these targets in samples containing viral RNAs from two different viruses that were mixed in a highly skewed ratio. Typing, subtyping, and lineage differentiation data of 55 tested clinical respiratory specimens were found to be identical to those deduced from standard monoplex qRT-PCR assays. Conclusions The six-plex ddRT-PCR test was demonstrated to be highly suitable for detecting dual influenza infection cases. This assay is expected to be a useful diagnostic tool for clinical and research use.</t>
  </si>
  <si>
    <t>[Leong, Nathaniel K. C.; Chu, Daniel K. W.; Chu, Julie T. S.; Tam, Yat H.; Ip, Dennis K. M.; Cowling, Benjamin J.; Poon, Leo L. M.] Univ Hong Kong, Sch Publ Hlth, LKS Fac Med, Hong Kong, Peoples R China</t>
  </si>
  <si>
    <t>University of Hong Kong</t>
  </si>
  <si>
    <t>Poon, LLM (corresponding author), Univ Hong Kong, Sch Publ Hlth, LKS Fac Med, Pokfulam, 21 Sassoon Rd, Hong Kong, Peoples R China.</t>
  </si>
  <si>
    <t>llmpoon@hku.hk</t>
  </si>
  <si>
    <t>Poon, Leo/AAP-6887-2020; Cowling, Benjamin John/C-4263-2009; Poon, Leo/C-4382-2009</t>
  </si>
  <si>
    <t>Croucher Foundation; Health and Medical Research Fund [14130802, 18170452]; National Institute of Allergy and Infectious Diseases [HHSN272201400006C]; Research Grants Council, University Grants Committee [T11-712/19-N]</t>
  </si>
  <si>
    <t>Croucher Foundation; Health and Medical Research Fund; National Institute of Allergy and Infectious Diseases(United States Department of Health &amp; Human ServicesNational Institutes of Health (NIH) - USANIH National Institute of Allergy &amp; Infectious Diseases (NIAID)); Research Grants Council, University Grants Committee</t>
  </si>
  <si>
    <t>Croucher Foundation; Health and Medical Research Fund, Grant/Award Number: 14130802 and 18170452; National Institute of Allergy and Infectious Diseases, Grant/Award Number: HHSN272201400006C; Research Grants Council, University Grants Committee, Grant/Award Number: T11-712/19-N</t>
  </si>
  <si>
    <t>1750-2640</t>
  </si>
  <si>
    <t>1750-2659</t>
  </si>
  <si>
    <t>INFLUENZA OTHER RESP</t>
  </si>
  <si>
    <t>Influenza Other Respir. Viruses</t>
  </si>
  <si>
    <t>10.1111/irv.12769</t>
  </si>
  <si>
    <t>Infectious Diseases; Virology</t>
  </si>
  <si>
    <t>OE3GX</t>
  </si>
  <si>
    <t>WOS:000547924200001</t>
  </si>
  <si>
    <t>Lv, HB; Wu, NC; Tsang, OTY; Yuan, M; Perera, RAPM; Leung, WS; So, RTY; Chan, JMC; Yip, GK; Chik, TSH; Wang, Y; Choi, CYC; Lin, Y; Ng, WW; Zhao, JC; Poon, LLM; Peiris, JSM; Wilson, IA; Mok, CKP</t>
  </si>
  <si>
    <t>Lv, Huibin; Wu, Nicholas C.; Tsang, Owen Tak-Yin; Yuan, Meng; Perera, Ranawaka A. P. M.; Leung, Wai Shing; So, Ray T. Y.; Chan, Jacky Man Chun; Yip, Garrick K.; Chik, Thomas Shiu Hong; Wang, Yiquan; Choi, Chris Yau Chung; Lin, Yihan; Ng, Wilson W.; Zhao, Jincun; Poon, Leo L. M.; Peiris, J. S. Malik; Wilson, Ian A.; Mok, Chris K. P.</t>
  </si>
  <si>
    <t>Cross-reactive Antibody Response between SARS-CoV-2 and SARS-CoV Infections</t>
  </si>
  <si>
    <t>CELL REPORTS</t>
  </si>
  <si>
    <t>SPIKE GLYCOPROTEIN; CORONAVIRUS; RECEPTOR; PROTECT; VACCINE; BINDING; EPITOPE</t>
  </si>
  <si>
    <t>The World Health Organization has declared the ongoing outbreak of COVID-19, which is caused by a novel coronavirus SARS-CoV-2, a pandemic. There is currently a lack of knowledge about the antibody response elicited from SARS-CoV-2 infection. One major immunological question concerns antigenic differences between SARS-CoV-2 and SARS-CoV. We address this question by analyzing plasma from patients infected by SARS-CoV-2 or SARS-CoV and from infected or immunized mice. Our results show that, although cross-reactivity in antibody binding to the spike protein is common, cross-neutralization of the live viruses may be rare, indicating the presence of a non-neutralizing antibody response to conserved epitopes in the spike. Whether such low or non-neutralizing antibody response leads to antibody-dependent disease enhancement needs to be addressed in the future. Overall, this study not only addresses a fundamental question regarding antigenicity differences between SARS-CoV-2 and SARS-CoV but also has implications for immunogen design and vaccine development.</t>
  </si>
  <si>
    <t>[Lv, Huibin; So, Ray T. Y.; Yip, Garrick K.; Wang, Yiquan; Lin, Yihan; Ng, Wilson W.; Poon, Leo L. M.; Peiris, J. S. Malik; Mok, Chris K. P.] Univ Hong Kong, Li Ka Shing Fac Med, Sch Publ Hlth, HKU Pasteur Res Pole, Hong Kong, Peoples R China; [Wu, Nicholas C.; Yuan, Meng; Wilson, Ian A.] Scripps Res Inst, Dept Integrat Struct &amp; Computat Biol, La Jolla, CA 92037 USA; [Tsang, Owen Tak-Yin; Leung, Wai Shing; Chan, Jacky Man Chun; Chik, Thomas Shiu Hong; Choi, Chris Yau Chung] Hosp Author Hong Kong, Princess Margaret Hosp, Infect Dis Ctr, Hong Kong, Peoples R China; [Perera, Ranawaka A. P. M.; Peiris, J. S. Malik] Univ Hong Kong, Li Ka Shing Fac Med, Sch Publ Hlth, Hong Kong, Peoples R China; [Zhao, Jincun] Guangzhou Med Univ, Natl Clin Res Ctr Resp Dis, Guangzhou Inst Resp Hlth, State Key Lab Resp Dis,Affiliated Hosp 1, Guangzhou, Peoples R China; [Wilson, Ian A.] Scripps Res Inst, Skaggs Inst Chem Biol, La Jolla, CA 92037 USA</t>
  </si>
  <si>
    <t>University of Hong Kong; Scripps Research Institute; University of Hong Kong; Guangzhou Medical University; State Key Laboratory of Respiratory Disease; Scripps Research Institute</t>
  </si>
  <si>
    <t>Peiris, JSM; Mok, CKP (corresponding author), Univ Hong Kong, Li Ka Shing Fac Med, Sch Publ Hlth, HKU Pasteur Res Pole, Hong Kong, Peoples R China.;Wilson, IA (corresponding author), Scripps Res Inst, Dept Integrat Struct &amp; Computat Biol, La Jolla, CA 92037 USA.;Peiris, JSM (corresponding author), Univ Hong Kong, Li Ka Shing Fac Med, Sch Publ Hlth, Hong Kong, Peoples R China.;Wilson, IA (corresponding author), Scripps Res Inst, Skaggs Inst Chem Biol, La Jolla, CA 92037 USA.</t>
  </si>
  <si>
    <t>malik@hku.hk; wilson@scripps.edu; ch02mkp@hku.hk</t>
  </si>
  <si>
    <t>Pasteur International Network Association; Bill and Melinda Gates Foundation [OPP1170236]; Guangzhou Medical University High-level University Innovation Team Training Program (Guangzhou Medical University) [159]; US National Institutes of Health [HHSN272201400006C]; National Natural Science Foundation of China (NSFC)/Research Grants Council (RGC) Joint Research Scheme [N_HKU737/18]; Research Grants Council of the Hong Kong Special Administrative Region, China [T11-712/19-N]; International Cooperation and Exchange of the National Natural Science Foundation of China [8181101118]; NIH [K99 AI139445]</t>
  </si>
  <si>
    <t>Pasteur International Network Association; Bill and Melinda Gates Foundation(Bill &amp; Melinda Gates Foundation); Guangzhou Medical University High-level University Innovation Team Training Program (Guangzhou Medical University); US National Institutes of Health(United States Department of Health &amp; Human ServicesNational Institutes of Health (NIH) - USA); National Natural Science Foundation of China (NSFC)/Research Grants Council (RGC) Joint Research Scheme; Research Grants Council of the Hong Kong Special Administrative Region, China(Hong Kong Research Grants Council); International Cooperation and Exchange of the National Natural Science Foundation of China(National Natural Science Foundation of China (NSFC)); NIH(United States Department of Health &amp; Human ServicesNational Institutes of Health (NIH) - USA)</t>
  </si>
  <si>
    <t>This work was supported by Calmette and Yersin scholarship from the Pasteur International Network Association (H.L.), NIH K99 AI139445 (N.C.W.), Bill and Melinda Gates Foundation OPP1170236 (I.A.W.), Guangzhou Medical University High-level University Innovation Team Training Program (Guangzhou Medical University released [2017] No. 159) (C.K.P.M. and J.S.M.P.), the US National Institutes of Health (contract no. HHSN272201400006C) (J.S.M.P.), National Natural Science Foundation of China (NSFC)/Research Grants Council (RGC) Joint Research Scheme (N_HKU737/18) (C.K.P.M. and J.S.M.P.), the Research Grants Council of the Hong Kong Special Administrative Region, China (Project no. T11-712/19-N) (J.S.M.P.), and the International Cooperation and Exchange of the National Natural Science Foundation of China (grant 8181101118) (J.Z.). We acknowledge the support of the clinicians who facilitated this study, including Drs. John Yu Hong Chan, Daphne Pui-Lin Lau, and Ying Man Ho, and the dedicated clinical team at the Infectious Diseases Centre, Princess Margaret Hospital, Hospital Authority of Hong Kong, and the patients who kindly consented to participate in this investigation.</t>
  </si>
  <si>
    <t>2211-1247</t>
  </si>
  <si>
    <t>CELL REP</t>
  </si>
  <si>
    <t>Cell Reports</t>
  </si>
  <si>
    <t>JUN 2</t>
  </si>
  <si>
    <t>10.1016/j.celrep.2020.107725</t>
  </si>
  <si>
    <t>LV0XZ</t>
  </si>
  <si>
    <t>WOS:000538168300021</t>
  </si>
  <si>
    <t>Meijer, LL; Garajová, I; Caparello, C; Le Large, TYS; Frampton, AE; Vasile, E; Funel, N; Kazemier, G; Giovannetti, E</t>
  </si>
  <si>
    <t>Meijer, Laura L.; Garajova, Ingrid; Caparello, Chiara; Le Large, Tessa Y. S.; Frampton, Adam E.; Vasile, Enrico; Funel, Niccola; Kazemier, Geert; Giovannetti, Elisa</t>
  </si>
  <si>
    <t>Plasma miR-181a-5p Downregulation Predicts Response and Improved Survival After FOLFIRINOX in Pancreatic Ductal Adenocarcinoma</t>
  </si>
  <si>
    <t>ANNALS OF SURGERY</t>
  </si>
  <si>
    <t>biomarker; FOLFIRINOX; gemcitabine nab-paclitaxel; microRNA; pancreatic ductal adenocarcinoma; response monitoring; survival</t>
  </si>
  <si>
    <t>Objective: The aim of the study was to identify plasma microRNA (miRNA) biomarkers for stratifying and monitoring patients with locally advanced or metastatic pancreatic ductal adenocarcinoma (PDAC) treated with FOLFIRINOX, and to investigate their functional roles. Summary Background Data: FOLFIRINOX has become a standard therapy for patients with advanced PDAC and can be used to potentially downstage disease. However, only a subset of patients respond, and biomarkers to guide decision-making are urgently needed. Methods: We used microarray-based profiling to discover deregulated miRNAs in pre- and postchemotherapy plasma samples from patients based on their progression-free survival (PFS) after FOLFIRINOX. Nine candidate plasma miRNAs were validated in an independent cohort (n = 43). The most discriminative plasma miRNA was correlated with clinicopathological factors and survival, and also investigated in an additional cohort treated with gemcitabine plus nab-paclitaxel. Expression patterns were further evaluated in matched tumor tissues. In vitro studies explored its function, key downstream gene-targets, and interaction with 5-fluorouracil, irinotecan, and oxaliplatin. Results: Plasma miR-181a-5p was significantly downregulated in non-progressive patients after FOLFIRINOX. In multivariate analysis, this decline correlated with improved PFS and overall survival, especially when combined with CA19-9 decline [hazard ratio (HR) = 0.153, 95% confidence interval (CI), 0.067-0.347 and HR = 0.201, 95% CI, 0.070-0.576, respectively]. This combination did not correlate with survival in patients treated with gemcitabine plus nab-paclitaxel. Tissue expression of miR-181a-5p reflected plasma levels. Inhibition of miR-181a-5p coupled with oxaliplatin exposure in pancreatic cell lines decreased cell viability. Conclusions: Plasma miR-181a-5p is a specific biomarker for monitoring FOLFIRINOX response. Decline in plasma miR-181a-5p and CA19-9 levels is associated with better prognosis after FOLFIRINOX and may be useful for guiding therapeutic choices and surgical exploration.</t>
  </si>
  <si>
    <t>[Meijer, Laura L.; Le Large, Tessa Y. S.; Kazemier, Geert] Vrije Univ Amsterdam, Canc Ctr Amsterdam, Dept Surg, Amsterdam UMC, Amsterdam, Netherlands; [Garajova, Ingrid; Le Large, Tessa Y. S.; Giovannetti, Elisa] Vrije Univ Amsterdam, Canc Ctr Amsterdam, Dept Med Oncol, De Boelelaan 1117, NL-1081 HV Amsterdam, Netherlands; [Garajova, Ingrid] Univ Hosp S Orsola Malpighi, Dept Med Oncol, Bologna, Italy; [Caparello, Chiara; Vasile, Enrico] Univ Hosp Pisa, Dept Med Oncol, Pisa, Italy; [Le Large, Tessa Y. S.] Acad Med Ctr, Lab Expt Oncol &amp; Radiobiol, Amsterdam, Netherlands; [Frampton, Adam E.] Imperial Coll, Dept Surg &amp; Canc, HPB Surg Unit, London, England; [Funel, Niccola; Giovannetti, Elisa] Univ Hosp Pisa, Dept Translat Res &amp; New Technol Med &amp; Surg, AIRC Start Up Unit, Canc Pharmacol Lab, Pisa, Italy</t>
  </si>
  <si>
    <t>University of Amsterdam; Vrije Universiteit Amsterdam; Vrije Universiteit Amsterdam; IRCCS Azienda Ospedaliero-Universitaria di Bologna; University of Pisa; Azienda Ospedaliero Universitaria Pisana; University of Amsterdam; Academic Medical Center Amsterdam; Imperial College London; University of Pisa; Azienda Ospedaliero Universitaria Pisana</t>
  </si>
  <si>
    <t>Giovannetti, E (corresponding author), Vrije Univ Amsterdam, Canc Ctr Amsterdam, Dept Med Oncol, De Boelelaan 1117, NL-1081 HV Amsterdam, Netherlands.</t>
  </si>
  <si>
    <t>e.giovannetti@vumc.nl</t>
  </si>
  <si>
    <t>Bennink Foundation, NL; Italian Association for Cancer Research, AIRC/Start-Up, Italy; Tuscany Region grant FAS-DIAMANTE, Italy; Action Against Cancer, UK; No Surrender Cancer Trust, UK; Royal College of Surgeons of Edinburgh, UK</t>
  </si>
  <si>
    <t>This work was supported by the Bennink Foundation, NL (LLM, TLL); Italian Association for Cancer Research, AIRC/Start-Up, Italy (EG), Tuscany Region grant FAS-DIAMANTE, Italy (NF and EG); Action Against Cancer, UK; the No Surrender Cancer Trust (in memory of Jason Boas), UK and the Royal College of Surgeons of Edinburgh, UK (AEF).</t>
  </si>
  <si>
    <t>0003-4932</t>
  </si>
  <si>
    <t>1528-1140</t>
  </si>
  <si>
    <t>ANN SURG</t>
  </si>
  <si>
    <t>Ann. Surg.</t>
  </si>
  <si>
    <t>10.1097/SLA.0000000000003084</t>
  </si>
  <si>
    <t>Surgery</t>
  </si>
  <si>
    <t>PE2XI</t>
  </si>
  <si>
    <t>WOS:000598231400027</t>
  </si>
  <si>
    <t>Mitchell, VE; Mogilski, JK; Donaldson, SH; Nicolas, SCA; Welling, LLM</t>
  </si>
  <si>
    <t>Mitchell, Virginia E.; Mogilski, Justin K.; Donaldson, Sarah H.; Nicolas, Sylis Claire A.; Welling, Lisa L. M.</t>
  </si>
  <si>
    <t>Sexual Motivation and Satisfaction Among Consensually Non-Monogamous and Monogamous Individuals</t>
  </si>
  <si>
    <t>JOURNAL OF SEXUAL MEDICINE</t>
  </si>
  <si>
    <t>Relationships; Sexual Desire; Sexual Motivation; Sexual Satisfaction; Nonmonogamy/Polyamory</t>
  </si>
  <si>
    <t>NEED FULFILLMENT; MOTIVES; ASSOCIATION; COMMITMENT; PARTNERS; GENDER; LOVE</t>
  </si>
  <si>
    <t>Background: Previous research has found differences in sexual motives and, separately, sexual satisfaction in consensually non-monogamous (CNM) and monogamous individuals and that these constructs are related to relationship outcomes (eg, relationship quality). Aims: The present study sought to refine and expand on previous research by (i) using a more common, validated measure of sexual motives, (ii) measuring sexual satisfaction with multiple partners within CNM relationships, and (iii) examining how sexual motives are related to sexual satisfaction in CNM relationships. Methods: Participants were recruited from a university and using online forums that CNM individuals frequently use (eg, reddit, Facebook). Individuals recruited included those in non-exclusive relationships with one partner (non-exclusive single-partner; n = 40), those in non-exclusive relationships with more than one partner (non-exclusive multipartner; n = 87), and monogamous individuals (n = 322). Data were analyzed using multivariate analysis of variance and hierarchical multiple regressions. Outcomes: The main outcome measures of this study are scores on the Why Humans Have Sex Scale and the New Scale for Sexual Satisfaction. Results: Non-exclusive multipartner participants were more motivated to have sex for physical motivations compared with monogamous participants. Although there were no significant differences in sexual satisfaction when comparing monogamous with non-exclusive multipartner participant's secondary and primary partners, unique patterns of sexual motivations were associated with sexual satisfaction based on relationship configuration. Clinical Translation: Understanding the unique sexual motives associated with sexual satisfaction in various relationship configurations may help improve clinical approaches to couples counseling for both CNM and non-CNM populations. Strengths and Limitations: Data were collected from CNM participants in a variety of relationship configurations and provide analyses comparing primary and secondary partners. However, these results are limited by a small sample of CNM participants who were intentionally recruited from self-identified CNM e-forums. Conclusions: These findings add further understanding to the unique traits that characterize CNM individuals and the underlying motivational framework that may encourage individuals to initiate and maintain CNM relationships. Copyright (C) 2020, International Society for Sexual Medicine. Published by Elsevier Inc. All rights reserved.</t>
  </si>
  <si>
    <t>[Mitchell, Virginia E.; Mogilski, Justin K.; Donaldson, Sarah H.; Nicolas, Sylis Claire A.; Welling, Lisa L. M.] Oakland Univ, Dept Psychol, 654 Pioneer Dr, Rochester, MI 48309 USA; [Mogilski, Justin K.] Univ South Carolina Salkehatchie, Dept Psychol, Walterboro, SC USA; [Donaldson, Sarah H.] Univ Oregon, Dept Psychol, Eugene, OR 97403 USA</t>
  </si>
  <si>
    <t>Oakland University; University of Oregon</t>
  </si>
  <si>
    <t>Welling, LLM (corresponding author), Oakland Univ, Dept Psychol, 654 Pioneer Dr, Rochester, MI 48309 USA.</t>
  </si>
  <si>
    <t>welling@oakland.edu</t>
  </si>
  <si>
    <t>Mogilski, Justin K./I-6393-2019</t>
  </si>
  <si>
    <t>Mogilski, Justin K./0000-0003-2870-8302; Welling, Lisa/0000-0003-3555-5965</t>
  </si>
  <si>
    <t>1743-6095</t>
  </si>
  <si>
    <t>1743-6109</t>
  </si>
  <si>
    <t>J SEX MED</t>
  </si>
  <si>
    <t>J. Sex. Med.</t>
  </si>
  <si>
    <t>10.1016/j.jsxm.2020.02.018</t>
  </si>
  <si>
    <t>Urology &amp; Nephrology</t>
  </si>
  <si>
    <t>LW5EC</t>
  </si>
  <si>
    <t>WOS:000539168800005</t>
  </si>
  <si>
    <t>Navalgund, R</t>
  </si>
  <si>
    <t>Navalgund, Rutwik</t>
  </si>
  <si>
    <t>Reduce, Reuse and Recycle: An Environmental Law Approach to Long-term Sustainability of Outer Space</t>
  </si>
  <si>
    <t>AIR &amp; SPACE LAW</t>
  </si>
  <si>
    <t>Space Sustainability; Environmental Law; Transfer of Ownership; On-Orbit Servicing; Active Debris Removal</t>
  </si>
  <si>
    <t>REGISTRATION; OBJECTS</t>
  </si>
  <si>
    <t>The article conceptualizes the existing international environmental law principles to better understand their applicability to outer space. The article proposes utilizing existing international environmental legal principles to implement the idea of waste hierarchy concept of 'Reduce, Reuse and Recycle' to address issues concerning long-term sustainability of outer space. The primary focus is on issues pertaining to transfer of ownership, on-obit servicing, and active debris removal and how they can be used to achieve the sustainable development goals of outer space through the waste hierarchy concept. The article ultimately suggests that existing international environmental law and space law together can ensure an efficient framework to help cope with issues threatening the sustainable use of outer space. The article works towards understanding the importance of bridging the gaps in the existing international space law regime with respect to long-term sustainability of outer space.</t>
  </si>
  <si>
    <t>[Navalgund, Rutwik] Leiden Univ, Air &amp; Space Law, Leiden, Netherlands</t>
  </si>
  <si>
    <t>Leiden University - Excl LUMC; Leiden University</t>
  </si>
  <si>
    <t>Navalgund, R (corresponding author), Leiden Univ, Air &amp; Space Law, Leiden, Netherlands.</t>
  </si>
  <si>
    <t>rutwik.navalgund@gmail.com</t>
  </si>
  <si>
    <t>Netherlands Aerospace Foundation (NLF)</t>
  </si>
  <si>
    <t>Indian-qualified attorney. LL.M (Adv.) in Air and Space Law, Leiden University. This article is based on the author's LLM thesis, which was awarded the 2019 Andre Kuipers Ruimtevaartprijs by the Netherlands Aerospace Foundation (NLF). Email: rutwik.navalgund@gmail.com.</t>
  </si>
  <si>
    <t>0927-3379</t>
  </si>
  <si>
    <t>1875-8339</t>
  </si>
  <si>
    <t>AIR SPACE LAW</t>
  </si>
  <si>
    <t>Air Space Law</t>
  </si>
  <si>
    <t>ND6HE</t>
  </si>
  <si>
    <t>WOS:000562002700004</t>
  </si>
  <si>
    <t>Pan, W; Sun, YM; Turrin, M; Louter, C; Sariyildiz, S</t>
  </si>
  <si>
    <t>Pan, Wang; Sun, Yimin; Turrin, Michela; Louter, Christian; Sariyildiz, Sevil</t>
  </si>
  <si>
    <t>Design exploration of quantitative performance and geometry typology for indoor arena based on self-organizing map and multi-layered perceptron neural network</t>
  </si>
  <si>
    <t>Comprehensive design exploration; Complex indoor arena; SOM-LLM (local linear mapping based on self-organizing map); SOM-MLPNN (multi-layer perceptron neural network based on self-organizing map)</t>
  </si>
  <si>
    <t>ENERGY-CONSUMPTION; OPTIMIZATION; MODELS; PREDICTION; BUILDINGS; SPACE; STAGE</t>
  </si>
  <si>
    <t>During the early design process, simulations allow numeric assessment and 3D models allow visual inspection for qualitative criteria. However, exploring different design alternatives based on both is challenging. To support the design exploration of quantitative performance and geometry typology of various design alternatives during the early design stages of indoor arenas, this paper proposed a novel design method of SOM-MLPNN by combing self-organizing map (SOM) and multi-layer perceptron neural network (MLPNN), based on the inspiration of local linear mapping based on self-organizing map (SOM-LLM). In SOM-LLM or SOM-MLPNN, the SOM can support designers to explore the whole design space according to geometry typologies and provides reference/labelled inputs for LLM/MLPNN to approximate multiple quantitative performance data for various design alternatives. Both SOM-LLM and SOM-MLPNN are applied and compared in a design of indoor arena. Besides the development of the method, original contributions include 1) proposing two operations (using a large size of SOM network and using a small amount of input data to train the SOM network) to save the computational time and increase the accuracy in data approximation and 2) proposing a series of data visualizations to interpret the results and support design explorations in different ways.</t>
  </si>
  <si>
    <t>[Pan, Wang; Sun, Yimin] South China Univ Technol, Sch Architecture, Guangzhou, Peoples R China; [Pan, Wang; Sun, Yimin] South China Univ Technol, State Key Lab Subtrop Bldg Sci, Guangzhou, Peoples R China; [Pan, Wang; Turrin, Michela; Sariyildiz, Sevil] Delft Univ Technol, Dept Architectural Engn &amp; Technol, Chair Design Informat, Delft, Netherlands; [Louter, Christian] Tech Univ Dresden, Fac Civil Engn, Inst Bldg Construct, Dresden, Germany</t>
  </si>
  <si>
    <t>South China University of Technology; South China University of Technology; Delft University of Technology; Technische Universitat Dresden</t>
  </si>
  <si>
    <t>Sun, YM (corresponding author), South China Univ Technol, Sch Architecture, Guangzhou, Peoples R China.</t>
  </si>
  <si>
    <t>arymsun@scut.edu.cn</t>
  </si>
  <si>
    <t>Plan of Science and Technology of Guangzhou [201707020041]; National Natural Science Foundation of China [51761135025]; State Key Lab of Subtropical Building Science in South China University of Technology; Urban System and Environment Joint Research Centre (USE); China Scholarship Council (CSC); SCUT</t>
  </si>
  <si>
    <t>Plan of Science and Technology of Guangzhou; National Natural Science Foundation of China(National Natural Science Foundation of China (NSFC)); State Key Lab of Subtropical Building Science in South China University of Technology; Urban System and Environment Joint Research Centre (USE); China Scholarship Council (CSC)(China Scholarship Council); SCUT</t>
  </si>
  <si>
    <t>This research is related to the project (201707020041) supported by the Plan of Science and Technology of Guangzhou and the project (51761135025) supported by National Natural Science Foundation of China as well as the project of independent subject supported by the State Key Lab of Subtropical Building Science in South China University of Technology. The research is also supported by the Urban System and Environment Joint Research Centre (USE) between South China University of Technology (SCUT) and Delft University of Technology (TUD). The first author is supported by the scholarship of China Scholarship Council (CSC) and SCUT for his joint Ph.D. research at Delft University of Technology (TUD), Delft, the Netherlands.</t>
  </si>
  <si>
    <t>10.1016/j.autcon.2020.103163</t>
  </si>
  <si>
    <t>LE5UL</t>
  </si>
  <si>
    <t>WOS:000526785800007</t>
  </si>
  <si>
    <t>Arney, RN; Shepherd, AK; Alexander, HD; Rahman, AF</t>
  </si>
  <si>
    <t>Arney, Rachel N.; Shepherd, Alison K.; Alexander, Heather D.; Rahman, Abdullah F.</t>
  </si>
  <si>
    <t>Soil Carbon and Nitrogen Storage in Natural and Prop-Scarred Thalassia Testudinum Seagrass Meadows</t>
  </si>
  <si>
    <t>ESTUARIES AND COASTS</t>
  </si>
  <si>
    <t>Soil disturbance; Boat propeller scarring; Blue carbon; Turtlegrass</t>
  </si>
  <si>
    <t>BELOW-GROUND BIOMASS; BLUE CARBON; ZOSTERA-MARINA; SEQUESTRATION CAPACITY; GLOBALLY SIGNIFICANT; LAGUNA MADRE; COASTAL; SALINITY; STOCKS; BEDS</t>
  </si>
  <si>
    <t>Seagrass meadows are carbon (C) sinks and nitrogen (N)-limited ecosystems that experience degradation from climate change and anthropogenic stressors, including prop-scarring disturbances by boating vessels. To better understand the variability in C and N pools of undisturbed seagrass soils and the recovery of these pools following boat propeller scarring, we quantified organic carbon (C-org) and N pools within the top 1 m of soils in undisturbed Thalassia testudinum seagrass beds of the Lower Laguna Madre (LLM), Texas, USA-a sub-tropical, uniquely hypersaline, and heavily used recreational boating lagoon-and used a chronosequence approach to compare these undisturbed soil pools to those in different aged prop scars (1-3, 4-6, 7-9, and 10+ years). We found that undisturbed soils stored 108.41 +/- 2.93 and 6.65 +/- 0.26 Mg (megagram) ha(-1) of C-org and N, respectively, in the top 1 m, with 30% of these pools stored within the top 20 cm. Scarring impacted these shallow, organic-rich pools, exposing higher bulk density (BD) mineral soils with lower %C-org and %N. Consequently, young scars (1-3 years) had significantly lower %C-org and %N values in the top 20 cm of soil compared with undisturbed soils, but the greater BD offset these changes, leading to no differences in total C-org and N pools in the top 1 m between scarred and undisturbed soils. Scars 10+ years had similar %C-org, %N, and BD soil characteristics to undisturbed soils, producing similar C-org and N pools in both upper and lower soil horizons. These findings indicate that recovery of C-org and N pools of prop-scarred seagrass soils within T. testudinum beds of the LLM will likely recover a decade or more post-disturbance. Our findings contribute to the growing global database on seagrass C and N storage and demonstrate the rate at which seagrass meadows recover post-disturbance.</t>
  </si>
  <si>
    <t>[Arney, Rachel N.] Univ Georgia, Dept Geog, 210 Field St 204, Athens, GA 30602 USA; [Shepherd, Alison K.] New Jersey Dept Environm Protect, Div Fish &amp; Wildlife, 360 N New York Rd, Galloway, NJ 08205 USA; [Alexander, Heather D.] Mississippi State Univ, Forest &amp; Wildlife Res Ctr, Dept Forestry, 775 Stone Blvd, Mississipp, MS 39762 USA; [Rahman, Abdullah F.] Univ Texas Rio Grande Valley, Sch Earth Environm &amp; Marine Sci, One West Univ Blvd, Brownsville, TX 78520 USA</t>
  </si>
  <si>
    <t>University System of Georgia; University of Georgia; Mississippi State University; University of Texas System; University of Texas Rio Grande Valley</t>
  </si>
  <si>
    <t>Arney, RN (corresponding author), Univ Georgia, Dept Geog, 210 Field St 204, Athens, GA 30602 USA.</t>
  </si>
  <si>
    <t>rachel.arney@uga.edu</t>
  </si>
  <si>
    <t>US Fish and Wildlife Service</t>
  </si>
  <si>
    <t>US Fish and Wildlife Service(US Fish &amp; Wildlife Service)</t>
  </si>
  <si>
    <t>We would like to thank the Texas Parks and Wildlife Department and the Texas General Land Office for research permits. Thanks to Carlos Cintra-Buenrostro for both field and laboratory guidance. Special thanks to field and lab assistants Shelby Bessette, Christian Galvan, and Linda Jordan. We are especially grateful to the University of Texas Rio Grande Valley Coastal Studies Laboratory for assistance with fieldwork, specifically former director Thomas Whelan, Hudson Deyoe, Eberto Presas, Les Sweeten, Brigitte Goza, Lorena Longoria, and Maria Infantate. We would like to thank three anonymous reviewers and members of the Forest and Fire Ecology lab for their insightful and helpful comments on this manuscript. Lastly, thanks to the US Fish and Wildlife Service for their support during the completion of this manuscript.</t>
  </si>
  <si>
    <t>1559-2723</t>
  </si>
  <si>
    <t>1559-2731</t>
  </si>
  <si>
    <t>ESTUAR COAST</t>
  </si>
  <si>
    <t>Estuaries Coasts</t>
  </si>
  <si>
    <t>10.1007/s12237-020-00765-6</t>
  </si>
  <si>
    <t>MAY 2020</t>
  </si>
  <si>
    <t>Environmental Sciences; Marine &amp; Freshwater Biology</t>
  </si>
  <si>
    <t>Environmental Sciences &amp; Ecology; Marine &amp; Freshwater Biology</t>
  </si>
  <si>
    <t>PI4WO</t>
  </si>
  <si>
    <t>WOS:000536447900001</t>
  </si>
  <si>
    <t>Socoliuc, V; Popescu, LB</t>
  </si>
  <si>
    <t>Socoliuc, V; Popescu, L. B.</t>
  </si>
  <si>
    <t>Determination of the statistics of magnetically induced particle chains in concentrated ferrofluids</t>
  </si>
  <si>
    <t>JOURNAL OF MAGNETISM AND MAGNETIC MATERIALS</t>
  </si>
  <si>
    <t>Ferrofluid; Magnetic fluid; Agglomeration; Nanoparticle chains; One dimensional chains; Dichroism; Birefringence</t>
  </si>
  <si>
    <t>LINEAR DICHROISM; NANOFLUID FLOW; MHD; BIREFRINGENCE; AGGLOMERATION</t>
  </si>
  <si>
    <t>The paper presents the determination of the magnetic field dependence of the statistics of nanoparticle one dimensional chains in a 9.3% solid volume fraction ferrofluid, using optical dichroism experiments. It was found that, in a 300 kA/m magnetic field, 4v% of the nanoparticles are contained in one dimensional chains with 2 particles/chain on average. For this purpose, an analytical theoretical model for the influence of the magnetically induced nanoparticle chaining on the linear dichroism in ferrofluids was developed. The model is based on the statistical theory for magnetic nanoparticle chaining in ferrofluids developed by Mendelev and Ivanov. The chains statistics was obtained by means of nonlinear regression of the dichroism data with the theoretical model.</t>
  </si>
  <si>
    <t>[Socoliuc, V] Romanian Acad, Timisoara Branch, Ctr Fundamental &amp; Adv Tech Res, Lab Magnet Fluids, BvM Viteazu 24, RO-300223 Timisoara, Romania; [Popescu, L. B.] Inst Space Sci, 409 Atomistilor, RO-077125 Magurele, Romania</t>
  </si>
  <si>
    <t>Socoliuc, V (corresponding author), Romanian Acad, Timisoara Branch, Ctr Fundamental &amp; Adv Tech Res, Lab Magnet Fluids, BvM Viteazu 24, RO-300223 Timisoara, Romania.</t>
  </si>
  <si>
    <t>vsocoliuc@acad-tim.tm.edu.ro</t>
  </si>
  <si>
    <t>Socoliuc, Vlad Mircea/G-7022-2011</t>
  </si>
  <si>
    <t>ARFT-CCTFA-LLM 2016-2020 research program; ARFT-CCTFA-LLM 2013-2015 research program; European Social Fund - Cristofor I. Simionescu Postdoctoral Fellowship Programme, Sectoral Operational Programme Human Resources Development 2007- 2013 [POSDRU/89/1.5/S/55216]; Programul NUCLEU LAPLAS [3 PN 09.39.06.04, PN 09.39.06.08]</t>
  </si>
  <si>
    <t>ARFT-CCTFA-LLM 2016-2020 research program; ARFT-CCTFA-LLM 2013-2015 research program; European Social Fund - Cristofor I. Simionescu Postdoctoral Fellowship Programme, Sectoral Operational Programme Human Resources Development 2007- 2013; Programul NUCLEU LAPLAS</t>
  </si>
  <si>
    <t>V. Socoliuc acknowledges the financial support of ARFT-CCTFA-LLM 2016-2020 &amp; 2013-2015 research programs and European Social Fund - Cristofor I. Simionescu Postdoctoral Fellowship Programme (ID POSDRU/89/1.5/S/55216), Sectoral Operational Programme Human Resources Development 2007- 2013. L.B. Popescu acknowledges the financial support of Programul NUCLEU LAPLAS 3 PN 09.39.06.04 and PN 09.39.06.08. The authors are grateful to Oana Marinica from Politehnica University of Timisoara for the VSM measurements. This work is dedicated to the memory of Lorin-Bogdan Popescu (1978-2016).</t>
  </si>
  <si>
    <t>0304-8853</t>
  </si>
  <si>
    <t>1873-4766</t>
  </si>
  <si>
    <t>J MAGN MAGN MATER</t>
  </si>
  <si>
    <t>J. Magn. Magn. Mater.</t>
  </si>
  <si>
    <t>MAY 15</t>
  </si>
  <si>
    <t>10.1016/j.jmmm.2020.166532</t>
  </si>
  <si>
    <t>Materials Science, Multidisciplinary; Physics, Condensed Matter</t>
  </si>
  <si>
    <t>KX4CD</t>
  </si>
  <si>
    <t>WOS:000521826900054</t>
  </si>
  <si>
    <t>Sia, SF; Yan, LM; Chin, AWH; Fung, K; Choy, KT; Wong, AYL; Kaewpreedee, P; Perera, RAPM; Poon, LLM; Nicholls, JM; Peiris, M; Yen, HL</t>
  </si>
  <si>
    <t>Sia, Sin Fun; Yan, Li-Meng; Chin, Alex W. H.; Fung, Kevin; Choy, Ka-Tim; Wong, Alvina Y. L.; Kaewpreedee, Prathanporn; Perera, Ranawaka A. P. M.; Poon, Leo L. M.; Nicholls, John M.; Peiris, Malik; Yen, Hui-Ling</t>
  </si>
  <si>
    <t>Pathogenesis and transmission of SARS-CoV-2 in golden hamsters</t>
  </si>
  <si>
    <t>ACUTE RESPIRATORY SYNDROME; SYNDROME CORONAVIRUS INFECTION; SARS-CORONAVIRUS; MICE; SEVERITY; COVID-19; RECEPTOR; MODELS</t>
  </si>
  <si>
    <t>The pathogenicity and transmissibility of SARS-CoV-2 in golden (Syrian) hamsters resemble features of COVID-19 in human patients, suggesting that these hamsters could be used to model this disease. Severe acute respiratory syndrome coronavirus 2 (SARS-CoV-2), a novel coronavirus with high nucleotide identity to SARS-CoV and to SARS-related coronaviruses that have been detected in horseshoe bats, has spread across the world and had a global effect on healthcare systems and economies(1,2). A suitable small animal model is needed to support the development of vaccines and therapies. Here we report the pathogenesis and transmissibility of SARS-CoV-2 in golden (Syrian) hamsters (Mesocricetus auratus). Immunohistochemistry assay demonstrated the presence of viral antigens in nasal mucosa, bronchial epithelial cells and areas of lung consolidation on days 2 and 5 after inoculation with SARS-CoV-2, followed by rapid viral clearance and pneumocyte hyperplasia at 7 days after inoculation. We also found viral antigens in epithelial cells of the duodenum, and detected viral RNA in faeces. Notably, SARS-CoV-2 was transmitted efficiently from inoculated hamsters to naive hamsters by direct contact and via aerosols. Transmission via fomites in soiled cages was not as efficient. Although viral RNA was continuously detected in the nasal washes of inoculated hamsters for 14 days, the communicable period was short and correlated with the detection of infectious virus but not viral RNA. Inoculated and naturally infected hamsters showed apparent weight loss on days 6-7 post-inoculation or post-contact; all hamsters returned to their original weight within 14 days and developed neutralizing antibodies. Our results suggest that features associated with SARS-CoV-2 infection in golden hamsters resemble those found in humans with mild SARS-CoV-2 infections.</t>
  </si>
  <si>
    <t>[Sia, Sin Fun; Yan, Li-Meng; Chin, Alex W. H.; Choy, Ka-Tim; Wong, Alvina Y. L.; Kaewpreedee, Prathanporn; Perera, Ranawaka A. P. M.; Poon, Leo L. M.; Peiris, Malik; Yen, Hui-Ling] Univ Hong Kong, Sch Publ Hlth, Li Ka Shing Fac Med, Hong Kong, Peoples R China; [Fung, Kevin; Nicholls, John M.] Univ Hong Kong, Li Ka Shing Fac Med, Dept Pathol, Hong Kong, Peoples R China</t>
  </si>
  <si>
    <t>Yen, HL (corresponding author), Univ Hong Kong, Sch Publ Hlth, Li Ka Shing Fac Med, Hong Kong, Peoples R China.</t>
  </si>
  <si>
    <t>hyen@hku.hk</t>
  </si>
  <si>
    <t>Croucher Foundation; National Institute of Allergy and Infectious Diseases of the National Institutes of Health (USA) [HHSN272201400006C]; Research Grants Council (Hong Kong SAR, China) [T11-705/14N]</t>
  </si>
  <si>
    <t>Croucher Foundation; National Institute of Allergy and Infectious Diseases of the National Institutes of Health (USA)(United States Department of Health &amp; Human ServicesNational Institutes of Health (NIH) - USANIH National Institute of Allergy &amp; Infectious Diseases (NIAID)); Research Grants Council (Hong Kong SAR, China)(Hong Kong Research Grants Council)</t>
  </si>
  <si>
    <t>We thank N. Ip for comments on the interpretation of nasal mucosal data; D. Rowlands, C. Y. H. Leung and J. Rudds for comments on hamster handling; and the Laboratory Animal Unit (University of Hong Kong) and Laboratory Animal Services Centre (Chinese University of Hong Kong) for animal husbandry support. L.L.M.P. was supported by Croucher Foundation. This study was supported by contract HHSN272201400006C from the National Institute of Allergy and Infectious Diseases of the National Institutes of Health (USA) and the theme-based research scheme (T11-705/14N) from the Research Grants Council (Hong Kong SAR, China).</t>
  </si>
  <si>
    <t>10.1038/s41586-020-2342-5</t>
  </si>
  <si>
    <t>MT2XH</t>
  </si>
  <si>
    <t>Green Accepted, Green Submitted, Bronze</t>
  </si>
  <si>
    <t>WOS:000551400700001</t>
  </si>
  <si>
    <t>Sit, THC; Brackman, CJ; Ip, SM; Tam, KWS; Law, PYT; To, EMW; Yu, VYT; Sims, LD; Tsang, DNC; Chu, DKW; Perera, RAPM; Poon, LLM; Peiris, M</t>
  </si>
  <si>
    <t>Sit, Thomas H. C.; Brackman, Christopher J.; Ip, Sin Ming; Tam, Karina W. S.; Law, Pierra Y. T.; To, Esther M. W.; Yu, Veronica Y. T.; Sims, Leslie D.; Tsang, Dominic N. C.; Chu, Daniel K. W.; Perera, Ranawaka A. P. M.; Poon, Leo L. M.; Peiris, Malik</t>
  </si>
  <si>
    <t>Infection of dogs with SARS-CoV-2</t>
  </si>
  <si>
    <t>Two out of 15 dogs from households with confirmed human cases of COVID-19 were asymptomatically infected with SARS-CoV-2 and showed antibody responses to the virus. Severe acute respiratory syndrome coronavirus 2 (SARS-CoV-2) was first detected in Wuhan in December 2019 and caused coronavirus disease 2019 (COVID-19)(1,2). In 2003, the closely related SARS-CoV had been detected in domestic cats and a dog(3). However, little is known about the susceptibility of domestic pet mammals to SARS-CoV-2. Here, using PCR with reverse transcription, serology, sequencing the viral genome and virus isolation, we show that 2 out of 15 dogs from households with confirmed human cases of COVID-19 in Hong Kong were found to be infected with SARS-CoV-2. SARS-CoV-2 RNA was detected in five nasal swabs collected over a 13-day period from a 17-year-old neutered male Pomeranian. A 2.5-year-old male German shepherd was positive for SARS-CoV-2 RNA on two occasions and virus was isolated from nasal and oral swabs. Antibody responses were detected in both dogs using plaque-reduction-neutralization assays. Viral genetic sequences of viruses from the two dogs were identical to the virus detected in the respective human cases. The dogs remained asymptomatic during quarantine. The evidence suggests that these are instances of human-to-animal transmission of SARS-CoV-2. It is unclear whether infected dogs can transmit the virus to other animals or back to humans.</t>
  </si>
  <si>
    <t>[Sit, Thomas H. C.; Brackman, Christopher J.; Ip, Sin Ming; Tam, Karina W. S.; Law, Pierra Y. T.; To, Esther M. W.; Yu, Veronica Y. T.] Govt Hong Kong SAR, Agr Fisheries &amp; Conservat Dept, Hong Kong, Peoples R China; [Sims, Leslie D.] Asia Pacific Vet Informat Serv, Melbourne, Vic, Australia; [Tsang, Dominic N. C.] Govt Hong Kong SAR, Dept Hlth, Ctr Hlth Protect, Publ Hlth Lab Ctr, Hong Kong, Peoples R China; [Chu, Daniel K. W.; Perera, Ranawaka A. P. M.; Poon, Leo L. M.; Peiris, Malik] Univ Hong Kong, Sch Publ Hlth, Hong Kong, Peoples R China; [Peiris, Malik] Univ Hong Kong, HKU Pasteur Res Pole, Hong Kong, Peoples R China</t>
  </si>
  <si>
    <t>Peiris, M (corresponding author), Univ Hong Kong, Sch Publ Hlth, Hong Kong, Peoples R China.;Peiris, M (corresponding author), Univ Hong Kong, HKU Pasteur Res Pole, Hong Kong, Peoples R China.</t>
  </si>
  <si>
    <t>marik@hku.hk</t>
  </si>
  <si>
    <t>US National Institute of Allergy and Infectious Diseases (NIAID) under Centers of Excellence for Influenza Research and Surveillance (CEIRS) [HHSN272201400006C]</t>
  </si>
  <si>
    <t>US National Institute of Allergy and Infectious Diseases (NIAID) under Centers of Excellence for Influenza Research and Surveillance (CEIRS)</t>
  </si>
  <si>
    <t>We acknowledge the work by staff of the Hong Kong SAR Centre for Health Protection who undertook investigations of the human cases in the affected household. We thank the dog owners for allowing the material on these cases to be published. We thank E. Tai for information on infection in pet animals during the SARS outbreak; E. Yiu for design and preparation of the timeline; H.-L. Yen for providing control canine sera; P. Krishnan and D. Yuet Mei Ng for technical assistance; the core facility at the Centre for PanorOmic Sciences at the University of Hong Kong for the Illumina MiSeq sequencing of viral genomes; and the originating and submitting laboratories for sharing genetic sequences and other associated data through the GISAID Initiative for SARS-CoV-2 genome sequences. We acknowledge research funding for M.P. from the US National Institute of Allergy and Infectious Diseases (NIAID) under Centers of Excellence for Influenza Research and Surveillance (CEIRS) contract no. HHSN272201400006C.</t>
  </si>
  <si>
    <t>10.1038/s41586-020-2334-5</t>
  </si>
  <si>
    <t>QP6RE</t>
  </si>
  <si>
    <t>Green Accepted, Bronze</t>
  </si>
  <si>
    <t>WOS:000554511200001</t>
  </si>
  <si>
    <t>Efroni, Z</t>
  </si>
  <si>
    <t>Efroni, Zohar</t>
  </si>
  <si>
    <t>GAPS AND OPPORTUNITIES: THE RUDIMENTARY PROTECTION FOR DATA-PAYING CONSUMERS UNDER NEW EU CONSUMER PROTECTION LAW</t>
  </si>
  <si>
    <t>COMMON MARKET LAW REVIEW</t>
  </si>
  <si>
    <t>Recent adjustments to consumer protection law have played a significant role in the strategic steps taken by the EU in attempts to adapt EU law to the digital economy and to the rising importance of data and data markets. The Directive on certain contractual aspects concerning the provision of digital goods and digital services stands out in its unequivocal recognition of business models that rely on data as contractual counter-performance and of the need to protect (also) consumers who pay with data instead of money. This article analyses the navel provisions of the Directive and assesses its impact specifically on data-paying consumers within the broader context of recent EU legislation in the area of consumer protection and data protection. The article identifies some gaps in the legislative scheme and possible opportunities for domestic laws and courts to fill these gaps for granting effective protection to such consumers.</t>
  </si>
  <si>
    <t>[Efroni, Zohar] Weizenbaurn Inst Networked Soc, Berlin, Germany; [Efroni, Zohar] Humboldt Univ, Law Fac, Berlin, Germany</t>
  </si>
  <si>
    <t>Humboldt University of Berlin</t>
  </si>
  <si>
    <t>Efroni, Z (corresponding author), Weizenbaurn Inst Networked Soc, Berlin, Germany.;Efroni, Z (corresponding author), Humboldt Univ, Law Fac, Berlin, Germany.</t>
  </si>
  <si>
    <t>zohar.efroni@rewi.hu-berlin.de</t>
  </si>
  <si>
    <t>Federal Ministry of Education and Research of Germany (BMBF) [16DII111]</t>
  </si>
  <si>
    <t>Federal Ministry of Education and Research of Germany (BMBF)(Federal Ministry of Education &amp; Research (BMBF))</t>
  </si>
  <si>
    <t>Dr Zohar Efroni, LLM, Weizenbaum Institute for the Networked Society in Berlin; Humboldt University Law Faculty, Berlin. This work was funded by the Federal Ministry of Education and Research of Germany (BMBF) under grant no 16DII111 (Deutsches Internet-Institut). For correspondence: zohar.efroni@rewi.hu-berlin.de.</t>
  </si>
  <si>
    <t>0165-0750</t>
  </si>
  <si>
    <t>1875-8320</t>
  </si>
  <si>
    <t>COMMON MKT LAW REV</t>
  </si>
  <si>
    <t>Common Mark. Law Rev.</t>
  </si>
  <si>
    <t>International Relations; Law</t>
  </si>
  <si>
    <t>International Relations; Government &amp; Law</t>
  </si>
  <si>
    <t>NE3FR</t>
  </si>
  <si>
    <t>WOS:000562484000006</t>
  </si>
  <si>
    <t>Perera, RAPM; Mok, CKP; Tsang, OTY; Lv, H; Ko, RLW; Wu, NC; Yuan, M; Leung, WS; Chan, JMC; Chik, TSH; Choi, CYC; Leung, K; Chan, KH; Chan, KCK; Li, KC; Wu, JT; Wilson, IA; Monto, AS; Poon, LLM; Peiris, M</t>
  </si>
  <si>
    <t>Perera, Ranawaka A. P. M.; Mok, Chris K. P.; Tsang, Owen T. Y.; Lv, Huibin; Ko, Ronald L. W.; Wu, Nicholas C.; Yuan, Meng; Leung, Wai Shing; Chan, Jacky M. C.; Chik, Thomas S. H.; Choi, Chris Y. C.; Leung, Kathy; Chan, Kin Ho; Chan, Karl C. K.; Li, Ka-Chi; Wu, Joseph T.; Wilson, Ian A.; Monto, Arnold S.; Poon, Leo L. M.; Peiris, Malik</t>
  </si>
  <si>
    <t>Serological assays for severe acute respiratory syndrome coronavirus 2 (BARS-CoV-2), March 2020</t>
  </si>
  <si>
    <t>INFLUENZA</t>
  </si>
  <si>
    <t>Background: The ongoing coronavirus disease (COVID-19) pandemic has major impacts on health systems, the economy and society. Assessing infection attack rates in the population is critical for estimating disease severity and herd immunity which is needed to calibrate public health interventions. We have previously shown that it is possible to achieve this in real time to impact public health decision making. Aim: Our objective was to develop and evaluate serological assays applicable in large-scale sero-epidemiological studies. Methods: We developed an ELISA to detect IgG and IgM antibodies to the receptor-binding domain (RBD) of the spike protein of severe acute respiratory syndrome coronavirus 2 (SARS-COV-2). We evaluated its sensitivity and specificity in combination with confirmatory microneutralisation (MN) and 90% plaque reduction neutralisation tests (PRNT90) in 51 sera from 24 patients with virotogically confirmed COVID-19 and in age-stratified sera from 200 healthy controls. Results: IgG and IgM RBD ELISA, MN and PRNT90 were reliably positive after 29 days from illness onset with no detectable cross-reactivity in age-stratified controls. We found that PRNT90 tests were more sensitive in detecting antibody than MN tests carried out with the conventional loo tissue culture infectious dose challenge. Heparinised plasma appeared to reduce the infectivity of the virus challenge dose and may confound interpretation of neutralisation test. Conclusion: Using IgG ELISA based on the RBD of the spike protein to screen sera for SARS-CoV-2 antibody, followed by confirmation using PRNT90, is a valid approach for large-scale sero-epidemiology studies.</t>
  </si>
  <si>
    <t>[Perera, Ranawaka A. P. M.; Ko, Ronald L. W.; Leung, Kathy; Chan, Kin Ho; Chan, Karl C. K.; Li, Ka-Chi; Wu, Joseph T.; Poon, Leo L. M.; Peiris, Malik] Univ Hong Kong, Li Ka Shing Fac Med, Sch Publ Hlth, Hong Kong, Peoples R China; [Mok, Chris K. P.; Lv, Huibin; Peiris, Malik] Univ Hong Kong, Li Ka Shing Fac Med, HKU Pasteur Res Pole, Hong Kong, Peoples R China; [Tsang, Owen T. Y.; Leung, Wai Shing; Chan, Jacky M. C.; Chik, Thomas S. H.; Choi, Chris Y. C.] Hosp Author Hong Kong, Princess Margaret Hosp, Infect Dis Ctr, Hong Kong, Peoples R China; [Wu, Nicholas C.; Yuan, Meng; Wilson, Ian A.] Scripps Res Inst, Dept Integrat Struct &amp; Computat Biol, La Jolla, CA USA; [Wilson, Ian A.] Scripps Res Inst, Skaggs Inst Chem Biol, La Jolla, CA USA; [Monto, Arnold S.] Univ Michigan, Sch Publ Hlth, Dept Epidemiol, Ann Arbor, MI 48109 USA</t>
  </si>
  <si>
    <t>University of Hong Kong; University of Hong Kong; Scripps Research Institute; Scripps Research Institute; University of Michigan System; University of Michigan</t>
  </si>
  <si>
    <t>Peiris, M (corresponding author), Univ Hong Kong, Li Ka Shing Fac Med, Sch Publ Hlth, Hong Kong, Peoples R China.;Peiris, M (corresponding author), Univ Hong Kong, Li Ka Shing Fac Med, HKU Pasteur Res Pole, Hong Kong, Peoples R China.</t>
  </si>
  <si>
    <t>US National Institutes of Health [HHSN272201400006C]; Calmette and Yersin scholarship from the Pasteur International Network Association; Guangzhou Medical University High-level University Innovation Team Training Program (Guangzhou Medical University released [2017]) [159]; National Natural Science Foundation of China (NSFC)/Research Grants Council (RGC) Joint Research Scheme [N_HKU737/18]; Bill and Melinda Gates Foundation [OPP1170236]; NIH [K99 AII39445]</t>
  </si>
  <si>
    <t>US National Institutes of Health(United States Department of Health &amp; Human ServicesNational Institutes of Health (NIH) - USA); Calmette and Yersin scholarship from the Pasteur International Network Association; Guangzhou Medical University High-level University Innovation Team Training Program (Guangzhou Medical University released [2017]); National Natural Science Foundation of China (NSFC)/Research Grants Council (RGC) Joint Research Scheme; Bill and Melinda Gates Foundation(Bill &amp; Melinda Gates Foundation); NIH(United States Department of Health &amp; Human ServicesNational Institutes of Health (NIH) - USA)</t>
  </si>
  <si>
    <t>This work was supported by the US National Institutes of Health (contract no. HHSN272201400006C) (J.S. M.P), Calmette and Yersin scholarship from the Pasteur International Network Association (H.L.), Guangzhou Medical University High-level University Innovation Team Training Program (Guangzhou Medical University released [2017] No.159) (C.K.P.M. and J.S.M.P), National Natural Science Foundation of China (NSFC)/Research Grants Council (RGC) Joint Research Scheme (N_HKU737/18) (C.K.P.M. and J.S. M.P), NIH K99 AII39445 (NCW) and Bill and Melinda Gates Foundation OPP1170236 (I. A.W.).</t>
  </si>
  <si>
    <t>APR 23</t>
  </si>
  <si>
    <t>10.2807/1560-7917.ES.2020.25.16.2000421</t>
  </si>
  <si>
    <t>LG8BO</t>
  </si>
  <si>
    <t>WOS:000528319500003</t>
  </si>
  <si>
    <t>Blomqvist, S; Xu, TW; Persitera, P; Låstad, L; Hanson, LLM</t>
  </si>
  <si>
    <t>Blomqvist, Sandra; Xu, Tianwei; Persitera, Paraskevi; Lastad, Lena; Hanson, Linda L. Magnusson</t>
  </si>
  <si>
    <t>Associations between cognitive and affective job insecurity and incident purchase of psychotropic drugs: A prospective cohort study of Swedish employees</t>
  </si>
  <si>
    <t>JOURNAL OF AFFECTIVE DISORDERS</t>
  </si>
  <si>
    <t>Job insecurity; Psychotropic drugs; Marginal structural models</t>
  </si>
  <si>
    <t>PSYCHOSOCIAL WORK-ENVIRONMENT; MENTAL-HEALTH; TEMPORARY EMPLOYMENT; DEPRESSIVE SYMPTOMS; ANXIETY DISORDERS; SLEEP; METAANALYSIS; UNEMPLOYMENT; INDIVIDUALS; PREDICTORS</t>
  </si>
  <si>
    <t>Background: Previous research suggests that job insecurity is associated with poor mental health, but research examining how different aspects of job insecurity relate to clinical measures of poor mental health are lacking. We aimed to investigate the association between cognitive and affective job insecurity and incident purchases of psychotropic drugs. Methods: We included 14,586 employees participating in the Swedish Longitudinal Occupational Survey of Health (SLOSH), who answered questions on cognitive and/or affective job insecurity in 2010, 2012 or 2014. Respondents were followed in the Swedish Prescribed Drug Register (2.5 years on average). We investigated the association between job insecurity and incident psychotropic drugs with marginal structural Cox models. Results: Affective job insecurity was associated with an increased risk of purchasing any psychotropic drugs (Hazard Ratio (HR) 1.40 (95% Confidence Interval (CI) 1.04-1.89)) while cognitive job insecurity was not (HR 1.15 (95% CI 0.92-1.43)). Cognitive and affective job insecurity were both associated with antidepressants, affective job insecurity with anxiolytics, but no association was found with sedatives. Women and younger workers seemed to have higher risk compared to men and older workers, but differences were not statistically significant. Limitations: Although job insecurity and psychotropic drugs were assessed through independent sources and several covariates were considered, unmeasured confounding cannot be ruled out. Conclusions: The findings support that affective job insecurity is a risk factor for psychotropic drug treatment, that it may be relevant to distinguish between different types of job insecurity, and to consider sex and age as moderating factors.</t>
  </si>
  <si>
    <t>[Blomqvist, Sandra; Persitera, Paraskevi; Hanson, Linda L. Magnusson] Stockholm Univ, Stress Res Inst, SE-10691 Stockholm, Sweden; [Xu, Tianwei] Univ Copenhagen, Dept Publ Hlth, Copenhagen, Denmark; [Lastad, Lena] Stockholm Univ, Dept Psychol, Stockholm, Sweden</t>
  </si>
  <si>
    <t>Stockholm University; University of Copenhagen; Stockholm University</t>
  </si>
  <si>
    <t>Blomqvist, S (corresponding author), Stockholm Univ, Stress Res Inst, SE-10691 Stockholm, Sweden.</t>
  </si>
  <si>
    <t>Swedish Research Council for Health, Working Life and Welfare</t>
  </si>
  <si>
    <t>Swedish Research Council for Health, Working Life and Welfare(Swedish Research Council for Health Working Life &amp; Welfare (Forte))</t>
  </si>
  <si>
    <t>We would like to thank the participants of the SLOSH study. We would also like to thank the Swedish Research Council for Health, Working Life and Welfare for funding this project and colleagues at the Stress Research Institute, Stockholm University for enabling this work.</t>
  </si>
  <si>
    <t>0165-0327</t>
  </si>
  <si>
    <t>1573-2517</t>
  </si>
  <si>
    <t>J AFFECT DISORDERS</t>
  </si>
  <si>
    <t>J. Affect. Disord.</t>
  </si>
  <si>
    <t>APR 1</t>
  </si>
  <si>
    <t>10.1016/j.jad.2020.01.078</t>
  </si>
  <si>
    <t>Clinical Neurology; Psychiatry</t>
  </si>
  <si>
    <t>Neurosciences &amp; Neurology; Psychiatry</t>
  </si>
  <si>
    <t>KW0WA</t>
  </si>
  <si>
    <t>WOS:000520892700029</t>
  </si>
  <si>
    <t>Morabe, ML; McCarter, LL</t>
  </si>
  <si>
    <t>Morabe, Maria L.; McCarter, Linda L.</t>
  </si>
  <si>
    <t>Vibrio parahaemolyticus FcrX, a Fur-controlled regulator that inhibits repression by Fur</t>
  </si>
  <si>
    <t>MOLECULAR MICROBIOLOGY</t>
  </si>
  <si>
    <t>Fur; iron homeostasis; nutritionalstress; swarming motility</t>
  </si>
  <si>
    <t>SWARMER CELL-DIFFERENTIATION; IRON UPTAKE SYSTEM; ESCHERICHIA-COLI; CRYSTAL-STRUCTURE; FLAGELLAR MOTOR; GENE-EXPRESSION; PROTEIN; VIRULENCE; CHOLERAE; HOMEOSTASIS</t>
  </si>
  <si>
    <t>Iron is an essential nutrient for most organisms, but its limited availability and inherent toxicity necessitate the strict regulation of iron homeostasis. In bacteria, iron starvation affects a broad range of phenotypes including virulence, motility and biofilm formation. For Vibrio parahaemolyticus, a marine bacterium and pathogen, iron limitation is a signal modulating swarmer cell differentiation. In this work, we show the iron regulation of swarming works through the ferric uptake regulator protein Fur. We identified a new Fur-controlled regulator that is upregulated upon iron starvation. FcrX is a 144-amino acid protein containing a domain of unknown function (DUF2753) with three tetratricopeptide repeats. We found that overexpressing fcrX(+) was sufficient to induce swarming, luminescence and iron uptake gene expression in multiple Vibrio species; furthermore, ectopic expression increased the transcription of a Fur-controlled gene in Escherichia coli. FcrX production increased intracellular iron. Thus, the overexpression of fcrX(+) phenocopied a fur mutant and may prove a generally useful tool to ectopically derepress the Fur regulon. Both V. parahaemolyticus and E. coli Fur interacted with FcrX, and this interaction was altered by iron availability. These data support a model in which this new regulator of iron homeostasis limits the repressive action of Fur.</t>
  </si>
  <si>
    <t>[Morabe, Maria L.; McCarter, Linda L.] Univ Iowa, Dept Microbiol &amp; Immunol, 3-334 BSB, Iowa City, IA 52242 USA</t>
  </si>
  <si>
    <t>University of Iowa</t>
  </si>
  <si>
    <t>McCarter, LL (corresponding author), Univ Iowa, Dept Microbiol &amp; Immunol, 3-334 BSB, Iowa City, IA 52242 USA.</t>
  </si>
  <si>
    <t>linda-mccarter@uiowa.edu</t>
  </si>
  <si>
    <t>Department of Microbiology and Immunology, the University of Iowa</t>
  </si>
  <si>
    <t>We would especially like to thank Michael Vasil and Michael Schurr for sharing the Fur antibodies; this work would not have been possible without their generosity. We also thank Didier Mazel and Magaly Ducos-Galand for providing pSW7848 and Theresa Ho for the E. coli strain H1771. Craig Ellermeier, David Weiss, Bradley Jones and Jeffrey Banas provided valuable comments and we are appreciative. We also thank the other members of the McCarter lab for support. This work was supported by a Developmental Grant to LLM by the Department of Microbiology and Immunology, the University of Iowa.</t>
  </si>
  <si>
    <t>0950-382X</t>
  </si>
  <si>
    <t>1365-2958</t>
  </si>
  <si>
    <t>MOL MICROBIOL</t>
  </si>
  <si>
    <t>Mol. Microbiol.</t>
  </si>
  <si>
    <t>10.1111/mmi.14497</t>
  </si>
  <si>
    <t>MAR 2020</t>
  </si>
  <si>
    <t>Biochemistry &amp; Molecular Biology; Microbiology</t>
  </si>
  <si>
    <t>MJ2KO</t>
  </si>
  <si>
    <t>WOS:000519964300001</t>
  </si>
  <si>
    <t>Ncube, PT; Chitimira, H</t>
  </si>
  <si>
    <t>Ncube, Princess Thembelihle; Chitimira, Howard</t>
  </si>
  <si>
    <t>The statutory prohibition of market manipulation in Zimbabwe</t>
  </si>
  <si>
    <t>JURIDICAL TRIBUNE-TRIBUNA JURIDICA</t>
  </si>
  <si>
    <t>market manipulation; financial markets; offences; penalties</t>
  </si>
  <si>
    <t>Market manipulation includes, inter alia, a practice that interferes or attempts to interfere with the free and fair operation of the securities and financial markets by creating an artificial, false or misleading appearance of the price of, or market for, the relevant securities, commodities or financial instruments. Consequently, market manipulation is treated as an offence in many countries, including Zimbabwe. For instance, market manipulation is expressly prohibited under the Securities Act 17 of 2004 (Chapter 24: 25) as amended (Securities Act 2004). In light of this and for the purposes of this article, the adequacy of the statutory prohibition on market manipulation in Zimbabwe will be examined. Accordingly, selected key elements, types, examples, penalties and definitional aspects of the market manipulation offence under the Securities Act 2004 are discussed. This is done to unpack and examine the adequacy of the Securities Act 2004 in relation to the combating of market manipulation in the Zimbabwean financial markets. It is hoped that the recommendations enumerated in this article will enable policy makers to develop optimal regulatory measures that promote investor protection and effectively combat market manipulation in the Zimbabwean financial markets.</t>
  </si>
  <si>
    <t>[Ncube, Princess Thembelihle; Chitimira, Howard] North West Univ, Fac Law, Potchefstroom, South Africa</t>
  </si>
  <si>
    <t>Ncube, PT (corresponding author), North West Univ, Fac Law, Potchefstroom, South Africa.</t>
  </si>
  <si>
    <t>princessncube22@gmail.com; Howard.Chitimira@nwu.ac.za</t>
  </si>
  <si>
    <t>Chitimira, Howard/0000-0003-1881-1242; Ncube, Princess/0000-0001-5582-9017</t>
  </si>
  <si>
    <t>National Research Foundation of South Africa (NRF) [109232]</t>
  </si>
  <si>
    <t>This research article was supported in part by the National Research Foundation of South Africa (NRF), Grant Number: 109232. In this regard, the authors wish to thank the NRF for its valuable support. The article was also influenced in part by Princess Thembelihle Ncube's Master of Laws (LLM) dissertation entitled A Comparative Analysis of the Regulation of Market Manipulation in Zimbabwe (North West University, 2018) 41-58. Accordingly, she acknowledges the expert input of Prof Chitimira.</t>
  </si>
  <si>
    <t>EDITURA ASE</t>
  </si>
  <si>
    <t>BUCURESTI</t>
  </si>
  <si>
    <t>PIATA ROMANA, NR 6, SECTOR 1, BUCURESTI, 701731, ROMANIA</t>
  </si>
  <si>
    <t>2247-7195</t>
  </si>
  <si>
    <t>2248-0382</t>
  </si>
  <si>
    <t>JURID TRIB</t>
  </si>
  <si>
    <t>Jurid. Trib.</t>
  </si>
  <si>
    <t>KY4QJ</t>
  </si>
  <si>
    <t>WOS:000522553500009</t>
  </si>
  <si>
    <t>Sah, Ranjit; Rodriguez-Morales, Alfonso J.; Jha, Runa; Chu, Daniel K. W.; Gu, Haogao; Peiris, Malik; Bastola, Anup; Lal, Bibek Kumar; Ojha, Hemant Chanda; Rabaan, Ali A.; Zambrano, Lysien, I; Costello, Anthony; Morita, Kouichi; Pandey, Basu Dev; Poon, Leo L. M.</t>
  </si>
  <si>
    <t>Complete Genome Sequence of a 2019 Novel Coronavirus (SARS-CoV-2) Strain Isolated in Nepal (Publication with Expression of Concern. See vol. 10, 2021)</t>
  </si>
  <si>
    <t>MICROBIOLOGY RESOURCE ANNOUNCEMENTS</t>
  </si>
  <si>
    <t>Article; Publication with Expression of Concern</t>
  </si>
  <si>
    <t>A complete genome sequence was obtained for a severe acute respiratory syndrome coronavirus 2 (SARS-CoV-2) strain isolated from an oropharyngeal swab specimen of a Nepalese patient with coronavirus disease 2019 (COVID-19), who had returned to Nepal after traveling to Wuhan, China.</t>
  </si>
  <si>
    <t>[Sah, Ranjit; Jha, Runa] Natl Publ Hlth Lab, Kathmandu, Nepal; [Rodriguez-Morales, Alfonso J.] Univ Tecnol Pereira, Fac Hlth Sci, Publ Hlth &amp; Infect Res Grp, Pereira, Risaralda, Colombia; [Rodriguez-Morales, Alfonso J.] Fdn Univ Autonoma Amer, Fac Med, Grp Invest Biomed, Pereira, Risaralda, Colombia; [Chu, Daniel K. W.; Gu, Haogao; Peiris, Malik; Poon, Leo L. M.] Univ Hong Kong, LKS Fac Med, Sch Publ Hlth, Hong Kong, Peoples R China; [Bastola, Anup; Pandey, Basu Dev] Sukraraj Trop &amp; Infect Dis Hosp, Kathmandu, Nepal; [Lal, Bibek Kumar; Ojha, Hemant Chanda] Govt Nepal, Epidemiol &amp; Dis Control Div, Kathmandu, Nepal; [Rabaan, Ali A.] Johns Hopkins Aramco Healthcare, Dhahran, Saudi Arabia; [Zambrano, Lysien, I] Univ Nacl Autonoma Honduras, Sch Med Sci, Dept Physiol, Tegucigalpa, Honduras; [Zambrano, Lysien, I] Univ Nacl Autonoma Honduras, Sch Med Sci, Dept Morphol Sci, Tegucigalpa, Honduras; [Costello, Anthony] UCL, Global Hlth &amp; Sustainable Dev, London, England; [Morita, Kouichi] Nagasaki Univ, Inst Trop Med, Dept Virol, Nagasaki, Japan</t>
  </si>
  <si>
    <t>Universidad Tecnologica de Pereira; University of Hong Kong; Johns Hopkins Aramco Healthcare; Johns Hopkins University; Johns Hopkins Medicine; Universidad Nacional Autonoma de Honduras; Universidad Nacional Autonoma de Honduras; University of London; University College London; Nagasaki University</t>
  </si>
  <si>
    <t>Sah, R (corresponding author), Natl Publ Hlth Lab, Kathmandu, Nepal.</t>
  </si>
  <si>
    <t>ranjitsah@iom.edu.np</t>
  </si>
  <si>
    <t>UNAH [CU-0-041-05-2014/03-2014]</t>
  </si>
  <si>
    <t>UNAH</t>
  </si>
  <si>
    <t>The Facultad de Ciencias Medicas (FCM) (2-03-01-01), National Autonomous University of Honduras, Tegucigalpa, MDC, Honduras, supported the publication fees of this article. L.I.Z. was the recipient of the UNAH CU-0-041-05-2014/03-2014 scholarship.</t>
  </si>
  <si>
    <t>2576-098X</t>
  </si>
  <si>
    <t>MICROBIOL RESOUR ANN</t>
  </si>
  <si>
    <t>Microbiol. Resour. Ann.</t>
  </si>
  <si>
    <t>e00169-20</t>
  </si>
  <si>
    <t>10.1128/MRA.00169-20</t>
  </si>
  <si>
    <t>KU8YJ</t>
  </si>
  <si>
    <t>WOS:000520001100014</t>
  </si>
  <si>
    <t>Frías, AS</t>
  </si>
  <si>
    <t>Sanchez Frias, Alejandro</t>
  </si>
  <si>
    <t>BRINGING TERRORISTS TO JUSTICE IN THE CONTEXT OF ARMED CONFLICT: INTERACTION BETWEEN INTERNATIONAL HUMANITARIAN LAW AND THE UN CONVENTIONS AGAINST TERRORISM</t>
  </si>
  <si>
    <t>ISRAEL LAW REVIEW</t>
  </si>
  <si>
    <t>foreign terrorist fighters; cooperation in criminal matters; international humanitarian law; sectoral conventions against terrorism; simultaneous application</t>
  </si>
  <si>
    <t>HUMAN-RIGHTS; TIGERS; COURT; CRIME; WAR</t>
  </si>
  <si>
    <t>The participation of foreign fighters on the side of terrorist groups has raised many questions about the legal basis for the criminal prosecution of acts of terror during armed conflicts. In cases regarding the commission of terrorist crimes with transnational elements, such as the foreign nationality of the alleged perpetrator, cooperation with other states in matters such as extradition or mutual legal assistance can be crucial. This study will analyse two regimes that may constitute a legal basis for cooperation in criminal matters against acts of terror committed during armed conflicts: (i) the rules on criminal responsibility under international humanitarian law (IHL), and (ii) the United Nations framework of anti-terrorist conventions. IHL has been seen by many as the only framework applicable to acts committed during armed conflicts. In contrast, the position adopted in this article is that IHL does not necessarily exclude the application of other regimes to acts committed during armed conflicts, which can serve as a complementary tool in international efforts for the prevention and suppression of terrorism.</t>
  </si>
  <si>
    <t>[Sanchez Frias, Alejandro] Univ Malaga, Publ Int Law &amp; Int Relat, Malaga, Spain</t>
  </si>
  <si>
    <t>Universidad de Malaga</t>
  </si>
  <si>
    <t>Frías, AS (corresponding author), Univ Malaga, Publ Int Law &amp; Int Relat, Malaga, Spain.</t>
  </si>
  <si>
    <t>alejandro.sanchez_frias@coleurope.eu</t>
  </si>
  <si>
    <t>Sanchez Frias, Alejandro/0000-0001-8301-2434</t>
  </si>
  <si>
    <t>Spanish Ministry of Education, Culture and Sport [FPU/2015-06775]; research project 'Los muros y el derecho internacional contemporaneo: implicaciones para la seguridad, la dignidad de la persona y el desarrollo sostenible' from the Spanish Ministry of Economy, Industry and Competitiveness [DER2015-65486-R]; Andalusian Research Group 'Proteccion Internacional de los Derechos Humanos, Seguridad y Medio Ambiente' [SEJ-593]</t>
  </si>
  <si>
    <t>Spanish Ministry of Education, Culture and Sport; research project 'Los muros y el derecho internacional contemporaneo: implicaciones para la seguridad, la dignidad de la persona y el desarrollo sostenible' from the Spanish Ministry of Economy, Industry and Competitiveness; Andalusian Research Group 'Proteccion Internacional de los Derechos Humanos, Seguridad y Medio Ambiente'</t>
  </si>
  <si>
    <t>Postdoctoral Research Fellow in Public International Law and International Relations, Universidad de Malaga; LLM in European Law (College of Europe, Bruges (Belgium)) and Master in EU Studies (Universidad de Salamanca (Spain));alejandro.sanchez_frias@coleurope.eu. This study was supported by the scholarship FPU/2015-06775 from the Spanish Ministry of Education, Culture and Sport; by the research project 'Los muros y el derecho internacional contemporaneo: implicaciones para la seguridad, la dignidad de la persona y el desarrollo sostenible (DER2015-65486-R)' from the Spanish Ministry of Economy, Industry and Competitiveness; the Andalusian Research Group 'Proteccion Internacional de los Derechos Humanos, Seguridad y Medio Ambiente' (SEJ-593), both led by Professor Ana Salinas de Frias; and the research project led by Dr Marta Fernandez Cabrera, 'Analisis de las ultimas reformas en materia de terrorismo: una aproximacion interdisciplinar', of the University of Malaga. This article is a revised version of the introductory paper I delivered on 13 November 2018 in Jerusalem at the 13th Annual Minerva/ICRC Conference on International Humanitarian Law. I had the benefit of perceptive and useful comments by the participants at this event and by the anonymous reviewers of the Israel Law Review. Any errors that remain are my own.</t>
  </si>
  <si>
    <t>32 AVENUE OF THE AMERICAS, NEW YORK, NY 10013-2473 USA</t>
  </si>
  <si>
    <t>0021-2237</t>
  </si>
  <si>
    <t>2047-9336</t>
  </si>
  <si>
    <t>ISR LAW REV</t>
  </si>
  <si>
    <t>Isr. Law Rev.</t>
  </si>
  <si>
    <t>10.1017/S0021223719000220</t>
  </si>
  <si>
    <t>KH3GT</t>
  </si>
  <si>
    <t>WOS:000510535200004</t>
  </si>
  <si>
    <t>Wu, Q; Li, MQ; Hu, QN; Zhang, ZW; Zhu, WH</t>
  </si>
  <si>
    <t>Wu, Qiong; Li, Mingqun; Hu, Qinnan; Zhang, Zewu; Zhu, Weihua</t>
  </si>
  <si>
    <t>Effects of boron doping on structural, electronic, elastic, and optical properties of energetic crystal 2,6-diamino-3,5-dinitropyrazine-1-oxide: a theoretical study using the first principles calculation and Hirshfeld surface analysis</t>
  </si>
  <si>
    <t>JOURNAL OF MOLECULAR MODELING</t>
  </si>
  <si>
    <t>Boron; Doping; HSE06; Hirshfeld surface analysis; Energetic crystals</t>
  </si>
  <si>
    <t>Boron-contained compounds are one kind of new energetic materials, and have been synthesized successfully lately. However, the effects of introduced boron atoms into the energetic system are unclear. In this work, using the known insensitive energy crystal 2,6-diamino-3,5-dinitropyrazine-l-oxide (LLM-105) as the model compound, boron doping effects on its crystal structure, band gap and structure, intermolecular contacts, sensitivity, elastic property, optical absorption behavior, and dielectric function were studied by the first principles calculations and Hirshfeld surface analysis. One B atom was doped at four different doping sites in the ring (two kinds of nitrogen N1/N2 and carbon atoms C3/C4), respectively, and formed four new crystals LLM-105-B1/B2/B3/B4. The results showed that the B atom and its doping site both make great influence on the structure and properties. The B doping obviously decreased the band gap and weakened the strength of intermolecular contacts, giving rise to higher sensitivity and worse safety. Especially for LLM-105-B4 which has a 0 eV value of band gap, the doped B atom made great contributions to the density of states around the Fermi level, leading to the suddenly move down of lowest unoccupied molecular orbital and directly link of total density of states at the Fermi level. Doping the B atom at the site C3 improved the ductility and plasticity of LLM-105, while LLM-105-B2 was found to be the most brittle and anisotropic crystal. Doping B atoms at sites N2 and C4 increased the absorption to green, orange, and red lights, while the absorption strength to the infrared light was enhanced in most cases. The dielectric constant and polarity were significantly increased by doping boron atoms at sites C3 and C4.</t>
  </si>
  <si>
    <t>[Wu, Qiong; Li, Mingqun; Hu, Qinnan; Zhang, Zewu] Nanjing Inst Technol, Sch Mat Sci &amp; Engn, Jiangsu Key Lab Adv Struct Mat &amp; Applicat Technol, 1 Hongjing Rd, Nanjing 211167, Peoples R China; [Zhu, Weihua] Nanjing Univ Sci &amp; Technol, Inst Computat Mol &amp; Mat Sci, Nanjing 210094, Peoples R China; [Zhu, Weihua] Nanjing Univ Sci &amp; Technol, Dept Chem, Nanjing 210094, Peoples R China</t>
  </si>
  <si>
    <t>Nanjing Institute of Technology; Nanjing University of Science &amp; Technology; Nanjing University of Science &amp; Technology</t>
  </si>
  <si>
    <t>Wu, Q (corresponding author), Nanjing Inst Technol, Sch Mat Sci &amp; Engn, Jiangsu Key Lab Adv Struct Mat &amp; Applicat Technol, 1 Hongjing Rd, Nanjing 211167, Peoples R China.</t>
  </si>
  <si>
    <t>qwunjit@163.com</t>
  </si>
  <si>
    <t>Wu, QIONG/P-4548-2014</t>
  </si>
  <si>
    <t>Wu, Qiong/0000-0001-7599-8643; Zhu, Weihua/0000-0002-0295-8744</t>
  </si>
  <si>
    <t>Natural Science Foundation of Jiangsu [BK20170761, BK20160774]; Natural Science Foundation of Nanjing Institute of Technology [JCYJ201806, CKJA201603]; Jiangsu Key Laboratory Opening Project of Advanced Structural Materials and Application Technology [ASMA201707]; Outstanding Scientific and Technological Innovation Team in Colleges and Universities of Jiangsu Province; Jiangsu Overseas Visiting Scholar Program for University Prominent Young &amp; Middle-aged Teachers and Presidents</t>
  </si>
  <si>
    <t>Natural Science Foundation of Jiangsu(Natural Science Foundation of Jiangsu Province); Natural Science Foundation of Nanjing Institute of Technology; Jiangsu Key Laboratory Opening Project of Advanced Structural Materials and Application Technology; Outstanding Scientific and Technological Innovation Team in Colleges and Universities of Jiangsu Province; Jiangsu Overseas Visiting Scholar Program for University Prominent Young &amp; Middle-aged Teachers and Presidents</t>
  </si>
  <si>
    <t>The present work was supported by the Natural Science Foundation of Jiangsu (BK20170761, BK20160774), the Natural Science Foundation of Nanjing Institute of Technology (JCYJ201806, CKJA201603), the Jiangsu Key Laboratory Opening Project of Advanced Structural Materials and Application Technology (ASMA201707), Outstanding Scientific and Technological Innovation Team in Colleges and Universities of Jiangsu Province, and Jiangsu Overseas Visiting Scholar Program for University Prominent Young &amp; Middle-aged Teachers and Presidents.</t>
  </si>
  <si>
    <t>1610-2940</t>
  </si>
  <si>
    <t>0948-5023</t>
  </si>
  <si>
    <t>J MOL MODEL</t>
  </si>
  <si>
    <t>J. Mol. Model.</t>
  </si>
  <si>
    <t>FEB 3</t>
  </si>
  <si>
    <t>10.1007/s00894-020-4310-2</t>
  </si>
  <si>
    <t>Biochemistry &amp; Molecular Biology; Biophysics; Chemistry, Multidisciplinary; Computer Science, Interdisciplinary Applications</t>
  </si>
  <si>
    <t>Biochemistry &amp; Molecular Biology; Biophysics; Chemistry; Computer Science</t>
  </si>
  <si>
    <t>KN1CM</t>
  </si>
  <si>
    <t>WOS:000514577500001</t>
  </si>
  <si>
    <t>Knight, L; Voon, T</t>
  </si>
  <si>
    <t>Knight, Lizzie; Voon, Tania</t>
  </si>
  <si>
    <t>The Evolution of National Security at the Interface Between Domestic and International Investment Law and Policy: The Role of China</t>
  </si>
  <si>
    <t>China; data; foreign investment; international law; investment law; national security</t>
  </si>
  <si>
    <t>As China's economy grows and the global economy increasingly digitalises, security takes on heightened significance. Security exceptions exist in numerous investment agreements and domestic regulatory frameworks for reviewing foreign investments. These reviews have shifted to focus on China, particularly for investments involving data. Continued expansion of security as a basis for rejecting investment applications threatens economic integration, while allowing international tribunals to review these decisions by ruling on this exception may be counterproductive. Alternatives exist at domestic and international levels. Domestically, a focus on evidence-based assessments and the imposition of conditions may mitigate security concerns. International guidelines and principles are already established to assist investors and investment agencies. Further international rule reform may allow agreed solutions to data concerns in place of security as a catch-all response to perceived threats of foreign investment.</t>
  </si>
  <si>
    <t>[Knight, Lizzie] Corrs Chambers Westgarth, Melbourne, Vic, Australia; [Voon, Tania] Univ Melbourne, Melbourne, Vic, Australia</t>
  </si>
  <si>
    <t>Knight, L (corresponding author), Corrs Chambers Westgarth, Melbourne, Vic, Australia.</t>
  </si>
  <si>
    <t>lizzie.knight@corrs.com.au; tania.voon@unimelb.edu.au</t>
  </si>
  <si>
    <t>Voon, Tania/0000-0001-7925-9389</t>
  </si>
  <si>
    <t>Australian Research Council [DP130100838]</t>
  </si>
  <si>
    <t>Australian Research Council(Australian Research Council)</t>
  </si>
  <si>
    <t>Lizzie Knight is a Partner at Corrs Chambers Westgarth; LLB (Hons) (Monash); BA (Monash). Tania Voon is a Professor at Melbourne Law School; PhD (Cantab); LLM (Harv); Dip Int Law (Melb); LLB (Hons) (Melb); BSc (Melb). This article arises from independent research and does not necessarily reflect the views of any employer, client, or other entity. Part of this article is based on research funded by the Australian Research Council pursuant to the Discovery Project scheme (Project ID DP130100838). We thank the Academic Research Service at Melbourne Law School and Anna Bohacova, for valuable assistance in identifying and citing relevant sources, and Georgios Dimitropoulos, Neha Mishra, Andrew Mitchell, James Munro, Elizabeth Sheargold, and Peter Tzeng, for helpful comments. We are grateful for comments and questions from fellow panellists and participants at the Joint North American Conference on International Economic Law, hosted in Montreal on 21-22 September 2018 by the American Society of International Law, the Canadian Council on International Law, the Centre for International Governance Innovation, and McGill University. This article arose from research and discussion at the Workshop on `Comparative and International Investment Law: Prospects for Reform' hosted by the HBKU College of Law in Doha on 22 April 2018. The article was largely written in September 2018. Any errors or omissions are ours.</t>
  </si>
  <si>
    <t>10.1163/22119000-12340169</t>
  </si>
  <si>
    <t>KN4KU</t>
  </si>
  <si>
    <t>WOS:000514808400005</t>
  </si>
  <si>
    <t>Mondaca, LL; Da-Costa, N; Protasov, A; Ben-Yehuda, S; Peisahovich, A; Mendel, Z; Ment, D</t>
  </si>
  <si>
    <t>Mondaca, Lilach Lily; Da-Costa, Noam; Protasov, Alex; Ben-Yehuda, Shaul; Peisahovich, Alla; Mendel, Zvi; Ment, Dana</t>
  </si>
  <si>
    <t>Activity of Metarhizium brunneum and Beauveria bassiana against early developmental stages of the false codling moth Thaumatotibia leucotreta</t>
  </si>
  <si>
    <t>JOURNAL OF INVERTEBRATE PATHOLOGY</t>
  </si>
  <si>
    <t>Entomopathogenic fungus; Thaumatotibia leucotreta; Egg; Larva; Humidity regime; Persistence</t>
  </si>
  <si>
    <t>ENTOMOPATHOGENIC FUNGI; BIOLOGICAL-CONTROL; RELATIVE-HUMIDITY; CONTROL AGENTS; TEMPERATURE; ANISOPLIAE; LEPIDOPTERA; GERMINATION; CONIDIA; EGGS</t>
  </si>
  <si>
    <t>This study evaluated the efficacy of two entomopathogenic Hypocrealean fungi, Metarhizium brunneum (laboratory isolate) and Beauveria bassiana (the commercial product Botanigard), for preventative control of the false codling moth, Thaumatotibia leucotreta. The mortality of eggs and first instar larvae was studied in three different assays. First, fungal virulence was examined under optimal laboratory conditions (25 degrees C, 85% RH) by placing T. leucotreta eggs on conidia-impregnated filter paper. One-day-old eggs and first instar larvae were susceptible to both fungi. In contrast, 5-day-old eggs (advanced embryo development) were susceptible to M. brunneum, but not to B. bassiana. The activity of both fungi against eggs was assessed under two humidity regimes: 85% RH-optimal for fungal germination, and 60% RH-the average humidity in the laboratory. Pieces of parchment paper serving as oviposition surfaces were treated with each of the fungi and introduced to gravid females at different time points after inoculation (0, 2, 7 and 14 days). Although the tested fungal species differed in their virulence to T. leucotreta eggs, both reduced hatching rate under both humidity regimes to 8.3-58.3%, compared to 71.7-83.3% in the control treatments. To evaluate reduction of T. leucotreta infestation of fruit, 'Ori' citrus fruit (easy peeler Citrus sinensis) were treated with each of the fungi. Eggs were placed on the fruit peels and the fruit were maintained under room conditions (25 degrees C, 60% RH). Between 41.7% and 54.1% of fruit in control groups were infested by the T. leucotreta larvae. Treatments with either of the fungi resulted in about 16% infestation of the fruit with larvae, a marked (3.3-fold) reduction.</t>
  </si>
  <si>
    <t>[Mondaca, Lilach Lily; Peisahovich, Alla] Sapir Acad Coll, Dept First Year Sci, IL-7916500 Ashqelon, Israel; [Da-Costa, Noam; Protasov, Alex; Mendel, Zvi; Ment, Dana] ARO, Volcani Ctr, Dept Entomol &amp; Nematol, Plant Protect Inst, 68 HaMaccab Rd, IL-7505101 Rishon Leziyyon, Israel; [Ben-Yehuda, Shaul] Minist Agr &amp; Rural Dev, Extens Serv, 68 HaMaccab Rd, IL-7505101 Rishon Leziyyon, Israel</t>
  </si>
  <si>
    <t>VOLCANI INSTITUTE OF AGRICULTURAL RESEARCH</t>
  </si>
  <si>
    <t>Ment, D (corresponding author), ARO, Volcani Ctr, Dept Entomol &amp; Nematol, Plant Protect Inst, 68 HaMaccab Rd, IL-7505101 Rishon Leziyyon, Israel.</t>
  </si>
  <si>
    <t>danam@agri.gov.il</t>
  </si>
  <si>
    <t>Ment, Dana/0000-0003-1236-7312</t>
  </si>
  <si>
    <t>ARO; Sapir Academic College</t>
  </si>
  <si>
    <t>This study was partially funded by the ARO to DM and by Sapir Academic College to LLM.</t>
  </si>
  <si>
    <t>0022-2011</t>
  </si>
  <si>
    <t>1096-0805</t>
  </si>
  <si>
    <t>J INVERTEBR PATHOL</t>
  </si>
  <si>
    <t>J. Invertebr. Pathol.</t>
  </si>
  <si>
    <t>10.1016/j.jip.2019.107312</t>
  </si>
  <si>
    <t>MQ3VU</t>
  </si>
  <si>
    <t>WOS:000552825100002</t>
  </si>
  <si>
    <t>Patel, V; Dial, K; Wu, JQ; Gauthier, AG; Wu, WJ; Lin, M; Espey, MG; Thomas, DD; Ashby, CR; Mantell, LL</t>
  </si>
  <si>
    <t>Patel, Vivek; Dial, Katelyn; Wu, Jiaqi; Gauthier, Alex G.; Wu, Wenjun; Lin, Mosi; Espey, Michael G.; Thomas, Douglas D.; Ashby, Charles R., Jr.; Mantell, Lin L.</t>
  </si>
  <si>
    <t>Dietary Antioxidants Significantly Attenuate Hyperoxia-Induced Acute Inflammatory Lung Injury by Enhancing Macrophage Function via Reducing the Accumulation of Airway HMGB1</t>
  </si>
  <si>
    <t>ascorbic acid; sulforaphane; HALI; ARDS; HMGB1; Nrf2; dietary antioxidants; macrophages; oxidative stress; phagocytosis</t>
  </si>
  <si>
    <t>OXYGEN RADICAL PRODUCTION; ASCORBIC-ACID; PSEUDOMONAS-AERUGINOSA; MOLECULAR-MECHANISMS; VITAMIN-C; NRF2; INHIBITION; PROTEIN; SYSTEM; HIGH-MOBILITY-GROUP-BOX-1</t>
  </si>
  <si>
    <t>Mechanical ventilation with hyperoxia is the major supportive measure to treat patients with acute lung injury and acute respiratory distress syndrome (ARDS). However, prolonged exposure to hyperoxia can induce oxidative inflammatory lung injury. Previously, we have shown that high levels of airway high-mobility group box 1 protein (HMGB1) mediate hyperoxia-induced acute lung injury (HALI). Using both ascorbic acid (AA, also known as vitamin C) and sulforaphane (SFN), an inducer of nuclear factor (erythroid-derived 2)-like 2 (Nrf2), we tested the hypothesis that dietary antioxidants can mitigate HALI by ameliorating HMGB1-compromised macrophage function in phagocytosis by attenuating hyperoxia-induced extracellular HMGB1 accumulation. Our results indicated that SFN, which has been shown to attenute HALI in mice exposed to hyperoxia, dose-dependently restored hyperoxia-compromised macrophage function in phagocytosis (75.9 +/- 3.5% in 0.33 mu M SFN versus 50.7 +/- 1.8% in dimethyl sulfoxide (DMSO) control, p &lt; 0.05) by reducing oxidative stress and HMGB1 release from cultured macrophages (47.7 +/- 14.7% in 0.33 mu M SFN versus 93.1 +/- 14.6% in DMSO control, p &lt; 0.05). Previously, we have shown that AA enhances hyperoxic macrophage functions by reducing hyperoxia-induced HMGB1 release. Using a mouse model of HALI, we determined the effects of AA on hyperoxia-induced inflammatory lung injury. The i.p. administration of 50 mg/kg of AA to mice exposed to 72 h of &gt;= 98% O-2 significantly decreased hyperoxia-induced oxidative and nitrosative stress in mouse lungs. There was a significant decrease in the levels of airway HMGB1 (43.3 +/- 12.2% in 50 mg/kg AA versus 96.7 +/- 9.39% in hyperoxic control, p &lt; 0.05), leukocyte infiltration (60.39 +/- 4.137% leukocytes numbers in 50 mg/kg AA versus 100 +/- 5.82% in hyperoxic control, p &lt; 0.05) and improved lung integrity in mice treated with AA. Our study is the first to report that the dietary antioxidants, ascorbic acid and sulforaphane, ameliorate HALI and attenuate hyperoxia-induced macrophage dysfunction through an HMGB1-mediated pathway. Thus, dietary antioxidants could be used as potential treatments for oxidative-stress-induced acute inflammatory lung injury in patients receiving mechanical ventilation.</t>
  </si>
  <si>
    <t>[Patel, Vivek; Dial, Katelyn; Wu, Jiaqi; Gauthier, Alex G.; Wu, Wenjun; Lin, Mosi; Ashby, Charles R., Jr.; Mantell, Lin L.] St Johns Univ Queens, Coll Pharm, Dept Pharmaceut Sci, Queens, NY 11439 USA; [Espey, Michael G.] NCI, Bethesda, MD 20892 USA; [Thomas, Douglas D.] Univ Illinois, Dept Med Chem &amp; Pharmacognosy, Chicago, IL 60612 USA; [Mantell, Lin L.] Northwell Hlth Syst, Feinstein Inst Med Res, Manhasset, NY 11030 USA</t>
  </si>
  <si>
    <t>Saint John's University; National Institutes of Health (NIH) - USA; NIH National Cancer Institute (NCI); University of Illinois System; University of Illinois Chicago; University of Illinois Chicago Hospital; Northwell Health</t>
  </si>
  <si>
    <t>Mantell, LL (corresponding author), St Johns Univ Queens, Coll Pharm, Dept Pharmaceut Sci, Queens, NY 11439 USA.;Mantell, LL (corresponding author), Northwell Hlth Syst, Feinstein Inst Med Res, Manhasset, NY 11030 USA.</t>
  </si>
  <si>
    <t>patelvivek85@gmail.com; katelyn.dia112@my.stjohns.edu; jiaqi.wu16@stjohns.edu; alex.gauthier15@my.stjohns.edu; wwjcpu@gmail.com; lms.47ace@gmail.com; michael.espey@nih.gov; ddthomas@uic.edu; cnsratdoc@optonline.net; mantelll@stjohns.edu</t>
  </si>
  <si>
    <t>10.3390/ijms21030977</t>
  </si>
  <si>
    <t>KY4PQ</t>
  </si>
  <si>
    <t>WOS:000522551605016</t>
  </si>
  <si>
    <t>Swiggart, WH; Bills, JL; Penberthy, JK; Dewey, CM; Worley, LLM</t>
  </si>
  <si>
    <t>Swiggart, William H.; Bills, James L.; Penberthy, J. Kim; Dewey, Charlene M.; Worley, Linda L. M.</t>
  </si>
  <si>
    <t>A Professional Development Course Improves Unprofessional Physician Behavior</t>
  </si>
  <si>
    <t>JOINT COMMISSION JOURNAL ON QUALITY AND PATIENT SAFETY</t>
  </si>
  <si>
    <t>ACCOUNTABILITY; DOCTORS; MODEL</t>
  </si>
  <si>
    <t>Background: In 2008 The Joint Commission issued a Sentinel Event Alert that further defined behaviors that undermine a culture of safety, stating that intimidating and disruptive behaviors can result in medical errors that affect patient care and safety. The American College of Physician Executives found that more than 95% of respondents encountered disturbing... and potentially dangerous behaviors on a regular basis. The purpose of this study is to evaluate the effectiveness of a professional development program on unprofessional physician behaviors using the B29TM, a reliable and valid tool to assess workplace behaviors. Methods: A pre-post study design was used to measure changes in physicians' unprofessional behaviors using the B29, a 35-item, Web-based survey. The survey is completed as a 360 degrees assessment by peers, colleagues, administrators, and staff, and the physician completes a self-assessment. In most cases, the survey is voluntary. Those who completed both a precourse and a postcourse survey made up a convenience sample or subset of the larger number of physicians who completed the course. Results: Twenty-four of 28 physicians in the study experienced an improvement in professional behavior, demonstrated as a decrease in the number of lowest-rated items. The mean decrease for all 28 physicians was 51.1%. Lowest-rated items improved an average of 53.5% overall. T-scores increased (also improved) for 24 of 28 physicians over the six-month period. Conclusion: Unprofessional behavior by physicians, as observed and reported by their peers and colleagues, can be posi-tively modified by a relatively brief education program focused on teaching professionalism.</t>
  </si>
  <si>
    <t>[Swiggart, William H.] Vanderbilt Univ, Med Ctr, Dept Med, Nashville, TN 37235 USA; [Swiggart, William H.] VUMC, CPH, Nashville, TN 37235 USA; [Bills, James L.] CPH, Hlth Serv Res, Nashville, TN USA; [Penberthy, J. Kim] Univ Virginia, Sch Med, Dept Psychiat &amp; Neurobehav Sci, Res Psychiat Med, Charlottesville, VA 22903 USA; [Dewey, Charlene M.] VUMC, Dept Med, Nashville, TN USA; [Dewey, Charlene M.] CPH, Prescribing Controlled Drugs Course, Nashville, TN USA; [Worley, Linda L. M.] Univ Arkansas Med Sci, Coll Med, Little Rock, AR 72205 USA; [Worley, Linda L. M.] CPH Program Distressed Phys, Nashville, TN USA</t>
  </si>
  <si>
    <t>Vanderbilt University; University of Virginia; University of Arkansas System; University of Arkansas Medical Sciences</t>
  </si>
  <si>
    <t>Swiggart, WH (corresponding author), Vanderbilt Univ, Med Ctr, Dept Med, Nashville, TN 37235 USA.;Swiggart, WH (corresponding author), VUMC, CPH, Nashville, TN 37235 USA.</t>
  </si>
  <si>
    <t>william.swiggart@vumc.org</t>
  </si>
  <si>
    <t>Penberthy, Jennifer Kim/ITU-1798-2023</t>
  </si>
  <si>
    <t>Penberthy, Jennifer Kim/0000-0001-5717-2231; Worley, Linda/0000-0002-1907-4486</t>
  </si>
  <si>
    <t>1553-7250</t>
  </si>
  <si>
    <t>1938-131X</t>
  </si>
  <si>
    <t>JT COMM J QUAL PATIE</t>
  </si>
  <si>
    <t>Jt. Comm. J. Qual. Patient Saf.</t>
  </si>
  <si>
    <t>10.1016/j.jcjq.2019.11.004</t>
  </si>
  <si>
    <t>Health Care Sciences &amp; Services</t>
  </si>
  <si>
    <t>KF9QH</t>
  </si>
  <si>
    <t>WOS:000509577100002</t>
  </si>
  <si>
    <t>Xu, ZL; Chen, Q; Li, XD; Wang, JK; Wang, XQ; Gao, C; Dai, RC; Wang, ZP; Huang, SL; Liu, Y; Li, HZ; Zhang, ZM</t>
  </si>
  <si>
    <t>Xu, Zilong; Chen, Qiao; Li, Xiangdong; Wang, Junke; Wang, Xiangqi; Gao, Chan; Dai, Rucheng; Wang, Zhongping; Huang, Shiliang; Liu, Yu; Li, Hongzhen; Zhang, Zengming</t>
  </si>
  <si>
    <t>Electronic Structure of LLM-105 Crystal under High Pressure and Low Temperature</t>
  </si>
  <si>
    <t>JOURNAL OF PHYSICAL CHEMISTRY C</t>
  </si>
  <si>
    <t>ENERGETIC MATERIALS; 4 POLYMORPHS; 1ST-PRINCIPLES; 2,6-DIAMINO-3,5-DINITROPYRAZINE-1-OXIDE</t>
  </si>
  <si>
    <t>The electronic structural evolution of LLM-105 crystal under high pressure and low temperature is investigated by photoluminescence, absorption, Raman spectra, and density functional theory (DFT) calculations. The result shows that the LLM-105 crystal possesses a large tunable indirect band gap from 2.45 eV at the ambient condition to. 1.33 eV at 34.0 GPa. With increasing pressure at room temperature, the luminescence of LLM-105 crystal first increases in intensity owing to the raised absorption at excited wavelength and the enhanced hydrogenbond network; then, over 9.0 GPa, the increase of nonradiative transition probability causes the decrease of emission intensity due to the increase of phonon energy. In the cooling process under high pressure, the emission is enhanced due to the lower phonon energy and the pressure value at maximum emission can be adjusted up to 10.2 GPa at 200 K from 9 GPa at room temperature. The absorption evolution reveals that the band gap of LLM-105 crystal decreases as the pressure increases and an electronic structure phase transition occurred at about 10 GPa. The DFT calculation indicated that it is attributed to the electronic transfer abrupt change from the exposed oxygen atom to the amino groups at about 10 GPa, which also reduces the band gap red shift rate. A pressure-induced structure phase transition occurs at 26.5 GPa indicated by a sudden decrease of band gap. This material is expected to be metalized under further compression up to about 250 GPa.</t>
  </si>
  <si>
    <t>[Dai, Rucheng; Wang, Zhongping; Zhang, Zengming] Univ Sci &amp; Technol China, Ctr Phys Expt, Hefei 230026, Anhui, Peoples R China; [Huang, Shiliang; Liu, Yu; Li, Hongzhen] China Acad Engn Phys, Inst Chem Mat, Mianyang 621900, Sichuan, Peoples R China; [Zhang, Zengming] Univ Sci &amp; Technol China, Chinese Acad Sci, Sch Phys Sci, Key Lab Strongly Coupled Quantum Matter Phys, Hefei 230026, Anhui, Peoples R China; [Xu, Zilong; Chen, Qiao; Li, Xiangdong; Wang, Junke; Wang, Xiangqi; Gao, Chan] Univ Sci &amp; Technol China, Dept Phys, Hefei 230026, Anhui, Peoples R China</t>
  </si>
  <si>
    <t>Chinese Academy of Sciences; University of Science &amp; Technology of China, CAS; Chinese Academy of Engineering Physics; Chinese Academy of Sciences; University of Science &amp; Technology of China, CAS; Chinese Academy of Sciences; University of Science &amp; Technology of China, CAS</t>
  </si>
  <si>
    <t>Dai, RC; Zhang, ZM (corresponding author), Univ Sci &amp; Technol China, Ctr Phys Expt, Hefei 230026, Anhui, Peoples R China.;Li, HZ (corresponding author), China Acad Engn Phys, Inst Chem Mat, Mianyang 621900, Sichuan, Peoples R China.;Zhang, ZM (corresponding author), Univ Sci &amp; Technol China, Chinese Acad Sci, Sch Phys Sci, Key Lab Strongly Coupled Quantum Matter Phys, Hefei 230026, Anhui, Peoples R China.</t>
  </si>
  <si>
    <t>dairc@ustc.edu.cn; hongzhenli@caep.cn; zzrn@ustc.edu.cn</t>
  </si>
  <si>
    <t>National Natural Science Foundation of China [11672273, 21905263]; Science Challenge Project [TZ2016001]; China Postdoctoral Science Foundation [2019M652188]</t>
  </si>
  <si>
    <t>National Natural Science Foundation of China(National Natural Science Foundation of China (NSFC)); Science Challenge Project; China Postdoctoral Science Foundation(China Postdoctoral Science Foundation)</t>
  </si>
  <si>
    <t>This work was supported by the National Natural Science Foundation of China (Grant Nos. 11672273 and 21905263), the Science Challenge Project (No. TZ2016001), the China Postdoctoral Science Foundation (No. 2019M652188), beamline 15 Ul of the Shanghai Synchrotron Radiation Facility (SSRF), infrared spectroscopy and micro spectroscopy at the National Synchrotron Radiation Laboratory (NSRL, Hefei), and Supercomputing Center of University of Science and Technology of China.</t>
  </si>
  <si>
    <t>1932-7447</t>
  </si>
  <si>
    <t>1932-7455</t>
  </si>
  <si>
    <t>J PHYS CHEM C</t>
  </si>
  <si>
    <t>J. Phys. Chem. C</t>
  </si>
  <si>
    <t>JAN 30</t>
  </si>
  <si>
    <t>10.1021/acs.jpcc.0c00055</t>
  </si>
  <si>
    <t>Chemistry, Physical; Nanoscience &amp; Nanotechnology; Materials Science, Multidisciplinary</t>
  </si>
  <si>
    <t>KH3EN</t>
  </si>
  <si>
    <t>WOS:000510529400017</t>
  </si>
  <si>
    <t>Kemp, G; Ramgoolam, S</t>
  </si>
  <si>
    <t>Kemp, Garreth; Ramgoolam, Sanjaye</t>
  </si>
  <si>
    <t>BPS states, conserved charges and centres of symmetric group algebras</t>
  </si>
  <si>
    <t>AdS-CFT Correspondence; Black Holes in String Theory; Gauge-gravity correspondence</t>
  </si>
  <si>
    <t>STRING THEORY</t>
  </si>
  <si>
    <t>In N = 4 SYM with U(N) gauge symmetry, the multiplicity of half-BPS states with fixed dimension can be labelled by Young diagrams and can be distinguished using conserved charges corresponding to Casimirs of U(N). The information theoretic study of LLM geometries and superstars in the dual AdS(5)x S-5 background has raised a number of questions about the distinguishability of Young diagrams when a finite set of Casimirs are known. Using Schur-Weyl duality relations between unitary groups and symmetric groups, these questions translate into structural questions about the centres of symmetric group algebras. We obtain algebraic and computational results about these structural properties and related Shannon entropies, and generate associated number sequences. A characterization of Young diagrams in terms of content distribution functions relates these number sequences to diophantine equations. These content distribution functions can be visualized as connected, segmented, open strings in content space.</t>
  </si>
  <si>
    <t>[Kemp, Garreth] Univ Johannesburg, Dept Math &amp; Appl Math, ZA-2006 Auckland Pk, South Africa; [Ramgoolam, Sanjaye] Queen Mary Univ London, Sch Phys &amp; Astron, Ctr Res String Theory, Mile End Rd, London E1 4NS, England; [Ramgoolam, Sanjaye] Univ Witwatersrand, Natl Inst Theoret Phys, Sch Phys, ZA-2050 Johannesburg, South Africa; [Ramgoolam, Sanjaye] Univ Witwatersrand, Mandelstam Inst Theoret Phys, ZA-2050 Johannesburg, South Africa</t>
  </si>
  <si>
    <t>University of Johannesburg; University of London; Queen Mary University London; University College London; University of Witwatersrand; University of Witwatersrand</t>
  </si>
  <si>
    <t>Kemp, G (corresponding author), Univ Johannesburg, Dept Math &amp; Appl Math, ZA-2006 Auckland Pk, South Africa.</t>
  </si>
  <si>
    <t>gkemp@uj.ac.za; s.ramgoolam@qmul.ac.uk</t>
  </si>
  <si>
    <t>Ramgoolam, Sanjaye/0000-0002-1211-4780</t>
  </si>
  <si>
    <t>STFC [ST/P000754/1]; University of the Witwatersrand - Simons Foundation; STFC [ST/P000754/1] Funding Source: UKRI</t>
  </si>
  <si>
    <t>STFC(UK Research &amp; Innovation (UKRI)Science &amp; Technology Facilities Council (STFC)); University of the Witwatersrand - Simons Foundation; STFC(UK Research &amp; Innovation (UKRI)Science &amp; Technology Facilities Council (STFC))</t>
  </si>
  <si>
    <t>S.R. is supported by the STFC consolidated grant ST/P000754/1 String Theory, Gauge Theory &amp; Duality and a Visiting Professorship at the University of the Witwatersrand, funded by a Simons Foundation grant to the Mandelstam Institute for Theoretical Physics. We are grateful to Robert de Mello Koch, Stephen Doty, Arun Ram, Joan Simon for very useful conversations on the subject of this paper.</t>
  </si>
  <si>
    <t>10.1007/JHEP01(2020)146</t>
  </si>
  <si>
    <t>KM2DY</t>
  </si>
  <si>
    <t>WOS:000513933400002</t>
  </si>
  <si>
    <t>Zhang, YP; Hou, CH; Jia, XL; Tan, YX; Wang, JY</t>
  </si>
  <si>
    <t>Zhang, Yuan-ping; Hou, Cong-hua; Jia, Xin-lei; Tan, Ying-xin; Wang, Jing-yu</t>
  </si>
  <si>
    <t>Compatibility Study of 1,1-Diamino-2,2-Dinitroethene (FOX-7) with Some Energetic Materials</t>
  </si>
  <si>
    <t>JOURNAL OF CHEMISTRY</t>
  </si>
  <si>
    <t>DECOMPOSITION; SAMPLES</t>
  </si>
  <si>
    <t>1,1-diamino-2,2-dinitroethene (FOX-7) is a novel explosive with low sensitivity and high performance. The compatibility of FOX-7 with nine common energetic materials including hexanitrohexazaisowurtzitane (CL-20), cyclotetramethylenetetranitramine (HMX), cyclotrimethylenetrinitramine (RDX), 3,4-dinitrofurazanfuroxan (DNTF), 3-nitro-1,2,4-triazol-5-one (NTO), hexanitrostilbene (HNS-II), 2,6-diamino-3,5-dinitropyrazine-1-oxide (LLM-105), 2,4,6-triamino-1,3,5-trinitrobenzene (TATB), and 2,4,6-trinitrotoluene (TNT) were tested by differential scanning calorimetry (DSC) and the vacuum stability test (VST) as the thermal technique and X-ray diffractometry (XRD) as a nonthermal technique. DSC measurements showed that the binary systems of FOX-7/CL-20, FOX-7/HMX, FOX-7/NTO, and FOX-7/TNT were compatible in grade of A, the systems of FOX-7 with heat-resistant explosives including HNS-II, LLM-105, and TATB were compatible as well in grade of A-B, and the binary systems of FOX-7/DNTF and FOX-7/RDX had poor compatibility. VST results indicated that FOX-7 was compatible with nine energetic materials. Besides, the compatibility results of the thermal analysis were confirmed by the XRD technique.</t>
  </si>
  <si>
    <t>[Zhang, Yuan-ping; Hou, Cong-hua; Tan, Ying-xin; Wang, Jing-yu] North Univ China, Sch Environm &amp; Safety Engn, Taiyuan 030051, Peoples R China; [Jia, Xin-lei] Binzhou Univ, Dept Chem Engn &amp; Safety, Binzhou 256600, Shandong, Peoples R China</t>
  </si>
  <si>
    <t>North University of China; Shandong University of Aeronautics</t>
  </si>
  <si>
    <t>Hou, CH; Tan, YX (corresponding author), North Univ China, Sch Environm &amp; Safety Engn, Taiyuan 030051, Peoples R China.</t>
  </si>
  <si>
    <t>18234095862@163.com; houconghua@163.com; 1004024260@qq.com; 13934240901@163.com; wjywjy67@163.com</t>
  </si>
  <si>
    <t>TAN, yingxin/0000-0002-1584-0470</t>
  </si>
  <si>
    <t>Graduate Education Innovation Project in Shanxi Province [2018BY089]; 15th Graduate Science and Technology Project of North University of China [20181568]</t>
  </si>
  <si>
    <t>Graduate Education Innovation Project in Shanxi Province; 15th Graduate Science and Technology Project of North University of China</t>
  </si>
  <si>
    <t>This research work was financially supported by Graduate Education Innovation Project in Shanxi Province (2018BY089) and the 15th Graduate Science and Technology Project of North University of China (20181568).</t>
  </si>
  <si>
    <t>2090-9063</t>
  </si>
  <si>
    <t>2090-9071</t>
  </si>
  <si>
    <t>J CHEM-NY</t>
  </si>
  <si>
    <t>J. Chem.</t>
  </si>
  <si>
    <t>JAN 20</t>
  </si>
  <si>
    <t>10.1155/2020/7605140</t>
  </si>
  <si>
    <t>KH8LK</t>
  </si>
  <si>
    <t>WOS:000510901900001</t>
  </si>
  <si>
    <t>Besta, P; Kozel, R; Janovská, K; Vilamová, S; Foltan, D; Piecha, M</t>
  </si>
  <si>
    <t>Besta, Petr; Kozel, Roman; Janovska, Kamila; Vilamova, Sarka; Foltan, Drahomir; Piecha, Marian</t>
  </si>
  <si>
    <t>Environment and Risks of Iron Production</t>
  </si>
  <si>
    <t>ROCZNIK OCHRONA SRODOWISKA</t>
  </si>
  <si>
    <t>environment; iron; ore sintering; blast furnace; cost</t>
  </si>
  <si>
    <t>Iron production is one of the production processes that create a large number of negative externalities towards their surroundings. Iron production is based on the use of a wide range of production operations, which include not only the blast furnace process but also the treatment and processing of ores, sintering, pelletizing and processing of metallurgical waste and its possible storage. All parts of the blast furnace process can have a negative impact on the environment. Within the individual parts of the blast furnace plant, a number of pollutants are produced which negatively affect the environment. They can have both solid and gaseous states. In the case of solid emissions, it is airborne dust, and the gaseous form represents pollutants in the form of sulphur, nitrogen or carbon oxides. From the point of view of the blast furnace plant structure itself, blast furnace, agglomeration processes, palletization processes or the processing of waste from production can be classified as emission points. The article deals with the classification of basic impacts of blast furnace production on the environment. It analyses in detail the negative externalities in ore sintering. It also deals with the analysis of research, which was focused on the degree of reduction of iron oxides ore. The efficiency of the reduction process is crucial in terms of resource use, but also the overall amount of negative externalities. The research was carried out in the environment of a selected iron producer in the Czech Republic.</t>
  </si>
  <si>
    <t>[Besta, Petr; Kozel, Roman; Janovska, Kamila; Vilamova, Sarka; Foltan, Drahomir] VSB Tech Univ Ostrava, Ostrava, Czech Republic; [Piecha, Marian] Minist Ind &amp; Trade Czech Republ, LLM, Prague, Czech Republic</t>
  </si>
  <si>
    <t>Technical University of Ostrava</t>
  </si>
  <si>
    <t>Besta, P (corresponding author), VSB Tech Univ Ostrava, Ostrava, Czech Republic.</t>
  </si>
  <si>
    <t>petr.besta@vsb.cz</t>
  </si>
  <si>
    <t>Vilamova, Sarka/0000-0002-6486-7995</t>
  </si>
  <si>
    <t>EU [CZ.02.1.01/0.0/0.0/17_049/0008399]; Operational Programme Research, Development and Education, Long-Term Intersectoral Cooperation for ITI, Managing Authority: Czech Republic -Ministry of Education, Youth and Sports [02_17_049]; Ministry of Education, Youth and Sports of the Czech Republic [SP2020/61, SP2018/22]</t>
  </si>
  <si>
    <t>EU(European Union (EU)); Operational Programme Research, Development and Education, Long-Term Intersectoral Cooperation for ITI, Managing Authority: Czech Republic -Ministry of Education, Youth and Sports; Ministry of Education, Youth and Sports of the Czech Republic(Ministry of Education, Youth &amp; Sports - Czech Republic)</t>
  </si>
  <si>
    <t>The article was created thanks to the project No. CZ.02.1.01/0.0/0.0/17_049/0008399 from the EU and CR financial funds provided by the Operational Programme Research, Development and Education, Call 02_17_049 Long-Term Intersectoral Cooperation for ITI, Managing Authority: Czech Republic -Ministry of Education, Youth and Sports.; The work was supported by the specific university research of the Ministry of Education, Youth and Sports of the Czech Republic No. SP2020/61.; The article was supported by a specific university research by Ministry of Education, Youth and Sports of the Czech Republic No. SP2018/22 Risk Management Study of Industrial Enterprises in the Czech Republic.</t>
  </si>
  <si>
    <t>MIDDLE POMERANIAN SCI SOC ENV PROT</t>
  </si>
  <si>
    <t>KOSZALIN</t>
  </si>
  <si>
    <t>KOLLATAJA 1-1, KOSZALIN, 75-448, POLAND</t>
  </si>
  <si>
    <t>1506-218X</t>
  </si>
  <si>
    <t>ROCZ OCHR SR</t>
  </si>
  <si>
    <t>Rocz. Ochr. Sr.</t>
  </si>
  <si>
    <t>OX0YK</t>
  </si>
  <si>
    <t>WOS:000593301200011</t>
  </si>
  <si>
    <t>Del Villar, K; Willmott, L; White, B</t>
  </si>
  <si>
    <t>Del Villar, Katrine; Willmott, Lindy; White, Ben</t>
  </si>
  <si>
    <t>SUICIDES, ASSISTED SUICIDES AND 'MERCY KILLINGS': WOULD VOLUNTARY ASSISTED DYING PREVENT THESE 'BAD DEATHS'?</t>
  </si>
  <si>
    <t>MONASH UNIVERSITY LAW REVIEW</t>
  </si>
  <si>
    <t>OLDER-ADULTS; LAW REFORM; EUTHANASIA</t>
  </si>
  <si>
    <t>Voluntary assisted dying ('VAD') has recently been legalised in Victoria and Western Australia, with other Australian states following. One argument advanced in favour of legalisation of VAD is that terminally and chronically ill people are committing suicide, or asking friends or relatives to assist them to die, because they feel that they have no alternative. This article evaluates whether the Voluntary Assisted Dying Act 2017 (Vic) will prevent these 'bad deaths' from occurring. The article evaluates two important sources of evidence: coronial evidence from Victoria and Western Australia concerning suicides in the chronically and terminally ill; and Australian cases on assisted suicide and 'mercy killings'. It concludes that many of these cases would not have met the eligibility criteria for VAD under the Victorian model, and thus 'bad deaths' will continue to occur.</t>
  </si>
  <si>
    <t>[Del Villar, Katrine; Willmott, Lindy] Queensland Univ Technol, Australian Ctr Hlth Law Res, Fac Business &amp; Law, Brisbane, Qld 4001, Australia; [White, Ben] Queensland Univ Technol, Australian Ctr Hlth Law Res, Fac Business &amp; Law, End Of Life Law &amp; Regulat, Brisbane, Qld 4001, Australia</t>
  </si>
  <si>
    <t>Del Villar, K (corresponding author), Queensland Univ Technol, Australian Ctr Hlth Law Res, Fac Business &amp; Law, Brisbane, Qld 4001, Australia.</t>
  </si>
  <si>
    <t>four-year Australian Research Council Future Fellowship: Optimal Regulation of Voluntary Assisted Dying</t>
  </si>
  <si>
    <t>four-year Australian Research Council Future Fellowship: Optimal Regulation of Voluntary Assisted Dying(Australian Research Council)</t>
  </si>
  <si>
    <t>Katrine Del Villar, BA (Hons) (ANU), LLB (Hons) (ANU), PhD (QUT), Postdoctoral Research Fellow, Australian Centre for Health Law Research, Faculty of Business and Law, Queensland University of Technology; Lindy Willmott, BCom (UQ), LLB (Hons) (UQ), LLM (Cambridge), PhD (QUT); Professor, Australian Centre for Health Law Research, Faculty of Business and Law, Queensland University of Technology; Ben White, LLB (Hons) (QUT), DPhil (Oxford), Professor of End-of-Life Law and Regulation, Australian Centre for Health Law Research, Faculty of Business and Law, Queensland University of Technology. We disclose that Lindy Willmott and Ben White were engaged by the Victorian and Western Australian governments to design and provide the legislatively mandated training for doctors involved in voluntary assisted dying. Katrine Del Villar assisted with the Western Australian training. Ben White is currently undertaking a four-year Australian Research Council Future Fellowship: Optimal Regulation of Voluntary Assisted Dying. The authors thank Emily Bartels for her research assistance with this article.</t>
  </si>
  <si>
    <t>MONASH UNIV, FAC LAW</t>
  </si>
  <si>
    <t>BLDG 12, WELLINGTON RD, CLAYTON, VIC 3800, AUSTRALIA</t>
  </si>
  <si>
    <t>0311-3140</t>
  </si>
  <si>
    <t>1839-3837</t>
  </si>
  <si>
    <t>MONASH UNIV LAW REV</t>
  </si>
  <si>
    <t>Monach Univ. Law Rev.</t>
  </si>
  <si>
    <t>YR1BH</t>
  </si>
  <si>
    <t>WOS:000749733700007</t>
  </si>
  <si>
    <t>Dzah, GEK</t>
  </si>
  <si>
    <t>Addaney, M; Nyarko, MG; Boshoff, E</t>
  </si>
  <si>
    <t>Dzah, Godwin E. K.</t>
  </si>
  <si>
    <t>Transcending Dualism: Deconstructing Colonial Vestiges in Ghana's Treaty Law and Practice</t>
  </si>
  <si>
    <t>GOVERNANCE, HUMAN RIGHTS, AND POLITICAL TRANSFORMATION IN AFRICA</t>
  </si>
  <si>
    <t>INTERNATIONAL-LAW</t>
  </si>
  <si>
    <t>[Dzah, Godwin E. K.] Univ British Columbia UBC, Allard Sch Law, Vancouver, BC, Canada; [Dzah, Godwin E. K.] Dalhousie Univ, Schulich Sch Law, Halifax, NS, Canada; [Dzah, Godwin E. K.] United Nations Secretariat New York, Off Legal Affairs, Div Ocean Affairs &amp; Law Sea, New York, NY USA</t>
  </si>
  <si>
    <t>University of British Columbia; Dalhousie University</t>
  </si>
  <si>
    <t>Dzah, GEK (corresponding author), Univ British Columbia UBC, Allard Sch Law, Vancouver, BC, Canada.</t>
  </si>
  <si>
    <t>elidzah1@mail.ubc.ca</t>
  </si>
  <si>
    <t>Dzah, Godwin/0000-0001-6978-5596</t>
  </si>
  <si>
    <t>Canadian Council on International Law through the John Peters Humphrey Fellowship</t>
  </si>
  <si>
    <t>Doctoral Candidate, Allard School of Law, University of British Columbia (Canada); LLM (Harvard); QCL (Gh. Sch. Law); LLB, BA (Univ. of Ghana). I gratefully acknowledge Gideon Gabor and Mawuse Barker-Vormawor for their probing questions and invaluable feedback. I would also like to thank the Canadian Council on International Law for supporting my research through the award of the John Peters Humphrey Fellowship.</t>
  </si>
  <si>
    <t>PALGRAVE MACMILLAN</t>
  </si>
  <si>
    <t>4 CRINAN ST, LONDON, LONDON, ENGLAND</t>
  </si>
  <si>
    <t>978-3-030-27049-0; 978-3-030-27048-3</t>
  </si>
  <si>
    <t>10.1007/978-3-030-27049-0_6</t>
  </si>
  <si>
    <t>10.1007/978-3-030-27049-0</t>
  </si>
  <si>
    <t>Law; Political Science; Social Sciences, Interdisciplinary</t>
  </si>
  <si>
    <t>Government &amp; Law; Social Sciences - Other Topics</t>
  </si>
  <si>
    <t>BP6ZG</t>
  </si>
  <si>
    <t>WOS:000561031600008</t>
  </si>
  <si>
    <t>Hough, M</t>
  </si>
  <si>
    <t>Hough, Maegan</t>
  </si>
  <si>
    <t>Taking Responsibility for intergenerational Harms: Indian Residential Schools Reparations in Canada</t>
  </si>
  <si>
    <t>NORTHERN REVIEW</t>
  </si>
  <si>
    <t>From 2009 to 2012 the author lived and worked in Whitehorse as a lawyer for Justice Canada. One of her responsibilities was to attend Independent Assessment Process hearings in the role of Canada's Representative. The experience of hearing from survivors and working within the limits of a torts-based process sent the author on an exploration of how harms are classified and remedied in Canadian law.The disconnect she felt between the narrow parameters of the legal process and the ongoing effects of historic harms that were evident in many aspects of northern life needed to be reconciled. Building on previous work that identified and classified harms, the author reviews the thirteen reparations that have been provided for the harms caused by the Indian Residential Schools policy in order to assess how well these reparations, when taken together, are able to address the full range of harms expressed by residential school survivors. The author then suggests additional mechanisms of responsibility, drawn largely from transitional justice theories, which could bring Canadians, as individuals and as a polity, into their role within the intergenerational legacy of the Indian Residential Schools policy and recognize the full range of harms experienced by survivors.</t>
  </si>
  <si>
    <t>[Hough, Maegan] Univ Victoria, Victoria, BC, Canada</t>
  </si>
  <si>
    <t>University of Victoria</t>
  </si>
  <si>
    <t>Hough, M (corresponding author), Univ Victoria, Victoria, BC, Canada.</t>
  </si>
  <si>
    <t>Social Sciences and Humanities Research Council of Canada</t>
  </si>
  <si>
    <t>Social Sciences and Humanities Research Council of Canada(Social Sciences and Humanities Research Council of Canada (SSHRC))</t>
  </si>
  <si>
    <t>This article is adapted from my LLM thesis completed under the thoughtful guidance of Professors Jeremy Webber and Matt James at the University of Victoria, and with financial support from the Social Sciences and Humanities Research Council of Canada. Additional thanks are due to Professor Hadley Friedland, Dr Ron Stevenson, and Hannah Wyile for their constant encouragement, and to the editors and anonymous peer reviewers for their insightful suggestions. All errors or omissions are my own.</t>
  </si>
  <si>
    <t>YUKON COLL</t>
  </si>
  <si>
    <t>YUKON</t>
  </si>
  <si>
    <t>BOX 2799, WHITEHORSE, YUKON, Y1A 5K4, CANADA</t>
  </si>
  <si>
    <t>0820-0300</t>
  </si>
  <si>
    <t>NORTH REV</t>
  </si>
  <si>
    <t>North. Rev.</t>
  </si>
  <si>
    <t>10.22584/nr50.2020.006</t>
  </si>
  <si>
    <t>Area Studies</t>
  </si>
  <si>
    <t>LB9VL</t>
  </si>
  <si>
    <t>WOS:000524979300006</t>
  </si>
  <si>
    <t>Kavian, N; Hachim, A; Li, APY; Cohen, CA; Chin, AWH; Poon, LLM; Fang, VJ; Leung, NHL; Cowling, BJ; Valkenburg, SA</t>
  </si>
  <si>
    <t>Kavian, Niloufar; Hachim, Asmaa; Li, Athena P. Y.; Cohen, Carolyn A.; Chin, Alex W. H.; Poon, Leo L. M.; Fang, Vicky J.; Leung, Nancy H. L.; Cowling, Benjamin J.; Valkenburg, Sophie A.</t>
  </si>
  <si>
    <t>Assessment of enhanced influenza vaccination finds that FluAd conveys an advantage in mice and older adults</t>
  </si>
  <si>
    <t>CLINICAL &amp; TRANSLATIONAL IMMUNOLOGY</t>
  </si>
  <si>
    <t>adjuvant; antibody; B cell; HA stem; infection; influenza vaccine</t>
  </si>
  <si>
    <t>ANTIBODY-RESPONSES; A VIRUS; ANTIGEN; EXPRESSION; VACCINES; CELLS; AID</t>
  </si>
  <si>
    <t>Objectives Enhanced inactivated influenza vaccines (eIIV) aim to increase immunogenicity and protection compared with the widely used standard IIV (S-IIV). Methods We tested four vaccines in parallel, FluZone high dose, FluBlok and FluAd versus S-IIV in a randomised controlled trial of older adults and in a mouse infection model to assess immunogenicity, protection from lethal challenge and mechanisms of action. Results In older adults, FluAd vaccination stimulated a superior antibody profile, including H3-HA antibodies that were elevated for up to 1 year after vaccination, higher avidity H3HA IgG and larger HA stem IgG responses. In a mouse model, FluAd also elicited an earlier and larger induction of HA stem antibodies with increased germinal centre responses and upregulation and long-term expression of B-cell switch transcription factors. Long-term cross-reactive memory responses were sustained by FluAd following lethal heterosubtypic influenza challenge, with reduced lung damage and viral loads, coinciding with increased T- and B-cell recall. Advantages were also noted for the high-dose FluZone vaccine in both humans and mice. Conclusion The early, broadly reactive and long-lived antibody response of FluAd indicates a potential advantage of this vaccine, particularly in years when there is a mismatch between the vaccine strain and the circulating strain of influenza viruses.</t>
  </si>
  <si>
    <t>[Kavian, Niloufar; Hachim, Asmaa; Li, Athena P. Y.; Cohen, Carolyn A.; Valkenburg, Sophie A.] Univ Hong Kong, Sch Publ Hlth, HKU Pasteur Res Pole, Hong Kong, Peoples R China; [Kavian, Niloufar; Hachim, Asmaa; Li, Athena P. Y.; Cohen, Carolyn A.; Chin, Alex W. H.; Poon, Leo L. M.; Fang, Vicky J.; Leung, Nancy H. L.; Cowling, Benjamin J.; Valkenburg, Sophie A.] Univ Hong Kong, WHO, Collaborating Ctr Infect Dis Epidemiol &amp; Control, Sch Publ Hlth, Hong Kong, Peoples R China; [Kavian, Niloufar] Univ Paris 05, Hop Univ Paris Ctr, Ctr Hosp Univ Cochin,AP HP, Sorbonne Paris Cite,Serv Immunol Biol,Fac Med, Paris, France; [Kavian, Niloufar] Univ Paris 05, Sorbonne Paris Cite, INSERM, Inst Cochin,U1016, Paris, France</t>
  </si>
  <si>
    <t>Valkenburg, SA (corresponding author), 5 Sassoon Rd, Hong Kong, Peoples R China.</t>
  </si>
  <si>
    <t>sophiev@hku.hk</t>
  </si>
  <si>
    <t>Centers for Disease Control and Prevention [IP001064-02]; NIH/NIAID CEIRS grant [HHSN272201400006C]; General Research Fund of the University Grants Committee of Hong Kong [17113718]</t>
  </si>
  <si>
    <t>Centers for Disease Control and Prevention(United States Department of Health &amp; Human ServicesCenters for Disease Control &amp; Prevention - USA); NIH/NIAID CEIRS grant; General Research Fund of the University Grants Committee of Hong Kong</t>
  </si>
  <si>
    <t>Human serum samples were derived from a study supported by the Centers for Disease Control and Prevention (Cooperative Agreement Number, IP001064-02). Mouse studies were supported by NIH/NIAID CEIRS grant (contract HHSN272201400006C) and the General Research Fund of the University Grants Committee of Hong Kong (17113718). This paper content is solely the responsibility of the authors and does not necessarily represent the official views of the Centers for Disease Control and Prevention or the Department of Health and Human Services.</t>
  </si>
  <si>
    <t>2050-0068</t>
  </si>
  <si>
    <t>CLIN TRANSL IMMUNOL</t>
  </si>
  <si>
    <t>Clin. Transl. Immunol.</t>
  </si>
  <si>
    <t>e1107</t>
  </si>
  <si>
    <t>10.1002/cti2.1107</t>
  </si>
  <si>
    <t>KU5JY</t>
  </si>
  <si>
    <t>WOS:000519748300009</t>
  </si>
  <si>
    <t>Liu, X; Zhu, XL; Wei, XN; Lu, CG; Shen, FD; Zhang, XW; Zhang, ZY</t>
  </si>
  <si>
    <t>Liu, Xin; Zhu, Xiuliang; Wei, Xuening; Lu, Chungui; Shen, Fangdi; Zhang, Xuewen; Zhang, Zengyan</t>
  </si>
  <si>
    <t>The wheat LLM-domain-containing transcription factor TaGATA1 positively modulates host immune response to Rhizoctonia cerealis</t>
  </si>
  <si>
    <t>B-GATA transcription factor; bread wheat (Triticum aestivum); defence gene; immune response; Rhizoctonia cerealis; transcriptional activation</t>
  </si>
  <si>
    <t>SHARP EYESPOT; CHLOROPLAST DEVELOPMENT; BRACT SUPPRESSION; HANABA-TARANU; FACTORS GNC; GATA FACTOR; ARABIDOPSIS; RESISTANCE; EXPRESSION; PATHOGEN</t>
  </si>
  <si>
    <t>Wheat (Triticum aestivum) is essential for global food security. Rhizoctonia cerealis is the causal pathogen of sharp eyespot, an important disease of wheat. GATA proteins in model plants have been implicated in growth and development; however, little is known about their roles in immunity. Here, we report a defence role for a wheat LLM-domain-containing B-GATA transcription factor, TaGATA1, against R. cerealis infection and explore the underlying mechanism. Through transcriptomic analysis, TaGATA1 was identified to be more highly expressed in resistant wheat genotypes than in susceptible wheat genotypes. TaGATA1 was located on chromosome 3B and had two homoeologous genes on chromosomes 3A and 3D. TaGATA1 was found to be localized in the nucleus, possessed transcriptional activation activity, and bound to GATA-core cis-elements. TaGATA1 overexpression significantly enhanced resistance of transgenic wheat to R. cerealis, whereas silencing of TaGATA1 suppressed the resistance. Quantitative reverse transcription-PCR and ChIP-qPCR results indicated that TaGATA1 directly bound to and activated certain defence genes in host immune response to R. cerealis. Collectively, TaGATA1 positively regulates immune responses to R. cerealis through activating expression of defence genes in wheat. This study reveals a new function of plant GATAs in immunity and provides a candidate gene for improving crop resistance to R. cerealis.</t>
  </si>
  <si>
    <t>[Liu, Xin; Zhu, Xiuliang; Wei, Xuening; Shen, Fangdi; Zhang, Zengyan] Chinese Acad Agr Sci, Inst Crop Sci, Natl Key Facil Crop Gene Resources &amp; Genet Improv, Beijing, Peoples R China; [Liu, Xin; Zhang, Xuewen] Hunan Agr Univ, Changsha 410128, Peoples R China; [Liu, Xin] Northwest A&amp;F Univ, Coll Life Sci, Yangling 712100, Shaanxi, Peoples R China; [Lu, Chungui] Nottingham Trent Univ, Sch Anim Rural &amp; Environm Sci, Southwell NG25 0QF, England; [Shen, Fangdi] Ningbo Polytech, Ningbo 315800, Peoples R China</t>
  </si>
  <si>
    <t>Chinese Academy of Agricultural Sciences; Institute of Crop Sciences, CAAS; Hunan Agricultural University; Northwest A&amp;F University - China; Nottingham Trent University; Ningbo Polytechnic</t>
  </si>
  <si>
    <t>Zhang, ZY (corresponding author), Chinese Acad Agr Sci, Inst Crop Sci, Natl Key Facil Crop Gene Resources &amp; Genet Improv, Beijing, Peoples R China.;Zhang, XW (corresponding author), Hunan Agr Univ, Changsha 410128, Peoples R China.</t>
  </si>
  <si>
    <t>xwzhang@hunau.edu.cn; zhangzengyan@caas.cn</t>
  </si>
  <si>
    <t>National `Key Sci-Tech' of China [2016ZX08002-001-004]; National Natural Science Foundation of China [31671692]</t>
  </si>
  <si>
    <t>National `Key Sci-Tech' of China; National Natural Science Foundation of China(National Natural Science Foundation of China (NSFC))</t>
  </si>
  <si>
    <t>This work was funded by grants from the National `Key Sci-Tech' of China (grant no. 2016ZX08002-001-004) and the National Natural Science Foundation of China (grant no. 31671692). The authors are very grateful to Professors Huijun Xu, Xingguo Ye, and Lipu Du (ICS, CAAS) for help with wheat transformation, and to Professors Huigu Chen and Shibin Cai (Jiangsu Academy of Agricultural Science) and Jinfeng Yu (Shandong Agricultural University) for providing R. cerealis isolates.</t>
  </si>
  <si>
    <t>10.1093/jxb/erz409</t>
  </si>
  <si>
    <t>LB8WL</t>
  </si>
  <si>
    <t>WOS:000524911100029</t>
  </si>
  <si>
    <t>Slovikovskaya, V; Attardi, G</t>
  </si>
  <si>
    <t>Calzolari, N; Bechet, F; Blache, P; Choukri, K; Cieri, C; Declerck, T; Goggi, S; Isahara, H; Maegaard, B; Mariani, J; Mazo, H; Moreno, A; Odijk, J; Piperidis, S</t>
  </si>
  <si>
    <t>Slovikovskaya, Valeriya; Attardi, Giuseppe</t>
  </si>
  <si>
    <t>Transfer Learning from Transformers to Fake News Challenge Stance Detection (FNC-1) Task</t>
  </si>
  <si>
    <t>PROCEEDINGS OF THE 12TH INTERNATIONAL CONFERENCE ON LANGUAGE RESOURCES AND EVALUATION (LREC 2020)</t>
  </si>
  <si>
    <t>12th International Conference on Language Resources and Evaluation (LREC)</t>
  </si>
  <si>
    <t>MAY 11-16, 2020</t>
  </si>
  <si>
    <t>Marseille, FRANCE</t>
  </si>
  <si>
    <t>fake news detection; transfer learning; fine-tuning</t>
  </si>
  <si>
    <t>Transformer models, trained and publicly released over the last couple of years, have proved effective in many NLP tasks. We wished to test their usefulness in particular on the stance detection task. We performed experiments on the data from the Fake News Challenge Stage 1 (FNC-1). We were indeed able to improve the reported SotA on the challenge, by exploiting the generalization power of large language models based on Transformer architecture. Specifically (1) we improved the FNC-1 best performing model adding BERT sentence embedding of input sequences as a model feature, (2) we fine-tuned BERT, XLNet, and RoBERTa transformers on FNC-1 extended dataset and obtained state-of-the-art results on FNC-1 task.</t>
  </si>
  <si>
    <t>[Slovikovskaya, Valeriya; Attardi, Giuseppe] Univ Pisa, Pisa, Italy</t>
  </si>
  <si>
    <t>University of Pisa</t>
  </si>
  <si>
    <t>Slovikovskaya, V (corresponding author), Univ Pisa, Pisa, Italy.</t>
  </si>
  <si>
    <t>v.slovikovskaya@studenti.unipi.it; attardi@di.unipi.it</t>
  </si>
  <si>
    <t>The experiments were carried out on a server with 4 GPUs Nvidia Tesla Pascal P100, partially funded by the University of Pisa through the grant Grandi Attrezzature 2016.</t>
  </si>
  <si>
    <t>EUROPEAN LANGUAGE RESOURCES ASSOC-ELRA</t>
  </si>
  <si>
    <t>PARIS</t>
  </si>
  <si>
    <t>55-57, RUE BRILLAT-SAVARIN, PARIS, 75013, FRANCE</t>
  </si>
  <si>
    <t>979-10-95546-34-4</t>
  </si>
  <si>
    <t>Computer Science, Interdisciplinary Applications; Linguistics; Language &amp; Linguistics</t>
  </si>
  <si>
    <t>BS4ZZ</t>
  </si>
  <si>
    <t>WOS:000724697201036</t>
  </si>
  <si>
    <t>Viksna, R; Skadina, I</t>
  </si>
  <si>
    <t>Utka, A; Vaicenoniene, J; Kovalevskaite, J; Kalinauskaite, D</t>
  </si>
  <si>
    <t>Viksna, Rinalds; Skadina, Inguna</t>
  </si>
  <si>
    <t>Large Language Models for Latvian Named Entity Recognition</t>
  </si>
  <si>
    <t>HUMAN LANGUAGE TECHNOLOGIES - THE BALTIC PERSPECTIVE (HLT 2020)</t>
  </si>
  <si>
    <t>Frontiers in Artificial Intelligence and Applications</t>
  </si>
  <si>
    <t>9th International Conference on Human Language Technologies - The Baltic Perspective (Baltic HLT)</t>
  </si>
  <si>
    <t>SEP 22-23, 2020</t>
  </si>
  <si>
    <t>Vytautas Magnus Univ, ELECTR NETWORK</t>
  </si>
  <si>
    <t>Ctr Computat Linguist,Vytautas Magnus Univ, CLARIN LT Ctr,Res Council Lithuania</t>
  </si>
  <si>
    <t>Vytautas Magnus Univ</t>
  </si>
  <si>
    <t>Named entity recognition; NER; Latvian language; BERT</t>
  </si>
  <si>
    <t>Transformer-based language models pre-trained on large corpora have demonstrated good results on multiple natural language processing tasks for widely used languages including named entity recognition (NER). In this paper, we investigate the role of the BERT models in the NER task for Latvian. We introduce the BERT model pre-trained on the Latvian language data. We demonstrate that the Latvian BERT model, pre-trained on large Latvian corpora, achieves better results (81.91 F1-measure on average vs 78.37 on M-BERT for a dataset with nine named entity types, and 79.72 vs 78.83 on another dataset with seven types) than multilingual BERT and outperforms previously developed Latvian NER systems.</t>
  </si>
  <si>
    <t>[Viksna, Rinalds; Skadina, Inguna] Tilde, Vienibas Gatve 75a, LV-1004 Riga, Latvia; [Viksna, Rinalds; Skadina, Inguna] Univ Latvia, Fac Comp, Riga, Latvia</t>
  </si>
  <si>
    <t>University of Latvia</t>
  </si>
  <si>
    <t>Viksna, R (corresponding author), Tilde, Vienibas Gatve 75a, LV-1004 Riga, Latvia.</t>
  </si>
  <si>
    <t>rinalds.viksna@tilde.lv</t>
  </si>
  <si>
    <t>Viksna, Rinalds/0000-0003-2705-508X; Skadina, Inguna/0000-0003-4787-7099</t>
  </si>
  <si>
    <t>European Regional Development Fund within the joint project of SIA TILDE; University of Latvia Multilingual Artificial Intelligence Based Human Computer Interaction [1.1.1.1/18/A/148]</t>
  </si>
  <si>
    <t>European Regional Development Fund within the joint project of SIA TILDE; University of Latvia Multilingual Artificial Intelligence Based Human Computer Interaction</t>
  </si>
  <si>
    <t>This research has been supported by the European Regional Development Fund within the joint project of SIA TILDE and University of Latvia Multilingual Artificial Intelligence Based Human Computer Interaction No. 1.1.1.1/18/A/148.</t>
  </si>
  <si>
    <t>0922-6389</t>
  </si>
  <si>
    <t>1879-8314</t>
  </si>
  <si>
    <t>978-1-64368-117-7; 978-1-64368-116-0</t>
  </si>
  <si>
    <t>FRONT ARTIF INTEL AP</t>
  </si>
  <si>
    <t>10.3233/FAIA200603</t>
  </si>
  <si>
    <t>BR3OI</t>
  </si>
  <si>
    <t>WOS:000648590800009</t>
  </si>
  <si>
    <t>Voon, T</t>
  </si>
  <si>
    <t>Voon, Tania</t>
  </si>
  <si>
    <t>The Japan-Australia Investment Relationship: Treaties Then and Now</t>
  </si>
  <si>
    <t>PUBLIC LAW REVIEW</t>
  </si>
  <si>
    <t>Australia continues to seek closer economic relationships with its Asian neighbours and other countries around the globe, particularly through the conclusion of treaties governing trade and investment matters. Australia's investment relationship with Japan is underpinned by several such agreements, from the 1957 Agreement on Commerce to the 2018 Comprehensive and Progressive Agreement for Trans-Pacific Partnership. As increasing material becomes publicly available regarding the negotiation of earlier economic treaties, lessons can be learned for ongoing negotiations and economic policies. This article considers the negotiation of the 1976 Basic Treaty of Friendship and Co-operation between Australia and Japan as a way of reflecting on the development of international investment law and its implications for Australia's trade and investment strategy. Even at that time, negotiators were aware of the potential for overly expansive interpretations of investment obligations to hinder Australian regulatory autonomy - something of much greater concern now that Japanese investors may bring claims directly against Australia as host state.</t>
  </si>
  <si>
    <t>[Voon, Tania] Univ Melbourne, Law Sch, Melbourne, Vic, Australia</t>
  </si>
  <si>
    <t>Voon, T (corresponding author), Univ Melbourne, Law Sch, Melbourne, Vic, Australia.</t>
  </si>
  <si>
    <t>PhD (Cantab), LLM (Harv), Dip Int Law (Melb), LLB (Hons) (Melb), BSc (Melb); Professor, University of Melbourne Law School. Parts of this article derive from research supported by the Australian Research Council pursuant to the Discovery Project scheme (Project ID DP130100838). This article contains independent research and does not necessarily reflect the views of any employer, client or other entity. The author would like to thank Jane Shaker and Haoran Wu for their research assistance. Thanks also to Lauge N Skovgaard Poulsen and Andrew Mitchell for their valuable guidance and advice. Any errors or omissions remain with the author.</t>
  </si>
  <si>
    <t>1034-3024</t>
  </si>
  <si>
    <t>PUBLIC LAW REV</t>
  </si>
  <si>
    <t>Public Law Rev.</t>
  </si>
  <si>
    <t>NM0BT</t>
  </si>
  <si>
    <t>WOS:000567771400009</t>
  </si>
  <si>
    <t>Sargunam, PN; Bak, LLM; Tan, PC; Vallikkannu, N; Azmi, MAN; Zaidi, SN; Win, ST; Omar, SZ</t>
  </si>
  <si>
    <t>Sargunam, Patrick Naveen; Bak, Lindy Li Mei; Tan, Peng Chiong; Vallikkannu, Narayanan; Azmi, Mat Adenan Noor; Zaidi, Syeda Nureena; Win, Sandar Tin; Omar, Siti Zawiah</t>
  </si>
  <si>
    <t>Induction of labor compared to expectant management in term nulliparas with a latent phase of labor of more than 8 hours: a randomized trial</t>
  </si>
  <si>
    <t>BMC PREGNANCY AND CHILDBIRTH</t>
  </si>
  <si>
    <t>Cesarean; Vaginal delivery; Latent phase of labor; Induction of labor; Expectant management; Term; Nullipara; Patient satisfaction</t>
  </si>
  <si>
    <t>OUTCOMES; CARE; WOMEN</t>
  </si>
  <si>
    <t>Background: Prolonged latent phase of labor is associated with adverse maternal and neonatal outcomes. Preliminary data indicate that labor induction for prolonged latent phase may reduce cesarean delivery. We performed a study powered to Cesarean delivery to evaluate labor induction compared to expectant management in full term nulliparas hospitalized for persistent contractions but non-progressive to established labor after an overnight stay. Methods: From 2015 and 2017, nulliparas, &gt;= 39 weeks' gestation with prolonged latent phase of labor (persistent contractions after overnight hospitalization &gt; 8 h), cervical dilation &lt;= 3 cm, intact membranes and reassuring cardiotocogram were recruited. Participants were randomized to immediate induction of labor (with vaginal dinoprostone or amniotomy or oxytocin as appropriate) or expectant management (await labor for at least 24 h unless indicated intervention as directed by care provider). Primary outcome measure was Cesarean delivery. Results: Three hundred eighteen women were randomized (159 to each arm). Data from 308 participants were analyzed. Cesarean delivery rate was 24.2% (36/149) vs. 23.3%, (37/159) RR 1.0 95% CI 0.7-1.6; P = 0.96 in induction of labor vs. expectant arms. Interval from intervention to delivery was 17.1 +/- 9.9 vs. 40.1 +/- 19.8 h; P &lt; 0.001, intervention to active labor 9.6 +/- 10.2 vs. 29.6 +/- 18.5 h; P &lt; 0.001, active labor to delivery 7.6 +/- 3.6 vs. 10.5 +/- 7.2 h; P &lt; 0.001, intervention to hospital discharge 2.4 +/- 1.2 vs. 2.9 +/- 1.4 days; P &lt; 0.001 and dinoprostone use was 19.5% (29/149) vs. 8.2% (13/159) RR 2.4 95% CI 1.3-4.4; P = 0.01 in IOL compared with expectant arms respectively. Intrapartum oxytocin use, epidural analgesia and uterine hyperstimulation syndrome, postpartum hemorrhage, patient satisfaction on allocated intervention, during labor and delivery and baby outcome were not significantly different across trial arms. Conclusions: Induction of labor did not reduce Cesarean delivery rates but intervention to delivery and to hospital discharge durations are shorter. Patient satisfaction scores were similar. Induction of labor for prolonged latent phase of labor can be performed without apparent detriment to expedite delivery.</t>
  </si>
  <si>
    <t>[Sargunam, Patrick Naveen; Bak, Lindy Li Mei; Tan, Peng Chiong; Vallikkannu, Narayanan; Azmi, Mat Adenan Noor; Zaidi, Syeda Nureena; Win, Sandar Tin; Omar, Siti Zawiah] Univ Malaya, Fac Med, Dept Obstet &amp; Gynaecol, Kuala Lumpur 50603, Malaysia</t>
  </si>
  <si>
    <t>Universiti Malaya</t>
  </si>
  <si>
    <t>Tan, PC (corresponding author), Univ Malaya, Fac Med, Dept Obstet &amp; Gynaecol, Kuala Lumpur 50603, Malaysia.</t>
  </si>
  <si>
    <t>pctan@um.edu.my</t>
  </si>
  <si>
    <t>University of Malaya research grant [BK078-2015]</t>
  </si>
  <si>
    <t>University of Malaya research grant</t>
  </si>
  <si>
    <t>This study was internally funded by University of Malaya research grant (BK078-2015).</t>
  </si>
  <si>
    <t>1471-2393</t>
  </si>
  <si>
    <t>BMC PREGNANCY CHILDB</t>
  </si>
  <si>
    <t>BMC Pregnancy Childbirth</t>
  </si>
  <si>
    <t>DEC 11</t>
  </si>
  <si>
    <t>10.1186/s12884-019-2602-2</t>
  </si>
  <si>
    <t>Obstetrics &amp; Gynecology</t>
  </si>
  <si>
    <t>KI6CH</t>
  </si>
  <si>
    <t>WOS:000511436400003</t>
  </si>
  <si>
    <t>Boe, AJ; Koch, LLM; O'Brien, MK; Shawen, N; Rogers, JA; Lieber, RL; Reid, KJ; Zee, PC; Jayaraman, A</t>
  </si>
  <si>
    <t>Boe, Alexander J.; Koch, Lori L. McGee; O'Brien, Megan K.; Shawen, Nicholas; Rogers, John A.; Lieber, Richard L.; Reid, Kathryn J.; Zee, Phyllis C.; Jayaraman, Arun</t>
  </si>
  <si>
    <t>Automating sleep stage classification using wireless, wearable sensors</t>
  </si>
  <si>
    <t>AMERICAN ACADEMY; WRIST ACTIGRAPHY; CIRCADIAN-RHYTHM; NEURAL-NETWORKS; HEART-RATE; VARIABILITY; ADULTS; THERMOREGULATION; POLYSOMNOGRAPHY; TEMPERATURE</t>
  </si>
  <si>
    <t>Polysomnography (PSG) is the current gold standard in high-resolution sleep monitoring; however, this method is obtrusive, expensive, and time-consuming. Conversely, commercially available wrist monitors such as ActiWatch can monitor sleep for multiple days and at low cost, but often overestimate sleep and cannot differentiate between sleep stages, such as rapid eye movement (REM) and non-REM. Wireless wearable sensors are a promising alternative for their portability and access to high-resolution data for customizable analytics. We present a multimodal sensor system measuring hand acceleration, electrocardiography, and distal skin temperature that outperforms the ActiWatch, detecting wake and sleep with a recall of 74.4% and 90.0%, respectively, as well as wake, non-REM, and REM with recall of 73.3%, 59.0%, and 56.0%, respectively. This approach will enable clinicians and researchers to more easily, accurately, and inexpensively assess long-term sleep patterns, diagnose sleep disorders, and monitor risk factors for disease in both laboratory and home settings.</t>
  </si>
  <si>
    <t>[Boe, Alexander J.; Koch, Lori L. McGee; O'Brien, Megan K.; Shawen, Nicholas; Jayaraman, Arun] Shirley Ryan AbilityLab, Max Nader Lab Rehabil Technol &amp; Outcomes Res, Chicago, IL 60611 USA; [Boe, Alexander J.; Lieber, Richard L.] Northwestern Univ, Dept Biomed Engn, Evanston, IL 60208 USA; [Koch, Lori L. McGee; Reid, Kathryn J.; Zee, Phyllis C.] Northwestern Univ, Dept Neurol, Chicago, IL 60611 USA; [O'Brien, Megan K.; Lieber, Richard L.; Jayaraman, Arun] Northwestern Univ, Dept Phys Med &amp; Rehabil, Chicago, IL 60611 USA; [Shawen, Nicholas] Northwestern Univ, Med Scientist Training Program, Feinberg Sch Med, Chicago, IL 60611 USA; [Rogers, John A.] Northwestern Univ, Dept Mat Sci &amp; Engn, Ctr Biointegrated Elect, Evanston, IL 60208 USA; [Rogers, John A.] Northwestern Univ, Dept Biomed Engn, Ctr Biointegrated Elect, Evanston, IL 60208 USA; [Rogers, John A.] Northwestern Univ, Dept Elect Engn &amp; Comp Sci, Ctr Biointegrated Elect, Evanston, IL 60208 USA; [Lieber, Richard L.] Shirley Ryan AbilityLab, Chicago, IL 60611 USA</t>
  </si>
  <si>
    <t>Shirley Ryan AbilityLab; Northwestern University; Northwestern University; Northwestern University; Northwestern University; Feinberg School of Medicine; Northwestern University; Northwestern University; Northwestern University; Shirley Ryan AbilityLab</t>
  </si>
  <si>
    <t>Jayaraman, A (corresponding author), Shirley Ryan AbilityLab, Max Nader Lab Rehabil Technol &amp; Outcomes Res, Chicago, IL 60611 USA.;Jayaraman, A (corresponding author), Northwestern Univ, Dept Phys Med &amp; Rehabil, Chicago, IL 60611 USA.</t>
  </si>
  <si>
    <t>ajayaraman@sralab.org</t>
  </si>
  <si>
    <t>Shirley Ryan AbilityLab; Northwestern University Center for Circadian and Sleep Medicine; NIH under institutional training grants at Northwestern University [T32HD007418, T32GM008152]</t>
  </si>
  <si>
    <t>Shirley Ryan AbilityLab; Northwestern University Center for Circadian and Sleep Medicine; NIH under institutional training grants at Northwestern University(United States Department of Health &amp; Human ServicesNational Institutes of Health (NIH) - USA)</t>
  </si>
  <si>
    <t>This work was supported by the Shirley Ryan AbilityLab and the Northwestern University Center for Circadian and Sleep Medicine, with partial funding from the NIH under institutional training grants at Northwestern University (T32HD007418 and T32GM008152). We also thank MC10, Inc. for providing the BioStampRC sensors used in this study.</t>
  </si>
  <si>
    <t>NATURE RESEARCH</t>
  </si>
  <si>
    <t>10.1038/s41746-019-0210-1</t>
  </si>
  <si>
    <t>KF9OK</t>
  </si>
  <si>
    <t>WOS:000509571300001</t>
  </si>
  <si>
    <t>Ekiz, O</t>
  </si>
  <si>
    <t>Ekiz, Ogulcan</t>
  </si>
  <si>
    <t>Documenting the copyright sphere: can festivals solve the problem of copyright clearance for documentaries?</t>
  </si>
  <si>
    <t>limitations and exceptions; freedom of panorama; copyright clearance; documentary; documentary film festivals</t>
  </si>
  <si>
    <t>FAIR-USE; SQUARE</t>
  </si>
  <si>
    <t>The starting point of this article is a short documentary film that I and five colleagues produced in the course of the Business of Film module at Queen Mary University of London's Intellectual Property Law LLM Programme. During the process of production, we faced some borderline issues regarding our unauthorized uses of others' copyright works. When we put ourselves into the copyright's author's shoes, three problems arose regarding our use of possible limitations and exceptions: the lack of guidance; the fear of liability; and the unharmonized status of limitations and exceptions at an international level. This article examines these problems from a copyright policy perspective and invites documentary festivals to undertake a mission of guiding new documentary directors through the complex, unharmonized world of copyright limitations and exceptions.</t>
  </si>
  <si>
    <t>[Ekiz, Ogulcan] Queen Mary Univ London, London, England</t>
  </si>
  <si>
    <t>Ekiz, O (corresponding author), Queen Mary Univ London, London, England.</t>
  </si>
  <si>
    <t>10.4337/qmjip.2019.04.05</t>
  </si>
  <si>
    <t>NB6GH</t>
  </si>
  <si>
    <t>WOS:000560611900010</t>
  </si>
  <si>
    <t>So, RTY; Chu, DKW; Miguel, E; Perera, RAPM; Oladipo, JO; Fassi-Fihri, O; Aylet, G; Ko, RLW; Zhou, ZQ; Cheng, MS; Kuranga, SA; Roger, FL; Chevalier, V; Webby, RJ; Woo, PCY; Poon, LLM; Peiris, M</t>
  </si>
  <si>
    <t>So, Ray T. Y.; Chu, Daniel K. W.; Miguel, Eve; Perera, Ranawaka A. P. M.; Oladipo, Jamiu O.; Fassi-Fihri, Ouafaa; Aylet, Gelagay; Ko, Ronald L. W.; Zhou, Ziqi; Cheng, Mo-Sheung; Kuranga, Sulyman A.; Roger, Francois L.; Chevalier, Veronique; Webby, Richard J.; Woo, Patrick C. Y.; Poon, Leo L. M.; Peiris, Malik</t>
  </si>
  <si>
    <t>Diversity of Dromedary Camel Coronavirus HKU23 in African Camels Revealed Multiple Recombination Events among Closely Related Betacoronaviruses of the Subgenus Embecovirus</t>
  </si>
  <si>
    <t>coronaviruses; betacoronaviruses; recombination; phylogeny; dromedary camels; evolution</t>
  </si>
  <si>
    <t>RESPIRATORY SYNDROME CORONAVIRUS; BOVINE CORONAVIRUS; RNA RECOMBINATION; MIDDLE-EAST; MOLECULAR EPIDEMIOLOGY; SPIKE GLYCOPROTEIN; MERS CORONAVIRUS; VARIABLE RATES; S-GENE; VIRUS</t>
  </si>
  <si>
    <t>Genetic recombination has frequently been observed in coronaviruses. Here, we sequenced multiple complete genomes of dromedary camel coronavirus HKU23 (DcCoV-HKU23) from Nigeria, Morocco, and Ethiopia and identified several genomic positions indicative of cross-species virus recombination events among other betacoronaviruses of the subgenus Embecovirus (Glade A beta-CoVs). Recombinant fragments of a rabbit coronavirus (RbCoV-HKU14) were identified at the hemagglutinin esterase gene position. Homolog fragments of a rodent CoV were also observed at 8.9-kDa open reading frame 4a at the 3' end of the spike gene. The patterns of recombination differed geographically across the African region, highlighting a mosaic structure of DcCoV-HKU23 genomes circulating in dromedaries. Our results highlighted active recombination of coronaviruses circulating in dromedaries and are also relevant to the emergence and evolution of other betacoronaviruses, including Middle East respiratory syndrome coronavirus (MERS-CoV). IMPORTANCE Genetic recombination is often demonstrated in coronaviruses and can result in host range expansion or alteration in tissue tropism. Here, we showed interspecies events of recombination of an endemic dromedary camel coronavirus, HKU23, with other Glade A betacoronaviruses. Our results supported the possibility that the zoonotic pathogen MERS-CoV, which also cocirculates in the same camel species, may have undergone similar recombination events facilitating its emergence or may do so in its future evolution.</t>
  </si>
  <si>
    <t>[So, Ray T. Y.; Chu, Daniel K. W.; Perera, Ranawaka A. P. M.; Oladipo, Jamiu O.; Ko, Ronald L. W.; Zhou, Ziqi; Cheng, Mo-Sheung; Poon, Leo L. M.; Peiris, Malik] Univ Hong Kong, Li Ka Shing Fac Med, Sch Publ Hlth, Pokfulam, Hong Kong, Peoples R China; [Roger, Francois L.; Chevalier, Veronique] Univ Montpellier, Inst Natl Rech Agronom, Ctr Cooperat Int Rech Agronom Dev, Anim Sante Territoires Risques &amp; Ecosyst, Montpellier, France; [Miguel, Eve] Univ Montpellier, CNRS, IRD, MIVEGEC, Montpellier, France; [Oladipo, Jamiu O.; Kuranga, Sulyman A.] Univ Ilorin, Fac Clin Sci, Dept Surg, Ilorin, Nigeria; [Fassi-Fihri, Ouafaa] Hassan II Univ, Inst Agron &amp; Vet, Rabat, Morocco; [Aylet, Gelagay] Pan African Vet Ctr African Union AU PANVAC, Debre Zeit, Ethiopia; [Roger, Francois L.] Kasetsart Univ, Bangkok, Thailand; [Chevalier, Veronique] Inst Pasteur Cambodge, Phnom Penh, Cambodia; [Webby, Richard J.] St Jude Childrens Res Hosp, 332 N Lauderdale St, Memphis, TN 38105 USA; [Woo, Patrick C. Y.] Univ Hong Kong, Li Ka Shing Fac Med, Dept Microbiol, Hong Kong, Peoples R China</t>
  </si>
  <si>
    <t>Peiris, M (corresponding author), Univ Hong Kong, Li Ka Shing Fac Med, Sch Publ Hlth, Pokfulam, Hong Kong, Peoples R China.</t>
  </si>
  <si>
    <t>NIH [HHSN272201400006C]; Health and Medical Research Fund, Food and Health Bureau, Government of the Hong Kong Special Administrative Region; Theme-based Research Scheme, University Grant Committee, Hong Kong [T11/707/15]</t>
  </si>
  <si>
    <t>NIH(United States Department of Health &amp; Human ServicesNational Institutes of Health (NIH) - USA); Health and Medical Research Fund, Food and Health Bureau, Government of the Hong Kong Special Administrative Region; Theme-based Research Scheme, University Grant Committee, Hong Kong</t>
  </si>
  <si>
    <t>The study was supported by research grants from NIH contract HHSN272201400006C (to M.P. and R.J.W.); a Commissioned Grant from the Health and Medical Research Fund, Food and Health Bureau, Government of the Hong Kong Special Administrative Region (to M.P.); and the Theme-based Research Scheme (Project no. T11/707/15), University Grant Committee, Hong Kong (to P.C.Y.W.).</t>
  </si>
  <si>
    <t>e01236-19</t>
  </si>
  <si>
    <t>10.1128/JVI.01236-19</t>
  </si>
  <si>
    <t>JN5CM</t>
  </si>
  <si>
    <t>WOS:000496916400021</t>
  </si>
  <si>
    <t>Ganta, PB; Kühn, O; Ahmed, AA</t>
  </si>
  <si>
    <t>Ganta, Prasanth B.; Kuehn, Oliver; Ahmed, Ashour A.</t>
  </si>
  <si>
    <t>QM/MM simulations of organic phosphorus adsorption at the diaspore-water interface</t>
  </si>
  <si>
    <t>INOSITOL PHOSPHATES; GLYPHOSATE BINDING; ATR-FTIR; SOIL; GOETHITE; SORPTION; HEXAPHOSPHATE; IDENTIFICATION; CLAYS</t>
  </si>
  <si>
    <t>Phosphorus (P) immobilization and thus its availability for plants are mainly affected by the strong interaction of phosphates with soil components especially soil mineral surfaces. The related reactions have been studied extensively via sorption experiments especially by carrying out adsorption of orthophosphates onto Fe-oxide surfaces. But a molecular-level understanding of the P-binding mechanisms at the mineral-water interface is still lacking, especially for forest eco-systems. Therefore, the current contribution provides an investigation of the molecular binding mechanisms for two abundant phosphates in forest soils, inositol hexaphosphate (IHP) and glycerolphosphate (GP), at the diaspore mineral surface. Here a hybrid electrostatic embedding quantum mechanics/molecular mechanics (QM/MM) based molecular dynamics simulation has been applied to explore the diaspore-IHP/GP-water interactions. The results provide evidence for the formation of different P-diaspore binding motifs involving monodentate (M) and bidentate (B) for GP and two (2M) as well as three (3M) monodentates for IHP. The interaction energy results indicated the abundance of the GP B motif compared to the M one. The IHP 3M motif has a higher total interaction energy compared to its 2M motif, but exhibits a lower interaction energy per bond. Compared to GP, IHP exhibited stronger interaction with the surface as well as with water. Water was found to play an important role in controlling these diaspore-IHP/GP-water interactions. The interfacial water molecules form moderately strong H-bonds (HBs) with GP and IHP as well as with the diaspore surface. For all the diaspore-IHP/GP-water complexes, the interaction of water with the diaspore exceeds that with the studied phosphates. Furthermore, some water molecules form covalent bonds with diaspore Al atoms while others dissociate at the surface to protons and hydroxyl groups leading to proton transfer processes. Finally, the current results confirm the previous experimental conclusions indicating the importance of the number of phosphate groups, HBs, and proton transfers in controlling the P-binding at soil mineral surfaces.</t>
  </si>
  <si>
    <t>[Ganta, Prasanth B.; Kuehn, Oliver; Ahmed, Ashour A.] Univ Rostock, Inst Phys, Albert Einstein Str 23-24, D-18059 Rostock, Germany; [Kuehn, Oliver; Ahmed, Ashour A.] Univ Rostock, Dept Life Light &amp; Matter LLM, Albert Einstein Str 25, D-18059 Rostock, Germany</t>
  </si>
  <si>
    <t>University of Rostock; University of Rostock</t>
  </si>
  <si>
    <t>Ahmed, AA (corresponding author), Univ Rostock, Inst Phys, Albert Einstein Str 23-24, D-18059 Rostock, Germany.;Ahmed, AA (corresponding author), Univ Rostock, Dept Life Light &amp; Matter LLM, Albert Einstein Str 25, D-18059 Rostock, Germany.</t>
  </si>
  <si>
    <t>ashour.ahmed@uni-rostock.de</t>
  </si>
  <si>
    <t>Kuehn, Oliver/P-4541-2019; Ganta, Prasanth Babu/AAL-8475-2021</t>
  </si>
  <si>
    <t>Kuehn, Oliver/0000-0002-5132-2961; Ganta, Prasanth Babu/0000-0002-6931-4767; A. Ahmed, Ashour/0000-0002-5933-5249</t>
  </si>
  <si>
    <t>We gratefully acknowledge the financial support from the German Research Foundation (DFG) as a part of the SPP 1685 Priority program Ecosystem Nutrition: Forest strategies for limited phosphorus resources (PBG, OK, AA) and the InnoSoilPhos-project (AA), funded by the German Federal Ministry of Education and Research (BMBF) in the frame of the BonaRes-program (No. 031A558). This research was performed within the scope of the Leibniz Science Campus Phosphorus Research Rostock. The authors thank the North German Super computing Alliance for providing HPC resources (project mvp00016). The authors would like to thank Prof. Peter Leinweber (Chair of Soil Science, Rostock University) for helpful discussions.</t>
  </si>
  <si>
    <t>NOV 28</t>
  </si>
  <si>
    <t>10.1039/c9cp04032c</t>
  </si>
  <si>
    <t>JP4EQ</t>
  </si>
  <si>
    <t>WOS:000498220500061</t>
  </si>
  <si>
    <t>Zhang, LLM; Zhou, GD; Zhou, GQ; Lee, HK; Zhao, N; Prezhdo, OV; Mak, TCW</t>
  </si>
  <si>
    <t>Zhang, Leon Li-Min; Zhou, Guodong; Zhou, Guoqing; Lee, Hung-Kay; Zhao, Ni; Prezhdo, Oleg, V; Mak, Thomas C. W.</t>
  </si>
  <si>
    <t>Core-dependent properties of copper nanoclusters: valence-pure nanoclusters as NIR TADF emitters and mixed-valence ones as semiconductors</t>
  </si>
  <si>
    <t>CHEMICAL SCIENCE</t>
  </si>
  <si>
    <t>ACTIVATED DELAYED FLUORESCENCE; TOTAL-ENERGY CALCULATIONS; METAL NANOCLUSTERS; CRYSTAL-STRUCTURE; STRUCTURAL-CHARACTERIZATION; COORDINATION POLYMERS; ALKYNYL COMPLEXES; CLUSTERS; LUMINESCENCE; LIGANDS</t>
  </si>
  <si>
    <t>We report herein that copper alkynyl nanoclusters show metal-core dependent properties via a charge-transfer mechanism, which enables new understanding of their structure-property relationship. Initially, nanoclusters 1 and 2 bearing respective Cu(i)(15) (C1) and Cu(i)(28) (C2) cores were prepared and revealed to display near-infrared (NIR) photoluminescence mainly from the mixed alkynyl -&gt; Cu(i) ligand-to-metal charge transfer (LMCT) and cluster-centered transition, and they further exhibit thermally activated delayed fluorescence (TADF). Subsequently, a vanadate-induced oxidative approach to in situ generate a nucleating Cu(ii) cation led to assembly of 3 and 4 featuring respective [Cu(ii)O-6]@Cu(i)(47) (C3) and {[Cu(ii)O-4]center dot[VO4](2)}@Cu(i)(46) (C4) cores. While interstitial occupancy of Cu(ii) triggers inter-valence charge-transfer (IVCT) from Cu(i) to Cu(ii) to quench the photoluminescence of 3 and 4, such a process facilitates charge mobility to render them semiconductive. Overall, metal-core modification results in an interplay between charge-transfer processes to switch TADF to semiconductivity, which underpins an unusual structure-property correlation for designed synthesis of metal nanoclusters with unique properties and functions.</t>
  </si>
  <si>
    <t>[Zhang, Leon Li-Min; Lee, Hung-Kay; Mak, Thomas C. W.] Chinese Univ Hong Kong, Dept Chem, Hong Kong, Peoples R China; [Zhang, Leon Li-Min; Lee, Hung-Kay; Mak, Thomas C. W.] Chinese Univ Hong Kong, Ctr Novel Funct Mol, Hong Kong, Peoples R China; [Zhou, Guodong; Zhao, Ni] Chinese Univ Hong Kong, Dept Elect Engn, Hong Kong, Peoples R China; [Zhou, Guoqing; Prezhdo, Oleg, V] Univ Southern Calif, Dept Chem, Los Angeles, CA 90089 USA</t>
  </si>
  <si>
    <t>Chinese University of Hong Kong; Chinese University of Hong Kong; Chinese University of Hong Kong; University of Southern California</t>
  </si>
  <si>
    <t>Mak, TCW (corresponding author), Chinese Univ Hong Kong, Dept Chem, Hong Kong, Peoples R China.;Mak, TCW (corresponding author), Chinese Univ Hong Kong, Ctr Novel Funct Mol, Hong Kong, Peoples R China.</t>
  </si>
  <si>
    <t>tcwmak@cuhk.edu.hk</t>
  </si>
  <si>
    <t>Wei Lun Foundation; Faculty of Engineering Direct Grant by the Chinese University of Hong Kong; Chinese University of Hong Kong</t>
  </si>
  <si>
    <t>Wei Lun Foundation; Faculty of Engineering Direct Grant by the Chinese University of Hong Kong; Chinese University of Hong Kong(Chinese University of Hong Kong)</t>
  </si>
  <si>
    <t>This work is dedicated to the memory of Prof. George A. Jeffrey (1915-2000), Founding Head of Department of Crystallography at the University of Pittsburgh. We gratefully acknowledge financial support by the Wei Lun Foundation and Faculty of Engineering Direct Grant by the Chinese University of Hong Kong, and a Postdoctoral Fellowship to L. L.-M. Zhang by the Chinese University of Hong Kong.</t>
  </si>
  <si>
    <t>2041-6520</t>
  </si>
  <si>
    <t>2041-6539</t>
  </si>
  <si>
    <t>CHEM SCI</t>
  </si>
  <si>
    <t>Chem. Sci.</t>
  </si>
  <si>
    <t>NOV 21</t>
  </si>
  <si>
    <t>10.1039/c9sc03455b</t>
  </si>
  <si>
    <t>JM4LU</t>
  </si>
  <si>
    <t>WOS:000496188700023</t>
  </si>
  <si>
    <t>Dias, CM; Punetha, J; Zheng, C; Mazaheri, N; Rad, A; Efthymiou, S; Petersen, A; Dehghani, M; Pehlivan, D; Partlow, JN; Posey, JE; Salpietro, V; Gezdirici, A; Malamiri, RA; Al Menabawy, NM; Selim, LA; Mehrjardi, MYV; Banu, S; Polla, DL; Yang, E; Varaghchi, JR; Mitani, T; van Beusekom, E; Najafi, M; Sedaghat, A; Keller-Ramey, J; Durham, L; Coban-Akdemir, Z; Karaca, E; Orlova, V; Schaeken, LLM; Sherafat, A; Jhangiani, SN; Stanley, V; Shariati, G; Galehdari, H; Gleeson, JG; Walsh, CA; Lupski, JR; Seiradake, E; Houlden, H; van Bokhoven, H; Maroofian, R</t>
  </si>
  <si>
    <t>Dias, Caroline M.; Punetha, Jaya; Zheng, Celine; Mazaheri, Neda; Rad, Abolfazl; Efthymiou, Stephanie; Petersen, Andrea; Dehghani, Mohammadreza; Pehlivan, Davut; Partlow, Jennifer N.; Posey, Jennifer E.; Salpietro, Vincenzo; Gezdirici, Alper; Malamiri, Reza Azizi; Al Menabawy, Nihal M.; Selim, Laila A.; Mehrjardi, Mohammad Yahya Vahidi; Banu, Selina; Polla, Daniel L.; Yang, Edward; Varaghchi, Jamileh Rezazadeh; Mitani, Tadahiro; van Beusekom, Ellen; Najafi, Maryam; Sedaghat, Alireza; Keller-Ramey, Jennifer; Durham, Leslie; Coban-Akdemir, Zeynep; Karaca, Ender; Orlova, Valeria; Schaeken, Lieke L. M.; Sherafat, Amir; Jhangiani, Shalini N.; Stanley, Valentina; Shariati, Gholamreza; Galehdari, Hamid; Gleeson, Joseph G.; Walsh, Christopher A.; Lupski, James R.; Seiradake, Elena; Houlden, Henry; van Bokhoven, Hans; Maroofian, Reza</t>
  </si>
  <si>
    <t>Homozygous Missense Variants in NTNG2, Encoding a Presynaptic Netrin-G2 Adhesion Protein, Lead to a Distinct Neurodevelopmental Disorder</t>
  </si>
  <si>
    <t>AMERICAN JOURNAL OF HUMAN GENETICS</t>
  </si>
  <si>
    <t>INTELLECTUAL DISABILITY; SYNAPSE DEVELOPMENT; TEMPORAL-LOBE; EXPRESSION; OUTGROWTH; FAMILY; LIGAND</t>
  </si>
  <si>
    <t>NTNG2 encodes netrin-G2, a membrane-anchored protein implicated in the molecular organization of neuronal circuitry and synaptic organization and diversification in vertebrates. In this study, through a combination of exome sequencing and autozygosity mapping, we have identified 16 individuals (from seven unrelated families) with ultra-rare homozygous missense variants in NTNG2; these individuals present with shared features of a neurodevelopmental disorder consisting of global developmental delay, severe to profound intellectual disability, muscle weakness and abnormal tone, autistic features, behavioral abnormalities, and variable dysmorphisms. The variants disrupt highly conserved residues across the protein. Functional experiments, including in silico analysis of the protein structure, in vitro assessment of cell surface expression, and in vitro knockdown, revealed potential mechanisms of pathogenicity of the variants, including loss of protein function and decreased neurite outgrowth. Our data indicate that appropriate expression of NTNG2 plays an important role in neurotypical development.</t>
  </si>
  <si>
    <t>[Dias, Caroline M.; Partlow, Jennifer N.; Walsh, Christopher A.] Harvard Med Sch, Boston Childrens Hosp, Div Genet &amp; Genom, Boston, MA 02115 USA; [Dias, Caroline M.] Harvard Med Sch, Boston Childrens Hosp, Div Dev Med, Boston, MA 02115 USA; [Punetha, Jaya; Pehlivan, Davut; Posey, Jennifer E.; Mitani, Tadahiro; Coban-Akdemir, Zeynep; Karaca, Ender; Lupski, James R.] Baylor Coll Med, Dept Mol &amp; Human Genet, Houston, TX 77030 USA; [Zheng, Celine; Orlova, Valeria; Seiradake, Elena] Univ Oxford, Dept Biochem, South Parks Rd, Oxford OX1 3QU, England; [Mazaheri, Neda; Galehdari, Hamid] Shahid Chamran Univ Ahvaz, Dept Genet, Fac Sci, Ahvaz 6135783151, Iran; [Mazaheri, Neda; Shariati, Gholamreza] Narges Med Genet &amp; Prenatal Diag Lab, Ahvaz 6155689467, Iran; [Rad, Abolfazl] Sabzevar Univ Med Sci, Cellular &amp; Mol Res Ctr, Sabzevar 009851, Iran; [Efthymiou, Stephanie; Salpietro, Vincenzo; Houlden, Henry; Maroofian, Reza] UCL, Queen Sq Inst Neurol, Dept Neuromuscular Disorders, London WC1N 3BG, England; [Petersen, Andrea; Durham, Leslie] Randall Childrens Hosp Legacy Emanuel, Portland, OR 97227 USA; [Dehghani, Mohammadreza; Mehrjardi, Mohammad Yahya Vahidi] Shahid Sadoughi Univ Med Sci, Med Genet Res Ctr, Yazd, Iran; [Pehlivan, Davut] Baylor Coll Med, Dept Pediat, Sect Pediat Neurol &amp; Dev Neurosci, Houston, TX 77030 USA; [Partlow, Jennifer N.; Walsh, Christopher A.] Boston Childrens Hosp, Howard Hughes Med Inst, Boston, MA 02115 USA; [Gezdirici, Alper] Kanuni Sultan Suleyman Training &amp; Res Hosp, Dept Med Genet, TR-34303 Istanbul, Turkey; [Malamiri, Reza Azizi] Ahvaz Jundishapur Univ Med Sci, Golestan Med Educ &amp; Res Ctr, Dept Paediat Neurol, Ahvaz 6163764648, Iran; [Al Menabawy, Nihal M.; Selim, Laila A.] Cairo Univ, Children Hosp, Pediat Neurol &amp; Metab Div, Giza, Egypt; [Banu, Selina] ICH &amp; SSF Hosp Mirpur, Dept Pediat Neurol, Dhaka 1216, Bangladesh; [Rad, Abolfazl; Polla, Daniel L.; van Beusekom, Ellen; Schaeken, Lieke L. M.; van Bokhoven, Hans] Radboud Univ Nijmegen, Med Ctr, Donders Inst Brain Cognit &amp; Behav, Dept Human Genet, NL-6500 HB Nijmegen, Netherlands; [Polla, Daniel L.] Minist Educ Brazil, CAPES Fdn, Brasilia, DF, Brazil; [Yang, Edward] Boston Childrens Hosp, Dept Radiol, Boston, MA 02115 USA; [Varaghchi, Jamileh Rezazadeh] Welf Org Southern Khorasan, Hasti Genet Counseling Ctr, Birjand, Iran; [Najafi, Maryam] Radboud Univ Nijmegen, Med Ctr, Dept Human Genet, Genome Res Div, NL-6500 HB Nijmegen, Netherlands; [Sedaghat, Alireza] Ahvaz Jundishapur Univ Med Sci, Diabet Res Ctr, Hlth Res Inst, Ahvaz, Iran; [Keller-Ramey, Jennifer] GeneDx, Gaithersburg, MD 20877 USA; [Karaca, Ender] Univ Alabama Birmingham, Dept Genet, Birmingham, AL 35294 USA; [Sherafat, Amir] Bam Univ Med Sci, Dept Neurol, Fac Med, Bam, Iran; [Jhangiani, Shalini N.; Lupski, James R.] Baylor Coll Med, Human Genome Sequencing Ctr, Houston, TX 77030 USA; [Stanley, Valentina; Gleeson, Joseph G.] Univ Calif San Diego, Howard Hughes Med Inst, Dept Neurosci, Lab Pediat Brain Dis, La Jolla, CA 92093 USA; [Shariati, Gholamreza] Ahvaz Jundishapur Univ Med Sci, Dept Med Genet, Fac Med, Ahvaz 6135715794, Iran; [Lupski, James R.] Baylor Coll Med, Dept Pediat, Houston, TX 77030 USA; [Lupski, James R.] Texas Childrens Hosp, Houston, TX 77030 USA; [Punetha, Jaya] Icahn Sch Med Mt Sinai, Dept Genet &amp; Genom Sci, New York, NY 10029 USA</t>
  </si>
  <si>
    <t>Maroofian, R (corresponding author), UCL, Queen Sq Inst Neurol, Dept Neuromuscular Disorders, London WC1N 3BG, England.</t>
  </si>
  <si>
    <t>r.maroofian@ucl.ac.uk</t>
  </si>
  <si>
    <t>This work was supported by the United States National Institutes of Health: U54HG003067 (E.L.), UM1HG008900 (D.M., H.R.), U54HG006504 (R.L., M.G.), R35 NS105078 (J.R.L.), UM1HG006542 (J.R.L.), K08HG008986 (J.E.P.), R01NS048453 (J.G.G.), R01NS052455 (J.G.G.), T32 NS043124-17 (D.P.), R01NS035129 (C.A.W.), T32 MH112510 (C.M.D.). Additional support includes the Muscular Dystrophy Association (#512848 [J.R.L]., H.H.); the Clinical Research Training Scholarship in Neuromuscular Disease partnered by American Brain Foundation and Muscle Study Group (D.P.); Howard Hughes Medical Institute (C.A.W., J.G.G.); Wellcome Trust (202827/Z/16/Z, [E.S.], Wellcome Trust DPhil. Cellular Structural Biology [C.Z.]; SYNaPS Study Group and Synaptopathies Strategic Award 165908, WT093205 MA, WT104033AIA [H.H].); National Institute for Health Research University College London Hospitals Biomedical Research Centre (H.H.); Rosetree Trust (H.H.); Ataxia UK (H.H.); MSA Trust (H.H.); Brain Research UK (H.H.); Muscular Dystrophy UK (H.H.); Higher Education Commission of Pakistan (H.H.); The MRC (MR/S01165X/1, MR/S005021/1, G0601943 [H.H.]); European Union Seventh Framework Program (Gencodys: 241995 [H.vB.]); CAPES Fellowship, Brazil (99999.013311/2013-01 [D.L.P.]); Uehara Memorial Foundation (T.M.); the Broad Institute of MIT; Yale Center for Mendelian Disorders; Harvard Center for Mendelian Disorders; and Queen Square Genomics group at University College London. Genome sequencing was performed through an in-kind donation of sequencing from Human Longevity Inc., and from the Rady Children's Institute of Genomic Medicine.</t>
  </si>
  <si>
    <t>0002-9297</t>
  </si>
  <si>
    <t>1537-6605</t>
  </si>
  <si>
    <t>AM J HUM GENET</t>
  </si>
  <si>
    <t>Am. J. Hum. Genet.</t>
  </si>
  <si>
    <t>10.1016/j.ajhg.2019.09.025</t>
  </si>
  <si>
    <t>Genetics &amp; Heredity</t>
  </si>
  <si>
    <t>JL9XL</t>
  </si>
  <si>
    <t>WOS:000495878800016</t>
  </si>
  <si>
    <t>Luo, B; Leiser-Miller, L; Santana, SE; Zhang, L; Liu, T; Xiao, YH; Liu, Y; Feng, J</t>
  </si>
  <si>
    <t>Luo, Bo; Leiser-Miller, Leith; Santana, Sharlene E.; Zhang, Lin; Liu, Tong; Xiao, Yanhong; Liu, Ying; Feng, Jiang</t>
  </si>
  <si>
    <t>Echolocation call divergence in bats: a comparative analysis</t>
  </si>
  <si>
    <t>BEHAVIORAL ECOLOGY AND SOCIOBIOLOGY</t>
  </si>
  <si>
    <t>Chiroptera; Acoustic signal; Ecology; Evolution; Phylogeny</t>
  </si>
  <si>
    <t>EMBALLONURID BATS; SIGNALS; EVOLUTION; MORPHOLOGY; PREY; FREQUENCIES; PHYLOGENY; ALLOMETRY; SIZE; BEHAVIOR</t>
  </si>
  <si>
    <t>Animal vocalizations experience pressures from ecological conditions, but their diversification may be constrained by morphology and evolutionary history. To date, the relative contribution of these factors to acoustic diversity is unclear in most vertebrate groups. Bats constitute one of the most speciose and diverse mammal groups, and most bat species rely on vocalizations for orientation, foraging, and communication. Here, we examine echolocation calls of 207 bat species across 17 families to weigh the relative role of phylogenetic inertia, natural selection, and morphological constraints in shaping echolocation call diversity in bats. Using the large dataset, we confirm that foraging guilds, phylogenetic relationships, and forearm length account for the majority of the variation in call parameters among bats. Foraging guilds play a major role in influencing call parameters in low duty cycle bats. At the family level, the variation in call parameters is primarily explained by differences in body size and phylogenetic relationships. Path analyses indicate that phylogeny determines call output not only by their direct effect on call parameters but also by having an indirect effect via foraging guilds and body size. These results demonstrate that natural selection, phylogenetic constraint, and morphological constraint shape echolocation call divergence in bats. Our findings underscore the importance of both adaptive and non-adaptive mechanisms underlying the evolution of echolocation calls in bats.</t>
  </si>
  <si>
    <t>[Luo, Bo; Zhang, Lin; Liu, Tong; Xiao, Yanhong; Liu, Ying; Feng, Jiang] Northeast Normal Univ, Jilin Prov Key Lab Anim Resource Conservat &amp; Util, Changchun 130117, Jilin, Peoples R China; [Luo, Bo] China West Normal Univ, Key Lab Southwest China Wildlife Resources Conser, Minist Educ, Nanchong 637009, Peoples R China; [Leiser-Miller, Leith; Santana, Sharlene E.] Univ Washington, Dept Biol, Seattle, WA 98195 USA; [Leiser-Miller, Leith; Santana, Sharlene E.] Univ Washington, Burke Museum Nat Hist &amp; Culture, Seattle, WA 98195 USA; [Feng, Jiang] Jilin Agr Univ, Coll Life Sci, Changchun 130118, Jilin, Peoples R China</t>
  </si>
  <si>
    <t>Northeast Normal University - China; China West Normal University; University of Washington; University of Washington Seattle; University of Washington; University of Washington Seattle; Jilin Agricultural University</t>
  </si>
  <si>
    <t>Feng, J (corresponding author), Northeast Normal Univ, Jilin Prov Key Lab Anim Resource Conservat &amp; Util, Changchun 130117, Jilin, Peoples R China.;Santana, SE (corresponding author), Univ Washington, Dept Biol, Seattle, WA 98195 USA.;Santana, SE (corresponding author), Univ Washington, Burke Museum Nat Hist &amp; Culture, Seattle, WA 98195 USA.;Feng, J (corresponding author), Jilin Agr Univ, Coll Life Sci, Changchun 130118, Jilin, Peoples R China.</t>
  </si>
  <si>
    <t>ssantana@uw.edu; fengj@nenu.edu.cn</t>
  </si>
  <si>
    <t>Luo, Bo/I-7087-2013</t>
  </si>
  <si>
    <t>National Natural Science Foundation of China [31800323]; open project program of Jilin Provincial Key Laboratory of Animal Resource Conservation and Utilization at Northeast Normal University [1300289102]; Scientific Research Foundation of China West Normal University [18B024, 17E066]; National Science Foundation [1456375]; Division Of Environmental Biology; Direct For Biological Sciences [1456375] Funding Source: National Science Foundation</t>
  </si>
  <si>
    <t>National Natural Science Foundation of China(National Natural Science Foundation of China (NSFC)); open project program of Jilin Provincial Key Laboratory of Animal Resource Conservation and Utilization at Northeast Normal University; Scientific Research Foundation of China West Normal University; National Science Foundation(National Science Foundation (NSF)); Division Of Environmental Biology; Direct For Biological Sciences(National Science Foundation (NSF)NSF - Directorate for Biological Sciences (BIO))</t>
  </si>
  <si>
    <t>BL was supported by the National Natural Science Foundation of China (Grant no. 31800323), open project program of Jilin Provincial Key Laboratory of Animal Resource Conservation and Utilization at Northeast Normal University (Grant No. 1300289102), and Scientific Research Foundation of China West Normal University (Grant no. 18B024, 17E066). LLM was funded by the National Science Foundation (Grant No. 1456375 to SES).</t>
  </si>
  <si>
    <t>0340-5443</t>
  </si>
  <si>
    <t>1432-0762</t>
  </si>
  <si>
    <t>BEHAV ECOL SOCIOBIOL</t>
  </si>
  <si>
    <t>Behav. Ecol. Sociobiol.</t>
  </si>
  <si>
    <t>10.1007/s00265-019-2766-9</t>
  </si>
  <si>
    <t>Behavioral Sciences; Ecology; Zoology</t>
  </si>
  <si>
    <t>Behavioral Sciences; Environmental Sciences &amp; Ecology; Zoology</t>
  </si>
  <si>
    <t>JT9VA</t>
  </si>
  <si>
    <t>WOS:000501328100001</t>
  </si>
  <si>
    <t>Rogovski-Czaja, EA; Moreira, RR; Nesi, CN; Duarte, HDS; De Mio, LLM</t>
  </si>
  <si>
    <t>Rogovski-Czaja, Eliane Aparecida; Moreira, Rafaele Regina; Nesi, Cristiano Nunes; Silveira Duarte, Henrique da Silva; May De Mio, Louise Larissa</t>
  </si>
  <si>
    <t>Understanding components of the grapevine leaf spot monocycle and comparing resistance of Vitis labrusca cultivars</t>
  </si>
  <si>
    <t>JOURNAL OF PLANT PATHOLOGY</t>
  </si>
  <si>
    <t>Conidial germination; Incubation period; Latent period; Viticulture</t>
  </si>
  <si>
    <t>PSEUDOCERCOSPORA-VITIS; EPIDEMIOLOGY; TEMPERATURE; VIRUS</t>
  </si>
  <si>
    <t>Grapevine leaf spot caused by Pseudocercospora vitis is important at the end of the vegetative cycle of Vitis labrusca and its hybrids, but studies on this pathosystem and its monocyclic components are scarce. The objective of this work was to determine the favorable conditions for the development of the pathogen and to study the resistance levels in 10 grapevine cultivars. The germination of P. vitis conidia was evaluated at temperatures from 4 to 35 degrees C, germ tube size from 8 to 33 degrees C and weight of colonies of the pathogen from 10 to 40 degrees C. Wetness periods of 3 to 48 h were also evaluated for germination at temperatures from 10 to 40 degrees C. In five cultivars of V. labrusca and five hybrids inoculated with P. vitis, the incubation period and the progression of disease severity under controlled conditions were compared. The optimal temperature for germination of P. vitis was at 28 degrees C and 27 degrees C for germ tube growth. For mycelial weight the optimum temperature was 26.4 degrees C. The highest germination of the pathogen occurred with wetness of 45.5 h and temperature of 29.6 degrees C. The incubation period in the cultivars ranged from 26 to 51 days. The disease progress curve showed differences among cultivars tested, 'Concord' and 'BRS Vitoria' being the most resistant. In plants inoculated at 25 degrees C, the number of lesions increased over time, stabilizing at 42-47 days after inoculation and from here no new lesions appeared, only lesions expansion was observed.</t>
  </si>
  <si>
    <t>[Rogovski-Czaja, Eliane Aparecida; Moreira, Rafaele Regina; Silveira Duarte, Henrique da Silva; May De Mio, Louise Larissa] Univ Fed Parana UFPR, Dept Fitotecnia &amp; Fitossanidade, Setor Ciencias Agr, BR-80035050 Curitiba, Parana, Brazil; [Nesi, Cristiano Nunes] Empresa Pesquisa Agr &amp; Extensao Rural Santa Catar, BR-89801970 Chapeco, SC, Brazil</t>
  </si>
  <si>
    <t>Universidade Federal do Parana</t>
  </si>
  <si>
    <t>De Mio, LLM (corresponding author), Univ Fed Parana UFPR, Dept Fitotecnia &amp; Fitossanidade, Setor Ciencias Agr, BR-80035050 Curitiba, Parana, Brazil.</t>
  </si>
  <si>
    <t>Coordination of Improvement of Higher Education Personnel (CAPES); Federal University of Parana (UFPR)</t>
  </si>
  <si>
    <t>Coordination of Improvement of Higher Education Personnel (CAPES)(Coordenacao de Aperfeicoamento de Pessoal de Nivel Superior (CAPES)); Federal University of Parana (UFPR)</t>
  </si>
  <si>
    <t>The authors would like to thank the 'Federal University of Parana (UFPR)', as well as the 'Coordination of Improvement of Higher Education Personnel (CAPES)', for their support and provision of resources necessary for our research.</t>
  </si>
  <si>
    <t>1125-4653</t>
  </si>
  <si>
    <t>2239-7264</t>
  </si>
  <si>
    <t>J PLANT PATHOL</t>
  </si>
  <si>
    <t>J. Plant Pathol.</t>
  </si>
  <si>
    <t>10.1007/s42161-019-00281-y</t>
  </si>
  <si>
    <t>JK5PE</t>
  </si>
  <si>
    <t>WOS:000494894500004</t>
  </si>
  <si>
    <t>Wych, DC; Fraser, JS; Mobley, DL; Wall, ME</t>
  </si>
  <si>
    <t>Wych, David C.; Fraser, James S.; Mobley, David L.; Wall, Michael E.</t>
  </si>
  <si>
    <t>Liquid-like and rigid-body motions in molecular-dynamics simulations of a crystalline protein</t>
  </si>
  <si>
    <t>X-RAY-SCATTERING; DIFFUSE-SCATTERING; CRYSTALLOGRAPHY; DIFFRACTION; VALIDATION; MOVEMENTS; MODELS; NO</t>
  </si>
  <si>
    <t>To gain insight into crystalline protein dynamics, we performed molecular-dynamics (MD) simulations of a periodic 2 x 2 x 2 supercell of staphylococcal nuclease. We used the resulting MD trajectories to simulate X-ray diffraction and to study collective motions. The agreement of simulated X-ray diffraction with the data is comparable to previous MD simulation studies. We studied collective motions by analyzing statistically the covariance of alpha-carbon position displacements. The covariance decreases exponentially with the distance between atoms, which is consistent with a liquidlike motions (LLM) model, in which the protein behaves like a soft material. To gain finer insight into the collective motions, we examined the covariance behavior within a protein molecule (intraprotein) and between different protein molecules (interprotein). The interprotein atom pairs, which dominate the overall statistics, exhibit LLM behavior; however, the intraprotein pairs exhibit behavior that is consistent with a superposition of LLM and rigid-body motions (RBM). Our results indicate that LLM behavior of global dynamics is present in MD simulations of a protein crystal. They also show that RBM behavior is detectable in the simulations but that it is subsumed by the LLM behavior. Finally, the results provide clues about how correlated motions of atom pairs both within and across proteins might manifest in diffraction data. Overall, our findings increase our understanding of the connection between molecular motions and diffraction data and therefore advance efforts to extract information about functionally important motions from crystallography experiments.</t>
  </si>
  <si>
    <t>[Wych, David C.; Mobley, David L.] Univ Calif Irvine, Dept Pharmaceut Sci, Irvine, CA 92697 USA; [Wych, David C.; Wall, Michael E.] Los Alamos Natl Lab, Comp Computat &amp; Stat Sci Div, Los Alamos, NM 87545 USA; [Fraser, James S.] Univ Calif San Francisco, Dept Bioengn &amp; Therapeut Sci, San Francisco, CA 94143 USA; [Mobley, David L.] Univ Calif Irvine, Dept Chem, Irvine, CA 92697 USA</t>
  </si>
  <si>
    <t>University of California System; University of California Irvine; United States Department of Energy (DOE); Los Alamos National Laboratory; University of California System; University of California San Francisco; University of California System; University of California Irvine</t>
  </si>
  <si>
    <t>Wall, ME (corresponding author), Los Alamos Natl Lab, Comp Computat &amp; Stat Sci Div, Los Alamos, NM 87545 USA.</t>
  </si>
  <si>
    <t>mewall@lanl.gov</t>
  </si>
  <si>
    <t>; Mobley, David/C-3885-2009</t>
  </si>
  <si>
    <t>University of California Laboratory Fees Research Program [LFR-17-476732]; Exascale Computing Project [17-SC-20-SC]; NSF [STC-1231306]; U.S. Department of Energy [89233218CNA000001]</t>
  </si>
  <si>
    <t>University of California Laboratory Fees Research Program; Exascale Computing Project; NSF(National Science Foundation (NSF)); U.S. Department of Energy(United States Department of Energy (DOE))</t>
  </si>
  <si>
    <t>This work was supported by the University of California Laboratory Fees Research Program (No. LFR-17-476732). M.E.W. was also supported by the Exascale Computing Project (No. 17-SC-20-SC), a collaborative effort of the U.S. Department of Energy Office of Science and the National Nuclear Security Administration. J.S.F. was also supported by NSF No. STC-1231306. The simulations were performed using Institutional Computing machines at the Los Alamos National Laboratory, supported by the U.S. Department of Energy under Contract No. 89233218CNA000001.</t>
  </si>
  <si>
    <t>10.1063/1.5132692</t>
  </si>
  <si>
    <t>KA1QZ</t>
  </si>
  <si>
    <t>Green Published, Green Submitted, gold</t>
  </si>
  <si>
    <t>WOS:000505574600012</t>
  </si>
  <si>
    <t>Zhang, L; Si, RT; Liu, HS; Chen, N; Wang, Q; Adair, K; Wang, ZQ; Chen, JT; Song, ZX; Li, JJ; Banis, MN; Li, RY; Sham, TK; Gu, M; Liu, LM; Botton, GA; Sun, XL</t>
  </si>
  <si>
    <t>Zhang, Lei; Si, Rutong; Liu, Hanshuo; Chen, Ning; Wang, Qi; Adair, Keegan; Wang, Zhiqiang; Chen, Jiatang; Song, Zhongxin; Li, Junjie; Banis, Mohammad Norouzi; Li, Ruying; Sham, Tsun-Kong; Gu, Meng; Liu, Li-Min; Botton, Gianluigi A.; Sun, Xueliang</t>
  </si>
  <si>
    <t>Atomic layer deposited Pt-Ru dual-metal dimers and identifying their active sites for hydrogen evolution reaction</t>
  </si>
  <si>
    <t>NITROGEN-DOPED CARBON; SINGLE; CATALYSTS; OXIDATION; REDUCTION; DESIGN; WATER</t>
  </si>
  <si>
    <t>Single atom catalysts exhibit particularly high catalytic activities in contrast to regular nanomaterial-based catalysts. Until recently, research has been mostly focused on single atom catalysts, and it remains a great challenge to synthesize bimetallic dimer structures. Herein, we successfully prepare high-quality one-to-one A-B bimetallic dimer structures (Pt-Ru dimers) through an atomic layer deposition (ALD) process. The Pt-Ru dimers show much higher hydrogen evolution activity (more than 50 times) and excellent stability compared to commercial Pt/C catalysts. X-ray absorption spectroscopy indicates that the Pt-Ru dimers structure model contains one Pt-Ru bonding configuration. First principle calculations reveal that the Pt-Ru dimer generates a synergy effect by modulating the electronic structure, which results in the enhanced hydrogen evolution activity. This work paves the way for the rational design of bimetallic dimers with good activity and stability, which have a great potential to be applied in various catalytic reactions.</t>
  </si>
  <si>
    <t>[Zhang, Lei; Adair, Keegan; Song, Zhongxin; Li, Junjie; Banis, Mohammad Norouzi; Li, Ruying; Sun, Xueliang] Univ Western Ontario, Dept Mech &amp; Mat Engn, London, ON N6A 5B9, Canada; [Si, Rutong; Liu, Li-Min] Beijing Computat Sci Res Ctr, Beijing 100193, Peoples R China; [Si, Rutong; Liu, Li-Min] Beihang Univ, Sch Phys, Beijing 100083, Peoples R China; [Liu, Hanshuo; Botton, Gianluigi A.] McMaster Univ, Dept Mat Sci &amp; Engn, Hamilton, ON L8S 4L8, Canada; [Chen, Ning] Canadian Light Source Inc, Saskatoon, SK S7N 2V3, Canada; [Wang, Qi; Gu, Meng] Southern Univ Sci &amp; Technol, Dept Mat Sci &amp; Engn, Shenzhen 518055, Peoples R China; [Wang, Zhiqiang; Chen, Jiatang; Sham, Tsun-Kong] Univ Western Ontario, Dept Chem, London, ON N6A 5B7, Canada</t>
  </si>
  <si>
    <t>Western University (University of Western Ontario); Chinese Academy of Engineering Physics; Beijing Computational Science Research Center (CSRC); Beihang University; McMaster University; University of Saskatchewan; Southern University of Science &amp; Technology; Western University (University of Western Ontario)</t>
  </si>
  <si>
    <t>Sun, XL (corresponding author), Univ Western Ontario, Dept Mech &amp; Mat Engn, London, ON N6A 5B9, Canada.;Liu, LM (corresponding author), Beijing Computat Sci Res Ctr, Beijing 100193, Peoples R China.;Liu, LM (corresponding author), Beihang Univ, Sch Phys, Beijing 100083, Peoples R China.;Botton, GA (corresponding author), McMaster Univ, Dept Mat Sci &amp; Engn, Hamilton, ON L8S 4L8, Canada.</t>
  </si>
  <si>
    <t>liminliu@buaa.edu.un; gbotton@mcmaster.ca; xsun@eng.uwo.ca</t>
  </si>
  <si>
    <t>Natural Sciences and Engineering Research Council of Canada (NSERC); Canada Research Chair (CRC) Program; Canada Foundation for Innovation (CFI); University of Western Ontario; Fundamental Research Funds for the Central Universities; National Natural Science Foundation of China [51861130360, 51572016, U1530401]; Newton Advanced Fellowships [NAF/R1/180242]; Canada Foundation for Innovation (MSI program); McMaster University; [TZ2018004]</t>
  </si>
  <si>
    <t>Natural Sciences and Engineering Research Council of Canada (NSERC)(Natural Sciences and Engineering Research Council of Canada (NSERC)); Canada Research Chair (CRC) Program(Canada Research ChairsAustralian GovernmentDepartment of Industry, Innovation and ScienceCooperative Research Centres (CRC) Programme); Canada Foundation for Innovation (CFI)(Canada Foundation for Innovation); University of Western Ontario; Fundamental Research Funds for the Central Universities(Fundamental Research Funds for the Central Universities); National Natural Science Foundation of China(National Natural Science Foundation of China (NSFC)); Newton Advanced Fellowships; Canada Foundation for Innovation (MSI program); McMaster University;</t>
  </si>
  <si>
    <t>This work was supported by Natural Sciences and Engineering Research Council of Canada (NSERC), Canada Research Chair (CRC) Program, Canada Foundation for Innovation (CFI) and the University of Western Ontario. The electron microscopy characterization was carried out at the Canadian Centre for Electron Microscopy (CCEM), a national facility supported by NSERC, the Canada Foundation for Innovation (via the MSI program) and McMaster University. LLM was supported by the Science Challenge Project (TZ2018004), the Fundamental Research Funds for the Central Universities, the National Natural Science Foundation of China (grant no. 51861130360, 51572016, and U1530401), and Newton Advanced Fellowships under the grant No. NAF/R1/180242, the computation supports from Tianhe-2JK computing time award at the Beijing Computational Science Research Center (CSRC).</t>
  </si>
  <si>
    <t>NATURE PUBLISHING GROUP</t>
  </si>
  <si>
    <t>MACMILLAN BUILDING, 4 CRINAN ST, LONDON N1 9XW, ENGLAND</t>
  </si>
  <si>
    <t>10.1038/s41467-019-12887-y</t>
  </si>
  <si>
    <t>JI2EF</t>
  </si>
  <si>
    <t>WOS:000493275600010</t>
  </si>
  <si>
    <t>Mariani, LL; Longueville, S; Girault, JA; Hervé, D; Gervasi, N</t>
  </si>
  <si>
    <t>Mariani, Louise-Laure; Longueville, Sophie; Girault, Jean-Antoine; Herve, Denis; Gervasi, Nicolas</t>
  </si>
  <si>
    <t>Differential enhancement of ERK, PKA and Ca2+ signaling in direct and indirect striatal neurons of Parkinsonian mice</t>
  </si>
  <si>
    <t>NEUROBIOLOGY OF DISEASE</t>
  </si>
  <si>
    <t>Parkinson's disease; Striatum; Striatal projection neuron; 6-hydroxydopamine; Mouse; Ca2+ signaling; cAMP signaling; ERK; Biosensors; Forster resonance energy transfer; Two-photon microscopy</t>
  </si>
  <si>
    <t>DOPA-INDUCED DYSKINESIA; BASAL GANGLIA; PROJECTION NEURONS; ADENYLYL-CYCLASE; HEMIPARKINSONIAN RATS; PHASIC DOPAMINE; GENE-EXPRESSION; D2 RECEPTORS; GABA RELEASE; D1 RECEPTOR</t>
  </si>
  <si>
    <t>Parkinson's disease (PD) is characterized by severe locomotor deficits due to the disappearance of dopamine (DA) from the dorsal striatum. The development of PD symptoms and treatment-related complications such as dyskinesia have been proposed to result from complex alterations in intracellular signaling in both direct and indirect pathway striatal projection neurons (dSPNs and iSPNs, respectively) following loss of DA afferents. To identify cell-specific and dynamical modifications of signaling pathways associated with PD, we used a hemi-parkinsonian mouse model with 6-hydroxydopamine (6-01-IDA) lesion combined with two-photon fluorescence biosensors imaging in adult corticostriatal slices. After DA lesion, extracellular signal-regulated kinase (ERK) activation was increased in response to DA D1 receptor (D1R) or alpha-amino-3-hydroxy-5-methyl-4-isoxazolepropionic acid (AMPA) stimulation. The cAMP-dependent protein kinase (PKA) pathway contributing to ERK activation displayed supersensitive responses to D1R stimulation after 6-OHDA lesion. This cAMP/PKA supersensitivity was specific of D1R-responding SPNs and resulted from G alpha(olf) upregulation and deficient phosphodiesterase activity. In lesioned striatum, the number of D1R-SPNs with spontaneous Ca2+ transients augmented while Ca2+ response to AMPA receptor stimulation specifically increased in iSPNs. Our work reveals distinct cell type-specific signaling alterations in the striatum after DA denervation. It suggests that over-activation of ERK pathway, observed in PD striatum, known to contribute to dyskinesia, may be linked to the combined dysregulation of DA and glutamate signaling pathways in the two populations of SPNs. These findings bring new insights into the implication of these respective neuronal populations in PD motor symptoms and the occurrence of PD treatment complications.</t>
  </si>
  <si>
    <t>[Mariani, Louise-Laure; Longueville, Sophie; Girault, Jean-Antoine; Herve, Denis; Gervasi, Nicolas] INSERM, UMR S 1270, Paris, France; [Mariani, Louise-Laure; Longueville, Sophie; Girault, Jean-Antoine; Herve, Denis; Gervasi, Nicolas] Sorbonne Univ, Sci &amp; Engn Fac, Paris, France; [Mariani, Louise-Laure; Longueville, Sophie; Girault, Jean-Antoine; Herve, Denis; Gervasi, Nicolas] Inst Fer Moulin, Paris, France</t>
  </si>
  <si>
    <t>Institut National de la Sante et de la Recherche Medicale (Inserm); Sorbonne Universite; Sorbonne Universite</t>
  </si>
  <si>
    <t>Hervé, D; Gervasi, N (corresponding author), INSERM, UMR S 1270, Inst Fer Moulin, Team Neurotransmiss &amp; Signaling, 17 Rue Fer Moulin, F-75005 Paris, France.</t>
  </si>
  <si>
    <t>denis.herve@inserm.fr; nicolas.gervasi@inserm.fr</t>
  </si>
  <si>
    <t>Inserm; Sorbonne University; France Parkinson; L'Oreal-UNESCO - Bourse francaise Pour les Femmes et la Science, Journees de Neurologie de Langue Francaise; French Society of Neurology; poste d'accueil INSERM; [ERC-2009-AdG_20090506]; [FRM DEQ20081213971]; [CRCNS/ANR 1515686]; [ANR09-MNPS-014]; [ANR-16-CE37-0003-01 AMEDYST]</t>
  </si>
  <si>
    <t>Inserm(Institut National de la Sante et de la Recherche Medicale (Inserm)); Sorbonne University; France Parkinson; L'Oreal-UNESCO - Bourse francaise Pour les Femmes et la Science, Journees de Neurologie de Langue Francaise(L'Oreal Group); French Society of Neurology; poste d'accueil INSERM(Institut National de la Sante et de la Recherche Medicale (Inserm)); ; ; ; ;</t>
  </si>
  <si>
    <t>The present work was supported in part by Inserm and Sorbonne University, by ERC-2009-AdG_20090506, FRM DEQ20081213971, and CRCNS/ANR 1515686 to JAG and ANR09-MNPS-014, ANR-16-CE37-0003-01 AMEDYST and France Parkinson to DH. LLM was supported by L'Oreal-UNESCO - Bourse francaise Pour les Femmes et la Science, Journees de Neurologie de Langue Francaise and French Society of Neurology, and a poste d'accueil INSERM.</t>
  </si>
  <si>
    <t>0969-9961</t>
  </si>
  <si>
    <t>1095-953X</t>
  </si>
  <si>
    <t>NEUROBIOL DIS</t>
  </si>
  <si>
    <t>Neurobiol. Dis.</t>
  </si>
  <si>
    <t>10.1016/j.nbd.2019.104506</t>
  </si>
  <si>
    <t>Neurosciences</t>
  </si>
  <si>
    <t>IR6QY</t>
  </si>
  <si>
    <t>WOS:000481565000031</t>
  </si>
  <si>
    <t>Mason, HE; Guillen, GJ; Gash, AE</t>
  </si>
  <si>
    <t>Mason, Harris E.; Guillen, Ginger J.; Gash, Alexander E.</t>
  </si>
  <si>
    <t>Fast Magic-Angle Spinning Solid-State 1H NMR Reveals Structural Relationships in the High Explosive 2,6-Diamino-3,5-dinitropyrazine-1-oxide (LLM-105)</t>
  </si>
  <si>
    <t>CHEMICAL-SHIFT ANISOTROPY; HYDROGEN-BONDED STRUCTURE; LATTICE-RELAXATION; NMR RELAXATION; TENSORS; DIFFUSION; CS-2(HSO4)(H2PO4); POLYPEPTIDES; SPECTROSCOPY; DERIVATIVES</t>
  </si>
  <si>
    <t>H-1 nuclear magnetic resonance (NMR) experiments were performed on the proposed insensitive high-explosive 2,6-diamino-3,5-dinitropyrazine-1-oxide (LLM-105) at high-speed magic-angle spinning rates of up to 60 kHz. These rapid speeds produce well-resolved spectra that aid in the study of the chemical and structural properties of this material. Extraordinarily long H-1 T-1 values were observed for the main amine peaks from the LLM-105 explosive and can be used to differentiate between peaks from the main compound and those of impurities. Further, advanced NMR measurements and simulations reveal unique spectral properties due to the strong network of intramolecular and intermolecular hydrogen bonding and provide insights in the structure of LLM-105.</t>
  </si>
  <si>
    <t>[Mason, Harris E.; Guillen, Ginger J.; Gash, Alexander E.] Lawrence Livermore Natl Lab, Phys &amp; Life Sci Directorate, 7000 East Ave, Livermore, CA 94550 USA</t>
  </si>
  <si>
    <t>United States Department of Energy (DOE); Lawrence Livermore National Laboratory</t>
  </si>
  <si>
    <t>Mason, HE (corresponding author), Lawrence Livermore Natl Lab, Phys &amp; Life Sci Directorate, 7000 East Ave, Livermore, CA 94550 USA.</t>
  </si>
  <si>
    <t>mason42@llnl.gov</t>
  </si>
  <si>
    <t>Mason, Harris E/F-7194-2011</t>
  </si>
  <si>
    <t>LLNL [DE-AC52-07NA27344]</t>
  </si>
  <si>
    <t>LLNL</t>
  </si>
  <si>
    <t>The authors would like to thank Dr. Brian L. Phillips of Stony Brook University for his insights on the interpretation of the variable spinning rate experiments, and Dr. Ayyalusamy Ramorthy of the University of Michigan and Dr. Rongchun Zhang of South China University of Technology for sharing the SIMPSON code for the anisotropic/isotropic correlation experiment. This work was prepared by LLNL under contract DE-AC52-07NA27344.</t>
  </si>
  <si>
    <t>SEP 5</t>
  </si>
  <si>
    <t>10.1021/acs.jpcc.9b06180</t>
  </si>
  <si>
    <t>IW3LU</t>
  </si>
  <si>
    <t>WOS:000484882500054</t>
  </si>
  <si>
    <t>Donald, MS</t>
  </si>
  <si>
    <t>Donald, M. Scott</t>
  </si>
  <si>
    <t>The Pension Trust: Fit For Purpose?</t>
  </si>
  <si>
    <t>MODERN LAW REVIEW</t>
  </si>
  <si>
    <t>The law of trusts plays an integral and multi-faceted role in the regulatory scheme shaping the occupational pensions arena in Australia and the United Kingdom. It facilitates the operation of private law modalities, such as innovation and competition. However, that openness also renders members' interests vulnerable and the lack of transparency and emaciated accountability mechanisms within trust law undermine the powerful normative force exerted by the language in which trust doctrine is so often couched. That said, the regulatory regimes buttress, and rely upon, the protections offered by trust law. The result is a compelling illustration of the nuanced way in which private law is employed in a modern regulatory state.</t>
  </si>
  <si>
    <t>[Donald, M. Scott] UNSW Law, Ctr Law Markets &amp; Regulat, Sydney, NSW, Australia; [Donald, M. Scott] Herbert Smith Freehills, London, England</t>
  </si>
  <si>
    <t>Herbert Smith Freehills</t>
  </si>
  <si>
    <t>Donald, MS (corresponding author), UNSW Law, Ctr Law Markets &amp; Regulat, Sydney, NSW, Australia.;Donald, MS (corresponding author), Herbert Smith Freehills, London, England.</t>
  </si>
  <si>
    <t>s.donald@unsw.edu.au</t>
  </si>
  <si>
    <t>Australian Prudential Regulation Authority</t>
  </si>
  <si>
    <t>BEc, LLB, LLM, PhD, CFA. Director, Centre for Law, Markets and Regulation, UNSW Law; External Consultant, Herbert Smith Freehills. The author would like to thank Professors Michael Bryan, Simone Degeling, Dimity Kingsford Smith and Geraint Thomas for their detailed feedback on the analysis that underlies this paper, as well as Ally Crowther and the participants in the 2017 Modern Studies in Property Law Publication Workshop hosted by Queen's College, Cambridge and the 25th annual Superannuation Researchers Colloquium held at UNSW in 2017. The author would also like to thank the Australian Prudential Regulation Authority for the support of its Brian Grey scholarship. The views and opinions expressed in this report are solely those of the author and do not reflect the views and opinions of the aforementioned, nor UNSW Law, Herbert Smith Freehills or the Australian Prudential Regulation Authority. Unless otherwise stated all URLs were last accessed on 18 July 2018.</t>
  </si>
  <si>
    <t>0026-7961</t>
  </si>
  <si>
    <t>1468-2230</t>
  </si>
  <si>
    <t>MOD LAW REV</t>
  </si>
  <si>
    <t>Mod. Law Rev.</t>
  </si>
  <si>
    <t>10.1111/1468-2230.12438</t>
  </si>
  <si>
    <t>IR6WG</t>
  </si>
  <si>
    <t>WOS:000481580500002</t>
  </si>
  <si>
    <t>Falconer, K</t>
  </si>
  <si>
    <t>Falconer, Kate</t>
  </si>
  <si>
    <t>DISMANTLING DOODEWARD: GUIDED DISCRETION AS THE SUPERIOR BASIS FOR PROPERTY RIGHTS IN HUMAN BIOLOGICAL MATERIAL</t>
  </si>
  <si>
    <t>For over a century the Australian High Court's decision in Doodeward v Spence has dominated questions of property rights in the human body. Beginning with the Supreme Court of Western Australia's decision in Roche v Douglas in 2000, however, Australian courts have developed an alternative 'guided discretion' approach to finding property rights in human biological material. This approach provides a normative framework for judges deciding the property question. The existence of two legal bases that answer the same legal question within the Australian common law is unnecessary and undesirable. This article examines the case law applying the more recent guided discretion approach and identifies its three essential features. It then presents four arguments as to why Doodeward should be superseded by the guided discretion approach in questions of property rights in human biological material.</t>
  </si>
  <si>
    <t>[Falconer, Kate] Washington Univ, St Louis, MO 63110 USA; [Falconer, Kate] Australian Natl Univ, Coll Law, Canberra, ACT, Australia</t>
  </si>
  <si>
    <t>Washington University (WUSTL); Australian National University</t>
  </si>
  <si>
    <t>Falconer, K (corresponding author), Washington Univ, St Louis, MO 63110 USA.;Falconer, K (corresponding author), Australian Natl Univ, Coll Law, Canberra, ACT, Australia.</t>
  </si>
  <si>
    <t>Australian Government</t>
  </si>
  <si>
    <t>Australian Government(Australian Government)</t>
  </si>
  <si>
    <t>BA LLB (Hons) (UQ), LLM (Washington University in St Louis); PhD Candidate, College of Law, Australian National University. This research is supported by an Australian Government Research Training Program Scholarship. My thanks to Pauline Ridge, Alice Taylor, and several anonymous reviewers for their helpful comments on earlier versions.</t>
  </si>
  <si>
    <t>JA9VX</t>
  </si>
  <si>
    <t>WOS:000488199000006</t>
  </si>
  <si>
    <t>Fitzpatrick, D; Compton, C; Foukona, J</t>
  </si>
  <si>
    <t>Fitzpatrick, Daniel; Compton, Caroline; Foukona, Joseph</t>
  </si>
  <si>
    <t>PROPERTY AND THE STATE OR 'THE FOLLY OF TORRENS': A COMPARATIVE PERSPECTIVE</t>
  </si>
  <si>
    <t>SOLOMON-ISLANDS; LAND; TENURE; CITY; LAW</t>
  </si>
  <si>
    <t>Australian lawyers often extol the virtues of the Torrens system as a means to secure property in land. Yet, the comparative evidence of benefits is mixed and context-dependent, particularly in terms of the nature, provenance and capacity of the state. This article analyses ways in which positivist land laws, including Torrens systems of title by registration, create legal understandings of property that are tied closely to projections or assumptions of state territorial authority. The intertwining of property and sovereignty constructs allodial conceptions of property based on possession or custom as subordinate, if not illegal, simply because they exist in social orders that lie beyond the administrative systems of the state. As a result, there is a chronic fragmentation of legal and social understandings of property in areas of the world with Torrens law and large numbers of informal settlements. The case studies include the Philippines and the Solomon Islands.</t>
  </si>
  <si>
    <t>[Fitzpatrick, Daniel] Monash Univ, Fac Law, Melbourne, Vic, Australia; [Compton, Caroline] Univ New South Wales, UNSW Law, Sydney, NSW, Australia; [Foukona, Joseph] Univ South Pacific, Sch Law, Port Vila, Vanuatu</t>
  </si>
  <si>
    <t>Monash University; University of New South Wales Sydney</t>
  </si>
  <si>
    <t>Fitzpatrick, D (corresponding author), Monash Univ, Fac Law, Melbourne, Vic, Australia.</t>
  </si>
  <si>
    <t>Foukona, Joseph/AAA-1368-2021</t>
  </si>
  <si>
    <t>Compton, Caroline/0000-0001-6542-4822; Fitzpatrick, Daniel/0000-0002-0549-4906</t>
  </si>
  <si>
    <t>Australian Research Council [DP130104802, FT110101065]; Australian Research Council [FT110101065] Funding Source: Australian Research Council</t>
  </si>
  <si>
    <t>BA LLB LLM (Syd), PhD (ANU); Professor, Faculty of Law, Monash University, Melbourne, Australia. Fieldwork for this article was undertaken pursuant to a Discovery Project (DP130104802) and a Future Fellowship (FT110101065) from the Australian Research Council.</t>
  </si>
  <si>
    <t>WOS:000488199000008</t>
  </si>
  <si>
    <t>Nan, L; Lai, MYA; Tang, MYH; Chan, YK; Poon, LLM; Shum, HC</t>
  </si>
  <si>
    <t>Nan, Lang; Lai, Man Yuk Alison; Tang, Matthew Yuk Heng; Chan, Yau Kei; Poon, Leo Lit Man; Shum, Ho Cheung</t>
  </si>
  <si>
    <t>On-Demand Droplet Collection for Capturing Single Cells</t>
  </si>
  <si>
    <t>SMALL</t>
  </si>
  <si>
    <t>droplet microfluidics; quantitative collection; single cell</t>
  </si>
  <si>
    <t>HIGH-THROUGHPUT; STEM-CELL; PROLIFERATION; TECHNOLOGIES; PCR</t>
  </si>
  <si>
    <t>Droplet-based microfluidic techniques are extensively used in efficient manipulation and genome-wide analysis of individual cells, probing the heterogeneity among populations of individuals. However, the extraction and isolation of single cells from individual droplets remains difficult due to the inevitable sample loss during processing. Herein, an automated system for accurate collection of defined numbers of droplets containing single cells is presented. Based on alternate sorting and dispensing in three branch channels, the droplet number can be precisely controlled down to single-droplet resolution. While encapsulating single cells and reserving one branch as a waste channel, sorting can be seamlessly integrated to enable on-demand collection of single cells. Combined with a lossless recovery strategy, this technique achieves capture and culture of individual cells with a harvest rate of over 95%. The on-demand droplet collection technique has great potential to realize quantitative processing and analysis of single cells for elucidating the role of cell-to-cell variations.</t>
  </si>
  <si>
    <t>[Nan, Lang; Tang, Matthew Yuk Heng; Chan, Yau Kei; Shum, Ho Cheung] Univ Hong Kong, Dept Mech Engn, Pokfulam Rd, Hong Kong 999077, Peoples R China; [Lai, Man Yuk Alison; Poon, Leo Lit Man] Univ Hong Kong, Sch Publ Hlth, Pokfulam Rd, Hong Kong 999077, Peoples R China; [Chan, Yau Kei] Univ Hong Kong, Dept Ophthalmol, Pokfulam Rd, Hong Kong 999077, Peoples R China</t>
  </si>
  <si>
    <t>Shum, HC (corresponding author), Univ Hong Kong, Dept Mech Engn, Pokfulam Rd, Hong Kong 999077, Peoples R China.</t>
  </si>
  <si>
    <t>ashum@hku.hk</t>
  </si>
  <si>
    <t>Research Grants Council of Hong Kong [C6004-14G]; National Natural Science Foundation of China [91434202]; University of Hong Kong [201711160016, 20171159249, 20161159205]; [21476189/B060201]; [HKU 17112117]; [17304514]; [17306315]; [17329516]; [17304017]; [T11-705/14N]</t>
  </si>
  <si>
    <t>Research Grants Council of Hong Kong(Hong Kong Research Grants Council); National Natural Science Foundation of China(National Natural Science Foundation of China (NSFC)); University of Hong Kong(University of Hong Kong); ; ; ; ; ; ;</t>
  </si>
  <si>
    <t>The authors thank Prof. M. L. Lung and Z. V. Yu from HKU's Department of Clinical Oncology for providing the KYSE cell samples, Prof. J. Huang from HKU's School of Biomedical Sciences for providing the MDCK cell samples, and PhD candidate, L. T. Hung for the assistance in cell culture. L.L.M.P. is a Croucher Senior Research Fellow. This research was supported by the General Research Fund (Nos. HKU 17112117, 17304514, 17306315, 17329516, and 17304017), the Theme-based Research Scheme (T11-705/14N), the Collaborative Research Fund (C6004-14G) from the Research Grants Council of Hong Kong, the General Program (No. 21476189/B060201), and the Major Research plan (No. 91434202) from the National Natural Science Foundation of China as well as the Seed Funding (Nos. 201711160016, 20171159249, and 20161159205) from the University of Hong Kong.</t>
  </si>
  <si>
    <t>1613-6810</t>
  </si>
  <si>
    <t>1613-6829</t>
  </si>
  <si>
    <t>Small</t>
  </si>
  <si>
    <t>10.1002/smll.201902889</t>
  </si>
  <si>
    <t>AUG 2019</t>
  </si>
  <si>
    <t>Chemistry, Multidisciplinary; Chemistry, Physical; Nanoscience &amp; Nanotechnology; Materials Science, Multidisciplinary; Physics, Applied; Physics, Condensed Matter</t>
  </si>
  <si>
    <t>KU3EU</t>
  </si>
  <si>
    <t>WOS:000482639800001</t>
  </si>
  <si>
    <t>Biela, W; Warczak, A; Mucha, A; Malarz, A</t>
  </si>
  <si>
    <t>Biela, Weronika; Warczak, Andrzej; Mucha, Adam; Malarz, Adam</t>
  </si>
  <si>
    <t>Enhanced Ar-K X-ray emission observed in EBIT at electron energies around 6,500 eV</t>
  </si>
  <si>
    <t>X-RAY SPECTROMETRY</t>
  </si>
  <si>
    <t>RECOMBINATION; CAPTURE; IONS</t>
  </si>
  <si>
    <t>Recently (2015) at the Institute of Physics of the Jagiellonian University, a commercial electron beam ion source (Dresden EBIT, DREEBIT Co.) was installed for teaching and scientific purposes. The first experiments were focused on observation of radiative recombination and dielectronic recombination (DR). A good resolution of the X-ray spectra for DR in argon encouraged a more detailed search. An investigation of higher order resonances, namely, trielectronic recombination (TR: KK-LLL, KK-LLM, horizontal ellipsis ) in argon ions, was initiated. The present experiment was conducted while scanning the electron beam energy of the EBIT over the region 5,700-7200 eV. This electron energy region was expected to manifest an enhancement of the Ar-K X-ray emission due to TR processes mentioned above. Indeed, a maximum-like behavior of the radiation intensity was observed.</t>
  </si>
  <si>
    <t>[Biela, Weronika; Warczak, Andrzej; Mucha, Adam; Malarz, Adam] Jagiellonian Univ, Inst Phys, Lojasiewicza 11, PL-30348 Krakow, Poland</t>
  </si>
  <si>
    <t>Jagiellonian University</t>
  </si>
  <si>
    <t>Biela, W (corresponding author), Jagiellonian Univ, Inst Phys, Lojasiewicza 11, PL-30348 Krakow, Poland.</t>
  </si>
  <si>
    <t>weronika.biela@student.uj.edu.pl</t>
  </si>
  <si>
    <t>Biela-Nowaczyk, Weronika/AAI-2483-2021</t>
  </si>
  <si>
    <t>Biela-Nowaczyk, Weronika/0000-0002-8257-7801</t>
  </si>
  <si>
    <t>Ministerstwo Nauki i Szkolnictwa Wyzszego [7150/E-338/M/2018]</t>
  </si>
  <si>
    <t>Ministerstwo Nauki i Szkolnictwa Wyzszego(Ministry of Science and Higher Education, Poland)</t>
  </si>
  <si>
    <t>Ministerstwo Nauki i Szkolnictwa Wyzszego, Grant/Award Number: MNiSzW Nr 7150/E-338/M/2018</t>
  </si>
  <si>
    <t>0049-8246</t>
  </si>
  <si>
    <t>1097-4539</t>
  </si>
  <si>
    <t>X-RAY SPECTROM</t>
  </si>
  <si>
    <t>JH7RI</t>
  </si>
  <si>
    <t>WOS:000480162200001</t>
  </si>
  <si>
    <t>Ballakrishnen, SS; Silver, C</t>
  </si>
  <si>
    <t>Ballakrishnen, Swethaa S.; Silver, Carole</t>
  </si>
  <si>
    <t>A NEW MINORITY? International JD Students in US Law Schools</t>
  </si>
  <si>
    <t>LAW AND SOCIAL INQUIRY-JOURNAL OF THE AMERICAN BAR FOUNDATION</t>
  </si>
  <si>
    <t>LEGAL-EDUCATION; REPRODUCTION; SYSTEM; PATHS; FIRMS</t>
  </si>
  <si>
    <t>This Article reveals the significance of a new and growing minority group within US law schools-international students in the Juris Doctor (JD) program. While international students have received some attention in legal education scholarship, it mostly has been focused on their participation in the context of programs specially designed for this demographic (e.g. postgraduate programs like the LLM and SJD). Drawing from interview data with fifty-eight international JD students across seventeen graduating US law schools, our research reveals the rising importance of international students as actors within a more mainstream institutional context. In examining the ways these students navigate their law school environments, we find that although international status often impacts identity and participation, not all students encounter its impact similarly. Particularly, while some students use the identity to their advantage, others cannot escape negative implications, even with effort. This is consistent with other scholarship on minority students, and adds to a growing literature that uses their socialization experiences to better understand professional stratification. To unpack these different ways of being international, we borrow from Goffman's theorization of stigma to suggest illustrative variations in the ways international students experience their environments. In doing so, we offer an introductory landscape to better understand this growing population and hope this enables new insights to theorize about other kinds of minority experience.</t>
  </si>
  <si>
    <t>[Ballakrishnen, Swethaa S.] Univ Calif Irvine, Sch Law, Irvine, CA 92717 USA; [Silver, Carole] Northwestern Univ, Pritzker Sch Law, Global Law &amp; Practice, Evanston, IL 60208 USA</t>
  </si>
  <si>
    <t>University of California System; University of California Irvine; Northwestern University</t>
  </si>
  <si>
    <t>Ballakrishnen, SS (corresponding author), Univ Calif Irvine, Sch Law, Irvine, CA 92717 USA.</t>
  </si>
  <si>
    <t>sballakrishnen@law.uci.edu; c-silver@law.northwestern.edu</t>
  </si>
  <si>
    <t>Ballakrishnen, Swethaa/0000-0002-5555-8779</t>
  </si>
  <si>
    <t>Northwestern University Pritzker School of Law Faculty Research Program; AccessLex Visiting Scholarship in Legal and Higher Education at the American Bar Foundation</t>
  </si>
  <si>
    <t>This research was supported by the Northwestern University Pritzker School of Law Faculty Research Program (Silver) and the AccessLex Visiting Scholarship in Legal and Higher Education at the American Bar Foundation (Ballakrishnen).</t>
  </si>
  <si>
    <t>0897-6546</t>
  </si>
  <si>
    <t>1747-4469</t>
  </si>
  <si>
    <t>LAW SOCIAL INQUIRY</t>
  </si>
  <si>
    <t>Law Soc. Inq.-J. Am. Bar Found.</t>
  </si>
  <si>
    <t>PII S0897654618000126</t>
  </si>
  <si>
    <t>10.1017/lsi.2018.12</t>
  </si>
  <si>
    <t>JB8VX</t>
  </si>
  <si>
    <t>WOS:000488857600004</t>
  </si>
  <si>
    <t>Begemann, I; Saha, T; Lamparter, L; Rathmann, I; Grill, D; Golbach, L; Rasch, C; Keller, U; Trappmann, B; Matis, M; Gerke, V; Klingauf, J; Galic, M</t>
  </si>
  <si>
    <t>Begemann, I.; Saha, T.; Lamparter, L.; Rathmann, I.; Grill, D.; Golbach, L.; Rasch, C.; Keller, U.; Trappmann, B.; Matis, M.; Gerke, V.; Klingauf, J.; Galic, M.</t>
  </si>
  <si>
    <t>Mechanochemical self-organization determines search pattern in migratory cells</t>
  </si>
  <si>
    <t>NATURE PHYSICS</t>
  </si>
  <si>
    <t>ACTIN POLYMERIZATION; IRSP53; DOMAIN; LAMELLIPODIUM; METASTASIS; NUCLEATION; MECHANISM; MEMBRANES; CORRELATE; DYNAMICS</t>
  </si>
  <si>
    <t>To reach their destination, migrating cells rely on polarized signal inputs to align the direction of their motion. However, navigational guidance cues are not always present, which establishes the need for exploratory search mechanisms in cells seeking signal inputs. Here, we investigate how non-Brownian search patterns emerge in adherent vertebrate cells. Combining experimental and theoretical analysis, we demonstrate that nanoscale plasma membrane deformations nucleate a mechanochemical feedback loop that mediates longevity of the cell's leading edge, a necessary requirement for directed cell migration. We further observe stochastic transitions between phases of random and persistent cell motion, whereby the mechanochemical circuit augments cell persistence and search area. Collectively, these findings are consistent with a self-organizing system for a superdiffusive pattern of motion that is spontaneously employed by migratory cells in the absence of external signal inputs.</t>
  </si>
  <si>
    <t>[Begemann, I.; Saha, T.; Lamparter, L.; Rathmann, I.; Golbach, L.; Trappmann, B.; Matis, M.; Gerke, V.; Klingauf, J.; Galic, M.] Univ Munster, DFG Cluster Excellence Cells Mot, Munster, Germany; [Begemann, I.; Saha, T.; Lamparter, L.; Rathmann, I.; Golbach, L.; Rasch, C.; Keller, U.; Klingauf, J.; Galic, M.] Univ Munster, Inst Med Phys &amp; Biophys, Munster, Germany; [Grill, D.; Gerke, V.] Univ Munster, Inst Med Biochem, ZMBE, Munster, Germany; [Golbach, L.; Matis, M.] Univ Munster, Inst Cell Biol, ZMBE, Munster, Germany; [Trappmann, B.] Max Planck Inst Mol Biomed, Munster, Germany</t>
  </si>
  <si>
    <t>University of Munster; University of Munster; University of Munster; University of Munster; Max Planck Society</t>
  </si>
  <si>
    <t>Galic, M (corresponding author), Univ Munster, DFG Cluster Excellence Cells Mot, Munster, Germany.;Galic, M (corresponding author), Univ Munster, Inst Med Phys &amp; Biophys, Munster, Germany.</t>
  </si>
  <si>
    <t>galic@uni-muenster.de</t>
  </si>
  <si>
    <t>DFG [EXC-1003, GA 2268/2-1, CRC1348/A06, CRC944/P22, EXC-1003/FF-2015-07, CRC1348/A02, CRC944/P5, CRC1348/A04, CRC1009/A06]; Medical Faculty of the University of Munster [IMF IGA-121610, IZKF Mat2/019/16]</t>
  </si>
  <si>
    <t>DFG(German Research Foundation (DFG)); Medical Faculty of the University of Munster</t>
  </si>
  <si>
    <t>We would like to thank A. Ricker, K. Tkotz, J. Lehrich, A. Bodzeta, H. Nusse and S. Kohaus for excellent technical assistance and N. Gov for insightful discussions on the force model. Special thanks go to R. Kurre from the integrated Bioimaging Facility Osnabrueck (iBIOs, University of Osnabruck) for help with LLM. This work was supported by funds from the DFG to M.G. (EXC-1003; GA 2268/2-1, CRC1348/A06, CRC944/P22), M. M. (EXC-1003/FF-2015-07), J. K. (CRC1348/A02, CRC944/P5) and V.G. (CRC1348/A04, CRC1009/A06) and the Medical Faculty of the University of Munster to M.G. (IMF IGA-121610) and M.M. (IZKF Mat2/019/16).</t>
  </si>
  <si>
    <t>1745-2473</t>
  </si>
  <si>
    <t>1745-2481</t>
  </si>
  <si>
    <t>NAT PHYS</t>
  </si>
  <si>
    <t>Nat. Phys.</t>
  </si>
  <si>
    <t>10.1038/s41567-019-0505-9</t>
  </si>
  <si>
    <t>Physics, Multidisciplinary</t>
  </si>
  <si>
    <t>IM6DA</t>
  </si>
  <si>
    <t>WOS:000478082100033</t>
  </si>
  <si>
    <t>Victor, RPD; Fontes, LLM; Neves, AA; de Queiroz, MELR; de Oliveira, AE; Miranda, LDL</t>
  </si>
  <si>
    <t>Victor, Raquel P. D.; Fontes, Luiza L. M.; Neves, Antonio A.; de Queiroz, Maria E. L. R.; de Oliveira, Andri E.; Miranda, Liany D. L.</t>
  </si>
  <si>
    <t>Removal of Orange G Dye by Manganese Oxide Nanostructures</t>
  </si>
  <si>
    <t>JOURNAL OF THE BRAZILIAN CHEMICAL SOCIETY</t>
  </si>
  <si>
    <t>birnessite; pyrolusite; degradation; azo dye</t>
  </si>
  <si>
    <t>METHYLENE-BLUE; PHOTOCATALYTIC DEGRADATION; AZO DYES; BIRNESSITE; DECOLORIZATION; NANOPARTICLES; OXIDATION; SORPTION; ACID; DECOMPOSITION</t>
  </si>
  <si>
    <t>Two types of manganese oxide were investigated for the removal/degradation of Orange G (OG) dye in aqueous solution. One manganese oxide (pyrolusite) was obtained commercially and the other (birnessite) was prepared according to the polyol method by means of the oxidation of Mn-II hydroxide by H2O2. Both materials were characterized by X-ray diffraction (XRD), infrared spectroscopy (IR), scanning electron microscopy (SEM). and nitrogen adsorption/desorption at 77 K. The effects of agitation time, pH, and MnO2 dose on the degradation of OG by the birnessite and pyrolusite were evaluated. Approximately 90 and 99% decoloration of OG (10 mg L-1) was obtained after 30 min of stirring with 0.20 g L-1 of birnessite or pyrolusite, respectively. The decoloration and increased intensity of absorbance bands in the UV-visible spectrum were indicative of a degradation process that followed pseudo-first order kinetics. The findings demonstrated the high efficiency of different types of manganese oxides for removal of this organic pollutant from waters.</t>
  </si>
  <si>
    <t>[Victor, Raquel P. D.; Fontes, Luiza L. M.; Neves, Antonio A.; de Queiroz, Maria E. L. R.; de Oliveira, Andri E.; Miranda, Liany D. L.] Univ Fed Vicosa, Dept Quim, BR-36570900 Vicosa, MG, Brazil; [Victor, Raquel P. D.] Inst Fed Educ Ciencia &amp; Tecnol Espirito Santo, Campus Vila Velha, BR-29106010 Vila Velha, ES, Brazil</t>
  </si>
  <si>
    <t>Universidade Federal de Vicosa; Instituto Federal do Espirito Santo (IFES)</t>
  </si>
  <si>
    <t>Neves, AA (corresponding author), Univ Fed Vicosa, Dept Quim, BR-36570900 Vicosa, MG, Brazil.</t>
  </si>
  <si>
    <t>aneves@ufv.br</t>
  </si>
  <si>
    <t>; Oliveira, Andre Fernando/A-5923-2010</t>
  </si>
  <si>
    <t>Foundation for Research Support of the State of Minas Gerais (FAPEMIG); National Council for Scientific and Technological Development (CNPq) [409899/2016-0]; Coordination for Improvement of Higher Education Personnel (CAPES)</t>
  </si>
  <si>
    <t>Foundation for Research Support of the State of Minas Gerais (FAPEMIG)(Fundacao de Amparo a Pesquisa do Estado de Minas Gerais (FAPEMIG)); National Council for Scientific and Technological Development (CNPq)(Conselho Nacional de Desenvolvimento Cientifico e Tecnologico (CNPQ)); Coordination for Improvement of Higher Education Personnel (CAPES)(Coordenacao de Aperfeicoamento de Pessoal de Nivel Superior (CAPES))</t>
  </si>
  <si>
    <t>Financial support for this work was provided by the following Brazilian agencies: Foundation for Research Support of the State of Minas Gerais (FAPEMIG); National Council for Scientific and Technological Development (CNPq, 409899/2016-0); and Coordination for Improvement of Higher Education Personnel (CAPES).</t>
  </si>
  <si>
    <t>SOC BRASILEIRA QUIMICA</t>
  </si>
  <si>
    <t>SAO PAULO</t>
  </si>
  <si>
    <t>CAIXA POSTAL 26037, 05599-970 SAO PAULO, BRAZIL</t>
  </si>
  <si>
    <t>0103-5053</t>
  </si>
  <si>
    <t>1678-4790</t>
  </si>
  <si>
    <t>J BRAZIL CHEM SOC</t>
  </si>
  <si>
    <t>J. Braz. Chem. Soc.</t>
  </si>
  <si>
    <t>10.21577/0103-5053.20190083</t>
  </si>
  <si>
    <t>IK5IZ</t>
  </si>
  <si>
    <t>WOS:000476620200021</t>
  </si>
  <si>
    <t>Scharff, AZ; Rousseau, M; Mariano, LL; Canton, T; Consiglio, CR; Albert, ML; Fontes, M; Duffy, D; Ingersoll, MA</t>
  </si>
  <si>
    <t>Scharff, Anna Zychlinsky; Rousseau, Matthieu; Mariano, Livia Lacerda; Canton, Tracy; Consiglio, Camila Rosat; Albert, Matthew L.; Fontes, Magnus; Duffy, Darragh; Ingersoll, Molly A.</t>
  </si>
  <si>
    <t>Sex differences in IL-17 contribute to chronicity in male versus female urinary tract infection</t>
  </si>
  <si>
    <t>UROPATHOGENIC ESCHERICHIA-COLI; DELTA T-CELLS; MURINE MODEL; MOUSE MODEL; IMMUNE-RESPONSE; INFLAMMATION; ACTIVATION; INDUCTION; MICE; EPIDEMIOLOGY</t>
  </si>
  <si>
    <t>Sex-based differences influence incidence and outcome of infectious disease. Women have a significantly greater incidence of urinary tract infection (UTI) than men, yet, conversely, male UTI is more persistent, with greater associated morbidity. Mechanisms underlying these sex-based differences are unknown, in part due to a lack of experimental models. We optimized a model to transurethrally infect male mice and directly compared UTI in both sexes. Although both sexes were initially equally colonized by uropathogenic E. coli, only male and testosterone-treated female mice remained chronically infected for up to 4 weeks. Female mice had more robust innate responses, including higher IL-17 expression, and increased gamma delta T cells and group 3 innate lymphoid cells in the bladder following infection. Accordingly. neutralizing IL-17 abolished resolution in female mice. identifying a cytokine pathway necessary for bacterial clearance. Our findings support the concept that sex-based responses to UTI contribute to impaired innate immunity in males and provide a rationale for non-antibiotic-based immune targeting to improve the response to UTI.</t>
  </si>
  <si>
    <t>[Scharff, Anna Zychlinsky; Rousseau, Matthieu; Mariano, Livia Lacerda; Canton, Tracy; Consiglio, Camila Rosat; Albert, Matthew L.; Duffy, Darragh; Ingersoll, Molly A.] Inst Pasteur, Dept Immunol, Paris, France; [Scharff, Anna Zychlinsky; Rousseau, Matthieu; Mariano, Livia Lacerda; Canton, Tracy; Consiglio, Camila Rosat; Albert, Matthew L.; Duffy, Darragh; Ingersoll, Molly A.] INSERM U1223, Paris, France; [Fontes, Magnus] Inst Pasteur, Int Grp Data Anal, Paris, France; [Fontes, Magnus] Lund Univ, Ctr Math Sci, Lund, Sweden; [Fontes, Magnus] Rigshosp, Ctr Genom Med, Copenhagen, Denmark; [Fontes, Magnus] Persimune, Copenhagen, Denmark; [Albert, Matthew L.; Fontes, Magnus] Genentech Inc, Dept Canc Immunol, San Francisco, CA 94080 USA</t>
  </si>
  <si>
    <t>Ingersoll, MA (corresponding author), Inst Pasteur, 25 Rue Dr Roux, F-75015 Paris, France.</t>
  </si>
  <si>
    <t>molly.ingersoll@pasteur.fr</t>
  </si>
  <si>
    <t>Labex Milieu Interieur [ANR-10-LABX-69-01]; Technology Core of the Center for Translational Science at the Institut Pasteur; European Union Seventh Framework Programme Marie Curie Action [PCIG11-GA-2012-3221170]; Agence Nationale de la Recherche (French National Research Agency) [ANR-17-CE17-0014]; European Union's Horizon 2020 research and innovation program under the Marie Sklodowska-Curie grant [665807]; Agence Nationale de la Recherche (ANR) [ANR-17-CE17-0014] Funding Source: Agence Nationale de la Recherche (ANR)</t>
  </si>
  <si>
    <t>Labex Milieu Interieur; Technology Core of the Center for Translational Science at the Institut Pasteur; European Union Seventh Framework Programme Marie Curie Action; Agence Nationale de la Recherche (French National Research Agency)(Agence Nationale de la Recherche (ANR)); European Union's Horizon 2020 research and innovation program under the Marie Sklodowska-Curie grant(Marie Curie ActionsHorizon 2020); Agence Nationale de la Recherche (ANR)(Agence Nationale de la Recherche (ANR))</t>
  </si>
  <si>
    <t>We gratefully acknowledge insightful discussions, technical support, and/or critical reading of the manuscript by Melanie Hamon, Lucy Glover, Elisa Gomez Perdiguero, Jessica Quintin, Vincent Rouilly, Kimberly Kline, Nicolas Serafini, Clemence Hollande, and Bjorn Albrecht. We acknowledge the Labex Milieu Interieur and the Technology Core of the Center for Translational Science at the Institut Pasteur for supporting aspects of this study. We thank Tim Sparwasser for sponsoring the research stay of AZS. MAI was supported by funding from the European Union Seventh Framework Programme Marie Curie Action (PCIG11-GA-2012-3221170) and the Agence Nationale de la Recherche (French National Research Agency) ANR-17-CE17-0014. LLM is part of the Pasteur-Paris University (PPU) International PhD Program, which received funding from the European Union's Horizon 2020 research and innovation program under the Marie Sklodowska-Curie grant agreement no. 665807 and from the Labex Milieu Interieur (ANR-10-LABX-69-01).</t>
  </si>
  <si>
    <t>JUL 11</t>
  </si>
  <si>
    <t>e122998</t>
  </si>
  <si>
    <t>10.1172/jci.insight.122998</t>
  </si>
  <si>
    <t>II0TM</t>
  </si>
  <si>
    <t>WOS:000474918000001</t>
  </si>
  <si>
    <t>Graziano, F; Biino, G; Bonati, MT; Neale, BM; Do, R; Concas, MP; Vaccargiu, S; Pirastu, M; Terradura-Vagnarelli, O; Cirillo, M; Laurenzi, M; Mancini, M; Zanchetti, A; Grassi, M</t>
  </si>
  <si>
    <t>Graziano, Francesca; Biino, Ginevra; Bonati, Maria Teresa; Neale, Benjamin M.; Do, Ron; Concas, Maria Pina; Vaccargiu, Simona; Pirastu, Mario; Terradura-Vagnarelli, Oscar; Cirillo, Massimo; Laurenzi, Martino; Mancini, Mario; Zanchetti, Alberto; Grassi, Mario</t>
  </si>
  <si>
    <t>Estimation of metabolic syndrome heritability in three large populations including full pedigree and genomic information</t>
  </si>
  <si>
    <t>HUMAN GENETICS</t>
  </si>
  <si>
    <t>MISSING HERITABILITY; GENETIC-VARIANTS; BLOOD-PRESSURE; GUBBIO; PREDICTION; ISOLATE; TRAITS</t>
  </si>
  <si>
    <t>Metabolic syndrome is a complex human disorder characterized by a cluster of conditions (increased blood pressure, hyperglycemia, excessive body fat around the waist, and abnormal cholesterol or triglyceride levels). Any of these conditions increases the risk of serious disorders such as diabetes or cardiovascular disease. Currently, the degree of genetic regulation of this syndrome is under debate and partially unknown. The principal aim of this study was to estimate the genetic component and the common environmental effects in different populations using full pedigree and genomic information. We used three large populations (Gubbio, ARIC, and Ogliastra cohorts) to estimate the heritability of metabolic syndrome. Due to both pedigree and genotyped data, different approaches were applied to summarize relatedness conditions. Linear mixed models (LLM) using average information restricted maximum likelihood (AIREML) algorithm were applied to partition the variances and estimate heritability (h(2)) and common sib-household effect (c(2)). Globally, results obtained from pedigree information showed a significant heritability (h(2): 0.286 and 0.271 in Gubbio and Ogliastra, respectively), whereas a lower, but still significant heritability was found using SNPs data (hSNP2: 0.167and0.254 in ARIC and Ogliastra). The remaining heritability between h(2) and hSNP2 ranged between 0.031 and 0.237. Finally, the common environmental c(2) in Gubbio and Ogliastra were also significant accounting for about 11% of the phenotypic variance. Availability of different kinds of populations and data helped us to better understand what happened when heritability of metabolic syndrome is estimated and account for different possible confounding. Furthermore, the opportunity of comparing different results provided more precise and less biased estimation of heritability.</t>
  </si>
  <si>
    <t>[Graziano, Francesca] Univ Milano Bicocca, Ctr Biostat Clin Epidemiol, Sch Med &amp; Surg, Milan, Italy; [Graziano, Francesca; Grassi, Mario] Univ Pavia, Dept Brain &amp; Behav Sci, Med &amp; Genom Stat Unit, Pavia, Italy; [Biino, Ginevra] Natl Res Council Italy, Inst Mol Genet, Pavia, Italy; [Bonati, Maria Teresa; Zanchetti, Alberto] IRCCS, Ist Auxol Italiano, Milan, Italy; [Neale, Benjamin M.] Broad Inst, Stanley Ctr Psychiat Res, Cambridge, MA USA; [Neale, Benjamin M.] Massachusetts Gen Hosp, Analyt &amp; Translat Genet Unit, Boston, MA 02114 USA; [Do, Ron] Icahn Sch Med Mt Sinai, Dept Genet &amp; Genom Sci, New York, NY 10029 USA; [Vaccargiu, Simona; Pirastu, Mario] Natl Res Council Italy, Inst Genet &amp; Biomed Res Support Unity, Sassari, Italy; [Terradura-Vagnarelli, Oscar; Laurenzi, Martino] Ctr Studi Epidemiol Gubbio, Gubbio, Italy; [Cirillo, Massimo] Univ Napoli Federico II, Dipartimento Sanita Pubbl, Naples, Italy; [Mancini, Mario] Univ Napoli Federico II, Dipartimento Med Clin &amp; Sperimentale, Naples, Italy; [Zanchetti, Alberto] Univ Milan, Ctr Fisiol Clin &amp; Ipertens, Milan, Italy; [Concas, Maria Pina] Inst Maternal &amp; Child Hlth IRCCS Burlo Garofolo, Trieste, Italy; [Do, Ron] Icahn Sch Med Mt Sinai, Charles Bronfman Inst Personalized Med, New York, NY 10029 USA</t>
  </si>
  <si>
    <t>University of Milano-Bicocca; University of Pavia; Consiglio Nazionale delle Ricerche (CNR); Istituto di Genetica Molecolare (IGM-CNR); IRCCS Istituto Auxologico Italiano; Harvard University; Massachusetts Institute of Technology (MIT); Broad Institute; Harvard University; Massachusetts General Hospital; Icahn School of Medicine at Mount Sinai; Consiglio Nazionale delle Ricerche (CNR); University of Naples Federico II; University of Naples Federico II; University of Milan; IRCCS Burlo Garofolo; Icahn School of Medicine at Mount Sinai</t>
  </si>
  <si>
    <t>Graziano, F (corresponding author), Univ Milano Bicocca, Ctr Biostat Clin Epidemiol, Sch Med &amp; Surg, Milan, Italy.;Graziano, F (corresponding author), Univ Pavia, Dept Brain &amp; Behav Sci, Med &amp; Genom Stat Unit, Pavia, Italy.</t>
  </si>
  <si>
    <t>francesca.graziano@unimib.it</t>
  </si>
  <si>
    <t>National Heart, Lung, and Blood Institute [HHSN268201100005C, HHSN268201100006C, HHSN268201100007C, HHSN268201100008C, HHSN268201100009C, HHSN26820 1100010C, HHSN268201100011C, HHSN268201100012C]; Merck Sharp and Dohme, Italy; National Heart Lung and Blood Institute, Bethesda, Maryland, USA [R01HL40397 - 02]; Ministero Italiano di Universita e Ricerca [068034]; Italian Ministry of Education, University and Research [MERIT RBNE08NKH7_007]; Department of Outcome Research of Merck Co Inc., USA; [278249]</t>
  </si>
  <si>
    <t>National Heart, Lung, and Blood Institute(United States Department of Health &amp; Human ServicesNational Institutes of Health (NIH) - USANIH National Heart Lung &amp; Blood Institute (NHLBI)); Merck Sharp and Dohme, Italy(Merck &amp; Company); National Heart Lung and Blood Institute, Bethesda, Maryland, USA(United States Department of Health &amp; Human ServicesNational Institutes of Health (NIH) - USANIH National Heart Lung &amp; Blood Institute (NHLBI)); Ministero Italiano di Universita e Ricerca; Italian Ministry of Education, University and Research(Ministry of Education, Universities and Research (MIUR)); Department of Outcome Research of Merck Co Inc., USA;</t>
  </si>
  <si>
    <t>The authors thank the staff and participants of the ARIC, Gubbio, and Ogliastra studies for their important contributions. The ARIC study was carried out as a collaborative study supported by the National Heart, Lung, and Blood Institute contracts (HHSN268201100005C, HHSN268201100006C, HHSN268201100007C, HHSN268201100008C, HHSN268201100009C, HHSN268201100010C, HHSN268201100011C, and HHSN268201100012C). The Gubbio study was originally funded by Merck Sharp and Dohme, Italy, and the Department of Outcome Research of Merck &amp; Co Inc., USA. Funds were also obtained from Grant # R01HL40397 - 02 of the National Heart Lung and Blood Institute, Bethesda, Maryland, USA, and Ministero Italiano di Universita e Ricerca (Grant # 068034, PRIN 2004). The present analyses were done in the context of the Istituto Auxologico Italiano participation to EU MASCARA project/EC-7th Framework Program contract no. 278249. The Ogliastra study was supported by a grant from the Italian Ministry of Education, University and Research: MERIT RBNE08NKH7_007.</t>
  </si>
  <si>
    <t>0340-6717</t>
  </si>
  <si>
    <t>1432-1203</t>
  </si>
  <si>
    <t>HUM GENET</t>
  </si>
  <si>
    <t>Hum. Genet.</t>
  </si>
  <si>
    <t>10.1007/s00439-019-02024-6</t>
  </si>
  <si>
    <t>IH3CM</t>
  </si>
  <si>
    <t>WOS:000474370900005</t>
  </si>
  <si>
    <t>Lamb, E; Trimble, MJ; McCarter, LL</t>
  </si>
  <si>
    <t>Lamb, Evan; Trimble, Michael J.; McCarter, Linda L.</t>
  </si>
  <si>
    <t>Cell-cell communication, chemotaxis and recruitment in Vibrio parahaemolyticus</t>
  </si>
  <si>
    <t>SWARMING MOTILITY; ESCHERICHIA-COLI; CHITIN OLIGOSACCHARIDES; PSEUDOMONAS-AERUGINOSA; BACTERIAL CHEMOTAXIS; SIGNAL-TRANSDUCTION; FLAGELLAR SYSTEMS; GENE-EXPRESSION; IDENTIFICATION; CHEMORECEPTORS</t>
  </si>
  <si>
    <t>Motile bacteria are proficient at finding optimal environments for colonization. Often, they use chemotaxis to sense nutrient availability and dangerous concentrations of toxic chemicals. For many bacteria, the repertoire of chemoreceptors is large, suggesting they possess a broad palate with respect to sensing. However, knowledge of the molecules detected by chemotaxis signal transduction systems is limited. Some bacteria, like Vibrio parahaemolyticus, are social and swarm in groups on surfaces. This marine bacterium and human pathogen secretes the S signal autoinducer, which cues degradation of intracellular c-di-GMP leading to transcription of the swarming program. Here, we report that the S signal also directs motility at a behavioral level by serving as a chemoattractant. The data demonstrate that V. parahaemolyticus senses the S signal using SscL and SscS, homologous methyl-accepting chemotaxis proteins. SscL is required by planktonic bacteria for S signal chemotaxis. SscS plays a role during swarming, and mutants lacking this chemoreceptor swarm faster and produce colonies with more deeply branched swarming fronts than the wild type or the sscL mutant. Other Vibrio species can swim toward the S signal, suggesting a recruitment role for this cell-cell communication molecule in the context of polymicrobial marine communities.</t>
  </si>
  <si>
    <t>[Lamb, Evan; Trimble, Michael J.; McCarter, Linda L.] Univ Iowa, Dept Microbiol &amp; Immunol, Iowa City, IA 52242 USA; [Trimble, Michael J.] Univ British Columbia, Ctr Microbial Dis &amp; Immun, Dept Microbiol &amp; Immunol, Vancouver, BC V6T 1Z4, Canada</t>
  </si>
  <si>
    <t>University of Iowa; University of British Columbia</t>
  </si>
  <si>
    <t>McCarter, LL (corresponding author), Univ Iowa, Dept Microbiol &amp; Immunol, Iowa City, IA 52242 USA.</t>
  </si>
  <si>
    <t>Iowa Biosciences Academy NIGMS NIH [R25GM058939]; UI Office of the Vice President for Research, UI Chief Diversity Office and UI Department of Biology; NIAID NIH HHS/United States [2T32AI007511-16/AI]; Department of Microbiology and Immunology, The Roy J. and Lucille A. Carver College of Medicine, University of Iowa</t>
  </si>
  <si>
    <t>Iowa Biosciences Academy NIGMS NIH; UI Office of the Vice President for Research, UI Chief Diversity Office and UI Department of Biology; NIAID NIH HHS/United States; Department of Microbiology and Immunology, The Roy J. and Lucille A. Carver College of Medicine, University of Iowa</t>
  </si>
  <si>
    <t>We would like to thank April Burgess, John H. Kimbrough and Maria L. Morabe for their help and suggestions. We thank Jacob Anderson for his early work developing the chemotaxis assays in our laboratory and David Blair, Jim Kaper, Dean Rowe-Magnus, Didier Mazel, Mike Silverman and Karen Visick for strains. Evan Lamb has been supported by funding from The Iowa Biosciences Academy under Award Number R25GM058939 NIGMS NIH, the UI Office of the Vice President for Research, UI Chief Diversity Office and UI Department of Biology. Michael Trimble was supported by 2T32AI007511-16/AI/NIAID NIH HHS/United States. This work was funded by a Developmental Grant to LLM by the Department of Microbiology and Immunology, The Roy J. and Lucille A. Carver College of Medicine, University of Iowa.</t>
  </si>
  <si>
    <t>10.1111/mmi.14256</t>
  </si>
  <si>
    <t>IH7SZ</t>
  </si>
  <si>
    <t>WOS:000474705900007</t>
  </si>
  <si>
    <t>Custodero, C; Wu, QR; Ghita, GL; Anton, SD; Brakenridge, SC; Brumback, BA; Efron, PA; Gardner, AK; Leeuwenburgh, C; Moldawer, LL; Petersen, JW; Moore, FA; Mankowski, RT</t>
  </si>
  <si>
    <t>Custodero, Carlo; Wu, Quran; Ghita, Gabriela L.; Anton, Stephen D.; Brakenridge, Scott C.; Brumback, Babette A.; Efron, Philip A.; Gardner, Anna K.; Leeuwenburgh, Christiaan; Moldawer, Lyle L.; Petersen, John W.; Moore, Frederick A.; Mankowski, Robert T.</t>
  </si>
  <si>
    <t>Prognostic value of NT-proBNP levels in the acute phase of sepsis on lower long-term physical function and muscle strength in sepsis survivors</t>
  </si>
  <si>
    <t>CRITICAL CARE</t>
  </si>
  <si>
    <t>Sepsis; Prognostic value; N-terminal pro-brain natriuretic peptide; Short physical performance battery; Hand grip strength</t>
  </si>
  <si>
    <t>BRAIN NATRIURETIC PEPTIDE; CARDIAC DYSFUNCTION; CRITICAL ILLNESS; HEART-FAILURE; SEPTIC SHOCK; DEFINITIONS; ASSOCIATION; CAMPAIGN; OUTCOMES; SOCIETY</t>
  </si>
  <si>
    <t>BackgroundSepsis survivors often develop chronic critical illness (CCI) and demonstrate the persistent inflammation, immunosuppression, and catabolism syndrome predisposing them to long-term functional limitations and higher mortality. There is a need to identify biomarkers that can predict long-term worsening of physical function to be able to act early and prevent mobility loss. N-terminal pro-brain natriuretic peptide (NT-proBNP) is a well-accepted biomarker of cardiac overload, but it has also been shown to be associated with long-term physical function decline. We explored whether NT-proBNP blood levels in the acute phase of sepsis are associated with physical function and muscle strength impairment at 6 and 12months after sepsis onset.MethodsThis is a retrospective analysis conducted in 196 sepsis patients (aged 18-86years old) as part of the University of Florida (UF) Sepsis and Critical Illness Research Center (SCIRC) who consented to participate in the 12-month follow-up study. NT-proBNP was measured at 24h after sepsis onset. Patients were followed to determine physical function by short physical performance battery (SPPB) test score (scale 0 to12higher score corresponds with better physical function) and upper limb muscle strength by hand grip strength test (kilograms) at 6 and 12months. We used a multivariate linear regression model to test an association between NT-proBNP levels, SPPB, and hand grip strength scores. Missing follow-up data or absence due to death was accounted forby using inverse probability weighting based on concurrent health performance status scores. Statistical significance was set at p0.05.ResultsAfter adjusting for covariates (age, gender, race, Charlson comorbidity index, APACHE II score, and presence of CCI condition), higher levels of NT-proBNP at 24h after sepsis onset were associated with lower SPPB scores at 12months (p&lt;0.05) and lower hand grip strength at 6-month (p&lt;0.001) and 12-month follow-up (p&lt;0.05).ConclusionsNT-proBNP levels during the acute phase of sepsis may be a useful indicator of higher risk of long-term impairments in physical function and muscle strength in sepsis survivors.</t>
  </si>
  <si>
    <t>[Custodero, Carlo; Anton, Stephen D.; Gardner, Anna K.; Leeuwenburgh, Christiaan; Mankowski, Robert T.] Univ Florida, Dept Aging &amp; Geriatr Res, 2004 Mowry Rd, Gainesville, FL 32611 USA; [Custodero, Carlo] Univ Bari Aldo Moro, Clin Med Cesare Frugoni, Dipartimento Interdisciplinare Med, Bari, Italy; [Wu, Quran; Brakenridge, Scott C.; Brumback, Babette A.; Efron, Philip A.; Gardner, Anna K.; Moldawer, Lyle L.; Moore, Frederick A.] Univ Florida, Dept Surg, Gainesville, FL USA; [Wu, Quran; Ghita, Gabriela L.; Brumback, Babette A.] Univ Florida, Dept Biostat, Gainesville, FL USA; [Petersen, John W.] Univ Florida, Dept Cardiol, Gainesville, FL USA</t>
  </si>
  <si>
    <t>State University System of Florida; University of Florida; Universita degli Studi di Bari Aldo Moro; State University System of Florida; University of Florida; State University System of Florida; University of Florida; State University System of Florida; University of Florida</t>
  </si>
  <si>
    <t>Mankowski, RT (corresponding author), Univ Florida, Dept Aging &amp; Geriatr Res, 2004 Mowry Rd, Gainesville, FL 32611 USA.</t>
  </si>
  <si>
    <t>r.mankowski@ufl.edu</t>
  </si>
  <si>
    <t>National Institute of General Medical Sciences (NIGMS) - NIGMS [R01 GM-113945, P50 GM-111152]; AHA Career Development Award [18CDA34080001]; National Institute on Aging [R03 AG056444, P30 AG028740]</t>
  </si>
  <si>
    <t>National Institute of General Medical Sciences (NIGMS) - NIGMS; AHA Career Development Award; National Institute on Aging(United States Department of Health &amp; Human ServicesNational Institutes of Health (NIH) - USANIH National Institute on Aging (NIA))</t>
  </si>
  <si>
    <t>This work was supported by the National Institute of General Medical Sciences (NIGMS) grants: R01 GM-113945 (PE) and P50 GM-111152 (QW, GLG, SDA, SCB, BB, CL, LLM, FAM, and RTM) awarded by the NIGMS, AHA Career Development Award 18CDA34080001 (RTM). Support was also provided by the National Institute on Aging grants R03 AG056444 (SCB) and P30 AG028740 (CC, SDA, CL, JWP, and RTM). The funding bodies had no role in the design of the study; collection, analysis, and interpretation of the data; and in writing the manuscript.</t>
  </si>
  <si>
    <t>1364-8535</t>
  </si>
  <si>
    <t>1466-609X</t>
  </si>
  <si>
    <t>CRIT CARE</t>
  </si>
  <si>
    <t>Crit. Care</t>
  </si>
  <si>
    <t>JUN 24</t>
  </si>
  <si>
    <t>10.1186/s13054-019-2505-7</t>
  </si>
  <si>
    <t>Critical Care Medicine</t>
  </si>
  <si>
    <t>IF2IB</t>
  </si>
  <si>
    <t>WOS:000472899700001</t>
  </si>
  <si>
    <t>Otani, S; Challinor, VL; Kreuzenbeck, NB; Kildgaard, S; Christensen, SK; Larsen, LLM; Aanen, DK; Rasmussen, SA; Beemelmanns, C; Poulsen, M</t>
  </si>
  <si>
    <t>Otani, Saria; Challinor, Victoria L.; Kreuzenbeck, Nina B.; Kildgaard, Sara; Christensen, Soren Krath; Larsen, Louise Lee Munk; Aanen, Duur K.; Rasmussen, Silas Anselm; Beemelmanns, Christine; Poulsen, Michael</t>
  </si>
  <si>
    <t>Disease-free monoculture farming by fungus-growing termites</t>
  </si>
  <si>
    <t>ODONTOTERMES-FORMOSANUS; TERMITOMYCES; SEQUENCE; SPECIFICITY; ANTIFUNGAL; STABILIZES; POLYETHISM; SYMBIONTS; EVOLUTION; PLATFORM</t>
  </si>
  <si>
    <t>Fungus-growing termites engage in an obligate mutualistic relationship with Termitomyces fungi, which they maintain in monocultures on specialised fungus comb structures, without apparent problems with infectious diseases. While other fungi have been reported in the symbiosis, detailed comb fungal community analyses have been lacking. Here we use culture-dependent and -independent methods to characterise fungus comb mycobiotas from three fungus-growing termite species (two genera). Internal Transcribed Spacer (ITS) gene analyses using 454 pyrosequencing and Illumina MiSeq showed that nonTermitomyces fungi were essentially absent in fungus combs, and that Termitomyces fungal crops are maintained in monocultures as heterokaryons with two or three abundant ITS variants in a single fungal strain. To explore whether the essential absence of other fungi within fungus combs is potentially due to the production of antifungal metabolites by Termitomyces or comb bacteria, we performed in vitro assays and found that both Termitomyces and chemical extracts of fungus comb material can inhibit potential fungal antagonists. Chemical analyses of fungus comb material point to a highly complex metabolome, including compounds with the potential to play roles in mediating these contaminant-free farming conditions in the termite symbiosis.</t>
  </si>
  <si>
    <t>[Otani, Saria; Challinor, Victoria L.; Kildgaard, Sara; Christensen, Soren Krath; Poulsen, Michael] Univ Copenhagen, Dept Biol, Sect Ecol &amp; Evolut, Univ Pk 15,Bldg 3, DK-2100 Copenhagen East, Denmark; [Kreuzenbeck, Nina B.; Beemelmanns, Christine] Hans Knoell Inst, Leibniz Inst Nat Product Res &amp; Infect Biol, Beutenbergstr 11a, D-07745 Jena, Germany; [Larsen, Louise Lee Munk] Univ Copenhagen, Sect Organismal Biol, Dept Plant &amp; Environm Sci, Thorvaldsensvej 40, DK-2000 Frederiksberg, Denmark; [Aanen, Duur K.] Wageningen Univ, Lab Genet, Droevendaalsesteeg 1, NL-6708 PB Wageningen, Netherlands; [Rasmussen, Silas Anselm] Tech Univ Denmark, Dept Biotechnol &amp; Biomed, DTU Bioengn, Bldg 221, DK-2800 Lyngby, Denmark; [Otani, Saria] Tech Univ Denmark, DTU Food, Natl Food Inst, Bldg 204, DK-2800 Lyngby, Denmark; [Larsen, Louise Lee Munk] FMC Corp, Genvej 2, DK-2970 Horsholm, Denmark</t>
  </si>
  <si>
    <t>University of Copenhagen; Hans Knoll Institute (HKI); University of Copenhagen; Wageningen University &amp; Research; Technical University of Denmark; Technical University of Denmark</t>
  </si>
  <si>
    <t>Poulsen, M (corresponding author), Univ Copenhagen, Dept Biol, Sect Ecol &amp; Evolut, Univ Pk 15,Bldg 3, DK-2100 Copenhagen East, Denmark.</t>
  </si>
  <si>
    <t>mpoulsen@bio.ku.dk</t>
  </si>
  <si>
    <t>Department of Biology, University of Copenhagen; Danish National Research Foundation [DNRF57]; Netherlands Organisation for Scientific Research (VICI) [NWO 86514007]; Daimler Benz foundation; DFG [CRC 1127 ChemBioSys]; Villum Kann Rasmussen Young Investigator Programme [VKR10101]</t>
  </si>
  <si>
    <t>Department of Biology, University of Copenhagen; Danish National Research Foundation(Danmarks Grundforskningsfond); Netherlands Organisation for Scientific Research (VICI)(Netherlands Organization for Scientific Research (NWO)); Daimler Benz foundation; DFG(German Research Foundation (DFG)); Villum Kann Rasmussen Young Investigator Programme</t>
  </si>
  <si>
    <t>We thank Z. Wilhelm de Beer, Michael J. Wingfield and the staff and students at the Forestry and Agricultural Biotechnology Institute, University of Pretoria, for hosting field work, previous and current members of the lab in Copenhagen for help with excavations, the Oerlemans family (Mookgophong) for permission to sample colonies at their farm, Rafael Rodrigues da Costa for preparation of figure 1, David R. Nash for valuable discussions about statistical analysis of LCMS/MS data, Christopher Phippen for assistance with LCMS/MS data acquisition, and Sylvia Mathiasen for laboratory assistance. We are grateful to Agilent Technologies for the Thought Leader Donation of the UHPLC-QTOF system. SO was supported by a PhD stipend from the Department of Biology, University of Copenhagen and the Danish National Research Foundation (DNRF57), DKA by The Netherlands Organisation for Scientific Research (VICI; NWO 86514007), CB by the Daimler Benz foundation and DFG (CRC 1127 ChemBioSys), and MP by a Villum Kann Rasmussen Young Investigator Programme (VKR10101).</t>
  </si>
  <si>
    <t>JUN 19</t>
  </si>
  <si>
    <t>10.1038/s41598-019-45364-z</t>
  </si>
  <si>
    <t>ID9TM</t>
  </si>
  <si>
    <t>WOS:000472030000052</t>
  </si>
  <si>
    <t>Host, AK; Winther, L</t>
  </si>
  <si>
    <t>Host, Anders Kamp; Winther, Lars</t>
  </si>
  <si>
    <t>Job polarization in the new economy in Danish cities: location, size, and the role of the public sector</t>
  </si>
  <si>
    <t>EUROPEAN PLANNING STUDIES</t>
  </si>
  <si>
    <t>Job polarization; small and medium-sized cities; local labour markets; public sector; Denmark</t>
  </si>
  <si>
    <t>EMPLOYMENT GROWTH; REGIONAL-DEVELOPMENT; RURAL-DEVELOPMENT; URBAN; DENMARK; PRODUCTIVITY; DEFINITION; PATTERNS; CRISIS; AREAS</t>
  </si>
  <si>
    <t>In this paper we examine the geographic patterns of employment growth and employment polarization in small and medium-sized cities (SMCs) in Denmark during the rise of the new economy. The geography of employment polarization in Danish cities is examined using register-based employment data on occupations and wages divided into the public and private sectors in the period 1993-2006; it therefore covers a long period of transformation and growth in the Danish economy. We conclude that employment growth is characterized by employment polarization combined with growth in low- and high-wage employment and a decline in medium-wage employment. However, these patterns of polarization differ across the public and private sectors, as well as by geography. While local labour market (LLM) size, city position and city specialization influence the geography of private-sector employment growth and polarization, municipal population and composition influence the geography of public-sector growth patterns across wage levels. Finally, public and private employment are positively associated within SMCs, predominantly driven by the positive association between public employment and private-sector low-wage employment. However, public employment is not associated with an increase in private low-wage employment in more remote areas.</t>
  </si>
  <si>
    <t>[Host, Anders Kamp] Aalborg Univ, Dept Polit Sci, Fibigerstraede 1, DK-9220 Aalborg O, Denmark; [Winther, Lars] Univ Copenhagen, Dept Geosci &amp; Nat Resource Management, Sect Geog, Copenhagen K, Denmark</t>
  </si>
  <si>
    <t>Aalborg University; University of Copenhagen</t>
  </si>
  <si>
    <t>Host, AK (corresponding author), Aalborg Univ, Dept Polit Sci, Fibigerstraede 1, DK-9220 Aalborg O, Denmark.</t>
  </si>
  <si>
    <t>ank@dps.aau.dk</t>
  </si>
  <si>
    <t>Winther, Lars/N-9847-2014</t>
  </si>
  <si>
    <t>Winther, Lars/0000-0002-6939-0903; Host, Anders Kamp/0000-0001-6349-9820</t>
  </si>
  <si>
    <t>Kraks Fond - Institute for Urban Economic Research; Aalborg University</t>
  </si>
  <si>
    <t>This work was supported by Kraks Fond - Institute for Urban Economic Research, and Aalborg University.</t>
  </si>
  <si>
    <t>0965-4313</t>
  </si>
  <si>
    <t>1469-5944</t>
  </si>
  <si>
    <t>EUR PLAN STUD</t>
  </si>
  <si>
    <t>Eur. Plan. Stud.</t>
  </si>
  <si>
    <t>10.1080/09654313.2019.1626351</t>
  </si>
  <si>
    <t>JUN 2019</t>
  </si>
  <si>
    <t>Environmental Studies; Geography; Regional &amp; Urban Planning; Urban Studies</t>
  </si>
  <si>
    <t>Environmental Sciences &amp; Ecology; Geography; Public Administration; Urban Studies</t>
  </si>
  <si>
    <t>IX2QS</t>
  </si>
  <si>
    <t>WOS:000472344600001</t>
  </si>
  <si>
    <t>Pasqualucci, PL; Damaso, LLM; Danila, AH; Fatori, D; Neto, FL; Koch, VHK</t>
  </si>
  <si>
    <t>Pasqualucci, Paula Lage; Mendes Damaso, Luciana Luccas; Danila, Arthur Hirschfeld; Fatori, Daniel; Neto, Francisco Lotufo; Kalika Koch, Vera Hermina</t>
  </si>
  <si>
    <t>Prevalence and correlates of depression, anxiety, and stress in medical residents of a Brazilian academic health system</t>
  </si>
  <si>
    <t>Medical residents; Mental health; Burnout syndrome; Quality of life</t>
  </si>
  <si>
    <t>BURNOUT; PHYSICIANS</t>
  </si>
  <si>
    <t>BackgroundSeveral studies correlate medical residency with the occurrence of mental health disorders, Burnout Syndrome and quality of life impairment. It has been demonstrated that mental health disorders increase medical errors and lead to less effective patient care. Considering such context, this study aimed to evaluate the prevalence of anxiety, depression, stress and to identify its correlates with Burnout Syndrome and quality of life in a sample of medical residents and fellow physicians of the largest Brazilian academic health system.MethodsIn 2017, 1648 participants were voluntarily and anonymously surveyed online about demographic characteristics, Burnout Syndrome, mental symptoms, and quality of life measured by validated questionnaires. Responses were captured through REDCap platform and multivariate statistical analyses were performed with STATA 15.ResultsA total of 606 (36.8%) residents/fellows physicians completed the survey. Depression symptoms were present in 19%, anxiety symptoms in 16% and stress symptoms in 17.7% of the sample.Burnout Syndrome was present in 63% of the sample. Multivariate analysis showed a statistical significant positive correlation between Burnout Syndrome and depression, anxiety and stress symptoms and a negative correlation between mental symptoms and quality of life scores.ConclusionsMental health symptoms prevalence in this study is similar to other studies and their occurrence is positively correlated with Burnout Syndrome among medical residents/fellow physicians of the largest Brazilian academic health system. These results are relevant and must be confirmed by multicentric longitudinal studies. This study reinforces the importance of debating interventions to improve mental health among doctors in training.</t>
  </si>
  <si>
    <t>[Pasqualucci, Paula Lage; Kalika Koch, Vera Hermina] Univ Sao Paulo, Inst Crianca, Sao Paulo, Brazil; [Mendes Damaso, Luciana Luccas; Danila, Arthur Hirschfeld; Fatori, Daniel; Neto, Francisco Lotufo] Univ Sao Paulo, Inst Psiquiatria, 1967 Oscar Freire, BR-05409011 Sao Paulo, Brazil; [Kalika Koch, Vera Hermina] Univ Sao Paulo, Comissao Residencia Med COREME, Sao Paulo, Brazil</t>
  </si>
  <si>
    <t>Universidade de Sao Paulo; Universidade de Sao Paulo; Universidade de Sao Paulo</t>
  </si>
  <si>
    <t>Damaso, LLM (corresponding author), Univ Sao Paulo, Inst Psiquiatria, 1967 Oscar Freire, BR-05409011 Sao Paulo, Brazil.</t>
  </si>
  <si>
    <t>lmendes.med@gmail.com</t>
  </si>
  <si>
    <t>University of Sao Paulo</t>
  </si>
  <si>
    <t>All authors acknowledge the support of University of Sao Paulo in this research.</t>
  </si>
  <si>
    <t>JUN 11</t>
  </si>
  <si>
    <t>10.1186/s12909-019-1621-z</t>
  </si>
  <si>
    <t>IC9UE</t>
  </si>
  <si>
    <t>WOS:000471329000006</t>
  </si>
  <si>
    <t>Wu, TH; Qi, DW</t>
  </si>
  <si>
    <t>Wu, Tai-Hsien; Qi, Dewei</t>
  </si>
  <si>
    <t>Investigation of shear rates of rolling adhesion on leukocytes with bending of microvilli</t>
  </si>
  <si>
    <t>PHYSICAL REVIEW FLUIDS</t>
  </si>
  <si>
    <t>LATTICE-BOLTZMANN METHOD; STATE DIAGRAM; P-SELECTIN; CELL-ADHESION; SIMULATION; DYNAMICS; FLOW; MODEL; DEFORMATION; KINETICS</t>
  </si>
  <si>
    <t>An advanced leukocyte model based on a lattice-Boltzmann lattice-spring model (LLM) and an adhesive dynamics (AD) is presented. In principle, the model can deal with not only extensional and compressional but also bending deformation of microvilli of of leukocytes. In this work, the model is applied to investigate how different flow shear rates affect bending deformation of the microvilli and related physical properties. It is demonstrated that at each given flexural stiffness, adhesive bond force, rolling velocity, contact area, number of bonds, and bending deformation increase as the shear rate increases. At each given shear rate, the bending angles of microvilli increase as the flexural stiffness decreases. Therefore, the adhesive bond force, contact area, and number of bonds increase and result in a decrease in cell rolling velocity. The degree of the decrease depends on both shear rate and flexural stiffness. In addition, a bonding and debonding process for individual microvilli is observed and explored from a bending angular point of view.</t>
  </si>
  <si>
    <t>[Wu, Tai-Hsien; Qi, Dewei] Western Michigan Univ, Dept Chem &amp; Paper Engn, Kalamazoo, MI 49009 USA; [Wu, Tai-Hsien] Univ N Carolina, Dept Oral &amp; Craniofacial Hlth Sci, Chapel Hill, NC 27599 USA</t>
  </si>
  <si>
    <t>Western Michigan University; University of North Carolina; University of North Carolina Chapel Hill</t>
  </si>
  <si>
    <t>Qi, DW (corresponding author), Western Michigan Univ, Dept Chem &amp; Paper Engn, Kalamazoo, MI 49009 USA.</t>
  </si>
  <si>
    <t>taihsien@email.unc.edu; dewei.qi@wmich.edu</t>
  </si>
  <si>
    <t>Gwen Frostic Doctoral Fellowship; Faculty Creativity Initiative of the College of Engineering and Applied Sciences at Western Michigan University</t>
  </si>
  <si>
    <t>T.-H.W. and D.Q. thank Dr. M. Di Pierro and Yi-Chin Huang for proofreading and writing advice. T.-H.W. also acknowledges the Gwen Frostic Doctoral Fellowship for partially supporting this work, and D.Q. acknowledges the award of the Faculty Creativity Initiative of the College of Engineering and Applied Sciences at Western Michigan University.</t>
  </si>
  <si>
    <t>2469-990X</t>
  </si>
  <si>
    <t>PHYS REV FLUIDS</t>
  </si>
  <si>
    <t>Phys. Rev. Fluids</t>
  </si>
  <si>
    <t>JUN 5</t>
  </si>
  <si>
    <t>10.1103/PhysRevFluids.4.063101</t>
  </si>
  <si>
    <t>IC3XO</t>
  </si>
  <si>
    <t>WOS:000470896800001</t>
  </si>
  <si>
    <t>Ashukem, JCN</t>
  </si>
  <si>
    <t>Ashukem, Jean-Claude N.</t>
  </si>
  <si>
    <t>A Rights-Based Approach to Foreign Agro-Investment in Cameroon: Enhancing the Protection of Local Communities' Rights</t>
  </si>
  <si>
    <t>Foreign agro-investment; rights-based approach; access to information; public participation; access to justice; Constitution of Cameroon; transparency and accountability</t>
  </si>
  <si>
    <t>This article investigates and illustrates the role and importance of a rights-based approach to foreign agro-investment for the government of Cameroon when it is required to govern foreign agro-investment activities. In doing so, the article offers an analytical framework based on human rights norms, principles and standards emerging from relevant international and regional human rights instruments. It aims to provide clarity on how local communities' rights could be respected, protected and fulfilled when and where foreign agro-investment occurs. Consequently, because a rights-based approach requires states to respect their minimum human rights obligations, its use in the foreign agro-investment context is crucially important to help compel the government of Cameroon to ensure the respect, protection and fulfilment of local communities' rights.</t>
  </si>
  <si>
    <t>[Ashukem, Jean-Claude N.] North West Univ, Potchefstroom Campus, Potchefstroom, South Africa</t>
  </si>
  <si>
    <t>Ashukem, JCN (corresponding author), North West Univ, Potchefstroom Campus, Potchefstroom, South Africa.</t>
  </si>
  <si>
    <t>jashukem@ymail.com</t>
  </si>
  <si>
    <t>Ashukem, Jean-Claude/B-4484-2019</t>
  </si>
  <si>
    <t>North-West University</t>
  </si>
  <si>
    <t>LLD (North-West University, South Africa), LLM (North-West University, South Africa), Maitrise en Droit (Yaounde, Cameroon), Licence en Droit (Yaounde, Cameroon). Postdoctoral fellow, North-West University, Potchefstroom Campus, South Africa. The article is based on the author's LLD thesis: JCN Ashukem A Rights-Based Approach to Foreign AgroInvestment Governance in Cameroon, Uganda and South Africa (2016, North-West University). Research for this article was conducted during the author's post-doctoral fellowship at North-West University. The author is grateful for the comments of the anonymous reviewers. All views and errors are the author's. The author acknowledges funding from North-West University for the preparation and submission of this article during his post-doctoral research fellowship at its Faculty of Law.</t>
  </si>
  <si>
    <t>PII S0021855319000196</t>
  </si>
  <si>
    <t>10.1017/S0021855319000196</t>
  </si>
  <si>
    <t>IV5AL</t>
  </si>
  <si>
    <t>WOS:000484283500002</t>
  </si>
  <si>
    <t>Chiknaverova, K; Gazizova, A; Mingazova, N</t>
  </si>
  <si>
    <t>Chiknaverova, Karine; Gazizova, Alfia; Mingazova, Nailya</t>
  </si>
  <si>
    <t>Selection of Foreign Language Teaching Content in Russian Master of Laws (LLM) Graduate Programs</t>
  </si>
  <si>
    <t>JOURNAL OF RESEARCH IN APPLIED LINGUISTICS</t>
  </si>
  <si>
    <t>Foreign Language Teaching; Master of Laws Programs; Teaching Content Components</t>
  </si>
  <si>
    <t>Master's degree was integrated into the system of Russian Higher Education several decades ago, however, teaching foreign languages at this level still needs further analysis including the postgraduate law students training. The article investigates the principal components of foreign language teaching in Master of laws Graduate Programs (considering the case of the English language) on the bases of various methods: the analysis of related regulatory and standard-setting documents, linguistic analysis of legal texts; content analysis of textbooks and other resources; methods of analysis and synthesis, classification and descriptive methods, theoretical analysis of methodological and applied research literature. As a result of the study the basic teaching content components were revealed, including linguistic and speech material; professional, linguistic, intercultural knowledge; the corresponding reproductive and productive skills. The findings reflect the factors of content-setting of LLM graduate programs concerning graduates' professional activity (law making, law enforcement, expert, consulting, organizational, managerial, research and pedagogical issues), professional duties; purposes and teaching duration; requirements as for the training output by federal educational standards.</t>
  </si>
  <si>
    <t>[Chiknaverova, Karine] MGIMO Univ, Odintsovo Branch, Fac Linguist &amp; Intercultural Commun, English Language Dept, Moscow, Russia; [Gazizova, Alfia] Kazan Natl Res Tech Univ, Inst Econ Management &amp; Social Technol, Foreign Languages Dept, Kazan, Russia; [Mingazova, Nailya] Kazan Fed Univ, Inst Philol &amp; Intercultural Commun, Dept Contrast Linguist, Kazan, Russia</t>
  </si>
  <si>
    <t>MGIMO University; Kazan National Research Technical University - KAI; Kazan Federal University</t>
  </si>
  <si>
    <t>Gazizova, A (corresponding author), Kazan Natl Res Tech Univ, Inst Econ Management &amp; Social Technol, Foreign Languages Dept, Kazan, Russia.</t>
  </si>
  <si>
    <t>SHAHID CHAMRAN UNIV AHVAZ, IRAN</t>
  </si>
  <si>
    <t>AHVAZ</t>
  </si>
  <si>
    <t>FAC ENGINEERING, PO BOX 61357-43337, AHVAZ, 00000, IRAN</t>
  </si>
  <si>
    <t>2345-3303</t>
  </si>
  <si>
    <t>2588-3887</t>
  </si>
  <si>
    <t>J RES APPL LINGUIST</t>
  </si>
  <si>
    <t>J. Res. Appl. Linguist.</t>
  </si>
  <si>
    <t>SUM-FAL</t>
  </si>
  <si>
    <t>10.22055/RALS.2019.14672</t>
  </si>
  <si>
    <t>IW1OW</t>
  </si>
  <si>
    <t>WOS:000484739800002</t>
  </si>
  <si>
    <t>Zanotty, Y; Alvarez, M; Perdomo, L; Sánchez, EE; Giron, ME; Jimenez, JC; Suntravat, M; Guerrero, B; Ibarra, C; Montero, Y; Medina, R; Navarrete, LF; Rodríguez-Acosta, A</t>
  </si>
  <si>
    <t>Zanotty, Yurisbeth; Alvarez, Marco; Perdomo, Lourdes; Sanchez, Elda E.; Giron, Maria E.; Jimenez, Juan C.; Suntravat, Montamas; Guerrero, Belsy; Ibarra, Carlos; Montero, Yuyibeth; Medina, Rafael; Navarrete, Luis F.; Rodriguez-Acosta, Alexis</t>
  </si>
  <si>
    <t>Mutacytin-1, a New C-Type Lectin-Like Protein from the Venezuelan Cuaima (Lachesis muta muta Linnaeus, 1766) (Serpentes: Viperidae) Snake Venom Inducing Cardiotoxicity in Developing Zebrafish (Danio rerio) Embryos</t>
  </si>
  <si>
    <t>ZEBRAFISH</t>
  </si>
  <si>
    <t>cardiotoxicity; Danio rerio; Lachesis muta muta; larvae; venom; zebrafish</t>
  </si>
  <si>
    <t>CONVULXIN; ACTIVATION; APOPTOSIS; DYNAMICS; BINDING; SYSTEM; HEART</t>
  </si>
  <si>
    <t>Envenomation by the Venezuelan bushmaster snake (Lachesis muta muta) (Serpentes: Viperidae) is characterized by local and cardiac alterations. This study investigates the in vivo cardiac dysfunction, tissue destruction, and cellular processes triggered by Lachesis muta muta snake crude venom and a C-type lectin (CTL)-like toxin named Mutacytin-1 (MC-1). The 28 kDa MC-1 was obtained by molecular exclusion, ion exchange, and C-18 (checking pureness) reverse-phase chromatographies. N-terminal sequencing of the first eight amino acids (NNCPQ LLM) revealed 100% identity with Mutina (CTL-like) isolated from Lachesis stenophrys, which is a Ca2+-dependent-type galactoside-binding lectin from Bothrops jararaca and CTL BpLec from Bothrops pauloensis. The cardiotoxicity in zebrafish of MC-1 was evaluated by means of specific phenotypic expressions and larvae behavior at 5, 15, 30, 40 and 60 min post-treatment. The L. muta muta venom and MC-1 also produced heart rate/rhythm alterations, circulation modifications, and the presence of thrombus and apoptotic phenomenon with pericardial damages. Acridine orange (100 mu g/mL) was used to visualize apoptosis cellular process in control and treated whole embryos. The cardiotoxic alterations happened in more than 90% of all larvae under the action of L. muta muta venom and MC-1. The findings have demonstrated the potential cardiotoxicity by L. muta muta venom, suggesting the possibility of cardiovascular damages to patients after bushmaster envenoming.</t>
  </si>
  <si>
    <t>[Zanotty, Yurisbeth; Giron, Maria E.; Montero, Yuyibeth; Medina, Rafael; Navarrete, Luis F.; Rodriguez-Acosta, Alexis] Univ Cent Venezuela, Lab Inmunoquim &amp; Ultraestruct, Inst Anat Jose Izquierdo, Caracas, Venezuela; [Zanotty, Yurisbeth; Alvarez, Marco; Perdomo, Lourdes] Univ Cent Venezuela, Secc Microscopia Elect, Inst Anat Jose Izquierdo, Fac Med, Caracas, Venezuela; [Sanchez, Elda E.; Suntravat, Montamas] Texas A&amp;M Univ Kingsville, Dept Chem, Natl Nat Toxins Res Ctr, Kingsville, TX USA; [Jimenez, Juan C.] Univ Cent Venezuela, Inst Inmunol, Caracas, Venezuela; [Guerrero, Belsy; Ibarra, Carlos] IVIC, Lab Fisiopatol, Ctr Med Expt, Caracas, Venezuela</t>
  </si>
  <si>
    <t>University of Central Venezuela; University of Central Venezuela; Texas A&amp;M University System; Texas A&amp;M University Kingsville; University of Central Venezuela; Venezuelan Institute Science Research</t>
  </si>
  <si>
    <t>Rodríguez-Acosta, A (corresponding author), Univ Cent Venezuela, Lab Inmunoquim &amp; Ultraestruct, Inst Anat Anat Jose Izquierdo, Ciudad Univ Caracas, Caracas 1043, Venezuela.</t>
  </si>
  <si>
    <t>rodriguezacosta1946@yahoo.es</t>
  </si>
  <si>
    <t>Sanchez, Elda E./0000-0001-5222-8873</t>
  </si>
  <si>
    <t>Science and Technology Fund (FONACIT) programs [PEI 201400352]; NIH/ORIP, Viper Resource Grant [P40OD01960-15]; Robert A. Welch Foundation Department [AC-0006]</t>
  </si>
  <si>
    <t>Science and Technology Fund (FONACIT) programs; NIH/ORIP, Viper Resource Grant; Robert A. Welch Foundation Department(The Welch Foundation)</t>
  </si>
  <si>
    <t>Funding for this project was provided by grant from the Science and Technology Fund (FONACIT) programs (PEI 201400352) (Universidad Central de Venezuela, Dr. A. Rodriguez-Acosta); NIH/ORIP, Viper Resource Grant #P40OD01960-15 (National Natural Toxins Research Center (NNTRC), Texas A&amp;M University-Kingsville, Dr. E.E. Sanchez); and the Robert A. Welch Foundation Department, grant #AC-0006 (TAMUK-Department of Chemistry).</t>
  </si>
  <si>
    <t>MARY ANN LIEBERT, INC</t>
  </si>
  <si>
    <t>NEW ROCHELLE</t>
  </si>
  <si>
    <t>140 HUGUENOT STREET, 3RD FL, NEW ROCHELLE, NY 10801 USA</t>
  </si>
  <si>
    <t>1545-8547</t>
  </si>
  <si>
    <t>1557-8542</t>
  </si>
  <si>
    <t>Zebrafish</t>
  </si>
  <si>
    <t>10.1089/zeb.2019.1731</t>
  </si>
  <si>
    <t>MAY 2019</t>
  </si>
  <si>
    <t>Developmental Biology; Zoology</t>
  </si>
  <si>
    <t>IN5WI</t>
  </si>
  <si>
    <t>WOS:000469516000001</t>
  </si>
  <si>
    <t>Almanjahie, IM; Elmezouar, ZC; Bachir, BA; Kaid, Z</t>
  </si>
  <si>
    <t>Almanjahie, Ibrahim M.; Elmezouar, Zouaoui Chikr; Bachir, Bachir Ahmed; Kaid, Zoulikha</t>
  </si>
  <si>
    <t>Spatial local linear estimation of the L1-conditional quantiles for functional regressors</t>
  </si>
  <si>
    <t>KERNEL DENSITY-ESTIMATION; CONDITIONAL QUANTILE; CONSISTENCY; PREDICTION</t>
  </si>
  <si>
    <t>L-1-norm approach is used to construct the local linear estimator of the spatial regression quantile for functional regressors. Under mixing spatial condition, we establish the almost complete convergence of the constructed approach. The applicability of the constructed estimator is examined by a Monte-Carlo study. The finite sample performance of the proposed estimator is compared to the classical kernel estimator of the functional spatial quantile regression. The result indicates that our new approach is more accurate than the classical one.</t>
  </si>
  <si>
    <t>[Almanjahie, Ibrahim M.; Elmezouar, Zouaoui Chikr; Bachir, Bachir Ahmed; Kaid, Zoulikha] King Khalid Univ, Coll Sci, Dept Math, Abha 61413, Saudi Arabia; [Elmezouar, Zouaoui Chikr] Univ Tahri Mohammed, Dept Math, Bchar, Algeria</t>
  </si>
  <si>
    <t>King Khalid University</t>
  </si>
  <si>
    <t>Bachir, BA (corresponding author), King Khalid Univ, Coll Sci, Dept Math, Abha 61413, Saudi Arabia.</t>
  </si>
  <si>
    <t>bachir_ahmed@hotmail.com</t>
  </si>
  <si>
    <t>CHIKR ELMEZOUAR, ZOUAOUI/ISR-8816-2023; Almanjahie, Ibrahim/GLN-4504-2022; Almanjahie, Ibrahim/HJH-0941-2022</t>
  </si>
  <si>
    <t>Almanjahie, Ibrahim/0000-0002-4651-3210; Chikr Elmezouar, Zouaoui/0000-0001-7621-6711</t>
  </si>
  <si>
    <t>Deanship of Scientific Research at King Khalid University [R.G.P1/102/40]</t>
  </si>
  <si>
    <t>The authors would like to thank the anonymous reviewers for their valuable comments and suggestions which improved the quality of this article substantially. They also extend their appreciation to the Deanship of Scientific Research at King Khalid University for funding this work through research groups program under the project number R.G.P1/102/40.</t>
  </si>
  <si>
    <t>10.1080/03610926.2019.1620781</t>
  </si>
  <si>
    <t>NZ2GF</t>
  </si>
  <si>
    <t>WOS:000471394700001</t>
  </si>
  <si>
    <t>A HUMAN RIGHTS-BASED APPROACH TO FOREIGN AGRICULTURAL INVESTMENT IN UGANDA</t>
  </si>
  <si>
    <t>LLD (NWU), LLM (NWU), Maitrise en Droit (Yaounde), Licence en Droit (Yaounde). Postdoctoral Fellow, Potchefstroom Campus of North-West University, South Africa. The research in this article was conducted during the author's post-doctoral research fellowship at North-West University and is based on the author's LLD thesis entitled: A Rights-based Approach to Foreign Agro-investment Governance in Cameroon, Uganda and South Africa. I am grateful to Professor Louis J. Kotze for comments on an earlier draft of this article. All errors are mine.</t>
  </si>
  <si>
    <t>10.3366/ajicl.2019.0272</t>
  </si>
  <si>
    <t>HX3DE</t>
  </si>
  <si>
    <t>WOS:000467271000005</t>
  </si>
  <si>
    <t>Brown, LD; Shapiro, LLM; Thompson, GA; Estévez-Lao, TY; Hillyer, JF</t>
  </si>
  <si>
    <t>Brown, Lisa D.; Shapiro, Lillian L. M.; Thompson, Grayson A.; Estevez-Lao, Tania Y.; Hillyer, Julian F.</t>
  </si>
  <si>
    <t>Transstadial immune activation in a mosquito: Adults that emerge from infected larvae have stronger antibacterial activity in their hemocoel yet increased susceptibility to malaria infection</t>
  </si>
  <si>
    <t>ECOLOGY AND EVOLUTION</t>
  </si>
  <si>
    <t>Anopheles gambiae; Culicidae; hemocyte; immunity; insect; malaria; metamorphosis</t>
  </si>
  <si>
    <t>ANOPHELES-GAMBIAE DIPTERA; AEDES-AEGYPTI; BACILLUS-SPHAERICUS; PLASMODIUM; HEMOCYTES; PARASITE; SPECIFICITY; CULICIDAE; TRANSMISSION; INVERTEBRATE</t>
  </si>
  <si>
    <t>Larval and adult mosquitoes mount immune responses against pathogens that invade their hemocoel. Although it has been suggested that a correlation exists between immune processes across insect life stages, the influence that an infection in the hemocoel of a larva has on the immune system of the eclosed adult remains unknown. Here, we used Anopheles gambiae to test whether a larval infection influences the adult response to a subsequent bacterial or malaria parasite infection. We found that for both female and male mosquitoes, a larval infection enhances the efficiency of bacterial clearance following a secondary infection in the hemocoel of adults. The adults that emerge from infected larvae have more hemocytes than adults that emerge from naive or injured larvae, and individual hemocytes have greater phagocytic activity. Furthermore, mRNA abundance of immune genes-such as cecropin A, Lysozyme C1, Stat-A, and Tep1-is higher in adults that emerge from infected larvae. A larval infection, however, does not have a meaningful effect on the probability that female adults will survive a systemic bacterial infection, and increases the susceptibility of females to Plasmodium yoelii, as measured by oocyst prevalence and intensity in the midgut. Finally, immune proficiency varies by sex; females exhibit increased bacterial killing, have twice as many hemocytes, and more highly express immune genes. Together, these results show that a larval hemocoelic infection induces transstadial immune activation-possibly via transstadial immune priming-but that it confers both costs and benefits to the emerged adults.</t>
  </si>
  <si>
    <t>[Brown, Lisa D.; Shapiro, Lillian L. M.; Thompson, Grayson A.; Estevez-Lao, Tania Y.; Hillyer, Julian F.] Vanderbilt Univ, Dept Biol Sci, VU Stn B 35-1634, Nashville, TN 37235 USA; [Brown, Lisa D.] Georgia Southern Univ, Dept Biol, Statesboro, GA 30460 USA</t>
  </si>
  <si>
    <t>Vanderbilt University; University System of Georgia; Georgia Southern University</t>
  </si>
  <si>
    <t>Hillyer, JF (corresponding author), Vanderbilt Univ, Dept Biol Sci, VU Stn B 35-1634, Nashville, TN 37235 USA.</t>
  </si>
  <si>
    <t>julian.hillyer@vanderbilt.edu</t>
  </si>
  <si>
    <t>National Institute of Allergy and Infectious Diseases [R21-AI119596]; Vanderbilt University</t>
  </si>
  <si>
    <t>National Institute of Allergy and Infectious Diseases(United States Department of Health &amp; Human ServicesNational Institutes of Health (NIH) - USANIH National Institute of Allergy &amp; Infectious Diseases (NIAID)); Vanderbilt University</t>
  </si>
  <si>
    <t>National Institute of Allergy and Infectious Diseases, Grant/Award Number: R21-AI119596; Vanderbilt University</t>
  </si>
  <si>
    <t>2045-7758</t>
  </si>
  <si>
    <t>ECOL EVOL</t>
  </si>
  <si>
    <t>Ecol. Evol.</t>
  </si>
  <si>
    <t>10.1002/ece3.5192</t>
  </si>
  <si>
    <t>Ecology; Evolutionary Biology</t>
  </si>
  <si>
    <t>Environmental Sciences &amp; Ecology; Evolutionary Biology</t>
  </si>
  <si>
    <t>IC4GK</t>
  </si>
  <si>
    <t>WOS:000470923500042</t>
  </si>
  <si>
    <t>Lichtemberg, PSF; Michailides, TJ; Puckett, RD; Zeviani, WM; De Mio, LLM</t>
  </si>
  <si>
    <t>Lichtemberg, Paulo S. F.; Michailides, Themis J.; Puckett, Ryan D.; Zeviani, Walmes M.; May De Mio, Louise L.</t>
  </si>
  <si>
    <t>Fitness costs associated with G461S mutants of Monilinia fructicola could favor the management of tebuconazole resistance in Brazil</t>
  </si>
  <si>
    <t>Brown rot disease; Demethylation-inhibiting fungicides; Peach; Sensitivity genotypes</t>
  </si>
  <si>
    <t>BIOSYNTHESIS-INHIBITING FUNGICIDES; BASE-LINE SENSITIVITY; STONE FRUIT ORCHARDS; BROWN-ROT; VENTURIA-INAEQUALIS; PROPICONAZOLE RESISTANCE; STRAINS RESISTANT; BOTRYTIS-CINEREA; PEACH PRODUCTION; DMI RESISTANCE</t>
  </si>
  <si>
    <t>In this study, we investigated the sensitivity components of demethylation fungicide inhibitors (DMI-tebuconazole) for two different sensitivity genotypes of Monilinia fructicola (G461S mutants and wild-type isolates). These components included the fungicide resistance stability and fitness studied over the course of nine and five successive transfers in vitro and ex vivo, respectively, in the absence of fungicide. The results showed no effect of successive transfers on tebuconazole sensitivity of isolates with the G461S mutation for in vitro and ex vivo assays. Athough stable resistance was found, resistant isolates demonstrated a fitness disadvantage relative to the wild-type isolates. The in vitro assay revealed that wild-type isolates had higher germination rates and mycelial growth capacity; and when tested ex vivo, wild-type isolates could produce more spores and larger lesions in peach fruit. The competition studies corroborate the predicted fitness results, where resistant spores were less frequently re-isolated from two pairs of resistant and sensitive mixtures prepared at different ratios. The results obtained in this study have important implications for tebuconazole resistance management of stone-fruit orchards in Brazil and field tests are currently underway to confirm its practicality.</t>
  </si>
  <si>
    <t>[Lichtemberg, Paulo S. F.; May De Mio, Louise L.] Univ Fed Parana, Dept Plant Pathol, BR-80035050 Curitiba, Parana, Brazil; [Lichtemberg, Paulo S. F.; Michailides, Themis J.; Puckett, Ryan D.] Univ Calif Davis, Dept Plant Pathol, Parlier, CA 93648 USA; [Zeviani, Walmes M.] Univ Fed Parana, Dept Stat, BR-81531990 Curitiba, Parana, Brazil</t>
  </si>
  <si>
    <t>Universidade Federal do Parana; University of California System; University of California Davis; Universidade Federal do Parana</t>
  </si>
  <si>
    <t>De Mio, LLM (corresponding author), Univ Fed Parana, Dept Plant Pathol, BR-80035050 Curitiba, Parana, Brazil.</t>
  </si>
  <si>
    <t>Michailides, Themis/AAI-6592-2020; May De Mio, Louise Larissa/K-3065-2012</t>
  </si>
  <si>
    <t>Coordination for the Improvement of Higher Education Personnel (CAPES); Conselho Nacional de Desenvolvimento Cientifico e Tecnologico [479041/2010-5 Universal/CNPq, 552334/2011-1 CNPQ-Procad]</t>
  </si>
  <si>
    <t>Coordination for the Improvement of Higher Education Personnel (CAPES)(Coordenacao de Aperfeicoamento de Pessoal de Nivel Superior (CAPES)); Conselho Nacional de Desenvolvimento Cientifico e Tecnologico(Conselho Nacional de Desenvolvimento Cientifico e Tecnologico (CNPQ))</t>
  </si>
  <si>
    <t>We thank David Morgan and Michael Luna from the University of California Davis/Kearney Agricultural Research and Extension Center for their technical assistance and Bayer SA for supplying the fungicide used in this study. A special appreciation to the Coordination for the Improvement of Higher Education Personnel (CAPES) doctoral fellowship for making this study possible both in Brazil and in California. This study is based upon work supported by Conselho Nacional de Desenvolvimento Cientifico e Tecnologico grants no 479041/2010-5 Universal/CNPq and grant no 552334/2011-1 CNPQ-Procad.</t>
  </si>
  <si>
    <t>10.1007/s40858-018-0254-9</t>
  </si>
  <si>
    <t>HT7SM</t>
  </si>
  <si>
    <t>WOS:000464764700004</t>
  </si>
  <si>
    <t>Sai, CY; Mokhtar, N; Yip, HW; Bak, LLM; Hasan, MS; Arof, H; Cumming, P; Adenan, NAM</t>
  </si>
  <si>
    <t>Sai, Chong Yeh; Mokhtar, Norrima; Yip, Hing Wa; Bak, Lindy Li Mei; Hasan, Mohd Shahnaz; Arof, Hamzah; Cumming, Paul; Adenan, Noor Azmi Mat</t>
  </si>
  <si>
    <t>Objective identification of pain due to uterine contraction during the first stage of labour using continuous EEG signals and SVM</t>
  </si>
  <si>
    <t>SADHANA-ACADEMY PROCEEDINGS IN ENGINEERING SCIENCES</t>
  </si>
  <si>
    <t>Electroencephalography (EEG); pain assessment; first stage of labour; uterine contraction; Support Vector Machine (SVM); Principal Component Analysis (PCA)</t>
  </si>
  <si>
    <t>SPECTRAL INDEXES; BAND POWER; TONIC PAIN; PERCEPTION; CLASSIFICATION; ARTIFACTS; RESPONSES</t>
  </si>
  <si>
    <t>This study aimed to assess the utility of electroencephalography (EEG) as an objective marker of pain during the first stage of labour. EEG and cardiotocography (CTG) data were obtained from 10 parturient women during their first stage of labour. The study subjects reported the extent of their pain experienced due to uterine contractions, which were recorded by the CTG tracing. Simultaneous 16-channel EEG traces were obtained for spectral analysis and a subsequent machine learning classification using Support Vector Machine (SVM) aiming to predict the pain experienced in relation to uterine contractions. It was found that pain due to uterine contraction correlated positively with relative delta and beta band activities and negatively with relative theta and alpha band activities of the EEG signals. SVM using the spectral activities, statistical and non-linear features of the EEG classified the state of pain with 83% accuracy using a classification model generalizable across subjects. Furthermore, dimension reduction using Principal Component Analysis (PCA) successfully reduced the number of features used in the classification while achieving a maximum classification accuracy of 84%. Continuous EEG affords the means to assess objectively maternal pain experienced during the active contraction phase of the first stage of labour. Monitoring of the pain experience using EEG signals may complement the clinical decision-making process behind administration of epidural anaesthesia during labour. We envision future studies to investigate EEG markers of pain in other clinical states, aiming to generalize the use of EEG as an objective method of pain assessment.</t>
  </si>
  <si>
    <t>[Sai, Chong Yeh; Mokhtar, Norrima; Arof, Hamzah] Univ Malaya, Dept Elect Engn, Fac Engn, Kuala Lumpur 50603, Malaysia; [Yip, Hing Wa; Hasan, Mohd Shahnaz] Univ Malaya, Fac Med, Dept Anaesthesiol, Kuala Lumpur 50603, Malaysia; [Bak, Lindy Li Mei; Adenan, Noor Azmi Mat] Univ Malaya, Fac Med, Dept Obstet &amp; Gynaecol, Kuala Lumpur 50603, Malaysia; [Cumming, Paul] Queensland Univ Technol, Sch Psychol &amp; Counselling, Brisbane, Qld 4000, Australia; [Cumming, Paul] QIMR Berghofer Inst, Brisbane, Qld 4006, Australia</t>
  </si>
  <si>
    <t>Universiti Malaya; Universiti Malaya; Universiti Malaya; Queensland University of Technology (QUT)</t>
  </si>
  <si>
    <t>Mokhtar, N (corresponding author), Univ Malaya, Dept Elect Engn, Fac Engn, Kuala Lumpur 50603, Malaysia.</t>
  </si>
  <si>
    <t>chongyeh.sai@siswa.um.edu.my; norrimamokhtar@um.edu.my; hwyip@ummc.edu.my; lindy@ummc.edu.my; shahnaz@ummc.edu.my; ahamzah@um.edu.my; paul.cumming@qut.edu.au; azmie@um.edu.my</t>
  </si>
  <si>
    <t>Ministry of Higher Education, Malaysia; University of Malaya through HIR Grant [D000016-16001]; PPP Grant [PG260-2015B]</t>
  </si>
  <si>
    <t>Ministry of Higher Education, Malaysia(Ministry of Education, Malaysia); University of Malaya through HIR Grant; PPP Grant</t>
  </si>
  <si>
    <t>This study was supported by funding from Ministry of Higher Education, Malaysia, and University of Malaya through HIR Grant (UM.C/HIR/MOHE/ENG/16 Account Code: D000016-16001) and PPP Grant (PG260-2015B), respectively.</t>
  </si>
  <si>
    <t>SPRINGER INDIA</t>
  </si>
  <si>
    <t>NEW DELHI</t>
  </si>
  <si>
    <t>7TH FLOOR, VIJAYA BUILDING, 17, BARAKHAMBA ROAD, NEW DELHI, 110 001, INDIA</t>
  </si>
  <si>
    <t>0256-2499</t>
  </si>
  <si>
    <t>0973-7677</t>
  </si>
  <si>
    <t>SADHANA-ACAD P ENG S</t>
  </si>
  <si>
    <t>Sadhana-Acad. Proc. Eng. Sci.</t>
  </si>
  <si>
    <t>10.1007/s12046-019-1058-4</t>
  </si>
  <si>
    <t>Engineering, Multidisciplinary</t>
  </si>
  <si>
    <t>HQ2LU</t>
  </si>
  <si>
    <t>WOS:000462233500001</t>
  </si>
  <si>
    <t>Exploring the Effectiveness of the Rights-Based Approach to Environmental Governance in Cameroon: What Could be Learned from South Africa?</t>
  </si>
  <si>
    <t>COMPARATIVE AND INTERNATIONAL LAW JOURNAL OF SOUTHERN AFRICA-CILSA</t>
  </si>
  <si>
    <t>The responsibility of citizens to protect their environment goes beyond mere obligations, and extends to providing and enabling access to relevant environmental information through which they can be informed of the impact of activities on their environmental rights. It also involves the creation of mechanisms for inclusion, openness, and participation where citizens would be involved in processes leading to the protection of their environmental rights. The Constitution of the Republic of Cameroon, 1996, expressly recognises the right of everyone to a healthy environment. However, the Constitution and Law No 96/12 on Environmental Management impose the duty on citizens and not on the state to protect the environment. While provisions on the right to access to information and public participation exist in Cameroon's legal framework, in practice people do not have access to relevant environmental information and are not given a chance to be involved and to participate fully in environmental decision-making processes. In this light, Cameroon's legal framework appears inadequate and ineffective, and falls short of ensuring and enhancing environmental governance, when analysed through a rights-based lens. This inadequacy has precluded concerned citizens from exercising their right to a healthy environment. It is a hindrance to the advancement of the country's environmental governance paradigm and could remain so if not properly and urgently addressed. The author compares the Cameroonian experience to the South African experience in order to draw lessons that Cameroon can benefit from. This is necessary because the legal framework in South Africa is more effective than that of Cameroon.</t>
  </si>
  <si>
    <t>North-West University, Potchefstroom Campus</t>
  </si>
  <si>
    <t>LLD (NWU), LLM (NWU) Maitrise en Droit (Yaounde), Licence en Droit (Yaounde). The research in this article was conducted during the author's post-doctoral fellowship at North-West University, Potchefstroom Campus.</t>
  </si>
  <si>
    <t>UNIV SOUTH AFRICA, INST FOREIGN &amp; COMPARATIVE LAW</t>
  </si>
  <si>
    <t>PRETORIA</t>
  </si>
  <si>
    <t>PO BOX 392, PRETORIA, 0003, SOUTH AFRICA</t>
  </si>
  <si>
    <t>0010-4051</t>
  </si>
  <si>
    <t>COMP INT LAW J SOUTH</t>
  </si>
  <si>
    <t>Comp. Int. Law J. South. Afr.-CILSA</t>
  </si>
  <si>
    <t>VJ8ED</t>
  </si>
  <si>
    <t>WOS:000632633200003</t>
  </si>
  <si>
    <t>Listiningrum, P</t>
  </si>
  <si>
    <t>Listiningrum, Prischa</t>
  </si>
  <si>
    <t>Transboundary Civil Litigation for Victims of Southeast Asian Haze Pollution: Access to Justice and the Non-Discrimination Principle</t>
  </si>
  <si>
    <t>TRANSNATIONAL ENVIRONMENTAL LAW</t>
  </si>
  <si>
    <t>Transboundary litigation; Haze pollution; Non-discrimination; Access to justice; Source-of-origin state</t>
  </si>
  <si>
    <t>HEALTH IMPACTS; INDONESIA</t>
  </si>
  <si>
    <t>This article examines access to justice for victims of the Southeast Asian haze pollution within the legal system of Indonesia as the source-of-origin state. It argues that bringing civil claims against the polluting companies before Indonesian courts offers a more effective avenue towards justice than relying on resolution at the level of state to state. The article first discusses barriers to resolving the problem through the state-to-state level. It then considers whether, under international law, the source-of-origin state is obliged to provide remedies for victims of transboundary environmental damage. The article then reviews the efficacy of pursuing remedies for transboundary civil claims against polluters through the legal system of the source-of-origin state. Finally, the article considers the limitations of the laws of the affected states, which, as a consequence, mean that transboundary civil litigation in the source-of-origin state may be the most effective avenue for redress.</t>
  </si>
  <si>
    <t>[Listiningrum, Prischa] Brawijaya Univ, Fac Law, Malang, Indonesia</t>
  </si>
  <si>
    <t>Brawijaya University</t>
  </si>
  <si>
    <t>Listiningrum, P (corresponding author), Brawijaya Univ, Fac Law, Malang, Indonesia.</t>
  </si>
  <si>
    <t>p.listiningrum@ub.ac.id</t>
  </si>
  <si>
    <t>Indonesia Endowment Fund for Education (LPDP)</t>
  </si>
  <si>
    <t>This paper was originally written as a dissertation for a Master of Laws (LLM) at the University of Edinburgh, (United Kingdom). I would like to thank Alan Boyle for his excellent supervision and the Indonesia Endowment Fund for Education (LPDP) for fully funding my Master's degree.</t>
  </si>
  <si>
    <t>2047-1025</t>
  </si>
  <si>
    <t>2047-1033</t>
  </si>
  <si>
    <t>TRANSNATL ENVIRON LA</t>
  </si>
  <si>
    <t>Transnatl. Environ. Law</t>
  </si>
  <si>
    <t>10.1017/S2047102518000298</t>
  </si>
  <si>
    <t>Environmental Studies; Law</t>
  </si>
  <si>
    <t>Environmental Sciences &amp; Ecology; Government &amp; Law</t>
  </si>
  <si>
    <t>HR1CN</t>
  </si>
  <si>
    <t>WOS:000462865800006</t>
  </si>
  <si>
    <t>Liu, B; An, CW; Geng, XH; Yang, LY; Xu, S; Ye, BY; Xu, RX; Wang, JY</t>
  </si>
  <si>
    <t>Liu, Bin; An, Chongwei; Geng, Xiaoheng; Yang, Liyuan; Xu, Shuai; Ye, Baoyun; Xu, Ruixuan; Wang, Jingyu</t>
  </si>
  <si>
    <t>LLM-105 nanoparticles prepared via green ball milling and their thermodynamics and kinetics investigation</t>
  </si>
  <si>
    <t>JOURNAL OF THERMAL ANALYSIS AND CALORIMETRY</t>
  </si>
  <si>
    <t>LLM-105; Ball milling; Nanoparticles; Thermodynamics; Kinetics</t>
  </si>
  <si>
    <t>THERMAL-DECOMPOSITION; HIGH-PERFORMANCE; 2,6-DIAMINO-3,5-DINITROPYRAZINE-1-OXIDE; RDX</t>
  </si>
  <si>
    <t>2,6-diamino-3,5-dinitropyrazine-1-oxide (LLM-105) has drawn extensive attention because of its heat resistance and insensitivity properties. In this study, the LLM-105 nanoparticles were successfully prepared via ball milling method. The milled particles were characterized by scanning electron microscopy, X-ray diffraction, dynamic light scattering, differential scanning calorimetry and thermal sensitivity tests. Moreover, thermodynamics and kinetics parameters of LLM-105 samples were calculated by two kinetics equations. Results show that the milling process can significantly reduce the particle size of LLM-105 and the milling LLM-105 particles have the narrow particle size distribution ranging from 510 to 650 nm. The thermal decomposition peak temperatures of milling LLM-105 are decreased by over 14 A degrees C than those of raw LLM-105 at the same heating rate. The apparent activation energy (E (a)) of LLM-105 nanoparticles is calculated as 221.2 kJ mol(-1) and 221.4 kJ mol(-1) by Kissinger and Starink equation, respectively, which is lower a third than that of raw LLM-105 (339.9 kJ mol(-1), 339.7 kJ mol(-1)). The thermodynamics parameters (Delta S (not equal), Delta H (not equal), Delta G (not equal)) of LLM-105 are also decreased in various degrees.</t>
  </si>
  <si>
    <t>[Liu, Bin; An, Chongwei; Yang, Liyuan; Xu, Shuai; Ye, Baoyun; Xu, Ruixuan; Wang, Jingyu] North Univ China, Sch Environm &amp; Safety Engn, Taiyuan 030051, Shanxi, Peoples R China; [Geng, Xiaoheng] Binzhou Univ, Urban &amp; Environm Sci Dept, Binzhou 256600, Peoples R China</t>
  </si>
  <si>
    <t>An, CW (corresponding author), North Univ China, Sch Environm &amp; Safety Engn, Taiyuan 030051, Shanxi, Peoples R China.</t>
  </si>
  <si>
    <t>anchongwei@yeah.net</t>
  </si>
  <si>
    <t>Graduate Education Innovation Project of North University of China [20181569]</t>
  </si>
  <si>
    <t>Graduate Education Innovation Project of North University of China</t>
  </si>
  <si>
    <t>This work was supported by the Graduate Education Innovation Project of North University of China (20181569).</t>
  </si>
  <si>
    <t>1388-6150</t>
  </si>
  <si>
    <t>1588-2926</t>
  </si>
  <si>
    <t>J THERM ANAL CALORIM</t>
  </si>
  <si>
    <t>J. Therm. Anal. Calorim.</t>
  </si>
  <si>
    <t>10.1007/s10973-019-08079-x</t>
  </si>
  <si>
    <t>Thermodynamics; Chemistry, Analytical; Chemistry, Physical</t>
  </si>
  <si>
    <t>Thermodynamics; Chemistry</t>
  </si>
  <si>
    <t>HQ6UL</t>
  </si>
  <si>
    <t>WOS:000462553400039</t>
  </si>
  <si>
    <t>Pienaar, L</t>
  </si>
  <si>
    <t>Pienaar, Letitia</t>
  </si>
  <si>
    <t>Low-threshold Fitness Test in South Africa and the USA: Consequences for the Fit but Mentally ill Accused</t>
  </si>
  <si>
    <t>An accused, who is unable to follow the criminal proceedings against him/her on account of mental illness or intellectual disability, could be found unfit to stand trial. Whether the individual is indeed unfit is determined by the fitness test employed in the particular jurisdiction. This article considers the fitness tests employed in South Africa and the United States of America and points out the similarities and differences between them. The threshold for fitness in both these jurisdictions is low, resulting in the majority of accused persons sent for fitness assessments being found fit to stand trial. Amongst these accused are persons with serious mental illness. The article considers the impact of such a low threshold test on the fit but mentally ill accused and considers a therapeutic response to this category of accused persons.</t>
  </si>
  <si>
    <t>[Pienaar, Letitia] Univ South Africa, Dept Criminal &amp; Procedural Law, Med Law &amp; Legal Res Methodol, Pretoria, South Africa</t>
  </si>
  <si>
    <t>University of South Africa</t>
  </si>
  <si>
    <t>Pienaar, L (corresponding author), Univ South Africa, Dept Criminal &amp; Procedural Law, Med Law &amp; Legal Res Methodol, Pretoria, South Africa.</t>
  </si>
  <si>
    <t>Pienaar, Letitia/AAU-3162-2020</t>
  </si>
  <si>
    <t>Pienaar, Letitia/0000-0001-6296-4647</t>
  </si>
  <si>
    <t>UNISA College of Law Research and Innovation Committee</t>
  </si>
  <si>
    <t>LLB (UJ), LLM (UNISA), LLD (UNISA). Senior Lecturer: Medical Law and Legal Research Methodology, Department of Criminal and Procedural Law, University of South Africa. Admitted attorney of the High Court of South Africa. I would like to acknowledge the financial support received from the UNISA College of Law Research and Innovation Committee in support of this research. The opinions contained in this publication are those of the author and do not represent those of the UNISA College of Law.</t>
  </si>
  <si>
    <t>WOS:000632633200006</t>
  </si>
  <si>
    <t>Wagner, G; Eidenmüller, H</t>
  </si>
  <si>
    <t>Wagner, Gerhard; Eidenmueller, Horst</t>
  </si>
  <si>
    <t>Down by Algorithms? Siphoning Rents, Exploiting Biases, and Shaping Preferences: Regulating the Dark Side of Personalized Transactions</t>
  </si>
  <si>
    <t>UNIVERSITY OF CHICAGO LAW REVIEW</t>
  </si>
  <si>
    <t>PRICE-DISCRIMINATION; CONSUMER; INFORMATION; PRIVACY; DESIGN</t>
  </si>
  <si>
    <t>In this Essay, we seek to systematically explore and understand crucial aspects of the dark side of personalized business to consumer (B2C) transactions. We identify three areas of concern. First, businesses increasingly engage in first-degree price discrimination, siphoning rents from consumers. Second, firms exploit widespread or idiosyncratic behavioral biases of consumers in a systematic fashion. And third, businesses use microtargeted ads and recommendations to shape consumers' preferences and steer them into a particular consumption pattern. Siphoning rents, exploiting biases, and shaping preferences appear to be relatively distinct phenomena. However, these phenomena share a common underlying theme: the exploitation of consumers or at least an impoverishment of their lives by firms that apply novel and sophisticated technological means to maximize profits. Hence, the dark side of personalized B2C transactions may be characterized as consumers being brought down by algorithms, losing transaction surplus, engaging in welfare-reducing transactions, and increasingly being trapped in a narrower life. It is unclear whether first-degree price discrimination creates an efficiency problem, but surely it raises concerns of distributive justice. We propose that it should be addressed by a clear and simple warning to the consumer that she is being offered a personalized price and, in addition, a right to indicate that she does not want to participate in a personalized pricing scheme. Similarly, behavioral biases may or may not lead consumers to conclude inefficient transactions. But they should be given an opportunity to reflect on their choices if these have been induced by firms applying exploitative algorithmic sales techniques. Hence, we propose that consumers should have a right to withdraw from a contract concluded under such conditions. Finally, shaping consumers' preferences by microtargeted ads and recommendations prevents consumers from experimenting. They should have a right to opt out of the technological steering mechanisms created and utilized by firms that impoverish their lives. Regulation along the lines proposed in this Essay is necessary because competitive markets will not protect unknowledgeable or otherwise weak consumers from exploitation. A general right to anonymity for consumers in the digital world could be the macrosolution to the microproblems discussed. If it were recognized and protected by the law, it might be possible to reap (most of) the benefits of personalization while avoiding (most of) its pitfalls.</t>
  </si>
  <si>
    <t>[Wagner, Gerhard] Humboldt Univ, Private Law Business Law &amp; Law &amp; Econ, Berlin, Germany; [Wagner, Gerhard] Humboldts LLM Program Int Dispute Resolut, Berlin, Germany; [Eidenmueller, Horst] Univ Oxford, Commercial Law, Oxford, England; [Eidenmueller, Horst] St Hughs Coll, Oxford, England</t>
  </si>
  <si>
    <t>Humboldt University of Berlin; University of Oxford; University of Oxford</t>
  </si>
  <si>
    <t>Wagner, G (corresponding author), Humboldt Univ, Private Law Business Law &amp; Law &amp; Econ, Berlin, Germany.;Wagner, G (corresponding author), Humboldts LLM Program Int Dispute Resolut, Berlin, Germany.</t>
  </si>
  <si>
    <t>Wagner, Gerhard/HMV-6709-2023</t>
  </si>
  <si>
    <t>UNIV CHICAGO LAW SCH</t>
  </si>
  <si>
    <t>1111 E 60TH ST, CHICAGO, IL 60637 USA</t>
  </si>
  <si>
    <t>0041-9494</t>
  </si>
  <si>
    <t>U CHICAGO LAW REV</t>
  </si>
  <si>
    <t>Univ. Chic. Law Rev.</t>
  </si>
  <si>
    <t>HO5WH</t>
  </si>
  <si>
    <t>WOS:000460998600013</t>
  </si>
  <si>
    <t>Xiong, L; Wu, F; Wu, Q; Xu, LL; Cheung, OK; Kang, W; Mok, MT; Szeto, LLM; Lun, CY; Lung, RW; Zhang, JL; Yu, KH; Lee, SD; Huang, GC; Wang, CM; Liu, J; Yu, Z; Yu, DY; Chou, JL; Huang, WH; Feng, B; Cheung, YS; Lai, PB; Tan, P; Wong, N; Chan, MW; Huang, TH; Yip, KY; Cheng, AS; To, KF</t>
  </si>
  <si>
    <t>Xiong, Lei; Wu, Feng; Wu, Qiong; Xu, Liangliang; Cheung, Otto K.; Kang, Wei; Mok, Myth T.; Szeto, Lemuel L. M.; Lun, Cheuk-Yin; Lung, Raymond W.; Zhang, Jinglin; Yu, Ken H.; Lee, Sau-Dan; Huang, Guangcun; Wang, Chiou-Miin; Liu, Joseph; Yu, Zhuo; Yu, Dae-Yeul; Chou, Jian-Liang; Huang, Wan-Hong; Feng, Bo; Cheung, Yue-Sun; Lai, Paul B.; Tan, Patrick; Wong, Nathalie; Chan, Michael W.; Huang, Tim H.; Yip, Kevin Y.; Cheng, Alfred S.; To, Ka-Fai</t>
  </si>
  <si>
    <t>Aberrant enhancer hypomethylation contributes to hepatic carcinogenesis through global transcriptional reprogramming</t>
  </si>
  <si>
    <t>HEPATOCELLULAR-CARCINOMA; MUTATIONAL LANDSCAPE; DNA METHYLATION; LIVER-CANCER; C/EBP-BETA; GENOME; DIFFERENTIATION; ONCOGENES; BINDING; RNAS</t>
  </si>
  <si>
    <t>Hepatocellular carcinomas (HCC) exhibit distinct promoter hypermethylation patterns, but the epigenetic regulation and function of transcriptional enhancers remain unclear. Here, our affinity-and bisulfite-based whole-genome sequencing analyses reveal global enhancer hypomethylation in human HCCs. Integrative epigenomic characterization further pinpoints a recurrent hypomethylated enhancer of CCAAT/enhancer-binding protein-beta (C/EBP beta) which correlates with C/EBP beta over-expression and poorer prognosis of patients. Demethylation of C/EBP beta enhancer reactivates a self-reinforcing enhancer-target loop via direct transcriptional up-regulation of enhancer RNA. Conversely, deletion of this enhancer via CRISPR/Cas9 reduces C/EBP beta expression and its genome-wide co-occupancy with BRD4 at H3K27ac-marked enhancers and super-enhancers, leading to drastic suppression of driver oncogenes and HCC tumorigenicity. Hepatitis B X protein transgenic mouse model of HCC recapitulates this paradigm, as C/ebp beta enhancer hypomethylation associates with oncogenic activation in early tumorigenesis. These results support a causal link between aberrant enhancer hypomethylation and C/EBP beta over-expression, thereby contributing to hepato-carcinogenesis through global transcriptional reprogramming.</t>
  </si>
  <si>
    <t>[Xiong, Lei; Wu, Feng; Kang, Wei; Lung, Raymond W.; Zhang, Jinglin; Yu, Ken H.; Wong, Nathalie; To, Ka-Fai] Chinese Univ Hong Kong, Dept Anat &amp; Cellular Pathol, Hong Kong, Peoples R China; [Xiong, Lei; Wu, Feng; Wu, Qiong; Xu, Liangliang; Cheung, Otto K.; Mok, Myth T.; Szeto, Lemuel L. M.; Lun, Cheuk-Yin; Feng, Bo; Cheng, Alfred S.] Chinese Univ Hong Kong, Sch Biomed Sci, Hong Kong, Peoples R China; [Yu, Ken H.; Lee, Sau-Dan; Yip, Kevin Y.] Chinese Univ Hong Kong, Dept Comp Sci &amp; Engn, Hong Kong, Peoples R China; [Huang, Guangcun; Wang, Chiou-Miin; Liu, Joseph; Huang, Tim H.] Univ Texas Hlth Sci Ctr San Antonio, Dept Mol Med, San Antonio, TX 78245 USA; [Yu, Zhuo] Shanghai Univ Tradit Chinese Med, Dept Liver Dis, Shuguang Hosp, Shanghai 201203, Peoples R China; [Yu, Dae-Yeul] Korea Res Inst Biosci &amp; Biotechnol, Dis Model Res Lab, Genome Editing Res Ctr, Daejeon 305806, South Korea; [Chou, Jian-Liang; Huang, Wan-Hong; Chan, Michael W.] Natl Chung Cheng Univ, Dept Biomed Sci, Chiayi 62102, Taiwan; [Cheung, Yue-Sun; Lai, Paul B.] Chinese Univ Hong Kong, Dept Surg, Hong Kong, Peoples R China; [Tan, Patrick] Duke NUS Med Sch, Program Canc &amp; Stem Cell Biol, Singapore 169857, Singapore; [Tan, Patrick] Genome Inst Singapore, Singapore 138672, Singapore; [To, Ka-Fai] Chinese Univ Hong Kong, State Key Lab Translat Oncol, Hong Kong, Peoples R China</t>
  </si>
  <si>
    <t>Chinese University of Hong Kong; Chinese University of Hong Kong; Chinese University of Hong Kong; University of Texas System; University of Texas Health Science Center at San Antonio; Shanghai University of Traditional Chinese Medicine; Korea Research Institute of Bioscience &amp; Biotechnology (KRIBB); National Chung Cheng University; Chinese University of Hong Kong; National University of Singapore; Agency for Science Technology &amp; Research (A*STAR); A*STAR - Genome Institute of Singapore (GIS); Chinese University of Hong Kong</t>
  </si>
  <si>
    <t>To, KF (corresponding author), Chinese Univ Hong Kong, Dept Anat &amp; Cellular Pathol, Hong Kong, Peoples R China.;Cheng, AS (corresponding author), Chinese Univ Hong Kong, Sch Biomed Sci, Hong Kong, Peoples R China.;Yip, KY (corresponding author), Chinese Univ Hong Kong, Dept Comp Sci &amp; Engn, Hong Kong, Peoples R China.;To, KF (corresponding author), Chinese Univ Hong Kong, State Key Lab Translat Oncol, Hong Kong, Peoples R China.</t>
  </si>
  <si>
    <t>University Grants Committee through the Collaborative Research Fund [C4017-14G]; Focused Innovations Scheme-Scheme B from the Chinese University of Hong Kong (CUHK( [1907309]; Young Researcher Award, CUHK</t>
  </si>
  <si>
    <t>University Grants Committee through the Collaborative Research Fund; Focused Innovations Scheme-Scheme B from the Chinese University of Hong Kong (CUHK(; Young Researcher Award, CUHK</t>
  </si>
  <si>
    <t>This project is supported by the University Grants Committee through the Collaborative Research Fund C4017-14G and the Focused Innovations Scheme-Scheme B 1907309 from the Chinese University of Hong Kong (CUHK). Alfred Cheng is supported by funding from the Young Researcher Award, CUHK.</t>
  </si>
  <si>
    <t>10.1038/s41467-018-08245-z</t>
  </si>
  <si>
    <t>HH8VR</t>
  </si>
  <si>
    <t>WOS:000456012000007</t>
  </si>
  <si>
    <t>Xu, ZL; Su, H; Zhou, XQ; Wang, XQ; Wang, JK; Gao, C; Sun, XY; Dai, RC; Wang, ZP; Li, HZ; Zhang, ZM</t>
  </si>
  <si>
    <t>Xu, Zilong; Su, Hao; Zhou, Xiaoqin; Wang, Xiangqi; Wang, Junke; Gao, Chan; Sun, Xiaoyu; Dai, Rucheng; Wang, Zhongping; Li, Hongzhen; Zhang, Zengming</t>
  </si>
  <si>
    <t>Pressure- and Temperature-Dependent Structural Stability of LLM-105 Crystal</t>
  </si>
  <si>
    <t>ENERGETIC MATERIALS; RAMAN-SPECTROSCOPY; SINGLE-CRYSTALS; 2,6-DIAMINO-3,5-DINITROPYRAZINE-1-OXIDE; TEXTURE; STRAIN; DAAF</t>
  </si>
  <si>
    <t>The new energetic material 2,6-diamino-3,5-dinitropyrazine-1-oxide (C4H4N6O5, LLM-105) maintains its structural stability under high pressure below 30 GPa at room temperature or in the temperature range from 513 to 5 K with ambient pressure based on the high pressure or the cryogenic X-ray diffraction patterns. One structural phase transition occurs at about 30 GPa and is confirmed by the pressure-dependent Raman and infrared spectra. The structure of the LLM-105 crystal shows anisotropic compressibility under pressure in the order beta(b) &gt; beta(a) &gt; beta(c) and anisotropic thermal expansion in the order alpha(b) &gt; alpha(c) approximate to alpha(a) A Debye temperature of 1225 K is obtained for this crystal based on the lattice parameters at different pressures or temperatures. The experimental data reveal that compression is a better method to reduce the volume of the LLM-105 crystal compared with cooling. Raman and infrared spectra at extreme conditions suggest that the structural stability is contributed to the stronger inter- and intramolecular hydrogen-bonding networks within the LLM-105 crystal. The symmetric and asymmetric stretching modes of amino groups are coupled and it can improve the understanding of pressure evolution of the LLM-105 crystal. The bond constants of amino groups with different pressures and temperatures are also obtained.</t>
  </si>
  <si>
    <t>[Xu, Zilong; Su, Hao; Wang, Xiangqi; Wang, Junke; Gao, Chan; Sun, Xiaoyu] Univ Sci &amp; Technol China, Chinese Acad Sci, Sch Phys Sci, Dept Phys, Hefei 230026, Anhui, Peoples R China; [Dai, Rucheng; Wang, Zhongping; Zhang, Zengming] Univ Sci &amp; Technol China, Chinese Acad Sci, Sch Phys Sci, Ctr Phys Expt, Hefei 230026, Anhui, Peoples R China; [Zhang, Zengming] Univ Sci &amp; Technol China, Chinese Acad Sci, Sch Phys Sci, Key Lab Strongly Coupled Quantum Matter Phys, Hefei 230026, Anhui, Peoples R China; [Zhou, Xiaoqin; Li, Hongzhen] China Acad Engn Phys, Inst Chem Mat, Mianyang 621900, Sichuan, Peoples R China</t>
  </si>
  <si>
    <t>Chinese Academy of Sciences; University of Science &amp; Technology of China, CAS; Chinese Academy of Sciences; University of Science &amp; Technology of China, CAS; Chinese Academy of Sciences; University of Science &amp; Technology of China, CAS; Chinese Academy of Engineering Physics</t>
  </si>
  <si>
    <t>Dai, RC; Zhang, ZM (corresponding author), Univ Sci &amp; Technol China, Chinese Acad Sci, Sch Phys Sci, Ctr Phys Expt, Hefei 230026, Anhui, Peoples R China.;Zhang, ZM (corresponding author), Univ Sci &amp; Technol China, Chinese Acad Sci, Sch Phys Sci, Key Lab Strongly Coupled Quantum Matter Phys, Hefei 230026, Anhui, Peoples R China.;Li, HZ (corresponding author), China Acad Engn Phys, Inst Chem Mat, Mianyang 621900, Sichuan, Peoples R China.</t>
  </si>
  <si>
    <t>dairc@ustc.edu.cn; hongzhenli@caep.cn; zzm@ustc.edu.cn</t>
  </si>
  <si>
    <t>National Natural Science Foundation of China [11672273]; Science Challenge Project [TZ2016001]; Supercomputing Center of University of Science and Technology of China</t>
  </si>
  <si>
    <t>National Natural Science Foundation of China(National Natural Science Foundation of China (NSFC)); Science Challenge Project; Supercomputing Center of University of Science and Technology of China</t>
  </si>
  <si>
    <t>This work was supported by the National Natural Science Foundation of China (Grant No. 11672273), the Science Challenge Project (No. TZ2016001), beamline 15U1 of the Shanghai Synchrotron Radiation Facility (SSRF), infrared spectroscopy and micro spectroscopy at the National Synchrotron Radiation Laboratory (NSRL, Hefei) and the Supercomputing Center of University of Science and Technology of China.</t>
  </si>
  <si>
    <t>JAN 17</t>
  </si>
  <si>
    <t>10.1021/acs.jpcc.8b10837</t>
  </si>
  <si>
    <t>HI3LF</t>
  </si>
  <si>
    <t>WOS:000456350600014</t>
  </si>
  <si>
    <t>Acharya, N</t>
  </si>
  <si>
    <t>Acharya, Nayha</t>
  </si>
  <si>
    <t>NO MORE CHANCES FOR LOST CHANCES: A WEINRIBIAN RESPONSE TO WEINRIB</t>
  </si>
  <si>
    <t>MCGILL JOURNAL OF LAW AND HEALTH</t>
  </si>
  <si>
    <t>Sometimes, patients who were negligently misdiagnosed by their doctors are unable to receive any compensation through tort litigation. This has led to a perception of unfairness, igniting arguments in favour of what is known as the loss of chance doctrine. Under this doctrine, patients would be able to claim damages for the lost chances of recovery that they suffered due to negligent misdiagnoses. British and Canadian courts have rejected this doctrine in the medical negligence context on the basis that it does not cohere with tort law principles of injury compensation. Professor Ernest Weinrib, in Causal Uncertainty (2016) 36: 1 Oxford Journal of Legal Studies 1, has offered an interpretation of loss of chance that he claims would maintain the overall coherence of the tort liability system. In this article I offer a critique of his proposal on the basis that it does not achieve the coherence that it promises. My comments are rooted in the commitment to coherence that professor Weinrib has elucidated in his book The Idea of Private Law (Oxford: Oxford University Press, 2012) so my response to his proposal is, in my view, Weinribian in nature. Drawing on his insights, I comment on how consistency and coherence are related, and how and why these formal values matter to tort law theory and practice.</t>
  </si>
  <si>
    <t>[Acharya, Nayha] Dalhousie Univ, Schulich Sch Law, Halifax, NS, Canada</t>
  </si>
  <si>
    <t>Dalhousie University</t>
  </si>
  <si>
    <t>Acharya, N (corresponding author), Dalhousie Univ, Schulich Sch Law, Halifax, NS, Canada.</t>
  </si>
  <si>
    <t>Nova Scotia Health Research Foundation (Scotia Scholars Award); Canadian Institute of Health Research (Training Fellowship in Health Law, Ethics and Policy)</t>
  </si>
  <si>
    <t>Nova Scotia Health Research Foundation (Scotia Scholars Award); Canadian Institute of Health Research (Training Fellowship in Health Law, Ethics and Policy)(Canadian Institutes of Health Research (CIHR))</t>
  </si>
  <si>
    <t>LLB, LLM, PhD (Law); Schulich School of Law, Dalhousie University. I thank: Professor Vaughan Black for sharing his insights into the law of causation and loss of chance; Professor Ronalda Murphy for many discussions on the values of consistency and coherence; Professors Sheila Wildeman and Richard Devlin for their helpful comments; the anonymous reviewers and the editors at the McGill Journal of Law and Health. I also gratefully acknowledge the Nova Scotia Health Research Foundation (Scotia Scholars Award) and the Canadian Institute of Health Research (Training Fellowship in Health Law, Ethics and Policy) for financially supporting this work in its earlier stages. All commitments and shortcoming here are mine.</t>
  </si>
  <si>
    <t>MCGILL UNIV, FAC LAW</t>
  </si>
  <si>
    <t>MONTREAL</t>
  </si>
  <si>
    <t>CHANCELLOR DAY HALL, 3644 PEEL ST, MONTREAL, QC H3A 1W9, CANADA</t>
  </si>
  <si>
    <t>1920-4825</t>
  </si>
  <si>
    <t>MCGILL J LAW HEALTH</t>
  </si>
  <si>
    <t>McGill J. Law Health</t>
  </si>
  <si>
    <t>IT3MP</t>
  </si>
  <si>
    <t>WOS:000482757900002</t>
  </si>
  <si>
    <t>Anderson, A; Foster, M; Lambert, H; McAdam, J</t>
  </si>
  <si>
    <t>Anderson, Adrienne; Foster, Michelle; Lambert, Helene; McAdam, Jane</t>
  </si>
  <si>
    <t>IMMINENCE IN REFUGEE AND HUMAN RIGHTS LAW: A MISPLACED NOTION FOR INTERNATIONAL PROTECTION</t>
  </si>
  <si>
    <t>INTERNATIONAL &amp; COMPARATIVE LAW QUARTERLY</t>
  </si>
  <si>
    <t>complementary protection; human rights law; imminence; non-refoulement; refugee law; time</t>
  </si>
  <si>
    <t>This article is an output of a major research project examining the notion of imminence in the law on international protection. It is the first piece of scholarship to identify an emerging trend, namely the introduction of imminence-whether invoked implicitly or explicitly-as a potential barrier to refugee status or complementary protection. The article analyses the jurisprudence of relevant international bodies and courts and critiques the validity of this notion as a tool for assessing States' protection obligations.</t>
  </si>
  <si>
    <t>[Anderson, Adrienne; McAdam, Jane] UNSW Sydney, Fac Law, Andrew &amp; Renata Kaldor Ctr Int Refugee Law, Sydney, NSW, Australia; [Anderson, Adrienne] Univ Melbourne, Law Sch, Melbourne, Vic, Australia; [Foster, Michelle] Univ Melbourne, Peter McMullin Ctr Statelessness, Melbourne Law Sch, Melbourne, Vic, Australia; [Lambert, Helene] Univ Wollongong, Law, Wollongong, NSW, Australia; [Lambert, Helene] Univ Westminster, Int Law, London, England</t>
  </si>
  <si>
    <t>Anderson, A (corresponding author), UNSW Sydney, Fac Law, Andrew &amp; Renata Kaldor Ctr Int Refugee Law, Sydney, NSW, Australia.;Anderson, A (corresponding author), Univ Melbourne, Law Sch, Melbourne, Vic, Australia.</t>
  </si>
  <si>
    <t>Anderson, Adrienne/0000-0002-1269-5095; McAdam, Jane/0000-0002-3999-7843; Lambert, Helene/0000-0003-1456-6219</t>
  </si>
  <si>
    <t>Australian Research Council (ARC) [DP160100079]; ARC</t>
  </si>
  <si>
    <t>Australian Research Council (ARC)(Australian Research Council); ARC(Australian Research Council)</t>
  </si>
  <si>
    <t>BA, LLB (Hons) (Auckland), LLM (Mich); Research Associate, Andrew &amp; Renata Kaldor Centre for International Refugee Law, Faculty of Law, UNSW Sydney and PhD candidate, University of Melbourne Law School. This article was produced under the auspices of an Australian Research Council (ARC) Discovery Grant on 'The Concept of Imminence in the International Protection of Refugees', DP160100079. We acknowledge the generous support of the ARC, and thank Mimi Oorloff, JD student, Melbourne Law School, for excellent editorial assistance.</t>
  </si>
  <si>
    <t>0020-5893</t>
  </si>
  <si>
    <t>1471-6895</t>
  </si>
  <si>
    <t>INT COMP LAW Q</t>
  </si>
  <si>
    <t>Int. Comp. Law Quart.</t>
  </si>
  <si>
    <t>PII S0020589318000398</t>
  </si>
  <si>
    <t>10.1017/S0020589318000398</t>
  </si>
  <si>
    <t>HL1XH</t>
  </si>
  <si>
    <t>WOS:000458497300005</t>
  </si>
  <si>
    <t>Anderson, H</t>
  </si>
  <si>
    <t>Anderson, Helen</t>
  </si>
  <si>
    <t>DETERMINING SECONDARY LIABILITY: IN SEARCH OF LEGISLATIVE COHERENCE</t>
  </si>
  <si>
    <t>MELBOURNE UNIVERSITY LAW REVIEW</t>
  </si>
  <si>
    <t>DESIGNING EFFECTIVE REGULATION</t>
  </si>
  <si>
    <t>Australia is arguably in the midst of a legislative boom to improve recovery for creditors through the imposition of secondary liability. The aim is to overcome 'sharp corporate practice' by imposing liability on an outside party for the default of a primary debtor. However, recent reforms are noticeably dissimilar without apparent reason, and contribute to an incoherent approach to the law in this area. This paper makes the case for secondary liability laws which are consistent (as far as circumstances allow), intelligible, and informed by principle based on articulated policy objectives. This approach will produce benefits for both drafters and enforcers of the law.</t>
  </si>
  <si>
    <t>[Anderson, Helen] Univ Melbourne, Melbourne Law Sch, Melbourne, Vic, Australia</t>
  </si>
  <si>
    <t>Anderson, H (corresponding author), Univ Melbourne, Melbourne Law Sch, Melbourne, Vic, Australia.</t>
  </si>
  <si>
    <t>Australian Research Council [DP140102277]</t>
  </si>
  <si>
    <t>LLB (Hons) (Melb), Grad Dip Bus (Acc), LLM, PhD (Monash); Professor, Melbourne Law School, The University of Melbourne. The author thanks the Australian Research Council for its financial support: DP140102277, 'Phoenix Activity: Regulating Fraudulent Use of the Corporate Form'.</t>
  </si>
  <si>
    <t>MELBOURNE UNIV LAW REVIEW ASSOC</t>
  </si>
  <si>
    <t>VICTORIA</t>
  </si>
  <si>
    <t>UNIV MELBOURNE LAW SCH, VICTORIA, 3010, AUSTRALIA</t>
  </si>
  <si>
    <t>0025-8938</t>
  </si>
  <si>
    <t>1839-3810</t>
  </si>
  <si>
    <t>MELB UNIV LAW REV</t>
  </si>
  <si>
    <t>Melb. Univ. Law Rev.</t>
  </si>
  <si>
    <t>JX0BM</t>
  </si>
  <si>
    <t>WOS:000503409400001</t>
  </si>
  <si>
    <t>Boyer, Y; Fletcher, J; Sutherland, K; Spicer, DT</t>
  </si>
  <si>
    <t>Boyer, Yvonne; Fletcher, Jade; Sutherland, Katherine; Spicer, Drew T.</t>
  </si>
  <si>
    <t>FIRST NATIONS, METIS, AND INUIT PRISONERS' RIGHTS TO HEALTH WITHIN THE PRISON SYSTEM: MISSED OPPORTUNITIES</t>
  </si>
  <si>
    <t>[Boyer, Yvonne] Univ Ottawa, Ctr Hlth Law Policy &amp; Eth, Ottawa, ON, Canada; [Fletcher, Jade; Sutherland, Katherine] Law Soc British Columbia, Vancouver, BC, Canada</t>
  </si>
  <si>
    <t>Boyer, Y (corresponding author), Univ Ottawa, Ctr Hlth Law Policy &amp; Eth, Ottawa, ON, Canada.</t>
  </si>
  <si>
    <t>boyery@brandonu.ca</t>
  </si>
  <si>
    <t>Law Foundation of Ontario</t>
  </si>
  <si>
    <t>Yvonne Boyer, JD, LLM, LLD, Former Professor of Law and Associate Director, Centre for Health Law, Policy and Ethics, University of Ottawa. She was summoned to the Senate of Canada on March 25, 2018. The Honourable Yvonne Boyer is a representative for the province of Ontario. Jade Fletcher, BA, JD. Katherine Sutherland, BA, JD, member of the Law Society of British Columbia. Drew T Spicer, BA (Hons) candidate. The authors would like to acknowledge the financial contribution of the Access to Justice Fund of the Law Foundation of Ontario.</t>
  </si>
  <si>
    <t>JW0ZW</t>
  </si>
  <si>
    <t>WOS:000502789400002</t>
  </si>
  <si>
    <t>Brennan, G; O'Boyle, R; Cookson, J; Brewer, M</t>
  </si>
  <si>
    <t>Brennan, Gabriel; O'Boyle, Rory; Cookson, Jan; Brewer, Mark</t>
  </si>
  <si>
    <t>Paradigm shift: motivations for qualified legal professionals to undertake academic study</t>
  </si>
  <si>
    <t>LAW TEACHER</t>
  </si>
  <si>
    <t>Post-professional education; continued professional legal education; student motivations</t>
  </si>
  <si>
    <t>KNOWLEDGE CREATION; EDUCATION; PERSPECTIVES; DOCTORATES; NURSES</t>
  </si>
  <si>
    <t>This paper considers the factors that motivate qualified legal professionals to undertake a further legal academic programme of study. The paper analyses the findings of a recent study concerning a post-graduate research degree collaboration between Northumbria University (NU) and the Law Society of Ireland (LSI) whereby NU's longstanding LLM Advanced Legal Practice (LLM ALP) has been offered in Ireland through the LSI (LLM ALP (Ire)). The initial offering of the LLM ALP (Ire) has attracted a significant amount of interest from the profession, prompting the authors to consider (i) the factors that motivate 'timepoor' professionals to pursue the academic study of law at the post-professional level and (ii) the potential that such a course of study might have to inform and enrich the students' practice of law. The LLM ALP (Ire) has attracted a significant amount of more established practitioners, whereas those who generally enrol on the LLM ALP in England are at the early stages of their careers, either enrolled on the Legal Practice Course (LPC) or having only recently qualified. Hence this research is focused on a particular student profile of post-professionals with established careers in legal practice.</t>
  </si>
  <si>
    <t>[Brennan, Gabriel; O'Boyle, Rory] Law Soc Ireland, Educ Dept, Dublin D07 VY24 7, Ireland; [Cookson, Jan] Northumbria Univ, Sch Law, Newcastle Upon Tyne, England; [Brewer, Mark] Sheffield Hallam Univ, Sheffield Business Sch, Sheffield, S Yorkshire, England</t>
  </si>
  <si>
    <t>Northumbria University; Sheffield Hallam University</t>
  </si>
  <si>
    <t>O'Boyle, R (corresponding author), Law Soc Ireland, Educ Dept, Dublin D07 VY24 7, Ireland.</t>
  </si>
  <si>
    <t>r.oboyle@lawsociety.ie</t>
  </si>
  <si>
    <t>0306-9400</t>
  </si>
  <si>
    <t>1943-0353</t>
  </si>
  <si>
    <t>LAW TEACH</t>
  </si>
  <si>
    <t>IC0MD</t>
  </si>
  <si>
    <t>WOS:000470653300004</t>
  </si>
  <si>
    <t>Chen, Z</t>
  </si>
  <si>
    <t>Chen, Zhou</t>
  </si>
  <si>
    <t>ADDRESSING DILEMMAS OVER CLIMATE CHANGE LITIGATION IN CHINA</t>
  </si>
  <si>
    <t>While there have been many studies on public interest litigation in China, few have considered the effectiveness of public interest litigation as a matter of mitigating climate change. Recently, a well-known Chinese green non-governmental organisation - Friends of Nature - brought a claim against Gansu Subsidiary of the State Power Grid for its refusal to fully purchase clean electricity generated from renewable generators. The claim was dismissed. However, it opened up a door for climate change/energy litigation. This article explores the contributions and potential barriers confronted by environment courts in climate change litigation. Although environment courts have made laudable achievements towards climate justice, climate change litigation is handicapped by conceptual failure and exposes participants (litigants and judges) to unnecessary uncertainties that environment courts find difficult to resolve.</t>
  </si>
  <si>
    <t>[Chen, Zhou] Xiamen Univ, Sch Law, Xiamen, Fujian, Peoples R China</t>
  </si>
  <si>
    <t>Xiamen University</t>
  </si>
  <si>
    <t>Chen, Z (corresponding author), Xiamen Univ, Sch Law, Xiamen, Fujian, Peoples R China.</t>
  </si>
  <si>
    <t>China Scholarship Council (CSC), LLM of the Research Institute of Environmental Law (RIEL), Wuhan University; Kick-Starting Research Fund of the CSC</t>
  </si>
  <si>
    <t>Assistant Professor, School of Law, Xiamen University; PhD at Tilburg University funded by the China Scholarship Council (CSC), LLM of the Research Institute of Environmental Law (RIEL), Wuhan University. This article is funded by the Kick-Starting Research Fund of the CSC.</t>
  </si>
  <si>
    <t>IW6KM</t>
  </si>
  <si>
    <t>WOS:000485086500013</t>
  </si>
  <si>
    <t>de Abreu, EF; de Alencar, HM; Couto, LLM</t>
  </si>
  <si>
    <t>de Abreu, Elzenita Falcao; de Alencar, Heloisa Moulin; Moraes Couto, Leandra Lucia</t>
  </si>
  <si>
    <t>ACADEMIC EDUCATION AND INFLUENCE OF PROFESSORS IN THE PROFESSIONAL PROJECTS OF UNIVERSITY STUDENTS</t>
  </si>
  <si>
    <t>REVISTA PRAXIS EDUCACIONAL</t>
  </si>
  <si>
    <t>Portuguese</t>
  </si>
  <si>
    <t>Professor; Professional life project; University student</t>
  </si>
  <si>
    <t>We seek to know, from the perspective of university students, the positive and negative aspects of the academic education and to discuss, in the perspectives of morality and ethics, on the influence of professors in the professional projects of students. We interviewed, using the clinical method of Piaget, 51 university students from the health area of the Federal University of the Vale do Sao Francisco (UNIVASF), Petrolina campus. Overall, the participants identified more positive than negative aspects in academic education. In addition, we found that aspects related to professors, the relationship between students, the culture of the university, among others, are identified as both positive and negative. Most participants feel that professors influence their professional life projects in a positive way. However, although at a low frequency, it is important to consider the responses of participants who say that their projects are not influenced by the professors, and especially the one which indicates that professors influence in a negative way. We hope that the data found in our research instigate intervention works in the university context, providing reflections on the principles that should guide a teaching practice committed to ethics and social transformation.</t>
  </si>
  <si>
    <t>[de Abreu, Elzenita Falcao] Univ Fed Vale Sao Francisco Brasil, Petrolina, PE, Brazil; [de Alencar, Heloisa Moulin] Univ Fed Espirito Santo, Dept Psicol Social &amp; Desenvolvimento, Vitoria, ES, Brazil; [de Alencar, Heloisa Moulin] Univ Fed Espirito Santo, Programa Posgrad Psicol, Vitoria, ES, Brazil; [Moraes Couto, Leandra Lucia] Univ Fed Espirito Santo, Vitoria, ES, Brazil</t>
  </si>
  <si>
    <t>Universidade Federal do Espirito Santo; Universidade Federal do Espirito Santo; Universidade Federal do Espirito Santo</t>
  </si>
  <si>
    <t>de Abreu, EF (corresponding author), Univ Fed Vale Sao Francisco Brasil, Petrolina, PE, Brazil.</t>
  </si>
  <si>
    <t>zeyth@bol.com.br; heloisamoulin@gmail.com; leandrabj@hotmail.com</t>
  </si>
  <si>
    <t>UNIV ESTADUAL SUDOESTE BAHIA</t>
  </si>
  <si>
    <t>VITORIA CONQUISTA</t>
  </si>
  <si>
    <t>ESTRADA BEM QUERER KM 4, VITORIA CONQUISTA, BA 45083-900, BRAZIL</t>
  </si>
  <si>
    <t>1809-0249</t>
  </si>
  <si>
    <t>2178-2679</t>
  </si>
  <si>
    <t>REV PRAX EDUC</t>
  </si>
  <si>
    <t>Rev. Prax. Educ.</t>
  </si>
  <si>
    <t>JAN-MAR</t>
  </si>
  <si>
    <t>10.22481/praxis.v15i31.4681</t>
  </si>
  <si>
    <t>IS5TR</t>
  </si>
  <si>
    <t>WOS:000482215900024</t>
  </si>
  <si>
    <t>Gikay, AA</t>
  </si>
  <si>
    <t>Gikay, Asress Adimi</t>
  </si>
  <si>
    <t>European Consumer Law and Blockchain based Financial Services: A Functional Approach against the Rhetoric of Regulatory Uncertainty</t>
  </si>
  <si>
    <t>TILBURG LAW REVIEW-JOURNAL OF INTERNATIONAL AND EUROPEAN LAW</t>
  </si>
  <si>
    <t>Blockchain; Financial Services; Initial Coin Offering (ICO); Cryptocurrency Exchange Platform; Consumer Protection; Functional Approach; Technology Neutrality</t>
  </si>
  <si>
    <t>A decade after the financial market started experimenting with blockchain, the prevailing view of EU regulators has been that blockchain based transactions do not fit into the current regulatory regime. This was illustrated by the European Banking Authority's warning to the consumers issued in 2013 of the absence of specific legal regime designed to protect the consumers dealing with exchange platforms. A similar position was adopted by the European Securities and Market Authority in its 2017 investor alert indicating that ICO operating in unregulated spaces pose several risks the consumers should be aware of. By Examining developments until December 2018, this article argues that the extent of regulatory uncertainty is overstated and recommends a functional approach to regulation. It posits that although blockchain and cryptocurrencies are new technologies, the legal transactions they enable are not entirely novel and could largely be regulated under the existing legal rules without the need for sweeping reform.</t>
  </si>
  <si>
    <t>[Gikay, Asress Adimi] St Anna Sch Adv Studies, Pisa, Italy</t>
  </si>
  <si>
    <t>Scuola Superiore Sant'Anna</t>
  </si>
  <si>
    <t>Gikay, AA (corresponding author), St Anna Sch Adv Studies, Pisa, Italy.</t>
  </si>
  <si>
    <t>a.gikay@santannapisa.it</t>
  </si>
  <si>
    <t>Carlsberg Foundation; Dreyers Fond; Romanian Embassy</t>
  </si>
  <si>
    <t>Carlsberg Foundation(Carlsberg Foundation); Dreyers Fond; Romanian Embassy</t>
  </si>
  <si>
    <t>SJD, LLM, PhD Researcher, Sant'Anna School of Advanced Studies, Pisa (Italy),a.gikay@santannapisa.it.The article was presented at the International Conference `The Responsible Consumer in the Digital Age. International and Nordic Perspectives on Financial Consumer Protection,' organized in 2018 by the Centre for Enterprise Liability, Faculty of Law, University of Copenhagen, with the support of the Carlsberg Foundation, the Dreyers Fond, and the Romanian Embassy to the Kingdom of Denmark and Iceland. My heartfelt thanks to Prof. Giuseppe Martinico for organizing the Sant'Anna Legal Studies Workshop (2018) where the first version of this paper was presented and Dr. Nicole Lazzerini for her constructive comments and suggestions. Special thanks to Prof. Giovanni Comande' for his support and advises throughout the author's research in this field. All errors and opinions are of the author.</t>
  </si>
  <si>
    <t>UBIQUITY PRESS LTD</t>
  </si>
  <si>
    <t>Unit 3.22, East London Works, 65-75 Whitechapel Road, LONDON, E1 1DU, ENGLAND</t>
  </si>
  <si>
    <t>2211-0046</t>
  </si>
  <si>
    <t>2211-2596</t>
  </si>
  <si>
    <t>TILBURG LAW REV</t>
  </si>
  <si>
    <t>10.5334/tilr.135</t>
  </si>
  <si>
    <t>XZ8UB</t>
  </si>
  <si>
    <t>WOS:000737921400003</t>
  </si>
  <si>
    <t>THE HARMS CAUSED: A NARRATIVE OF INTERGENERATIONAL RESPONSIBILITY</t>
  </si>
  <si>
    <t>Born out of the Indian Residential Schools Settlement Agreement, the Independent Assessment Process is a program that provides monetary compensation to former students who suffered sexual and physical abuse at Indian Residential Schools. As Canada's Representative during hearings of the Independent Assessment Process, this author, a young lawyer at the time, bore witness to grizzly accounts of acts perpetrated against claimants that left her unsettled. Unsettled by what was heard, yes, but also in her observations that the process did not satisfy the needs of all claimants, nor did it engage with her own sense of responsibility as a non-Indigenous Canadian. The author weaves together her experiences and observations as Canada 's Representative to explore intergenerational justice in a Canadian setting, and what processes might offer a more complete approach in handling the Indian Residential Schools legacy. First, she canvasses the existing framework of dispute settlement in the context of Indian Residential Schools, namely criminal, tort, and alternative dispute resolution mechanisms. While pointing out the strengths these mechanisms do have to address some of the harms of Indian Residential Schools, she ultimately suggests their inherent legal limitations make them inadequate tools to provide redress to victims and engage society more broadly. The author goes on to define transitional justice, set out its established tenets and themes, and begins to map out a Canadian application of these principles to the Indian Residential Schools policy by drawing on examples from Australia, New Zealand, and the United States. These principles take shape as innovative instruments for advancing the goals of reconciliation and of Canadian society. They are not without their own flaws, however, as the author also points out, that may affect how Canadians-in particular, non-Indigenous Canadians-view their legitimacy. Lastly, the author analyzes prevailing views of societal responsibility to provide a normative underpinning for intergenerational justice in a Canadian context. She concludes by advocating Canadians move from a stance of guilt and blame toward one of a broad assumption of responsibility as they continue to grapple with the legacy of Indian Residential Schools.</t>
  </si>
  <si>
    <t>[Hough, Maegan] Dept Justice Canada, Toronto, ON, Canada</t>
  </si>
  <si>
    <t>Hough, M (corresponding author), Dept Justice Canada, Toronto, ON, Canada.</t>
  </si>
  <si>
    <t>Legal Counsel, Department of Justice Canada. The views and opinions expressed in this article are entirely those of the author and do not reflect those of the Department of Justice or the Government of Canada. This article is adapted from my LLM Thesis completed under the thoughtful guidance of Professors Jeremy Webber and Matt James at the University of Victoria and with financial support from the Social Sciences and Humanities Research Council of Canada. Additional thanks are due to Professor Hadley Friedland and Dr. Ron Stevenson for their constant encouragement, to Hannah Wyile for her keen eyes, and to the editors and anonymous peer reviewers for their insightful suggestions. All errors or omissions are my own.</t>
  </si>
  <si>
    <t>HR4XX</t>
  </si>
  <si>
    <t>WOS:000463151900008</t>
  </si>
  <si>
    <t>Okoli, CSA; Roberts, E</t>
  </si>
  <si>
    <t>Okoli, Chukwuma Samuel Adesina; Roberts, Emma</t>
  </si>
  <si>
    <t>The operation of Article 4 of Rome II Regulation in English and Irish courts</t>
  </si>
  <si>
    <t>JOURNAL OF PRIVATE INTERNATIONAL LAW</t>
  </si>
  <si>
    <t>Rome II; general rule; English and fish case law</t>
  </si>
  <si>
    <t>JUDICIAL COOPERATION; CIVIL</t>
  </si>
  <si>
    <t>This article makes a critical assessment of the operation of Article 4 of Rome II in English and fish courts measuring the extent to which judges of England and Wales (hereafter England) and Ireland are interpreting Article 4 of Rome II in accordance with what the EU legislator intended.</t>
  </si>
  <si>
    <t>[Okoli, Chukwuma Samuel Adesina] TMC Asser Inst, Private Int Law, The Hague, Netherlands; [Okoli, Chukwuma Samuel Adesina] Supreme Court Nigeria, Abuja, Fct, Nigeria; [Roberts, Emma] Univ Chester, Law, Chester, Cheshire, England</t>
  </si>
  <si>
    <t>University of Chester</t>
  </si>
  <si>
    <t>Okoli, CSA (corresponding author), TMC Asser Inst, Private Int Law, The Hague, Netherlands.;Okoli, CSA (corresponding author), Supreme Court Nigeria, Abuja, Fct, Nigeria.</t>
  </si>
  <si>
    <t>chukwuma.okoli@yahoo.com; emma.roberts@chester.ac.uk</t>
  </si>
  <si>
    <t>Luxembourg National Research Fund</t>
  </si>
  <si>
    <t>Luxembourg National Research Fund(Luxembourg National Research Fund)</t>
  </si>
  <si>
    <t>Postdoctoral Researcher in Private International Law at the TMC Asser Institute, Barrister and Solicitor of the Supreme Court of Nigeria, LLM with Distinction (International Commercial Law) University of Aberdeen, Ph.D (Private International Law) University of Luxembourg. The article is another development of my LLM dissertation at the University of Aberdeen, a development of a different aspect of which was published as CSA Okoli and GO Arishe, The Operation of the Escape Clauses in the Rome Convention, Rome I Regulation and Rome II Regulation (2012) 8 Journal of Private International Law 513. It is also a research output of my PhD programme at the University of Luxembourg, funded by the Luxembourg National Research Fund -https://www.fnr.lu/projects/the-significance-ofescape-clauses-and-their-associated-connecting-factors-in-european-union-applicable-law-rules-in-the-law-of-obligations-2/(accessed 19 September 2019). Aspects of the draft article were presented at the IX Spanish Private International Law Conference, University of Complutense, Madrid, Spain on 22nd of May 2015. Many thanks are due to the anonymous referees of this article for their valuable comments and criticisms. The authors also thank Dr. Eghosa Ekhator for his support on the initial draft of this article. The authors accept sole responsibility for the content of this article.</t>
  </si>
  <si>
    <t>1744-1048</t>
  </si>
  <si>
    <t>1757-8418</t>
  </si>
  <si>
    <t>J PRIV INT LAW</t>
  </si>
  <si>
    <t>J. Priv. Int. Law</t>
  </si>
  <si>
    <t>10.1080/17441048.2019.1684917</t>
  </si>
  <si>
    <t>KI1ZB</t>
  </si>
  <si>
    <t>WOS:000511145100006</t>
  </si>
  <si>
    <t>Pinto, DP; Araújo, EM; Filho, WFB</t>
  </si>
  <si>
    <t>Pinto, Dalton Pinheiro; Araujo, Evaldo Menezes; Batista Filho, Waldivino Farias</t>
  </si>
  <si>
    <t>Comparative analysis of cardiorespiratory capacity and lower limb potency in football and volleyball athletes</t>
  </si>
  <si>
    <t>REVISTA BRASILEIRA DE FUTSAL E FUTEBOL</t>
  </si>
  <si>
    <t>Football; Volleyball; VO2 max; Power of lower limbs (LIII)</t>
  </si>
  <si>
    <t>PERFORMANCE</t>
  </si>
  <si>
    <t>Objectives: To analyze and compare the power of lower limbs and cardiorespiratory capacity in football and volleyball athletes of the Sub-14 and Sub-15 categories during a competitive period in a club in the city of Ipatinga-MG, (besides verifying if the variables meet the standards proposed for health in the literature). Methods: The data collection was carried out in 4 days, during the training schedules of the sports modalities. On the first day, the questionnaire was filled in. On the second day, anthropometric assessments (weight and height), percentage of fat (% G), on the third day, the Test Counter Moviment Jump (CMJ) was administered to the MMII and on the fourth and last day the Yo-Yo Test was applied to evaluate the cardiorespiratory capacity. All the volunteers signed a consent form, followed by the signature of the parents or guardians. The present study was approved by the Ethics and Research Committee of the University Center of the East of Minas Gerais. Results: A statistically significant difference (p &lt;0.05) was found for the cardiorespiratory aptitude variable among football athletes for volleyball athletes [54.25 +/- 2.66 vs 49.42 +/- 3.77 *], different for the power of lower limbs where no statistically significant difference (p &lt;0.05) was found for the modalities [48.50 +/- 6.49 vs 51.93 +/- 5.37]. Conclusion: It was observed that there was a statistically significant difference among football athletes for volleyball in the variable cardiorespiratory capacity, however in the power of MMII the values found did not present significant difference between the modalities. Regarding the health standards proposed in the literature for the cardiorespiratory capacity variable, football athletes are classified as good, while volleyball athletes presented values considered to be bad. Analyzing the reference standards suggested by the literature, the power of LLM in both modalities obtained values considered normal for health. We suggest that more studies be carried out in order to compare different modalities, supporting more conclusively the results presented in this study.</t>
  </si>
  <si>
    <t>[Pinto, Dalton Pinheiro; Araujo, Evaldo Menezes; Batista Filho, Waldivino Farias] Ctr Univ Leste Minas Gerais UNILESTE MG, Minas Gerais, Brazil</t>
  </si>
  <si>
    <t>Centro Universitario do Leste de Minas Gerais (Unileste)</t>
  </si>
  <si>
    <t>Pinto, DP (corresponding author), Rua Jose Sabino,23v,Apt 4 1, BR-35170206 Coronel Fabriciano, MG, Brazil.</t>
  </si>
  <si>
    <t>dalton.pinheiro.ef@hotmail.com; evaldomenezesaraujo@gmail.com; waldivino_batista@hotmail.com</t>
  </si>
  <si>
    <t>INST BRASILEIRO PESQUISA &amp; ENSINO FISIOLOGIA EXERCICIO-IBPEFEX</t>
  </si>
  <si>
    <t>INST BRASILEIRO PESQUISA &amp; ENSINO FISIOLOGIA EXERCICIO-IBPEFEX, SAO PAULO, 00000, BRAZIL</t>
  </si>
  <si>
    <t>1984-4956</t>
  </si>
  <si>
    <t>REV BRAS FUTSAL FUTE</t>
  </si>
  <si>
    <t>Rev. Bras. Futsal Futeb.</t>
  </si>
  <si>
    <t>JAN-APR</t>
  </si>
  <si>
    <t>HK3XO</t>
  </si>
  <si>
    <t>WOS:000457852700007</t>
  </si>
  <si>
    <t>Sinnige, T; van Arnhem, N; Stokkermans, TCA; Eitelberg, G; Veldhuis, LLM</t>
  </si>
  <si>
    <t>Sinnige, Tomas; van Arnhem, Nando; Stokkermans, Tom C. A.; Eitelberg, Georg; Veldhuis, Leo L. M.</t>
  </si>
  <si>
    <t>Wingtip-Mounted Propellers: Aerodynamic Analysis of Interaction Effects and Comparison with Conventional Layout</t>
  </si>
  <si>
    <t>JOURNAL OF AIRCRAFT</t>
  </si>
  <si>
    <t>WAKE</t>
  </si>
  <si>
    <t>Wingtip-mounted propellers installed in a tractor configuration can decrease the wing induced drag by attenuating the wingtip vortex by the propeller slipstream. This paper presents an aerodynamic analysis of the propeller-wing interaction effects for the wingtip-mounted propeller configuration, including a comparison with a conventional configuration with the propeller mounted on the inboard part of the wing. Measurements were taken in a low-speed wind tunnel at Delft University of Technology, with two wing models and a low-speed propeller. Particle-image-velocimetry measurements downstream of a symmetric wing with integrated flap highlighted the swirl reductions characteristic of the wingtip-mounted propeller due to wingtip-vortex attenuation and swirl recovery. External-balance and surface-pressure measurements confirmed that this led to an induced-drag reduction with inboard-up propeller rotation. In a direct comparison with a conventional propeller-wing layout, the wingtip-mounted configuration showed a drag reduction of around 15% at a lift coefficient of 0.5 and a thrust coefficient of 0.12. This aerodynamic benefit increased upon increasing the wing lift coefficient and propeller thrust setting. An analysis of the wing performance showed that the aerodynamic benefit of the wingtip-mounted propeller was due to an increase of the wing's effective span-efficiency parameter.</t>
  </si>
  <si>
    <t>[Sinnige, Tomas; van Arnhem, Nando; Stokkermans, Tom C. A.; Eitelberg, Georg; Veldhuis, Leo L. M.] Delft Univ Technol, Flight Performance &amp; Prop Sect, Fac Aerosp Engn, Kluyverweg 1, NL-2629 HS Delft, Netherlands</t>
  </si>
  <si>
    <t>Delft University of Technology</t>
  </si>
  <si>
    <t>Sinnige, T (corresponding author), Delft Univ Technol, Flight Performance &amp; Prop Sect, Fac Aerosp Engn, Kluyverweg 1, NL-2629 HS Delft, Netherlands.</t>
  </si>
  <si>
    <t>Sinnige, Tomas/AAR-6743-2020</t>
  </si>
  <si>
    <t>Sinnige, Tomas/0000-0002-8225-8114; Stokkermans, Tom/0000-0002-2144-110X</t>
  </si>
  <si>
    <t>European Union's Clean Sky 2 Large Passenger Aircraft program [CS2-LPA-GAM-2014-2015-01]</t>
  </si>
  <si>
    <t>European Union's Clean Sky 2 Large Passenger Aircraft program</t>
  </si>
  <si>
    <t>This work was partially funded by the European Union's Clean Sky 2 Large Passenger Aircraft program under grant agreement number CS2-LPA-GAM-2014-2015-01. The authors would like to thank Stefan Bernardy and Leo Molenwijk for their technical assistance in the preparation and execution of the test campaign, Daniele Ragni for his help during the acquisition and processing of the particle-image-velocimetry data, and Luuk Koomen for designing the modular cambered wing model.</t>
  </si>
  <si>
    <t>AMER INST AERONAUTICS ASTRONAUTICS</t>
  </si>
  <si>
    <t>RESTON</t>
  </si>
  <si>
    <t>1801 ALEXANDER BELL DRIVE, STE 500, RESTON, VA 22091-4344 USA</t>
  </si>
  <si>
    <t>0021-8669</t>
  </si>
  <si>
    <t>1533-3868</t>
  </si>
  <si>
    <t>J AIRCRAFT</t>
  </si>
  <si>
    <t>J. Aircr.</t>
  </si>
  <si>
    <t>10.2514/1.C034978</t>
  </si>
  <si>
    <t>Engineering, Aerospace</t>
  </si>
  <si>
    <t>HM6YH</t>
  </si>
  <si>
    <t>WOS:000459623700024</t>
  </si>
  <si>
    <t>Sorte, CJB; Bernatchez, G; Mislan, KAS; Pandori, LLM; Silbiger, NJ; Wallingford, PD</t>
  </si>
  <si>
    <t>Sorte, Cascade J. B.; Bernatchez, Genevieve; Mislan, K. A. S.; Pandori, Lauren L. M.; Silbiger, Nyssa J.; Wallingford, Piper D.</t>
  </si>
  <si>
    <t>Thermal tolerance limits as indicators of current and future intertidal zonation patterns in a diverse mussel guild</t>
  </si>
  <si>
    <t>MARINE BIOLOGY</t>
  </si>
  <si>
    <t>PERNA-CANALICULUS GMELIN; CLIMATE-CHANGE; NEW-ZEALAND; DESICCATION STRESS; ACCLIMATION CAPACITY; GASTROPOD TOLERANCE; ECOSYSTEM ENGINEERS; VERTICAL ZONATION; GENETIC DIVERSITY; SEASONAL-CHANGES</t>
  </si>
  <si>
    <t>Climate change has driven shifts in species distributions along latitudinal and elevational gradients, and such shifts are likely to continue as warming accelerates. However, little is known about the response of strongly interacting species, including whether multiple, interacting species are likely to shift concordantly or whether climate change will promote community disassembly. In rocky shore ecosystems, mussels are dominant foundation species that provide habitat and increase diversity of associated species. The New Zealand mussel guild is uniquely diverse as four species can be found within 1m(2) of shoreline. We integrated comparative ecophysiology and population ecology to evaluate whether air temperature sets elevational range limits and to quantify mussels' warming tolerances. Air temperature appears to set upper intertidal limits across mid-intertidal species, based on findings that (1) lethal thermal limits coincided with temperatures experienced at upper tide-height limits, (2) species with higher thermal tolerances occurred higher on shore, and (3) lethal tolerances were highest at our warmest site. Based on predicted body temperatures in year 2100, mid-elevation habitat-forming mussels are likely to experience an increase in the frequency of thermal events causing 50% mortality at their upper elevation limit. Such events are predicted to occur 3.0-4.4 times more frequently in 2100 than present at a warmer site and to increase from 0 to 0.4/0.1days per year for Perna/Aulacomya, but not Mytilus, at a cooler site. These results indicate that the mussel species' ranges are all likely to contract at warmer sites in the future, decreasing habitat for associated organisms.</t>
  </si>
  <si>
    <t>[Sorte, Cascade J. B.; Bernatchez, Genevieve; Pandori, Lauren L. M.; Silbiger, Nyssa J.; Wallingford, Piper D.] Univ Calif Irvine, Dept Ecol &amp; Evolutionary Biol, Irvine, CA 92697 USA; [Mislan, K. A. S.] Univ Washington, Sch Oceanog, Seattle, WA 98105 USA; [Silbiger, Nyssa J.] Calif State Univ Northridge, Dept Biol, Northridge, CA 91330 USA</t>
  </si>
  <si>
    <t>University of California System; University of California Irvine; University of Washington; University of Washington Seattle; California State University System; California State University Northridge</t>
  </si>
  <si>
    <t>Sorte, CJB (corresponding author), Univ Calif Irvine, Dept Ecol &amp; Evolutionary Biol, Irvine, CA 92697 USA.</t>
  </si>
  <si>
    <t>csorte@uci.edu</t>
  </si>
  <si>
    <t>Wallingford, Piper/ABI-7767-2020</t>
  </si>
  <si>
    <t>Wallingford, Piper/0000-0003-2385-9590; Smith, Allison/0000-0002-0761-0480; Sorte, Cascade/0000-0003-0952-951X</t>
  </si>
  <si>
    <t>University of California, Irvine; Erskine Fellowship from University of Canterbury; UCI GAANN travel grant</t>
  </si>
  <si>
    <t>University of California, Irvine(University of California System); Erskine Fellowship from University of Canterbury; UCI GAANN travel grant</t>
  </si>
  <si>
    <t>This work was supported by start-up funds from the University of California, Irvine to CS, an Erskine Fellowship from University of Canterbury to M. Bracken, and a UCI GAANN travel grant to LP.</t>
  </si>
  <si>
    <t>0025-3162</t>
  </si>
  <si>
    <t>1432-1793</t>
  </si>
  <si>
    <t>MAR BIOL</t>
  </si>
  <si>
    <t>Mar. Biol.</t>
  </si>
  <si>
    <t>10.1007/s00227-018-3452-6</t>
  </si>
  <si>
    <t>HD7JP</t>
  </si>
  <si>
    <t>WOS:000452728500002</t>
  </si>
  <si>
    <t>Sunarti, T</t>
  </si>
  <si>
    <t>IOP</t>
  </si>
  <si>
    <t>Sunarti, T.</t>
  </si>
  <si>
    <t>NATIONAL PHYSICS SEMINAR (SNF) 2018</t>
  </si>
  <si>
    <t>Journal of Physics Conference Series</t>
  </si>
  <si>
    <t>National Physics Seminar on Earthing Physics and Learning Physics in Building Global Wisdom (SNF)</t>
  </si>
  <si>
    <t>AUG 11, 2018</t>
  </si>
  <si>
    <t>Univ Negeri, Fac Math &amp; Nat Sci, Dept Phys, Surabaya, INDONESIA</t>
  </si>
  <si>
    <t>Univ Negeri, Fac Math &amp; Nat Sci, Dept Phys</t>
  </si>
  <si>
    <t>The professionalism development of physics teacher candidates has been emphasized in their scientific literacy skills; so Skills of Scientific Literacy Learning Plan (SSLLP) is often ignored. Therefore, the purpose of this study was to analyze the effectiveness of the Literacy Learning Model (LLM) to improve the SSLLP for physics teacher candidates. This research used one group pre-test and post-test design toward 120 physics teacher candidates of Surabaya State University and Lambung Mangkurat University in academic year 2016/ 2017. The SSLLP was measured by using the Literacy Learning Plan assessment sheet and interviews. The data analyses used descriptive qualitative, n-gain, and Paired t-test / Wilcoxon test. The application of LLM in physics learning showed a significant increase in SSLLP at alpha = 5%; where the SSLLP was originally in the D / C criteria then became A and the mean n-gain value was in high criteria for each group. Thus, LLM is effective to be used to improve SSLLP for physics teacher candidates.</t>
  </si>
  <si>
    <t>[Sunarti, T.] Univ Negeri Surabaya, Fac Math &amp; Nat Sci, Dept Phys, Kampus Unesa Ketintang, Surabaya 60231, Indonesia</t>
  </si>
  <si>
    <t>Universitas Negeri Surabaya</t>
  </si>
  <si>
    <t>Sunarti, T (corresponding author), Univ Negeri Surabaya, Fac Math &amp; Nat Sci, Dept Phys, Kampus Unesa Ketintang, Surabaya 60231, Indonesia.</t>
  </si>
  <si>
    <t>titinsunarti@unesa.ac.id</t>
  </si>
  <si>
    <t>Ministry of Research, Technology and Higher Education [0001.82/UN38.11-P/LT/2017]</t>
  </si>
  <si>
    <t>Ministry of Research, Technology and Higher Education(Ministry of Research and Technology of the Republic of Indonesia (RISTEK))</t>
  </si>
  <si>
    <t>The author's gratitude goes to the Ministry of Research, Technology and Higher Education who has funded the Research (SK Number: 0001.82/UN38.11-P/LT/2017 dated 06 December 2016). Likewise, the author's gratitude goes to Surabaya State University and Lambung Mangkurat University that have provided research opportunities.</t>
  </si>
  <si>
    <t>IOP PUBLISHING LTD</t>
  </si>
  <si>
    <t>DIRAC HOUSE, TEMPLE BACK, BRISTOL BS1 6BE, ENGLAND</t>
  </si>
  <si>
    <t>1742-6588</t>
  </si>
  <si>
    <t>1742-6596</t>
  </si>
  <si>
    <t>J PHYS CONF SER</t>
  </si>
  <si>
    <t>Education, Scientific Disciplines; Physics, Multidisciplinary</t>
  </si>
  <si>
    <t>Education &amp; Educational Research; Physics</t>
  </si>
  <si>
    <t>BM9LY</t>
  </si>
  <si>
    <t>WOS:000471118800004</t>
  </si>
  <si>
    <t>Vehovsky, K; Stupka, R; Zadinová, K; Sprysl, M; Okrouhlá, M; Lebedová, N; Mlyneková, E; Cítek, J</t>
  </si>
  <si>
    <t>Vehovsky, Karel; Stupka, Roman; Zadinova, Katerina; Sprysl, Michal; Okrouhla, Monika; Lebedova, Nicole; Mlynekova, Eva; Citek, Jaroslav</t>
  </si>
  <si>
    <t>Effect of dietary rapeseed and soybean oil on growth performance, carcass traits, and fatty acid composition of pigs</t>
  </si>
  <si>
    <t>REVISTA BRASILEIRA DE ZOOTECNIA-BRAZILIAN JOURNAL OF ANIMAL SCIENCE</t>
  </si>
  <si>
    <t>fattening; feeding duration; longissimus lumborum muscle; MUFA; PUFA</t>
  </si>
  <si>
    <t>MEAT QUALITY; LINSEED; SUPPLEMENTATION; BACKFAT; PROFILE</t>
  </si>
  <si>
    <t>The objectives of this investigation were to examine the impact of the dietary inclusion of rapeseed and soybean oil and the length of their feeding before slaughter on growth performance, quantitative and qualitative carcass traits, and fatty acid composition in longissimus lumborum muscle (LLM) of pigs. The experiment was conducted with 72 pigs (36 barrows and 36 gilts), divided into six oil-containing diet groups and one control group. Diets of the experimental groups were supplemented with 4% rapeseed (ROD) or soybean (SOD) oil for six, four, and two weeks before slaughter. Diet of the control group had no oil supplement. Animals were fed ad libitum and slaughtered at average body weight of 115.8 kg. The oil supplement and feeding duration had a significant effect on fatty acid composition in intramuscular fat of LLM. The diet with both rapeseed and soybean oil significantly increased the content of linoleic acid and alpha-linolenic acid (ALA) in intramuscular fat. Both types of oil significantly increased total PUFA, n-3 PUFA, and the PUFA:SFA ratio. The significant decrease of n-6:n-3 PUFA ratio was observed in groups fed rapeseed oil for four and six weeks. Dietary addition of oils did not have any significant effect on average daily gain, carcass traits, and physical characteristics of LLM of pigs. However, daily feed intake and feed conversion ratio were reduced in the groups with soybean oil supplement. The results show that rapeseed oil supplementation (two weeks before slaughter) has positive effect on n-6:n-3 PUFA ratio and increase of ALA without negative effect on meat and fat quality.</t>
  </si>
  <si>
    <t>[Vehovsky, Karel; Stupka, Roman; Zadinova, Katerina; Sprysl, Michal; Okrouhla, Monika; Lebedova, Nicole; Citek, Jaroslav] Czech Univ Life Sci Prague, Fac Agrobiol Food &amp; Nat Resources, Dept Anim Sci, Prague, Czech Republic; [Mlynekova, Eva] Slovak Univ Agr, Fac Agrobiol &amp; Food Resources, Dept Anim Husb, Nitra, Slovakia</t>
  </si>
  <si>
    <t>Czech University of Life Sciences Prague; Slovak University of Agriculture Nitra</t>
  </si>
  <si>
    <t>Zadinová, K (corresponding author), Czech Univ Life Sci Prague, Fac Agrobiol Food &amp; Nat Resources, Dept Anim Sci, Prague, Czech Republic.</t>
  </si>
  <si>
    <t>zadinova@af.czu.cz</t>
  </si>
  <si>
    <t>S grant of the Ministry of Education, Youth and Sports of the Czech Republic; MSM [6046070901]; Ministry of Agriculture of the Czech Republic [QJ1510191]; Internal Grant Agency of the Czech University of Life Sciences Prague [20172003, 20172005]</t>
  </si>
  <si>
    <t>S grant of the Ministry of Education, Youth and Sports of the Czech Republic; MSM(Ministry of Education, Youth &amp; Sports - Czech Republic); Ministry of Agriculture of the Czech Republic(Ministry of Agriculture, Czech Republic); Internal Grant Agency of the Czech University of Life Sciences Prague</t>
  </si>
  <si>
    <t>This research was supported by an S grant of the Ministry of Education, Youth and Sports of the Czech Republic (project no. MSM 6046070901), by the Ministry of Agriculture of the Czech Republic (project no. QJ1510191), and by the Internal Grant Agency of the Czech University of Life Sciences Prague (CIGA; project no. 20172003 and 20172005).</t>
  </si>
  <si>
    <t>REVISTA BRASILEIRA ZOOTECNIA BRAZILIAN JOURNAL ANIMAL SCI</t>
  </si>
  <si>
    <t>VICOSA-MG</t>
  </si>
  <si>
    <t>UNIVERSIDADE FEDERAL VICOSA,, 36571-000 VICOSA-MG, BRAZIL</t>
  </si>
  <si>
    <t>1806-9290</t>
  </si>
  <si>
    <t>REV BRAS ZOOTECN</t>
  </si>
  <si>
    <t>Rev. Bras. Zootecn.</t>
  </si>
  <si>
    <t>e20180131</t>
  </si>
  <si>
    <t>10.1590/rbz4820180131</t>
  </si>
  <si>
    <t>HU2BC</t>
  </si>
  <si>
    <t>WOS:000465074800002</t>
  </si>
  <si>
    <t>Zilidou, VI; Ziagkas, E; Konstantinidis, EI; Bamidis, PD; Douka, S; Tsiatsos, T</t>
  </si>
  <si>
    <t>Auer, ME; Tsiatsos, T</t>
  </si>
  <si>
    <t>Zilidou, Vasiliki, I; Ziagkas, Efthymios; Konstantinidis, Evdokimos, I; Bamidis, Panagiotis D.; Douka, Styliani; Tsiatsos, Thrasyvoulos</t>
  </si>
  <si>
    <t>Integrating Technology into Traditional Dance for the Elderly</t>
  </si>
  <si>
    <t>CHALLENGES OF THE DIGITAL TRANSFORMATION IN EDUCATION, ICL2018, VOL 2</t>
  </si>
  <si>
    <t>Advances in Intelligent Systems and Computing</t>
  </si>
  <si>
    <t>21st International Conference on Interactive Collaborative Learning (ICL) / 47th IGIP International Conference on Engineering Pedagogy - Teaching and Learning in a Digital World</t>
  </si>
  <si>
    <t>SEP 25-28, 2018</t>
  </si>
  <si>
    <t>GREECE</t>
  </si>
  <si>
    <t>IGIP,Aristotle Univ Thessaloniki</t>
  </si>
  <si>
    <t>Traditional dance; Technology; Quality of life; Elderly; Physical activity</t>
  </si>
  <si>
    <t>QUALITY-OF-LIFE; HEALTH; WHOQOL</t>
  </si>
  <si>
    <t>The increased life expectancy is associated with an increase in multiple chronic conditions, such as functional disability, need for help, reduced mobility, depression, isolation and loneliness. It is considered necessary to give particular attention in order to observe changes to services and facilities aimed at the elderly, to design and to implement appropriate health programs initially on prevention and continuously on treatment to achieve a satisfactory level of quality of life and a significant improvement and facilitation in their daily life. The traditional dance which is a health program that is very close to the interests of the elderly, could promote their health and contribute to the maximum delay of aging. The aim of this work was to investigate whether the elderly can participate in traditional dance programs using new technologies, effectively promoting active aging and pursuing an autonomous and independent living. Fifty-one (51) elderly women participated in this study and they were divided into two groups, the first group was the traditional classical dance intervention [26 elderly, age 66.23 (SD = 4.46), years of education 7.38 (SD = 2.15)] and the second was the dance intervention group using the technology [25 elderly, age 67.12 (SD = 4.43), years of education 11.08 (SD = 4.24)]. The interventions lasted 24 weeks with a frequency of 2 times per week in sessions of 75-min at a Day Care Centers. Both groups improved their aerobic capacity, but the Dance group also improved their sociability, preventing falls, while reducing their depression. The technology exists in the lives of most people but for elderly the last years become an attempt to approach this situation through health or education programs to familiarize them with technology and leaving social exclusion.</t>
  </si>
  <si>
    <t>[Zilidou, Vasiliki, I; Ziagkas, Efthymios; Douka, Styliani] Aristotle Univ Thessaloniki, Sch Phys Educ &amp; Sport Sci, Thessaloniki, Greece; [Zilidou, Vasiliki, I; Konstantinidis, Evdokimos, I; Bamidis, Panagiotis D.] Aristotle Univ Thessaloniki, Med Sch, Lab Med Phys, Thessaloniki, Greece; [Tsiatsos, Thrasyvoulos] Aristotle Univ Thessaloniki, Sch Informat, Thessaloniki, Greece</t>
  </si>
  <si>
    <t>Aristotle University of Thessaloniki; Aristotle University of Thessaloniki; Aristotle University of Thessaloniki</t>
  </si>
  <si>
    <t>Zilidou, VI (corresponding author), Aristotle Univ Thessaloniki, Sch Phys Educ &amp; Sport Sci, Thessaloniki, Greece.</t>
  </si>
  <si>
    <t>vickyzilidou@gmail.com; e.ziagkas@phed.auth.gr; evdokimosk@gmail.com; bamidis@med.auth.gr; sdouka@phed.auth.gr; tsiatsos@csd.auth.gr</t>
  </si>
  <si>
    <t>Zilidou, Vasiliki/AGY-4557-2022; Konstantinidis, Evdokimos/F-2498-2019</t>
  </si>
  <si>
    <t>UNCAP Horizon 2020 project [643555]; business exploitation scheme of the ICT-PSP; H2020 Societal Challenges Programme [643555] Funding Source: H2020 Societal Challenges Programme</t>
  </si>
  <si>
    <t>UNCAP Horizon 2020 project; business exploitation scheme of the ICT-PSP; H2020 Societal Challenges Programme(Horizon 2020European Union (EU)H2020 Societal Challenges Programme)</t>
  </si>
  <si>
    <t>This work was supported in part by the UNCAP Horizon 2020 project (grant number 643555), as well as, the business exploitation scheme of the ICT-PSP funded project LLM, namely, LLM Care which is a self-funded initiative at the Aristotle University of Thessaloniki (www.llmcare.gr).</t>
  </si>
  <si>
    <t>2194-5357</t>
  </si>
  <si>
    <t>2194-5365</t>
  </si>
  <si>
    <t>978-3-030-11935-5; 978-3-030-11934-8</t>
  </si>
  <si>
    <t>ADV INTELL SYST COMP</t>
  </si>
  <si>
    <t>10.1007/978-3-030-11935-5_28</t>
  </si>
  <si>
    <t>Computer Science, Artificial Intelligence; Computer Science, Software Engineering; Computer Science, Theory &amp; Methods</t>
  </si>
  <si>
    <t>BS8HL</t>
  </si>
  <si>
    <t>WOS:000772239600028</t>
  </si>
  <si>
    <t>Mohamed, AAR; Ahmed, MM; Gomaa, M; Ebraheim, LLM</t>
  </si>
  <si>
    <t>Mohamed, Amany Abdel-Rahman; Ahmed, Mona M.; Gomaa, Mohamed; Ebraheim, Lamiaa L. M.</t>
  </si>
  <si>
    <t>Bone health consequence of adjuvant Anastrozole in monotherapy or associated with biochanin-A in ovariectomized rat model</t>
  </si>
  <si>
    <t>Anastrozole; BALP; Biochanin; Morphometric analysis; Osteoporosis; X-ray</t>
  </si>
  <si>
    <t>BREAST-CANCER; AROMATASE INHIBITORS; POSTMENOPAUSAL WOMEN; BIOCHEMICAL MARKERS; ESTROGEN; PHOSPHATASE; EXPRESSION; DENSITY; MICE; DIFFERENTIATION</t>
  </si>
  <si>
    <t>Aims: We investigate the consequence of adjuvant anastrozole (ANA) in monotherapy or associated with biochanin A (BCA) in ovariectomized (OVX) rat model and the degree of developing bone loss in both conditions. Materials and methods: Sixty female rats were assigned to six groups. Five groups were bilaterally OVX, and one was sham operated. The five groups were; ANA group (0.5 mg/kg b.wt orally), BCA (5 mg/kg b.wt intraperitoneally (I/P), co-treated group (BCA + ANA), two control groups receiving even distilled water orally or DMSO I/P for twenty weeks. Bone turnover biomarkers BALP, OC, PTH, TRAP and TNF alpha were determined in serum. Bone mineral content, histological and morphometric measurements on rat femurs were performed. BMD by X-ray technique on tibias of rats and CT analysis of lumbar vertebrae of all treated and sham groups were applied. Key findings: There was marked elevation in bone turnover biomarkers with high serum Ca and P content in the ANA-treated rats. Moreover marked elevation of TNF alpha, PTH, TC and TG, ANA caused severe changes in the BMD detected by X-ray in tibial bones and CT analysis of lumbar vertebrae of OVX rats. While I/P injection of BCA ameliorated the adverse bone health decrements caused by ANA. Significance: The study highlights the importance of the BCA supplementation in accordance with the ANA therapy in case of ovariectomized rat model of osteoporosis which is clinically presented in Postmenopausal women with breast cancer during which considerable risk of developing osteoporosis is predicted during treatment.</t>
  </si>
  <si>
    <t>[Mohamed, Amany Abdel-Rahman; Ahmed, Mona M.] Zagazig Univ, Dept Forens Med &amp; Toxicol, Zagazig, Egypt; [Gomaa, Mohamed] Zagazig Univ, Dept Surg, Zagazig, Egypt; [Ebraheim, Lamiaa L. M.] Zagazig Univ, Dept Cytol &amp; Histol, Zagazig 44511, Egypt</t>
  </si>
  <si>
    <t>Egyptian Knowledge Bank (EKB); Zagazig University; Egyptian Knowledge Bank (EKB); Zagazig University; Egyptian Knowledge Bank (EKB); Zagazig University</t>
  </si>
  <si>
    <t>Mohamed, AAR (corresponding author), Zagazig Univ, Dept Forens Med &amp; Toxicol, Fac Vet Med, Zagazig, Egypt.</t>
  </si>
  <si>
    <t>aabdaziz@zu.edu.eg</t>
  </si>
  <si>
    <t>Mohamed, Amany Abdelrahman/AAC-9778-2020; Ebraheim, Lamiaa/AIE-9114-2022; Ahmed, Mona/HNJ-4285-2023</t>
  </si>
  <si>
    <t>Mohamed, Amany Abdelrahman/0000-0003-0061-2675;</t>
  </si>
  <si>
    <t>Faculty of Veterinary Medicine, Zagazig University, Egypt</t>
  </si>
  <si>
    <t>Faculty of Veterinary Medicine, Zagazig University, Egypt(Zagazig University)</t>
  </si>
  <si>
    <t>This work was supported by the Faculty of Veterinary Medicine, Zagazig University, Egypt. The authors would like to thank Dr. Walid Refaii for his contribution to the surgical procedures.</t>
  </si>
  <si>
    <t>10.1016/j.lfs.2018.09.059</t>
  </si>
  <si>
    <t>GX3TI</t>
  </si>
  <si>
    <t>WOS:000447649400018</t>
  </si>
  <si>
    <t>te Velthuis, AJW; Long, JC; Bauer, DLV; Fan, RLY; Yen, HL; Sharps, J; Siegers, JY; Killip, MJ; French, H; Oliva-Martín, MJ; Randall, RE; de Wit, E; van Riel, D; Poon, LLM; Fodor, E</t>
  </si>
  <si>
    <t>te Velthuis, Aartjan J. W.; Long, Joshua C.; Bauer, David L., V; Fan, Rebecca L. Y.; Yen, Hui-Ling; Sharps, Jane; Siegers, Jurre Y.; Killip, Marian J.; French, Hollie; Oliva-Martin, Maria Jose; Randall, Richard E.; de Wit, Emmie; van Riel, Debby; Poon, Leo L. M.; Fodor, Ervin</t>
  </si>
  <si>
    <t>Mini viral RNAs act as innate immune agonists during influenza virus infection</t>
  </si>
  <si>
    <t>NATURE MICROBIOLOGY</t>
  </si>
  <si>
    <t>RIG-I; A VIRUS; CELL-DEATH; POLYMERASE; ACTIVATION; PROTEIN; IDENTIFIERS; RECOGNITION; INITIATION; VIRULENCE</t>
  </si>
  <si>
    <t>The molecular processes that determine the outcome of influenza virus infection in humans are multifactorial and involve a complex interplay between host, viral and bacterial factors'. However, it is generally accepted that a strong innate immune dysregulation known as 'cytokine storm' contributes to the pathology of infections with the 1918 H1N1 pandemic or the highly pathogenic avian influenza viruses of the H5N1 subtypes(2-4). The RNA sensor retinoic acid-inducible gene I (RIG-I) plays an important role in sensing viral infection and initiating a signalling cascade that leads to interferon expressions. Here, we show that short aberrant RNAs (mini viral RNAs (mvRNAs)), produced by the viral RNA polymerase during the replication of the viral RNA genome, bind to and activate RIG-I and lead to the expression of interferon-beta. We find that erroneous polymerase activity, dysregulation of viral RNA replication or the presence of avian-specific amino acids underlie mvRNA generation and cytokine expression in mammalian cells. By deep sequencing RNA samples from the lungs of ferrets infected with influenza viruses, we show that mvRNAs are generated during infection in vivo. We propose that mvRNAs act as the main agonists of RIG-I during influenza virus infection.</t>
  </si>
  <si>
    <t>[te Velthuis, Aartjan J. W.; Long, Joshua C.; Bauer, David L., V; Sharps, Jane; Killip, Marian J.; Oliva-Martin, Maria Jose; Fodor, Ervin] Univ Oxford, Sir William Dunn Sch Pathol, Oxford, England; [te Velthuis, Aartjan J. W.; French, Hollie] Univ Cambridge, Addenbrookes Hosp, Dept Pathol, Div Virol, Cambridge, England; [Fan, Rebecca L. Y.; Yen, Hui-Ling; Poon, Leo L. M.] Univ Hong Kong, Sch Publ Hlth, Pokfulam, Hong Kong, Peoples R China; [Siegers, Jurre Y.; van Riel, Debby] Erasmus MC, Dept Virosci, Rotterdam, Netherlands; [Killip, Marian J.; Randall, Richard E.] Univ St Andrews, Biomed Sci Res Complex, St Andrews, Fife, Scotland; [de Wit, Emmie] NIAID, Lab Virol, Div Intramural Res, NIH, Hamilton, MT USA</t>
  </si>
  <si>
    <t>te Velthuis, AJW; Fodor, E (corresponding author), Univ Oxford, Sir William Dunn Sch Pathol, Oxford, England.;te Velthuis, AJW (corresponding author), Univ Cambridge, Addenbrookes Hosp, Dept Pathol, Div Virol, Cambridge, England.</t>
  </si>
  <si>
    <t>ajwt6@cam.ac.uk; ervin.fodor@path.ox.ac.uk</t>
  </si>
  <si>
    <t>We greatly value our discussions with R. Sun and Y. Du, who independently found that mutations in the N-terminal region of PB2, near the template exit channel of the polymerase, stimulate IFN induction27. We thank G. G. Brownlee, M. Freeman and F. Vreede for plasmids, J. Rehwinkel and A. Mayer (all from University of Oxford) for HEK293T RIG-I-/- cells, Y. Kawaoka (University of Wisconsin-Madison) for the A/Brevig Mission/1/1918 (H1N1) virus, and A. Osterhaus and T. Kuiken (both from Erasmus Medical Centre) for the ferret tissue samples infected with A/Indonesia/5/2005 (H5N1) and A/Netherlands/602/2009 (H1N1). We thank I. Sudbery (University of Sheffield) for adding spliced read functionality to the umi_tools package. We thank the High-Throughput Genomics Group at the Wellcome Trust Centre for Human Genetics (funded by Wellcome Trust grant 090532/Z/09/Z) for the generation of adapter-ligated mvRNA sequencing data. This work was supported by the Wellcome Trust grant 098721/Z/12/Z, the joint Wellcome Trust and Royal Society grant 206579/Z/17/Z and a Netherlands Organization for Scientific Research (NWO) grant 825.11.029 to A.J.W.t.V.; EPA Cephalosporin Junior Research Fellowship to D.L.V.B.; support by the Intramural Research Program of NIAID, NIH, to E.d.W.; Research Grants Council of the Hong Kong Special Administrative Region, China, project no. T11-705/14N and a Croucher Senior Research Fellowship to L.L.M.P.; and Medical Research Council (MRC) programme grants MR/K000241/1 and MR/R009945/1 to E.F. and studentship to J.C.L.</t>
  </si>
  <si>
    <t>2058-5276</t>
  </si>
  <si>
    <t>NAT MICROBIOL</t>
  </si>
  <si>
    <t>NAT. MICROBIOL</t>
  </si>
  <si>
    <t>10.1038/s41564-018-0240-5</t>
  </si>
  <si>
    <t>GY0RK</t>
  </si>
  <si>
    <t>WOS:000448229100010</t>
  </si>
  <si>
    <t>Kwon, OK; Jang, D; Kim, Y; Tolla, DD</t>
  </si>
  <si>
    <t>Kwon, O-Kab; Jang, Dongmin; Kim, Yoonbai; Tolla, D. D.</t>
  </si>
  <si>
    <t>Holography of massive M2-brane theory: non-linear extension</t>
  </si>
  <si>
    <t>EUROPEAN PHYSICAL JOURNAL C</t>
  </si>
  <si>
    <t>RENORMALIZATION</t>
  </si>
  <si>
    <t>We investigate the gauge/gravity duality between the N = 6 mass-deformed ABJM theory with U-k (N) x U-k (N) gauge symmetry and the 11-dimensional supergravity on LLM geometries with SO(2,1) x SO(4)/Z(k) x SO(4)/Z(k) isometry, in terms of a KK holography, which involves quadratic order field redefinitions. We establish the quadratic order KK mappings for various gauge invariant fields in order to obtain the canonical 4-dimensional gravity equations of motion and to reduce the LLM solutions to an asymptotically AdS(4) gravity solutions. The non-linearity of the KK maps indicates that we can observe the true purpose of the non-linear KK holography of the LLM solutions. We read the vacuum expectation value of conformal dimension two operator from the asymptotically AdS(4) gravity solutions. For the LLM solutions which are represented by square-shaped Young diagrams, we compare the vacuum expectation value obtained from the holographic procedure with the result obtained from the field theory, which is given by &lt; O-(Delta = 2)&gt; = root kN (3/2) f((Delta = 2)) + O(N), where f(Delta) is independent of N. Based on this result, we examine the gauge/gravity duality in the large N limit and finite k. We also show that the vacuum expectation values of the massive KK graviton modes are vanishing as expected by the supersymmetry.</t>
  </si>
  <si>
    <t>[Kwon, O-Kab; Jang, Dongmin; Kim, Yoonbai; Tolla, D. D.] Sungkyunkwan Univ, Inst Basic Sci, Dept Phys, Phys Res Div BK21, Suwon 440746, South Korea; [Tolla, D. D.] Sungkyunkwan Univ, Univ Coll, Suwon 440746, South Korea</t>
  </si>
  <si>
    <t>Sungkyunkwan University (SKKU); Institute for Basic Science - Korea (IBS); Sungkyunkwan University (SKKU)</t>
  </si>
  <si>
    <t>Kwon, OK (corresponding author), Sungkyunkwan Univ, Inst Basic Sci, Dept Phys, Phys Res Div BK21, Suwon 440746, South Korea.</t>
  </si>
  <si>
    <t>okab@skku.edu; dongmin@skku.edu; yoonbai@skku.edu; ddtolla@skku.edu</t>
  </si>
  <si>
    <t>National Research Foundation of Korea(NRF) [NRF-2016R1D1A1B03931090, NRF-2017R1D1A1A09000951, NRF-2017R1D1A1B03032523, NRF-2018R1D1A1B07048061]</t>
  </si>
  <si>
    <t>National Research Foundation of Korea(NRF)(National Research Foundation of Korea)</t>
  </si>
  <si>
    <t>OK appreciates APCTP for its hospitality during completion of this work and DT would like to thank the physics department of Addis Ababa University for hospitality, during the visit to present part of this work. This work was supported by the National Research Foundation of Korea(NRF) grant with grant number NRF-2016R1D1A1B03931090 (Y.K.), NRF-2017R1D1A1A09000951 (O.K.), NRF-2017R1D1A1B03032523 (D.T.), and NRF-2018R1D1A1B07048061 (D.J.).</t>
  </si>
  <si>
    <t>1434-6044</t>
  </si>
  <si>
    <t>1434-6052</t>
  </si>
  <si>
    <t>EUR PHYS J C</t>
  </si>
  <si>
    <t>Eur. Phys. J. C</t>
  </si>
  <si>
    <t>OCT 25</t>
  </si>
  <si>
    <t>10.1140/epjc/s10052-018-6324-9</t>
  </si>
  <si>
    <t>GY3DM</t>
  </si>
  <si>
    <t>WOS:000448427200002</t>
  </si>
  <si>
    <t>Cerrato, V; Parmigiani, E; Figueres-Oñate, M; Betizeau, M; Aprato, J; Nanavaty, I; Berchialla, P; Luzzati, F; de'Sperati, C; Lopez-Mascaraque, L; Buffo, A</t>
  </si>
  <si>
    <t>Cerrato, Valentina; Parmigiani, Elena; Figueres-Onate, Maria; Betizeau, Marion; Aprato, Jessica; Nanavaty, Ishira; Berchialla, Paola; Luzzati, Federico; de'Sperati, Claudio; Lopez-Mascaraque, Laura; Buffo, Annalisa</t>
  </si>
  <si>
    <t>Multiple origins and modularity in the spatiotemporal emergence of cerebellar astrocyte heterogeneity</t>
  </si>
  <si>
    <t>BERGMANN GLIAL DEVELOPMENT; MAMMALIAN CEREBRAL-CORTEX; IN-VITRO; GABAERGIC INTERNEURONS; MULTIPOTENT PROGENITOR; TRANSCRIPTION FACTOR; MOUSE CEREBELLUM; LINEAGE ANALYSIS; NEURONAL CLONES; RADIAL GLIA</t>
  </si>
  <si>
    <t>The morphological, molecular, and functional heterogeneity of astrocytes is under intense scrutiny, but how this diversity is ontogenetically achieved remains largely unknown. Here, by quantitative in vivo clonal analyses and proliferation studies, we demonstrate that the major cerebellar astrocyte types emerge according to an unprecedented and remarkably orderly developmental program comprising (i) a time-dependent decline in both clone size and progenitor multipotency, associated with clone allocation first to the hemispheres and then to the vermis(ii) distinctive clonal relationships among astrocyte types, revealing diverse lineage potentials of embryonic and postnatal progenitors; and (iii) stereotyped clone architectures and recurrent modularities that correlate to layer-specific dynamics of postnatal proliferation/differentiation. In silico simulations indicate that the sole presence of a unique multipotent progenitor at the source of the whole astrogliogenic program is unlikely and rather suggest the involvement of additional committed components.</t>
  </si>
  <si>
    <t>[Cerrato, Valentina; Parmigiani, Elena; Aprato, Jessica; Nanavaty, Ishira; Buffo, Annalisa] Univ Turin, Dept Neurosci Rita Levi Montalcini, Turin, Italy; [Cerrato, Valentina; Luzzati, Federico; Buffo, Annalisa] Neurosci Inst Cavalieri Ottolenghi, Turin, Italy; [Figueres-Onate, Maria; Lopez-Mascaraque, Laura] Spanish Natl Res Council, CSIC, Cajal Inst, Dept Mol Cellular &amp; Dev Neurobiol, Madrid, Spain; [Betizeau, Marion] Univ Zurich Irchel, Brain Res Inst, Zurich, Switzerland; [Berchialla, Paola] Univ Turin, Dept Clin &amp; Biol Sci, Turin, Italy; [Luzzati, Federico] Univ Turin, Dept Life Sci &amp; Syst Biol, Turin, Italy; [de'Sperati, Claudio] Univ Vita Salute San Raffaele, Lab Act Percept &amp; Cognit, Milan, Italy; [de'Sperati, Claudio] IRCCS, San Raffaele Sci Inst, Div Neurosci, Expt Psychol Unit, Milan, Italy; [Parmigiani, Elena] Univ Basel, Dept Biomed, Basel, Switzerland</t>
  </si>
  <si>
    <t>University of Turin; Consejo Superior de Investigaciones Cientificas (CSIC); CSIC - Instituto Cajal (IC); University of Zurich; University of Turin; University of Turin; Vita-Salute San Raffaele University; Vita-Salute San Raffaele University; IRCCS Ospedale San Raffaele; University of Basel</t>
  </si>
  <si>
    <t>Buffo, A (corresponding author), Univ Turin, Dept Neurosci Rita Levi Montalcini, Turin, Italy.;Buffo, A (corresponding author), Neurosci Inst Cavalieri Ottolenghi, Turin, Italy.</t>
  </si>
  <si>
    <t>annalisa.buffo@unito.it</t>
  </si>
  <si>
    <t>Local funds of the University Turin; Ministero dell'Istruzione dell'Universita e delta Ricerca - MIUR project Dipartimenti di Eccellenza 2018 - 2022 [ex L. 232/2016]; Ministry of Economy and Competitiveness of Spain [BFU2016-75207-R]; Network of European Neuroscience Schools Fellowship; SystemsX.ch transition postdoc fellowship</t>
  </si>
  <si>
    <t>Local funds of the University Turin; Ministero dell'Istruzione dell'Universita e delta Ricerca - MIUR project Dipartimenti di Eccellenza 2018 - 2022; Ministry of Economy and Competitiveness of Spain(Spanish Government); Network of European Neuroscience Schools Fellowship; SystemsX.ch transition postdoc fellowship</t>
  </si>
  <si>
    <t>Local funds of the University Turin (grant number). Received by AB. The funder had no role in study design, data collection and analysis, decision to publish, or preparation of the manuscript. Ministero dell'Istruzione dell'Universita e delta Ricerca - MIUR project Dipartimenti di Eccellenza 2018 - 2022 (grant number ex L. 232/2016). Received by the Department of Neuroscience Rita Levi Montalcini. The funder had no role in study design, data collection and analysis, decision to publish, or preparation of the manuscript. Ministry of Economy and Competitiveness of Spain (grant number BFU2016-75207-R). Received by LLM and supporting MFO. The funder had no role in study design, data collection and analysis, decision to publish, or preparation of the manuscript. Network of European Neuroscience Schools Fellowship (grant number). Received by VC. The funder had no role in study design, data collection and analysis, decision to publish, or preparation of the manuscript. SystemsX.ch transition postdoc fellowship (grant number). Received by MB. The funder had no role in study design, data collection and analysis, decision to publish, or preparation of the manuscript.</t>
  </si>
  <si>
    <t>e2005513</t>
  </si>
  <si>
    <t>10.1371/journal.pbio.2005513</t>
  </si>
  <si>
    <t>GV5PQ</t>
  </si>
  <si>
    <t>WOS:000446154800008</t>
  </si>
  <si>
    <t>Kleina, HT; Pádua, T; Jacomino, AP; De Mio, LLM</t>
  </si>
  <si>
    <t>Kleina, Heloisa Thomazi; Padua, Thais; Jacomino, Angelo Pedro; May De Mio, Louise Larissa</t>
  </si>
  <si>
    <t>Postharvest quality of plums in response to the occurrence of leaf scald disease</t>
  </si>
  <si>
    <t>POSTHARVEST BIOLOGY AND TECHNOLOGY</t>
  </si>
  <si>
    <t>Fruit quality; Xylella fastidiosa; Xylem obstruction</t>
  </si>
  <si>
    <t>REGULATED DEFICIT IRRIGATION; FRUIT-QUALITY; XYLELLA-FASTIDIOSA; PIERCES DISEASE; COLD-STORAGE; METABOLISM; BACTERIUM; CULTIVAR; REGIMES; STRESS</t>
  </si>
  <si>
    <t>Plum leaf scald (PLS) is considered the main barrier to expanding plum cultivation in Brazil. The disease causes water flow to be obstructed in the xylem of infected plants. Infected host plants produce fruit of lower quality; however, no information is available about the postharvest quality attributes in plum. Fruit from the 'Gulfblaze' and 'Reubennel' plant cultivars, both with and without PLS symptoms, were collected from commercial orchards. Bacterial presence was confirmed using a polymerase chain reaction, and the physicochemical, biochemical, and physiological properties were evaluated. Brown rot incidence was also determined during the ripening period. According to a molecular analysis, symptomatic plants used in the assay carried Xylella fastidiosa (which causes PLS), but healthy plants did not. Fruit collected from infected plants had a reduced diameter and weight in the 2015/2016 growing season. There was a greater reduction in pulp firmness and higher pectin methylesterase enzyme activity in fruit harvested from infected compared with healthy plum trees. The total soluble solids content was higher in fruit from 'Gulfblaze' and 'Reubennel' diseased compared with disease-free plants. A higher incidence of brown rot was observed in plants with leaf scald symptoms. The highest phenylalanine ammonia-lyase activity was observed in fruit from ` Gulfblaze' diseased plants. CO2 and ethylene production was higher in the infected than healthy plants, indicating that the presence of X. fastidiosa can accelerate fruit ripening mechanisms.</t>
  </si>
  <si>
    <t>[Kleina, Heloisa Thomazi; May De Mio, Louise Larissa] Univ Fed Parana UFPR, Dept Fitotecnia &amp; Fitossanitarismo, Rua Funcionarios 1540, BR-80035050 Curitiba, Parana, Brazil; [Padua, Thais; Jacomino, Angelo Pedro] Univ Sao Paulo, ESALQ, Dept Prod Vegetal, Ave Padua Dias 11, BR-13418900 Piracicaba, SP, Brazil</t>
  </si>
  <si>
    <t>Universidade Federal do Parana; Universidade de Sao Paulo</t>
  </si>
  <si>
    <t>Kleina, HT (corresponding author), Univ Fed Parana UFPR, Dept Fitotecnia &amp; Fitossanitarismo, Rua Funcionarios 1540, BR-80035050 Curitiba, Parana, Brazil.</t>
  </si>
  <si>
    <t>helloisathomazi@hotmail.com</t>
  </si>
  <si>
    <t>Jacomino, Angelo P/D-6671-2012; May De Mio, Louise Larissa/K-3065-2012</t>
  </si>
  <si>
    <t>Jacomino, Angelo P/0000-0003-0863-6698; May De Mio, Louise Larissa/0000-0002-4202-4428</t>
  </si>
  <si>
    <t>College of Agriculture Luiz de Queiroz (ESALQ); Federal University of Parana (UFPR); Coordination of Improvement of Higher Education Personnel (CAPES)</t>
  </si>
  <si>
    <t>College of Agriculture Luiz de Queiroz (ESALQ); Federal University of Parana (UFPR); Coordination of Improvement of Higher Education Personnel (CAPES)(Coordenacao de Aperfeicoamento de Pessoal de Nivel Superior (CAPES))</t>
  </si>
  <si>
    <t>The authors would like to thank the College of Agriculture Luiz de Queiroz (ESALQ) and Federal University of Parana (UFPR), as well as the Coordination of Improvement of Higher Education Personnel (CAPES), for their support and provision of resources necessary for our research.</t>
  </si>
  <si>
    <t>ELSEVIER SCIENCE BV</t>
  </si>
  <si>
    <t>PO BOX 211, 1000 AE AMSTERDAM, NETHERLANDS</t>
  </si>
  <si>
    <t>0925-5214</t>
  </si>
  <si>
    <t>1873-2356</t>
  </si>
  <si>
    <t>POSTHARVEST BIOL TEC</t>
  </si>
  <si>
    <t>Postharvest Biol. Technol.</t>
  </si>
  <si>
    <t>10.1016/j.postharvbio.2018.04.018</t>
  </si>
  <si>
    <t>Agronomy; Food Science &amp; Technology; Horticulture</t>
  </si>
  <si>
    <t>Agriculture; Food Science &amp; Technology</t>
  </si>
  <si>
    <t>GH2IP</t>
  </si>
  <si>
    <t>WOS:000433225900012</t>
  </si>
  <si>
    <t>Mariano, LL; Ingersoll, MA</t>
  </si>
  <si>
    <t>Mariano, Livia Lacerda; Ingersoll, Molly A.</t>
  </si>
  <si>
    <t>Bladder resident macrophages: Mucosal sentinels</t>
  </si>
  <si>
    <t>CELLULAR IMMUNOLOGY</t>
  </si>
  <si>
    <t>Bladder; Urinary tract infection; Bladder cancer; Tissue-resident macrophage; monocytes; Uropathogenic E. coli; BCG immunotherapy; Schistosoma haematobium</t>
  </si>
  <si>
    <t>URINARY-TRACT-INFECTION; UROPATHOGENIC E. COLI; IMMUNE-RESPONSES; RISK-FACTORS; NEUTROPHIL RECRUITMENT; BCG IMMUNOTHERAPY; DENDRITIC CELLS; INNATE IMMUNITY; IL-8 RECEPTOR; CANCER</t>
  </si>
  <si>
    <t>Macrophages are instrumental in the response to infectious and noninfectious diseases, however, their role in the bladder is poorly understood. Indeed, the bladder is a mucosal tissue frequently overlooked in research, despite the prevalence of illnesses such as urinary tract infection and bladder cancer. Notably, bladder tissue macrophages are among the most populous resident immune cells in this organ and recent studies support that resident macrophages and infiltrating monocytes play nonredundant roles in response to infection, immunotherapy, and inflammation. Advancing our understanding of macrophage behavior in the bladder is complicated by the difficulty in obtaining tissue-resident cells. Surmounting this challenge, however, for a greater understanding of macrophage ontology, impact on innate and adaptive immunity, and regulation of homeostasis, will ultimately contribute to better therapies for common afflictions of the bladder.</t>
  </si>
  <si>
    <t>[Mariano, Livia Lacerda; Ingersoll, Molly A.] Inst Pasteur, Dept Immunol, Unit Dendrit Cell Immunobiol, F-75015 Paris, France; [Mariano, Livia Lacerda; Ingersoll, Molly A.] INSERM, U1223, F-75015 Paris, France</t>
  </si>
  <si>
    <t>Ingersoll, MA (corresponding author), Inst Pasteur, 25 Rue Docteur Roux, F-75015 Paris, France.</t>
  </si>
  <si>
    <t>Ingersoll, Molly A/JJD-5039-2023</t>
  </si>
  <si>
    <t>Lacerda Mariano, Livia/0000-0002-2749-4878</t>
  </si>
  <si>
    <t>European Union [665807]; Labex Milieu Interieur project at Institut Pasteur of the French government's Invest in the Future Program (LabEx); LabEx Immuno-Onco project; Marie Curie Actions (MSCA) [665807] Funding Source: Marie Curie Actions (MSCA)</t>
  </si>
  <si>
    <t>European Union(European Union (EU)); Labex Milieu Interieur project at Institut Pasteur of the French government's Invest in the Future Program (LabEx); LabEx Immuno-Onco project; Marie Curie Actions (MSCA)(Marie Curie Actions)</t>
  </si>
  <si>
    <t>The authors would like to thank Conan O'Brien and Drs Alba Llibre and Bjorn Albrecht for insightful comments and critical review of this manuscript. LLM is part of the Pasteur-Paris University International PhD Program. This program has received funding from the European Union's Horizon 2020 research and innovation program under the Marie Sklodowska-Curie grant agreement No. 665807 and from the Labex Milieu Interieur project at Institut Pasteur, which is part of the French government's Invest in the Future Program (LabEx), managed by the Agence Nationale de la Recherche. Funding was also provided by the LabEx Immuno-Onco project (LLM and MAI).</t>
  </si>
  <si>
    <t>0008-8749</t>
  </si>
  <si>
    <t>1090-2163</t>
  </si>
  <si>
    <t>CELL IMMUNOL</t>
  </si>
  <si>
    <t>Cell. Immunol.</t>
  </si>
  <si>
    <t>10.1016/j.cellimm.2018.01.018</t>
  </si>
  <si>
    <t>Cell Biology; Immunology</t>
  </si>
  <si>
    <t>GQ7BX</t>
  </si>
  <si>
    <t>WOS:000441889600017</t>
  </si>
  <si>
    <t>Chang, YC</t>
  </si>
  <si>
    <t>Chang, Yun-chien</t>
  </si>
  <si>
    <t>Wealth Transfer Laws in 153 Jurisdictions: An Empirical Comparative Law Approach</t>
  </si>
  <si>
    <t>IOWA LAW REVIEW</t>
  </si>
  <si>
    <t>ECONOMIC-THEORY; PROPERTY; STANDARDIZATION; MENUS</t>
  </si>
  <si>
    <t>Wealth transfer doctrines have never before been compared on a large scale. Using a unique hand-coded data set on property doctrines that I compiled over five years, this Article describes the following doctrines in 153 jurisdictions: whether the jurisdiction recognizes any future interest; whether real estate registration is absolute (public faith principle); whether in sales of real estate registration is necessary, or create opposability to third parties; whether a real agreement is conceptually separate from the sale contract and whether an invalid sale contract will always cause the invalidity of the real agreement (non-causa principle); and whether delivery or certain intentions are required to transfer ownership of personal properties or the sale contract itself is sufficient. Further using clustering analysis, this Article categorizes the wealth transfer doctrines of the 133 jurisdictions into eight groups, finding that China, Russia, and Scotland are the outliers, and English, French, and German influences on many jurisdictions are obvious.</t>
  </si>
  <si>
    <t>[Chang, Yun-chien] Acad Sinica, Ctr Empir Legal Studies, Inst Iurisprudentiae, Taipei, Taiwan</t>
  </si>
  <si>
    <t>Academia Sinica - Taiwan</t>
  </si>
  <si>
    <t>Chang, YC (corresponding author), Acad Sinica, Ctr Empir Legal Studies, Inst Iurisprudentiae, Taipei, Taiwan.</t>
  </si>
  <si>
    <t>kleiber@sinica.edu.tw</t>
  </si>
  <si>
    <t>Academia Sinica Career Development Award [106-H02]</t>
  </si>
  <si>
    <t>Academia Sinica Career Development Award</t>
  </si>
  <si>
    <t>I would like to thank my Research Assistants (RAs) over five years from Taiwan, Peru, New Zealand, India, Israel, Colombia, China, Hong Kong, Singapore, Uganda, Turkey, France, and South Africa. They are Winnie Awino, Harika Bakaraju, Gahli Berger, Paloma Carreno, Jung-Han Chang, Danlin Chang, Gina Chavarry, Chih-jui Chen, Tzu-Yuan Chu, Yichen Chu, Huseyin Guzeler, Melanie Lee, Ingrid Lee, Christina Lee, Calvin Lim, Tin-jun Liu, Hannah Musgrave, Maria Oluyeju, Anne-Line Schwint, and Daniella Weinrauch. Academia Sinica Career Development Award (106-H02) provided the main funding for this project. The librarians at the University of Chicago Law School and Cornell Law School provided great help in identifying foreign law materials when I was a visitor there. Some of the aforementioned RAs are Masters of Law (LLM) students at Chicago and Cornell. The University of Chicago Law School also covered the expenses for the LLM RAs. The Law Library at University of Iowa College of Law also provided me with foreign legal materials when I was the library's Bonfield Fellow for 2016. Professor XU Guodong, though we have never met in person, allowed me to Xerox his civil code collections. Professor Nuno Garoupa helped code the property laws of former Portugal colonies and co-authored with me several other papers using the larger data set. Many other people have helped in making this gigantic coding project possible. I am grateful to all of them. For comments on prior manuscripts, I am thankful for helpful comments from Aurore Chaigneau, Chung-Wu Chen, Pierre Crocq, Thomas Gallanis, John Reitz, and Tzung-Mou Wu.</t>
  </si>
  <si>
    <t>UNIV IOWA, COLL LAW</t>
  </si>
  <si>
    <t>IOWA CITY</t>
  </si>
  <si>
    <t>290 BOYD LAW BLDG, IOWA CITY, IA 52242 USA</t>
  </si>
  <si>
    <t>0021-0552</t>
  </si>
  <si>
    <t>IOWA LAW REV</t>
  </si>
  <si>
    <t>Iowa Law Rev.</t>
  </si>
  <si>
    <t>GQ1FN</t>
  </si>
  <si>
    <t>WOS:000441372000002</t>
  </si>
  <si>
    <t>Sinnige, T; de Vries, R; Della Corte, B; Avallone, F; Ragni, D; Eitelberg, G; Veldhuis, LLM</t>
  </si>
  <si>
    <t>Sinnige, Tomas; de Vries, Reynard; Della Corte, Biagio; Avallone, Francesco; Ragni, Daniele; Eitelberg, Georg; Veldhuis, Leo L. M.</t>
  </si>
  <si>
    <t>Unsteady Pylon Loading Caused by Propeller-Slipstream Impingement for Tip-Mounted Propellers</t>
  </si>
  <si>
    <t>Article; Proceedings Paper</t>
  </si>
  <si>
    <t>55th AIAA Aerospace Sciences Meeting (SciTech)</t>
  </si>
  <si>
    <t>JAN 09-13, 2017</t>
  </si>
  <si>
    <t>Grapevine, TX</t>
  </si>
  <si>
    <t>AIAA</t>
  </si>
  <si>
    <t>AERODYNAMIC INTERACTION; BOUNDARY-LAYER; VORTEX; NOISE</t>
  </si>
  <si>
    <t>An experimental analysis was performed of the unsteady aerodynamic loading caused by the impingement of a propeller slipstream on a downstream lifting surface. When installed on an aircraft, this unsteady loading results in vibrations that are transmitted to the fuselage and are perceived inside the cabin as structure-borne noise. A pylon-mounted tractor-propeller configuration was installed in a low-speed wind tunnel at Delft University of Technology. Surface-microphone and particle-image-velocimetry measurements were taken to quantify the pressure fluctuations on the pylon and visualize the impingement phenomena. It was confirmed that the propeller tip vortex is the dominant source of pressure fluctuations on the pylon. Along the path of the tip vortex on the pylon, a periodic pressure response occurs with strong harmonics. The amplitude of the pressure fluctuations increases with increasing thrust setting, whereas the unsteady lift coefficient displays a nonmonotonic dependency on the propeller thrust. The lowest integral unsteady loads were obtained for cases with approximately integer ratios between the pylon chord and the wavelength of the perturbation associated with the propeller tip vortices. This implies that structure-borne-noise reductions might be obtained by matching the pylon chord with an integer multiple of the axial separation between the propeller tip vortices.</t>
  </si>
  <si>
    <t>[Sinnige, Tomas; de Vries, Reynard; Eitelberg, Georg; Veldhuis, Leo L. M.] Delft Univ Technol, Flight Performance &amp; Prop Sect, Fac Aerosp Engn, Kluyverweg 1, NL-2629 HS Delft, Netherlands; [Della Corte, Biagio] Univ Naples Federico II, Fac Aerosp Engn, Corso Umberto I 40, I-80138 Naples, Italy; [Avallone, Francesco; Ragni, Daniele] Delft Univ Technol, Fac Aerosp Engn, Aeroacoust Sect, Kluyverweg 1, NL-2629 HS Delft, Netherlands</t>
  </si>
  <si>
    <t>Delft University of Technology; University of Naples Federico II; Delft University of Technology</t>
  </si>
  <si>
    <t>T.Sinnige@tudelft.nl</t>
  </si>
  <si>
    <t>10.2514/1.C034696</t>
  </si>
  <si>
    <t>Science Citation Index Expanded (SCI-EXPANDED); Conference Proceedings Citation Index - Science (CPCI-S)</t>
  </si>
  <si>
    <t>GZ3RQ</t>
  </si>
  <si>
    <t>WOS:000449304100023</t>
  </si>
  <si>
    <t>Holman, CM; Minssen, T; Solovy, EM</t>
  </si>
  <si>
    <t>Holman, Christopher M.; Minssen, Timo; Solovy, Eric M.</t>
  </si>
  <si>
    <t>Patentability Standards for Follow-On Pharmaceutical Innovation</t>
  </si>
  <si>
    <t>BIOTECHNOLOGY LAW REPORT</t>
  </si>
  <si>
    <t>UNDP; patentability guidelines; patent examination; pharmaceutical patents; TRIPS Agreement</t>
  </si>
  <si>
    <t>DRUGS</t>
  </si>
  <si>
    <t>Follow-on pharmaceutical innovation occurring after the initial discovery of a drug active ingredient plays an important, but at times underappreciated, role in providing innovative solutions to compelling medical needs. Examples of follow-on innovation include new forms of a drug with improved safety-efficacy profiles, new formulations and dosages providing improved patient outcomes, and new methods of using an established drug more safely or to treat new indications. Patents play a critical role in incentivizing the research, development, testing, and ultimately commercialization of follow-on pharmaceutical innovation, and in doing so provide substantial benefits for public health and patients' quality of life. There is, however, a body of literature characterizing patents directed towards follow-on innovations as secondary pharmaceutical patents. Some have even gone so far as to propose that the criteria for patentability should be enforced more stringently with respect to follow-on pharmaceutical inventions as compared to other inventions. The underlying assumption of such proposals is that follow-on pharmaceutical innovations are somehow secondary to other pharmaceutical innovation, and thus less deserving of patent protection. In this article, we refute the notion that follow-on pharmaceutical innovation should be categorically singled out for unfavorable treatment under the patent laws, and provide numerous examples of the value that follow-on innovation brings to medicine, and ultimately to patients. We also propose, in view of the international treaty obligations set out in, inter alia, the World Trade Organization (WTO) Agreement on Trade-Related Aspects of Intellectual Property Rights (TRIPS Agreement), standards and best practices for assessing the patentability of inventions arising out of follow-on pharmaceutical innovation. These are essentially the same stringent standards applicable to primary pharmaceutical innovation, and inventions in general. This article provides numerous examples from jurisdictions around the world in which patent offices and courts have applied the well-recognized requirements of patentability, including patent eligibility, novelty, inventive step and industrial application, to follow-on pharmaceutical inventions, and in so doing have advanced innovation in public health and ultimately the lives of patients.</t>
  </si>
  <si>
    <t>[Holman, Christopher M.] Univ Missouri Kansas City, Sch Law, Law, Kansas City, MO 64110 USA; [Minssen, Timo] Univ Copenhagen, Law, Copenhagen, Denmark; [Minssen, Timo] Univ Copenhagen, Ctr Adv Studies Biomed Innovat Law CeBIL, Copenhagen, Denmark; [Solovy, Eric M.] Sidley Austin LLP, Int Trade &amp; Dispute Resolut, Washington, DC USA; [Solovy, Eric M.] US Court Appeals Fed Circuit, Circuit Judge, Washington, DC USA</t>
  </si>
  <si>
    <t>University of Missouri System; University of Missouri Kansas City; University of Copenhagen; University of Copenhagen</t>
  </si>
  <si>
    <t>Holman, CM (corresponding author), Univ Missouri Kansas City, Sch Law, Law, Kansas City, MO 64110 USA.</t>
  </si>
  <si>
    <t>holmancm@umkc.edu; timo.minssen@jur.ku.dk; esolovy@sidley.com</t>
  </si>
  <si>
    <t>Minssen, Timo/0000-0002-3286-4888</t>
  </si>
  <si>
    <t>Geneva Network; Novo Nordisk Foundation [NNF17SA027784]</t>
  </si>
  <si>
    <t>Geneva Network; Novo Nordisk Foundation(Novo Nordisk FoundationNovocure Limited)</t>
  </si>
  <si>
    <t>Christopher M. Holman is a Professor of Law at the University of Missouri-Kansas City School of Law and the Executive Editor of Biotechnology Law Report. Thanks to the Geneva Network for generous support in the preparation of this article.; Timo Minssen, LLD, LLM, MICL, is a Professor of Law and Director and Founder of the Centre for Advanced Studies in Biomedical Innovation Law (CeBIL), at the University of Copenhagen in Denmark. CeBIL's research is supported by a Novo Nordisk Foundation grant for a scientifically independent Collaborative Research Programme (grant agreement number NNF17SA027784).</t>
  </si>
  <si>
    <t>0730-031X</t>
  </si>
  <si>
    <t>1557-8704</t>
  </si>
  <si>
    <t>BIOTECHNOL LAW REP</t>
  </si>
  <si>
    <t>Biotechnol. Law Rep.</t>
  </si>
  <si>
    <t>10.1089/blr.2018.29073.cmh</t>
  </si>
  <si>
    <t>GJ4CL</t>
  </si>
  <si>
    <t>WOS:000435327500007</t>
  </si>
  <si>
    <t>Messam, LLM; Kass, PH; Chomel, BB; Hart, LA</t>
  </si>
  <si>
    <t>Messam, Locksley L. McV.; Kass, Philip H.; Chomel, Bruno B.; Hart, Lynette A.</t>
  </si>
  <si>
    <t>Factors Associated With Bites to a Child From a Dog Living in the Same Home: A Bi-National Comparison</t>
  </si>
  <si>
    <t>FRONTIERS IN VETERINARY SCIENCE</t>
  </si>
  <si>
    <t>dog bite; child; home; risk factor; cohort study; anthrozoology; human-animal interaction</t>
  </si>
  <si>
    <t>RISK-FACTORS; CLINICAL-SIGNIFICANCE; CANINE; AGGRESSION; SELECTION; INJURIES; DISORDER; ATTACKS; OWNERS; VALUES</t>
  </si>
  <si>
    <t>We conducted a veterinary clinic-based retrospective cohort study aimed at identifying child-, dog-, and home-environment factors associated with dog bites to children aged 5-15 years old living in the same home as a dog in Kingston, Jamaica (236) and San Francisco, USA (61). Secondarily, we wished to compare these factors to risk factors for dog bites to the general public. Participant information was collected via interviewer-administered questionnaire using proxy respondents. Data were analyzed using log-binomial regression to estimate relative risks and associated 95% confidence intervals (CIs) for each exposure-dog bite relationship. Exploiting the correspondence between X% confidence intervals and X% Bayesian probability intervals obtained using a uniform prior distribution, for each exposure, we calculated probabilities of the true (population) RRs &gt;= 1.25 or &lt;= 0.8, for positive or negative associations, respectively. Boys and younger children were at higher risk for bites, than girls and older children, respectively. Dogs living in a home with no yard space were at an elevated risk (RR = 2.97; 95% CI: 1.06-8.33) of biting a child living in the same home, compared to dogs that had yard space. Dogs routinely allowed inside for some portion of the day (RR = 3.00; 95% CI: 0.94-9.62) and dogs routinely allowed to sleep in a family member's bedroom (RR = 2.82; 95% CI: 1.17-6.81) were also more likely to bite a child living in the home than those that were not. In San Francisco, but less so in Kingston, bites were inversely associated with the number of children in the home. While in Kingston, but not in San Francisco, smaller breeds and dogs obtained for companionship were at higher risk for biting than larger breeds and dogs obtained for protection, respectively. Overall, for most exposures, the observed associations were consistent with population RRs of practical importance (i.e., RRs &gt;= 1.25 or &lt;= 0.8). Finally, we found substantial consistency between risk factors for bites to children and previously reported risk factors for general bites.</t>
  </si>
  <si>
    <t>[Messam, Locksley L. McV.] Univ Coll Dublin, Sch Vet Med, Sect Herd Hlth &amp; Anim Husb, Coll Hlth &amp; Agr Sci, Dublin, Ireland; [Kass, Philip H.; Chomel, Bruno B.; Hart, Lynette A.] Univ Calif Davis, Sch Vet Med, Dept Populat Hlth &amp; Reprod, Davis, CA 95616 USA</t>
  </si>
  <si>
    <t>University College Dublin; University of California System; University of California Davis</t>
  </si>
  <si>
    <t>Messam, LLM (corresponding author), Univ Coll Dublin, Sch Vet Med, Sect Herd Hlth &amp; Anim Husb, Coll Hlth &amp; Agr Sci, Dublin, Ireland.</t>
  </si>
  <si>
    <t>locksley.messam@ucd.ie</t>
  </si>
  <si>
    <t>Hart, Lynette/0000-0002-7133-6535; Messam, Locksley L. McV./0000-0001-5791-555X</t>
  </si>
  <si>
    <t>University of California Davis Center for Companion Animal Health</t>
  </si>
  <si>
    <t>University of California Davis Center for Companion Animal Health(University of California System)</t>
  </si>
  <si>
    <t>The authors are grateful for the assistance of staff of the following veterinary clinics in data collection: All Creatures, All Pets, Animal Care, Chang's Veterinary Clinic, the Jamaica Society for the Prevention of Cruelty to Animals, Noah's Ark, Phoenix Veterinary Clinic, Veterinary Medical (KGN), Pet's Unlimited, the San Francisco Society for the Prevention of Cruelty to Animals, the Avenues (SF). Partial support was provided by the University of California Davis Center for Companion Animal Health.</t>
  </si>
  <si>
    <t>2297-1769</t>
  </si>
  <si>
    <t>FRONT VET SCI</t>
  </si>
  <si>
    <t>Front. Vet. Sci.</t>
  </si>
  <si>
    <t>MAY 4</t>
  </si>
  <si>
    <t>10.3389/fvets.2018.00066</t>
  </si>
  <si>
    <t>HC7AP</t>
  </si>
  <si>
    <t>WOS:000451953100001</t>
  </si>
  <si>
    <t>Gravity from entanglement and RG flow in a top-down approach</t>
  </si>
  <si>
    <t>Gauge-gravity correspondence; M-Theory; Supersymmetric Gauge Theory</t>
  </si>
  <si>
    <t>SPACETIME; ENTROPY</t>
  </si>
  <si>
    <t>The duality between a d-dimensional conformal field theory with relevant deformation and a gravity theory on an asymptotically AdS(d+1) geometry, has become a suitable tool in the investigation of the emergence of gravity from quantum entanglement in field theory. Recently, we have tested the duality between the mass-deformed ABJM theory and asymptotically AdS(4) gravity theory, which is obtained from the KK reduction of the 11-dimensional supergravity on the LLM geometry. In this paper, we extend the KK reduction procedure beyond the linear order and establish non-trivial KK maps between 4-dimensional fields and 11-dimensional fluctuations. We rely on this gauge/gravity duality to calculate the entanglement entropy by using the Ryu-Takayanagi holographic formula and the path integral method developed by Faulkner. We show that the entanglement entropies obtained using these two methods agree when the asymptotically AdS(4) metric satisfies the linearized Einstein equation with nonvanishing energy-momentum tensor for two scalar fields. These scalar fields encode the information of the relevant deformation of the ABJM theory. This confirms that the asymptotic limit of LLM geometry is the emergent gravity of the quantum entanglement in the mass-deformed ABJM theory with a small mass parameter. We also comment on the issue of the relative entropy and the Fisher information in our setup.</t>
  </si>
  <si>
    <t>[Kwon, O-Kab; Jang, Dongmin; Kim, Yoonbai; Tolla, D. D.] Sungkyunkwan Univ, Phys Res Div BK21, Dept Phys, Inst Basic Sci, Suwon 440746, South Korea; [Tolla, D. D.] Sungkyunkwan Univ, Univ Coll, Suwon 440746, South Korea</t>
  </si>
  <si>
    <t>Institute for Basic Science - Korea (IBS); Sungkyunkwan University (SKKU); Sungkyunkwan University (SKKU)</t>
  </si>
  <si>
    <t>Kwon, OK (corresponding author), Sungkyunkwan Univ, Phys Res Div BK21, Dept Phys, Inst Basic Sci, Suwon 440746, South Korea.</t>
  </si>
  <si>
    <t>National Research Foundation of Korea(NRF) [NRF-2016R1D1A1B03931090, NRF-2017R1D1A1A09000951, NRF-2017R1D1A1B03032523]</t>
  </si>
  <si>
    <t>OK would like to thank the participants of the 5th IBS Brainstrom workshop for stimulating discussions and appreciates APCTP for its hospitality during completion of this work. DT would like to thank the physics department of Addis Ababa University for hospitality, during the visit to present part of this work. This work was supported by the National Research Foundation of Korea(NRF) grant with grant number NRF-2016R1D1A1B03931090 (Y.K.), NRF-2017R1D1A1A09000951 (O.K.), and NRF-2017R1D1A1B03032523 (D.T.).</t>
  </si>
  <si>
    <t>MAY 3</t>
  </si>
  <si>
    <t>10.1007/JHEP05(2018)009</t>
  </si>
  <si>
    <t>GF5ZL</t>
  </si>
  <si>
    <t>WOS:000432046400002</t>
  </si>
  <si>
    <t>Kasem, S; Qasim, I; Al-Hufofi, A; Hashim, O; Alkarar, A; Abu-Obeida, A; Gaafer, A; Elfadil, A; Zaki, A; Al-Romaihi, A; Babekr, N; El-Harby, N; Hussien, R; Al-Sahaf, A; Al-Doweriej, A; Bayoumi, F; Poon, LLM; Chu, DKW; Peiris, M; Perera, RAPM</t>
  </si>
  <si>
    <t>Kasem, Samy; Qasim, Ibraheem; Al-Hufofi, Ali; Hashim, Osman; Alkarar, Ali; Abu-Obeida, Ali; Gaafer, Albagir; Elfadil, Abdelhamid; Zaki, Ahmed; Al-Romaihi, Ahmed; Babekr, Nasereldeen; El-Harby, Nadr; Hussien, Raed; Al-Sahaf, Ali; Al-Doweriej, Ali; Bayoumi, Faisal; Poon, Leo L. M.; Chu, Daniel K. W.; Peiris, Malik; Perera, Ranawaka A. P. M.</t>
  </si>
  <si>
    <t>Cross-sectional study of MERS-CoV-specific RNA and antibodies in animals that have had contact with MERS patients in Saudi Arabia</t>
  </si>
  <si>
    <t>JOURNAL OF INFECTION AND PUBLIC HEALTH</t>
  </si>
  <si>
    <t>MERS; Dromedary camel; Real time-PCR; ELISA; Saudi Arabia</t>
  </si>
  <si>
    <t>RESPIRATORY SYNDROME CORONAVIRUS; DROMEDARY CAMELS; INFECTED CAMELS; TRANSMISSION; EGYPT; SURVEILLANCE; AFRICA</t>
  </si>
  <si>
    <t>Background: Middle East respiratory syndrome coronavirus (MERS-CoV) is a newly emerged coronavirus that is associated with a severe respiratory disease in humans in the Middle East. The epidemiological profiles of the MERS-CoV infections suggest zoonotic transmission from an animal reservoir to humans. Methods: This study was designed to investigate animal herds associated with Middle East respiratory syndrome (MERS)-infected patients in Saudi Arabia, during the last three years (2014-2016). Nasal swabs and serum samples from 584 dromedary camels, 39 sheep, 51 goats, and 2 cattle were collected. Nasal samples from camels, sheep, goats, and cattle were examined by real-time reverse-transcription PCR (RTPCR) to detect MERS-CoV RNA, and the Anti-MERS ELISA assay was performed to detect camel humeral immune response (IgG) to MERS-CoV S1 antigen infection. The complete genome sequencing of ten MERS-CoV camel isolates and phylogenetic analysis was performed. Results: The data indicated that seventy-five dromedary camels were positive for MERS-CoV RNA; the virus was not detected in sheep, goats, and cattle. MERS-CoV RNA from infected camels was not detected beyond 2 weeks after the first positive result was detected in nasal swabs obtained from infected camels. Anti-MERS ELISA assays showed that 70.9% of camels related to human cases had antibodies to MERS-CoV. The full genome sequences of the ten MERS-CoV camel isolates were identical to their corresponding patients and were grouped together within the larger MERS-CoV sequences cluster for human and camel isolates reported form the Arabian Peninsula. Conclusions: These findings indicate that camels are a significant reservoir for the maintenance of MERS-CoVs, and they are an important source of human infection with MERS. (C) 2017 The Authors. Published by Elsevier Limited on behalf of King Saud Bin Abdulaziz University for Health Sciences.</t>
  </si>
  <si>
    <t>[Kasem, Samy; Qasim, Ibraheem; Hashim, Osman; Alkarar, Ali; Abu-Obeida, Ali; Gaafer, Albagir; Elfadil, Abdelhamid; Babekr, Nasereldeen; El-Harby, Nadr; Hussien, Raed; Al-Sahaf, Ali] Minist Environm Water &amp; Agr, Dept Anim Resources, Riyadh 11195, Saudi Arabia; [Kasem, Samy] Kafrelsheikh Univ, Fac Vet Med, Dept Virol, El Geish St, Kafrelsheikh 33516, Egypt; [Zaki, Ahmed; Al-Romaihi, Ahmed] Minist Environm Water &amp; Agr, Dept Vet Lab, 65 King Abdulaziz Rd, Riyadh 11195, Saudi Arabia; [Poon, Leo L. M.; Chu, Daniel K. W.; Peiris, Malik; Perera, Ranawaka A. P. M.] Univ Hong Kong, Sch Publ Hlth, Publ Hlth Lab Sci, Hong Kong, Hong Kong, Peoples R China</t>
  </si>
  <si>
    <t>Egyptian Knowledge Bank (EKB); Kafrelsheikh University; University of Hong Kong</t>
  </si>
  <si>
    <t>Kasem, S (corresponding author), Kafrelsheikh Univ, Fac Vet Med, Dept Virol, El Geish St, Kafrelsheikh 33516, Egypt.</t>
  </si>
  <si>
    <t>samy_kasem1976@yahoo.com</t>
  </si>
  <si>
    <t>ELSEVIER SCIENCE LONDON</t>
  </si>
  <si>
    <t>84 THEOBALDS RD, LONDON WC1X 8RR, ENGLAND</t>
  </si>
  <si>
    <t>1876-0341</t>
  </si>
  <si>
    <t>1876-035X</t>
  </si>
  <si>
    <t>J INFECT PUBLIC HEAL</t>
  </si>
  <si>
    <t>J. Infect. Public Health</t>
  </si>
  <si>
    <t>MAY-JUN</t>
  </si>
  <si>
    <t>10.1016/j.jiph.2017.00.022</t>
  </si>
  <si>
    <t>Public, Environmental &amp; Occupational Health; Infectious Diseases</t>
  </si>
  <si>
    <t>GG1SV</t>
  </si>
  <si>
    <t>WOS:000432468400008</t>
  </si>
  <si>
    <t>Susan-Resiga, D; Barvinschi, P</t>
  </si>
  <si>
    <t>Susan-Resiga, Daniela; Barvinschi, Paul</t>
  </si>
  <si>
    <t>Correlation of rheological properties of ferrofluid-based magnetorheological fluids using the concentration-magnetization superposition</t>
  </si>
  <si>
    <t>JOURNAL OF RHEOLOGY</t>
  </si>
  <si>
    <t>FLOW BEHAVIOR; YIELD-STRESS; SUSPENSIONS; SIMULATION; PARTICLES; NUMBERS; MASON</t>
  </si>
  <si>
    <t>In this work, the yield stress previously measured for some ferrofluid-based magnetorheological fluids (FF-MRFs) with various volume fractions of nanosize magnetite (phi) and micrometer size iron particle (Phi(Fe)), for a wide range of magnetic fields (B), is further investigated from a new point of view. The mean magnetization (MM) approximation developed for conventional magnetorheological (MR) suspensions is extended to FF-MRFs and a characteristic magnetic stress is defined and determined by using the average iron particles magnetization in FF-MRF suspensions. We thus generate a rheological master curve of static yield stress vs characteristic magnetic stress, for different values of phi, Phi(Fe), and B by using a single variable, the characteristic magnetic stress, which contains only data that can be determined experimentally. This indicates, for the first time in literature, a concentration-magnetization superposition in the case of FF-MRFs. This master curve is useful to determine an optimal composition that allows one to obtain FF-MRFs with the best possible MR properties for a particular application. We also find that, regardless of the magnetite nanoparticles' volume fraction in the carrier ferrofluid, when the iron volume fraction is close to Phi(Fe)* = 30% a change in magnetorheological behavior appears; this is most probably due to the structural transition from chainlike structures of iron particles to more complex ones. In addition, in order to show that the MM approximation may be used even for the FF-MRFs, we employ the finite element method (FEM) to compute a characteristic force and a characteristic magnetic stress by considering a very simple model of a FF-MRF. We find that the FEM model developed for FF-MRFs on the basis of the MM approximation gives reasonably good results especially for low and saturation magnetic field regimes. (C) 2018 The Society of Rheology.</t>
  </si>
  <si>
    <t>[Susan-Resiga, Daniela] Romanian Acad, Timisoara Branch, Ctr Fundamental &amp; Adv Tech Res, Lab Magnet Fluids, Timisoara 300223, Romania; [Susan-Resiga, Daniela; Barvinschi, Paul] West Univ Timisoara, Fac Phys, Timisoara 300223, Romania</t>
  </si>
  <si>
    <t>Barvinschi, P (corresponding author), West Univ Timisoara, Fac Phys, Timisoara 300223, Romania.</t>
  </si>
  <si>
    <t>daniela.resiga@e-uvt.ro; pc_barvi@yahoo.fr</t>
  </si>
  <si>
    <t>multiannual Research Program LLM-CCTFA of the Romanian Academy; SEMNAL MRD research project [77/2014-PNII-UEFISCDI, 157/2012-PNII-UEFISCDI]; MagNanoMicroSeal research project [77/2014-PNII-UEFISCDI, 157/2012-PNII-UEFISCDI]</t>
  </si>
  <si>
    <t>multiannual Research Program LLM-CCTFA of the Romanian Academy; SEMNAL MRD research project; MagNanoMicroSeal research project</t>
  </si>
  <si>
    <t>This work was supported by the multiannual Research Program LLM-CCTFA 2016-2019 of the Romanian Academy and by the SEMNAL MRD and MagNanoMicroSeal research projects (Contract Nos. 77/2014-PNII-UEFISCDI and 157/2012-PNII-UEFISCDI). The ferrofluid carriers and the nanomicro composite MR fluid samples were prepared by Florica Balanean, Research Ass. (RCHCF-University Politehnica Timisoara). The authors are indebted to Dr. Ladislau Vekas for helpful discussion and to Dr. Oana Marinica (RCHCF-University Politehnica Timisoara) for magnetization measurements.</t>
  </si>
  <si>
    <t>SOC RHEOLOGY</t>
  </si>
  <si>
    <t>ORONO</t>
  </si>
  <si>
    <t>C/O RALPH H COLBY, ED, PENNSYLVANIA STATE UNIV, ORONO, ME, UNITED STATES</t>
  </si>
  <si>
    <t>0148-6055</t>
  </si>
  <si>
    <t>1520-8516</t>
  </si>
  <si>
    <t>J RHEOL</t>
  </si>
  <si>
    <t>J. Rheol.</t>
  </si>
  <si>
    <t>10.1122/1.5017674</t>
  </si>
  <si>
    <t>GE6PO</t>
  </si>
  <si>
    <t>WOS:000431351700006</t>
  </si>
  <si>
    <t>Tam, YH; Valkenburg, SA; Perera, RAPM; Wong, JHF; Fang, VJ; Ng, TWY; Kwong, ASK; Tsui, WWS; Ip, DKM; Poon, LLM; Chau, CKV; Barr, IG; Malik Peiris, JS; Cowling, BJ</t>
  </si>
  <si>
    <t>Tam, Yat Hung; Valkenburg, Sophie A.; Perera, Ranawaka A. P. M.; Wong, Jennifer H. F.; Fang, Vicky J.; Ng, Tiffany W. Y.; Kwong, Alfred S. K.; Tsui, Wendy W. S.; Ip, Dennis K. M.; Poon, Leo L. M.; Chau, Chris K. V.; Barr, Ian G.; Peiris, Joseph S. Malik; Cowling, Benjamin J.</t>
  </si>
  <si>
    <t>Immune Responses to Twice-Annual Influenza Vaccination in Older Adults in Hong Kong</t>
  </si>
  <si>
    <t>CLINICAL INFECTIOUS DISEASES</t>
  </si>
  <si>
    <t>influenza; vaccination; immunity; public health</t>
  </si>
  <si>
    <t>ANTIBODY-RESPONSES; PROTECTION; INFECTION; VIRUS; METAANALYSIS; CORRELATE; PATTERNS; CHILDREN; VACCINES; ASIA</t>
  </si>
  <si>
    <t>Vaccination with the southern hemisphere influenza vaccine improved protection for older adults in the summer and autumn, but led to slightly blunted immune responses to the northern hemisphere vaccination with implications for protection in the following winter.Many health authorities recommend influenza vaccination of older adults to reduce disease burden. We hypothesized that in tropical and subtropical areas with more prolonged influenza seasons, twice-annual influenza vaccination might provide older adults with improved immunity against influenza. In 2014-2015, Hong Kong experienced a substantial A(H3N2) winter epidemic with a mismatched vaccine. Local authorities procured and administered to older adults the 2015 southern hemisphere influenza vaccine, which included an updated and matching A/Switzerland/9715293/2013(H3N2) strain. We compared immune parameters in pre- and postvaccination sera from older adults 75 years of age who received 1 vs 2 influenza vaccines per year. We enrolled 978 older adults with 470 vaccinations for summer 2015 and 827 vaccinations for winter 2015-2016. Recipients of southern hemisphere vaccination had higher geometric mean titers (GMTs) by the hemagglutination inhibition assay against all 3 vaccine strains. When receiving influenza vaccination for the subsequent winter, the southern hemisphere vaccine recipients had higher prevaccination GMTs but lower postvaccination GMTs, compared to those who had not received the southern hemisphere vaccine. Furthermore, cellular immunity was impacted by biannual vaccination, with reduced influenza-specific CD4 T-cell responses in the second season of vaccination. We observed some reductions in immune responses in the twice-annual vaccination group compared with the once-annual vaccination group, in the context of unchanging vaccine strains, while protection was likely to have been improved during the summer and autumn for the twice-annual vaccination group due to the continued circulation of the A/Switzerland/9715293/2013(H3N2) virus.</t>
  </si>
  <si>
    <t>[Tam, Yat Hung; Perera, Ranawaka A. P. M.; Wong, Jennifer H. F.; Fang, Vicky J.; Ng, Tiffany W. Y.; Tsui, Wendy W. S.; Ip, Dennis K. M.; Poon, Leo L. M.; Peiris, Joseph S. Malik; Cowling, Benjamin J.] Univ Hong Kong, World Hlth Org Collaborating Ctr Infect Dis Epide, Sch Publ Hlth, Pokfulam, Hong Kong, Peoples R China; [Valkenburg, Sophie A.] Univ Hong Kong, HKU Pasteur Res Pole, Sch Publ Hlth, Pokfulam, Hong Kong, Peoples R China; [Perera, Ranawaka A. P. M.; Poon, Leo L. M.; Peiris, Joseph S. Malik] Univ Hong Kong, Ctr Influenza Res, Li Ka Shing Fac Med, Pokfulam, Hong Kong, Peoples R China; [Kwong, Alfred S. K.; Tsui, Wendy W. S.; Chau, Chris K. V.] Hosp Author, Queen Mary Hosp, Dept Family Med &amp; Primary Healthcare, Hong Kong, Hong Kong, Peoples R China; [Barr, Ian G.] Univ Melbourne, World Hlth Org Collaborating Ctr Reference &amp; Res, Melbourne, Vic, Australia; [Barr, Ian G.] Univ Melbourne, Dept Microbiol &amp; Immunol, Melbourne, Vic, Australia</t>
  </si>
  <si>
    <t>Cowling, BJ (corresponding author), Univ Hong Kong, Sch Publ Hlth, Li Ka Shing Fac Med, 7 Sassoon Rd, Pokfulam, Hong Kong, Peoples R China.</t>
  </si>
  <si>
    <t>bcowling@hku.hk</t>
  </si>
  <si>
    <t>Research Grants Council of the Hong Kong SAR, China [T11-705/14N]; Health and Medical Research Fund [HKS-15-E06]; Health and Medical Research Fund of the Food and Health Bureau of the Hong Kong SAR government [15141052]; Health and Medical Research Fund of the Food and Health Bureau of the Hong Kong Special Administrative Region (SAR) government [CHP-PH-12]; Australian Department of Health</t>
  </si>
  <si>
    <t>Research Grants Council of the Hong Kong SAR, China(Hong Kong Research Grants Council); Health and Medical Research Fund; Health and Medical Research Fund of the Food and Health Bureau of the Hong Kong SAR government; Health and Medical Research Fund of the Food and Health Bureau of the Hong Kong Special Administrative Region (SAR) government; Australian Department of Health(Australian GovernmentDepartment of Health &amp; Ageing)</t>
  </si>
  <si>
    <t>This research was funded by a commissioned grant from the Health and Medical Research Fund of the Food and Health Bureau of the Hong Kong Special Administrative Region (SAR) government to the Centre for Health Protection (reference number CHP-PH-12); a commissioned grant from the Health and Medical Research Fund to the University of Hong Kong (reference number HKS-15-E06); the Health and Medical Research Fund of the Food and Health Bureau of the Hong Kong SAR government (grant number 15141052); and the Research Grants Council of the Hong Kong SAR, China (project number T11-705/14N). The Melbourne World Health Organization Collaborating Centre for Reference and Research on Influenza is supported by the Australian Department of Health.</t>
  </si>
  <si>
    <t>1058-4838</t>
  </si>
  <si>
    <t>1537-6591</t>
  </si>
  <si>
    <t>CLIN INFECT DIS</t>
  </si>
  <si>
    <t>Clin. Infect. Dis.</t>
  </si>
  <si>
    <t>10.1093/cid/cix900</t>
  </si>
  <si>
    <t>Immunology; Infectious Diseases; Microbiology</t>
  </si>
  <si>
    <t>FY4TS</t>
  </si>
  <si>
    <t>WOS:000426819800012</t>
  </si>
  <si>
    <t>Bastakis, E; Hedtke, B; Klermund, C; Grimm, B; Schwechheimer, C</t>
  </si>
  <si>
    <t>Bastakis, Emmanouil; Hedtke, Boris; Klermund, Carina; Grimm, Bernhard; Schwechheimer, Claus</t>
  </si>
  <si>
    <t>LLM-Domain B-GATA Transcription Factors Play Multifaceted Roles in Controlling Greening in Arabidopsis</t>
  </si>
  <si>
    <t>PLANT CELL</t>
  </si>
  <si>
    <t>REGULATE CHLOROPLAST DEVELOPMENT; ENCODED SIGMA-FACTOR; CHLOROPHYLL BIOSYNTHESIS; GENE-EXPRESSION; MG-CHELATASE; FACTORS GNC; THALIANA; REVEALS; FAMILY; FERROCHELATASE</t>
  </si>
  <si>
    <t>[Bastakis, Emmanouil; Klermund, Carina; Schwechheimer, Claus] Tech Univ Munich, Plant Syst Biol, D-85354 Freising Weihenstephan, Germany; [Hedtke, Boris; Grimm, Bernhard] Humboldt Univ, Plant Physiol, D-10115 Berlin, Germany</t>
  </si>
  <si>
    <t>Technical University of Munich; Humboldt University of Berlin</t>
  </si>
  <si>
    <t>Schwechheimer, C (corresponding author), Tech Univ Munich, Plant Syst Biol, D-85354 Freising Weihenstephan, Germany.</t>
  </si>
  <si>
    <t>claus.schwechheimer@wzw.tum.de</t>
  </si>
  <si>
    <t>Schwechheimer, Claus/Q-7907-2016</t>
  </si>
  <si>
    <t>Schwechheimer, Claus/0000-0003-0269-2330; Grimm, Bernhard/0000-0002-9730-1074</t>
  </si>
  <si>
    <t>Deutsche Forschungsgemeinschaft [SCHW 751/9-2]</t>
  </si>
  <si>
    <t>Deutsche Forschungsgemeinschaft(German Research Foundation (DFG))</t>
  </si>
  <si>
    <t>We thank Mesfin Nigussie Gebreselassie (Technical University of Munich) for performing initial analysis on SIG gene function and Jutta Elgner for technical assistance. This work was funded by grants from the Deutsche Forschungsgemeinschaft to C.S. (SCHW 751/9-2).</t>
  </si>
  <si>
    <t>AMER SOC PLANT BIOLOGISTS</t>
  </si>
  <si>
    <t>ROCKVILLE</t>
  </si>
  <si>
    <t>15501 MONONA DRIVE, ROCKVILLE, MD 20855 USA</t>
  </si>
  <si>
    <t>1040-4651</t>
  </si>
  <si>
    <t>1532-298X</t>
  </si>
  <si>
    <t>Plant Cell</t>
  </si>
  <si>
    <t>10.1105/tpc.17.00947</t>
  </si>
  <si>
    <t>Biochemistry &amp; Molecular Biology; Plant Sciences; Cell Biology</t>
  </si>
  <si>
    <t>GC0BM</t>
  </si>
  <si>
    <t>WOS:000429441400011</t>
  </si>
  <si>
    <t>Role of flexural stiffness of leukocyte microvilli in adhesion dynamics</t>
  </si>
  <si>
    <t>LATTICE-BOLTZMANN METHOD; P-SELECTIN; CELL; SIMULATION; DEFORMATION; MEMBRANE; KINETICS; MODEL; FLOW; DEFORMABILITY</t>
  </si>
  <si>
    <t>Previous work reported that microvillus deformation has an important influence on dynamics of cell adhesion. However, the existing studies were limited to the extensional deformation of microvilli and did not consider the effects of their bending deformation on cell adhesion. This Rapid Communication investigates the effects of flexural stiffness of microvilli on the rolling process related to adhesion of leukocytes by using a lattice-Boltzmann lattice-spring method (LLM) combined with adhesive dynamics (AD) simulations. The simulation results reveal that the flexural stiffness of microvilli and their bending deformation have a profound effect on rolling velocity and adhesive forces. As the flexural stiffness of the microvilli decreases, their bending angles increase, resulting in an increase in the number of receptor-ligand bonds and adhesive bonding force and a decrease in the rolling velocity of leukocytes. The effects of flexural stiffness on deformation and adhesion represent crucial factors involved in cell adhesion.</t>
  </si>
  <si>
    <t>[Wu, Tai-Hsien; Qi, Dewei] Western Michigan Univ, Dept Chem &amp; Paper Engn, Kalamazoo, MI 49008 USA</t>
  </si>
  <si>
    <t>Western Michigan University</t>
  </si>
  <si>
    <t>Qi, DW (corresponding author), Western Michigan Univ, Dept Chem &amp; Paper Engn, Kalamazoo, MI 49008 USA.</t>
  </si>
  <si>
    <t>tai-hsien.wu@wmich.edu; dewei.qi@wmich.edu</t>
  </si>
  <si>
    <t>T.-H.W. would like to thank Western Michigan University for support via a Gwen Frostic Doctoral Fellowship, which helped him to finish this work. The authors also thank Marianne Di Pierro for manuscript advice.</t>
  </si>
  <si>
    <t>MAR 1</t>
  </si>
  <si>
    <t>10.1103/PhysRevFluids.3.031101</t>
  </si>
  <si>
    <t>FX9XR</t>
  </si>
  <si>
    <t>WOS:000426464800001</t>
  </si>
  <si>
    <t>Huang, C; Liu, JH; Ding, L; Wang, DJ; Yang, ZJ; Nie, FD</t>
  </si>
  <si>
    <t>Huang, Chuan; Liu, Jiahui; Ding, Ling; Wang, Dunju; Yang, Zhijian; Nie, Fude</t>
  </si>
  <si>
    <t>Facile Fabrication of Nanoparticles Stacked 2,6-diamino-3,5-dinitropyrazine-1-oxide (LLM-105) Sub-microspheres via Electrospray Deposition</t>
  </si>
  <si>
    <t>LLM-105; electrospray deposition; energetic materials; nanoparticles stacked; sub-microspheres</t>
  </si>
  <si>
    <t>CRYSTALLIZATION; RDX</t>
  </si>
  <si>
    <t>In this study, nanoparticles stacked 2,6-diamino-3,5-dinitropyrazine-1-oxide (LLM-105) sub-microspheres were successfully fabricated by electrospray deposition. These monodisperse sub-microspheres with a diameter from 200-500nm are composed of 50nm nanoparticles, and after preserved six months these spheres retain the same structure and morphology. The effect of process parameter including flow rate and nozzle size on the size and morphology of sub-microsphere is investigated. The results show that, for a given solution concentration the nozzle size has little effect while the flow rate shows a significant effect. The X-ray diffraction (XRD) and Fourier transform infrared spectroscopy (FT-IR) results exhibit that the as-prepared sub-microspheres have the same crystal and chemical structure as the raw materials. The thermal behavior performed by simultaneous thermal analysis (TG-DSC) verifies that in comparison to the raw materials sub-microspheres have a lower onset degradation temperature.</t>
  </si>
  <si>
    <t>[Huang, Chuan; Liu, Jiahui; Ding, Ling; Yang, Zhijian; Nie, Fude] China Acad Engn Phys, Inst Chem Mat, 64 Mianshan Rd, Mianyang 621900, Sichuan, Peoples R China; [Wang, Dunju] Southwest Univ Sci &amp; Technol, Sch Natl Def Sci &amp; Engn, 59 Qinglong Rd, Mianyang 621010, Sichuan, Peoples R China</t>
  </si>
  <si>
    <t>Chinese Academy of Engineering Physics; Southwest University of Science &amp; Technology - China</t>
  </si>
  <si>
    <t>Yang, ZJ; Nie, FD (corresponding author), China Acad Engn Phys, Inst Chem Mat, 64 Mianshan Rd, Mianyang 621900, Sichuan, Peoples R China.</t>
  </si>
  <si>
    <t>zhijianyang@caep.cn; niefude@caep.cn</t>
  </si>
  <si>
    <t>Huang, Chuan/0000-0002-3341-6112</t>
  </si>
  <si>
    <t>Doctoral Fund of Ministry of Education of China [2016 M592711]; National Natural Science Foundation of China [11502243]; Analytical and Testing Center of Southwest University of Science and Technology</t>
  </si>
  <si>
    <t>Doctoral Fund of Ministry of Education of China(Ministry of Education, China); National Natural Science Foundation of China(National Natural Science Foundation of China (NSFC)); Analytical and Testing Center of Southwest University of Science and Technology</t>
  </si>
  <si>
    <t>This work was supported by the Doctoral Fund of Ministry of Education of China (2016 M592711) and National Natural Science Foundation of China (11502243). The authors acknowledge the support of the Analytical and Testing Center of Southwest University of Science and Technology.</t>
  </si>
  <si>
    <t>10.1002/prep.201700154</t>
  </si>
  <si>
    <t>FW2MU</t>
  </si>
  <si>
    <t>WOS:000425138300013</t>
  </si>
  <si>
    <t>Ali, S</t>
  </si>
  <si>
    <t>Bell, GF</t>
  </si>
  <si>
    <t>Ali, Shahla</t>
  </si>
  <si>
    <t>Hong Kong Special Administrative Region, China The Adoption of the UNCITRAL Model Law on International Commercial Arbitration in Hong Kong</t>
  </si>
  <si>
    <t>UNCITRAL MODEL LAW AND ASIAN ARBITRATION LAWS: IMPLEMENTATION AND COMPARISONS</t>
  </si>
  <si>
    <t>[Ali, Shahla] Univ Hong Kong, Int, Hong Kong, Peoples R China; [Ali, Shahla] Univ Hong Kong, Fac Law, LLM Arbitrat &amp; Dispute Resolut, Hong Kong, Peoples R China</t>
  </si>
  <si>
    <t>Ali, S (corresponding author), Univ Hong Kong, Int, Hong Kong, Peoples R China.;Ali, S (corresponding author), Univ Hong Kong, Fac Law, LLM Arbitrat &amp; Dispute Resolut, Hong Kong, Peoples R China.</t>
  </si>
  <si>
    <t>EW Barker Centre for Law &amp; Business at the Faculty of Law of the National University of Singapore; GRF Grant [HKU 17603215]; HKU University grants committee [HKU 201409176036]</t>
  </si>
  <si>
    <t>EW Barker Centre for Law &amp; Business at the Faculty of Law of the National University of Singapore; GRF Grant; HKU University grants committee</t>
  </si>
  <si>
    <t>Shahla Ali is an associate professor and associate dean (International) and Deputy Director of the LL.M in arbitration and dispute resolution in the Faculty of Law at the University of Hong Kong. The author thanks the EW Barker Centre for Law &amp; Business at the Faculty of Law of the National University of Singapore for financing her participation in the conference entitled, `The UNCITRAL Model Law on International Commercial Arbitration in Asia', which led to this book. Special thanks also to GRF Grant (HKU 17603215) and the HKU University grants committee (HKU 201409176036) and for the research assistance of William Yang and Florence Tse.</t>
  </si>
  <si>
    <t>THE PITT BUILDING, TRUMPINGTON ST, CAMBRIDGE CB2 1RP, CAMBS, ENGLAND</t>
  </si>
  <si>
    <t>978-1-316-63531-5; 978-1-107-18397-1</t>
  </si>
  <si>
    <t>10.1017/9781316875070</t>
  </si>
  <si>
    <t>Business; International Relations; Law</t>
  </si>
  <si>
    <t>BQ5QY</t>
  </si>
  <si>
    <t>WOS:000606981800003</t>
  </si>
  <si>
    <t>Bjorklund, AK; Druzin, BH</t>
  </si>
  <si>
    <t>Bjorklund, Andrea K.; Druzin, Bryan H.</t>
  </si>
  <si>
    <t>INSTITUTIONAL LOCK-IN WITHIN THE FIELD OF INVESTMENT ARBITRATION</t>
  </si>
  <si>
    <t>UNIVERSITY OF PENNSYLVANIA JOURNAL OF INTERNATIONAL LAW</t>
  </si>
  <si>
    <t>INCREASING RETURNS; PATH DEPENDENCE; INSTALLED BASE; COMPETITION; COMPATIBILITY; LAW</t>
  </si>
  <si>
    <t>This Article examines the likelihood of the emergence of an alternative center for investment arbitration - a very much debated, if not favored, option in some policy circles. We argue that given the current market dominance of the International Centre for Settlement of Investment Disputes (ICSID), the emergence of institutional competition from other regions of the world is constrained by network effects. Network effects arise when the value that consumers derive from a good increases as others also use the good. (Language is the classic example.) As more users adopt the good and its utility is enhanced, additional consumers flock to the good, creating positive feedback. When a market has settled upon a single standard, the market is said to have tipped. This gives rise to a monopoly-type situation that prevents potential rivals from successfully challenging the market dominance of the prevailing standard, creating what is known as institutional lock-in. After explaining the concept of institutional lock-in, we explore its salience in the investment arbitration realm. We find that this model is robust and its impact discernible in the current investment arbitration environment. Notwithstanding this finding, certain exogenous events could substantially reduce or even annihilate this effect. To this end, potential disruptive events - such as the European Union's push for an investment court, potential competition from the Permanent Court of Arbitration (PCA) or other arbitration centers, and unforeseen legislative changes - are explored. These events could undermine the market dominance of ICSID and trigger either a large-scale coalescence around an alternative institution or, rather more likely, the parceling out of investment arbitration among multiple competitors until the market again coalesces around a new standard. However, we conclude that in the absence of a strong exogenous shock, the institutional lock-in of ICSID will be difficult to dislodge.</t>
  </si>
  <si>
    <t>[Bjorklund, Andrea K.] McGill Univ, Fac Law, Int Arbitrat &amp; Int Commercial Law, Montreal, PQ, Canada; [Druzin, Bryan H.] Chinese Univ Hong Kong, Fac Law, LLM Programs, Hong Kong, Hong Kong, Peoples R China</t>
  </si>
  <si>
    <t>McGill University; Chinese University of Hong Kong</t>
  </si>
  <si>
    <t>Bjorklund, AK (corresponding author), McGill Univ, Fac Law, Int Arbitrat &amp; Int Commercial Law, Montreal, PQ, Canada.</t>
  </si>
  <si>
    <t>Druzin, Bryan/W-2005-2019</t>
  </si>
  <si>
    <t>UNIV PENN LAW SCH</t>
  </si>
  <si>
    <t>3400 CHESTNUT ST, PHILADELPHIA, PA 19104-6204 USA</t>
  </si>
  <si>
    <t>1938-0283</t>
  </si>
  <si>
    <t>U PA J INT LAW</t>
  </si>
  <si>
    <t>Univ. Pa. J. Int. Law</t>
  </si>
  <si>
    <t>GQ9XT</t>
  </si>
  <si>
    <t>WOS:000442155800003</t>
  </si>
  <si>
    <t>S</t>
  </si>
  <si>
    <t>Calzadilla, PV; Mauger, R; Du Plessis, A</t>
  </si>
  <si>
    <t>Filho, WL; Manolas, E; Azul, AM; Azeiteiro, UM; McGhie, H</t>
  </si>
  <si>
    <t>Calzadilla, Paola Villavicencio; Mauger, Romain; Du Plessis, Anel</t>
  </si>
  <si>
    <t>Climate Change Communication in Higher Education Institutions: The Case of the North-West University in South Africa</t>
  </si>
  <si>
    <t>HANDBOOK OF CLIMATE CHANGE COMMUNICATION, VOL. 3: CASE STUDIES IN CLIMATE CHANGE COMMUNICATION</t>
  </si>
  <si>
    <t>Climate Change Management</t>
  </si>
  <si>
    <t>[Calzadilla, Paola Villavicencio; Mauger, Romain; Du Plessis, Anel] North West Univ, Fac Law, Potchefstroom, South Africa; [Du Plessis, Anel] North West Univ, Law, Potchefstroom, South Africa; [Du Plessis, Anel] North West Univ, LLM Environm Law &amp; Governance, Potchefstroom, South Africa; [Mauger, Romain] Univ Montpellier, Fac Law, Montpellier, France</t>
  </si>
  <si>
    <t>North West University - South Africa; North West University - South Africa; North West University - South Africa; Universite de Montpellier</t>
  </si>
  <si>
    <t>Calzadilla, PV (corresponding author), North West Univ, Fac Law, Potchefstroom, South Africa.</t>
  </si>
  <si>
    <t>p_villavicencio@hotmail.com; r.mauger@yahoo.fr; anel.duplessis@nwu.ac.za</t>
  </si>
  <si>
    <t>Mauger, Romain/GYE-0297-2022</t>
  </si>
  <si>
    <t>Mauger, Romain/0000-0002-5085-7518; Villavicencio Calzadilla, Paola/0000-0001-8531-5172</t>
  </si>
  <si>
    <t>SPRINGER-VERLAG BERLIN</t>
  </si>
  <si>
    <t>HEIDELBERGER PLATZ 3, D-14197 BERLIN, GERMANY</t>
  </si>
  <si>
    <t>1610-2010</t>
  </si>
  <si>
    <t>978-3-319-70479-1; 978-3-319-70478-4</t>
  </si>
  <si>
    <t>CLIM CHANG MANAG</t>
  </si>
  <si>
    <t>10.1007/978-3-319-70479-1_15</t>
  </si>
  <si>
    <t>10.1007/978-3-319-70479-1</t>
  </si>
  <si>
    <t>Communication; Environmental Studies</t>
  </si>
  <si>
    <t>Communication; Environmental Sciences &amp; Ecology</t>
  </si>
  <si>
    <t>BL0XJ</t>
  </si>
  <si>
    <t>WOS:000446842600016</t>
  </si>
  <si>
    <t>Chen, CH; Hsieh, MC; Lao, WT; Lin, EK; Lu, YJ; Wu, SY</t>
  </si>
  <si>
    <t>Chen, Chien-Hsin; Hsieh, Mao-Chih; Lao, Wilson T.; Lin, En-Kwang; Lu, Yen-Jung; Wu, Szu-Yuan</t>
  </si>
  <si>
    <t>Multidisciplinary team intervention associated with improved survival for patients with colorectal adenocarcinoma with liver or lung metastasis</t>
  </si>
  <si>
    <t>AMERICAN JOURNAL OF CANCER RESEARCH</t>
  </si>
  <si>
    <t>Colorectal adenocarcinoma; overall death; multidisciplinary teams; liver metastasis; lung metastasis</t>
  </si>
  <si>
    <t>PROGRESSION-FREE SURVIVAL; LONG-TERM SURVIVAL; DISTANT METASTASIS; 1ST-LINE TREATMENT; RANDOMIZED-TRIAL; CANCER INCIDENCE; SUPPORTIVE CARE; SCORING SYSTEM; PD-1 BLOCKADE; PHASE-3 TRIAL</t>
  </si>
  <si>
    <t>Background and Objectives: To investigate whether multidisciplinary team (MDT) intervention is associated with improved survival for patients with colorectal adenocarcinoma with liver or lung metastasis (CRA-LLM). Methods: We enrolled 161 consecutive patients with histologically confirmed CRA-LLM at Taipei Medical UniversityWan Fang Hospital between January 2007 and December 2017. In total, 75 patients with CRA-LLM received MDT intervention, and 86 patients did not receive MDT intervention. To evaluate prognostic factors for overall death, we performed univariate and multivariate Cox regression analyses of the overall death rate in all patients. Overall survival rates were calculated using the Kaplan-Meier method, and Kaplan-Meier survival curves were compared using the log-rank test (P &lt; .001). Results: A multivariate Cox regression analysis of the overall death rate in patients with CRA-LLM showed that age &lt;= 65 years, systemic chemotherapy, curative-intent treatments, and MDT intervention are strong prognostic factors. The adjusted hazard ratio of death risk for age &lt;= 65 years, systemic chemotherapy, curative-intent treatments, and MDT intervention were 0.60 (95% confidence interval [CI], 0.40-0.92; P =.019), 0.19 (95% CI, 0.12-0.32; P = .001), 0.25 (95% CI, 0.13-0.50; P = .001), and 0.40 (95% CI, 0.25-0.65; P =.001), respectively. The 3-year overall survival rates in patients with CRA-LLM receiving MDT intervention and not receiving MDT intervention were 48.75% and 24.21%, respectively. Conclusion: MDT intervention is associated with improved survival for patients with CRA-LLM.</t>
  </si>
  <si>
    <t>[Chen, Chien-Hsin; Lin, En-Kwang; Lu, Yen-Jung] Taipei Med Univ, Wan Fang Hosp, Dept Colorectal Surg, Taipei, Taiwan; [Hsieh, Mao-Chih] Taipei Med Univ, Wan Fang Hosp, Dept Gen Surg, Taipei, Taiwan; [Lao, Wilson T.] Taipei Med Univ, Wan Fang Hosp, Dept Radiol, Taipei, Taiwan; [Wu, Szu-Yuan] Taipei Med Univ, Wan Fang Hosp, Dept Radiat Oncol, 111,Sect 3,Hsing Long Rd, Taipei 116, Taiwan; [Wu, Szu-Yuan] Fudan Univ, Zhongshan Hosp, Inst Clin Sci, Shanghai 200032, Peoples R China; [Wu, Szu-Yuan] Taipei Med Univ, Coll Med, Sch Med, Dept Internal Med, Taipei, Taiwan</t>
  </si>
  <si>
    <t>Wu, SY (corresponding author), Taipei Med Univ, Wan Fang Hosp, Dept Radiat Oncol, 111,Sect 3,Hsing Long Rd, Taipei 116, Taiwan.</t>
  </si>
  <si>
    <t>szuyuan-wu5399@gmail.com</t>
  </si>
  <si>
    <t>Taipei Medical University [103TMU-WFH-07, 104TMU-WFH-07, TMU105-AE1-B26, 201705066]; Wanfang Hospital funding [107-wf-swf-08]</t>
  </si>
  <si>
    <t>Taipei Medical University; Wanfang Hospital funding</t>
  </si>
  <si>
    <t>Taipei Medical University (103TMU-WFH-07, and 104TMU-WFH-07, &amp; TMU105-AE1-B26) and Wanfang Hospital funding 107-wf-swf-08. Our protocols were reviewed and approved by the Institutional Review Board of Taipei Medical University (TMU-JIRB No. 201705066).</t>
  </si>
  <si>
    <t>E-CENTURY PUBLISHING CORP</t>
  </si>
  <si>
    <t>MADISON</t>
  </si>
  <si>
    <t>40 WHITE OAKS LN, MADISON, WI 53711 USA</t>
  </si>
  <si>
    <t>2156-6976</t>
  </si>
  <si>
    <t>AM J CANCER RES</t>
  </si>
  <si>
    <t>Am. J. Cancer Res.</t>
  </si>
  <si>
    <t>GV2OF</t>
  </si>
  <si>
    <t>WOS:000445929700020</t>
  </si>
  <si>
    <t>Dolinski, MA; Dangelo, JWD; Cuquel, FL; Motta, ACV; De Mio, LLM</t>
  </si>
  <si>
    <t>Dolinski, Marcos Antonio; de Oliveira Dangelo, Jessica Welinski; Cuquel, Francine Lorena; Vargas Motta, Antonio Carlos; May De Mio, Louise Larissa</t>
  </si>
  <si>
    <t>Quality peach produced in fertilizer doses of nitrogen and green pruning</t>
  </si>
  <si>
    <t>BRAGANTIA</t>
  </si>
  <si>
    <t>Prunus persica; mineral nutrition; fruit quality; post-harvest; organoleptic</t>
  </si>
  <si>
    <t>POLYPHENOL OXIDASE ACTIVITY; POTASSIUM FERTILIZATION; YIELD; APPLES; TREES; PLUM</t>
  </si>
  <si>
    <t>The increasing consumer demand for fruit quality justifies the development of researches that combine orchards management and consumers' perception of the quality of the product. The aim of this study was to evaluate the effect of nitrogen fertilization combined with green pruning intensity on fruit quality of 'Chimarrita' from high density peach trees during three consecutive harvest seasons. For this purpose, urea composed of different nitrogen rates (0, 40, 80, 120, 160, 200 and 240 kg.ha(-1). year(-1)) was applied, under two intensities of green pruning (annual-once per season; or continuous-four times per season) in a factorial scheme (7 x 2). Fruits have been subjected to physical, chemical and sensorial analysis, made by 60 non-trained evaluators in each of the harvest seasons. The results showed that the cumulative effect of applying N in the third harvest season improved SS attributes, SS/TA ratio and fruit skin color to the dose of N of 148 kg. ha(-1). year(-1). There is no difference between green pruning intensity and peach fruit quality.</t>
  </si>
  <si>
    <t>[Dolinski, Marcos Antonio; de Oliveira Dangelo, Jessica Welinski; Cuquel, Francine Lorena] Univ Fed Parana, Dept Fitotecnia &amp; Fitossanit, Curitiba, Parana, Brazil; [Vargas Motta, Antonio Carlos] Univ Fed Parana, Dept Solos &amp; Engn Agr, Curitiba, Parana, Brazil; [May De Mio, Louise Larissa] Univ Fed Parana, Programa Posgrad Agron Prod Vegetal, Curitiba, Parana, Brazil</t>
  </si>
  <si>
    <t>Universidade Federal do Parana; Universidade Federal do Parana; Universidade Federal do Parana</t>
  </si>
  <si>
    <t>Dolinski, MA (corresponding author), Univ Fed Parana, Dept Fitotecnia &amp; Fitossanit, Curitiba, Parana, Brazil.</t>
  </si>
  <si>
    <t>dolinskiagro@gmail.com</t>
  </si>
  <si>
    <t>Cuquel, Francine/ABG-4480-2022; May De Mio, Louise Larissa/K-3065-2012</t>
  </si>
  <si>
    <t>May De Mio, Louise Larissa/0000-0002-4202-4428; Cuquel, Francine Lorena/0000-0002-3026-2058; Motta, Antonio/0000-0001-9117-1881</t>
  </si>
  <si>
    <t>Coordination of Higher Education Personnel (CAPES); National Council for Scientific and Technological Development (CNPq) [473.913/2008-9]</t>
  </si>
  <si>
    <t>Coordination of Higher Education Personnel (CAPES)(Coordenacao de Aperfeicoamento de Pessoal de Nivel Superior (CAPES)); National Council for Scientific and Technological Development (CNPq)(Conselho Nacional de Desenvolvimento Cientifico e Tecnologico (CNPQ))</t>
  </si>
  <si>
    <t>To the Pontifical Catholic University of Parana (PUCPR), by granting the area for the installation of the field experiment in the Experimental Gralha Azul Farm Unit. To the Coordination of Higher Education Personnel (CAPES), for granting the first author a scholarship. The National Council for Scientific and Technological Development (CNPq) for financial support for this work (Edital Universal 2008/2009 - Project 473.913/2008-9).</t>
  </si>
  <si>
    <t>INST AGRONOMICO</t>
  </si>
  <si>
    <t>CAIXA POSTAL 28, CAMPINAS, SP 00000, BRAZIL</t>
  </si>
  <si>
    <t>0006-8705</t>
  </si>
  <si>
    <t>1678-4499</t>
  </si>
  <si>
    <t>Bragantia</t>
  </si>
  <si>
    <t>10.1590/1678-4499.2016307</t>
  </si>
  <si>
    <t>Agriculture, Multidisciplinary; Geology</t>
  </si>
  <si>
    <t>Agriculture; Geology</t>
  </si>
  <si>
    <t>GG1MG</t>
  </si>
  <si>
    <t>WOS:000432450500013</t>
  </si>
  <si>
    <t>Hewitt, SN; Messam, LLM</t>
  </si>
  <si>
    <t>Hewitt, S. N.; Messam, L. L. Mc, V</t>
  </si>
  <si>
    <t>Blood Drive Day-related Factors Affecting University Student Blood Donation in Grenada, West Indies: A Case-control Study</t>
  </si>
  <si>
    <t>WEST INDIAN MEDICAL JOURNAL</t>
  </si>
  <si>
    <t>Blood donation; Grenada; university students</t>
  </si>
  <si>
    <t>KNOWLEDGE; MOTIVATIONS; BEHAVIOR</t>
  </si>
  <si>
    <t>Objective: To determine what factors acting in close temporal proximity to the day of a university campus blood drive are associated with university student blood donation. Methods: An incidence density case-control study was conducted at St George's University, Grenada. West Indies. Cases (69) were students interviewed while donating blood at blood drives (February to April 2010). Controls (437) were non-donating students interviewed on the same days as cases. Exposures of interest were: sources of knowledge of the blood drive. the presence or lack of academic deadlines within a week of the blood drive, and the number of hours of classes on the day of the blood drive. Data were analysed using logistic regression with adjusted odds ratios approximating risk ratios (RRs). Results: Associations with blood donation were higher for electronic and/or personal (RREmail = 5.1; 95% confidence interval (CI): 2.7, 9.6; RRFacebook = 4.3; 95% CI: 2.1, 9.0; RRPersonalReminder =2.9; 95% CI: 1.6, 5.4) than for impersonal (RRClassAnnouncement= 2.4; 95% CI: 1.3. 4.8) sources of knowledge of the blood drive. Additionally, students with classes only in the morning (RRAMonly = 1.5; 95% CI: 0.7, 2.9) or only in the afternoon (RRPMonly = 1.9; 95% CI: 1.2, 3.2) and those with no academic deadlines within a week of the blood drive were more likely to donate blood. Conclusion: University student blood donation showed a stronger association with personal and/or electronic advertising than with impersonal and/or non-electronic advertising. University blood drives should target students with similar timetables at times of reduced academic stress using personal and electronic modes of advertising.</t>
  </si>
  <si>
    <t>[Hewitt, S. N.] East Tennessee State Univ, Quillen Coll Med, Dept Family Med, ETSU Family Phys Kingsport, Kingsport, TN 37660 USA; [Messam, L. L. Mc, V] Univ Coll Dublin, Coll Hlth &amp; Agr Sci, Sch Vet Med, Sect Herd Hlth &amp; Anim Husb, Dublin, Ireland</t>
  </si>
  <si>
    <t>East Tennessee State University; University College Dublin</t>
  </si>
  <si>
    <t>Messam, LLM (corresponding author), Univ Coll Dublin, Vet Sci Ctr, Sch Vet Med, Sect Herd Hlth &amp; Anim Husb,Coll Hlth &amp; Agr Sci, Dublin 4, Ireland.</t>
  </si>
  <si>
    <t>Messam, Locksley L. McV./0000-0001-5791-555X</t>
  </si>
  <si>
    <t>UNIV WEST INDIES FACULTY MEDICAL SCIENCES</t>
  </si>
  <si>
    <t>KINGSTON</t>
  </si>
  <si>
    <t>MONA CAMPUS, KINGSTON 7, JAMAICA</t>
  </si>
  <si>
    <t>0043-3144</t>
  </si>
  <si>
    <t>2309-5830</t>
  </si>
  <si>
    <t>W INDIAN MED J</t>
  </si>
  <si>
    <t>West Ind. Med. J.</t>
  </si>
  <si>
    <t>10.7727/wimj.2017.222</t>
  </si>
  <si>
    <t>HD4XG</t>
  </si>
  <si>
    <t>WOS:000452531100005</t>
  </si>
  <si>
    <t>Huang, XH; Zhao, XC; Huang, JQ</t>
  </si>
  <si>
    <t>Huang, Xianghua; Zhao, Xiaochun; Huang, Jiaqin</t>
  </si>
  <si>
    <t>A simplified model for predicting the propeller-wing interaction</t>
  </si>
  <si>
    <t>AIRCRAFT ENGINEERING AND AEROSPACE TECHNOLOGY</t>
  </si>
  <si>
    <t>Decoupling parameter; Fitting model; Propeller-wing interaction; Real-time model</t>
  </si>
  <si>
    <t>Purpose - The traditional numerical methods to predict the interaction between the wing and propeller are too complex and time-consuming for computation to a certain extent. Therefore, they are not applicable for a real-time integrated turboprop aircraft model. This paper aims to present a simplified model capable of high-precision and real-time computing. Design/methodology/approach - A wing model based on the lifting line theory coupled with a propeller model based on the strip theory is used to predict the propeller-wing interaction. To meet the requirement of real-time computing, a novel decoupling parameter is presented to replace lifting line model (LLM) applied for wings with a simplified fitting model (FM). Findings - The comparison between the LLM and the simplified FM demonstrates that the results of the FM have a good agreement with the results of the LLM, which means that the simplified FM has the advantages of both high-accuracy and real-time computation. Practical implications - After simplification, the propeller-wing interaction model is suitable for a real-time integrated turboprop aircraft model. Originality/value - A novel decoupling parameter is presented to replace LLM applied for wings with a simplified FM, which has the advantages of both high-accuracy and real-time computation.</t>
  </si>
  <si>
    <t>[Huang, Xianghua] Nanjing Univ Aeronaut &amp; Astronaut, Coll Power &amp; Energy, Nanjing, Jiangsu, Peoples R China; Jiangsu Prov Key Lab Aerosp Power Syst, Nanjing, Jiangsu, Peoples R China; Minist Ind &amp; Informat Technol, Key Lab Aeroengine Thermal Environm &amp; Struct, Nanjing, Jiangsu, Peoples R China</t>
  </si>
  <si>
    <t>Nanjing University of Aeronautics &amp; Astronautics</t>
  </si>
  <si>
    <t>Huang, XH (corresponding author), Nanjing Univ Aeronaut &amp; Astronaut, Coll Power &amp; Energy, Nanjing, Jiangsu, Peoples R China.</t>
  </si>
  <si>
    <t>xhhuang@nuaa.edu.cn</t>
  </si>
  <si>
    <t>Zhao, Xiaochun/J-8841-2016</t>
  </si>
  <si>
    <t>National Nature Science Foundation of China [51576097]; Postgraduate Laboratory Foundation of Nanjing University of Aeronautics and Astronautics; Jiangsu Innovation Program for Graduate Education [KYLX16_0357]; Fundamental Research Funds for the Central Universities</t>
  </si>
  <si>
    <t>National Nature Science Foundation of China(National Natural Science Foundation of China (NSFC)); Postgraduate Laboratory Foundation of Nanjing University of Aeronautics and Astronautics; Jiangsu Innovation Program for Graduate Education; Fundamental Research Funds for the Central Universities(Fundamental Research Funds for the Central Universities)</t>
  </si>
  <si>
    <t>The authors gratefully acknowledge the financial support from the National Nature Science Foundation of China (No. 51576097) and Postgraduate Laboratory Foundation of Nanjing University of Aeronautics and Astronautics. Besides this, the work was supported by Funding of Jiangsu Innovation Program for Graduate Education (No. KYLX16_0357) and the Fundamental Research Funds for the Central Universities.</t>
  </si>
  <si>
    <t>1748-8842</t>
  </si>
  <si>
    <t>1758-4213</t>
  </si>
  <si>
    <t>AIRCR ENG AEROSP TEC</t>
  </si>
  <si>
    <t>Aircr. Eng. Aerosp. Technol.</t>
  </si>
  <si>
    <t>10.1108/AEAT-06-2016-0102</t>
  </si>
  <si>
    <t>FU9ZJ</t>
  </si>
  <si>
    <t>WOS:000424215400021</t>
  </si>
  <si>
    <t>Maia, ALLM; Julca-Aguilar, FD; Hirata, NST</t>
  </si>
  <si>
    <t>Maia, Ana L. L. M.; Julca-Aguilar, Frank D.; Hirata, Nina S. T.</t>
  </si>
  <si>
    <t>A Machine Learning approach for Graph-based Page Segmentation</t>
  </si>
  <si>
    <t>PROCEEDINGS 2018 31ST SIBGRAPI CONFERENCE ON GRAPHICS, PATTERNS AND IMAGES (SIBGRAPI)</t>
  </si>
  <si>
    <t>SIBGRAPI - Brazilian Symposium on Computer Graphics and Image Processing</t>
  </si>
  <si>
    <t>31st Conference on Graphics, Patterns and Images (SIBGRAPI)</t>
  </si>
  <si>
    <t>OCT 29-NOV 01, 2018</t>
  </si>
  <si>
    <t>Foz do Iguacu, BRAZIL</t>
  </si>
  <si>
    <t>Univ Fed Parana,CAPES,CNPq,Estado Parana,Soc Brasileira Computacao,NVIDIA,Itau,Fundacao Araucaria</t>
  </si>
  <si>
    <t>We propose a new approach for segmenting a document image into its page components (e.g. text, graphics and tables). Our approach consists of two main steps. In the first step, a set of scores corresponding to the output of a convolutional neural network, one for each of the possible page component categories, is assigned to each connected component in the document. The labeled connected components define a fuzzy over-segmentation of the page. In the second step, spatially close connected components that are likely to belong to a same page component are grouped together. This is done by building an attributed region adjacency graph of the connected components and modeling the problem as an edge removal problem. Edges are then kept or removed based on a pre-trained classifier. The resulting groups, defined by the connected subgraphs, correspond to the detected page components. We evaluate our method on the ICDAR2009 dataset. Results show that our method effectively segments pages, being able to detect the nine types of page components. Furthermore, as our approach is based on simple machine learning models and graph-based techniques, it should be easily adapted to the segmentation of a variety of document types.</t>
  </si>
  <si>
    <t>[Maia, Ana L. L. M.; Julca-Aguilar, Frank D.; Hirata, Nina S. T.] Univ Sao Paulo, Inst Math &amp; Stat, Dept Comp Sci, Sao Paulo, Brazil; [Maia, Ana L. L. M.] State Univ Feira de Santana UEFS, Dept Exact Sci, Feira De Santana, Brazil</t>
  </si>
  <si>
    <t>Universidade de Sao Paulo; Universidade Estadual de Feira de Santana</t>
  </si>
  <si>
    <t>Maia, ALLM (corresponding author), Univ Sao Paulo, Inst Math &amp; Stat, Dept Comp Sci, Sao Paulo, Brazil.;Maia, ALLM (corresponding author), State Univ Feira de Santana UEFS, Dept Exact Sci, Feira De Santana, Brazil.</t>
  </si>
  <si>
    <t>Hirata, Nina S. T./C-1491-2012</t>
  </si>
  <si>
    <t>Hirata, Nina S. T./0000-0001-9722-5764</t>
  </si>
  <si>
    <t>FAPESP [2015/17741-9, 2016/060201]; CNPq [484572/2013-0, 305055/2015-1]</t>
  </si>
  <si>
    <t>FAPESP(Fundacao de Amparo a Pesquisa do Estado de Sao Paulo (FAPESP)); CNPq(Conselho Nacional de Desenvolvimento Cientifico e Tecnologico (CNPQ))</t>
  </si>
  <si>
    <t>A. L. L. M. Maia thanks State University of Feira de Santana, F. D. Julca-Aguilar thanks FAPESP (grant 2016/060201), and N. S. T. Hirata thanks CNPq (305055/2015-1). This work was supported by FAPESP (grant 2015/17741-9) and CNPq (grant 484572/2013-0).</t>
  </si>
  <si>
    <t>1530-1834</t>
  </si>
  <si>
    <t>978-1-5386-9264-6</t>
  </si>
  <si>
    <t>SIBGRAPI</t>
  </si>
  <si>
    <t>10.1109/SIBGRAPI.2018.00061</t>
  </si>
  <si>
    <t>BM1JP</t>
  </si>
  <si>
    <t>WOS:000459886600055</t>
  </si>
  <si>
    <t>Menashe, D</t>
  </si>
  <si>
    <t>Menashe, Doron</t>
  </si>
  <si>
    <t>A CRITICAL ANALYSIS OF THE ONLINE COURT</t>
  </si>
  <si>
    <t>STRICT LIABILITY; LAW; JUSTICE; TORTS</t>
  </si>
  <si>
    <t>It is no secret that many judicial systems across the globe are stumbling beneath a heavy burden of thousands of suits filed every year in court. The need to optimize the judicial system of England and Wales led Lord Justice Briggs to write a comprehensive report about the subject, in which he suggests the establishment of a model, the first of its kind in the United Kingdom, which he terms the Online Court. In Civil Courts Structure Review: Final Report, he sets out the details of this Online Court, which I will analyze in this article. The article contains two main parts. In the first part, the model is analyzed and broken down by its three stages. The advantages inherent to the Online Court are presented, including: saving time and money, making the court accessible to the disadvantaged, and reducing the caseload of each courtroom. Although there are many advantages, the Online Court has some serious drawbacks, including enabling frivolous lawsuits and the threat of identity theft by either party or even by a third party. In the second part, I will attack the crux of the matter, tackling the attendant issues raised by moving legal proceedings to a virtual environment. These aspects relate to the absence of legal representation envisioned by the model, as well as the concern of false testimony. In the final analysis the pros of this model far outweigh the cons. Indeed, the model is a desirable template which should first be employed as a pilot program, dealing with civil proceedings which may be easily resolved and claims involving relatively small amounts of money. Further down the road, this model may be applied to additional proceedings involving cases which are more expensive or more complex. Ultimately, the online legal system proposed constitutes the first step toward accommodating the court system to the innovative reality of the Internet Age, in a manner which is both systematic and controlled. The aim is to streamline existing legal proceedings and to make all legal services accessible, with the overarching ideal of justice for all as the guiding principle.</t>
  </si>
  <si>
    <t>[Menashe, Doron] Univ Haifa, Fac Law, LLM Program Adjudicat &amp; Criminal Procedure, Haifa, Israel</t>
  </si>
  <si>
    <t>University of Haifa</t>
  </si>
  <si>
    <t>Menashe, D (corresponding author), Univ Haifa, Fac Law, LLM Program Adjudicat &amp; Criminal Procedure, Haifa, Israel.</t>
  </si>
  <si>
    <t>GU1BE</t>
  </si>
  <si>
    <t>WOS:000444988900001</t>
  </si>
  <si>
    <t>Parker, MS</t>
  </si>
  <si>
    <t>Parker, Matthew S.</t>
  </si>
  <si>
    <t>THE ORIGIN OF LLM PROGRAMS A CASE STUDY OF THE UNIVERSITY OF PENNSYLVANIA LAW SCHOOL</t>
  </si>
  <si>
    <t>Graduate legal education programs, the most common of which is the Legum Magister or LL.M., have come under increasing criticism in recent years in the United States. Many observers have accused law schools of offering these degrees as a means of raising revenue, and maintain that they provide no real value to graduates obtaining the degree as they are not respected in the market for legal services. Despite these negative appraisals, the number, size and types of these programs have continued to grow rapidly at American law schools across institutions of widely varying sizes and reputation. While much has been written on the recent development and current state of graduate law programs, almost nothing has been written on how and why these programs came into existence, despite the fact that a number of U.S. law schools claim that their programs were founded well over a century ago. As LL.M. programs continue to blossom and law schools attempt to address the rising tide of criticism aimed at them, law faculty and administrators would be well advised to examine the origin and history of these degrees. Is it possible that law schools have been hoodwinking innocent lawyers into getting a useless degree for decades? Who were these degrees originally intended for and who ultimately chose to matriculate into these programs? What were the curricula for these programs like? Through historical analysis and archival research, this case study of the development of graduate law programs at the University of Pennsylvania Law School reveals that they were founded in response to a perceived need to make the study of law a more scholarly inquiry, and to ensure that law school training was not wholly confined to the necessities of legal practice. These programs were not created to enhance the job prospects of its graduates in the traditional legal market. They were part of a drive toward professionalization and standardization at the turn of the Twentieth century that was reflected across a wide sector of American society, and reflected the long simmering tension between those who viewed law as an art and those who viewed it as a science.</t>
  </si>
  <si>
    <t>[Parker, Matthew S.] Univ Penn, Law Sch, Grad Programs, Philadelphia, PA 19104 USA; [Parker, Matthew S.] Univ Penn, Law Sch, Legal Educ Programs, Philadelphia, PA 19104 USA</t>
  </si>
  <si>
    <t>Parker, MS (corresponding author), Univ Penn, Law Sch, Grad Programs, Philadelphia, PA 19104 USA.;Parker, MS (corresponding author), Univ Penn, Law Sch, Legal Educ Programs, Philadelphia, PA 19104 USA.</t>
  </si>
  <si>
    <t>WOS:000442155800005</t>
  </si>
  <si>
    <t>Song, MA; Ernst, T; Tiirikainen, M; Tost, J; Wilkens, LR; Chang, LD; Kolonel, LN; Le Marchand, L; Lim, U</t>
  </si>
  <si>
    <t>Song, Min-Ae; Ernst, Thomas; Tiirikainen, Maarit; Tost, Jorg; Wilkens, Lynne R.; Chang, Linda; Kolonel, Laurence N.; Le Marchand, Loic; Lim, Unhee</t>
  </si>
  <si>
    <t>Methylation of imprinted IGF2 regions is associated with total, visceral, and hepatic adiposity in postmenopausal women</t>
  </si>
  <si>
    <t>EPIGENETICS</t>
  </si>
  <si>
    <t>Body composition; hepatic steatosis; postmenopausal women</t>
  </si>
  <si>
    <t>X-RAY ABSORPTIOMETRY; BODY-MASS INDEX; DNA METHYLATION; GENE-EXPRESSION; CANCER-RISK; OBESITY; DISEASE; FAT; OVERWEIGHT; GROWTH</t>
  </si>
  <si>
    <t>Excess body fat, especially intra-abdominal fat, is a leading risk factor for metabolic diseases. Differentially methylated regions (DMRs) of two imprinted genes, insulin-like growth factor 2 (IGF2) and H19, have been associated with obesity due to their important roles in regulating body composition, but have not been examined in relation to intra-abdominal fat depots. Total body fat from whole-body dual energy X-ray absorptiometry and visceral and liver fat contents from abdominal magnetic resonance imaging in 48 healthy women aged 60-65years (of White or Japanese ancestry) were each regressed on circulating leukocyte DNA methylation levels of IGF2 (at DMR0, DMR2a, and DMR2b) and H19 (at CTCF3) as assessed by pyrosequencing, while adjusting for age and race/ethnicity. Total fat mass was inversely associated with methylation levels of IGF2 DMR2b (P=0.016). Total fat-adjusted visceral fat area (P=0.062) and percent visceral fat measured at L4-L5 (P=0.045) were associated with higher methylation levels of IGF2 DMR2b. Both total fat-adjusted percent liver fat (P=0.039) and the presence of fatty liver (P=0.015) were positively associated with IGF2 DMR2a methylation. Methylation levels of H19 CTCF3 were not associated with overall or intra/abdominal adiposity. The findings indicate that methylation levels of IGF2 DMR regions in leukocytes are associated with total body fat and with fat distribution in the viscera and liver independently of total adiposity.</t>
  </si>
  <si>
    <t>[Song, Min-Ae] Ohio State Univ, Coll Publ Hlth, Div Environm Hlth Sci, Columbus, OH 43210 USA; [Ernst, Thomas; Chang, Linda] Univ Hawaii Manoa, John A Burns Sch Med, Honolulu, HI 96822 USA; [Tiirikainen, Maarit; Wilkens, Lynne R.; Kolonel, Laurence N.; Le Marchand, Loic; Lim, Unhee] Univ Hawaii Manoa, Univ Hawaii Canc Ctr, Epidemiol Program, Honolulu, HI 96822 USA; [Tost, Jorg] CEA Inst Biol Francois Jacob, Ctr Natl Rech Genom Humaine, Lab Epigenet &amp; Environm, Evry, France</t>
  </si>
  <si>
    <t>Song, MA (corresponding author), 380C Cunz Hall1841,Neil Ave, Columbus, OH 43210 USA.</t>
  </si>
  <si>
    <t>V Foundation (VScholar Award); U.S. National Cancer Institute (NCI) [P30 CA071789]; OSU College of Public Health; NCI Program Project grant [P01 CA168530]</t>
  </si>
  <si>
    <t>V Foundation (VScholar Award); U.S. National Cancer Institute (NCI)(United States Department of Health &amp; Human ServicesNational Institutes of Health (NIH) - USANIH National Cancer Institute (NCI)); OSU College of Public Health; NCI Program Project grant</t>
  </si>
  <si>
    <t>This work was supported by the V Foundation (VScholar Award; UL), the U.S. National Cancer Institute (NCI) for the University of Hawaii Cancer Center [P30 CA071789; MT, LRW, LLM, and UL] and NCI Program Project grant [P01 CA168530; LLM, UL, LRW, TE, MT], and a research start-up fund (MAS) provided by OSU College of Public Health.</t>
  </si>
  <si>
    <t>1559-2294</t>
  </si>
  <si>
    <t>1559-2308</t>
  </si>
  <si>
    <t>EPIGENETICS-US</t>
  </si>
  <si>
    <t>Epigenetics</t>
  </si>
  <si>
    <t>10.1080/15592294.2018.1518100</t>
  </si>
  <si>
    <t>Biochemistry &amp; Molecular Biology; Genetics &amp; Heredity</t>
  </si>
  <si>
    <t>GY7DM</t>
  </si>
  <si>
    <t>WOS:000448764500006</t>
  </si>
  <si>
    <t>Sorte, CJB; Pandori, LLM; Cai, SK; Davis, KA</t>
  </si>
  <si>
    <t>Sorte, Cascade J. B.; Pandori, Lauren L. M.; Cai, Shukai; Davis, Kristen A.</t>
  </si>
  <si>
    <t>Predicting persistence in benthic marine species with complex life cycles: linking dispersal dynamics to redistribution potential and thermal tolerance limits</t>
  </si>
  <si>
    <t>MUSSELS MYTILUS-EDULIS; CLIMATE-CHANGE; CALIFORNIA CURRENT; POPULATION CONNECTIVITY; LARVAL DISPERSAL; JUVENILE PERFORMANCE; INVERTEBRATE LARVAE; NEARSHORE RETENTION; RELAXATION EVENTS; HISTORY STAGES</t>
  </si>
  <si>
    <t>Marine communities face continuing and accelerating climate change. Predicting which species will go extinct or persist in future climates requires assessing redistribution potential and tolerance to warming, both of which can depend on dispersal ability. We evaluated biophysical processes that could promote population persistence under changing climatic conditions by (1) promoting poleward dispersal in an Eastern Boundary Current region, where offshore currents flow predominantly equatorward, and (2) increasing the frequency of more thermotolerant phenotypes in marine populations. We paired intensive time-series observations (during 2014 and 2015) of recruitment and thermal tolerance limits for cohorts of marine mussels with simulated larval transport using a high-resolution, 3D coastal circulation model of the northeastern Pacific. We used the modeling results to predict the proportion of individuals in each recruiting cohort that originated from sources south or north of our study site on the USA west coast (45.50 degrees N, 123.95 degrees W) as well as the environmental conditions experienced in the water column. We found that the coastal upwelling index was related to origin of individuals within recruiting cohorts, with poleward recruitment predicted to increase under downwelling conditions. Furthermore, thermal tolerance limits were higher in cohorts predicted to experience higher and more variable temperatures during dispersal. These findings highlight complex links between demographic and physical transport processes as well as the potential for climate-driven changes in wind patterns to indirectly affect species' abilities to cope with increasing temperatures.</t>
  </si>
  <si>
    <t>[Sorte, Cascade J. B.; Pandori, Lauren L. M.] Univ Calif Irvine, Dept Ecol &amp; Evolutionary Biol, Irvine, CA 92717 USA; [Cai, Shukai; Davis, Kristen A.] Univ Calif Irvine, Dept Civil &amp; Environm Engn, Irvine, CA USA; [Davis, Kristen A.] Univ Calif Irvine, Dept Earth Syst Sci, Irvine, CA USA</t>
  </si>
  <si>
    <t>University of California System; University of California Irvine; University of California System; University of California Irvine; University of California System; University of California Irvine</t>
  </si>
  <si>
    <t>Sorte, CJB (corresponding author), Univ Calif Irvine, Dept Ecol &amp; Evolutionary Biol, Irvine, CA 92717 USA.</t>
  </si>
  <si>
    <t>University of California, Irvine through the Data Science Initiative; Interdisciplinary Innovation Initiative; UCI Henry Samueli School of Engineering, Department of Ecology and Evolutionary Biology; UCI Henry Samueli School of Engineering, School of Biological Sciences</t>
  </si>
  <si>
    <t>This study was funded by the University of California, Irvine through the Data Science Initiative (to LP) and the Interdisciplinary Innovation Initiative (to KD and CS), with support from the UCI Henry Samueli School of Engineering, Department of Ecology and Evolutionary Biology, and School of Biological Sciences.</t>
  </si>
  <si>
    <t>10.1007/s00227-017-3269-8</t>
  </si>
  <si>
    <t>FV1MH</t>
  </si>
  <si>
    <t>WOS:000424325900013</t>
  </si>
  <si>
    <t>NOV 2</t>
  </si>
  <si>
    <t>Singapore, SINGAPORE</t>
  </si>
  <si>
    <t>OCT 15</t>
  </si>
  <si>
    <t>JUL 13</t>
  </si>
  <si>
    <t>Green Submitted, hybrid, Green Published</t>
  </si>
  <si>
    <t>MAR 7</t>
  </si>
  <si>
    <t>JAN 15</t>
  </si>
  <si>
    <t>WARSAW</t>
  </si>
  <si>
    <t>Bamidis, Panagiotis/0000-0002-9936-5805; Konstantinidis, Evdokimos/0000-0002-5522-9553; Zilidou, Vasiliki/0000-0002-4859-6996</t>
  </si>
  <si>
    <t>OCT 26</t>
  </si>
  <si>
    <t>Entomology</t>
  </si>
  <si>
    <t>gold, Green Accepted, Green Published</t>
  </si>
  <si>
    <t>JOURNAL OF IMMUNOTOXICOLOGY</t>
  </si>
  <si>
    <t>1547-691X</t>
  </si>
  <si>
    <t>1547-6901</t>
  </si>
  <si>
    <t>J IMMUNOTOXICOL</t>
  </si>
  <si>
    <t>J. Immunotoxicol.</t>
  </si>
  <si>
    <t>Toxicology</t>
  </si>
  <si>
    <t>Green Published, hybrid, Green Accepted</t>
  </si>
  <si>
    <t>Green Published, Green Submitted, hybrid</t>
  </si>
  <si>
    <t>Chemistry, Multidisciplinary; Crystallography; Materials Science, Multidisciplinary</t>
  </si>
  <si>
    <t>Chemistry; Crystallography; Materials Science</t>
  </si>
  <si>
    <t>CLINICAL CHEMISTRY</t>
  </si>
  <si>
    <t>0009-9147</t>
  </si>
  <si>
    <t>1530-8561</t>
  </si>
  <si>
    <t>CLIN CHEM</t>
  </si>
  <si>
    <t>Clin. Chem.</t>
  </si>
  <si>
    <t>Medical Laboratory Technology</t>
  </si>
  <si>
    <t>Data base</t>
  </si>
  <si>
    <t>WOS</t>
  </si>
  <si>
    <t>Limited</t>
  </si>
  <si>
    <t>Open access</t>
  </si>
  <si>
    <t>So what if ChatGPT wrote it?? Multidisciplinary perspectives on opportunities, challenges and implications of generative conversational AI for research, practice and policy</t>
  </si>
  <si>
    <t>https://doi.org/10.53761/1.20.5.02</t>
  </si>
  <si>
    <t>https://doi.org/10.53761/1.20.5.01</t>
  </si>
  <si>
    <t>Vietnam</t>
  </si>
  <si>
    <t>Australia</t>
  </si>
  <si>
    <t>India</t>
  </si>
  <si>
    <t>151-200</t>
  </si>
  <si>
    <t>Colombia</t>
  </si>
  <si>
    <t>Japan</t>
  </si>
  <si>
    <t>51-100</t>
  </si>
  <si>
    <t>Spain</t>
  </si>
  <si>
    <t>United States</t>
  </si>
  <si>
    <t>Quantitative methodology</t>
  </si>
  <si>
    <t>Germany</t>
  </si>
  <si>
    <t>Portugal</t>
  </si>
  <si>
    <t>Saudi Arabia</t>
  </si>
  <si>
    <t>Examining Recommendations for Generative Artificial Intelligence Use with Integrity from a Scholarship of Teaching and Learning Lens</t>
  </si>
  <si>
    <t>Serbia</t>
  </si>
  <si>
    <t>Canada</t>
  </si>
  <si>
    <t>Taiwan</t>
  </si>
  <si>
    <t>USA</t>
  </si>
  <si>
    <t>no</t>
  </si>
  <si>
    <t>RQ1 What was the production of the research on implementing LLM in higher education within the framework of Education 4.0 from 2013-2023?</t>
  </si>
  <si>
    <t>RQ2 Which countries have led the research on implementing LLM in higher education within Education 4.0?</t>
  </si>
  <si>
    <t>RQ3 What research methodologies have predominated in studies on the subject?</t>
  </si>
  <si>
    <t>RQ4 What types of studies have been employed in research on the subject?</t>
  </si>
  <si>
    <t>RQ5 What sample sizes are observed in studies on the subject?</t>
  </si>
  <si>
    <t>Austria</t>
  </si>
  <si>
    <t>Indonesia</t>
  </si>
  <si>
    <t>Number Final database</t>
  </si>
  <si>
    <t>Keywords</t>
  </si>
  <si>
    <t>NA</t>
  </si>
  <si>
    <t>Italy</t>
  </si>
  <si>
    <t>United Arab Emirates</t>
  </si>
  <si>
    <t>Global Analysis / Not Applicable</t>
  </si>
  <si>
    <t>International Analysis: Australia and United States</t>
  </si>
  <si>
    <t>Croatia</t>
  </si>
  <si>
    <t>United Kingdom</t>
  </si>
  <si>
    <t>Sweden</t>
  </si>
  <si>
    <t>Ireland</t>
  </si>
  <si>
    <t>Malaysia</t>
  </si>
  <si>
    <t>Finland</t>
  </si>
  <si>
    <t>Norway</t>
  </si>
  <si>
    <t>Greece</t>
  </si>
  <si>
    <t>Jordan</t>
  </si>
  <si>
    <t>Turkey</t>
  </si>
  <si>
    <t>Experimental methodology</t>
  </si>
  <si>
    <t>Qualitative methodology</t>
  </si>
  <si>
    <t>Literature review</t>
  </si>
  <si>
    <t>Mixed methodology</t>
  </si>
  <si>
    <t>Practical, experiment-based methodology</t>
  </si>
  <si>
    <t xml:space="preserve">Literature review </t>
  </si>
  <si>
    <t>Quasi-qualitative approach</t>
  </si>
  <si>
    <t>Experimental study</t>
  </si>
  <si>
    <t>Conceptual paper</t>
  </si>
  <si>
    <t>Design methodology</t>
  </si>
  <si>
    <t>Delphi 
method</t>
  </si>
  <si>
    <t>Case study</t>
  </si>
  <si>
    <t>Descriptive study</t>
  </si>
  <si>
    <t>Design and development study</t>
  </si>
  <si>
    <t>Exploratory study</t>
  </si>
  <si>
    <t>Experimental study and descriptive study</t>
  </si>
  <si>
    <t>Exploratory study and descriptive study</t>
  </si>
  <si>
    <t>Comparative study</t>
  </si>
  <si>
    <t>Comparative and experimental study</t>
  </si>
  <si>
    <t>151-201</t>
  </si>
  <si>
    <t>201-250</t>
  </si>
  <si>
    <t>1-50</t>
  </si>
  <si>
    <t>more than 250</t>
  </si>
  <si>
    <t xml:space="preserve">NA </t>
  </si>
  <si>
    <t>101-150</t>
  </si>
  <si>
    <t>International Analysis: UK, India, USA, Saudi Arabia, India, Oman</t>
  </si>
  <si>
    <t>International Analysis: Bulgaria, Oman, Egypt</t>
  </si>
  <si>
    <t>International Analysis: China and Poland</t>
  </si>
  <si>
    <t>International Analysis: Canada and United States</t>
  </si>
  <si>
    <t>International Analysis: Singapore and Australia</t>
  </si>
  <si>
    <t>International Analysis: India, Norway, United Arab Emirates, and United States.</t>
  </si>
  <si>
    <t>International Analysis: United States, Australia, Botswana, Canada, Chile, China, Rwanda, Spain, and Switzerland</t>
  </si>
  <si>
    <t>International Analysis: United States and Egypt</t>
  </si>
  <si>
    <t>International Analysis: Antigua and Barbuda</t>
  </si>
  <si>
    <t>International Analysis: Hong Kong S.A.R., Singapore, Ireland, and the United Kingdom</t>
  </si>
  <si>
    <t>International Analysis:  Qatar, Tunisia, Poland</t>
  </si>
  <si>
    <t>Search strings</t>
  </si>
  <si>
    <t>SCOPUS</t>
  </si>
  <si>
    <t>(“large language model*” OR "LLM") AND ("higher education" OR "university" OR "college")</t>
  </si>
  <si>
    <t>(“large language model*” OR "LLM") AND ("higher education" OR "university" OR "college") AND ("artificial intelligence" OR "AI")</t>
  </si>
  <si>
    <t>(TITLE-ABS-KEY("large language model*" OR "LLM") AND TITLE-ABS-KEY("higher education" OR "university" OR "college"))</t>
  </si>
  <si>
    <t>(TITLE-ABS-KEY("large language model*" OR "LLM") AND TITLE-ABS-KEY("higher education" OR "university" OR "college") AND TITLE-ABS-KEY ("artificial intelligence" OR "AI"))</t>
  </si>
  <si>
    <t xml:space="preserve">total </t>
  </si>
  <si>
    <t>Feehily, R.; Middlesex University (Mauritius Branch Campus)Mauritius; email: ronan.feehily@mdx.ac.mu</t>
  </si>
  <si>
    <t>Varnava, T., Webb, J., Key Aspects of Teaching and Learning: Enhancing Learning in Legal Education (2009) A Handbook for Teaching and Learning in Higher Education, p. 363. , H. Fry, S. Ketteridge and S. Marshall,, Abingdon, Routledge; Varnava, T., Webb, J., Key Aspects of Teaching and Learning: Enhancing Learning in Legal Education (2009) A Handbook for Teaching and Learning in Higher Education, p. 364. , H. Fry, S. Ketteridge and S. Marshall,, Abingdon, Routledge; Twining, W., (1994) Blackstone’s Tower, , London, Sweet &amp; Maxwell; Varnava, Webb, (1994) Blackstone’s Tower, (1), p. 364. , London, Sweet &amp; Maxwell; Clegg, K., (2004) Playing Safe: Learning and Teaching in Undergraduate Law, , https://www.heacademy.ac.uk/system/files/playing_safe.pdf, UKCLE, available at, accessed 1 October 2016; (2004) Counting the Cost of the Law Degree, , http://www.ukcle.ac.uk/resources/directions/previous/issue8/leader/, available at, accessed 1 October 2016; Hammond, C., Teaching Practical Legal Problem Solving Skills: Preparing Law Students for the Realities of Legal Life (1999) Legal Education Review, 10, pp. 191-207 and 192-193; Mack, K., Integrating Procedure, ADR and Skills: New Teaching and Learning for New Dispute Resolution Processes (1998) Legal Education Review, 9, pp. 83-100 and 84-88; Eckmann, J.K., Law School Teaching: Linking Learning with Law Practice (2003) Legal Education Review, 14, pp. 257-268; Varnava, Webb, Law School Teaching: Linking Learning with Law Practice (2003) Legal Education Review, 14 (1), p. 364; Henderson, B.R., Asking the Lost Question: What Is the Purpose of Law School (2003) Journal of Legal Education, 53, pp. 48 and 57; Shulman, L.S., Signature Pedagogies in the Professions (2005) Daedalus, 134 (3), pp. 52 and 52; Shulman, L.S., Signature Pedagogies in the Professions (2005) Daedalus, 134 (3), pp. 52 and 55; Shulman, L.S., Signature Pedagogies in the Professions (2005) Daedalus, 134 (3), pp. 52 and 56; Shulman, L.S., Signature Pedagogies in the Professions (2005) Daedalus, 134 (3), pp. 52 and 57; Shulman, L.S., Signature Pedagogies in the Professions (2005) Daedalus, 134 (3), pp. 52 and 58; http://www.qaa.ac.uk/en/Publications/Documents/SBS-Law-15.pdf, accessed 1 October 2016; Macfarlane, J., Boyle, P., Instructional Design and Student Learning in Professional Legal Education (1993) Legal Education Review, 4, pp. 63-88 and 85-86; Varnava, Webb, Instructional Design and Student Learning in Professional Legal Education (1993) Legal Education Review, 4 (1), p. 365; http://www.sra.org.uk/students/academic-stage-joint-statement-bsb-law-society.page, Available at, accessed 1 October 2016; Batty, R., Well There’s Your Problem -the Case for Using PBL to Teach Law to Business Students (2013) Law Teacher, 47 (2), pp. 243-260 and 245-249; Moust, J.H.C., The Problem-Based Education Approach at the Maastricht Law School (1998) Law Teacher, 32 (1), pp. 5 and 6-7; Moskovitz, M., Beyond the Case Method: It’s Time to Teach with Problems (1992) Journal of Legal Education, 42, pp. 241-270 and 241-247; Webb, J., Boon, A., Legal Education and Training in England and Wales: Back to the Future? (2008) Journal of Legal Education, 79, p. 116; Maharg, P., (2007) Transforming Legal Education:Learning and Teaching the Law in the Early Twenty-First Century, p. 272. , Aldershot, Ashgate; Hirokawa, K.H., Critical Enculturation: Using Problems to Teach Law (2009) Drexel Law Review, 2 (1), pp. 1-40 and 7; Gibbs, G., (1981) Twenty Terrible Reasons for Lecturing, , Birmingham, SCED Occasional Paper No. 8, section 1.6; Boud, D., Felleti, G., (1991) The Challenge of Problem-Based Learning, p. 54. , London, Kogan Page; Havelock, R., Law Studies and Active Learning: Friends Not Foes? (2013) Law Teacher, 47 (3), pp. 382-403 and 383; Orji, P.I., Problem-based Approach in Property Law -a University’s Strategy in Focus (2015) Law Teacher, 49 (3), pp. 372-387 and 380; Frank, J., Why Not a Clinical Lawyer-School? (1933) University of Pennsylvania Law Review, 81, pp. 907 and 914-923; Hirokawa, Why Not a Clinical Lawyer-School? (1933) University of Pennsylvania Law Review, 81 (21), p. 2; Morgan, T.D., Use of the Problem Method for Teaching Legal Ethics (1998) William &amp; Mary Law Review, 39, pp. 409 and 409-410; Hirokawa, Use of the Problem Method for Teaching Legal Ethics (1998) William &amp; Mary Law Review, 39 (21), p. 2; Kiley, M., Mullins, G., Peterson, R., Rogers, T., Leap into Problem-based Learning, p. 15. , Centre for Learning &amp; Professional Development, University of Adelaide; McCall, I., Online Enhanced Problembased Learning: Assessing a Blended Learning Framework (2010) Law Teacher, 44 (1), pp. 42-58 and 44; Ogden, G.L., The Problem Method in Legal Education (1984) Journal of Legal Education, 34, pp. 654-673; Wolff, L.-C., Structured Problem Solving: German Methodology from a Comparative Perspective (2003) Legal Education Review, 14, pp. 19-51; Prince, M., Does Active Learning Work? A Review of the Research (2004) Journal of Engineering Education, 93, pp. 223 and 224-229; Flagg, B.J., Experimenting with Problem-Based Learning in Constitutional Law (2002) Washington University Journal of Law &amp; Policy, 10, pp. 101-160 and 102-103; Tzannes, M., Problem Based Learning in Legal Education: Intentionally Overlooked or Merely Misunderstood (1997) Law Teacher, 31 (2), pp. 180-197 and 181-182; Boud, D., Feletti, G., (1997) The Challenge of Problem Based Learning, , 2nd ed., London, Kogan Page, chapter 4; Grimes, R., Delivering Legal Education through an Integrated Problem-based Learning Model -the Nuts and Bolts (2014) International Journal of Clinical Legal Education, 21, pp. 228-256 and 256; Grimes, R., Delivering Legal Education through an Integrated Problem-based Learning Model -the Nuts and Bolts (2014) International Journal of Clinical Legal Education, 21, pp. 5-6; Flagg, Delivering Legal Education through an Integrated Problem-based Learning Model -the Nuts and Bolts (2014) International Journal of Clinical Legal Education, 21 (32), p. 104; Moskovitz, Delivering Legal Education through an Integrated Problem-based Learning Model -the Nuts and Bolts (2014) International Journal of Clinical Legal Education, 21 (19), p. 244; Eckmann, Delivering Legal Education through an Integrated Problem-based Learning Model -the Nuts and Bolts (2014) International Journal of Clinical Legal Education, 21 (4), p. 260; Bush, R.A.B., Using Process Observation to Teach Alternative Dispute Resolution: Alternatives to Simulation (1987) Journal of Legal Education, 37 (1), pp. 46 and 48 and 55; Garrett, E., The Socratic Method (1998) The Green Bag, , http://www.law.uchicago.edu/socrates/soc_article.html, accessed 1 October 2016; Bone, A., Hinett, K., Developing Reflective Practice. Assessment for Learning:Guide for Law Teachers, , http://www.ukcle.ac.uk/resources/assessment-and-feedback/reflective/, available at, accessed 1 October 2016; Ross, B., Towards a Framework for Problem Based Curricula Boud and Feletti, supra, (33). , chapter 3; Maudsley, G., Do We All Mean the Same Thing by ‘Problem-Based Learning’? A Review of the Concepts and a Formulation of the Ground Rules (1999) Academic Medicine, 74 (2), pp. 178-185; Maudsley, G., Do We All Mean the Same Thing by ‘Problem-Based Learning’? A Review of the Concepts and a Formulation of the Ground Rules (1999) Academic Medicine, 74 (2), p. 183; Varnava, Webb, Do We All Mean the Same Thing by ‘Problem-Based Learning’? A Review of the Concepts and a Formulation of the Ground Rules (1999) Academic Medicine, 74 (2), p. 367; Ramsden, P., (2003) Learning to Teach in Higher Education, p. 141. , London, Routledge; Grimes, R., Delivering Legal Education through an Integrated Problem-based Learning Model -the Nuts and Bolts (2014) International Journal of Clinical Legal Education, 21, pp. 228-256 and 232; Varnava, Webb, Delivering Legal Education through an Integrated Problem-based Learning Model -the Nuts and Bolts (2014) International Journal of Clinical Legal Education, 21 (1), p. 368; Wong, Y.J., Harnessing the Potential of Problem-based Learning in Legal Education (2003) Law Teacher, 37 (2), pp. 157-173 and 168; Light, G., Cox, R., (2001) Learning and Teaching in Higher Education: The Reflective Professional, p. 176. , London, Sage; Batty, (2001) Learning and Teaching in Higher Education: The Reflective Professional, (18), p. 249. , London, Sage; Grimes, (2001) Learning and Teaching in Higher Education: The Reflective Professional, (34), pp. 1-26. , London, Sage; Clough, J., Shorter, G.W., Evaluating the Effectiveness of Problem-based Learning as a Method of Engaging Year One Law Students (2015) Law Teacher, 49 (3), pp. 277-302 and 282 and 382-403; Martin, F., Using a Modified Problem Based Learning Approach to Motivate and Enhance Student Learning of Taxation Law (2003) Law Teacher, 37 (1), pp. 55-75; Nagarajan, V., Designing Learning Strategies for Competition Law -Finding a Place for Context and Problem Based Learning (2002) Legal Education Review, 13, pp. 1-19; Flagg, Designing Learning Strategies for Competition Law -Finding a Place for Context and Problem Based Learning (2002) Legal Education Review, 13 (32), pp. 101-160; Moust, Designing Learning Strategies for Competition Law -Finding a Place for Context and Problem Based Learning (2002) Legal Education Review, 13 (19), pp. 5-36; Macfarlane, J., Manwaring, J., Using Problem-Based Learning to Teach First Year Contracts (1998) Journal of Professional Legal Education, 16 (2), pp. 271-298; Sylvester, C., Hall, J., Hall, E., Problembased Learning and Clinical Legal Education: What Can Clinical Educators Learn from PBL? (2004) International Journal of Clinical Legal Education, 4, pp. 39-63; Berry, R.M., Teaching Health Law (2011) Journal of Law, Medicine and Ethics, 39, pp. 694-703; Batty, Teaching Health Law (2011) Journal of Law, Medicine and Ethics, 39 (18), pp. 243-260; McCall, Teaching Health Law (2011) Journal of Law, Medicine and Ethics, 39 (29), pp. 42-58; Martin, F., Teaching Legal Problem Solving: A Problem-based Learning Approach Combined with a Computerised Generic Problem (2003) Legal Education Review, 14, pp. 77-92; Ramsden, Teaching Legal Problem Solving: A Problem-based Learning Approach Combined with a Computerised Generic Problem (2003) Legal Education Review, 14 (48); Pue, W.W., Educating the Total Jurist? (2005) Legal Ethics, 8, pp. 208 and 220; Cunningham, C.D., ‘How Can We Give up Our Child?' A Practice-based Approach to Teaching Legal Ethics (2008) Law Teacher, 42 (3), pp. 312-328 and 328; MacDonald, R., Savin-Baden, M., A Briefing on Assessment in Problem Based Learning (2004) LTSN Generic Centre Assessment Series, (13), p. 2; , p. 6. , http://www.qaa.ac.uk/en/Publications/Documents/SBS-Law-15.pdf, accessed 1 October 2016; Hmelo-Silver, C.E., Problem-Based Learning: What and How Do Students Learn (2004) Educational Psychology Review, 16 (3), pp. 235-266 and 237; Biggs, J., (2003) Teaching for Quality Learning at University, pp. 11-18. , Buckingham, SRHE and Open University Press; Fry, H., Ketteridge, S., Marshall, S., (2008) A Handbook for Teaching and Learning in Higher Education: Enhancing Academic Practice, pp. 369-370. , Abingdon, Routledge; Ramsden, (2008) A Handbook for Teaching and Learning in Higher Education: Enhancing Academic Practice, (48), pp. 39-61 and 141. , Abingdon, Routledge; Wong, (2008) A Handbook for Teaching and Learning in Higher Education: Enhancing Academic Practice, (51), pp. 157-173. , Abingdon, Routledge; Baron, P., Deep and Surface Learning: Can Teachers Really Control Student Approaches to Learning in Law? (2002) Law Teacher, 36 (2), pp. 123-139; http://www.middlesex.mu/courses/postgraduate/llm-international-business-law, accessed 1 October 2016; Greene, J.C., Is Mixed Methods Social Inquiry a Distinctive Methodology? (2008) Journal of Mixed Methods Research, 2; Greene, J.C., (2007) Mixed Methods in Social Inquiry, , San Francisco, CA, Jossey-Bass; Creswell, J.W., (2013) Research Design: Qualitative, Quantitative, and Mixed Methods Approaches, , 4th ed., California, Sage Publications; Brookfield, S.D., Critical Incidence Questionnaire (1995) Becoming a Critically Reflective Teacher, , San Francisco, CA, Jossey-Bass, Ch. 6; Havelock, (1995) Becoming a Critically Reflective Teacher, (22), p. 393. , San Francisco, CA, Jossey-Bass; Boud, Feletti, (1995) Becoming a Critically Reflective Teacher, (33), p. 29. , San Francisco, CA, Jossey-Bass; Liddle, M., Student Attitudes towards Problem-Based Learning in Law (2000) Journal on Excellence in College Teaching, 11 (2), pp. 163-190 and 187; Race, P., Brown, S., Inspiring Learning about Teaching and Assessment (2001) The ILTA Guide (York, Institute of Learning and Teaching, p. 9. , http://www.guardian.co.uk/education/2001/dec/18/careers.highereducation, Available at, accessed 1 October 2016; Prince, M., Does Active Learning Work? A Review of the Research (2004) Journal of Engineering Education, 93, pp. 223 and 224-229; Moust, Does Active Learning Work? A Review of the Research (2004) Journal of Engineering Education, 93 (19), pp. 223 and 16; Macfarlane, J., Boyle, P., Instructional Design and Student Learning in Professional Legal Education (1993) Legal Education Review, pp. 63-88 and 68; Evensen, D.H., To Group or Not to Group: Students’ Perceptions of Collaborative Learning Activities in Law School (2003) Southern Illinois University Law Journal, 28, pp. 343 and 392; MacDonald, Savin-Baden, To Group or Not to Group: Students’ Perceptions of Collaborative Learning Activities in Law School (2003) Southern Illinois University Law Journal, 28 (61), p. 3; MacDonald, Savin-Baden, To Group or Not to Group: Students’ Perceptions of Collaborative Learning Activities in Law School (2003) Southern Illinois University Law Journal, 28 (61), p. 4; Hirokawa, To Group or Not to Group: Students’ Perceptions of Collaborative Learning Activities in Law School (2003) Southern Illinois University Law Journal, 28 (21), p. 16; Barrows, H.S., A Taxonomy of Problem-Based Learning Methods (1986) Medical Education, 20, pp. 481-486 and 485; Boud, Feletti, A Taxonomy of Problem-Based Learning Methods (1986) Medical Education, 20 (33), p. 33; Nagarajan, A Taxonomy of Problem-Based Learning Methods (1986) Medical Education, 20 (55), pp. 8-10; Polzer, J.T., Milton, L.P., Swann, W.B., Capitalizing on Diversity: Interpersonal Congruence in Small Work Groups (2002) Administrative Science Quarterly, 47 (2), pp. 296-324 and 296; Nathanson, S., The Role of Problem Solving in Legal Education (1989) Journal of Legal Education, 39, pp. 167-183 and 182-183; www.cedr.com/?location=/news/archive/20041101.htm, accessed 1 October 2016; Warne, J., (2010) International Commercial Dispute Resolution, p. 256. , Haywards Heath, Tottel; Wong, (2010) International Commercial Dispute Resolution, (51), p. 169. , Haywards Heath, Tottel; Barrows, H.S., A Taxonomy of Problem-Based Learning Methods (1986) Medical Education, 20, pp. 481-486; Hirokawa, A Taxonomy of Problem-Based Learning Methods (1986) Medical Education, 20 (21), p. 2; Havelock, A Taxonomy of Problem-Based Learning Methods (1986) Medical Education, 20 (22), p. 389; Flagg, A Taxonomy of Problem-Based Learning Methods (1986) Medical Education, 20 (32), p. 134; Macfarlane, Boyle, A Taxonomy of Problem-Based Learning Methods (1986) Medical Education, 20 (79), p. 71; Ogden, A Taxonomy of Problem-Based Learning Methods (1986) Medical Education, 20 (30), p. 666; Danov, M., Teaching International Commercial Arbitration at Postgraduate Level -Techniques for Enhancing Students’ Learning (2011) Law Teacher, 45 (1), pp. 101-113; Eggert, M., (1999) The Motivation Pocketbook, , Alresford, Alresford Press Limited; Clough, Shorter, (1999) The Motivation Pocketbook, (55), p. 282. , Alresford, Alresford Press Limited; Race, P., (2001) The Lecturer’s Toolkit: A Practical Guide to Learning, Teaching &amp; Assessment, , 2nd ed., Abingdon, RoutledgeFalmer; Clough, Shorter, (2001) The Lecturer’s Toolkit: A Practical Guide to Learning, Teaching &amp; Assessment, (55), p. 282. , 2nd ed., Abingdon, RoutledgeFalmer; Batty, (2001) The Lecturer’s Toolkit: A Practical Guide to Learning, Teaching &amp; Assessment, (18), p. 250. , 2nd ed., Abingdon, RoutledgeFalmer; Mack, (2001) The Lecturer’s Toolkit: A Practical Guide to Learning, Teaching &amp; Assessment, (4), pp. 97-98. , 2nd ed., Abingdon, RoutledgeFalmer; Moskovitz, (2001) The Lecturer’s Toolkit: A Practical Guide to Learning, Teaching &amp; Assessment, 19, pp. 250-251 and 267. , 2nd ed., Abingdon, RoutledgeFalmer; Boud, Feletti, (2001) The Lecturer’s Toolkit: A Practical Guide to Learning, Teaching &amp; Assessment, (33), pp. 30-31. , 2nd ed., Abingdon, RoutledgeFalmer; Orji, (2001) The Lecturer’s Toolkit: A Practical Guide to Learning, Teaching &amp; Assessment, (22), p. 382. , 2nd ed., Abingdon, RoutledgeFalmer; Flagg, (2001) The Lecturer’s Toolkit: A Practical Guide to Learning, Teaching &amp; Assessment, (32), p. 139. , 2nd ed., Abingdon, RoutledgeFalmer; Bella, N.J., (2004) Reflective Analysis of Student Work: Improving Teaching Through Collaboration, p. 3. , Thousand Oaks, CA, Corwin Press; Stern, D., Huber, G.L., (1997) Active Learning for Students and Teachers, p. 13. , New York, Peter Lang; Clegg, K., Introduction to Assessment in Legal Education, , http://www.ukcle.ac.uk/resources/assessment-and-feedback/introduction/, UKCLE, available at, accessed 1 October 2016; Bone, A., Hinett, K., The Future of Assessment in Legal Education? Assessment for Learning: Guide for Law Teachers, , http://www.ukcle.ac.uk/resources/assessment-and-feedback/future/, UKCLE, available at, accessed 1 October 2016; East, R., Effective Assessment Strategies in Law, , http://www.ukcle.ac.uk/resources/assessment-and-feedback/effective/, UKCLE, available at, accessed 1 October 2016; Sherrin, C., The Essential Synergy between Assessment and Learning in Skills-based Legal Practice Courses, , http://www.ukcle.ac.uk/resources/assessment-and-feedback/sherrin/, UKCLE, available at, accessed 1 October 2016; Hinett, K., Developing Reflective Practice in Legal Education (2002) UKCLE, p. 2. , http://www.ukcle.ac.uk/resources/personal-development-planning/reflection/, available at, accessed 1 October 2016; Cowan, J., (1999) On Becoming an Innovative University Teacher:Reflection in Action, p. 66. , Buckingham, Open University Press; Ramsden, (1999) On Becoming an Innovative University Teacher:Reflection in Action, (48), pp. 197-198. , Buckingham, Open University Press; Barell, J., (2003) Developing More Curious Minds, p. 144. , Virginia, ASCD; Varnava, Webb, (2003) Developing More Curious Minds, p. 378. , Virginia, ASCD; Klugg, H., Teaching Critical Thinking and Writing through Debates: An Experimental Evaluation (1990) Teaching Sociology, 18 (4), pp. 462-471 and 469; Maughan, Webb, (1996), (1), pp. 283 and 379. , as referred to in Varnava and Webb, supra; Gibbs, G., Dunbat-Goddet, H., (2007) The Effects of Programme Assessment Environments on Student Learning, p. 27. , http://www.heacademy.ac.uk/resources/detail/teachingandresearch/the_effects_of_programme_assessment_environments_on_student_learning, Oxford Learning Institute, UKCLE, available at, accessed 1 October 2016; Knight, P.T., (2001) A Briefing on Key Concepts: Formative and Summative, Criterion and Norm Referenced Assessment, (7), p. 10. , LTSN Generic Centre Assessment Series; East, R., Formative v Summative Assessment UKCLE, , http://www.ukcle.ac.uk/resources/assessment-and-feedback/formative/, available at, accessed 1 October 2016; Bone, A., Designing Student Learning by Promoting Formative Assessment (2008) UKCLE, , http://www.ukcle.ac.uk/resources/assessment-and-feedback/formative-assessment/, available at, accessed 1 October 2016; Bone, A., Swan, Z., (2010) The First Year Experience of Assessment -Realigning the Learning, , http://www.ukcle.ac.uk/resources/assessment-andfeedback/first-year-experience-of-assessment/, UKCLE, available at, accessed 1 October 2016; Wynell-Sutherland, P., Mytton, E., Assessment in a Rapidly Changing World; Developing a New Discourse (2011) UKCLE, , http://www.ukcle.ac.uk/resources/assessment-and-feedback/wynell-sutherland/, available at, accessed 1 October 2016; Boyer, E.L., (1997) Scholarship Reconsidered: Priorities of the Professoriate, , Princeton, NJ, The Carnegie Foundation for the Advancement of Teaching; Greaves, K., Is Scholarship of Teaching and Learning in Practical Legal Training a Professional Responsibility? (2015) Law Teacher, 49 (1), pp. 22-38 and 23; Clouston, T.J., Facilitating Tutorials in Problem-based Learning: Students’ Perspectives (2005) Enhancing Teaching in Higher Education: New Approaches for Improving Student Learning, p. 52. , P. Hartley, A. Woods and M. Pill (eds),, London, Taylor &amp; Francis; McCall, Facilitating Tutorials in Problem-based Learning: Students’ Perspectives (2005) Enhancing Teaching in Higher Education: New Approaches for Improving Student Learning, (29), p. 44. , P. Hartley, A. Woods and M. Pill (eds),, London, Taylor &amp; Francis; Le Brun, M., Johnstone, R., (1994) The Quiet (R)evolution -Improving Student Learning in Law, p. 93. , Sydney, Law Book Company; Kiley, M., Peterson, R., (1994) The Quiet (R)evolution -Improving Student Learning in Law, (29), p. 19. , Sydney, Law Book Company; Hammond, (1994) The Quiet (R)evolution -Improving Student Learning in Law, (4), p. 207. , Sydney, Law Book Company</t>
  </si>
  <si>
    <t>Feehily, R., Middlesex University (Mauritius Branch Campus), Vacoas-Phoenix, Mauritius, Durham University, Durham, DH1 3LE, United Kingdom</t>
  </si>
  <si>
    <t>56747920300;</t>
  </si>
  <si>
    <t>All Open Access, Gold, Green</t>
  </si>
  <si>
    <t>Ke, X.; HealthCore, 123 Justison Street, Suite 200, United States; email: xke@healthcore.com</t>
  </si>
  <si>
    <t>(2015) Underlying Cause of Death 1999- 2013 on CDC WONDER Online Database, Released 2015. Data are from the Multiple Cause of Death Files, 1999-2013, as Compiled from Data Provided by the 57 Vital Statistics Jurisdictions through the Vital Statistics Cooperative Program, , http://wonder.cdc.gov/ucd-icd10.html; (2010) The Next Four Decades. the Older Population in the United States: 2010 to 2050, , https://www.census.gov/prod/2010pubs/p25-1138.pdf, Washington, DC: U.S. Department of Commerce; Heidenreich, P.A., Trogdon, J.G., Khavjou, O.A., American Heart Association Advocacy Coordinating Committee; Stroke Council; Council on Cardiovascular Radiology and Intervention; Council on Clinical Cardiology; Council on Epidemiology and Prevention; Council on Arteriosclerosis; Thrombosis and Vascular Biology; Council on Cardiopulmonary; Critical Care; Perioperative and Resuscitation; Council on Cardiovascular Nursing; Council on the Kidney in Cardiovascular Disease; Council on Cardiovascular Surgery and Anesthesia, and Interdisciplinary Council on Quality of Care and Outcomes Research. Forecasting the future of cardiovascular disease in the United States: A policy statement from the American Heart Association (2011) Circulation, 123 (8), pp. 933-944; Grundy, S.M., Cleeman, J.I., Merz, C.N., American College of Cardiology F and American Heart A. Implications of recent clinical trials for the National Cholesterol Education Program Adult Treatment Panel III guidelines (2004) Circulation, 110, pp. 227-239; Stone, N.J., Robinson, J.G., Lichtenstein, A.H., American College of Cardiology/American Heart Association Task Force on Practice G. 2013 ACC/AHA guideline on the treatment of blood cholesterol to reduce atherosclerotic cardiovascular risk in adults: A report of the American College of Cardiology/American Heart Association Task Force on Practice Guidelines (2014) Circulation, 129 (25), pp. SS1-S45; Baigent, C., Keech, A., Kearney, P.M., Cholesterol Treatment Trialists C. Efficacy and safety of cholesterol-lowering treatment: Prospective meta-analysis of data from 90,056 participants in 14 randomised trials of statins (2005) Lancet, 366 (9493), pp. 1267-1278; Baigent, C., Blackwell, L., Efficacy and safety of more intensive lowering of LDL cholesterol: A meta-analysis of data from 170,000 participants in 26 randomised trials (2010) Lancet, 376 (9753), pp. 1670-1681. , Cholesterol Treatment Trialists’ (CTT) Collaboration; Cholesterol Treatment Trialists, C., Mihaylova, B., Emberson, J., The effects of lowering LDL cholesterol with statin therapy in people at low risk of vascular disease: Meta-analysis of individual data from 27 randomised trials (2012) Lancet, 380 (9841), pp. 581-590; Ling, G., Antiplatelet therapy for secondary prevention in stroke making the right choice (2012) Curr Vasc Pharmacol, 10 (2), pp. 225-237; Thavendiranathan, P., Bagai, A., Brookhart, M.A., Choudhry, N.K., Primary prevention of cardiovascular diseases with statin therapy: A meta-analysis of randomized controlled trials (2006) Arch Intern Med, 166 (21), pp. 2307-2313; Cannon, C.P., The next step in cardiovascular protection (2003) Atheroscler Suppl, 4 (5), pp. 3-9; Larosa, J.C., At the heart of the statin benefit (2005) J am Coll Cardiol, 46 (10), p. 1863; Third Report of the National Cholesterol Education Program (NCEP) expert panel on detection, evaluation, and treatment of high blood cholesterol in adults (Adult Treatment Panel III) final report (2002) Circulation, 106 (25), pp. 3143-3421; Pencina, M.J., Navar-Boggan, A.M., D’Agostino, R.B., Sr., Application of new cholesterol guidelines to a population-based sample (2014) N Engl J Med, 370 (15), pp. 1422-1431; Koenigsfeld, C., Sayler, M., Smith, H.L., Retrospective evaluation of ASCVD risk and statin therapy need in nondiabetic patients based on the 2013 ACC/AHA cholesterol guidelines (2017) J Pharm Pract, 30 (3), pp. 300-305; Tran, J.N., Caglar, T., Stockl, K.M., Lew, H.C., Solow, B.K., Chan, P.S., Impact of the new ACC/AHA guidelines on the treatment of high blood cholesterol in a managed care setting (2014) Am Health Drug Benefits, 7 (8), pp. 430-443; Wasser, T., We, B., Ycas, J., Tunceli, O., Applying weighting methodologies to a commercial database to project US Census Demographic Data Am J Acc Care. 2015;9, 15, pp. 33-38; Quan, H., Sundararajan, V., Halfon, P., Coding algorithms for defining comorbidities in ICD-9-CM and ICD-10 administrative data (2005) Med Care, 43, pp. 1130-1139; (2014) Consumer Price Index (CPI) for Medical Care, , http://data.bls.gov; Moran, J.L., Solomon, P.J., Peisach, A.R., Martin, J., New models for old questions: Generalized linear models for cost prediction (2007) J Eval Clin Pract, 13 (3), pp. 381-389; Virani, S.S., Woodard, L.D., Akeroyd, J.M., Ramsey, D.J., Ballantyne, C.M., Petersen, L.A., Is high-intensity statin therapy associated with lower statin adherence compared with low- to moderate-intensity statin therapy? Implications of the 2013 American College of Cardiology/American Heart Association Cholesterol Management Guidelines (2014) Clin Cardiol, 37 (11), pp. 653-659; Rosenson, R.S., Kent, S.T., Brown, T.M., Underutilization of highintensity statin therapy after hospitalization for coronary heart disease (2015) J am Coll Cardiol, 65 (3), pp. 270-277; Jacobson, T.A., Ito, M.K., Maki, K.C., National Lipid Association recommendations for patient-centered management of dyslipidemia: Part 1- executive summary (2014) J Clin Lipidol, 8 (5), pp. 473-488; Raymond, C., Cho, L., Rocco, M., Hazen, S.L., New cholesterol guidelines: Worth the wait? (2014) Cleve Clin J Med, 81 (1), pp. 11-19; Colantonio, L.D., Huang, L., Monda, K.L., Adherence to high-intensity statins following a myocardial infarction hospitalization among Medicare beneficiaries (2017) JAMA Cardiol, 2 (8), pp. 890-895; Stain, N., Ridge, D., Cheshire, A., Gender comparisons in non-acute cardiac symptom recognition and subsequent help-seeking decisions: A mixed methods study protocol (2014) BMJ Open, 4 (10); Gulati, M., Merz, C.N., New cholesterol guidelines and primary prevention in women (2015) Trends Cardiovasc Med, 25 (2), pp. 84-94; Fihn, S.D., Gardin, J.M., Abrams, J., ACCF/AHA/ACP/AATS/ PCNA/SCAI/STS Guideline for the diagnosis and management of patients with stable ischemic heart disease: A report of the American College of Cardiology Foundation/American Heart Association Task Force on Practice Guidelines, and the American College of Physicians, American Association for Thoracic Surgery, Preventive Cardiovascular Nurses Association, Society for Cardiovascular Angiography and Interventions, and Society of Thoracic Surgeons (2012) J am Coll Cardiol, 60 (24), pp. ee44-e164</t>
  </si>
  <si>
    <t>Bernard B Tulsi, MSc, provided writing and other editorial support for this manuscript. We wish to recognize Debra Wertz, PharmD, Senior Director at HealthCore, Inc., for her critical review and guidance throughout the study, and in the preparation of this manuscript. This study was supported by Eli Lilly and Company.</t>
  </si>
  <si>
    <t>Eli Lilly and Company</t>
  </si>
  <si>
    <t>lipid, 66455-18-3; Biomarkers; Hypolipidemic Agents; Lipids</t>
  </si>
  <si>
    <t>antilipemic agent; low density lipoprotein cholesterol; antilipemic agent; biological marker; lipid; adolescent; adult; age; Article; cholesterol level; clinical feature; cohort analysis; comorbidity; coronary artery atherosclerosis; cost of illness; disease association; disease burden; drug use; female; follow up; gender; health care cost; health care need; health care utilization; health insurance; human; lipid analysis; major clinical study; male; monotherapy; observational study; retrospective study; aged; atherosclerosis; blood; clinical practice; drug cost; drug utilization review; economics; factual database; health care planning; medication compliance; middle aged; practice guideline; protocol compliance; time factor; treatment outcome; trends; United States; utilization; Aged; Atherosclerosis; Biomarkers; Databases, Factual; Drug Costs; Drug Utilization Review; Female; Guideline Adherence; Health Resources; Humans; Hypolipidemic Agents; Lipids; Male; Medication Adherence; Middle Aged; Practice Guidelines as Topic; Practice Patterns, Physicians'; Retrospective Studies; Time Factors; Treatment Outcome; United States</t>
  </si>
  <si>
    <t>Power, T.P., AIM Specialty Health, Chicago, IL, United States; Ke, X., HealthCore, Inc., Wilmington, DE, United States; Zhao, Z., Eli Lilly and Company, Indianapolis, IN, United States; Bonine, N.G., HealthCore, Inc., Wilmington, DE, United States; Cziraky, M.J., HealthCore, Inc., Wilmington, DE, United States; Grabner, M., HealthCore, Inc., Wilmington, DE, United States; Barron, J.J., HealthCore, Inc., Wilmington, DE, United States; Quimbo, R., HealthCore, Inc., Wilmington, DE, United States; Vangerow, B., Eli Lilly and Company, Indianapolis, IN, United States; Toth, P.P., CGH Medical Center, Sterling, IL, United States, Johns Hopkins University School of Medicine, Baltimore, MD, United States</t>
  </si>
  <si>
    <t>55880331300;57007757000;36676111100;57191069724;6603413740;37074484700;7102686800;56719587000;6602867129;7102285226;</t>
  </si>
  <si>
    <t>Power T.P., Ke X., Zhao Z., Bonine N.G., Cziraky M.J., Grabner M., Barron J.J., Quimbo R., Vangerow B., Toth P.P.</t>
  </si>
  <si>
    <t>All Open Access, Bronze, Green</t>
  </si>
  <si>
    <t>Jones, G.; Menzies Institute for Medical Research, Private Bag 23, Australia; email: Graeme.Jones@utas.edu.au</t>
  </si>
  <si>
    <t>Murphy, R.A., Ip, E.H., Zhang, Q., Transition to sarcopenia and determinants of transitions in older adults: A population-based study (2013) J Gerontol A Biol Sci Med Sci., 69, pp. 751-758; Hirani, V., Blyth, F., Naganathan, V., Sarcopenia is associated with incident disability, institutionalization, and mortality in community-dwelling older men: The concord health and ageing in men project (2015) J Am Med Dir Assoc., 16, pp. 607-613; Balogun, S., Winzenberg, T., Wills, K., Prospective associations of low muscle mass and function with 10-year falls risk, incident fracture and mortality in community-dwelling older adults (2016) J Nutr Health Aging., 21, pp. 843-848; Roshanravan, B., Patel, K.V., Fried, L.F., Association of muscle endurance, fatigability, and strength with functional limitation and mortality in the health aging and body composition study (2017) J Gerontol A Biol Sci Med Sci., 72, pp. 284-291. , Health ABC study; Denison, H.J., Cooper, C., Sayer, A.A., Robinson, S.M., Prevention and optimal management of sarcopenia: A review of combined exercise and nutrition interventions to improve muscle outcomes in older people (2015) Clin Interv Aging., 10, pp. 859-869; Liu, G., Lu, L., Sun, Q., Poor Vitamin D status is prospectively associated with greater muscle mass loss in middle-aged and elderly Chinese individuals (2014) J Acad Nutr Diet., 114, pp. 1544e2-1551e2; Scott, D., Blizzard, L., Fell, J., Ding, C., Winzenberg, T., Jones, G., A prospective study of the associations between 25-hydroxy-Vitamin D, sarcopenia progression and physical activity in older adults (2010) Clin Endocrinol (Oxf)., 73, pp. 581-587; Hirani, V., Cumming, R.G., Naganathan, V., Longitudinal associations between Vitamin D metabolites and sarcopenia in older australian men: The concord health and aging in men project (2017) J Gerontol A Biol Sci Med Sci., pp. 1-8; Scott, D., Blizzard, L., Fell, J., Jones, G., Prospective associations between ambulatory activity, body composition and muscle function in older adults (2011) Scand J Med Sci Sports., 21, pp. e168-e175; Foong, Y.C., Chherawala, N., Aitken, D., Scott, D., Winzenberg, T., Jones, G., Accelerometer-determined physical activity, muscle mass, and leg strength in community-dwelling older adults (2016) J Cachexia Sarcopenia Muscle., 7, pp. 275-283; Scott, D., Blizzard, L., Fell, J., Jones, G., Prospective study of self-reported pain, radiographic osteoarthritis, sarcopenia progression, and falls risk in community-dwelling older adults (2012) Arthritis Care Res (Hoboken)., 64, pp. 30-37; Wang, L.P., Maxwell, S.E., On disaggregating between-person and withinperson effects with longitudinal data using multilevel models (2015) Psychol Methods., 20, pp. 63-83; Hoffman, L., Stawski, R.S., Persons as contexts: Evaluating between-person and within-person effects in longitudinal analysis (2009) Research in Human Development., 6, pp. 97-120; Metter, E.J., Lynch, N., Conwit, R., Lindle, R., Tobin, J., Hurley, B., Muscle quality and age: Cross-sectional and longitudinal comparisons (1999) J Gerontol A Biol Sci Med Sci., 54, pp. B207-B218; Schmidt, M.D., Cleland, V.J., Shaw, K., Dwyer, T., Venn, A.J., Cardiometabolic risk in younger and older adults across an index of ambulatory activity (2009) Am J Prev Med., 37, pp. 278-284; McConnell, S., Kolopack, P., Davis, A.M., The Western Ontario and McMaster Universities Osteoarthritis Index (WOMAC): A review of its utility and measurement properties (2001) Arthritis Rheum., 45, pp. 453-461; Singer, J.D., Willett, J.B., (2003) Applied Longitudinal Data Analysis: Modeling Change and Event Occurrence, , Oxford: Oxford university press; Preacher, K.J., Zyphur, M.J., Zhang, Z., A general multilevel SEM framework for assessing multilevel mediation (2010) Psychol Methods., 15, pp. 209-233; Hoffman, L., (2015) Longitudinal Analysis: Modeling Within-person Fluctuation and Change, , New York: Routledge; Elsawy, B., Higgins, K.E., Physical activity guidelines for older adults (2010) Am Fam Physician., 81, pp. 55-59; Buford, T.W., Anton, S.D., Judge, A.R., Models of accelerated sarcopenia: Critical pieces for solving the puzzle of age-related muscle atrophy (2010) Ageing Res Rev., 9, pp. 369-383; Scott, D., Blizzard, L., Fell, J., Jones, G., Ambulatory activity, body composition, and lower-limb muscle strength in older adults (2009) Med Sci Sports Exerc., 41, pp. 383-389; Da Boit, M., Sibson, R., Meakin, J.R., Sex differences in the response to resistance exercise training in older people (2016) Physiol Rep., 4, p. e12834; Vlaeyen, J.W., Linton, S.J., Fear-avoidance and its consequences in chronic musculoskeletal pain: A state of the art (2000) Pain., 85, pp. 317-332; Cruz-Almeida, Y., Rosso, A., Marcum, Z., Associations of musculoskeletal pain with mobility in older adults: Potential cerebral mechanisms (2017) J Gerontol A Biol Sci Med Sci., pp. 1-7; Young, A., Current issues in arthrogenous inhibition (1993) Ann Rheum Dis., 52, pp. 829-834; Henriksen, M., Rosager, S., Aaboe, J., Graven-Nielsen, T., Bliddal, H., Experimental knee pain reduces muscle strength (2011) J Pain., 12, pp. 460-467; Wade, K.F., Marshall, A., Vanhoutte, B., Wu, F.C., O'Neill, T.W., Lee, D.M., Does pain predict frailty in older men and women? Findings from the English Longitudinal Study of Ageing (ELSA) (2016) J Gerontol A Biol Sci Med Sci., 71, pp. 823-830; Fransen, M., Su, S., Harmer, A., A longitudinal study of knee pain in older men: Concord health and ageing in men project (2013) Age Ageing., pp. 1-7; Meints, S.M., Stout, M., Abplanalp, S., Hirsh, A.T., Pain-related rumination, but not magnification or helplessness, mediates race and sex differences in experimental pain (2017) J Pain., 18, pp. 332-339; Rizzoli, R., Reginster, J.Y., Arnal, J.F., Quality of life in sarcopenia and frailty (2013) Calcif Tissue Int., 93, pp. 101-120; Gifondorwa, D.J., Thompson, T.D., Wiley, J., Vitamin D and/or calcium deficient diets may differentially affect muscle fiber neuromuscular junction innervation (2016) Muscle Nerve., 54, pp. 1120-1132; Grimaldi, A.S., Parker, B.A., Capizzi, J.A., 25(OH) Vitamin D is associated with greater muscle strength in healthy men and women (2013) Med Sci Sports Exerc., 45, pp. 157-162</t>
  </si>
  <si>
    <t>25-hydroxyvitamin D; Vitamin D</t>
  </si>
  <si>
    <t>25-hydroxyvitamin D; vitamin D; analogs and derivatives; anatomy and histology; blood; body composition; exercise; female; human; independent living; knee; longitudinal study; male; middle aged; muscle strength; pain measurement; pathophysiology; photon absorptiometry; physiology; skeletal muscle; Absorptiometry, Photon; Body Composition; Exercise; Female; Humans; Independent Living; Knee Joint; Longitudinal Studies; Male; Middle Aged; Muscle Strength; Muscle, Skeletal; Pain Measurement; Vitamin D</t>
  </si>
  <si>
    <t>Balogun, S., Menzies Institute for Medical Research, University of Tasmania, Hobart, Australia; Aitken, D., Menzies Institute for Medical Research, University of Tasmania, Hobart, Australia; Winzenberg, T., Menzies Institute for Medical Research, University of Tasmania, Hobart, Australia; Wills, K., Menzies Institute for Medical Research, University of Tasmania, Hobart, Australia; Scott, D., Department of Medicine, School of Clinical Sciences at Monash Health, Faculty of Medicine, Nursing and Health Sciences, Monash University, Clayton, VIC, Australia, Melbourne Medical School, Australian Institute for Musculoskeletal Science, University of Melbourne and Western Health, St Albans, VIC, Australia; Callisaya, M., Menzies Institute for Medical Research, University of Tasmania, Hobart, Australia, Department of Medicine, School of Clinical Sciences at Monash Health, Faculty of Medicine, Nursing and Health Sciences, Monash University, Clayton, VIC, Australia; Jones, G., Menzies Institute for Medical Research, University of Tasmania, Hobart, Australia, Menzies Institute for Medical Research, University of Tasmania, Private Bag 23, Hobart, TAS  7000, Australia</t>
  </si>
  <si>
    <t>Menzies Institute for Medical Research, University of Tasmania, Hobart, Australia; Department of Medicine, School of Clinical Sciences at Monash Health, Faculty of Medicine, Nursing and Health Sciences, Monash University, Clayton, VIC, Australia; Melbourne Medical School, Australian Institute for Musculoskeletal Science, University of Melbourne and Western Health, St Albans, VIC, Australia; Menzies Institute for Medical Research, University of Tasmania, Private Bag 23, Hobart, TAS  7000, Australia</t>
  </si>
  <si>
    <t>57188978583;55769769100;6506860016;7006917345;55340635200;24075168600;34769726500;</t>
  </si>
  <si>
    <t>Balogun S., Aitken D., Winzenberg T., Wills K., Scott D., Callisaya M., Jones G.</t>
  </si>
  <si>
    <t>Brownfield, A.; University of Missouri – Kansas City School of Pharmacy at MU, 701 South Fifth Street, United States; email: brownfielda@umkc.edu</t>
  </si>
  <si>
    <t>http://www.aacp.org/RESOURCES/RESEARCH/INSTITUTIONALRESEARCH/Pages/StudentApplications,EnrollmentsandDegreesConferred.aspx; https://www.acpe-accredit.org/pharmd-program-accreditation/; Pinelli, N.R., Eckel, S.F., Vu, M.B., Weinberger, M., Roth, M.T., The layered learning practice model: Lessons learned from implementation (2016) Am J Health-Syst Pharm., 73 (24), pp. 2077-2082; Bates, J.S., Buie, L.W., Amerine, L.B., Expanding care through a layered learning practice model (2016) Am J Health-Syst Pharm., 73, pp. e603-e609; Delgado, O., Kernan, W.P., Knoer, S.J., Advancing the pharmacy practice model in a community teaching hospital by expanding student rotations (2014) Am J Health-Syst Pharm., 71 (21), pp. 1871-1876; Bates, J.S., Buie, L.W., Lyons, K., A study of layered learning in oncology (2016) Am J Pharm Educ., 80 (4). , 68; Soric, M.M., Glowczewski, J.E., Lerman, R.M., Economic and patient satisfaction outcomes of a layered learning model in a small community hospital (2016) Am J Health-Syst Pharm., 73 (7), pp. 456-462; Kalich, B.A., Cicci, J.D., Shah, S., Reed, B.N., From pilot to practice: feasibility &amp; impact of a layered learning practice model experience in cardiology [abstract] (2013) Pharmacotherapy., 33 (10), p. e250; Leong, C., Battistella, M., Austin, Z., Implementation of a near-peer teaching model in pharmacy education: experiences and challenges (2012) Can J Hosp Pharm., 65 (5), pp. 394-398; Cameron, K., Fernandes, O., Musing, E.L.S., Raymond, C., Increasing capacity for experiential rotations for pharmacy learners: lessons learned from a multisite teaching hospital (2016) Can J Hosp Pharm., 69 (1), pp. 23-29; Loy, B.M., Yang, S., Moss, J.M., Kemp, D.W., Brown, J.N., Application of the layered learning practice model in an academic medical center (2017) Hosp Pharm., 52 (4), pp. 266-272; Durning, S.J., Ten Cate, O.J., Peer teaching in medical education (2007) Med Teach., 29, pp. 523-524; Lockspeiser, T.M., O'Sullivan, P., Teherani, A., Muller, J., Understanding the experience of being taught by peers: the value of social and cognitive congruence (2008) Adv in Health Sci Educ, 13 (3), pp. 361-372; Bulte, C., Betts, A., Garner, K., Durning, S., Student teaching: views of student near-peer teachers and learners (2007) Med Teach., 29, pp. 583-590; Cobaugh, D.J., Layered learning: the confluence of pharmacy education and practice (2016) Am J Health-Syst Pharm., 73 (24), p. 2035; Masterson, J., Rafferty, A., Michalets, E., The Clinical Training Center: a layered-learning rotation model to meet hospital goals and standards of practice [abstract] (2016) Pharmacotherapy., 36 (12), p. e287; Smith, W.J., Bird, M.L., Vesta, K.S., Harrison, D.L., Dennis, V.C., Integration of an introductory pharmacy practice experience with an advanced pharmacy practice experience in adult internal medicine (2012) Am J Pharm Educ., 76 (3). , Article 52; Kessler, T.L., Vesta, K.S., Smith, W.J., Dennis, V.C., Bird, M.L., Harrison, D.L., Students’ attitudes and perceptions of a structured longitudinal introductory pharmacy practice experience (IPPE) medicine rotation (2011) Curr Pharm Teach Learn., 3 (1), pp. 2-8; Lindblad, A.J., Howorko, J.M., Cashin, R.P., Ehlers, C.J., Cox, C.E., Development and evaluation of a student pharmacist clinical teaching unity utilizing peer-assisted learning (2011) Can J Hosp Pharm., 64 (6), pp. 446-450; Crill, C.M., Matlock, M.A., Pinner, N.A., Self, T.H., Integration of first- and second-year introductory pharmacy practice experiences (2009) Am J Pharm Educ., 73 (3). , Article 50; Pharmacy Practice Model Summit Executive Summary, (2011) Am J Health-Syst Pharm., 68 (12), pp. 1079-1085; American College of Clinical Pharmacy, Standards of practice for clinical pharmacists (2014) Pharmacotherapy., 34 (8), pp. 794-797; (2014), https://jcpp.net/wp-content/uploads/2016/03/PatientCareProcess-with-supporting-organizations.pdf, Joint Commission of Pharmacy Practitioners. Pharmacists’ patient care process. 〈〉. Published May 29. Accessed 7 February, 2018; Pinelli, N.R., McLaughlin, J.E., Khanova, J., Eckel, S.F., Vu, M.B., Weinberger, M., Roth, M.T., Identifying the Presence of Cognitive Apprenticeship in the Layered Learning Practice Model (2018) AM J Pharm Educ., 4. , epub ahead of print: Articleajpe6155; https://www.acpe-accredit.org/pharmd-program-accreditation/; http://www.aacp.org/resources/education/cape/Pages/default.aspx; http://www.aacp.org/resources/education/cape/Pages/EPAs.aspx; Pittinger, A.L., Copeland, D.A., Lacroix, M.M., (2018), https://www.ncbi.nlm.nih.gov/pmc/articles/PMC5508098/pdf/ajpe815S4.pdf, Report of the 2016–2017 Academic Affairs Standing Committee: Entrustable Professional Activities implementation roadmap. 〈〉; 2017. Accessed 7 February; Weitzel, K.W., Walters, E.A., Taylor, J., Teaching clinical problem solving: a preceptor's guide (2012) Am J Health-Syst Pharm, 69 (18), pp. 1588-1599</t>
  </si>
  <si>
    <t>ambulatory care; Article; clinical pharmacy; course evaluation; human; knowledge; learning; perception; pharmacy student; priority journal; teaching; clinical competence; education; educational model; outpatient department; primary health care; problem based learning; procedures; program evaluation; standards; Ambulatory Care Facilities; Clinical Competence; Education, Pharmacy; Educational Measurement; Humans; Models, Educational; Primary Health Care; Problem-Based Learning; Program Evaluation</t>
  </si>
  <si>
    <t>Kasper, B., University of Missouri – Kansas City School of Pharmacy at MU, Columbia, MO, United States, Harry S. Truman Memorial Veterans’ Hospital, Columbia, MO, United States; Brownfield, A., University of Missouri – Kansas City School of Pharmacy at MU, 701 South Fifth Street, Columbia, MO  65211, United States</t>
  </si>
  <si>
    <t>University of Missouri – Kansas City School of Pharmacy at MU, Columbia, MO, United States; Harry S. Truman Memorial Veterans’ Hospital, Columbia, MO, United States; University of Missouri – Kansas City School of Pharmacy at MU, 701 South Fifth Street, Columbia, MO  65211, United States</t>
  </si>
  <si>
    <t>57225314958;55804476900;</t>
  </si>
  <si>
    <t>Kasper B., Brownfield A.</t>
  </si>
  <si>
    <t>Gazizova, A.; Foreign Languages Department, Russian Federation</t>
  </si>
  <si>
    <t>Alekseeva, L.Y., (2007) Method of teaching a professionally oriented foreign language, , Course of lectures. Saint Petersburg: Philological Faculty of St. Petersburg State University; Bim, I.L., (1977) Methodology of teaching foreign languages as a science and problems of a school student, , Moscow: Russian language; Bim, I.L., (1988) Theory and practice of teaching German in secondary school. Problems and prospects, , Moscow: Education; Brinton, D.M., Snow, M.A., Wesche, M.B., (1989) Content-based second language instruction, , New York: Newbury House Publishers; Chikileva, L.S., Modern methods and means of professionally directed teaching to a foreign language in a non-linguistic higher education institution. Language for special purposes: System, functions, environment (2018) Collection of scientific articles of the VII International Scientific and Practical Conference, pp. 362-367. , Kursk; Chiknaverova, K.G., The problem of selecting the content of teaching foreign languages in the master program of a non-linguistic profile (2017) Higher education today, 4, pp. 41-45; Chiknaverova, K., Gazizova, A., Trofimova, G., The system of foreign language teaching at the master's level in Russia (2017) New Trends and Issues Proceedings on Humanities and Social Sciences, 4 (1), pp. 639-647; Coyle, D., CLIL-A pedagogical approach from the European perspective (2007) Encyclopedia of Language and Education, 4, pp. 97-111; Dubinina, G.A., Kondrakhina, N.G., Implementation sequence of profession-oriented foreign language training in a non-linguistics university (2016) MGLU Bulletin, 14 (753), pp. 135-143; Dudley-Evans, T., (1998) Developments in English for Specific Purposes. A multi-disciplinary approach, , Cambridge: Cambridge University Press; Federalnye gosudarstvennye obrazovatelnye standarty, , https://fgos.ru/, Retrieved from; GaΓskova, N.D., Solovova, E.D., The problem of foreign language teaching content at the present state of school education (1991) Foreign Languages at School, 3, pp. 31-35; Gazizova, A.I., Siraeva, M.N., Trofimova, G.S., Formal and Non-Formal Education Means of Mastering Foreign Language Skill (2015) The Social Sciences, 10 (6), pp. 1324-1328; Gerasimova, A., Peculiarities of students' academic motivation under two-tier system of education in Russia. Behavioral Sciences (2010) Procedia Social and Behavioral Sciences, 5, pp. 1346-1350; Glebova, I., The evaluation of the innovative activity of modern Russia's higher educational establishments and ways of its fostering (2015) Procedia: Social and Behavioral Sciences, 191, pp. 2374-2381; Grichenkova, G.A., Ways of optimizing the process of teaching foreign languages for specific purposes to master students (2018) Newsletter of Moscow state linguistic university. Educational and Pedagogical Sciences, 790, pp. 29-38; Harmer, J., (2004) The practice of English language teaching, , (3rd ed). Essex: Pearson Education Limited; Hutchinson, T., Waters, A., (1987) English for specific purposes: A learning-oriented approach, , Cambridge: Cambridge University Press; Khaleeva, I.I., (1989) Fundamentals of the Theory of Teaching Foreign Speech Understanding (Translator Training), , M.: Higher School; Krutskaya, S., Nurtdinova, L., Recommended types of texts for master-level foreign language syllabus on the basis of Russian state standards for higher vocational education (2014) Vestnik of Samara state technical university. Series: Psychological and Pedagogical Sciences, 3 (23), pp. 98-103; Lapidus, B.A., (1986) Problems of language teaching content in a language university, , Moscow: Higher School; Lysakova, L.A., Samarskaya, S.V., Optimizatsiya of training in the foreign language at the magistracy step (advanced level) of not language higher education institution (2014) Humanitarian and Social Sciences, 2, pp. 424-428; Minyar-Beloruchev, R.K., (1990) Methodology of French language teaching, , Moscow: Education; Nelyubina, E.A., Abzalova, S.R., The formation of language competences at English course (2012) TISBI Bulletin, 2, pp. 192-200; Prismotrova, O.S., The System of Requirements for a Profession Oriented Foreign Language Training Course in Master's Studies at Non-linguistic University (2016) Problem of Modern Pedagogical Education, 52 (4), pp. 155-164; Obdalova, O.A., (2014) Foreign Language teaching in the 21 century in the context of culture specific and pedagogical innovations, , Tomsk: Nomsk State University; Schukin, A.N., (2002) Methodology of teaching foreign languages: A course of lectures, , M.: Publishing house of URAO; Shiryaeva, N., The content and assessment of the outcomes of teaching a foreign language to Master's degree students at a nonlinguistic higher educational institution (2016) Pedagogical Journal, 1, pp. 10-24; Skalkin, V.L., (1981) The basics of teaching foreign language oral speech, , Moscow: Russian</t>
  </si>
  <si>
    <t>Chiknaverova, K., The English Language Department, Faculty of Linguistics and Intercultural Communication, MGIMO University (Odintsovo branch), Moscow, Russian Federation; Gazizova, A., Foreign Languages Department, Institute for Economics, Management and Social Technologies, Kazan National Research Technical University named after A.N. Tupolev-KAI, Kazan, Russian Federation; Mingazova, N., Department of Contrastive Linguistics, Institute of Philology and Intercultural Communication, Kazan Federal University, Kazan, Russian Federation</t>
  </si>
  <si>
    <t>57212381324;56115073800;56177181800;</t>
  </si>
  <si>
    <t>Chiknaverova K., Gazizova A., Mingazova N.</t>
  </si>
  <si>
    <t>All Open Access, Green</t>
  </si>
  <si>
    <t>O’Boyle, R.; The Education Department, United Kingdom; email: r.oboyle@lawsociety.ie</t>
  </si>
  <si>
    <t>Shulman, L., (2005) The Signature Pedagogies of the Professions of Law, Medicine, Engineering, and the Clergy: Potential Lessons for the Education of Teachers, , Math Science Partnerships (MSP) Workshop, National Research Council, California, 6–8 February; Shulman, L.S., Signature Pedagogies in the Professions (2005) Daedalus, 134 (3), p. 52; Simmonds, P., Continuing Professional Development and Workplace Learning 2: CPD and You – How CILIP Is Meeting the Continuing Professional Development Needs of Its Members (2003) Library Management, 24, p. 169. , 170; Simmonds, P., Continuing Professional Development and Workplace Learning 2: CPD and You – How CILIP Is Meeting the Continuing Professional Development Needs of Its Members (2003) Library Management, 24, p. 170; Owen, G., Mind the Gap!: The Critical Role of Continuing Professional Development (2004) Development and Learning in Organizations, 18 (3), p. 7. , 9; Corcoran, M., McGuinness, C., Keeping Ahead of the Curve (2014) Library Management, 35, p. 175; Susskind, R., (2013) Tomorrow’s Lawyers: An Introduction to Your Future, , Oxford University Press; Susskind, R., (2017) Tomorrow’s Lawyers: An Introduction to Your Future, p. 135. , 2nd edn, Oxford University Press; Susskind, R., Susskind, D., (2015) The Future of the Professions: How Technology Will Transform the Work of Human Experts, p. 263. , Oxford University Press; Susskind, R., (2008) The End of Lawyers? Rethinking the Nature of Legal Services, , Oxford University Press; Faulconbridge, J., Muzio, D., Organizational Professionalism in Globalizing Law Firms (2008) Work, Employment and Society, 22, p. 7. , 21; Faulconbridge, J., Muzio, D., Organizational Professionalism in Globalizing Law Firms (2008) Work, Employment and Society, 22, p. 20; Jones, N., Fear, N., Continuing Professional Development: Perspectives from Human Resource Professionals (1994) Personnel Review, 23, p. 49. , 54; Cameron, R.J., Changing Professional Views of Continuing Professional Development Doctorates in Educational Psychology (2008) Educational Psychology in Practice, 24, p. 251; Eraut, M., Knowledge Creation and Knowledge Use in Professional Contexts (1985) Studies in Higher Education, 10, p. 117; Eraut, M., Knowledge Creation and Knowledge Use in Professional Contexts (1985) Studies in Higher Education, 10, p. 128; Friedson, E., (1971) Profession of Medicine: A Study of the Sociology of Applied Knowledge, , Mead; Robertson, M., Scarbrough, H., Swan, J., Knowledge Creation in Professional Service Firms: Institutional Effects (2003) Organization Studies, 24, p. 831; Robertson, M., Scarbrough, H., Swan, J., Knowledge Creation in Professional Service Firms: Institutional Effects (2003) Organization Studies, 24, p. 832; Webb, J., (2013) Setting Standards: The Future of Legal Services Education and Training Regulation in England and Wales, , Legal Education and Training Review; Redmond, P., Roper, C., (2001) Legal Education and Training in Hong Kong: Preliminary Review, , The Steering Committee on the Review of Legal Education and Training in Hong Kong; Darrell, N., The Role of the Universities in Continuing Professional Education (1971) Ohio State Law Journal, 32, p. 312. , 328; Darrell, N., The Role of the Universities in Continuing Professional Education (1971) Ohio State Law Journal, 32, p. 317; Nelson, D., Role of the Law Schools in Post-Degree Education (1980) Tel Aviv University Studies in Law, 5, p. 31. , 40; Ching, J., (2015) The Challenges Facing Legal Services Education in the 21St Century: A Case for Collaboration and Conversation?, , http://irep.ntu.ac.uk/9497/; Welch Wegner, J., The Value of Legal Education (2015) Nottingham Law Journal, 24 (112); Edwards, H., The Growing Disjunction between Legal Education and the Legal Profession (1992) Michigan Law Review, 91, p. 34; Edwards, H., The Growing Disjunction between Legal Education and the Legal Profession (1992) Michigan Law Review, 91, p. 37; Edwards, H., The Growing Disjunction between Legal Education and the Legal Profession (1992) Michigan Law Review, 91, p. 38; Neumann, R., Doctoral Differences: Professional Doctorates and PhDs Compared (2005) Journal of Higher Education Policy and Management, 27, p. 173. , 174; Boud, D., Tennant, M., Putting Doctoral Education to Work: Challenges to Academic Practice (2006) Higher Education Research &amp; Development, 25, p. 293; Shaw, M., Green, H., Continuous Professional Development: Emerging Trends in the UK (1999) Quality Assurance in Education, 7, p. 169. , 174; Shaw, M., Green, H., Continuous Professional Development: Emerging Trends in the UK (1999) Quality Assurance in Education, 7, p. 175; Dowton, S., Postgraduate Medical Education: Rethinking and Integrating a Complex Landscape (2005) Medical Journal of Australia, 182, p. 177; Gross, M., (1966) The Doctors, , Random House Press; Spencer, R., Nurses, Midwives’ and Health Visitors’ Perceptions of the Impact of Higher Education on Professional Practice” (2006) Nurse Education Today, 26, p. 45; Anderson, C., Day, K., McLaughlin, P., Student Perspectives on the Dissertation Process in a Masters Degree Concerned with Professional Practice (2008) Studies in Continuing Education, 30, p. 33; Spencer, R., Nurses, Midwives’ and Health Visitors’ Perceptions of the Impact of Higher Education on Professional Practice” (2006) Nurse Education Today, 26, p. 45; Spencer, R., Nurses, Midwives’ and Health Visitors’ Perceptions of the Impact of Higher Education on Professional Practice” (2006) Nurse Education Today, 26, p. 51; Watkins, D., The Influence of Masters Education on the Professional Lives of British and German Nurses and the Further Professionalization of Nursing (2011) Journal of Advanced Nursing, 67; Anderson, C., Day, K., McLaughlin, P., Student Perspectives on the Dissertation Process in a Masters Degree Concerned with Professional Practice (2008) Studies in Continuing Education, 30, p. 33; Anderson, C., Day, K., McLaughlin, P., Student Perspectives on the Dissertation Process in a Masters Degree Concerned with Professional Practice (2008) Studies in Continuing Education, 30, p. 38; Anderson, C., Day, K., McLaughlin, P., Student Perspectives on the Dissertation Process in a Masters Degree Concerned with Professional Practice (2008) Studies in Continuing Education, 30, p. 39; Anderson, C., Day, K., McLaughlin, P., Student Perspectives on the Dissertation Process in a Masters Degree Concerned with Professional Practice (2008) Studies in Continuing Education, 30, p. 45; Anderson, C., Day, K., McLaughlin, P., Student Perspectives on the Dissertation Process in a Masters Degree Concerned with Professional Practice (2008) Studies in Continuing Education, 30, p. 46; Anderson, C., Day, K., McLaughlin, P., Student Perspectives on the Dissertation Process in a Masters Degree Concerned with Professional Practice (2008) Studies in Continuing Education, 30, p. 47; Gantt, L., Madison, B.V., Teaching Knowledge, Skills and Values of Professional Identity Formation (2015) Building on Best Practices: Transforming Legal Education in a Changing World, p. 253. , Deborah Maranville and others (eds), Lexis; Madison, B.V., Professional Identity and Professionalism (2017) ABA Prof Law, 24 (3), p. 16; Floyd, T.W., Moral Vision, Moral Courage, and the Formation of the Lawyers Professional Identity” (2009) Miss C L Rev, 28, p. 339; Floyd, T.W., Moral Vision, Moral Courage, and the Formation of the Lawyers Professional Identity” (2009) Miss C L Rev, 28, p. 347; Krieger, L.S., The Inseparability of Professionalism and Personal Satisfaction: Perspectives on Values, Integrity and Happiness (2005) Clinical L Rev, 11, p. 425; Gantt, L., Madison, B.V., Teaching Knowledge, Skills and Values of Professional Identity Formation (2015) Building on Best Practices: Transforming Legal Education in a Changing World, p. 254. , Deborah Maranville and others (eds), Lexis; Teddlie, C., Tashakkori, A., (2008) Foundations of Mixed Methods Research: Integrating Quantitative and Qualitative Techniques in the Social and Behavioral Sciences, p. 170. , Sage Publications; http://hea.ie/statistics-archive/, accessed 20 April 2018</t>
  </si>
  <si>
    <t>Brennan, G., The Education Department, Law Society of Ireland, Dublin 7, Ireland; O’Boyle, R., The Education Department, Law Society of Ireland, Dublin 7, Ireland; Cookson, J., School of Law, Northumbria University, Newcastle on Tyne, United Kingdom; Brewer, M., Sheffield Business School, Sheffield Hallam University, Sheffield, United Kingdom</t>
  </si>
  <si>
    <t>57204187667;57204180037;57204171574;56017287300;</t>
  </si>
  <si>
    <t>Brennan G., O’Boyle R., Cookson J., Brewer M.</t>
  </si>
  <si>
    <t>All Open Access, Gold</t>
  </si>
  <si>
    <t>Conference Paper</t>
  </si>
  <si>
    <t>11 August 2018 through 11 August 2018</t>
  </si>
  <si>
    <t>Seminar Nasional Fisika: Earthing Physics and Learning Physics in Building Global Wisdom, SNF 2018</t>
  </si>
  <si>
    <t>Universitas Negeri Surabaya (UNESA)</t>
  </si>
  <si>
    <t>Sunarti, T.; Department of Physics, Indonesia; email: titinsunarti@unesa.ac.id</t>
  </si>
  <si>
    <t>Sunarti, T., Prahani, B.K., Wasis, Madlazim, (2018) South Afric. J. Educ. Accepted; Liakopoulou, M., (2011) Inter. J. Hum. Soc. Sci., 1, p. 66; Loughran, J., (2014) J. Teach. Educ, pp. 1-13. , http://jte.Sagepub.com/content/early/2014/04/28/; Tanang, H., Abu, B., (2014) J. Cur. Teach., 3, p. 25; Udompong, L., Traiwicitkhun, D., Wongwanich, S., (2014) Proc-Sos &amp; Behav. Sci., 116, p. 1581; Sunarti, T., Madlazim, Wasis, (2018) Literacy Learning Model (LLM) Untuk Meningkatkan Keterampilan Merencanakan Pembelajaran Literasi Sains Mahasiswa Calon Guru Fisika, , (Surabaya: Pascasarjana Unesa) unpublished; Sunarti, T., Wasis, Madlazim, Suyidno, Prahani, B.K., (2018) J. Phys: Conf. Ser., 997 (1); Bappenas, (2014) Rencana Pembangunan Jangka Menengah Nasional 2015-2019, , (Jakarta: Bappenas); Kemenristekdikti, (2014) Buku Kurikulum Perguruan Tinggi, , (Jakarta: Direktorat Pembelajaran dan Kemahasiswaan, Direktorat Jenderal Pendidikan Tinggi); Sunarti, T., (2015) Pros. Sem. Nas. Jur. Fisika FMIPA Universitas Negeri Malang.; Suyidno, Nur, M., (2015) Pros. Sem. Nas. Prodi Pend. Sains Pascasarjana Unesa, p. 1361; Arends, R.I., (2012) Learning to Teach, , (New York: Mc. Graw-Hill); Kemendikbud, (2014) Peraturan Menteri Pendidikan Dan Kebudayaan Repubik Indonesia Nomor 104 Tahun 2014 Tentang Penilaian Hasil Belajar Oleh Pendidik, , (Jakarta: Kemendikbud); Kemendiknas, (2008) Panduan Pengembangan Bahan Ajar, , (Jakarta: Direktorat Pendidikan Dasar dan Menengah, Direktorat Pembinaan Sekolah Menengah); Slavin, R.E., (2011) Educational Phycology, Theory and Practice, , (Boston: Pearson Education); Sunarti, T., Madlazim, Wasis, (2016) Pros. Sem. Nas. Prodi Pend. Sains Pascasarjana Unesa, p. 1344; Sugiono, (2014) Statistika Untuk Penelitian, , (Bandung: Alfabeta); Hake, R.R., (1998) Am. J. Phys., 66 (1), p. 64; Moreno, R., (2010) Educational Psycology, , (New York: John Wiley amp; Sons Inc); Eggen, P.D., Kauchak, D.P., (2012) Educational Psychology: Windows on Classrooms, , 9 (New Jersey: Pearson); Odegaard, M., Haug, B., Mork, S., Sorvik, G.O., (2014) Proc-Soc &amp; Behav. Sci, 167, p. 274; Yakar, Z., Baykara, H., (2014) Eur. J. Math. Sci. &amp; Tech. Educ., 10, p. 173</t>
  </si>
  <si>
    <t>The author’s gratitude goes to the Ministry of Research, Technology and Higher Education who has funded the Research (SK Number: 0001.82 / UN38.11-P/LT/2017 dated 06 December 2016). Likewise, the author's gratitude goes to Surabaya State University and Lambung Mangkurat University that have provided research opportunities.</t>
  </si>
  <si>
    <t>Kementerian Riset Teknologi Dan Pendidikan Tinggi Republik Indonesia: 0001.82 / UN38.11-P/LT/2017</t>
  </si>
  <si>
    <t>Sunarti, T., Department of Physics, Faculty of Mathematics and Natural Sciences, Universitas Negeri Surabaya, Kampus Unesa Ketintang, Surabaya, 60231, Indonesia</t>
  </si>
  <si>
    <t>57201671106;</t>
  </si>
  <si>
    <t>Book Chapter</t>
  </si>
  <si>
    <t>9781108667203; 9781108497244</t>
  </si>
  <si>
    <t>McCormack, T.; International Criminal CourtNetherlands</t>
  </si>
  <si>
    <t>Santos, S.M., Jr., Jihad and International Humanitarian Law: Three Moro Rebel Groups in the Philippines, , this volume at Chapter 23; Abi-Saab, G., Wars of National Liberation in the Geneva Conventions and Protocols (1979) Collected Courses of the Hague Academy, 165, pp. 353-448</t>
  </si>
  <si>
    <t>McCormack, T., International Criminal Court, The Hague, Netherlands, Faculty of Law, University of Tasmania, Australia, Melbourne Law School, Australia</t>
  </si>
  <si>
    <t>12797684600;</t>
  </si>
  <si>
    <t>Biela, W.; Institute of Physics, Poland; email: weronika.biela@student.uj.edu.pl</t>
  </si>
  <si>
    <t>Tanis, J.A., Graham, W.G., Stockli, M.P., Clark, M., McFarland, R.H., Morgan, T.J., Berkner, K.H., Stearns, J.W., (1984) Phys. Rev. Lett., 53, p. 2551; Zaharakis, K.E., Haar, R.R., Woitke, O., Zhu, M., Tanis, J.A., Badnell, N.R., (1995) Phys. Rev. A, 52, p. 2910; Beilmann, C., Mokler, P.H., Bernitt, S., Harman, Z., Keitel, C.H., Postavaru, O., Ullrich, J., Crespo Lóper-Urrutia, J.R., (2011) Physica Scripta, , 014014; Shah, C., Amaro, P., Steinruegge, R., (2016) Phys. Rev. E, 93 (6), p. 1201; Schnopper, H.W., Betz, H.D., Delvaille, J.P., Kalata, K., Sohval, A.R., Jones, K.W., Wegner, H.E., (1972) Phys. Rev. Lett., 29, p. 898; Eichler, J., Stoehlker, T., (2007) Phys. Reports, 439, p. 1; Zou, Y., Crespo Lopez-Urrutia, J.R., Ullrich, J., (2003) Phys. Rev. A, 67 (4), p. 2703; Yao, K., Geng, Z., Xiao, J., Yang, Y., Chen, C., Fu, Y., Lu, D., Zou, Y., (2010) Phys. Rev. A, 81 (2), p. 2714; Burgess, A., (1964) Astron. J., 139, p. 776; Brandau, C., Kozhuharov, C., Harman, Z., Müller, A., Schippers, S., Kozhedub, Y.S., Bernhardt, D., Tupitsyn, I.I., (2008) Phys. Rev. Lett., p. 100. , 073201; Breton, C., De Michelis, C., Finkenthal, M., Mattioli, M., (1978) Physical Review Letters, 41, p. 110; Tawara, H., (2006) Rev, Phys. A, 73 (1), p. 2704; Beiersdorfer, P., Phillips, T.W., Wong, K.L., Marrs, R.E., Vogel, D.A., (1992) Phys. Rev. A, 46, p. 3812; Schnell, M., Gwinner, G., Badnell, N.R., Bannister, M.E., Böhm, S., Colgan, J., Kieslich, S., Zhou, S.-G., (2003) Phys. Rev. Lett., p. 91. , 043001; Chevallier, M., Cohen, C., Cue, N., Dauvergne, D., Dural, J., Gangnan, P., Kirsch, R., Warczak, A., (2000) Phys. Rev. A, 61 (2), p. 2724; Zschornack, G., Schmidt, M., Thorn, A., (2013) CERN Yellow Report, 7, p. 165; Bhalla, C.P., (1973) Phys. Rev, A, 8, p. 2877; Kramida, A., Ralchenko, Y.U., (2018) J. Reader and NIST ASD Team, NIST Atomic Spectra Database; Beilmann, C., Harman, Z., Mokler, P.H., Bernitt, S., Keitel, C.H., Ullrich, J., Crespo López-Urrutia, J.R., (2013) Physical Review A, 88 (6), p. 2706; Gu, M.F., (2008) Can. J. Phys., 86, p. 675</t>
  </si>
  <si>
    <t>This work was funded by Ministerstwo Nauki i Szkolnictwa Wyzszego (Grant MNiSzW Nr 7150/E‐338/M/2018).</t>
  </si>
  <si>
    <t>MNiSzW Nr 7150/E‐338/M/2018</t>
  </si>
  <si>
    <t>Biela, W., Institute of Physics, Jagiellonian University, Krakow, Poland; Warczak, A., Institute of Physics, Jagiellonian University, Krakow, Poland; Mucha, A., Institute of Physics, Jagiellonian University, Krakow, Poland; Malarz, A., Institute of Physics, Jagiellonian University, Krakow, Poland</t>
  </si>
  <si>
    <t>57210432802;56238858700;57210432943;6508054637;</t>
  </si>
  <si>
    <t>Biela W., Warczak A., Mucha A., Malarz A.</t>
  </si>
  <si>
    <t>All Open Access, Hybrid Gold</t>
  </si>
  <si>
    <t>Ekiz, O.; Queen Mary University of LondonUnited Kingdom</t>
  </si>
  <si>
    <t>Berne Convention for the Protection of Literary and Artistic Works; Case I ZR 102/99, , Reported in [2004] E.C.C. 25; [2003] E.C.D.R. 7; Planning Applications Sub-Committee Report on Trafalgar Square, , http://committees.westminster.gov.uk/Data/Planning%20Applications%20Committee/20120216/Agenda/ITEM%2007-Trafalgar%20Square,%20WC2.PDF, London, WC2 (16 February 2012), at 232, last accessed 18 March 2018; Copyright Act 1911 (UK).; Copyright (1988) Designs and Patents Act; (2001), OJ L167/10; (2000) Fairness in Music Licensing, Panel Report, , June 15, WT/DS/160/R; Intellectual Property Code (FR); (2014), Johan Deckmyn and Another v Helena Vandersteen and Others, Case C-201/13, EU:C:2014:2132; Khan, S., Mayor of London, MD2179 Fourth Plinth Programme 2017–2021, , &lt;https://www.london.gov.uk/sites/default/files/md2179_fourth_plinth_cib_final_version_signed_pdf.pdf&gt;, (26 October 2017), available at, last accessed 18 March 2018; Trade-Related Aspects of Intellectual Property Rights; Haldane, V., Imperial Copyright Cols, 10, pp. 113-166. , Hansard, HL; Copyright Treaty; Adeney, E., Authors’ Rights in Works of Public Sculpture: A German/Australian Comparison (2002) Int’l R. of I.P. and Competition L., 33 (2), p. 164; Africa, M., (2000) The Misuse of Licensing Evidence in Fair Use Analysis: New Technologies, New Markets, and the Courts, 88 (4), p. 1145. , Cal. L.J; Aoki, K., ‘Adrift in the Intertext: Authorship and Audience Recording Rights – Comment on Robert H. Rotstein, Beyond Metaphor: Copyright Infringement and the Fiction of the Work (1993) Chi.-Kent L. Rev, 68, p. 805; Aoki, K., Boyle, J., Jenkins, J., (2008) Bound by Law? Tales from the Public Domain. New Expanded Edition, , Duke University Press, Durham, NC; Arendt, H., (1958) The Human Condition, , 2nd edn, The University of Chicago Press, Chicago, IL; Copyright Guide for Visual Artists, , https://www.artistsunionengland.org.uk/copyright-advice-now-available-for-aue-members/, last accessed 22 July 2019; Resources, , https://theaoi.com/resources/, last accessed 22 July 2019; Association of Independent Video and Filmmakers and others, Documentary Filmmakers’ Statement of Best Practices in Fair Use (AUSOC 2005); Aufderheide, P., Jaszi, P., Untold Stories: Creative Consequences of the Rights Clearance Culture for Documentary Filmmakers’ (2004) Center for Social Media; Aufderheide, P., Sinnreich, A., Documentarians, Fair Use, and Free Expression: Changes in Copyright Attitudes and Actions with Access to Best Practices (2016) Information, Community &amp; Society, 19 (2), p. 178; (2018) 2018 Austin Film Festival Film Competition Rules, , &lt;https://austinfilmfestival.com/submit/film/rules/&gt;; Barthes, R., (1977) Image, Music, Text, Stephen Heath Trans, , Fontana Press, London; Barrett, J., Time to Look Again: Copyright and Freedom of Panorama (2017) Victoria U. Wellington L. Rev., 48, p. 261; Bendjelloul, M., Searching for Sugar (2012) Man; Bently, L., Sherman, B., (2014) Intellectual Property Law (4Th Edn, , Oxford University Press, Oxford; (2017) Statistical Yearbook, , BFI 2017; Burrell, R., Coleman, A., (2005) Copyright Exceptions: The Digital Impact, , Cambridge University Press, Cambridge; Chattoo, C.B., (2016) The State of the Documentary Field: 2016 Survey of Documentary Industry Members, , CMSI; Cherry, D., Statues in the Square: Hauntings at the Heart of Empire (2006) Art History, 29 (4), p. 660; Wrapped Reichstag, , http://christojeanneclaude.net/projects/wrapped-reichstag?view=info, last accessed 21 March 2018; Exceptions, , http://www.copyrightuser.org/understand/exceptions/, last accessed 26 March 2018; D’Agostino, G., (2008) Healing Fair Dealing? A Comparative Analysis of Canada’s Fair Dealing to U.K. Fair Dealing and U.S. Fair Use, p. 53. , McGill L.J. 309; Denham, J., Fourth Plinth: David Shrigley’s Giant Thumbs up “Really Good” Unveiled in London’s Trafalgar Square, , https://www.independent.co.uk/arts-entertainment/art/news/fourth-plinth-david-shrigley-trafalgar-square-sadiq-khan-really-good-thumbs-up-london-brexit-a7337026.html, Independent, 29 September 2016, available at, last accessed 19 March 2018; (2010) Copyright and Fair Dealing: Guidelines for Documentary Filmmakers (DOC; Leipzig, D.O.K., DOK Co-Pro Market, , https://www.dok-leipzig.de/en/industry/co-pro-market/about, last accessed 26 March 2018; Donaldson, M.C., Refuge from the Storm: A Fair Use Safe Harbor for Non-Fiction Works (2012) J. Copyright Soc’y USA, 59, 477p; Eitzen, D., When is a Documentary? Documentary as a Mode of Reception (1995) Cinema Journal, 35 (1), p. 81; Synopsis Report on the Results of the Public Consultation on the ‘Panorama Exception’, , http://ec.europa.eu/information_society/newsroom/image/document/2016-37/synopsis_report_-_panorama_exception_-_final_17049.pdf, (14 September 2016), available at, last accessed 18 March 2018; EWA Development Award at DOK Co-Pro Market Leipzig, , http://www.ewawomen.com/en/news/ewa-development-award-at-dok-co-pro-market-leipzig.html; Franklin, B., McLeod, K., (2009) Copyright Criminals; Geiger, C., Limitations and Exceptions as Key Elements of the Legal Framework for Copyright in the European Union – Opinion of the European Copyright Society on the Judgment of the CJEU in Case C-201/13 Deckmyn (2015) Int. Rev. of I.P. and Comp. L, 46 (1), p. 93; Gervais, D.J., (2008) Making Copyright Whole: A Principled Approach to Copyright Exceptions and Limitations, , 5 U. Ottawa L. &amp; Tech. J. 1; Ginsburg, J.C., (2001) Toward Supranational Copyright Law? The WTO Panel Decision and The “Three-Step Test” for Copyright Exceptions’, 2001. , 187 R.I.D.A. 2; Gormley, A., (2018) One &amp; Other, Fourth Plinth Commission, Trafalgar Square, London, England, 2009, , &lt;http://www.antonygormley.com/show/item-view/id/2277&gt;; Griffiths, J., (2010) Rhetoric &amp; the “Three-Step Test”: Copyright Reform in the United Kingdom’, 32 (7), p. 309. , E.I.P.R; Hugenholtz, P.B., Okediji, R.L., (2008) Conceiving an International Instrument on Limitations and Exceptions to Copyright: Final Report (Ivir, UMLS, , March 6; Hugenholtz, P.B., Senftleben, M.R.F., (2011) Fair Use in Europe; (2018) Idfacademy, , &lt;https://www.idfa.nl/en/info/idfacademy&gt;, last accessed 26 March; (2018) IDFA Bertha Fund, , &lt;https://www.idfa.nl/en/info/idfa-bertha-fund&gt;, March; (2018) Memorial: Women of World War Two, , &lt;https://www.iwm.org.uk/memorials/item/memorial/51288&gt;, last accessed 21 March; Iordanova, D., Torchin, L., (2012) Film Festivals and Activism, , St Andrews Film Studies; Jones, J., Thumbs Up to David Shrigley’s Fabulously Feel-Bad Fourth Plinth’ (2016) The Guardian, , https://www.theguardian.com/artanddesign/2016/sep/29/david-shrigley-really-good-fourth-plinth-trafalgar-square; Langlais, P., (2017) Public Artworks and the Freedom of Panorama Controversy: A Case of Wikimedia Influence, 6 (1). , Internet Policy R. 1; Lerner, R.E., Bresler, J., Art Law: The Guide for Collectors, Investors, Dealers &amp; Artists, , (4th edn, Practicing Law Institute, New York 2012); Liu, D., (2013) English Copyright Law Makes the Poor “Snowman” Sculpture Poorer’, 35 (11). , European I.P. L. 674; Liu, D., (2014) Of Sculpture, 36 (4), 229p. , E.I.P.R; Maloof, J., Siskel, C., (2013) Finding Vivian Maier; McLean, G., My Life, The Horror Movie (2005) The Guardian, , &lt;https://www.theguardian.com/film/2005/apr/16/features.weekend&gt;lastaccessed14March2018, 16 April; Netanel, N.W., (2008) Copyright’s Paradox, , Oxford University Press, Oxford; Nichols, B., (2010) Introduction to Documentary, , Indiana University Press, Bloomington, IN; Nichols, B., ‘The Question of Evidence, the Power of Rhetoric and Documentary Film (2013) The Documentary Film Book, , in Brian Winston, BFI, London; Özkırımlı, U., (2005) Contemporary Debates on Nationalism: A Critical Engagement, , Palgrave Macmillan, Basingstoke; (2018) Artist Programs, , https://pointsnorthinstitute.org/artist-programs/; (2018) North Star Scholarship, , https://pointsnorthinstitute.org/artist-programs/north-star-scholarship/; (2018) PNI, ‘Points North Forum’, , https://pointsnorthinstitute.org/artist-programs/points-north-forum/; (2018) PNI, ‘Shortform Editing Residency’, , https://pointsnorthinstitute.org/shortform-residency/; Ramsey, N., (2005) The Hidden Cost of Documentaries, the New York Times, , &lt;http://www.nytimes.com/2005/10/16/movies/the-hidden-cost-of-documentaries.html&gt;, 16 October, available at, last accessed 16 March 2018; Ricketson, S., Ginsburg, J.C., (2006) International Copyright and Neighbouring Rights: The Berne Convention and Beyond, , 2nd edn, Oxford University Press, Oxford; Rosati, E., (2014) Copyright In the EU: In Search of (In)Flexibilities’, 9 (7), p. 585. , J. of I.P. L. &amp; Practice; Rosati, E., Freedom of Panorama in France: Could Even a Visit to Pere Lachaise Become a Problem?, , http://ipkitten.blogspot.co.uk/2016/04/freedom-of-panorama-in-france-could.html, The IPKat; Roy, C., (2016) Documentary Film Festivals: Transformative Learning, Community Building &amp; Solidarity, , Sense Publishers, Rotterdam; Roy, C., Why Don’t They Show Those on TV? (2012) Documentary Film Festivals, Media and Com-Munity, 31 (3), p. 293. , Int’l J. Lifelong Education; Sherman, B., Bently, L., (1999) The Making of Modern Intellectual Property Law: The British Experience, , Cambridge University Press, Cambridge; Sontag, S., (2004) Regarding the Pain of Others, , Penguin, London; Sumartojo, S., Britishness in Trafalgar Square: Urban Place and the Construction of National Identity (2009) Studies in Ethnicity and Nationalism, 9 (3), p. 410; Sumartojo, S., The Fourth Plinth: Creating and Contesting National Identity in Trafalgar Square, 2005–2010 (2012) Cultural Geographies, 20 (1), p. 67; Turan, K., (2002) Sundance to Sarajevo: Film Festivals and the World they Made, , University of California Press, Berkeley; Weiss, M., ‘The New, but Narrow, French Freedom of Panorama Exception, , &lt;http://the1709blog.blogspot.co.uk/2016/10/the-new-but-narrow-french-freedom-of.html?m=1&gt;lastaccessed20March2018, The 1709 Blog, 18 October 2016, available at; Wong, W., ‘Errors &amp; Omissions &amp; Rights, Oh My! A Guide to Protecting Your Film (2012) IDA Documentary Magazine, , https://www.documentary.org/magazine/errors-omissions-rights-oh-my-guide-protecting-your-film</t>
  </si>
  <si>
    <t>This research was conducted while the author was a Masters student at Queen Mary University of London, Intellectual Property Law LLM Programme. The author would like to thank Professor Johanna Gibson for her extensive and valuable comments, his colleagues Francesco Nisi, Louise Perrotte, Lucie Brismontier-Thouny, Rabia Diallo and Vivianna-Paraskevi Paschou, with whom he produced Her Story in the course of the Business of Film Module, and his family for their endless support in the course of his education.</t>
  </si>
  <si>
    <t>Queen Mary University of London, QMUL</t>
  </si>
  <si>
    <t>Ekiz, O., Queen Mary University of London, United Kingdom</t>
  </si>
  <si>
    <t>57209451812;</t>
  </si>
  <si>
    <t>2-s2.0-85102012399</t>
  </si>
  <si>
    <t>Note</t>
  </si>
  <si>
    <t>J. Water Law</t>
  </si>
  <si>
    <t>Lawtext Publishing Ltd.</t>
  </si>
  <si>
    <t>Jahan, I.; Bangladesh Judicial Service</t>
  </si>
  <si>
    <t>Human Rights and Peace for Bangladesh v Government of Bangladesh and Others (2016) HCD, , [Writ Petitio 13989/2016]; Colombia: the Atrato River legal decision https://www.internationalrivers.org/resources/colombia-the-atrato-riverlegal-decision-16827, International Rivers; Roy, Eleanor Ainge, New Zealand river granted same legal rights as human being (2017) The Guardian, , https://www.theguardian.com/world/2017/mar/16/new-zealand-river-granted-same-legal-rights-ashuman-being, (16 March); (2018) Colombian Supreme Court recognizes rights of the Amazon River ecosystem, , https://www.iucn.org/news/world-commissionenvironmental-law/201804/colombian-supreme-court-recognizes-rightsamazon-river-ecosystem, IUCN</t>
  </si>
  <si>
    <t>* LLB (Hons), LLM (University of Dhaka, Bangladesh); Master of Environmental Law (University of Melbourne, Australia). © 2020 Lawtext Publishing Ltd.. All rights reserved.</t>
  </si>
  <si>
    <t>Jahan, I., Bangladesh Judicial Service</t>
  </si>
  <si>
    <t>Bangladesh Judicial Service</t>
  </si>
  <si>
    <t>https://www.scopus.com/inward/record.uri?eid=2-s2.0-85102012399&amp;partnerID=40&amp;md5=d1af887acc58b7118cfbe84a4bd1b6c9</t>
  </si>
  <si>
    <t>Journal of Water Law</t>
  </si>
  <si>
    <t>The turag river case: Declaring the rivers in Bangladesh as legal persons</t>
  </si>
  <si>
    <t>57529664900;</t>
  </si>
  <si>
    <t>Jahan I.</t>
  </si>
  <si>
    <t>Kessler, M.; Department of World Languages, 4202 E. Fowler Ave., CPR 413, United States; email: mattjkess@gmail.com</t>
  </si>
  <si>
    <t>Ajayi, L., How ESL teachers' sociocultural identities mediate their teacher role identities in a diverse urban school setting (2011) The Urban Review, 43, pp. 654-680; American Bar Association, 2019 standard 509 information report data overview (2019), https://www.americanbar.org/content/dam/aba/administrative/legal_education_and_admissions_to_the_bar/statistics/2019-509-enrollment-summary-report-final.pdf; Antonek, J.L., McCormick, D.E., Donato, R., The student teacher portfolio as autobiography: Developing a professional identity (1997) The Modern Language Journal, 81 (1), pp. 15-27; Bloome, D., Classroom ethnography (2012) Language, ethnography, and education: Bridging new literacy studies and Bourdieu, pp. 8-26. , M. Grenfell D. Bloome C. Hardy K. Pahl J. Roswell B. Street Routledge New York; Burns, A., Richards, J.C., (2009) The Cambridge guide to second language teacher education, , Cambridge University Press New York; Burri, M., Chen, H., Baker, A., Joint development of teacher cognition and identity through learning to teach L2 pronunciation (2017) The Modern Language Journal, 101 (1), pp. 128-142; Cammarata, L., Negotiating curricular transitions: Foreign language teachers' learning experience with content-based instruction (2009) The Canadian Modern Language Review, 65 (4), pp. 559-585; Chew, A., Pryal, K.R.G., Bridging the gap between law school and law practice (January 1, 2015) (2015); Cohen, J.L., ‘That's not treating you as a professional’: Teachers constructing complex professional identities through talk (2008) Teachers and Teaching, 14 (2), pp. 79-93; Darvin, R., Norton, N., Identity, investment, and TESOL (2018) The TESOL encyclopedia of English language teaching; Farrell, T.S.C., Exploring the professional role identities of novice ESL teachers through reflective practice (2011) System, 39 (1), pp. 54-62; Freeman, D., Johnson, K.E., Reconceptualizing the knowledge-base of language teacher education (1998) TESOL Quarterly, 32 (3), pp. 397-417; Geertz, C., The interpretation of cultures: Selected essays (1973), Basic Books New York, NY; Hartig, A.J., Lu, X., Plain English and legal writing: Comparing expert and novice writers (2014) English for Specific Purposes, 33, pp. 87-96; Karimi, M., Mofidi, M., L2 teacher identity development: An activity theoretic perspective (2019) System, 81, pp. 122-134; Kasper, L.F., Content-based college ESL instruction: Theoretical foundations and pedagogical applications (2000) Content-based college ESL instruction, pp. 3-25. , L.F. Kasper Lawrence Erlbaum Mahwah, NJ; Kessler, M., Teaching and learning in a content-based classroom: Understanding pedagogy and the development of L2 writers' metacognitive genre awareness (Publication No. 28021909) [Doctoral dissertation (2020), Michigan State University]. ProQuest Dissertations Publishing; Lowe, R., Ploetzner, R., Learning from dynamic visualization: Innovations in research and application (2017), Springer Boston, MA; Luebbers, J.B., How foreign language preservice teachers' development, identities, and commitments are shaped during teacher education [Doctoral dissertation (2010), The Ohio State University OhioLink; Martel, J., Three foreign language student teachers' experiences with content-based instruction: Exploring the identity/innovation interface (2019) Innovation in Language Learning and Teaching, 12 (4), pp. 303-315; Miles, M.B., Huberman, A.M., Saldaña, J., Qualitative data analysis: A methods sourcebook (2014), 3rd ed. Sage Thousand Oaks, CA; Mok, W.E., Reflecting on reflections: A case study of experienced and inexperienced ESL teachers (1994) System, 22 (1), pp. 93-111; Naug, H.L., Colson, N.J., Donner, D.G., Promoting metacognition in first year anatomy laboratories using plasticine modeling and drawing activities: A pilot study of the “blank page” technique (2011) Anatomical Sciences Education, 4 (4), pp. 231-234; Norton, B., Identity and language learning: Extending the conversation (2013), Multilingual Matters Bristol, UK; Norton, B., De Costa, P.I., Research tasks on identity in language learning and teaching (2017) Language Teaching, 51 (1), pp. 90-112; Oates, L.C., Enquist, A., Francis, J., The legal writing handbook: Analysis, research, and writing (2018), 7th ed. Wolters Kluwer New York, NY; Piccard, A.M., U.S. legal writing for international lawyers and law students (2017), West Academic Publishing Saint Paul, MN; Sarangi, S., Candlin, C.N., Trading between reflexivity and relevance: New challenges for applied linguistics (2003) Applied Linguistics, 24 (3), pp. 271-285; Stoller, F.L., Grabe, W., The six t's approach to content-based instruction (1997) The content-based classroom: Perspectives on integrating language and content, pp. 78-94. , M.A. Snow D.M. Brinton Longman New York, NY; Supasiraprapa, S., De Costa, P.I., Metadiscourse and identity construction in teaching philosophy statements: A critical case study of two MATESOL students (2017) TESOL Quarterly, 51 (4), pp. 868-896; Tedick, D.J., Cammarata, L., Content and language integration in K–12 contexts: Student outcomes, teacher practices, and stakeholder perspectives (2012) Foreign Language Annals, 45 (1), pp. 28-53; Tedick, D.J., Zilmer, C., Teacher perceptions of immersion professional development experiences emphasizing language-focused content instruction (2018) Journal of Immersion and Content-Based Language Education, 6 (2), pp. 269-294; Varghese, M., Morgan, B., Johnston, B., Johnson, K.A., Theorizing language teacher identity: Three perspectives and beyond (2009) Journal of Language, Identity and Education, 4 (1), pp. 21-44; Vélez-Rendón, G., From social identity to professional identity: Issues of language and gender (2010) Foreign Language Annals, 43 (4), pp. 635-649; Wargo, J.M., De Costa, P.I., Tracing academic literacies across contemporary literacy sponsorscapes: Mobilities, ideologies, identities, and technologies (2017) London Review of Education, 15 (1), pp. 101-114; Weber, S., Mitchell, C., Drawing ourselves into teaching: Studying the images that shape and distort teacher education (1996) Teaching and Teacher Education, 12 (3), pp. 303-313; Winke, P., Lee, S., Ahn, J.I., Choi, I., Cui, Y., Yoon, H.-J., The cognitive validity of child English language tests: What young language learners and their native-speaking peers can reveal (2018) TESOL Quarterly, 52 (2), pp. 274-303; Wolff, D., De Costa, P.I., Expanding the language teacher identity landscape: An investigation of the emotions and strategies of a NNEST (2017) The Modern Language Journal, 101, pp. 76-90; Yuan, R., A critical review on nonnative English teacher identity research: From 2008 to 2017 (2019) Journal of Multilingual and Multicultural Development, 40 (6), pp. 518-537</t>
  </si>
  <si>
    <t>This research was supported by a Language Learning Doctoral Dissertation Grant.</t>
  </si>
  <si>
    <t>Kessler, M., University of South Florida, United States</t>
  </si>
  <si>
    <t>57210637220;</t>
  </si>
  <si>
    <t>Li, Y.-H.; Collaborative Innovation Center for Cancer Medicine, China; email: liyh@sysucc.org.cn
Wang, D.-S.; Collaborative Innovation Center for Cancer Medicine, China; email: wangdsh@sysucc.org.cn</t>
  </si>
  <si>
    <t>Bray, F., Ferlay, J., Soerjomataram, I., Siegel, R.L., Torre, L.A., Jemal, A., Global cancer statistics 2018: GLOBOCAN estimates of incidence and mortality worldwide for 36 cancers in 185 countries (2018) CA Cancer J. Clin, 68, pp. 394-424. , [CrossRef]; Arnold, M., Sierra, M.S., Laversanne, M., Soerjomataram, I., Jemal, A., Bray, F., Global patterns and trends in colorectal cancer incidence and mortality (2017) Gut, 66, pp. 683-691. , [CrossRef]; Chen, W., Zheng, R., Baade, P.D., Zhang, S., Zeng, H., Bray, F., Jemal, A., He, J., Cancer statistics in China, 2015 (2016) CA Cancer J. Clin, 66, pp. 115-132. , [CrossRef]; Miller, K.D., Nogueira, L., Mariotto, A.B., Rowland, J.H., Yabroff, K.R., Alfano, C.M., Jemal, A., Siegel, R.L., Cancer treatment and survivorship statistics, 2019 (2019) CA Cancer J. Clin, 69, pp. 363-385. , [CrossRef] [PubMed]; Richman, S.D., Seymour, M.T., Chambers, P., Elliott, F., Daly, C.L., Meade, A.M., Taylor, G., Quirke, P., KRAS and BRAF mutations in advanced colorectal cancer are associated with poor prognosis but do not preclude benefit from oxaliplatin or irinotecan: Results from the MRC FOCUS trial (2009) J. Clin. Oncol. Off. J. Am. Soc. Clin. Oncol, 27, pp. 5931-5937. , [CrossRef] [PubMed]; Seligmann, J.F., Fisher, D., Smith, C.G., Richman, S.D., Elliott, F., Brown, S., Adams, R., Cheadle, J., Investigating the poor outcomes of BRAF-mutant advanced colorectal cancer: Analysis from 2530 patients in randomised clinical trials (2017) Ann. Oncol. Off. J. Eur. Soc. Med. Oncol, 28, pp. 562-568. , [CrossRef] [PubMed]; Ikoma, T., Shimokawa, M., Kotaka, M., Matsumoto, T., Nagai, H., Boku, S., Shibata, N., Satake, H., Clinical and prognostic features of patients with detailed RAS/BRAF-mutant colorectal cancer in Japan (2021) BMC Cancer, 21, p. 518. , [CrossRef]; Maughan, T.S., Adams, R.A., Smith, C.G., Meade, A.M., Seymour, M.T., Wilson, R.H., Idziaszczyk, S., Kenny, S.L., Addition of cetuximab to oxaliplatin-based first-line combination chemotherapy for treatment of advanced colorectal cancer: Results of the randomised phase 3 MRC COIN trial (2011) Lancet, 377, pp. 2103-2114. , [CrossRef]; Tie, J., Gibbs, P., Lipton, L., Christie, M., Jorissen, R.N., Burgess, A.W., Croxford, M., Kosmider, S., Optimizing targeted therapeutic development: Analysis of a colorectal cancer patient population with the BRAF(V600E) mutation (2011) Int. J. Cancer, 128, pp. 2075-2084. , [CrossRef]; Tran, B., Kopetz, S., Tie, J., Gibbs, P., Jiang, Z.-Q., Lieu, C.H., Agarwal, A., Desai, J., Impact of BRAF mutation and microsatellite instability on the pattern of metastatic spread and prognosis in metastatic colorectal cancer (2011) Cancer, 117, pp. 4623-4632. , [CrossRef]; Jones, J.C., Renfro, L.A., Al-Shamsi, H.O., Schrock, A.B., Rankin, A., Zhang, B.Y., Kasi, P.M., Sun, J., BRAF Mutations Define a Clinically Distinct Molecular Subtype of Metastatic Colorectal Cancer (2017) J. Clin. Oncol. Off. J. Am. Soc. Clin. Oncol, 35, pp. 2624-2630. , [CrossRef] [PubMed]; Fanelli, G.N., Dal Pozzo, C.A., Depetris, I., Schirripa, M., Brignola, S., Biason, P., Balistreri, M., Munari, G., The heterogeneous clinical and pathological landscapes of metastatic-mutated colorectal cancer (2020) Cancer Cell Int, 20, p. 30. , [CrossRef]; Tol, J., Nagtegaal, I.D., Punt, C.J., BRAF mutation in metastatic colorectal cancer (2009) N. Engl. J. Med, 361, p. 99; Sveen, A., Kopetz, S., Lothe, R.A., Biomarker-guided therapy for colorectal cancer: Strength in complexity (2020) Nat. Rev. Clin. Oncol, 17, pp. 11-32. , [CrossRef] [PubMed]; Van Cutsem, E., Cervantes, A., Adam, R., Sobrero, A., Van Krieken, J.H., Aderka, D., Aranda Aguilar, E., Bodoky, G., ESMO consensus guidelines for the management of patients with metastatic colorectal cancer (2016) Ann. Oncol. Off. J. Eur. Soc. Med. Oncol, 27, pp. 1386-1422. , [CrossRef]; NCCN Clinical Practice Guidelines in Oncology—Colon Cancer, Version 2.2021, , https://www.nccn.org/professionals/physician_gls/pdf/colon.pdf, National Comprehensive Cancer Network. (accessed on 4 April 2021); Kobayashi, S., Takahashi, S., Takahashi, N., Masuishi, T., Shoji, H., Shinozaki, E., Yamaguchi, T., Nomura, S., Survival Outcomes of Resected BRAF V600E Mutant Colorectal Liver Metastases: A Multicenter Retrospective Cohort Study in Japan (2020) Ann. Surg. Oncol, 27, pp. 3307-3315. , [CrossRef]; Gagniere, J., Dupre, A., Gholami, S.S., Pezet, D., Boerner, T., Gonen, M., Kingham, T.P., De Matteo, R.P., Is Hepatectomy Justified for BRAF Mutant Colorectal Liver Metastases?: A Multi-institutional Analysis of 1497 Patients (2020) Ann. Surg, 271, pp. 147-154. , [CrossRef]; Prasanna, T., Wong, R., Price, T., Shapiro, J., Tie, J., Wong, H.-L., Nott, L., Kosmider, S., Metastasectomy and BRAF mutation; an analysis of survival outcome in metastatic colorectal cancer (2021) Curr. Probl. Cancer, 45, p. 100637. , [CrossRef]; Johnson, B., Jin, Z., Truty, M.J., Smoot, R.L., Nagorney, D.M., Kendrick, M.L., Kipp, B.R., Grothey, A., Impact of Metastasectomy in the Multimodality Approach for BRAF V600E Metastatic Colorectal Cancer: The Mayo Clinic Experience (2018) Oncologist, 23, pp. 128-134. , [CrossRef]; Loupakis, F., Intini, R., Cremolini, C., Orlandi, A., Sartore-Bianchi, A., Pietrantonio, F., Pella, N., Scartozzi, M., A validated prognostic classifier for BRAF-mutated metastatic colorectal cancer: The ‘BRAF BeCool’ study (2019) Eur. J. Cancer, 118, pp. 121-130. , [CrossRef]; Moretto, R., Rossini, D., Zucchelli, G., Lonardi, S., Bergamo, F., Santini, D., Cupini, S., Zaniboni, A., Oligometastatic colorectal cancer: Prognosis, role of locoregional treatments and impact of first-line chemotherapy-a pooled analysis of TRIBE and TRIBE2 studies by Gruppo Oncologico del Nord Ovest (2020) Eur. J. Cancer, 139, pp. 81-89. , [CrossRef]; Sánchez-Hidalgo, J.M., Rodríguez-Ortiz, L., Arjona-Sánchez, Á., Rufián-Peña, S., Casado-Adam, Á., Cosano-Álvarez, A., Briceño-Delgado, J., Colorectal peritoneal metastases: Optimal management review (2019) World J. Gastroenterol, 25, pp. 3484-3502. , [CrossRef]; Cremolini, C., Antoniotti, C., Stein, A., Bendell, J., Gruenberger, T., Rossini, D., Masi, G., Falcone, A., Individual Patient Data Meta-Analysis of FOLFOXIRI Plus Bevacizumab Versus Doublets Plus Bevacizumab as Initial Therapy of Unresectable Metastatic Colorectal Cancer (2020) J. Clin. Oncol. Off. J. Am. Soc. Clin. Oncol, 38, pp. 3314-3324. , [CrossRef]; Fouchardière, C., Cohen, R., Malka, D., Guimbaud, R., Bourien, H., Lièvre, A., Cacheux, W., Gilabert, M., Characteristics of BRAF V600E Mutant, Deficient Mismatch Repair/Proficient Mismatch Repair, Metastatic Colorectal Cancer: A Multicenter Series of 287 Patients (2019) Oncologist, 24, p. e1331. , [CrossRef]; Morris, V.K., Kee, B.K., Overman, M.J., Fogelman, D.R., Dasari, A., Raghav, K.P.S., Shureiqi, I., Wolff, R.A., (2020) Clinical and Pathologic Factors Associated with Survival in Brafv600e Colorectal Cancers, , American Society of Clinical Oncology: Alexandria, VA, USA; Passiglia, F., Bronte, G., Bazan, V., Galvano, A., Vincenzi, B., Russo, A., Can KRAS and BRAF mutations limit the benefit of liver resection in metastatic colorectal cancer patients? A systematic review and meta-analysis (2016) Crit. Rev. Oncol. Hematol, 99, pp. 150-157. , [CrossRef]; Tosi, F., Magni, E., Amatu, A., Mauri, G., Bencardino, K., Truini, M., Veronese, S., Nichelatti, M., Effect of KRAS and BRAF Mutations on Survival of Metastatic Colorectal Cancer After Liver Resection: A Systematic Review and Meta-Analysis (2017) Clin. Colorectal Cancer, 16, pp. e153-e163. , [CrossRef]; Cloyd, J., Tzeng, C., Mizuno, T., Conrad, C., Omichi, K., Aloia, T., Vauthey, J., Chun, Y., Braf mutation is not a contraindication to resection of colorectal liver metastases (2017) Health Promot. Board, 19, pp. S55-S56. , [CrossRef]; Pitroda, S.P., Khodarev, N.N., Huang, L., Uppal, A., Wightman, S.C., Ganai, S., Joseph, N., Forde, M., Integrated molecular subtyping defines a curable oligometastatic state in colorectal liver metastasis (2018) Nat. Commun, 9, p. 1793. , [CrossRef] [PubMed]; Elias, D., Lefevre, J.H., Chevalier, J., Brouquet, A., Marchal, F., Classe, J.-M., Ferron, G., Goéré, D., Complete cytoreductive surgery plus intraperitoneal chemohyperthermia with oxaliplatin for peritoneal carcinomatosis of colorectal origin (2009) J. Clin. Oncol. Off. J. Am. Soc. Clin. Oncol, 27, pp. 681-685. , [CrossRef] [PubMed]; Cashin, P.H., Mahteme, H., Spång, N., Syk, I., Frödin, J.E., Torkzad, M., Glimelius, B., Graf, W., Cytoreductive surgery and intraperitoneal chemotherapy versus systemic chemotherapy for colorectal peritoneal metastases: A randomised trial (2016) Eur. J. Cancer, 53, pp. 155-162. , [CrossRef]; Quenet, F., Goéré, D., Mehta, S.S., Roca, L., Dumont, F., Hessissen, M., Saint-Aubert, B., Elias, D., Results of two bi-institutional prospective studies using intraperitoneal oxaliplatin with or without irinotecan during HIPEC after cytoreductive surgery for colorectal carcinomatosis (2011) Ann. Surg, 254, pp. 294-301. , [CrossRef] [PubMed]; Tomasello, G., Petrelli, F., Ghidini, M., Russo, A., Passalacqua, R., Barni, S., FOLFOXIRI Plus Bevacizumab as Conversion Therapy for Patients with Initially Unresectable Metastatic Colorectal Cancer: A Systematic Review and Pooled Analysis (2017) JAMA Oncol, 3, p. e170278. , [CrossRef]; Margonis, G.A., Sergentanis, T.N., Ntanasis-Stathopoulos, I., Andreatos, N., Tzanninis, I.-G., Sasaki, K., Psaltopoulou, T., He, J., Impact of surgical margin width on recurrence and overall survival following R0 hepatic resection of colorectal metastases: A systematic review and meta-analysis (2018) Ann. Surg, 267, pp. 1047-1055. , [CrossRef]; Taieb, J., Kourie, H.R., Emile, J.-F., Le Malicot, K., Balogoun, R., Tabernero, J., Mini, E., Mulot, C., Association of Prognostic Value of Primary Tumor Location in Stage III Colon Cancer with RAS and BRAF Mutational Status (2018) JAMA Oncol, 4, p. e173695. , [CrossRef] [PubMed]; Bachet, J.B., Moreno-Lopez, N., Vigano, L., Marchese, U., Gelli, M., Raoux, L., Truant, S., Le Roy, B., BRAF mutation is not associated with an increased risk of recurrence in patients undergoing resection of colorectal liver metastases (2019) Br. J. Surg, 106, pp. 1237-1247. , [CrossRef] [PubMed]; Bruzzi, M., Auclin, E., Lo Dico, R., Voron, T., Karoui, M., Espin, E., Cianchi, F., Malafosse, R., Influence of Molecular Status on Recurrence Site in Patients Treated for a Stage III Colon Cancer: A Post Hoc Analysis of the PETACC-8 Trial (2019) Ann. Surg. Oncol, 26, pp. 3561-3567. , [CrossRef] [PubMed]; Sinicrope, F.A., Shi, Q., Allegra, C.J., Smyrk, T.C., Thibodeau, S.N., Goldberg, R.M., Meyers, J.P., Sargent, D.J., Association of DNA Mismatch Repair and Mutations in BRAF and KRAS with Survival after Recurrence in Stage III Colon Cancers: A Secondary Analysis of 2 Randomized Clinical Trials (2017) JAMA Oncol, 3, pp. 472-480. , [CrossRef] [PubMed]; Chu, J.E., Johnson, B., Kugathasan, L., Morris, V.K., Raghav, K., Swanson, L., Lim, H.J., Wolber, R., Population-based Screening for in Metastatic Colorectal Cancer Reveals Increased Prevalence and Poor Prognosis (2020) Clin. Cancer Res, 26, pp. 4599-4605. , [CrossRef] [PubMed]; Venderbosch, S., Nagtegaal, I.D., Maughan, T.S., Smith, C.G., Cheadle, J.P., Fisher, D., Kaplan, R., Richman, S.D., Mismatch repair status and BRAF mutation status in metastatic colorectal cancer patients: A pooled analysis of the CAIRO, CAIRO2, COIN, and FOCUS studies (2014) Clin. Cancer Res, 20, pp. 5322-5330. , [CrossRef]; Loupakis, F., Biason, P., Prete, A.A., Cremolini, C., Pietrantonio, F., Pella, N., Dell’Aquila, E., Intini, R., CK7 and consensus molecular subtypes as major prognosticators in BRAF mutated metastatic colorectal cancer (2019) Br. J. Cancer, 121, pp. 593-599. , [CrossRef]</t>
  </si>
  <si>
    <t>Funding: This work was supported, in part, by the National Natural Science Foundation of China (grants 82073302, 81602070, and 81930065); Science and Technology Program of Guangdong (2019B020227002); Science and Technology Program of Guangzhou (201904020046, 201803040019, 201704020228); CAMS Innovation Fund for Medical Sciences (CIFMS) (2019-I2M-5-036).</t>
  </si>
  <si>
    <t>National Natural Science Foundation of China, NNSFC: 81602070, 81930065, 82073302; Chinese Academy of Meteorological Sciences, CAMS: 2019-I2M-5-036; Guangzhou Science and Technology Program key projects: 201704020228, 201803040019, 201904020046; Science and Technology Planning Project of Guangdong Province: 2019B020227002</t>
  </si>
  <si>
    <t>bevacizumab, 216974-75-3, 1438851-35-4; fluorouracil, 51-21-8; folinic acid, 58-05-9; irinotecan, 100286-90-6, 97682-44-5; oxaliplatin, 61825-94-3; Proto-Oncogene Proteins B-raf</t>
  </si>
  <si>
    <t>B Raf kinase; bevacizumab; fluorouracil; folinic acid; irinotecan; oxaliplatin; B Raf kinase; adult; Article; cancer patient; cancer prognosis; cancer staging; cancer surgery; cancer survival; clinical outcome; colorectal cancer; colorectal liver metastasis; controlled study; differentiation; disease free survival; female; follow up; gene mutation; genetic analysis; human; human tissue; lymph node metastasis; major clinical study; male; microsatellite instability; microwave thermotherapy; middle aged; mismatch repair; overall survival; prognostic assessment; progression free survival; retrospective study; tumor localization; tumor recurrence; tumor volume; aged; cohort analysis; colorectal tumor; genetics; Kaplan Meier method; metastasis; multivariate analysis; mutation; pathology; proportional hazards model; Aged; Cohort Studies; Colorectal Neoplasms; Female; Humans; Kaplan-Meier Estimate; Male; Middle Aged; Multivariate Analysis; Mutation; Neoplasm Metastasis; Proportional Hazards Models; Proto-Oncogene Proteins B-raf</t>
  </si>
  <si>
    <t>Ye, L.-F., Collaborative Innovation Center for Cancer Medicine, Sun Yat-sen University Cancer Center, State Key Laboratory of Oncology in South China, Sun Yat-sen University, Guangzhou, 510060, China, Research Unit of Precision Diagnosis and Treatment for Gastrointestinal Cancer, Chinese Academy of Medical Sciences, Guangzhou, 510060, China, Department of Medical Oncology, Sun Yat-sen University Cancer Center, Guangzhou, 510060, China; Ji, X.-M., Department of Molecular Diagnostics, Sun Yat-sen University Cancer Center, Guangzhou, 510060, China; Ren, C., Collaborative Innovation Center for Cancer Medicine, Sun Yat-sen University Cancer Center, State Key Laboratory of Oncology in South China, Sun Yat-sen University, Guangzhou, 510060, China, Research Unit of Precision Diagnosis and Treatment for Gastrointestinal Cancer, Chinese Academy of Medical Sciences, Guangzhou, 510060, China, Department of Medical Oncology, Sun Yat-sen University Cancer Center, Guangzhou, 510060, China; Wang, Z.-Q., Collaborative Innovation Center for Cancer Medicine, Sun Yat-sen University Cancer Center, State Key Laboratory of Oncology in South China, Sun Yat-sen University, Guangzhou, 510060, China, Research Unit of Precision Diagnosis and Treatment for Gastrointestinal Cancer, Chinese Academy of Medical Sciences, Guangzhou, 510060, China, Department of Medical Oncology, Sun Yat-sen University Cancer Center, Guangzhou, 510060, China; Lin, C.-P., Department of Oncology, Jieyang Affiliated Hospital, Sun Yat-sen University, Jieyang, 522000, China; Chen, D.-L., Collaborative Innovation Center for Cancer Medicine, Sun Yat-sen University Cancer Center, State Key Laboratory of Oncology in South China, Sun Yat-sen University, Guangzhou, 510060, China, Research Unit of Precision Diagnosis and Treatment for Gastrointestinal Cancer, Chinese Academy of Medical Sciences, Guangzhou, 510060, China, Department of Medical Oncology, Sun Yat-sen University Cancer Center, Guangzhou, 510060, China; Cai, Y.-Q., Department of Oncology, Jieyang Affiliated Hospital, Sun Yat-sen University, Jieyang, 522000, China; Jin, Y., Collaborative Innovation Center for Cancer Medicine, Sun Yat-sen University Cancer Center, State Key Laboratory of Oncology in South China, Sun Yat-sen University, Guangzhou, 510060, China, Research Unit of Precision Diagnosis and Treatment for Gastrointestinal Cancer, Chinese Academy of Medical Sciences, Guangzhou, 510060, China, Department of Medical Oncology, Sun Yat-sen University Cancer Center, Guangzhou, 510060, China; Qiu, M.-Z., Collaborative Innovation Center for Cancer Medicine, Sun Yat-sen University Cancer Center, State Key Laboratory of Oncology in South China, Sun Yat-sen University, Guangzhou, 510060, China, Research Unit of Precision Diagnosis and Treatment for Gastrointestinal Cancer, Chinese Academy of Medical Sciences, Guangzhou, 510060, China, Department of Medical Oncology, Sun Yat-sen University Cancer Center, Guangzhou, 510060, China; Du, Z.-M., Department of Molecular Diagnostics, Sun Yat-sen University Cancer Center, Guangzhou, 510060, China; Xi, S.-Y., Department of Pathology, Sun Yat-sen University Cancer Center, Guangzhou, 510060, China; Zhang, D.-S., Collaborative Innovation Center for Cancer Medicine, Sun Yat-sen University Cancer Center, State Key Laboratory of Oncology in South China, Sun Yat-sen University, Guangzhou, 510060, China, Research Unit of Precision Diagnosis and Treatment for Gastrointestinal Cancer, Chinese Academy of Medical Sciences, Guangzhou, 510060, China, Department of Medical Oncology, Sun Yat-sen University Cancer Center, Guangzhou, 510060, China; Wang, F., Collaborative Innovation Center for Cancer Medicine, Sun Yat-sen University Cancer Center, State Key Laboratory of Oncology in South China, Sun Yat-sen University, Guangzhou, 510060, China, Research Unit of Precision Diagnosis and Treatment for Gastrointestinal Cancer, Chinese Academy of Medical Sciences, Guangzhou, 510060, China, Department of Medical Oncology, Sun Yat-sen University Cancer Center, Guangzhou, 510060, China; Wang, F.-H., Collaborative Innovation Center for Cancer Medicine, Sun Yat-sen University Cancer Center, State Key Laboratory of Oncology in South China, Sun Yat-sen University, Guangzhou, 510060, China, Research Unit of Precision Diagnosis and Treatment for Gastrointestinal Cancer, Chinese Academy of Medical Sciences, Guangzhou, 510060, China, Department of Medical Oncology, Sun Yat-sen University Cancer Center, Guangzhou, 510060, China; Xu, R.-H., Collaborative Innovation Center for Cancer Medicine, Sun Yat-sen University Cancer Center, State Key Laboratory of Oncology in South China, Sun Yat-sen University, Guangzhou, 510060, China, Research Unit of Precision Diagnosis and Treatment for Gastrointestinal Cancer, Chinese Academy of Medical Sciences, Guangzhou, 510060, China, Department of Medical Oncology, Sun Yat-sen University Cancer Center, Guangzhou, 510060, China; Li, Y.-H., Collaborative Innovation Center for Cancer Medicine, Sun Yat-sen University Cancer Center, State Key Laboratory of Oncology in South China, Sun Yat-sen University, Guangzhou, 510060, China, Research Unit of Precision Diagnosis and Treatment for Gastrointestinal Cancer, Chinese Academy of Medical Sciences, Guangzhou, 510060, China, Department of Medical Oncology, Sun Yat-sen University Cancer Center, Guangzhou, 510060, China; Wang, D.-S., Collaborative Innovation Center for Cancer Medicine, Sun Yat-sen University Cancer Center, State Key Laboratory of Oncology in South China, Sun Yat-sen University, Guangzhou, 510060, China, Research Unit of Precision Diagnosis and Treatment for Gastrointestinal Cancer, Chinese Academy of Medical Sciences, Guangzhou, 510060, China, Department of Medical Oncology, Sun Yat-sen University Cancer Center, Guangzhou, 510060, China</t>
  </si>
  <si>
    <t>57221329562;57218581510;54409296000;55909133300;57227356800;55725003800;57226987100;35269102400;24451309600;34971033800;55368980100;57188947544;57192698934;55556809000;8662243500;55065845200;55561385000;</t>
  </si>
  <si>
    <t>Ye L.-F., Ji X.-M., Ren C., Wang Z.-Q., Lin C.-P., Chen D.-L., Cai Y.-Q., Jin Y., Qiu M.-Z., Du Z.-M., Xi S.-Y., Zhang D.-S., Wang F., Wang F.-H., Xu R.-H., Li Y.-H., Wang D.-S.</t>
  </si>
  <si>
    <t>All Open Access, Hybrid Gold, Green</t>
  </si>
  <si>
    <t>Al-Hoorie, A.H., The L2 motivational self system: A meta-analysis (2018) Studies in Second Language Learning and Teaching, 8 (4), pp. 721-754; Publication manual of the American psychological association (2010), 6th ed. American Psychological Association; Amorati, R., Accessing a global community through L2 learning: A comparative study on the relevance of international posture to EFL and LOTE students (2020) Journal of Multilingual and Multicultural Development, , In press; Ashton, M.C., Personality and job performance: The importance of narrow traits (1998) Journal of Organizational Behavior, 19 (3), pp. 289-303; Benet‐Martínez, V., Haritatos, J., Bicultural identity integration (BII): Components and psychosocial antecedents (2005) Journal of Personality, 73 (4), pp. 1015-1050; Botes, E., Gottschling, J., Stadler, M., Greiff, S., A systematic narrative review of International Posture: What is known and what still needs to be uncovered (2020) System, 90, p. 102232; Braun, V., Clarke, V., Using thematic analysis in psychology (2006) Qualitative Research in Psychology, 3 (2), pp. 77-101; Calafato, R., The non-native speaker teacher as proficient multilingual: A critical review of research from 2009–2018 (2019) Lingua, 227; Calafato, R., Evaluating teacher multilingualism across contexts and multiple languages: Validation and insights (2020) Heliyon, 6 (8); Calafato, R., Learning Arabic in Scandinavia: Motivation, metacognition, and autonomy (2020) Lingua, 246; Calafato, R., Tang, F., Multilingualism and gender in the UAE: A look at the motivational selves of Emirati teenagers (2019) System, 84, pp. 133-144; Calafato, R., Tang, F., The status of Arabic, superdiversity, and language learning motivation among non-Arab expats in the Gulf (2019) Lingua, 219, pp. 24-38; Cameron, D., Gender and language ideologies (2011) language and gender: A reader, pp. 583-599. , J. Coates P. Pichler Wiley-Blackwell; Cenoz, J., Defining multilingualism (2013) Annual Review of Applied Linguistics, 33, pp. 3-18; Chaplin, T., Aldao, A., Gender differences in emotion expression in children: A meta-analytic review (2013) Psychological Bulletin, 139 (4), pp. 735-765; Dewaele, J.M., Botes, E., Does multilingualism shape personality? An exploratory investigation (2020) International Journal of Bilingualism, 24 (4), pp. 811-823; Dewaele, J.M., Petrides, K.V., Furnham, A., Effects of trait emotional intelligence and sociobiographical variables on communicative anxiety and foreign language anxiety among adult multilinguals: A review and empirical investigation (2008) Language Learning, 58 (4), pp. 911-960; Dewaele, J.M., Stavans, A., The effect of immigration, acculturation and multicompetence on personality profiles of Israeli multilinguals (2014) International Journal of Bilingualism, 18 (3), pp. 203-221; Dewaele, J.M., van Oudenhoven, J.P., The effect of multilingualism/multiculturalism on personality: No gain without pain for third culture kids? (2009) International Journal of Multilingualism, 6 (4), pp. 443-459; Djuraeva, M., Multilingualism, nation branding, and the ownership of English in Kazakhstan and Uzbekistan (2021), World Englishes In press; Dmitrenko, V., Language learning strategies of multilingual adults learning additional languages (2017) International Journal of Multilingualism, 14 (1), pp. 6-22; Dörnyei, Z., The L2 motivational self system (2009) Motivation, language identity and the L2 self, pp. 9-42. , Z. Dörnyei E. Ushioda Multilingual Matters; Duff, P.A., Transnationalism, multilingualism, and identity (2015) Annual Review of Applied Linguistics, 35, pp. 57-80; Dunn, T.J., Baguley, T., Brunsden, V., From alpha to omega: A practical solution to the pervasive problem of internal consistency estimation (2014) British Journal of Psychology, 105 (3), pp. 399-412; Edwards, J., Multilingualism (1994), Routledge; Council Recommendation of 22 May 2019 on a comprehensive approach to the teaching and learning of languages (2019) Official Journal of the European Union, 62 (5), pp. 15-22; Fava, E., Hull, R., Bortfeld, H., Linking behavioral and neurophysiological indicators of perceptual tuning to language (2011) Frontiers in Psychology, 2, p. 174; Gao, X., Zheng, Y., Multilingualism and higher education in Greater China (2019) Journal of Multilingual and Multicultural Development, 40 (7), pp. 555-561; Gardner, R., Lambert, E., Attitudes and motivation in second language learning (1972), Newbury; Gearing, N., Roger, P., Where's the vision? Rescuing integrativeness to understand the language learning motivation of English-speaking EFL instructors living in South Korea (2019) System, 82, pp. 122-131; Hasanova, D., English education in Uzbekistan (2016) Language change in Central Asia, pp. 245-265. , E.S. Ahn J. Smagulova de Gruyter Mouton; Henry, A., Gender differences in L2 motivation: A reassessment (2010) Gender gap: Causes, experiences and effect, pp. 81-102. , S.A. Davies Nova Science; Hilmarsson-Dunn, A., Mitchell, R., Multilingual migrants in England: Factors affecting their language use (2011) Becoming multilingual: Language learning and language policy between attitudes and identities, pp. 65-86. , C. Varcasia Peter Lang; Hirosh, Z., Degani, T., Direct and indirect effects of multilingualism on novel language learning: An integrative review (2018) Psychonomic Bulletin &amp; Review, 25 (3), pp. 892-916; Kauff, M., Asbrock, F., Thörner, S., Wagner, U., Side effects of multiculturalism: The interaction effect of a multicultural ideology and authoritarianism on prejudice and diversity beliefs (2013) Personality and Social Psychology Bulletin, 39 (3), pp. 305-320; Kong, J.H., Han, J.E., Kim, S., Park, H., Kim, Y.S., Park, H., L2 motivational self system, international posture and competitiveness of Korean CTL and LCTL college learners: A structural equation modeling approach (2018) System, 72, pp. 178-189; Kormos, J., Csizér, K., Age‐related differences in the motivation of learning English as a foreign language: Attitudes, selves, and motivated learning behavior (2008) Language Learning, 58 (2), pp. 327-355; Kroll, J.F., Bialystok, E., Understanding the consequences of bilingualism for language processing and cognition (2013) Journal of Cognitive Psychology, 25 (5), pp. 497-514; Kroll, J.F., Dussias, P.E., The benefits of multilingualism to the personal and professional development of residents of the US (2017) Foreign Language Annals, 50 (2), pp. 248-259; Lamb, M., Integrative motivation in a globalizing world (2004) System, 32 (1), pp. 3-19; Lee, J.H., The effects of short-term study abroad on L2 anxiety, international posture, and L2 willingness to communicate (2018) Journal of Multilingual and Multicultural Development, 39 (8), pp. 703-714; Liddicoat, A.J., Language-in-education policy in the Central Asian republics of Kyrgyzstan, Tajikistan, Turkmenistan, and Uzbekistan (2019) The Routledge international handbook of language education policy in Asia, pp. 452-470. , A. Kirkpatrick A.J. Liddicoat Routledge; Liddicoat, A.J., Kirkpatrick, A., Dimensions of language education policy in Asia (2020) Journal of Asian Pacific Communication, 30 (1-2), pp. 7-33; Luo, X., Wei, R., Is multilingualism linked to a higher tolerance of homosexuality? Evidence from a national survey (2021) Journal of Multilingual and Multicultural Development, , In press; Medrano, J.D., Multilingualism and European identification (2018) Sociological Inquiry, 88 (3), pp. 410-434; Mepham, K.D., Martinovic, B., Multilingualism and out-group acceptance: The mediating roles of cognitive flexibility and deprovincialization (2018) Journal of Language and Social Psychology, 37 (1), pp. 51-73; Minobr, Federal state educational standards (2021), https://fgos.ru/, Ministry of Education of the Russian Federation; Munezane, Y., Attitudes, affect and ideal L2 self as predictors of willingness to communicate (2013) EUROSLA Yearbook, 13 (1), pp. 176-198; Munroe, A., Pearson, C., The Munroe multicultural attitude scale questionnaire: A new instrument for multicultural studies (2006) Educational and Psychological Measurement, 66 (5), pp. 819-834; Nakamura, T., Understanding motivation for learning languages other than English: Life domains of L2 self (2019) System, 82, pp. 111-121; Nicol, A.A., De France, K., Prejudice, integrativeness, and motivation to learn a second language: A mediation analysis (2020) Psychological Reports, 123 (2), pp. 420-434; Oakes, L., Howard, M., Learning French as a foreign language in a globalised world: An empirical critique of the L2 Motivational Self System (2019) International Journal of Bilingual Education and Bilingualism, , In press; Peltokorpi, V., Froese, F.J., The impact of expatriate personality traits on cross-cultural adjustment: A study with expatriates in Japan (2012) International Business Review, 21 (4), pp. 734-746; Pettigrew, T.F., Meertens, R.W., Subtle and blatant prejudice in Western Europe (1995) European Journal of Social Psychology, 25 (1), pp. 57-75; Plonsky, L., Oswald, F.L., How big is “Big”? Interpreting effect sizes in L2 research (2014) Language Learning, 64 (4), pp. 878-912; Ponterotto, J.G., Theoretical and empirical advances in multicultural counseling (2008) Handbook of counseling psychology, pp. 121-140. , S.D. Brown R.W. Lent Wiley; Pratto, F., Sidanius, J., Stallworth, L.M., Malle, B.F., Social dominance orientation: A personality variable predicting social and political attitudes (1994) Journal of Personality and Social Psychology, 67, pp. 741-763; Pulinx, R., Van Avermaet, P., Agirdag, O., Silencing linguistic diversity: The extent, the determinants and consequences of the monolingual beliefs of Flemish teachers (2017) International Journal of Bilingual Education and Bilingualism, 20 (5), pp. 542-556; Raud, N., Orehhova, O., Training teachers for multilingual primary schools in Europe: Key components of teacher education curricula (2020) International Journal of Multilingualism, , In press; Reagan, T., Language planning and language policy in Kazakhstan (2019) The Routledge international handbook of language education policy in Asia, pp. 442-451. , A. Kirpatrick A.J. Liddicoat Routledge; Rushton, J.P., Irwing, P., A general factor of personality in the comrey personality scales, the Minnesota multiphasic personality inventory-2, and the multicultural personality questionnaire (2009) Personality and Individual Differences, 46 (4), pp. 437-442; Servidio, R., Giammusso, I., Boca, S., Mirisola, A., Multilingualism and ethnic prejudice (2021) Social Psychology, 52 (2), pp. 90-100; Sinyachkin, V.P., Sinyachkina, N.L., Multilingualism in the republic of Kazakhstan: Viewpoint from the outside (2018) Polylinguality and Transcultural Practices, 15 (3), pp. 445-460; Solhaug, T., Kristensen, N.N., Gender and intercultural competence: Analysis of intercultural competence among upper secondary school students in Denmark and Norway (2020) Educational Psychology, 40 (1), pp. 120-140; Spechler, M.C., Authoritarian politics and economic reform in Uzbekistan: Past, present and prospects (2007) Central Asian Survey, 26 (2), pp. 185-202; Stampolaki, K., Case study research on the less known multilingual educational program of Val d'Aran in Catalonia, Spain (2018) Interdisciplinary research approaches to multilingual education, pp. 31-42. , V. Kourtis-Kazoullis T. Aravossitas E. Skourtou P.P. Trifona Routledge; Starr, D., Chinese language education in Europe: The Confucius Institutes (2009) European Journal of Education, 44 (1), pp. 65-82; Sugita McEown, M., Sawaki, Y., Harada, T., Foreign language learning motivation in the Japanese context: Social and political influences on self (2017) The Modern Language Journal, 101 (3), pp. 533-547; Syzdykbayeva, R., The role of languages in developing plurilingual identities in Kazakhstan (2016) NUGSE Research in Education, 1 (1), pp. 15-19; Takahashi, K., Multilingualism and gender (2012) Handbook of multilingualism, pp. 134-154. , M. Martin-Jones A. Blackledge A. Creese Routledge; Tannenbaum, M., Tseng, J., Which one is Ithaca? Multilingualism and sense of identity among third culture kids (2015) International Journal of Multilingualism, 12 (3), pp. 276-297; Tussupbekova, M.Z., Idrissova, M.A., Smagulova, B.G., Nurmanova, Z.H., Kulanova, K.K., Trilingual education development in universities of Kazakhstan (2018) Journal of Advanced Research in Social Sciences and Humanities, 3 (1), pp. 37-45; Utdanningsdirektoratet, Læreplan i fremmedspråk (FSP01-02) [Foreign language curriculum] (2020), https://www.udir.no/lk20/fsp01-02, Norwegian Directorate for Education and Training; Wang, L., Kirkpatrick, A., Students' and parents' perceptions of trilingual education in Hong Kong primary schools (2020) International Journal of Multilingualism, 17 (4), pp. 430-447; Warden, C.A., Lin, H.J., Existence of integrative motivation in an Asian EFL setting (2000) Foreign Language Annals, 33 (5), pp. 535-545; Wei, L., Conceptual and methodological issues in bilingualism and multilingualism research (2013) The handbook of bilingualism and multilingualism, pp. 26-51. , T.K. Bhatia W.C. Ritchie Blackwell Publishing; Weikum, W.M., Vouloumanos, A., Navarra, J., Soto-Faraco, S., Sebastián-Gallés, N., Werker, J.F., Age-related sensitive periods influence visual language discrimination in adults (2013) Frontiers in Systems Neuroscience, 7, p. 86; Whitley, B.E., Jr., Webster, G.D., The relationships of intergroup ideologies to ethnic prejudice: A meta-analysis (2019) Personality and Social Psychology Review, 23 (3), pp. 207-237; Wright, W.E., Boun, S., Garcia, O., (2015) The handbook of bilingual and multilingual education, , Wiley; Yashima, T., Willingness to communicate in a second language: The Japanese context (2002) The Modern Language Journal, 86 (1), pp. 54-66; Yashima, T., International posture and the ideal L2 self in the Japanese EFL context (2009) Motivation, language identity and the L2 self, pp. 144-163. , Z. Dörnyei E. Ushioda Multilingual Matters; Yashima, T., Nishida, R., Mizumoto, A., Influence of learner beliefs and gender on the motivating power of L2 selves (2017) The Modern Language Journal, 101 (4), pp. 691-711; Yeskeldiyeva, B.Y., Tazhibayeva, S.Z., Multilingualism in modern Kazakhstan: New challenges (2015) Asian Social Science, 11 (6), pp. 56-64; You, C., Dörnyei, Z., Csizér, K., Motivation, vision, and gender: A survey of learners of English in China (2016) Language Learning, 66 (1), pp. 94-123</t>
  </si>
  <si>
    <t>I would like to express my heartfelt thanks to the teachers who helped with recruiting participants for the study and the students who eventually participated. I would also like to thank the journal's editors for their professionalism and approachability and the three anonymous reviewers for their helpful comments and advice on this paper.</t>
  </si>
  <si>
    <t>Calafato, R., Department of Foreign Languages, University of Bergen, HF‐bygget, Sydnesplassen 7, Bergen, 5020, Norway</t>
  </si>
  <si>
    <t>57204708350;</t>
  </si>
  <si>
    <t>Conference Review</t>
  </si>
  <si>
    <t>27 July 2022 through 31 July 2022</t>
  </si>
  <si>
    <t>Rodrigo M.M.Matsuda N.Cristea A.I.Dimitrova V.</t>
  </si>
  <si>
    <t>[No author id available]</t>
  </si>
  <si>
    <t>[No author name available]</t>
  </si>
  <si>
    <t>28 November 2022 through 9 December 2022</t>
  </si>
  <si>
    <t>36th Conference on Neural Information Processing Systems, NeurIPS 2022</t>
  </si>
  <si>
    <t>Koyejo S.Mohamed S.Agarwal A.Belgrave D.Cho K.Oh A.</t>
  </si>
  <si>
    <t>Raffel, Colin, Shazeer, Noam, Roberts, Adam, Lee, Katherine, Narang, Sharan, Matena, Michael, Zhou, Yanqi, Liu, Peter J, (2019) Exploring the limits of transfer learning with a unified text-to-text transformer, , arXiv preprint arXiv:1910.10683; Brown, Tom, Mann, Benjamin, Ryder, Nick, Subbiah, Melanie, Kaplan, Jared D, Dhariwal, Prafulla, Neelakantan, Arvind, Askell, Amanda, Language models are few-shot learners (2020) Advances in neural information processing systems, 33, pp. 1877-1901; Rae, Jack W, Borgeaud, Sebastian, Cai, Trevor, Millican, Katie, Hoffmann, Jordan, Song, Francis, Aslanides, John, Young, Susannah, (2021) Scaling language models: Methods, analysis &amp; insights from training gopher, , arXiv preprint arXiv:2112.11446; Smith, Shaden, Patwary, Mostofa, Norick, Brandon, LeGresley, Patrick, Rajbhandari, Samyam, Casper, Jared, Liu, Zhun, Korthikanti, Vijay, (2022) Using deepspeed and megatron to train megatron-turing nlg 530b, a large-scale generative language model, , arXiv preprint arXiv:2201.11990; Chowdhery, Aakanksha, Narang, Sharan, Devlin, Jacob, Bosma, Maarten, Mishra, Gaurav, Roberts, Adam, Barham, Paul, Fiedel, Noah, (2022) Palm: Scaling language modeling with pathways, , https://arxiv.org/abs/2204.02311; Hendrycks, Dan, Burns, Collin, Kadavath, Saurav, Arora, Akul, Basart, Steven, Tang, Eric, Song, Dawn, Steinhardt, Jacob, (2021) Measuring mathematical problem solving with the math dataset, , https://arxiv.org/abs/2103.03874; Cobbe, Karl, Kosaraju, Vineet, Bavarian, Mohammad, Chen, Mark, Jun, Heewoo, Kaiser, Lukasz, Plappert, Matthias, Schulman, John, (2021) Training verifiers to solve math word problems, , https://arxiv.org/abs/2110.14168; Mishra, Swaroop, Mitra, Arindam, Varshney, Neeraj, Sachdeva, Bhavdeep, Clark, Peter, Baral, Chitta, Kalyan, Ashwin, (2022) Numglue: A suite of fundamental yet challenging mathematical reasoning tasks, , https://arxiv.org/abs/2204.05660; Chen, Mark, Tworek, Jerry, Jun, Heewoo, Yuan, Qiming, de Oliveira Pinto, Henrique Ponde, Kaplan, Jared, Edwards, Harri, Zaremba, Wojciech, (2021) Evaluating large language models trained on code, , https://arxiv.org/abs/2107.03374; Austin, Jacob, Odena, Augustus, Nye, Maxwell, Bosma, Maarten, Michalewski, Henryk, Dohan, David, Jiang, Ellen, Le, Quoc, (2021) Program synthesis with large language models, , arXiv preprint arXiv:2108.07732; Drori, Iddo, Zhang, Sarah, Shuttleworth, Reece, Tang, Leonard, Lu, Albert, Ke, Elizabeth, Liu, Kevin, Strang, Gilbert, (2021) A neural network solves, explains, and generates university math problems by program synthesis and few-shot learning at human level, , https://arxiv.org/abs/2112.15594; Hendrycks, Dan, Burns, Collin, Basart, Steven, Zou, Andy, Mazeika, Mantas, Song, Dawn, Steinhardt, Jacob, Measuring massive multitask language understanding (2020) CoRR, , https://arxiv.org/abs/2009.03300, abs/2009.03300; Koncel-Kedziorski, Rik, Hajishirzi, Hannaneh, Sabharwal, Ashish, Etzioni, Oren, Ang, Siena Dumas, Parsing algebraic word problems into equations (2015) Transactions of the Association for Computational Linguistics, 3; Hosseini, Mohammad Javad, Hajishirzi, Hannaneh, Etzioni, Oren, Kushman, Nate, Learning to solve arithmetic word problems with verb categorization (2014) EMNLP, p. 523533; Nye, Maxwell, Andreassen, Anders Johan, Gur-Ari, Guy, Michalewski, Henryk, Austin, Jacob, Bieber, David, Dohan, David, Odena, Augustus, (2021) Show Your Work: Scratchpads for Intermediate Computation with Language Models, , arXiv e-prints, art. arXiv:2112.00114, November; Wei, Jason, Wang, Xuezhi, Schuurmans, Dale, Bosma, Maarten, Chi, Ed, Le, Quoc, Zhou, Denny, (2022) Chain of thought prompting elicits reasoning in large language models, , https://arxiv.org/abs/2201.11903; Li, Yujia, Choi, David, Chung, Junyoung, Kushman, Nate, Schrittwieser, Julian, Leblond, Rémi, Eccles, Tom, Vinyals, Oriol, (2022) Competition-level code generation with alphacode, , https://arxiv.org/abs/2203.07814; Thoppilan, Romal, De Freitas, Daniel, Hall, Jamie, Shazeer, Noam, Kulshreshtha, Apoorv, Cheng, Heng-Tze, Jin, Alicia, Le, Quoc, (2022) Lamda: Language models for dialog applications, , https://arxiv.org/abs/2201.08239; Wang, Xuezhi, Wei, Jason, Schuurmans, Dale, Le, Quoc, Chi, Ed, Narang, Sharan, Chowdhery, Aakanksha, Zhou, Denny, (2022) Self-consistency improves chain of thought reasoning in language models, , https://arxiv.org/abs/2203.11171; (2022) The Coq reference manual, , http://coq.inria.fr, Version 8.15; Wenzel, Makarius, Paulson, Lawrence C., Nipkow, Tobias, The isabelle framework (2008) Theorem Proving in Higher Order Logics, pp. 33-38. , Otmane Ait Mohamed, César Muñoz, and Sofiène Tahar, editors, pages Berlin, Heidelberg, Springer Berlin Heidelberg. ISBN 978-3-540-71067-7; Harrison, John, Hol light: A tutorial introduction (1996) Formal Methods in Computer-Aided Design, pp. 265-269. , Mandayam Srivas and Albert Camilleri, editors, pages Berlin, Heidelberg, Springer Berlin Heidelberg. ISBN 978-3-540-49567-3; de Moura, Leonardo Mendonça, Kong, Soonho, Avigad, Jeremy, van Doorn, Floris, von Raumer, Jakob, The lean theorem prover (system description) (2015) CADE, volume 9195 of Lecture Notes in Computer Science, pp. 378-388. , http://dblp.uni-trier.de/db/conf/cade/cade2015.html#MouraKADR15, Amy P. Felty and Aart Middeldorp, editors, pages Springer, ISBN 978-3-319-21400-9; Megill, Norman D., Wheeler, David A., (2019) Metamath: A Computer Language for Pure Mathematics, , http://us.metamath.org/downloads/metamath.pdf.http://us.metamath.org/downloads/metamath.pdf, Lulu Press, Morrisville, North Carolina; Grabowski, Adam, Kornilowicz, Artur, Naumowicz, Adam, Mizar in a nutshell (2010) J. Formalized Reasoning, 3 (2), pp. 153-245. , https://doi.org/10.6092/issn.1972-5787/1980; Schulz, Stephan, System Description: E 1.8 (2013) Proc. of the 19th LPAR, volume 8312 of LNCS, , Ken McMillan, Aart Middeldorp, and Andrei Voronkov, editors, Springer; Otten, Jens, leancop 2.0 and ileancop 1.2: High performance lean theorem proving in classical and intuitionistic logic (system descriptions) (2008) Automated Reasoning, pp. 283-291. , Alessandro Armando, Peter Baumgartner, and Gilles Dowek, editors, pages Berlin, Heidelberg, Springer Berlin Heidelberg. ISBN 978-3-540-71070-7; Kovács, Laura, Voronkov, Andrei, First-order theorem proving and Vampire (2013) CAV; Alemi, Alexander A., Chollet, François, Een, Niklas, Irving, Geoffrey, Szegedy, Christian, Urban, Josef, Deepmath - Deep Sequence Models for Premise Selection (2016) Proceedings of the 30th International Conference on Neural Information Processing Systems, NIPS'16, pp. 2243-2251. , http://dl.acm.org/citation.cfm?id=3157096.3157347, USA, Curran Associates Inc. ISBN 978-1-5108-3881-9; Goertzel, Zarathustra Amadeus, Chvalovský, Karel, Jakubuv, Jan, Olsák, Miroslav, Urban, Josef, Fast and slow enigmas and parental guidance (2021) CoRR, , https://arxiv.org/abs/2107.06750, abs/2107.06750; Li, Wenda, Yu, Lei, Wu, Yuhuai, Paulson, Lawrence C., Isarstep: a benchmark for high-level mathematical reasoning (2021) ICLR; Polu, Stanislas, Sutskever, Ilya, (2020) Generative language modeling for automated theorem proving, , arXiv preprint arXiv:2009.03393; Kaliszyk, Cezary, Urban, Josef, Michalewski, Henryk, Olšák, Miroslav, Reinforcement learning of theorem proving (2018) Advances in Neural Information Processing Systems, 31. , https://proceedings.neurips.cc/paper/2018/file/55acf8539596d25624059980986aaa78-Paper.pdf, S. Bengio, H. Wallach, H. Larochelle, K. Grauman, N. Cesa-Bianchi, and R. Garnett, editors, Curran Associates, Inc; Rabe, Markus Norman, Lee, Dennis, Bansal, Kshitij, Szegedy, Christian, (2021) Mathematical reasoning via self-supervised skip-tree training, , https://openreview.net/forum?id=YmqAnY0CMEy; Wu, Yuhuai, Rabe, Markus N., Li, Wenda, Ba, Jimmy, Grosse, Roger B., Szegedy, Christian, LIME: learning inductive bias for primitives of mathematical reasoning Proceedings of the 38th International Conference on Machine Learning, ICML 2021, 18-24 July 2021, Virtual Event, volume 139 of Proceedings of Machine Learning Research, pp. 11251-11262. , http://proceedings.mlr.press/v139/wu21c.html, Marina Meila and Tong Zhang, editors, pages PMLR, 2021; Han, Jesse Michael, Rute, Jason, Wu, Yuhuai, Ayers, Edward, Polu, Stanislas, Proof artifact co-training for theorem proving with language models (2022) International Conference on Learning Representations, , https://openreview.net/forum?id=rpxJc9j04U; Polu, Stanislas, Han, Jesse Michael, Zheng, Kunhao, Baksys, Mantas, Babuschkin, Igor, Sutskever, Ilya, Formal mathematics statement curriculum learning (2022) CoRR, , https://arxiv.org/abs/2202.01344, abs/2202.01344; Jiang, Albert Q., Li, Wenda, Tworkowski, Szymon, Czechowski, Konrad, Odrzygózdz, Tomasz, Milos, Piotr, Wu, Yuhuai, Jamnik, Mateja, Thor: Wielding hammers to integrate language models and automated theorem provers (2022) CoRR, , https://doi.org/10.48550/arXiv.2205.10893, abs/2205.10893; Wu, Yuhuai, Jiang, Albert Q., Li, Wenda, Rabe, Markus N., Staats, Charles, Jamnik, Mateja, Szegedy, Christian, Autoformalization with large language models (2022) CoRR, , https://doi.org/10.48550/arXiv.2205.12615, abs/2205.12615; Welleck, Sean, Liu, Jiacheng, Le Bras, Ronan, Hajishirzi, Hannaneh, Choi, Yejin, Cho, Kyunghyun, Naturalproofs: Mathematical theorem proving in natural language (2021) CoRR, , https://arxiv.org/abs/2104.01112, abs/2104.01112; Pfahler, Lukas, Morik, Katharina, (2020) Semantic search in millions of equations; Holtzman, Ari, Buys, Jan, Du, Li, Forbes, Maxwell, Choi, Yejin, (2019) The curious case of neural text degeneration, , https://arxiv.org/abs/1904.09751; Meurer, Aaron, Smith, Christopher P., Paprocki, Mateusz, Čertík, Ondřej, Kirpichev, Sergey B., Rocklin, Matthew, Kumar, AMiT, Scopatz, Anthony, Sympy: symbolic computing in python (2017) PeerJ Computer Science, 3, p. e103. , https://doi.org/10.7717/peerj-cs.103, January ISSN 2376-5992; Hoffmann, Jordan, Borgeaud, Sebastian, Mensch, Arthur, Buchatskaya, Elena, Cai, Trevor, Rutherford, Eliza, de Las Casas, Diego, Sifre, Laurent, (2022) Training compute-optimal large language models, , https://arxiv.org/abs/2203.15556; (2021) Skale centylowe wyników - matura 2021, , https://g.infor.pl/p/_files/37182000/1-matura-2021-centyle-37181904.pdf; Trinh, Trieu H, Le, Quoc V, (2018) A simple method for commonsense reasoning, , arXiv preprint arXiv:1806.02847; Radford, Alec, Wu, Jeffrey, Child, Rewon, Luan, David, Amodei, Dario, Sutskever, Ilya, Language models are unsupervised multitask learners (2019) OpenAI blog, 1 (8), p. 9; Carlini, Nicholas, Ippolito, Daphne, Jagielski, Matthew, Lee, Katherine, Tramer, Florian, Zhang, Chiyuan, (2022) Quantifying memorization across neural language models, , https://arxiv.org/abs/2202.07646; Roberts, Adam, Chung, Hyung Won, Levskaya, Anselm, Mishra, Gaurav, Bradbury, James, Andor, Daniel, Narang, Sharan, Gesmundo, Andrea, (2022) Scaling up models and data with t5x and seqio, , https://arxiv.org/abs/2203.17189; Ravichander, Abhilasha, Naik, Aakanksha, Rose, Carolyn, Hovy, Eduard, (2019) Equate: A benchmark evaluation framework for quantitative reasoning in natural language inference, , https://arxiv.org/abs/1901.03735</t>
  </si>
  <si>
    <t>We thank David Andre, Jacob Austin, Maarten Bosma, Aakanksha Chowdhery, Sergey Ioffe, Colin Raffel, Charles Sutton, Christian Szegedy, Stanislas Polu, and Harrison Edwards for helpful discussions.</t>
  </si>
  <si>
    <t>Lewkowycz, A., Google Research; Andreassen, A., Google Research; Dohan, D., Google Research; Dyer, E., Google Research; Michalewski, H., Google Research; Ramasesh, V., Google Research; Slone, A., Google Research; Anil, C., Google Research; Schlag, I., Google Research; Gutman-Solo, T., Google Research; Wu, Y., Google Research; Neyshabur, B., Google Research; Gur-Ari, G., Google Research; Misra, V., Google Research</t>
  </si>
  <si>
    <t>58464452100;56448451600;57188568914;26032513300;6701557012;57219758378;57803349000;57203314100;57201861913;57809162300;57193409950;55788626200;55180711600;57222264995;</t>
  </si>
  <si>
    <t>Lewkowycz A., Andreassen A., Dohan D., Dyer E., Michalewski H., Ramasesh V., Slone A., Anil C., Schlag I., Gutman-Solo T., Wu Y., Neyshabur B., Gur-Ari G., Misra V.</t>
  </si>
  <si>
    <t>Varkevisser, R.D.M.; Department of Endocrinology, Netherlands; email: r.d.m.varkevisser@umcg.nl</t>
  </si>
  <si>
    <t>Nathan, D.M., Cleary, P.A., J-Yc, B., Intensive diabetes treatment and cardiovascular disease in patients with type 1 diabetes (2005) N Engl J Med, 353, pp. 2643-2653; Rawshani, A., Rawshani, A., Franzén, S., Mortality and cardiovascular disease in type 1 and type 2 diabetes (2017) N Engl J Med Overseas Ed, 376, pp. 1407-1418; Lind, M., Svensson, A.-M., Kosiborod, M., Glycemic control and excess mortality in type 1 diabetes (2014) N Engl J Med, 371, pp. 1972-1982; (2015) Diabetes Care, 38, pp. S49-S57. , American Diabetes Association 8 cardiovascular disease and risk management; (2018) Guidelines for Cardiovascular Risk Management (CVRM, , Dutch College of General Practitioners,, Dutch Internists Association,, Dutch Society for Cardiology; Chrispin, J., Martin, S.S., Hasan, R.K., Landmark lipid-lowering trials in the primary prevention of cardiovascular disease (2013) Clin Cardiol, 36, pp. 516-523; Collins, R., Armitage, J., Parish, S., MRC/BHF heart protection study of cholesterol-lowering with simvastatin in 5963 people with diabetes: A randomised placebo-controlled trial (2003) Lancet, 361, pp. 2005-2016; Hägg-Holmberg, S., Dahlström, E.H., Forsblom, C.M., The role of blood pressure in risk of ischemic and hemorrhagic stroke in type 1 diabetes (2019) Cardiovasc Diabetol, 18, p. 88; Shah, V.N., Grimsmann, J.M., Foster, N.C., Undertreatment of cardiovascular risk factors in the type 1 diabetes exchange clinic network (United States) and the prospective diabetes follow-up (Germany/Austria) registries (2020) Diabetes Obes Metab, 22, pp. 1577-1585; De Ferranti, S.D., De Boer, I.H., Fonseca, V., Type 1 diabetes mellitus and cardiovascular disease: A scientific statement from the American heart association and American diabetes association (2014) Diabetes Care, 37, pp. 2843-2863; (2014), https://www.nice.org.uk/guidance/cg181, National Institute for Healthcare and Care Excellence. Cardiovascular disease: risk assessment and reduction. including lipid modification; (2018) Diabetes Care, 41, pp. S86-S104. , American Diabetes Association 9. Cardiovascular Disease and Risk Management: Standards of Medical Care in Diabetes-2018; (2011), https://www.nice.org.uk/guidance/cg127, National Institute for Health and Care Excellence. Hypertension in adults: diagnosis and management; (2021) Diabetes Care, 44, pp. S15-S33. , American Diabetes Association 2 Classification and Diagnosis of Diabetes: Standards of Medical Care in Diabetes-2021; Levey, A.S., Stevens, L.A., Schmid, C.H., A new equation to estimate glomerular filtration rate (2009) Ann Intern Med, 150, pp. 604-612; Kopin, L., Lowenstein, C., (2017) Dyslipidemia. Ann Intern Med, 167, pp. ITC81-ITC96; (1998), World Health Organisation Consultation on Obesity. Obesity : preventing and managing the global epidemic : report of a WHO Consultation on Obesity, Geneva 3-5 June 1997 Contract No.: WHO/NUT/NCD/98.1. Geneva World Health Organization Division of Noncommunicable D; (2021), R Core Team. R a language and environment for statistical computing Vienna, austria: R Foundation for Statistical Computing; (2020), RStudio Team. RStudio: integrated development for R. Boston MA RStudio: PBC; (2021), edWickham H, Francois R, Henry L. A grammar of data manipulation. R package version 1.0.7; Wickham, H., (2021) Tidyr: Tidy Messy Data, , R package version 1.1.3 ED; De Itt, P., (2021) Qwraps2: Quick Wraps 2, , R package version 0.5.2 ED; (2016), W H. ggplot2: elegant graphics for data analysis New York: Springer-Verlag; Malik, S., Lopez, V., Chen, R., Undertreatment of cardiovascular risk factors among persons with diabetes in the United States (2007) Diabetes Res Clin Pract, 77, pp. 126-133; Svane, J., Lynge, T.H., Pedersen-Bjergaard, U., Cause-Specific mortality in children and young adults with diabetes mellitus: A Danish nationwide cohort study (2019) Eur J Prev Cardiol, 28, pp. 159-165; Van Der Heyden, J.C., Birnie, E., Bovenberg, S.A., Do traditional cardiovascular risk factors solely explain intima-media thickening in youth with type 1 diabetes? (2016) J Diabetes Complications, 30, pp. 1137-1143; Marcovecchio, M.L., Dalton, R.N., Daneman, D., A new strategy for vascular complications in young people with type 1 diabetes mellitus (2019) Nat Rev Endocrinol, 15, pp. 429-435; Bjornstad, P., Donaghue, K.C., Maahs, D.M., Macrovascular disease and risk factors in youth with type 1 diabetes: Time to be more attentive to treatment? (2018) Lancet Diabetes Endocrinol, 6, pp. 809-820; Chiesa, S.T., Marcovecchio, M.L., Preventing cardiovascular complications in type 1 diabetes: The need for a lifetime approach (2021) Front Pediatr, 9, p. 696499; Kim, E.J., Wierzbicki, A.S., Cardiovascular prevention: Frontiers in lipid guidelines (2020) Clin Med, 20, pp. 36-42; Tarn, D.M., Pletcher, M.J., Tosqui, R., Primary nonadherence to statin medications: Survey of patient perspectives (2021) Prev Med Rep, 22, p. 101357; Lachin, J.M., Bebu, I., Nathan, D.M., The beneficial effects of earlier versus later implementation of intensive therapy in type 1 diabetes (2021) Diabetes Care, pp. 2225-2230; Cicero, A.F.G., Fogacci, F., Banach, M., Red yeast rice for hypercholesterolemia (2019) Methodist Debakey Cardiovasc J, 15, pp. 192-199; Karalis, D.G., Hill, A.N., Clifton, S., The risks of statin use in pregnancy: A systematic review (2016) J Clin Lipidol, 10, pp. 1081-1090; Donaghue, K.C., Marcovecchio, M.L., Wadwa, R.P., ISPAD clinical practice consensus guidelines 2018 microvascular and macrovascular complications in children and adolescents (2018) Pediatr Diabetes, 19 (27), pp. 262-274</t>
  </si>
  <si>
    <t>Diabetes Fonds: 2015.16.1856</t>
  </si>
  <si>
    <t>creatinine, 19230-81-0, 60-27-5; dihydropyridine, 27790-75-6; ezetimibe, 163222-33-1; hemoglobin A1c, 62572-11-6; lipid, 66455-18-3; Antihypertensive Agents; Cholesterol, LDL</t>
  </si>
  <si>
    <t>angiotensin receptor antagonist; anticoagulant agent; antihypertensive agent; antilipemic agent; antithrombocytic agent; beta adrenergic receptor blocking agent; creatinine; dihydropyridine; dipeptidyl carboxypeptidase inhibitor; diuretic agent; ezetimibe; hemoglobin A1c; high density lipoprotein cholesterol; hydroxymethylglutaryl coenzyme A reductase inhibitor; lipid; low density lipoprotein cholesterol; low molecular weight heparin; triacylglycerol; antihypertensive agent; adult; aged; albumin to creatinine ratio; Article; blood pressure; cardiovascular risk; cerebrovascular accident; cholesterol blood level; controlled study; coronary artery disease; creatinine urine level; cross-sectional study; diabetic foot; diabetic nephropathy; diabetic neuropathy; diabetic retinopathy; diastolic blood pressure; dyslipidemia; electronic medical record; estimated glomerular filtration rate; female; human; hypertension; insulin dependent diabetes mellitus; insulin treatment; major clinical study; middle aged; mortality; people by smoking status; peripheral occlusive artery disease; systolic blood pressure; transient ischemic attack; young adult; cardiovascular disease; complication; insulin dependent diabetes mellitus; risk factor; Antihypertensive Agents; Cardiovascular Diseases; Cholesterol, LDL; Diabetes Mellitus, Type 1; Heart Disease Risk Factors; Humans; Risk Factors</t>
  </si>
  <si>
    <t>Introduction Cardiovascular disease (CVD) is the leading cause of mortality in individuals with type 1 diabetes mellitus (T1DM). Cardiovascular risk management is therefore essential in the management of individuals with T1DM. This study describes the performance of lipid and blood pressure management in individuals with T1DM using three guidelines. Research design and methods Individuals ≥18 years with T1DM, treated with insulin for ≥1 year, visiting Diabeter or the University Medical Center Groningen between January 1, 2018 and December 31, 2018, were included. Lipid and blood pressure management were examined using the Dutch, American Diabetes Association (ADA) and National Institute for Health and Care Excellence (NICE) guidelines. Concordance of recommended and prescribed lipid-lowering (LLM) or antihypertensive medication (AHM) was assessed per guideline and 10-year age groups. Achievement of treatment targets was assessed for those prescribed medication. Results A total of 1855 individuals with T1DM were included. LLM and AHM was prescribed in 19% and 17%, respectively. In individuals recommended LLM, this was prescribed in 22%-46% according to Dutch, ADA or NICE guideline recommendations. For individuals recommended AHM, this was prescribed in 52%-75%. Recommended and actual prescription of LLM and AHM increased over age for all three guidelines. However, discordance between treatment recommendation and medication prescribed was higher in younger, compared with older, age groups. Low-density lipoprotein-cholesterol targets were achieved by 50% (without CVD) and 31% (with CVD) of those prescribed LLM. The blood pressure target was achieved by 46% of those prescribed AHM. Conclusion This study suggests that there is undertreatment of lipid and blood pressure according to guideline recommendations, particularly in younger age groups. Treatment targets are not met by most individuals prescribed medication, while guidelines recommendations differ considerably. We recommend to investigate the factors influencing undertreatment of lipid and blood pressure management in individuals with T1DM. ©</t>
  </si>
  <si>
    <t>Varkevisser, R.D.M., Department of Endocrinology, University Medical Center Groningen, Groningen, Netherlands; Birnie, E., Diabeter, Center for Focussed Diabetes Care and Research, Rotterdam, Netherlands, Department of Genetics, University Medical Center Groningen, Groningen, Netherlands; Vollenbrock, C.E., Department of Endocrinology, University Medical Center Groningen, Groningen, Netherlands; Mul, D., Diabeter, Center for Focussed Diabetes Care and Research, Rotterdam, Netherlands; Van Dijk, P.R., Department of Endocrinology, University Medical Center Groningen, Groningen, Netherlands; Van Der Klauw, M.M., Department of Endocrinology, University Medical Center Groningen, Groningen, Netherlands; Veeze, H., Diabeter, Center for Focussed Diabetes Care and Research, Rotterdam, Netherlands; Wolffenbuttel, B.H.R., Department of Endocrinology, University Medical Center Groningen, Groningen, Netherlands; Aanstoot, H.-J., Diabeter, Center for Focussed Diabetes Care and Research, Rotterdam, Netherlands</t>
  </si>
  <si>
    <t>57204288110;6603630987;57192386905;6603062087;55544741600;57211721127;6701788406;57216593031;7003562117;</t>
  </si>
  <si>
    <t>Varkevisser R.D.M., Birnie E., Vollenbrock C.E., Mul D., Van Dijk P.R., Van Der Klauw M.M., Veeze H., Wolffenbuttel B.H.R., Aanstoot H.-J.</t>
  </si>
  <si>
    <t>Kido, K.; Department of Clinical Pharmacy, United States; email: kazuhiko.kido0322@gmail.com</t>
  </si>
  <si>
    <t>Loy, B.M., Yang, S., Moss, J.M., Kemp, D.W., Brown, J.N., Application of the layered learning practice model in an academic medical enter (2017) Hosp Pharm, 52 (4), pp. 266-272; Bates, J.S., Buie, L.W., Lyons, K., A study of layered learning in oncology (2016) Am J Pharm Educ, 80 (4), p. 68; Soric, M.M., Glowczewski, J.E., Lerman, R.M., Economic and patient satisfaction outcomes of a layered learning model in a small community hospital (2016) Am J Health Syst Pharm, 73 (7), pp. 456-462; Bates, J.S., Buie, L.W., Amerine, L.B., Expanding care through a layered learning practice model (2016) Am J Health Syst Pharm, 73 (22), pp. 1869-1875; Kasper, B., Brownfield, A., Evaluation of a newly established layered learning model in an ambulatory care practice setting (2018) Curr Pharm Teach Learn, 10 (7), pp. 925-932; Virtual exchange 101, NAFSA: Association of International Educators (2020), https://www.nafsa.org/ie-magazine/2020/6/4/virtual-exchange-101, Accessed 22 October 2022; Sasser, C.W., Miller, M.L., Schellhase, E., Dascanio, S.A., Steeb, D.R., Creating global health leaders in pharmacy by evolving postgraduate training (2020) Res Social Adm Pharm, 16 (11), pp. 1622-1625; Duncan, F.E., Romar, R., Gadea, J., The use of a virtual journal club to promote cross-cultural learning in the reproductive sciences (2018) J Assist Reprod Genet, 35 (12), pp. 2141-2147; Cisneros, R.M., Jawaid, S.P., Kendall, D.A., International practice experiences in pharmacy education (2013) Am J Pharm Educ, 77 (9), p. 188; Prescott, G.M., Vu, B.N., Alsharif, N.Z., Prescott, W.A., Jr., Global health education in doctor of pharmacy programs in the United States (2017) Am J Pharm Educ, 81 (2), p. 28; Audus, K.L., Moreton, J.E., Normann, S.A., Going global: the report of the 2009-2010 research and graduate affairs committee (2010) Am J Pharm Educ, 74 (10), p. S8; Dornblaser, E.K., Ratka, A., Gleason, S.E., Current practices in global/international advanced pharmacy practice experiences: preceptor and student considerations (2016) Am J Pharm Educ, 80 (3), p. 39; Medina, M.S., Plaza, C.M., Stowe, C.D., Center for the Advancement of pharmacy education 2013 educational outcomes (2013) Am J Pharm Educ, 77 (8), p. 162; Chen, C., Lee, S.Y., Stevenson, H.W., Response style and cross-cultural comparisons of rating scales among east asian and north american students (1995) Psychol Sci, 6 (3), pp. 170-175; The world's largest ranking of countries and regions by English skills (2022) EF English Proficiency Index 2021, , https://www.ef.com/wwen/epi/, Accessed 21 September 2022; Looney, D., Lusin, N., Enrollments in languages other than English in United States institutions of higher education, summer 2016 and fall 2016: final report (2019) Modern Language Association, , https://www.mla.org/content/download/110154/2406932/2016-Enrollments-Final-Report.pdf, Accessed 22 October 2022</t>
  </si>
  <si>
    <t>adult; article; awareness; comparative effectiveness; controlled study; cultural competence; female; human; human experiment; learning; Likert scale; male; outcome assessment; pharmacy education; pharmacy practice; resident; United States; West Virginia; pharmacy (shop); school; student; university; Humans; Learning; Pharmacy; Schools; Students; Universities</t>
  </si>
  <si>
    <t>Kido, K., Department of Clinical Pharmacy, West Virginia University School of Pharmacy, Morgantown, WV  26506, United States; Slain, D., Department of Clinical Pharmacy, West Virginia University School of Pharmacy, Morgantown, WV  26506, United States; Kamal, K.M., Department of Pharmaceutical Systems and Policy, West Virginia University School of Pharmacy, Morgantown, WV  26506, United States; Lee, J.C., Department of Pharmacy Practice, University of Illinois Chicago College of Pharmacy, Chicago, IL  60612, United States</t>
  </si>
  <si>
    <t>Department of Clinical Pharmacy, West Virginia University School of Pharmacy, Morgantown, WV  26506, United States; Department of Pharmaceutical Systems and Policy, West Virginia University School of Pharmacy, Morgantown, WV  26506, United States; Department of Pharmacy Practice, University of Illinois Chicago College of Pharmacy, Chicago, IL  60612, United States</t>
  </si>
  <si>
    <t>56654908100;6602678142;7006870429;56158228600;</t>
  </si>
  <si>
    <t>Kido K., Slain D., Kamal K.M., Lee J.C.</t>
  </si>
  <si>
    <t>Kaya, S.; Academy for Learning and Teaching Excellence, Vicarage Street, United Kingdom; email: sibel.kaya@beds.ac.uk</t>
  </si>
  <si>
    <t>Aguilar, M., Engineering lecturers' views on CLIL and EMI (2017) International Journal of Bilingual Education and Bilingualism, 20 (6), pp. 722-735. , https://doi.org/10.1080/13670050.2015.1073664; Alpay, E., Ireson, J., Self-theories of intelligence of engineering students (2006) European Journal of Engineering Education, 31 (2), pp. 169-180. , https://doi.org/10.1080/03043790600567027; Al-Sheeb, B.A., Hamouda, A.M., Abdella, G.M., Modelling of student academic achievement in engineering education using cognitive and non-cognitive factors (2019) Journal of Applied Research in Higher Education, 11 (2), pp. 178-198. , https://doi.org/10.1108/JARHE-10-2017-0120; Altay, M., Curle, S., Yuksel, D., Soruç, A., Investigating academic achievement of English medium instruction courses in Turkey (2022) Studies in Second Language Learning and Teaching, 12 (1), pp. 117-141. , https://doi.org/10.14746/ssllt.2022.12.1.6; Altay, M., Yuksel, D., Job prospects of different EMI engineering programmes' graduates (2021) Participatory Educational Research, 8 (2), pp. 460-475. , https://doi.org/10.17275/per.21.49.8.2; Bahník, Š., Vranka, M.A., Growth mindset is not associated with scholastic aptitude in a large sample of university applicants (2017) Personality and Individual Differences, 117, pp. 139-143. , https://doi.org/10.1016/j.paid.2017.05.046; Bernardo, A.B., Socioeconomic status moderates the relationship between growth mindset and learning in mathematics and science: Evidence from PISA 2018 Philippine data (2021) International Journal of School &amp; Educational Psychology, 9 (2), pp. 208-222. , https://doi.org/10.1080/21683603.2020.1832635; Blackwell, L., Trzesniewski, K., Dweck, C.S., Implicit theories of intelligence predict achievement across an adolescent transition: A longitudinal study and an intervention (2007) Child Development, 78, pp. 246-263. , https://doi.org/10.1111/j.1467-624.2007.00995.x; Boaler, J., (2016) Mathematical mindsets: Unleashing students' potential through creative math, inspiring messages, and innovative teaching, , Jossey-Bass; Bostwick, K.C., Martin, A.J., Collie, R.J., Durksen, T.L., Growth orientation predicts gains in middle and high school students' mathematics outcomes over time (2019) Contemporary Educational Psychology, 58, pp. 213-227. , https://doi.org/10.1016/j.cedpsych.2019.03.010; Bostwick, K.C.P., Collie, R.J., Martin, A.J., Durksen, T.L., Students' growth mindsets, goals, and academic outcomes in mathematics (2017) Zeitschrift Fur Psychologie/Journal of Psychology, 225 (2), pp. 107-116. , https://doi.org/10.1027/2151-2604/a000287; Boyd, P., Ash, A., Mastery mathematics: Changing teacher beliefs around in-class grouping and mindset (2018) Teaching and Teacher Education, 75, pp. 214-223. , https://doi.org/10.1016/j.tate.2018.06.016; Brez, C., Hampton, E.M., Behrendt, L., Brown, L., Powers, J., Failure to replicate: Testing a growth mindset intervention for college student success (2020) Basic and Applied Social Psychology, 42 (6), pp. 460-468. , https://doi.org/10.1080/01973533.2020.1806845; Broda, M., Yun, J., Schneider, B., Yeager, D.S., Walton, G.M., Diemer, M., Reducing inequality in academic success for incoming college students: A randomized trial of growth mindset and belonging interventions (2018) Journal of Research on Educational Effectiveness, 1 (3), pp. 317-338. , https://doi.org/10.1080/19345747.2018.1429037; Bryan, C., Hecht, C., Blazar, D., Kraft, M., Solheim, O., (2021) Global mindset initiative working paper 2: Designing an intervention to motivate growth mindset-supportive teaching practices, , SSRN 3911995; Burtner, J., The use of discriminant analysis to investigate the influence of non-cognitive factors on engineering school persistence (2005) Journal of Engineering Education, 94 (3), pp. 335-338. , https://doi.org/10.1002/j.2168-9830.2005.tb00858.x; Campbell, A.L., Direito, I., Mokhithi, M., Developing growth mindsets in engineering students: A systematic literature review of interventions (2021) European Journal of Engineering Education, 46 (4), pp. 503-527. , https://doi.org/10.1080/03043797.2021.1903835; Chen, J.A., Pajares, F., Implicit theories of ability of grade 6 science students: Relation to epistemological beliefs and academic motivation and achievement in science (2010) Contemporary Educational Psychology, 35 (1), pp. 75-87. , https://doi.org/10.1016/j.cedpsych.2009.10.003; Choi, D.S., (2018) Grit, mindsets, and persistence of engineering students, , [Unpublished doctoral dissertation]., University of Illinois at Urbana-Champaign; Costa, A., Faria, L., Implicit theories of intelligence and academic achievement: A meta-analytic review (2018) Frontiers in Psychology, 9. , https://doi.org/10.3389/fpsyg.2018.00829; (2022) Higher education program atlas, , https://yokatlas.yok.gov.tr/, Council of Higher Education; Curle, S., Yuksel, D., Soruç, A., Altay, M., Predictors of English medium instruction academic success: English proficiency versus first language medium (2020) System, 95. , https://doi.org/10.1016/j.system.2020.102378; Cury, F., Elliot, A.J., Da Fonseca, D., Moller, A.C., The social-cognitive model of achievement motivation and the 2 × 2 achievement goal framework (2006) Journal of Personality and Social Psychology, 90, pp. 666-679. , https://doi.org/10.1037/0022-3514.90.4.666; Dafouz, E., Camacho, M., Urquia, E., Surely they can't do as well: A comparison of business students' academic performance in English-medium and Spanish-as-a-first-language medium programs (2014) Language and Education, 28 (3), pp. 223-236. , https://doi.org/10.1080/09500782.2013.808661; Dalton-Puffer, C., Content-and-language integrated learning: From practice to principles (2011) Annual Review of Applied Linguistics, 31, pp. 182-204. , https://doi.org/10.1017/S0267190511000092; Daly, I., Bourgaize, J., Vernitski, A., Mathematical mindsets increase student motivation: Evidence from the EEG (2019) Trends in Neuroscience and Education, 15, pp. 18-28. , https://doi.org/10.1016/j.tine.2019.02.005; Dearden, J., (2015) English as a medium of instruction—A growing global phenomenon, , British Council; Dearden, J., Macaro, E., Higher education teachers' attitudes towards English medium instruction: A three-country comparison (2016) Studies in Second Language Learning and Teaching, 6 (3), pp. 455-486. , https://doi.org/10.14746/ssllt.2016.6.3.5; DeBacker, T.K., Heddy, B.C., Kershen, J.L., Crowson, H.M., Looney, K., Goldman, J.A., Effects of a one-shot growth mindset intervention on beliefs about intelligence and achievement goals (2018) Educational Psychology, 38 (6), pp. 711-733. , https://doi.org/10.1080/01443410.2018.1426833; Dringenberg, E., Kramer, A., The influence of both a basic and an in-depth introduction of growth mindset on first-year engineering students' intelligence beliefs (2019) The International Journal of Engineering Education, 35 (4), pp. 1052-1063; Duckworth, A., (2016) Grit: The power of passion and perseverance, , Scribner; Dweck, C.S., (1999) Self-theories: Their role in motivation, personality and development, , Taylor and Francis/Psychology Press; Dweck, C.S., (2006) Mindset: The new psychology of success, , Ballantine Books; Dweck, C.S., Boosting achievement with messages that motivate (2007) Education Canada, 47 (2), pp. 6-10; Dweck, C.S., (2014) Mindsets and math/science achievement, , Carnegie Corporation; Dweck, C.S., Chiu, C.Y., Hong, Y.Y., Implicit theories: Elaboration and extension of the model (1995) Psychological Inquiry, 6 (4), pp. 322-333. , https://doi.org/10.1207/s15327965pli0604_12; Dweck, C.S., Leggett, E.L., A social-cognitive approach to motivation and personality (1988) Psychological Review, 95 (2), pp. 256-273. , https://doi.org/10.1037/0033-295X.95.2.256; Dweck, C.S., Yeager, D., (2021) Global mindset initiative introduction: Envisioning the future of growth mindset research in education, , SSRN 3911564; Faulkner, B., Johnson-Glauch, N., San Choi, D., Herman, G.L., When am I ever going to use this? An investigation of the calculus content of core engineering courses (2020) Journal of Engineering Education, 109 (3), pp. 402-423. , https://doi.org/10.1002/jee.20344; Flegg, J., Mallet, D., Lupton, M., Students' perceptions of the relevance of mathematics in engineering (2012) International Journal of Mathematical Education in Science and Technology, 43 (6), pp. 717-732. , https://doi.org/10.1080/0020739X.2011.644333; Frary, M., (2018) Encouraging a growth mindset in engineering students, , https://doi.org/10.18260/1-2--30371, Proceedings of the 125th ASEE Annual Conference and Exposition, Salt Lake City, June 24–27; Galloway, N., Ruegg, R., The provision of student support on English medium instruction programmes in Japan and China (2020) Journal of English for Academic Purposes, 45. , https://doi.org/10.1016/j.jeap.2020.100846; Geisinger, B.N., Raman, D.R., Why they leave: Understanding student attrition from engineering majors (2013) International Journal of Engineering Education, 29 (4), pp. 914-925; Harris, D., Black, L., Hernandez-Martinez, P., Pepin, B., Williams, J., Mathematics and its value for engineering students: What are the implications for teaching (2014) International Journal of Mathematical Education in Science and Technology, 46 (3), pp. 321-336. , https://doi.org/10.1080/0020739X.2014.979893; Hernandez-Nanclares, N., Jimenez-Munoz, A., English as a medium of instruction: Evidence for language and content targets in bilingual education in economics (2017) International Journal of Bilingual Education and Bilingualism, 20 (7), pp. 883-896. , https://doi.org/10.1080/13670050.2015.1125847; Heyman, G.D., Martyna, B., Bhatia, S., Gender and achievement-related beliefs among engineering students (2002) Journal of Women and Minorities in Science and Engineering, 8 (1), pp. 41-52. , https://doi.org/10.1615/JWomenMinorScienEng.v8.i1.30; Hong, Y.Y., Chiu, C.Y., Dweck, C.S., Lin, D.M.S., Wan, W., Implicit theories, attributions, and coping: A meaning system approach (1999) Journal of Personality and Social Psychology, 77 (3), pp. 588-599. , https://doi.org/10.1037/0022-3514.77.3.588; Hwang, N., Reyes, M., Eccles, J.S., Who holds a fixed mindset, and whom does it harm in mathematics (2019) Youth &amp; Society, 51 (2), pp. 247-267. , https://doi.org/10.1177/0044118X16670058; Jaffe, E., Mindset in the classroom: Changing the way students see themselves in mathematics and beyond (2020) The Clearing House: A Journal of Educational Strategies, Issues and Ideas, 93 (5), pp. 255-263. , https://doi.org/10.1080/00098655.2020.1802215; Kamal, N., Arsad, N., Husain, H., Nopiah, Z.M., The relationships between pre-university education and mathematics achievement with performance in engineering subject (2015) Journal of Engineering Science and Technology, 10, pp. 10-17; Kamasak, R., Sahan, K., Rose, H., Academic language-related challenges at an English-medium university (2021) Journal of English for Academic Purposes, 49. , https://doi.org/10.1016/j.jeap.2020.100945; Kirkpatrick, A., The language(s) of HE: EMI and/or ELF and/or multilingualism (2014) The Asian Journal of Applied Linguistics, 1 (1), pp. 4-15; Kirschenman, M., Brenner, B., Education for civil engineering: A profession of practice (2010) Leadership and Management in Engineering, 10 (1), pp. 54-56. , https://doi.org/10.1061/(ASCE)LM.1943-5630.0000047; Lei, J., Hu, G., Is English-medium instruction effective in improving Chinese undergraduate students' English competence? (2014) International Review of Applied Linguistics in Language Teaching, 52 (2), pp. 99-126. , https://doi.org/10.1515/iral-2014-0005; Li, Y., Bates, T.C., You can't change your basic ability, but you work at things, and that's how we get hard things done: Testing the role of growth mindset on response to setbacks, educational attainment, and cognitive ability (2019) Journal of Experimental Psychology: General, 148 (9), pp. 1640-1655. , https://doi.org/10.1037/xge0000669; Loo, C.W., Choy, J.L.F., Sources of self-efficacy influencing academic performance of engineering students (2013) American Journal of Educational Research, 1 (3), pp. 86-92. , https://doi.org/10.12691/education-1-3-4; Lottero-Perdue, P.S., Lachapelle, C.P., Engineering mindsets and learning outcomes in elementary school (2020) Journal of Engineering Education, 109 (4), pp. 640-664. , https://doi.org/10.1002/jee.20350; Lou, N.M., Noels, K., Measuring language mindsets and modelling their relations with goal orientations and emotional and behavioural responses in failure situations (2017) The Modern Language Journal, 101, pp. 22-33. , https://doi.org/10.1111/modl.12380; Lou, N.M., Noels, K.A., Promoting growth in foreign and second language education: A research agenda for mindsets in language learning and teaching (2019) System, 86, pp. 102-126. , https://doi.org/10.1016/j.system.2019.102126; Macaro, E., English medium instruction (2018) Oxford University Press, , https://doi.org/10.30687/978-88-6969-227-7/001; Macaro, E., Akıncıoğlu, M., Turkish university students' perceptions about English medium instruction: Exploring year group, gender and university type as variables (2018) Journal of Multilingual and Multicultural Development, 39 (3), pp. 256-270. , https://doi.org/10.1080/01434632.2017.1367398; Macaro, E., Curle, S., Pun, J., An, J., Dearden, J., A systematic review of English medium instruction in higher education (2018) Language Teaching, 51 (1), pp. 36-76. , https://doi.org/10.1017/S0261444817000350; Magno, C., Implicit theories of intelligence, achievement goal orientation, and academic achievement of engineering students (2012) The International Journal of Research and Review, 9, pp. 32-43; Mercer, S., Ryan, S., A mindset for EFL: Learners' beliefs about the role of natural talent (2009) ELT Journal, 64 (4), pp. 436-444. , https://doi.org/10.1093/elt/ccp083; Molway, L., Mutton, T., Changing mindsets in the modern foreign languages classroom: An intervention combining intelligence theories and reading strategies (2020) The Language Learning Journal, 48 (5), pp. 598-612. , https://doi.org/10.1080/09571736.2018.1554693; Müllensiefen, D., Harrison, P., Caprini, F., Fancourt, A., Investigating the importance of self-theories of intelligence and musicality for students' academic and musical achievement (2015) Frontiers in Psychology, 6. , https://doi.org/10.3389/fpsyg.2015.01702; Muller, C., Dweck, C.S., Praise for intelligence can undermine children's motivation and performance (1998) Journal of Personality and Social Psychology, 75 (1), pp. 33-52. , https://doi.org/10.1037/0022-3514.75.1.33; Murphy, M., Fryberg, S., Brady, L., Canning, E., Hecht, C., (2021) Global mindset initiative paper 1: Growth mindset cultures and teacher practices, , SSRN 3911594; Nagaoka, J., Farrington, C.A., Roderick, M., Allensworth, E., Keyes, T.S., Johnson, D.W., Beechum, N.O., Readiness for college: The role of non-cognitive factors and context (2013) Voices in Urban Education, 38, pp. 45-52; (2005) Educating the engineer of 2020: Adapting engineering education to the new century, , National Academy Press; (2021) Sky's the limit: Growth mindset, students, and schools in PISA, , OECD. (, OECD Publishing; (2019) Manual of student selection and placement centre of Turkey, , https://www.osym.gov.tr/TR,16858/2019-yuksekogretim-programlari-ve-kontenjanlari-kilavuzu.html; Paulsrud, B.Y., (2014) English-medium instruction in Sweden: Perspectives and practices in two upper-secondary schools, , [Unpublished doctoral thesis]., Stockholm University; Paunesku, D., Walton, G.M., Romero, C., Smith, E.N., Yeager, D.S., Dweck, C.S., Mindset interventions are a scalable treatment for academic underachievement (2015) Psychological Science, 26 (6), pp. 784-793. , https://doi.org/10.1177/0956797615571017; Pecorari, D., Malmström, H., At the crossroads of TESOL and English medium instruction (2018) TESOL Quarterly, 52 (3), pp. 497-515. , https://doi.org/10.1002/tesq.470; Rattan, A., Savani, K., Chugh, D., Dweck, C.S., Leveraging mindsets to promote academic achievement: Policy recommendations (2015) Perspectives on Psychological Science, 10, pp. 721-726. , https://doi.org/10.1177/1745691615599383; Rege, M., Hanselman, P., Solli, I.F., Dweck, C.S., Ludvigsen, S., Bettinger, E., Crosnoe, R., Yeager, D.S., How can we inspire nations of learners: An investigation of growth mindset and challenge-seeking in two countries (2021) American Psychologist, 76 (5), pp. 755-767. , https://doi.org/10.1037/amp0000647; Reid, K.J., Ferguson, D.M., (2014) Do design experiences in engineering build a “growth mindset” in students?, , https://doi.org/10.1109/ISECon.2014.6891046, Paper presented at the IEEE Integrated STEM Education Conference, Princeton, NJ; Robinson, K.A., (2019) Supporting multiple paths to success: A field experiment examining a multifaceted, multilevel motivation intervention, , [Unpublished doctoral dissertation]., Michigan State University; Rooch, A., Junker, P., Härterich, J., Hackl, K., Linking mathematics with engineering applications at an early stage—Implementation, experimental set-up and evaluation of a pilot project (2016) European Journal of Engineering Education, 41 (2), pp. 172-191. , https://doi.org/10.1080/03043797.2015.1056095; Ryan, S., Mercer, S., Language learning mindsets across cultural settings: English learners in Austria and Japan (2012) OnCUE Journal, 6 (1), pp. 6-22; Scanlan, J.O., The role of mathematics in engineering education: An engineer's view (1985) International Journal of Mathematical Education in Science and Technology, 16 (3), pp. 445-451. , https://doi.org/10.1080/0020739850160314; Schubert, L.K., (2017) Exploring the connections between students' mindsets and their writing: An intervention study with a course-embedded writing tutor, , [Unpublished doctoral dissertation]., Indiana University of Pennsylvania; Selvi, A.F., The medium-of-instruction debate in Turkey: Oscillating between national ideas and bilingual ideals (2014) Current Issues in Language Planning, 15 (2), pp. 133-152. , https://doi.org/10.1080/14664208.2014.898357; Sheppard, S., Gilmartin, S., Chen, H.L., Donaldson, K., Lichtenstein, G., Eris, Ö., Lande, M., Toye, G., (2010) Exploring the engineering student experience: Findings from the Academic Pathways of People Learning Engineering Survey (APPLES) TR-10-01, , Center for the Advancement of Engineering Education; Simon, B., Hanks, B., Murphy, L., Fitzgerald, S., McCauley, R., Thomas, L., Zander, C., (2008) Saying isn't necessarily believing: Influencing self-theories in computing, , https://dl.acm.org/doi/10.1145/1404520.1404537, Paper presented at the Proceedings of the Fourth International Workshop on Computing Education Research, Sydney, Australia; Sisk, V.F., Burgoyne, A.P., Sun, J., Butler, J.L., Macnamara, B.N., To what extent and under which circumstances are growth mindsets important to academic achievement? Two meta-analyses (2018) Psychological Science, 29 (4), pp. 549-571. , https://doi.org/10.1177/0956797617739704; Soruç, A., Altay, M., Curle, S., Yuksel, D., Students' academic language-related challenges in English medium instruction: The role of English proficiency and language gain (2021) System, 103. , https://doi.org/10.1016/j.system.2021.102651; Soruç, A., Griffiths, C., English as a medium of instruction: students' strategies (2018) ELT Journal, 72 (1), pp. 38-48. , https://doi.org/10.1093/elt/ccx017; Soruç, A., Pawlak, M., Yuksel, D., Horzum, B., Investigating the impact of linguistic and non-linguistic factors on EMI academic success (2022) System, 107. , https://doi.org/10.1016/j.system.2022.102794; Stump, G.S., Husman, J., Corby, M., Engineering students' intelligence beliefs and learning (2014) Journal of Engineering Education, 103 (3), pp. 369-387. , https://doi.org/10.1002/jee.20051; Tempelaar, D.T., Rienties, B., Giesbers, B., Gijselaers, W.H., The pivotal role of effort beliefs in mediating implicit theories of intelligence and achievement goals and academic motivations (2015) Social Psychology of Education, 18 (1), pp. 101-120. , https://doi.org/10.1007/s11218-014-9281-7; Turhan, B., Kırkgoz, Y., Motivation of engineering students and lecturers toward English medium instruction at tertiary level in Turkey (2018) Journal of Language and Linguistic Studies, 14 (1), pp. 261-277; Yang, W., Content and language integrated learning next in Asia: Evidence of learners' achievement in CLIL education from a Taiwan tertiary degree programme (2015) International Journal of Bilingual Education and Bilingualism, 18 (4), pp. 361-382. , https://doi.org/10.1080/13670050.2014.904840; Yeager, D.S., Dweck, C.S., Mindsets that promote resilience: When students believe that personal characteristics can be developed (2012) Educational Psychologist, 47 (4), pp. 302-314. , https://doi.org/10.1080/00461520.2012.722805; Yeager, D.S., Hanselman, P., Walton, G.M., Murray, J.S., Crosnoe, R., Muller, C., Tipton, E., Dweck, C.S., A national experiment reveals where a growth mindset improves achievement (2019) Nature, 573, pp. 364-369. , https://doi.org/10.1038/s41586-019-1466-y; Yuksel, D., Altay, M., Curle, S., English medium instruction programmes in Turkey: Evidence of exponential growth (2022) English-medium instruction in higher education in the Middle East and North Africa: Policy, research and practice, , S. Curle, H. I. H. Ali, A. Alhassan, S. S. Scatolini, (Eds.),, Bloomsbury Publishing; Yuksel, D., Curle, S., Kaya, S., What role do language learning mindsets play in English medium instruction: A comparison of engineering and business administration in Turkey (2021) Journal for the Psychology of Language Learning, 3 (1), pp. 50-62. , https://doi.org/10.52598/jpll/3/1/3; Yuksel, D., Soruç, A., Altay, M., Curle, S., A longitudinal study at an English medium instruction university in Turkey: The interplay between English language improvement and academic success (2021) Applied Linguistics Review, , https://doi.org/10.1515/applirev-2020-0097; Zhao, J., Wang, M., Mothers' academic involvement and children's achievement: Children's theory of intelligence as a mediator (2014) Learning and Individual Differences, 35, pp. 130-136. , https://doi.org/10.1016/j.lindif.2014.06.006</t>
  </si>
  <si>
    <t>Kaya, S., Academy for Learning and Teaching Excellence, University of Bedfordshire, Luton, United Kingdom; Yuksel, D., Faculty of Wellbeing, Education &amp; Language Studies, Open University, Milton Keynes, United Kingdom; Curle, S., Department of Education, University of Bath, Bath, United Kingdom</t>
  </si>
  <si>
    <t>35299610500;35218417500;57200162800;</t>
  </si>
  <si>
    <t>Kaya S., Yuksel D., Curle S.</t>
  </si>
  <si>
    <t>All Open Access, Bronze</t>
  </si>
  <si>
    <t>Perkins, M.; British University VietnamViet Nam; email: mgperkins@gmail.com</t>
  </si>
  <si>
    <t>Abd-Elaal, E.-S., Gamage, S. H., Mills, J. E., Assisting academics to identify computer generated writing (2022) European Journal of Engineering Education, pp. 1-21. , https://doi.org/10.1080/03043797.2022.2046709; Alarie, B., Cockfield, A., Will machines replace us?: Machine-authored texts and the future of scholarship (2021) Law, Technology and Humans, 3 (2), pp. 5-11. , https://doi.org/10.5204/lthj.2089; Allen, L. K., Jacovina, M. E., McNamara, D. S., Computer-Based Writing Instruction (2016) Handbook of writing research, pp. 316-329. , (Second edition, –). Guildford; Amigud, A., Cheaters on Twitter: An analysis of engagement approaches of contract cheating services (2020) Studies in Higher Education, 45 (3), pp. 692-705. , https://doi.org/10.1080/03075079.2018.1564258; Amzalag, M., Shapira, N., Dolev, N., Two Sides of the Coin: Lack of Academic Integrity in Exams During the Corona Pandemic, Students’ and Lecturers’ Perceptions (2021) Journal of Academic Ethics, , https://doi.org/10.1007/s10805-021-09413-5; Anson, C. M., AI-Based Text Generation and the Social Construction of “Fraudulent Authorship”: A Revisitation (2022) Composition Studies, 50, pp. 37-46. , https://compositionstudiesjournal.files.wordpress.com/2022/07/anson.pdf; Biderman, S., Raff, E., (2022) Fooling MOSS Detection with Pretrained Language Models, , https://doi.org/10.48550/arXiv.2201.07406, (arXiv:2201.07406). arXiv; Biermann, O. C., Ma, N. F., Yoon, D., From Tool to Companion: Storywriters Want AI Writers to Respect Their Personal Values and Writing Strategies (2022) Designing Interactive Systems Conference, pp. 1209-1227. , https://doi.org/10.1145/3532106.3533506; Bommasani, R., Hudson, D. A., Adeli, E., Altman, R., Arora, S., von Arx, S., Bernstein, M. S., Liang, P., (2022) On the Opportunities and Risks of Foundation Models, , http://arxiv.org/abs/2108.07258, (arXiv:2108.07258). arXiv; Brockman, G., (2022), https://twitter.com/gdb/status/1599683104142430208, [@gdb]. (December 5). ChatGPT just crossed 1 million users; it’s been 5 days since launch. [Tweet]. Twitter; Cavaleri, M. R., Dianati, S., You want me to check your grammar again? The usefulness of an online grammar checker as perceived by students (2016) Journal of Academic Language and Learning, 10 (1), p. 1. , https://journal.aall.org.au/index.php/jall/article/view/393, Article; Chen, M.-H., Huang, S.-T., Chang, J. S., Liou, H.-C., Developing a corpus-based paraphrase tool to improve EFL learners’ writing skills (2015) Computer Assisted Language Learning, 28 (1), pp. 22-40. , https://doi.org/10.1080/09588221.2013.783873; Clark, E., August, T., Serrano, S., Haduong, N., Gururangan, S., Smith, N. A., All That’s `Human’ Is Not Gold: Evaluating Human Evaluation of Generated Text (2021) Proceedings of the 59th Annual Meeting of the Association for Computational Linguistics and the 11th International Joint Conference on Natural Language Processing (Volume 1: Long Papers), pp. 7282-7296. , https://doi.org/10.18653/v1/2021.acl-long.565; Clarke, O., Chan, W. Y. D., Bukuru, S., Logan, J., Wong, R., Assessing knowledge of and attitudes towards plagiarism and ability to recognize plagiaristic writing among university students in Rwanda (2022) Higher Education, , https://doi.org/10.1007/s10734-022-00830-y; Cope, B., Kalantzis, M., Searsmith, D., Artificial intelligence for education: Knowledge and its assessment in AI-enabled learning ecologies (2021) Educational Philosophy and Theory, 53 (12), pp. 1229-1245. , https://doi.org/10.1080/00131857.2020.1728732; Curtis, G. J., Trends in plagiarism and cheating prevalence: 1990-2020 and beyond (2022) Cheating academic integrity, pp. 11-44. , https://www.wiley.com/en-au/Cheating+Academic+Integrity%3A+Lessons+from+30+Years+of+Research-p-9781119868170, D. Rettinger &amp; T. Bertram Gallant (Eds), –). Jossey-Bass; Dale, R., GPT-3: What’s it good for? (2021) Natural Language Engineering, 27 (1), pp. 113-118. , https://doi.org/10.1017/S1351324920000601; Dale, R., Viethen, J., The automated writing assistance landscape in 2021 (2021) Natural Language Engineering, 27 (4), pp. 511-518. , https://doi.org/10.1017/S1351324921000164; Dawson, P., Cognitive Offloading and Assessment (2020) Re-imagining University Assessment in a Digital World, pp. 37-48. , https://doi.org/10.1007/978-3-030-41956-1_4, M. Bearman, P. Dawson, R. Ajjawi, J. Tai, &amp; D. Boud (Eds), –). Springer International Publishing; Dehouche, N., Plagiarism in the age of massive Generative Pre-trained Transformers (GPT-3) (2021) Ethics in Science and Environmental Politics, 21, pp. 17-23. , https://doi.org/10.3354/esep00195; Dinneen, C., Students’ use of digital translation and paraphrasing tools in written assignments on Direct Entry English Programs (2021) English Australia Journal, 37 (1), pp. 40-51. , https://doi.org/10.3316/informit.748262877947586; Eaton, S. E., Mindzak, M., Morrison, R., (2021) Artificial Intelligence, Algorithmic Writing &amp; Educational Ethics, , https://tinyurl.com/222yctbb, (June 29). Canadian Society for the Study of Education, Edmontan, AB, Canada. Werklund School of Education; Fatemi, G., Saito, E., Unintentional plagiarism and academic integrity: The challenges and needs of postgraduate international students in Australia (2020) Journal of Further and Higher Education, 44 (10), pp. 1305-1319. , https://doi.org/10.1080/0309877X.2019.1683521; Fitria, T. N., Grammarly as AI-powered English Writing Assistant: Students’ Alternative for Writing English (2021) Metathesis: Journal of English Language, Literature, and Teaching, 5 (1), p. 1. , https://doi.org/10.31002/metathesis.v5i1.3519, Article; Fröhling, L., Zubiaga, A., Feature-based detection of automated language models: Tackling GPT-2, GPT-3 and Grover (2021) PeerJ Computer Science, 7, p. e443. , https://doi.org/10.7717/peerj-cs.443; Fu, Q.-K., Zou, D., Xie, H., Cheng, G., A review of AWE feedback: Types, learning outcomes, and implications (2022) Computer Assisted Language Learning, pp. 1-43. , https://doi.org/10.1080/09588221.2022.2033787, 0; Furze, L., Can an AI critique human writing? (2022), https://leonfurze.com/2022/12/06/can-an-ai-critique-human-writing/, (December 6). Leon Furze; Gayed, J. M., Carlon, M. K. J., Oriola, A. M., Cross, J. S., Exploring an AI-based writing Assistant’s impact on English language learners (2022) Computers and Education: Artificial Intelligence, 3, p. 100055. , https://doi.org/10.1016/j.caeai.2022.100055; Gehrmann, S., Strobelt, H., Rush, A. M., (2019) GLTR: Statistical Detection and Visualization of Generated Text, , https://doi.org/10.48550/arXiv.1906.04043, (arXiv:1906.04043). arXiv; Godwin-Jones, R., Partnering with AI: Intelligent writing assistance and instructed language learning (2022) Language Learning &amp; Technology, 26 (2), pp. 5-24. , https://doi.org/10125/73474; Innovating the Basics: Achieving Superior Precision and Recall in Grammatical Error Correction (2022), https://www.grammarly.com/blog/engineering/innovating-the-basics/, (August 29). Grammarly Engineering Blog; Grijalva, T. C., Kerkvliet, J., Nowell, C., Academic honesty and online courses (2006) College Student Journal, 40 (1), p. 1. , https://tinyurl.com/3beej9bb, Article; Gunser, V. E., Gottschling, S., Brucker, B., Richter, S., Gerjets, P., Can Users Distinguish Narrative Texts Written by an Artificial Intelligence Writing Tool from Purely Human Text? (2021) International Conference on Human-Computer Interaction, pp. 520-527. , https://doi.org/10.1007/978-3-030-78635-9_67; Henderson, M., Chung, J., Awdry, R., Mundy, M., Bryant, M., Ashford, C., Ryan, K., Factors associated with online examination cheating (2022) Assessment &amp; Evaluation in Higher Education, pp. 1-15. , https://doi.org/10.1080/02602938.2022.2144802, 0; Hern, A., AI bot ChatGPT stuns academics with essay-writing skills and usability (2022) The Guardian, , https://www.theguardian.com/technology/2022/dec/04/ai-bot-chatgpt-stuns-academics-with-essay-writing-skills-and-usability, (December 4); Hutson, M., Could AI help you to write your next paper? (2022) Nature, 611 (7934), pp. 192-193. , https://doi.org/10.1038/d41586-022-03479-w; Ippolito, D., Duckworth, D., Callison-Burch, C., Eck, D., (2020) Automatic Detection of Generated Text is Easiest when Humans are Fooled, , https://doi.org/10.48550/arXiv.1911.00650, (arXiv:1911.00650). arXiv; Jenkins, B. D., Golding, J. M., Le Grand, A. M., Levi, M. M., Pals, A. M., When Opportunity Knocks: College Students’ Cheating Amid the COVID-19 Pandemic (2022) Teaching of Psychology, , https://doi.org/10.1177/00986283211059067, 00986283211059067; Kaqinari, T., Makarova, E., Audran, J., Döring, A. K., Göbel, K., Kern, D., The switch to online teaching during the first COVID-19 lockdown: A comparative study at four European universities (2021) Journal of University Teaching &amp; Learning Practice, 18 (5). , https://doi.org/10.53761/1.18.5.10; Köbis, N., Mossink, L. D., Artificial intelligence versus Maya Angelou: Experimental evidence that people cannot differentiate AI-generated from human-written poetry (2021) Computers in Human Behavior, 114, p. 106553. , https://doi.org/10.1016/j.chb.2020.106553; Kozma, R. B., Computer-based writing tools and the cognitive needs of novice writers (1991) Computers and Composition, 8 (2), pp. 31-45. , https://doi.org/10.1016/8755-4615(91)80046-G; Kumar, R., Mindzak, M., Eaton, S. E., Morrison, R., AI &amp; AI: Exploring the contemporary intersections of artificial intelligence and academic integrity (2022), https://tinyurl.com/ycknz8fd, Canadian Society for the Study of Higher Education Annual Conference, Online. Werklund School of Education; Kumar, R., Mindzak, M., Racz, R., (2022) Who Wrote This? The Use of Artificial Intelligence in the Academy, , http://hdl.handle.net/10464/16532; Lancaster, T., Cotarlan, C., Contract cheating by STEM students through a file sharing website: A Covid-19 pandemic perspective (2021) International Journal for Educational Integrity, 17 (1), p. 1. , https://doi.org/10.1007/s40979-021-00070-0, Article; Langston, J., New Azure OpenAI Service combines access to powerful GPT-3 language models with Azure’s enterprise capabilities (2021) The AI Blog, , https://blogs.microsoft.com/ai/new-azure-openai-service/, (November 2); Lanier, M. M., Academic Integrity and Distance Learning (2006) Journal of Criminal Justice Education, 17 (2), p. 2. , https://doi.org/10.1080/10511250600866166, Article; Lee, M., Liang, P., Yang, Q., CoAuthor: Designing a Human-AI Collaborative Writing Dataset for Exploring Language Model Capabilities (2022) CHI Conference on Human Factors in Computing Systems, pp. 1-19. , https://doi.org/10.1145/3491102.3502030; Lee, Y., Kim, T. S., Chang, M., Kim, J., Interactive Children’s Story Rewriting Through Parent-Children Interaction (2022) Proceedings of the First Workshop on Intelligent and Interactive Writing Assistants (In2Writing 2022), pp. 62-71. , https://doi.org/10.18653/v1/2022.in2writing-1.9; Lim, K., Song, J., Park, J., Neural automated writing evaluation for Korean L2 writing (2022) Natural Language Engineering, pp. 1-23. , https://doi.org/10.1017/S1351324922000298; Lin, S., Hilton, J., Evans, O., (2022) Teaching Models to Express Their Uncertainty in Words, , https://doi.org/10.48550/arXiv.2205.14334, (arXiv:2205.14334). arXiv; Luitse, D., Denkena, W., The great Transformer: Examining the role of large language models in the political economy of AI (2021) Big Data &amp; Society, 8 (2), p. 20539517211047736. , https://doi.org/10.1177/20539517211047734; Malesky, L. A., Baley, J., Crow, R., Academic Dishonesty: Assessing the Threat of Cheating Companies to Online Education (2016) College Teaching, 64 (4), pp. 178-183. , https://doi.org/10.1080/87567555.2015.1133558; Marche, S., The College Essay Is Dead (2022) The Atlantic, , https://www.theatlantic.com/technology/archive/2022/12/chatgpt-ai-writing-college-student-essays/672371/, (December 6); McKnight, L., Electric Sheep? Humans, Robots, Artificial Intelligence, and the Future of Writing (2021) Changing English, 28 (4), pp. 442-455. , https://doi.org/10.1080/1358684X.2021.1941768; Miller, A., Young-Jones, A. D., Academic integrity: Online classes compared to face-to-face classes (2012) Journal of Instructional Psychology, 39 (3–4), pp. 3-4. , https://tinyurl.com/mrxnp9zy, Article; Nazari, N., Shabbir, M. S., Setiawan, R., Application of Artificial Intelligence powered digital writing assistant in higher education: Randomized controlled trial (2021) Heliyon, 7 (5), p. e07014. , https://doi.org/10.1016/j.heliyon.2021.e07014; Nobles, S., Paganucci, L., Do Digital Writing Tools Deliver? Student Perceptions of Writing Quality Using Digital Tools and Online Writing Environments (2015) Computers and Composition, 38, pp. 16-31. , https://doi.org/10.1016/j.compcom.2015.09.001; ONeill, R., Russell, A., Stop! Grammar time: University students’ perceptions of the automated feedback program Grammarly (2019) Australasian Journal of Educational Technology, 35 (1), p. 1. , https://doi.org/10.14742/ajet.3795, Article; ChatGPT, , https://chat.openai.com, (n.d). Retrieved 21 December 2022, from; DALL·E 2. DALL·E 2, , https://openai.com/dall-e-2/, (n.d). Retrieved 25 November 2022, from; ChatGPT: Optimizing Language Models for Dialogue (2022) OpenAI, , https://openai.com/blog/chatgpt/, (November 30); Oppenlaender, J., (2022) A Taxonomy of Prompt Modifiers for Text-To-Image Generation, , https://doi.org/10.48550/arXiv.2204.13988, (arXiv:2204.13988). arXiv; Palmquist, M., A brief history of computer support for writing centers and writing-across-the-curriculum programs (2003) Computers and Composition, 20 (4), pp. 395-413. , https://doi.org/10.1016/j.compcom.2003.08.013; Park, J.-H., Yang, I. Y., Utilizing an AI-Based Grammar Checker in an EFL Writing Classroom (2020) Academic Journal of Applied Linguistics, 36 (1), pp. 97-120. , https://doi.org/10.17154/kjal.2020.3.36.1.97; Parkinson, A. L., Hatje, E., Kynn, M., Kuballa, A. V., Donkin, R., Reinke, N. B., Collusion is still a tricky topic: Student perspectives of academic integrity using assessment-specific examples in a science subject (2022) Assessment &amp; Evaluation in Higher Education, 47 (8), pp. 1416-1428. , https://doi.org/10.1080/02602938.2022.2040947; Perkins, M., Basar Gezgin, U., Gordon, R., Plagiarism in higher education: Classification, causes and controls (2019) Pan-Pacific Management Science, 2, pp. 3-21. , https://doi.org/10.13140/RG.2.2.20694.11841; Perkins, M., Gezgin, U. B., Roe, J., Understanding the Relationship between Language Ability and Plagiarism in Non-Native English Speaking Business Students (2018) Journal of Academic Ethics, 16 (4), p. 4. , https://doi.org/10.1007/s10805-018-9311-8, Article; Prentice, F. M., Kinden, C. E., Paraphrasing tools, language translation tools and plagiarism: An exploratory study (2018) International Journal for Educational Integrity, 14 (1), p. 11. , https://doi.org/10.1007/s40979-018-0036-7; Price, M., Beyond ‘Gotcha!’: Situating Plagiarism in Policy and Pedagogy (2002) College Composition and Communication, 54 (1), pp. 88-115. , https://doi.org/10.2307/1512103; Can I use QuillBot for plagiarism? QuillBot Help Center, , https://help.quillbot.com/hc/en-us/articles/1500007485841-Can-I-use-QuillBot-for-plagiarism-, (n.d.-a). Retrieved 16 November 2022, from; Is using a paraphrasing tool plagiarizing? QuillBot Help Center, , https://help.quillbot.com/hc/en-us/articles/4408075614103-Is-using-a-paraphrasing-tool-plagiarizing-, (n.d.-b). Retrieved 16 November 2022, from; Rapanta, C., Botturi, L., Goodyear, P., Guàrdia, L., Koole, M., Balancing Technology, Pedagogy and the New Normal: Post-pandemic Challenges for Higher Education (2021) Postdigital Science and Education, 3 (3), pp. 715-742. , https://doi.org/10.1007/s42438-021-00249-1; Reedy, A., Pfitzner, D., Rook, L., Ellis, L., Responding to the COVID-19 emergency: Student and academic staff perceptions of academic integrity in the transition to online exams at three Australian universities (2021) International Journal for Educational Integrity, 17 (1), p. 1. , https://doi.org/10.1007/s40979-021-00075-9, Article; Risko, E. F., Gilbert, S. J., Cognitive Offloading (2016) Trends in Cognitive Sciences, 20 (9), pp. 676-688. , https://doi.org/10.1016/j.tics.2016.07.002; Roe, J., Perkins, M., What are Automated Paraphrasing Tools and how do we address them? A review of a growing threat to academic integrity (2022) International Journal for Educational Integrity, 18 (1), p. 1. , https://doi.org/10.1007/s40979-022-00109-w, Article; Rogerson, A. M., McCarthy, G., Using Internet based paraphrasing tools: Original work, patchwriting or facilitated plagiarism? (2017) International Journal for Educational Integrity, 13 (1), p. 2. , https://doi.org/10.1007/s40979-016-0013-y; Sanh, V., Webson, A., Raffel, C., Bach, S. H., Sutawika, L., Alyafeai, Z., Chaffin, A., Rush, A. M., (2022) Multitask Prompted Training Enables Zero-Shot Task Generalization, , https://doi.org/10.48550/arXiv.2110.08207, (arXiv:2110.08207). arXiv; Solaiman, I., Brundage, M., Clark, J., Askell, A., Herbert-Voss, A., Wu, J., Radford, A., Wang, J., (2019) Release Strategies and the Social Impacts of Language Models, , https://doi.org/10.48550/arXiv.1908.09203, (arXiv:1908.09203). arXiv; Sparrow, J., Full-on robot writing’: The artificial intelligence challenge facing universities (2022) The Guardian, , https://www.theguardian.com/australia-news/2022/nov/19/full-on-robot-writing-the-artificial-intelligence-challenge-facing-universities, (November 18); St-Onge, C., Ouellet, K., Lakhal, S., Dubé, T., Marceau, M., COVID-19 as the tipping point for integrating e-assessment in higher education practices (2022) British Journal of Educational Technology, 53 (2), p. 2. , https://doi.org/10.1111/bjet.13169, Article; Strobl, C., Ailhaud, E., Benetos, K., Devitt, A., Kruse, O., Proske, A., Rapp, C., Digital support for academic writing: A review of technologies and pedagogies (2019) Computers &amp; Education, 131, pp. 33-48. , https://doi.org/10.1016/j.compedu.2018.12.005; Stuber-McEwen, D., Wiseley, P., Hoggatt, S., Point, click, and cheat: Frequency and type of academic dishonesty in the virtual classroom (2009) Online Journal of Distance Learning Administration, 12 (3), p. 3. , https://tinyurl.com/2awz7b7y, Article; Sun, Y.-C., Do journal authors plagiarize? Using plagiarism detection software to uncover matching text across disciplines (2013) Journal of English for Academic Purposes, 12 (4), pp. 264-272. , https://doi.org/10.1016/j.jeap.2013.07.002; (2020) What is academic integrity? Tertiary Education Quality and Standards Agency, , https://www.teqsa.gov.au/what-academic-integrity, (October 28); Vargo, D., Zhu, L., Benwell, B., Yan, Z., Digital technology use during COVID-19 pandemic: A rapid review (2021) Human Behavior and Emerging Technologies, 3 (1), pp. 13-24. , https://doi.org/10.1002/hbe2.242; Vaswani, A., Shazeer, N., Parmar, N., Uszkoreit, J., Jones, L., Gomez, A. N., Kaiser, Ł., Polosukhin, I., Attention is All you Need (2017) Advances in Neural Information Processing Systems, 30. , https://proceedings.neurips.cc/paper/2017/hash/3f5ee243547dee91fbd053c1c4a845aa-Abstract.html; Wahle, J. P., Ruas, T., Foltýnek, T., Meuschke, N., Gipp, B., Identifying Machine-Paraphrased Plagiarism (2022) Information for a Better World: Shaping the Global Future, pp. 393-413. , https://doi.org/10.1007/978-3-030-96957-8_34, M. Smits (Ed), –). Springer International Publishing; Wahle, J. P., Ruas, T., Kirstein, F., Gipp, B., (2022) How Large Language Models are Transforming Machine-Paraphrased Plagiarism, , https://arxiv.org/pdf/2210.03568.pdf, ArXiv Preprint ArXiv:2210.03568; Wahle, J. P., Ruas, T., Meuschke, N., Gipp, B., Are neural language models good plagiarists? A benchmark for neural paraphrase detection (2021) 2021 ACM/IEEE Joint Conference on Digital Libraries (JCDL), pp. 226-229. , https://doi.org/10.1109/JCDL52503.2021.00065; Walsh, L. L., Lichti, D. A., Zambrano-Varghese, C. M., Borgaonkar, A. D., Sodhi, J. S., Moon, S., Wester, E. R., Callis-Duehl, K. L., Why and how science students in the United States think their peers cheat more frequently online: Perspectives during the COVID-19 pandemic (2021) International Journal for Educational Integrity, 17 (1), p. 1. , https://doi.org/10.1007/s40979-021-00089-3, Article; Warschauer, M., Grimes, D., Automated Writing Assessment in the Classroom (2008) Pedagogies: An International Journal, 3 (1), pp. 22-36. , https://doi.org/10.1080/15544800701771580; Watson, G., Sottile, J., Cheating in the Digital Age: Do Students Cheat More in Online Courses? (2010) Online Journal of Distance Learning Administration, 13 (1). , https://tinyurl.com/yckenh4f; Wilder, N., Weßels, D., Gröpler, J., Klein, A., Mundorf, M., Who is Responsible for Integrity in the Age of Artificial Intelligence? An Analysis Using the Example of Academic Writing (2021) European Conference on Academic Integrity and Plagiarism, 2021, pp. 179-181. , https://tinyurl.com/2s4r5dyr; Zhang, Q., Wang, D. Y., Voelker, G. M., DSpin: Detecting Automatically Spun Content on the Web (2014) Proceedings 2014 Network and Distributed System Security Symposium. Network and Distributed System Security Symposium, , https://doi.org/10.14722/ndss.2014.23004, San Diego, CA; Zhang, S., Roller, S., Goyal, N., Artetxe, M., Chen, M., Chen, S., Dewan, C., Zettlemoyer, L., (2022) OPT: Open Pre-trained Transformer Language Models, , https://doi.org/10.48550/arXiv.2205.01068, (arXiv:2205.01068). arXiv; Zhao, X., Leveraging Artificial Intelligence (AI) Technology for English Writing: Introducing Wordtune as a Digital Writing Assistant for EFL Writers (2022) RELC Journal, , https://doi.org/10.1177/00336882221094089</t>
  </si>
  <si>
    <t>Perkins, M., British University Vietnam, Viet Nam</t>
  </si>
  <si>
    <t>56002001000;</t>
  </si>
  <si>
    <t>Abiodun, O. I., Jantan, A., Omolara, A. E., Dada, K. V., Mohamed, N. A., Arshad, H., State-of-the-art in artificial neural network applications: A survey (2018) Heliyon, 4 (11), p. e00938; Adams, D. R., Meyers, S. A., Beidas, R. S., The relationship between financial strain, perceived stress, psychological symptoms, and academic and social integration in undergraduate students (2016) Journal of American College Health, 64 (5), pp. 362-370. , https://doi.org/10.1080/07448481.2016.1154559; Alghamdi, S., Aljabri, S., Jafari, G., Alzebali, R., Alkunaidiri, N., Kalantan, N., Sources of stress among undergraduate nursing students (2019) Global Journal of Health Science, 11 (9), pp. 116-122; Allen, K. A., Butler-Henderson, K., Reupert, A., Longmuir, F., Finefter-Rosenbluh, I., Berger, E., Grove, C., Fleer, M., Work like a girl: Redressing gender inequity in academia through systemic solutions (2021) Journal of University Teaching &amp; Learning Practice, 18 (3). , https://doi.org/10.53761/1.18.3.3, Article 03; Allen, K. A., Donoghue, G., Pahlevansharif, S., Jimerson, S., Hattie, J., Addressing academic rejection: Recommendations for reform (2020) Journal of University Teaching &amp; Learning Practice, 17 (5), p. 19. , https://doi.org/10.53761/1.17.5.19, Article; (2018) Spring 2018: Reference group executive summary, , https://www.acha.org/documents/ncha/NCHA-II_Spring_2018_Reference:Group_Executive_Summary.pdfhttps://www.acha.org/documents/ncha/NCHA-II_Spring_2018_Reference:Group_Executive_Summary.pdf; Amigud, A., Dawson, P., The law and the outlaw: is legal prohibition a viable solution to the contract cheating problem? (2019) Assessment &amp; Evaluation in Higher Education, 45 (1), pp. 98-108; Archer-Kuhn, B., Wiedeman, D., Chalifoux, J., Student engagement and deep learning in higher education: Reflections on inquiry-based learning on our group study program course in the UK (2020) Journal of Higher Education Outreach and Engagement, 24 (2), pp. 107-122; (2023) Why this Bengaulur institute has restricted ChatGPT use for students, , https://www.hindustantimes.com/cities/bengaluru-news/why-this-bengaluru-institute-has-restricted-chatgpt-use-for-students-101674901758231.html, 28 January 2023; Beiter, R., Nash, R., McCrady, M., Rhoades, D., Linscomb, M., Clarahan, M., Sammut, S., The prevalence and correlates of depression, anxiety, and stress in a sample of college students (2015) Journal of Affective Disorders, 173, pp. 90-96. , https://doi.org/10.1016/j.jad.2014.10.054; Bockting, C. L., van Dis, E. A., Bollen, J., Zuidema, W., van Rooij, R., ChatGPT: five priorities for research (2023) Nature, 614 (7947), pp. 224-226; Butler-Henderson, K., Crawford, J., A systematic review of online examinations: A pedagogical innovation for scalable authentication and integrity (2020) Computers &amp; Education, 159, p. 104024; Bruffaerts, R., Mortier, P., Kiekens, G., Auerbach, R. P., Cuijpers, P., Demyttenaere, K., Green, J. G., Kessler, R. C., Mental health problems in college freshmen: Prevalence and academic functioning (2018) Journal of Affective Disorders, 225, pp. 97-103. , https://doi.org/10.1016/j.jad.2017.07.044; Carnovalini, F., Rodà, A., Computational creativity and music generation systems: An introduction to the state of the art (2020) Frontiers in Artificial Intelligence, 3, p. 14; Chen, Y., Jensen, S., Albert, L. J., Gupta, S., Lee, T., Artificial intelligence (AI) student assistants in the classroom: Designing chatbots to support student success (2023) Information Systems Frontiers, 25 (1), pp. 161-182; Connor, M., Mueller, B., Mann, S., Andrew, M., Pivots, pirouettes and practicalities: Actions and reactions of work-integrated learning practitioners (2021) Journal of University Teaching &amp; Learning Practice, 18 (5). , https://doi.org/10.53761/1.18.5.2; Crawford, J., Editorial: The need for good leaders in higher education (2023) Journal of University Teaching and Learning Practice, 20 (1), pp. 1-7. , https://doi.org/10.53761/1.20.01.01; Csikszentmihalyi, M., (2008) Flow, , New York. Harper Collins Publishers; Darr, W., Johns, G., Work, strain, health, and absenteeism: A meta-analysis (2008) Journal of Occupational Health Psychology, 13, pp. 293-318. , https://doi.org/10.1037/a0012639; Dawson, P., Sutherland-Smith, W., Ricksen, M., Can software improve marker accuracy at detecting contract cheating? A pilot study of the Turnitin authorship investigate alpha (2020) Assessment &amp; Evaluation in Higher Education, 45 (4), pp. 473-482; Deng, Y., Cherian, J., Khan, N. U. N., Kumari, K., Sial, M. S., Comite, U., Gavurova, B., Popp, J., Family and academic stress and their impact on students' depression level and academic performance (2022) Frontiers in Psychiatry, 13, p. 869337. , https://doi.org/10.3389/fpsyt.2022.869337, Article; Dodd, R. H., Dadaczynski, K., Okan, O., McCaffery, K. J., Pickles, K., Psychological wellbeing and academic experience of university students in Australia during COVID-19 (2021) International Journal of Environmental Research and Public Health, 18 (3), p. 866. , https://doi.org/10.3390/ijerph18030866, Article; Ehrich, J., Howard, S. J., Mu, C., Bokosmaty, S., A comparison of Chinese and Australian university students' attitudes towards plagiarism (2016) Studies in Higher Education, 41 (2), pp. 231-246. , https://doi.org/10.1080/03075079.2014.927850; Eager, B., (2023) ChatGPT for Educators, , https://bron-eager.thinkific.com/courses/ChatGPT-getting-started, Bron Eager Thinkific. Accessed 21 February 2023; Else, H., Abstracts written by ChatGPT fool scientists (2023) Nature, 613 (7944), pp. 423-423; Ferrucci, D., Levas, A., Bagchi, S., Gondek, D., Mueller, E. T., Watson: beyond jeopardy! (2013) Artificial Intelligence, 199, pp. 93-105; Gravett, K., Kinchin, I. M., Referencing and empowerment: exploring barriers to agency in the higher education student experience (2020) Teaching in Higher Education, 25 (1), pp. 84-97; Geary, E., Allen, K. A., Gamble, N., Pahlevansharif, S., Online learning during the COVID-19 pandemic: Does social connectedness and learning community predict self-determined needs and course satisfaction? (2023) Journal of University Teaching &amp; Learning Practice, 20 (1). , https://doi.org/10.53761/1.20.01.13; Gregory, R. W., Henfridsson, O., Kaganer, E., Kyriakou, H., The role of artificial intelligence and data network effects for creating user value (2021) Academy of Management Review, 46 (3), pp. 534-551; Jereb, E., Perc, M., Lämmlein, B., Jerebic, J., Urh, M., Podbregar, I., Šprajc, P., Factors influencing plagiarism in higher education: A comparison of German and Slovene students (2018) PloS One, 13 (8), p. e0202252. , https://doi.org/10.1371/journal.pone.0202252; Hassabis, D., Artificial intelligence: chess match of the century (2017) Nature, 544, pp. 413-414; Hamzaçebi, C., Akay, D., Kutay, F., Comparison of direct and iterative artificial neural network forecast approaches in multi-periodic time series forecasting (2009) Expert Systems With Applications, 36 (2), pp. 3839-3844; Holden Thorp, H., ChatGPT is fun, but not an author (2023) Science, 379 (6630), pp. 313-313; Hu, K., (2023) ChatGPT sets record fastest growing user base – analyst note, , https://www.reuters.com/technology/chatgpt-sets-record-fastest-growing-user-base-analyst-note-2023-02-01/, Reuters. Accessed 4 March 2023; LaMontagne, A. D., Martin, A., Page, K. M., Reavley, N. J., Noblet, A. J., Milner, A. J., Smith, P. M., Workplace mental health: developing an integrated intervention approach (2014) BMC Psychiatry, 14 (1), pp. 1-11; Lea, M., Street, B., Student writing in higher education: An academic literacies approach (1998) Studies in Higher Education, 23 (2), pp. 157-172; Liebrenz, M., Schleifer, R., Buadze, A., Bhugra, D., Smith, A., Generating scholarly content with ChatGPT: ethical challenges for medical publishing (2023) The Lancet Digital Health, , Advanced Online Publication; Lyons, Z., Wilcox, H., Leung, L., Dearsley, O., COVID-19 and the mental well-being of Australian medical students: Impact, concerns and coping strategies used (2020) Australasian Psychiatry, 28 (6), pp. 649-652. , https://doi.org/10.1177/1039856220947945; Ma, Y., McCabe, D. L., Liu, R., Students’ academic cheating in Chinese universities: Prevalence, influencing factors, and proposed action (2013) Journal of Academic Ethics, 11 (3), pp. 169-184. , https://doi.org/10.1007/s10805-013-9186-7; Makridakis, S., The forthcoming Artificial Intelligence (AI) revolution: Its impact on society and firms (2017) Futures, 90, pp. 46-60; Marginson, S., The worldwide trend to high participation higher education: Dynamics of social stratification in inclusive systems (2016) Higher Education, 72, pp. 413-434. , https://doi.org/10.1007/s10734-016-0016-x; McCabe, D., Cheating and honor: Lessons from a long-term research project (2016) Handbook of Academic Integrity, pp. 187-198. , T. Bretag (Ed), Springer Singapore; McCarthy, J., Minsky, M., Rochester, N., Shannon, C.E., (1955) A proposal for the Dartmouth summer research project on artificial intelligence, , http://jmc.stanford.edu/articles/dartmouth/dartmouth.pdf, Stanford University Papers; McCarthy, J., Generality in artificial intelligence (1987) Communications of the ACM, 30 (12), pp. 1030-1035; Newton, P. M., How common is commercial contract cheating in higher education and is it increasing? A systematic review (2018) Frontiers in Education, 3, p. 67. , https://doi.org/10.3389/feduc.2018.00067, Article; Pascoe, M. C., Hetrick, S. E., Parker, A. G., The impact of stress on students in secondary school and higher education (2020) International Journal of Adolescence and Youth, 25 (1), pp. 104-112. , https://doi.org/10.1080/02673843.2019.1596823; Pavlik, J. V., Collaborating With ChatGPT: Considering the Implications of Generative Artificial Intelligence for Journalism and Media Education (2023) Journalism &amp; Mass Communication Educator, , 10776958221149577; Perkins, M., Academic Integrity considerations of AI Large Language Models in the post-pandemic era: ChatGPT and beyond (2023) Journal of University Teaching &amp; Learning Practice, 20 (2), p. 07; Perrone, L., Vickers, M. H., Life after graduation as a “very uncomfortable world”: An Australian case study (2003) Education+ Training, 45 (2), pp. 69-78. , https://doi.org/10.1108/00400910310464044; Prowse, R., Sherratt, F., Abizaid, A., Gabrys, R. L., Hellemans, K. G., Patterson, Z. R., McQuaid, R. J., Coping with the COVID-19 pandemic: Examining gender differences in stress and mental health among university students (2021) Frontiers in Psychiatry, 12, p. 650759. , https://doi.org/10.3389/fpsyt.2021.650759; Ragheb, M. A., Tantawi, P., Farouk, N., Hatata, A., Investigating the acceptance of applying chat-bot (Artificial intelligence) technology among higher education students in Egypt (2022) International Journal of Higher Education Management, 8 (2); Reddy, K. J., Menon, K. R., Thattil, A., Academic stress and its sources among university students (2018) Biomedical and Pharmacology Journal, 11 (1), pp. 531-537. , https://doi.org/10.13005/bpj/1404; (2023) r/ChatGPT post, , https://www.reddit.com/r/ChatGPT/comments/117fie2/openai_weve_trained_a_model_called_chatgpt_which/, Accessed 21 February 2023; (2023) Embracing ChatGPT for Education, , https://www.rmit.edu.au/news/acumen/ChatGPT_for_education, RMIT News. 8 February 2023; Rudolph, J., Tan, S., Tan, S., ChatGPT: Bullshit spewer or the end of traditional assessments in higher education? (2023) Journal of Applied Learning and Teaching, 6 (1), pp. 1-22. , https://doi.org/10.37074/jalt.2023.6.1.9; Ryan, R. M., Deci, E. I., Self-determination theory and the facilitation of intrinsic motivation, social development, and wellbeing (2000) American Psychologist, 55, pp. 68-78; Panagopoulos, J., Top universities snap into action over AI cheating (2022) The Australian, , 19 December 2022; Sciences PO bans the use of ChatGPT without transparent referencing (2023), https://newsroom.sciencespo.fr/sciences-po-bans-the-use-of-chatgpt/, SciencesPo Newsroom. 27 January 2023; Shaffique, S., Farooq, S. S., Anwar, H., Asif, H. M., Akram, M., Jung, S. K., Meta-analysis of prevalence of depression, anxiety and stress among University Students (2020) RADS Journal of Biological Research &amp; Applied Sciences, 11 (1), pp. 27-32. , https://doi.org/10.37962/jbas.v11i1.308; Shu, L., Gino, F., Sweeping dishonesty under the rug: how unethical actions lead to forgetting of moral rules (2012) Journal of Personality and Social Psychology, 102 (6), p. 1164; Shu, L., Gino, F., Bazerman, M., Dishonest deed, clear conscience: When cheating leads to moral disengagement and motivated forgetting (2011) Personality and Social Psychology Bulletin, 37 (3), pp. 330-349; Stokel-Walker, C., ChatGPT listed as author on research papers: many scientists disapprove (2023) Nature; Surahman, E., Wang, T. H., Academic dishonesty and trustworthy assessment in online learning: A systematic literature review (2022) Journal of Computer Assisted Learning, 38 (6), pp. 1535-1553. , https://doi.org/10.1111/jcal.12708; Thi, N. K., Nikolov, M., How teacher and Grammarly feedback complement one another in Myanmar EFL students’ writing (2022) The Asia-Pacific Education Researcher, 31 (6), pp. 767-779; Thomas, L., Orme, E., Kerrigan, F., Student loneliness: The role of social media through life transitions (2020) Computers &amp; Education, 146, p. 103754; (2023) Statement on the Use of Artificial Intelligence, , University of Tasmania. Accessed 21 February 2023; van Dis, E. A., Bollen, J., Zuidema, W., van Rooij, R., Bockting, C. L., ChatGPT: five priorities for research (2023) Nature, 614 (7947), pp. 224-226; Vernon, L., Modecki, K., Austin, K., (2022) Understanding wellbeing challenges for university students during class disruption, , https://www.ncsehe.edu.au/publications/wellbeing-challenges-university-students-crisis-disruption/, Curtin University; von Keyserlingk, L., Yamaguchi‐Pedroza, K., Arum, R., Eccles, J. S., Stress of university students before and after campus closure in response to COVID‐19 (2022) Journal of Community Psychology, 50 (1), pp. 285-301. , https://doi.org/10.1002/jcop.22561; Wen, A., ChatGPT and Plagiarism: Student Cheating Concerns May Be Overblown (2023) Teen Vogue, , 13 February 2023; Wright, T., Distinguished scholar invited essay: Reflections on the role of character in business education and student leadership development (2015) Journal of Leadership &amp; Organizational Studies, 22 (3), pp. 253-264; Yau, C., Chan, K., University of Hong Kong temporarily bans students from using ChatGPT, other AI-based tools for coursework (2023) South China Morning Post, , 17 February 2023; Zhai, X., Chu, X., Chai, C. S., Jong, M. S. Y., Istenic, A., Spector, M., Liu, J-B., Li, Y., A review of artificial intelligence (AI) in education from 2010 to 2020 (2021) Complexity, 2021, p. 8812542. , https://doi.org/10.1155/2021/8812542, Article</t>
  </si>
  <si>
    <t>Crawford, J., University of Tasmania, Australia; Cowling, M., Central Queensland University, Australia; Allen, K.-A., Monash University, Australia</t>
  </si>
  <si>
    <t>57196083515;57188726168;55582596300;</t>
  </si>
  <si>
    <t>Crawford J., Cowling M., Allen K.-A.</t>
  </si>
  <si>
    <t>Saad, H.B.; University of Sousse, Tunisia; email: helmi.bensaad@rns.tn</t>
  </si>
  <si>
    <t>Aydın, Ö, Karaarslan, E., OpenAI ChatGPT generated literature review: Digital twin in healthcare (2022) Emerging computer technologies 2, , Aydın Ö, ed. İzmir Akademi Dernegiİzmir Akademi Dernegi, İzmir; van Dis, EAM, Bollen, J, Zuidema, W, van Rooij, R, Bockting, CL., ChatGPT: five priorities for research (2023) Nature, 614 (7947), pp. 224-226; Marti, G., From data to trade: A machine learning approach to quantitative trading 2022, , https://papers.ssrn.com/sol3/papers.cfm?abstract_id=4315362, SSRN: Last access date: March 4, 2023; Jones, KS., Natural language processing: A historical review (1994) Current issues in computational linguistics: In honour of Don Walker, pp. 3-16. , Zampolli A, Calzolari N, Palmer M, eds. Springer Netherlands, Dordrecht; Deng, L, Liu, Y., A joint introduction to natural language processing and to deep learning (2018) Deep learning in natural language processing, pp. 1-22. , Deng L, Liu Y, eds. Springer Singapore, Singapore; Nadkarni, PM, Ohno-Machado, L, Chapman, WW., Natural language processing: an introduction (2011) J Am Med Inform Assoc, 18 (5), pp. 544-551; Radford, A, Wu, J, Child, R, Luan, D, Amodei, D, Sutskever, Y., Language models are unsupervised multitask learners (2019) OpenAI blog, p. 8. , https://d4mucfpksywv.cloudfront.net/better-language-models/language_models_are_unsupervised_multitask_learners.pdf, Last access date: March 4, 2023; Littman, M, Ajunwa, I, Berger, G, Boutilier, C, Currie, M, Doshi-Velez, F, Hadfield, G, Walsh, T., (2021) Gathering strength, gathering storms: The one hundred year study on artificial intelligence (AI100) 2021 study panel report, , https://ai100.stanford.edu/sites/g/files/sbiybj18871/files/media/file/AI100Report_MT_10.pdf, Stanford University, Stanford, CA, September Last access date: March 4, 2023; Mars, M., From word embeddings to pre-trained language models: A state-of-the-art walkthrough (2022) Appl Sci, 12 (17), p. 8805; Yimam, SM, Ayele, AA, Venkatesh, G, Gashaw, I, Biemann, C., Introducing various semantic models for amharic: Experimentation and evaluation with multiple tasks and datasets (2021) Future Internet, 13 (11), p. 275; Thorp, HH., ChatGPT is fun, but not an author (2023) Science, 379 (6630), p. 313; Shen, Y, Heacock, L, Elias, J, Hentel, KD, Reig, B, Shih, G, Moy, L., ChatGPT and other large language models are double-edged swords (2023) Radiology, p. 230163; Poldrack, RA, Baker, CI, Durnez, J, Gorgolewski, KJ, Matthews, PM, Munafo, MR, Nichols, TE, Yarkoni, T., Scanning the horizon: towards transparent and reproducible neuroimaging research (2017) Nat Rev Neurosci, 18 (2), pp. 115-126; Patel, SB, Lam, K., ChatGPT: the future of discharge summaries? (2023) Lancet Digit Health, 5 (3), pp. e107-e108; Pavlik, JV., Collaborating With ChatGPT: Considering the implications of generative artificial intelligence for journalism and media education (2023) Journal Mass Commun Educ, 78 (1), pp. 84-93; Norori, N, Hu, Q, Aellen, FM, Faraci, FD, Tzovara, A., Addressing bias in big data and AI for health care: A call for open science (2021) Patterns (N Y), 2 (10), p. 100347; Stokel-Walker, C., ChatGPT listed as author on research papers: many scientists disapprove (2023) Nature, 613 (7945), pp. 620-621; Else, H., Abstracts written by ChatGPT fool scientists (2023) Nature, 613 (7944), p. 423; O'Connor, S, ChatGpt, Open artificial intelligence platforms in nursing education: Tools for academic progress or abuse? (2023) Nurse Educ Pract, 66, p. 103537; O'Connor, S., Corrigendum to “Open artificial intelligence platforms in nursing education: Tools for academic progress or abuse? (2023) Nurse Educ Pract, 67, p. 103572; Chat, GPTGP-tT, Zhavoronkov, A., Rapamycin in the context of Pascal's Wager: generative pre-trained transformer perspective (2022) Oncoscience, 9, pp. 82-84; Much to discuss in AI ethics (2022) Nat Mach Intell, 4 (12), pp. 1055-1056. , authors listed; Dahmen, J, Kayaalp, ME, Ollivier, M, Pareek, A, Hirschmann, MT, Karlsson, J, Winkler, PW., Artificial intelligence bot ChatGPT in medical research: the potential game changer as a double-edged sword (2023) Knee Surg Sports Traumatol Arthrosc; Anderson, N, Belavy, DL, Perle, SM, Hendricks, S, Hespanhol, L, Verhagen, E, Memon, AR., AI did not write this manuscript, or did it? Can we trick the AI text detector into generated texts? The potential future of ChatGPT and AI in Sports &amp; Exercise Medicine manuscript generation (2023) BMJ Open Sport Exerc Med, 9 (1), p. e001568; Rudolph, J, Samson, T, Shannon, T., ChatGPT: Bullshit spewer or the end of traditional assessments in higher education? (2023) JALT, 6 (1); Smith, R, Sproule, J, Brusseau, T, Ransdell, L., The impact of inaccurate health and fitness information on college students (2020) J Am Coll Health, 68 (1), pp. 25-33; (2013) Hundreds of open access journals accept fake science paper, , https://www.theguardian.com/higher-education-network/2013/oct/04/open-access-journals-fake-paper, Availbale from: Last access date: March 4, 2023</t>
  </si>
  <si>
    <t>Anecdotally, and intentionally, the authors would like to acknowledge the assistance of ChatGPT in the writing sections (boxes 1 to 3) of our article. The use of ChatGPT within the ethical guidelines showed its potential to support the writing process and improve the clarity and coherence of scientific communication. We are grateful that the high standards of transparency were maintained throughout the writing process, and we believe that this acknowledgment will encourage further exploration of the use of natural language processing tools such as ChatGPT in scientific writing. We also extend our gratitude to the editors and reviewers of this academic journal for recognizing the value of our work and providing valuable feedback that has helped to improve the quality of this article.</t>
  </si>
  <si>
    <t>Dergaa, I., Primary Health Care Corporation (PHCC), Doha, Qatar, Research Unit Physical Activity, Sport, and Health, UR18JS01, National Observatory of Sport, Tunis, 1003, Tunisia, High Institute of Sport and Physical Education, University of Sfax, Sfax, Tunisia; Chamari, K., Aspetar, Orthopaedic and Sports Medicine Hospital, FIFA Medical Centre of Excellence, Doha, Qatar; Zmijewski, P., Jozef Pilsudski University of Physical Education in Warsaw, Warsaw, Poland; Saad, H.B., University of Sousse, Farhat HACHED hospital, Service of Physiology and Functional Explorations, Sousse, Tunisia, University of Sousse, Farhat HACHED Hospital, Research Laboratory LR12SP09 «Heart Failure», Sousse, Tunisia, University of Sousse, Faculty of Medicine of Sousse, Laboratory of Physiology, Sousse, Tunisia</t>
  </si>
  <si>
    <t>57210321130;6602474344;26024518500;57218690236;</t>
  </si>
  <si>
    <t>Dergaa I., Chamari K., Zmijewski P., Saad H.B.</t>
  </si>
  <si>
    <t>2-s2.0-85156161566</t>
  </si>
  <si>
    <t>Article in Press</t>
  </si>
  <si>
    <t>Review</t>
  </si>
  <si>
    <t>Interact. Learn. Environ.</t>
  </si>
  <si>
    <t>Lee, S.; Department of English Education, South Korea; email: seongyonglee77@gmail.com</t>
  </si>
  <si>
    <t>Indicates the Studies Selected for Review; Ayedoun, E., Hayashi, Y., Seta, K., Toward personalized scaffolding and fading of motivational support in L2 learner–dialogue agent interactions: An exploratory study (2020) IEEE Transactions on Learning Technologies, 13 (3), pp. 604-616; Bibauw, S., François, T., Desmet, P., Discussing with a computer to practice a foreign language: Research synthesis and conceptual framework of dialogue-based CALL (2019) Computer Assisted Language Learning, 32 (8), pp. 827-877; Bibauw, S., François, T., Noortgate, V., Desmet, W., Dialogue systems for language learning: A meta-analysis (2022) Language Learning &amp; Technology, 26 (1), pp. 1-24; Bower, M., Sturman, D., What are the educational affordances of wearable technologies? (2015) Computers &amp; Education, 88, pp. 343-353; Braun, V., Clarke, V., Using thematic analysis in psychology (2006) Qualitative Research in Psychology, 3 (2), pp. 77-101; Chen, H.H.J., Yang, C.T.Y., Lai, K.K.W., Investigating college EFL learners’ perceptions toward the use of Google Assistant for foreign language learning (2020) Interactive Learning Environments, , Advance online publication; Chien, Y., Wu, T., Lai, C., Huang, Y., Investigation of the influence of artificial intelligence markup language-based LINE ChatBot in contextual English learning (2022) Frontiers in Psychology, 13, p. 785752; Coniam, D., The linguistic accuracy of chatbots: Usability from an ESL perspective (2014) Text &amp; Talk, 34 (5), pp. 545-567; Davis, R.O., Vincent, J., Park, T., Reconsidering the voice principle with non-native language speakers (2019) Computers &amp; Education, 140, p. 103605; Divekar, R.R., Drozdal, J., Chabot, S., Zhou, Y., Su, H., Chen, Y., Zhu, H., Braasch, J., Foreign language acquisition via artificial intelligence and extended reality: Design and evaluation (2021) Computer Assisted Language Learning, , Advance online publication; Dizon, G., Evaluating intelligent personal assistants for L2 listening and speaking development (2020) Language Learning &amp; Technology, 24 (1), pp. 16-26; Ebadi, S., Amini, A., Examining the roles of social presence and human-likeness on Iranian EFL learners’ motivation using artificial intelligence technology: A case of CSIEC chatbot (2022) Interactive Learning Environments, , Advance online publication; Elaish, M.M., Hussein, M.H., Hwang, G., Critical research trends of mobile technology-supported English language learning: A review of the top 100 highly cited articles (2022) Education and Information Technologies, , Advance online publication; Fidan, M., Gencel, N., Supporting the Instructional Videos With Chatbot and Peer Feedback Mechanisms in Online Learning: The Effects on Learning Performance and Intrinsic Motivation (2022) Journal of Educational Computing Research, 60 (7), pp. 1716-1741; Forsyth, C.M., Luce, C., Zapata-Rivera, D., Jackson, G.T., Evanini, K., So, Y., Evaluating English language learners’ conversations: Man vs. machine (2019) Computer Assisted Language Learning, 32 (4), pp. 398-417; Fryer, L.K., Ainley, M., Thompson, A., Gibson, A., Sherlock, Z., Stimulating and sustaining interest in a language course: An experimental comparison of Chatbot and Human task partners (2017) Computers in Human Behavior, 75, pp. 461-468; Fryer, L.K., Coniam, D., Carpenter, R., Lăpușneanu, D., Bots for language learning now: Current and future directions (2020) Language Learning &amp; Technology, 24 (2), pp. 8-22; Fryer, L.K., Nakao, K., Thompson, A., Chatbot learning partners: Connecting learning experiences, interest and competence (2019) Computers in Human Behavior, 93, pp. 279-289; Fu, Q., Hwang, G., Trends in mobile technology-supported collaborative learning: A systematic review of journal publications from 2007 to 2016 (2018) Computers &amp; Education, 119, pp. 129-143; Gonulal, T., Investigating EFL learners’ humorous interactions with an intelligent personal assistant (2021) Interactive Learning Environments, , Advance online publication; Hassani, K., Nahvi, A., Ahmadi, A., Design and implementation of an intelligent virtual environment for improving speaking and listening skills (2016) Interactive Learning Environments, 24 (1), pp. 252-271; Hew, K.F., Huang, W., Du, J., Jia, C., Using chatbots to support student goal setting and social presence in fully online activities: Learner engagement and perceptions (2023) Journal of Computing in Higher Education, 35 (1), pp. 40-68. , –,. Advance online publication; Hsu, H.L., Chen, H.H.J., Todd, A.G., Investigating the impact of the Amazon Alexa on the development of L2 listening and speaking skills (2021) Interactive Learning Environments, , Advance online publication; Hsu, L., To CALL or not to CALL: Empirical evidence from neuroscience (2022) Computer Assisted Language Learning, 35 (4), pp. 792-815; Hsu, M., Chen, P., Yu, C., Proposing a task-oriented Chatbot system for EFL learners speaking practice (2021) Interactive Learning Environments, , Advance online publication; Huang, W., Hew, K.F., Fryer, L.K., Chatbots for language learning—Are they really useful? A systematic review of chatbot-supported language learning (2022) Journal of Computer Assisted Learning, 38 (1), pp. 237-257; Hwang, G.-J., Chang, C.-Y., A review of opportunities and challenges of chatbots in education (2021) Interactive Learning Environments, , Advance online publication; Hwang, G.-J., Tsai, C.-C., Research trends in mobile and ubiquitous learning: a review of publications in selected journals from 2001 to 2010 (2011) British Journal of Educational Technology, 42 (4), pp. E65-E70; Hwang, W., Guo, B., Hoang, A., Chang, C., Wu, N., Facilitating authentic contextual EFL speaking and conversation with smart mechanisms and investigating its influence on learning achievements (2022) Computer Assisted Language Learning, , Advance online publication; Jeon, J., Chatbot-assisted dynamic assessment (CA-DA) for L2 vocabulary learning and diagnosis (2021) Computer Assisted Language Learning, , Advance online publication; Jeon, J., Exploring a self-directed interactive app for informal EFL learning: A self-determination theory perspective (2022) Education and Information Technologies, 27 (4), pp. 5767-5787; Jeon, J., Exploring AI chatbot affordances in the EFL classroom: Young learners’ experiences and perspectives (2022) Computer Assisted Language Learning, , Advance online publication; Jeon, J., Lee, S., Choe, H., Enhancing EFL pre-service teachers’ affordance noticing and utilizing with the Synthesis of Qualitative Evidence strategies: An exploratory study of a customizable virtual environment platform (2022) Computers &amp; Education, 190, p. 104620; Ji, H., Han, I., Ko, Y., A systematic review of conversational AI in language education: Focusing on the collaboration with human teachers (2023) Journal of Research on Technology in Education, 55 (1), pp. 48-63. , –,. Advance online publication; Kasneci, E., Sessler, K., Küchemann, S., Bannert, M., Dementieva, D., Fischer, F., Gasser, U., Kasneci, G., ChatGPT for good? On opportunities and challenges of large language models for education (2023) Learning and Individual Differences, 103, p. 102274. , …; Lee, S., Jeon, J., Visualizing a disembodied agent: Young EFL learners’ perceptions of voice-controlled conversational agents as language partners (2022) Computer Assisted Language Learning, , Advance online publication; Liang, J., Hwang, G., Chen, M.A., Darmawansah, D., Roles and research foci of artificial intelligence in language education: An integrated bibliographic analysis and systematic review approach (2021) Interactive Learning Environments, , Advance online publication; Lin, C., Mubarok, H., Learning analytics for investigating the mind map-guided AI chatbot approach in an EFL flipped speaking classroom (2021) Educational Technology &amp; Society, 24 (4), pp. 16-35; Moher, D., Liberati, A., Terzlaff, J., Altman, D.G., Preferred reporting items for systematic reviews and meta-analyses: The PRISMA statement (2009) BMJ, 339, p. b2535; Morton, H., Jack, M., Speech interactive computer-assisted language learning: A cross-cultural evaluation (2010) Computer Assisted Language Learning, 23 (4), pp. 295-319; Moussalli, S., Cardoso, W., Intelligent personal assistants: Can they understand and be understood by accented L2 learners? (2020) Computer Assisted Language Learning, 33 (8), pp. 865-890; O’Connor, C., Joffe, H., Intercoder reliability in qualitative research: Debates and practical guidelines (2020) International Journal of Qualitative Methods, 19, pp. 1-13; OpenAI, (2023), March 31)., GPT-4., https://openai.com/research/gpt-4; Rospigliosi, P.A., Artificial intelligence in teaching and learning: what questions should we ask of ChatGPT? (2023) Interactive Learning Environments, 31 (1), pp. 1-3; Shadiev, R., Hwang, W., Huang, Y., Review of research on mobile language learning in authentic environments (2017) Computer Assisted Language Learning, 30 (3-4), pp. 284-303; Shadiev, R., Liu, J., Review of research on applications of speech recognition technology to assist language learning (2023) ReCALL, 35 (1), pp. 74-88. , –,. Advance online publication; Tai, T.Y., Effects of intelligent personal assistants on EFL learners’ oral proficiency outside the classroom (2022) Computer Assisted Language Learning, , Advance online publication; Tai, T.Y., Chen, H.H.J., The impact of Google Assistant on adolescent EFL learners’ willingness to communicate (2020) Interactive Learning Environments, , Advance online publication; Tai, T.Y., Chen, H.H.J., The impact of intelligent personal assistants on adolescent EFL learners’ listening comprehension (2022) Computer Assisted Language Learning, , Advance online publication; Tai, T.Y., Chen, H.H.J., The impact of intelligent personal assistants on adolescent EFL learners’ listening comprehension (2022) Computer Assisted Language Learning, , Advance online publication; Timpe-Laughlin, V., Dombi, J., Exploring L2 learners’ request behavior in a multi-turn conversation with a fully automated agent (2020) Intercultural Pragmatics, 17 (2), pp. 221-257; Timpe-Laughlin, V., Sydorenko, T., Daurio, P., Using spoken dialogue technology for L2 speaking practice: What do teachers think? (2022) Computer Assisted Language Learning, 35 (5-6), pp. 1194-1217; Timpe-Laughlin, V., Sydorenko, T., Dombi, J., Human versus machine: Investigating L2 learner output in face-to-face versus fully automated role-plays (2022) Computer Assisted Language Learning, , Advance online publication; van Doremalen, J., Boves, L., Colpaert, J., Cucchiarini, C., Strik, H., Evaluating automatic speech recognition-based language learning systems: A case study (2016) Computer Assisted Language Learning, 29 (4), pp. 833-851; Wang, X., Liu, Q., Pang, H., Tan, S.C., Lei, J., Wallace, M.P., Li, L., What matters in AI-supported learning: A study of human-AI interactions in language learning using cluster analysis and epistemic network analysis (2022) Computers &amp; Education, , Advance online publication; Wang, X., Pang, H., Wallace, M.P., Wang, Q., Chen, W., Learners’ perceived AI presences in AI-supported language learning: A study of AI as a humanized agent from community of inquiry (2022) Computer Assisted Language Learning, , Advance online publication; Weizenbaum, J., ELIZA—A computer program for the study of natural language communication between man and machine (1966) Communications of the ACM, 9 (1), pp. 36-45; Xie, H., Chu, H., Hwang, G., Wang, C., Trends and development in technology-enhanced adaptive/personalized learning: A systematic review of journal publications from 2007 to 2017 (2019) Computers &amp; Education, 140, p. 103599; Xu, W., Zammit, K., Applying thematic analysis to education: A hybrid approach to interpreting data in practitioner research (2020) International Journal of Qualitative Methods, 19, pp. 1-9; Xu, Y., Aubele, J., Vigil, V., Bustamante, A.S., Kim, Y., Warschauer, M., Dialogue with a conversational agent promotes children’s story comprehension via enhancing engagement (2022) Child Development, 93 (2), pp. 149-167; Xu, Y., Wang, D., Collins, P., Lee, H., Warschauer, M., Same benefits, different communication patterns: Comparing children’s reading with a conversational agent vs. a human partner (2021) Computers &amp; Education, 161, p. 104059; Yang, C.T., Lai, S., Chen, H.H., The impact of intelligent personal assistants on learners’ autonomous learning of second language listening and speaking (2022) Interactive Learning Environments, , Advance online publication; Yang, H., Kim, H., Lee, J., Shin, D., Implementation of an AI chatbot as an English conversation partner in EFL speaking classes (2022) ReCALL, 34 (3), pp. 327-343; Zhang, Y., (2023), March)., Universal Speech Model (USM): State-of-the-art speech AI for 100+ languages,. Google Research. https://ai.googleblog.com/2023/03/universal-speech-model-usm-state-of-art.html</t>
  </si>
  <si>
    <t>artificial intelligence‌; automatic speech recognition; Chatbot; ChatGPT‌; computer-assisted language learning; intelligent personal assistant; language learning; large language model</t>
  </si>
  <si>
    <t>Chatbot research has received growing attention due to the rapid diversification of chatbot technology, as demonstrated by the emergence of large language models (LLMs) and their integration with automatic speech recognition. However, among various chatbot types, speech-recognition chatbots have received limited attention in relevant research reviews, despite their increasing potential for language learning. To fill this gap, 32 empirical studies on speech-recognition chatbots for language learning were reviewed. The following information was reviewed for each study: basic publication information, research focus, location of chatbot use, methodology, group design format, participant information, intervention duration, target language, device type adopted, and chatbot role. An upward trend in research quantity starting in 2020 was identified, which accelerated exponentially in 2022. College students were more likely than other groups to be involved in research, and English as a second or foreign language was the most common target language. Most studies focused on participants’ perceptions of chatbots and the degree to which using chatbots helped them develop their speaking or listening proficiency. Methodologically, single-chatbot design using mixed methods was the most common design format, and most studies were conducted for more than one month in laboratory or classroom settings. Conventional mobile devices, such as smartphones, tablet PCs, and smart speakers without a screen, were the most frequently adopted device types. The chatbots’ most common role was as conversational partner. A detailed discussion of these results and their implications for future research on speech-recognition chatbots, particularly regarding the use of LLM-powered chatbots, is provided. © 2023 Informa UK Limited, trading as Taylor &amp; Francis Group.</t>
  </si>
  <si>
    <t>Jeon, J., Department of Literacy, Culture, and Language Education, Indiana University, Bloomington, IN, United States; Lee, S., Department of English Education, Hannam University, Daejeon, South Korea; Choi, S., Department of Computer Science and Engineering, Korea University, Seoul, South Korea</t>
  </si>
  <si>
    <t>Department of Literacy, Culture, and Language Education, Indiana University, Bloomington, IN, United States; Department of English Education, Hannam University, Daejeon, South Korea; Department of Computer Science and Engineering, Korea University, Seoul, South Korea</t>
  </si>
  <si>
    <t>https://www.scopus.com/inward/record.uri?eid=2-s2.0-85156161566&amp;doi=10.1080%2f10494820.2023.2204343&amp;partnerID=40&amp;md5=91afd2a0040ba2bb097b155a5826f1bf</t>
  </si>
  <si>
    <t>10.1080/10494820.2023.2204343</t>
  </si>
  <si>
    <t>Interactive Learning Environments</t>
  </si>
  <si>
    <t>A systematic review of research on speech-recognition chatbots for language learning: Implications for future directions in the era of large language models</t>
  </si>
  <si>
    <t>57297507600;57211663210;57224970347;</t>
  </si>
  <si>
    <t>Jeon J., Lee S., Choi S.</t>
  </si>
  <si>
    <t>Chen, G.; Centre for Learning Analytics, Australia; email: guanliang.chen@monash.edu</t>
  </si>
  <si>
    <t>(2022), Aydın, Ö., &amp; Karaarslan, E. OpenAI ChatGPT generated literature review: Digital twin in healthcare. Available at SSRN 4308687; Boud, D., Keogh, R., Walker, D., Promoting reflection in learning: A model (1985) Boundaries of adult learning 1, pp. 32-56; Brown, T., Mann, B., Ryder, N., Subbiah, M., Kaplan, J.D., Dhariwal, P., Neelakantan, A., Askell, A., Language models are few-shot learners (2020) Advances in Neural Information Processing Systems, 33, pp. 1877-1901; Castelvecchi, D., Are ChatGPT and AlphaCode going to replace programmers? (2022) Nature; Cavalcanti, A.P., Barbosa, A., Carvalho, R., Freitas, F., Tsai, Y.S., Gašević, D., Mello, R.F., Automatic feedback in online learning environments: A systematic literature review (2021) Computers and Education: Artificial Intelligence, 2; Charon, R., Hermann, M.N., A sense of story, or why teach reflective writing? Academic medicine (2012) Journal of the Association of American Medical Colleges, 87, p. 5; Choi, J.H., Hickman, K.E., Monahan, A., Schwarcz, D., (2023), Chatgpt goes to law school. Available at SSRN; Das, D., Kumar, N., Longjam, L.A., Sinha, R., Roy, A.D., Mondal, H., Gupta, P., Assessing the capability of chatgpt in answering first- and second-order knowledge questions on microbiology as per competency-based medical education curriculum (2023) Cureus, 15; Dennison, W.F., Kirk, R., (1990), Do, review, learn, apply: A simple guide to experiential learning. Blackwell Education; Devlin, J., Chang, M.W., Lee, K., Toutanova, K., Bert: Pre-training of deep bidirectional transformers for language understanding (2018), arXiv preprint; Dewey, J., How we think: A restatement of the relation of reflective thinking to the educative process (1933) American Journal of Psychology, 46, p. 528; Dong, C., Li, Y., Gong, H., Chen, M., Li, J., Shen, Y., Yang, M., A survey of natural language generation (2022) ACM Computing Surveys, 55, pp. 1-38; Driscoll, J., Practising clinical supervision: A reflective approach for healthcare professionals (2006), Elsevier Health Sciences; Gardner, J., Yang, Y., Baker, R.S., Brooks, C., Modeling and experimental design for mooc dropout prediction: A replication perspective (2019) EDM, , Springer; Gilson, A., Safranek, C.W., Huang, T., Socrates, V., Chi, L., Taylor, R.A., Chartash, D., How does chatgpt perform on the United States medical licensing examination? The implications of large language models for medical education and knowledge assessment (2023) JMIR Medical Education, 9; Goldberg, L.R., An alternative “description of personality”: The big-five factor structure (1990) Journal of personality and social psychology, 59, p. 1216; Gu, X., Yoo, K.M., Lee, S.W., Response generation with context-aware prompt learning (2021), arXiv preprint; He, P., Liu, X., Gao, J., Chen, W., Deberta: Decoding-enhanced bert with disentangled attention (2020), arXiv preprint; Hou, Y., Dong, H., Wang, X., Li, B., Che, W., Metaprompting: Learning to learn better prompts (2022), arXiv preprint; Hu, G., Challenges for enforcing editorial policies on ai-generated papers (2023) Accountability in Research, pp. 1-3; Huh, S., Are chatgpt's knowledge and interpretation ability comparable to those of medical students in Korea for taking a parasitology examination?: A descriptive study (2023) Journal of Educational Evaluation for Health Professions, 20, p. 1; King, T., Development of student skills in reflective writing (2002) 4th ICED; Kolb, D., Experiential learning: Experience as the source of learning and development, Vol. 1 (1984); Kung, T.H., Cheatham, M., Medinilla, A., Sillos, C., De Leon, L., Elepano, C., Madriaga, M., Maningo, J., (2022), Performance of ChatGPT on USMLE: Potential for AI-assisted medical education using large language models. medRxiv; Kurdi, G., Leo, J., Parsia, B., Sattler, U., Al-Emari, S., A systematic review of automatic question generation for educational purposes (2020) International Journal of Artificial Intelligence in Education, 30, pp. 121-204; Lew, M.D., Schmidt, H.G., Self-reflection and academic performance: Is there a relationship? (2011) Advances in Health Sciences Education, 16, pp. 529-545; Liu, J., Shen, D., Zhang, Y., Dolan, B., Carin, L., Chen, W., What makes good in-context examples for gpt-3? (2021), arXiv preprint; Liu, Y., Ott, M., Goyal, N., Du, J., Joshi, M., Chen, D., Levy, O., Stoyanov, V., Roberta: A robustly optimized bert pretraining approach (2019), arXiv preprint; Macdonald, C., Adeloye, D., Sheikh, A., Rudan, I., Can chatgpt draft a research article? An example of population-level vaccine effectiveness analysis (2023) Journal of Global Health, 13; Mann, K., Gordon, J., MacLeod, A., Reflection and reflective practice in health professions education: A systematic review (2009) Advances in health sciences education, 14, pp. 595-621; Mezirow, J., Transformative dimensions of adult learning (1991), ERIC London, England; OpenAI (2023), https://beta.openai.com/ai-text-classifier; Pavlik, J.V., Collaborating with ChatGPT: Considering the implications of generative artificial intelligence for journalism and media education (2023) Journalism &amp; Mass Communication Educator, , 10776958221149577; Radford, A., Wu, J., Child, R., Luan, D., Amodei, D., Sutskever, I., Language models are unsupervised multitask learners (2019) OpenAI Blog, 1, p. 9; Raković, M., Bernacki, M.L., Greene, J.A., Plumley, R.D., Hogan, K.A., Gates, K.M., Panter, A.T., Examining the critical role of evaluation and adaptation in self-regulated learning (2022) Contemporary Educational Psychology, 68; Ryan, M., Improving reflective writing in higher education: A social semiotic perspective (2011) Teaching in Higher Education, 16, pp. 99-111; Sen, B.A., Reflective writing: A management skill (2010) Library Management; Sha, L., Rakovic, M., Li, Y., Whitelock-Wainwright, A., Carroll, D., Gaševic, D., Chen, G., Which hammer should I use? A systematic evaluation of approaches for classifying educational forum posts (2021) International Educational Data Mining Society; Sha, L., Raković, M., Lin, J., Guan, Q., Whitelock-Wainwright, A., Gašević, D., Chen, G., Is the latest the greatest? A comparative study of automatic approaches for classifying educational forum posts (2022) IEEE Transactions on Learning Technologies; Sharples, M., Automated essay writing: An aied opinion (2022) International Journal of Artificial Intelligence in Education, 32, pp. 1119-1126; Sinha, R.K., Roy, A.D., Kumar, N., Mondal, H., Sinha, R., Applicability of chatgpt in assisting to solve higher order problems in pathology (2023) Cureus, 15; Srivastava, P., Ganu, T., Guha, S., Towards zero-shot and few-shot table question answering using gpt-3 (2022), arXiv preprint; Stokel-Walker, C., AI bot chatgpt writes smart essays-should academics worry? (2022) Nature; Sundararajan, M., Taly, A., Yan, Q., Axiomatic attribution for deep networks (2017) International conference on machine learning, pp. 3319-3328. , PMLR; Susnjak, T., Chatgpt: The end of online exam integrity? (2022), arXiv preprint; Tang, T., Li, J., Zhao, W.X., Wen, J.R., Context-tuning: Learning contextualized prompts for natural language generation (2022), arXiv preprint; Tsingos, C., Bosnic-Anticevich, S., Lonie, J.M., Smith, L., A model for assessing reflective practices in pharmacy education (2015) American journal of pharmaceutical education, 79; Wang, Z., Valdez, J., Basu Mallick, D., Baraniuk, R.G., Towards human-like educational question generation with large language models (2022) International conference on artificial intelligence in education, pp. 153-166. , Springer; Wenzlaff, K., Spaeth, S., Smarter than humans? Validating how openai's chatgpt model explains crowdfunding, alternative finance and community finance (2022) Validating how OpenAI's ChatGPT model explains crowdfunding, alternative finance and community finance, December 22, 2022; Wollny, S., Schneider, J., Di Mitri, D., Weidlich, J., Rittberger, M., Drachsler, H., Are we there yet?-a systematic literature review on chatbots in education (2021) Frontiers in artificial intelligence, 4; Yan, L., Sha, L., Zhao, L., Li, Y., Martinez-Maldonado, R., Chen, G., Li, X., Gašević, D., Practical and ethical challenges of large language models in education: A systematic literature review (2023), arXiv preprint; Yu, F., Quartey, L., Schilder, F., Legal prompting: Teaching a language model to think like a lawyer (2022), arXiv preprint; Zhang, Z., Zhang, A., Li, M., Smola, A., Automatic chain of thought prompting in large language models (2022), arXiv preprint</t>
  </si>
  <si>
    <t>Li, Y., Centre for Learning Analytics, Monash University, Australia; Sha, L., Centre for Learning Analytics, Monash University, Australia; Yan, L., Centre for Learning Analytics, Monash University, Australia; Lin, J., Centre for Learning Analytics, Monash University, Australia; Raković, M., Centre for Learning Analytics, Monash University, Australia; Galbraith, K., Experiential Development and Graduate Education, Faculty of Pharmacy and Pharmaceutical Sciences, Monash University, Australia; Lyons, K., Centre for Digital Transformation of Health, University of Melbourne, Australia; Gašević, D., Centre for Learning Analytics, Monash University, Australia; Chen, G., Centre for Learning Analytics, Monash University, Australia</t>
  </si>
  <si>
    <t>58449430000;57270628400;57222734702;57211753281;57190194054;8581449700;54888691500;8549413500;57189380941;</t>
  </si>
  <si>
    <t>Li Y., Sha L., Yan L., Lin J., Raković M., Galbraith K., Lyons K., Gašević D., Chen G.</t>
  </si>
  <si>
    <t>Thirunavukarasu, A.J.; University of Cambridge School of Clinical Medicine, Box 111 Cambridge Biomedical Campus, United Kingdom; email: ajt205@cantab.ac.uk</t>
  </si>
  <si>
    <t>Esteva, A, Robicquet, A, Ramsundar, B, Kuleshov, V, DePristo, M, Chou, K, A guide to deep learning in healthcare (2019) Nat Med, 25 (1), pp. 24-29. , Jan 7; [doi] [Medline: 30617335]; Brown, TB, Mann, B, Ryder, N, Subbiah, M, Kaplan, J, Dhariwal, P, Language models are few-shot learners (2020) 2020 Presented at: 34th Conference on Neural Information Processing Systems (NeurIPS 2020), , https://papers.nips.cc/paper_files/paper/2020/file/1457c0d6bfcb4967418bfb8ac142f64a-Paper.pdf, December 6-12, Vancouver, BC; Parmar, P, Ryu, J, Pandya, S, Sedoc, J, Agarwal, S., Health-focused conversational agents in person-centered care: a review of apps (2022) NPJ Digit Med, 5 (1), p. 21. , Feb 17; [FREE Full _text] [doi] [Medline: 35177772]; James, CA, Wheelock, K, Woolliscroft, J., Machine learning: the next paradigm shift in medical education (2021) Acad Med, 96 (7), pp. 954-957. , Jul 01; [doi] [Medline: 33496428]; Kung, TH, Cheatham, M, Medenilla, A, Sillos, C, De Leon, L, Elepaño, C, Performance of ChatGPT on USMLE: potential for AI-assisted medical education using large language models (2023) PLOS Digit Health, 2 (2), p. e0000198. , Feb 9; [FREE Full text] [doi] [Medline: 36812645]; Nori, H, King, N, McKinney, SM, Carignan, D, Horvitz, E., Capabilities of GPT-4 on medical challenge problems, , arXiv. Preprint posted online March 20, 2023. [FREE Full _text]; Majeed, A., Shortage of general practitioners in the NHS (2017) BMJ, 358, p. j3191. , Jul 10;: [FREE Full _text] [doi] [Medline: 28694250]; Sturmberg, JP, O'Halloran, DM, McDonnell, G, Martin, CM., General practice work and workforce: interdependencies between demand, supply and quality (2018) Aust J Gen Pract, 47 (8), pp. 507-513. , Aug 01; [doi]; Razai, MS, Majeed, A., General practice in England: the current crisis, opportunities, and challenges (2022) J Ambul Care Manage, 45 (2), pp. 135-139. , [doi] [Medline: 35202030]; Marchand, C, Peckham, S., Addressing the crisis of GP recruitment and retention: a systematic review (2017) Br J Gen Pract, 67 (657), pp. e227-e237. , Mar 13; [doi]; Nussbaum, C, Massou, E, Fisher, R, Morciano, M, Harmer, R, Ford, J., Inequalities in the distribution of the general practice workforce in England: a practice-level longitudinal analysis (2021) BJGP Open, 5 (5). , Aug 17; BJGPO.2021.0066. [doi]; SelfTest, GP, Royal College of General Practitioners, , https://elearning.rcgp.org.uk/course/index.php?categoryid=56, [accessed 2023-02-15]; MRCGP Applied Knowledge Test. Royal College of General Practitioners, , https://www.mysurgerywebsite.co.uk/website/IGP604/files/MRCGP%20AKT%20questions%20with%20answers.pdf, [accessed 2023-02-15]; (2019) Royal College of General Practitioners, , https://gp-training.hee.nhs.uk/cornwall/wp-content/uploads/sites/86/2021/04/RCGP-Sample-questions-2019-with-answers.pdf, [accessed 2023-02-15]; MRCGP: Applied Knowledge Test (AKT), , https://www.rcgp.org.uk/mrcgp-exams/applied-knowledge-test, Royal College of General Practitioners. [accessed 2023-02-15]; Gilson, A, Safranek, CW, Huang, T, Socrates, V, Chi, L, Taylor, RA, How Does ChatGPT Perform on the United States Medical Licensing Examination? The implications of large language models for medical education and knowledge assessment (2023) JMIR Med Educ, 9, p. e45312. , Feb 08;: [FREE Full _text] [doi] [Medline: 36753318]; Singhal, K, Azizi, S, Tu, T, Madhavi, SS, Wei, J, Chung, HW, (2022) Large language models encode clinical knowledge, , arXiv. Preprint posted online December 26, [doi]; Levine, DM, Tuwani, R, Kompa, B, Varma, A, Finlayson, SG, Mehrotra, A, The diagnostic and triage accuracy of the GPT-3 artificial intelligence model (2023), medRxiv.:5067 Preprint posted online February 1, [FREE Full _text] [doi] [Medline: 36778449]; Nov, O, Singh, N, Mann, DM., Putting ChatGPT’s medical advice to the (Turing) test (2023) medRxiv, , Preprint posted online January 24, [doi]; Koman, J, Fauvelle, K, Schuck, S, Texier, N, Mebarki, A., Physicians' perceptions of the use of a chatbot for information seeking: qualitative study (2020) J Med Internet Res, 22 (11), p. e15185. , Nov 10; [FREE Full _text] [doi] [Medline: 33170134]; Buck, C, Doctor, E, Hennrich, J, Jöhnk, J, Eymann, T., General practitioners' attitudes toward artificial intelligence-enabled systems: interview study (2022) J Med Internet Res, 24 (1), p. e28916. , Jan 27; [FREE Full _text] [doi] [Medline: 35084342]; Gunasekeran, DV, Tham, Y, Ting, DSW, Tan, GSW, Wong, TY., Digital health during COVID-19: lessons from operationalising new models of care in ophthalmology (2021) Lancet Digit Health, 3 (2), pp. e124-e134. , Feb; [doi]; Fletcher, E, Burns, A, Wiering, B, Lavu, D, Shephard, E, Hamilton, W, Workload and workflow implications associated with the use of electronic clinical decision support tools used by health professionals in general practice: a scoping review (2023) BMC Prim Care, 24 (1), p. 23. , Jan 20; [FREE Full _text] [doi] [Medline: 36670354]; Tossaint-Schoenmakers, R, Versluis, A, Chavannes, N, Talboom-Kamp, E, Kasteleyn, M., The challenge of integrating eHealth into health care: systematic literature review of the Donabedian model of structure, process, and outcome (2021) J Med Internet Res, 23 (5), p. e27180. , May 10; [FREE Full _text] [doi] [Medline: 33970123]; Kremer, L, Lipprandt, M, Röhrig, R, Breil, B., Examining mental workload relating to digital health technologies in health care: systematic review (2022) J Med Internet Res, 24 (10), p. e40946. , Oct 28; [FREE Full _text] [doi] [Medline: 36306159]; Chung, HW, Hou, L, Longpre, S, Zoph, B, Tay, Y, Fedus, W, (2022) Scaling instruction-finetuned language models, , arXiv. Preprint posted online October 20, [doi]; Ford, E, Oswald, M, Hassan, L, Bozentko, K, Nenadic, G, Cassell, J., Should free-text data in electronic medical records be shared for research? A citizens' jury study in the UK (2020) J Med Ethics, 46 (6), pp. 367-377. , Jun 26; [FREE Full _text] [doi] [Medline: 32457202]; Matias, Y, Corrado, G., Our latest health AI research updates (2023) The Keyword. Google, , https://blog.google/technology/health/ai-llm-medpalm-research-thecheckup/, [accessed 2023-03-16]; Thirunavukarasu, AJ, Hassan, R, Limonard, A, Savant, SV., Accuracy and reliability of self-administered visual acuity tests: systematic review of pragmatic trials (2023) medRxiv, , Preprint posted online February 3, [doi]; Milne-Ives, M, de Cock, C, Lim, E, Shehadeh, MH, de Pennington, N, Mole, G, The effectiveness of artificial intelligence conversational agents in health care: systematic review (2020) J Med Internet Res, 22 (10), p. e20346. , Oct 22; [FREE Full _text] [doi] [Medline: 33090118]; Malamas, N, Papangelou, K, Symeonidis, AL., Upon improving the performance of localized healthcare virtual assistants (2022) Healthcare (Basel), 10 (1), p. 99. , Jan 04; [FREE Full _text] [doi] [Medline: 35052263]</t>
  </si>
  <si>
    <t>AJT and SS extend their thanks to Dr Sandip Pramanik for his advice and tutelage.</t>
  </si>
  <si>
    <t>Thirunavukarasu, A.J., University of Cambridge School of Clinical Medicine, Cambridge, United Kingdom; Hassan, R., University of Cambridge School of Clinical Medicine, Cambridge, United Kingdom; Mahmood, S., University of Cambridge School of Clinical Medicine, Cambridge, United Kingdom; Sanghera, R., University of Cambridge School of Clinical Medicine, Cambridge, United Kingdom; Barzangi, K., University of Cambridge School of Clinical Medicine, Cambridge, United Kingdom; El Mukashfi, M., University of Cambridge School of Clinical Medicine, Cambridge, United Kingdom; Shah, S., Attenborough Surgery, Bushey Medical Centre, Bushey, United Kingdom</t>
  </si>
  <si>
    <t>57219669690;57243967600;58284312900;57923732000;57779567100;58284149400;58283347000;</t>
  </si>
  <si>
    <t>Thirunavukarasu A.J., Hassan R., Mahmood S., Sanghera R., Barzangi K., El Mukashfi M., Shah S.</t>
  </si>
  <si>
    <t>Giannos, P.; Department of Life Sciences, South Kensington, United Kingdom; email: panagiotis.giannos19@imperial.ac.uk</t>
  </si>
  <si>
    <t>Khurana, D, Koli, A, Khatter, K, Singh, S., Natural language processing: state of the art, current trends and challenges (2023) Multimed Tools Appl, 82 (3), pp. 3713-3744. , [FREE Full _text] [doi] [Medline: 35855771]; Smith, K., Microsoft teams up with OpenAI to exclusively license GPT-3 language model, , https://blogs.microsoft.com/blog/2020/09/22/microsoft-teams-up-with-openai-to-exclusively-license-gpt-3-language-model/, Official Microsoft Blog. [accessed 2023-04-11]; Nagarhalli, TP, Vaze, V, Rana, N., A review of current trends in the development of chatbot systems (2020) Proceedings of the 6th International Conference on Advanced Computing and Communication Systems. 2020 Presented at: 6th International Conference on Advanced Computing and Communication Systems (ICACCS), pp. 706-710. , March 6-7, Coimbatore, India [doi]; Arif, TB, Munaf, U, Ul-Haque, I., The future of medical education and research: Is ChatGPT a blessing or blight in disguise? (2023) Med Educ Online, 28 (1), p. 2181052. , Dec; [FREE Full _text] [doi] [Medline: 36809073]; Gilson, A, Safranek, CW, Huang, T, Socrates, V, Chi, L, Taylor, RA, How does ChatGPT perform on the United States medical licensing examination? the implications of large language models for medical education and knowledge assessment (2023) JMIR Med Educ, 9, p. e45312. , Feb 08;: [FREE Full _text] [doi] [Medline: 36753318]; Kung, TH, Cheatham, M, Medenilla, A, Sillos, C, De Leon, L, Elepaño, C, Performance of ChatGPT on USMLE: Potential for AI-assisted medical education using large language models (2023) PLOS Digit Health, 2 (2), p. e0000198. , Feb; [FREE Full text] [doi] [Medline: 36812645]; Sabry Abdel-Messih, M, Kamel Boulos, MN., ChatGPT in clinical toxicology (2023) JMIR Med Educ, 9, p. e46876. , Mar 08;: [FREE Full _text] [doi] [Medline: 36867743]; Jeblick, K, Schachtner, B, Dexl, J, Mittermeier, A, Stüber, AT, Topalis, J, ChatGPT makes medicine easy to swallow: an exploratory case study on simplified radiology reports (2022), ArXiv Preprint posted online Dec 30, [doi]</t>
  </si>
  <si>
    <t>Giannos, P., Department of Life Sciences, Faculty of Natural Sciences, Imperial College London, London, United Kingdom, Promotion of Emerging and Evaluative Research Society, London, United Kingdom; Delardas, O., Promotion of Emerging and Evaluative Research Society, London, United Kingdom</t>
  </si>
  <si>
    <t>57221354507;57605882200;</t>
  </si>
  <si>
    <t>Giannos P., Delardas O.</t>
  </si>
  <si>
    <t>Bjork, C., Don’t fret about students using ChatGPT to cheat – AI is a bigger threat to educational equality (2023) The Conversation, , https://theconversation.com/dont-fret-about-students-using-chatgpt-to-cheat-ai-is-a-bigger-threat-to-educational-equality-202842; Cassidy, C., Australian universities to return to ‘pen and paper’ exams after students caught using AI to write essays (2023) The Guardian, , https://www.theguardian.com/australia-news/2023/jan/10/universities-to-return-to-pen-and-paper-exams-after-students-caught-using-ai-to-write-essays, (January 10); (2023) Understand a topic, , https://www.chegg.com/understand-a-topic; Cotton, D., Cotton, P. A., Shipway, J. R., Chatting and cheating: Ensuring academic integrity in the era of ChatGPT (2023) Innovations in Education and Teaching International, pp. 1-12. , https://doi.org/10.1080/14703297.2023.2190148; Crawford, J., Cowling, M., Allen, K., Leadership is needed for ethical ChatGPT: Character, assessment, and learning using artificial intelligence (AI) (2023) Journal of University Teaching and Learning Practice, 20 (3). , https://doi.org/10.53761/1.20.3.02; Dignum, V., The role and challenges of education for responsible AI (2021) London Review of Education, 19 (1). , https://doi.org/10.14324/lre.19.1.01; (2023) World-class AI for education, , https://www.khanacademy.org/khan-labs; Kung, T. H., Cheatham, M., Medenilla, A., Sillos, C., De Leon, L., Elepaño, C., Madriaga, M., Tseng, V., Performance of ChatGPT on USMLE: Potential for AI-assisted medical education using large language models (2023) PLOS Digital Health, 2 (2), p. e0000198. , https://doi.org/10.1371/journal.pdig.0000198; Mahdi, O. R., Nassar, I. A., Almuslamani, H. A. I., The role of using case studies method in improving students’ critical thinking skills in higher education (2020) International Journal of Higher Education, 9 (2), pp. 297-308. , https://doi.org/10.5430/ijhe.v9n2p297; McCallum, B. S., ChatGPT banned in Italy over privacy concerns (2023) BBC News, , https://www.bbc.com/news/technology-65139406, (April 1); Pavlik, J. V., Collaborating With ChatGPT: Considering the implications of generative Artificial Intelligence for journalism and media education (2023) Journalism &amp; Mass Communication Educator, , https://doi.org/10.1177/10776958221149577, 107769582211495; Perkins, M., Academic integrity considerations of AI Large Language Models in the post-pandemic era: ChatGPT and beyond (2023) Journal of University Teaching and Learning Practice, 20 (2). , https://doi.org/10.53761/1.20.02.07; Sanger, C. S., Inclusive pedagogy and universal design approaches for diverse learning environments (2020) Springer eBooks, pp. 31-71. , https://doi.org/10.1007/978-981-15-1628-3_2; Short, C. E., Short, J. C., The artificially intelligent entrepreneur: ChatGPT, prompt engineering, and entrepreneurial rhetoric creation (2023) Journal of Business Venturing Insights, 19, p. e00388. , https://doi.org/10.1016/j.jbvi.2023.e00388; Taylor, A., Nelson, J., O’Donnell, S., Davies, E., Hillary, J., (2022) The skills imperative 2035: What does the literature tell us about essential skills most needed for work?, , Working Paper 1. National Foundation for Educational Research; Tsui, L., Fostering critical thinking through effective pedagogy (2002) The Journal of Higher Education, 73 (6), pp. 740-763. , https://doi.org/10.1080/00221546.2002.11777179; Venaruzzo, L., Ames, K., Leichtweis, S., Embracing AI for student and staff productivity: An ACODE Whitepaper based on the ACODE 88 Workshop and Roundtables (2023), pp. 1-8. , https://www.acode.edu.au/pluginfile.php/13426/mod_resource/content/5/ACODE88-Whitepaper.pdf, ASCILITE Publications</t>
  </si>
  <si>
    <t>Eager, B., University of Tasmania, Australia; Brunton, R., University of Tasmania, Australia</t>
  </si>
  <si>
    <t>57204148635;58305878000;</t>
  </si>
  <si>
    <t>Eager B., Brunton R.</t>
  </si>
  <si>
    <t>(2019) Authorship: A guide supporting the Australian Code for the Responsible Conduct of Research, , National Health and Medical Research Council; Awdry, R., Dawson, P., Sutherland-Smith, W., Contract cheating: To legislate or not to legislate-is that the question? (2022) Assessment &amp; Evaluation in Higher Education, 47 (5), pp. 712-726; Azamfirei, R., Kudchadkar, S., Fackler, J., Large language models and the perils of their hallucinations (2023) Critical Care, 27 (1), pp. 1-2; Bender, E., Gebru, T., McMillan-Major, A., Shmitchell, S., On the Dangers of Stochastic Parrots: Can Language Models Be Too Big? (2021) Proceedings of the 2021 ACM conference on fairness, accountability, and transparency, pp. 610-623. , (March); Booten, K., Making Writing Harder: Computer-Mediated Authorship and the Problem of Care (2020) Proceedings of ELO2020, , Orlando; Crawford, J., Cowling, M., Allen, K. A., Leadership is needed for ethical ChatGPT: Character, assessment, and learning using artificial intelligence (AI) (2023) Journal of University Teaching &amp; Learning Practice, 20 (3), p. 02. , https://doi.org/10.53761/1.20.3.02; Dawson, P., Cognitive offloading and assessment (2020) Reimaging University Assessment in a Digital World, pp. 37-48. , M. Bearman, P. Dawson, R. Ajjawi, J. Tai &amp; D. Boud (eds), Springer; Dawson, P., Sutherland-Smith, W., Can markers detect contract cheating? Results from a pilot study (2018) Assessment &amp; Evaluation in Higher Education, 43 (2), pp. 286-293; Eager, B., Brunton, R., Prompting higher education towards AI-augmented teaching and learning practice (2023) Journal of University Teaching and Learning Practice, 20 (5). , https://doi.org/https://doi.org/10.53761/1.20.5.02; Felzmann, H., Villaronga, E. F., Lutz, C., Tamò-Larrieux, A., Transparency you can trust: Transparency requirements for artificial intelligence between legal norms and contextual concerns (2019) Big Data &amp; Society, 6 (1). , https://doi.org/10.1177/2053951719860542; Ferrucci, D., Levas, A., Bagchi, S., Gondek, D., Mueller, E. T., Watson: beyond jeopardy! (2013) Artificial Intelligence, 199, pp. 93-105; Fowler, G., (2023) We tested a new ChatGPT-detector for teachers, , https://www.washingtonpost.com/technology/2023/04/01/chatgpt-cheating-detection-turnitin/, It flagged an innocent student. Washington Post. Accessed 5 May 2023; (2023) Policymaking in the Pause, , https://futureoflife.org/wp-content/uploads/2023/04/FLI_Policymaking_In_The_Pause.pdf; Hamzaçebi, C., Akay, D., Kutay, F., Comparison of direct and iterative artificial neural network forecast approaches in multi-periodic time series forecasting (2009) Expert Systems With Applications, 36 (2), pp. 3839-3844; Hassabis, D., Artificial intelligence: Chess match of the century (2017) Nature, 544, pp. 413-414; King, M., ChatGPT, A conversation on artificial intelligence, chatbots, and plagiarism in higher education (2023) Cellular and Molecular Bioengineering, 16 (1), pp. 1-2. , https://doi.org/10.1007/s12195-022-00754-8; King, S., (2020) On writing: A memoir of the craft, , Charles Scribner’s &amp; Sons; Lacasse, J. R., Leo, J., Ghostwriting at elite academic medical centers in the United States (2010) PLoS Medicine, 7 (2), p. e1000230; Lodge, J. M., Thompson, K., Corrin, L., Mapping out a research agenda for generative artificial intelligence in tertiary education (2023) Australasian Journal of Educational Technology, 39 (1), pp. 1-8; Liebrenz, M., Schleifer, R., Buadze, A., Bhugra, D., Smith, A., Generating scholarly content with ChatGPT: Ethical challenges for medical publishing (2023) The Lancet Digital Health, 5 (3), pp. e105-e106. , https://doi.org/10.1016/S2589-7500(23)00019-5; McAdoo, T., (2023) How to cite ChatGPT, , https://apastyle.apa.org/blog/how-to-cite-chatgpt, (April 7); McCarthy, J., Minsky, M., Rochester, N., Shannon, C.E., (1955) A proposal for the Dartmouth summer research project on artificial intelligence, , http://jmc.stanford.edu/articles/dartmouth/dartmouth.pdf, Stanford University Papers; Mhlanga, D., Open AI in education, the responsible and ethical use of ChatGPT towards lifelong learning (2023) Education, the Responsible and Ethical Use of ChatGPT Towards Lifelong Learning, , (February 11, 2023); Perkins, M., Academic integrity considerations of AI Large Language Models in the post-pandemic era: ChatGPT and beyond (2023) Journal of University Teaching &amp; Learning Practice, 20 (2), p. 07; Retraction Note: Education and Information Technologies (2021) Education and Information Technologies, 26, pp. 7307-7319. , https://doi.org/10.1007/s10639-021-10588-y; (2023), https://retractionwatch.com/retracted-coronavirus-covid-19-papers/, Retracted coronavirus (COVID-19) papers. Retraction Watch. Accessed 5 April 2023; Rudolph, J., Tan, S., Tan, S., ChatGPT: Bullshit spewer or the end of traditional assessments in higher education? (2023) Journal of Applied Learning &amp; Teaching, 6 (1), pp. 1-22. , https://doi.org/10.37074/jalt.2023.6.1.9; Samuel, A., Some moral and technical consequences of automation—a refutation (1960) Science, 132 (3429), pp. 741-742; Srivastava, M., A day in the life of ChatGPT as an academic reviewer: Investigating the potential of large language model for scientific literature review (2023), https://doi.org/10.31219/osf.10/wydct, (February 17). OSF preprints; Stokel-Walker, C., ChatGPT listed as author on research papers (2023) Nature, 613, pp. 620-621. , Springer; Sullivan, M., Kelly, A., McLaughlan, P., ChatGPT in higher education: Consideration for academic integrity and student learning (2023) Journal of Applied Learning &amp; Teaching, 6 (1). , https://doi.org/10.37074/jalt.2023.6.1.17; Thorp, H. H., ChatGPT is fun, but not an author (2023) Science, 379 (6630), pp. 313-313; (2023) ChatGPT and artificial intelligence in higher education, , https://www.iesalc.unesco.org/wp-content/uploads/2023/04/ChatGPT-and-Artificial-Intelligence-in-higher-education-Quick-Start-guide_EN_FINAL.pdf; van Dis, E. A., Bollen, J., Zuidema, W., van Rooij, R., Bockting, C. L., ChatGPT: Five priorities for research (2023) Nature, 614 (7947), pp. 224-226. , https://doi.org/10.1038/d41586-023-00288-7; Xames, M. D., Shefa, J., ChatGPT for research and publication: Opportunities and challenges (2023) Journal of Applied Learning &amp; Teaching, 6 (1), pp. 1-6. , https://doi.org/10.37074/jalt.2023.6.1.20; (2023) Wikimedia Foundation Annual Plan/2023-2024/Draft/External Trends/Community call notes, , https://meta.wikimedia.org/wiki/Wikimedia_Foundation_Annual_Plan/2023-2024/Draft/External_Trends/Community_call_notes, Wikimedia Meta-Wiki, 8 May 2023, Daryl76679 version; Woods, M., Paulus, T., Atkins, D. P., Macklin, R., Advancing qualitative research using qualitative data analysis software (QDAS)? Reviewing potential versus practice in published studies using ATLAS. ti and NVivo, 1994–2013 (2016) Social Science Computer Review, 34 (5), pp. 597-617</t>
  </si>
  <si>
    <t>Crawford, J., University of Tasmania, Australia; Cowling, M., Central Queensland University, Australia; Ashton-Hay, S., Southern Cross University, Australia; Kelder, J.-A., University of Tasmania, Australia; Middleton, R., University of Wollongong, Australia; Wilson, G.S.</t>
  </si>
  <si>
    <t>57196083515;57188726168;55996197300;8851824900;8985999300;24279153400;</t>
  </si>
  <si>
    <t>Crawford J., Cowling M., Ashton-Hay S., Kelder J.-A., Middleton R., Wilson G.S.</t>
  </si>
  <si>
    <t>Lim, S.; Department of Communication, United States; email: limsue@msu.edu</t>
  </si>
  <si>
    <t>Ahmad, F.B., Anderson, R.N., The leading causes of death in the US for 2020 (2021) Jama, 325, pp. 1829-1830. , 35788262; Amitai, Y., Fisher, N., Haringman, M., Meiraz, H., Baram, N., Leventhal, A., Increased awareness, knowledge and utilization of preconceptional folic acid in Israel following a national campaign (2004) Prev. Med, 39, pp. 731-737. , 15351539; Armstrong, J.S., (2010) Persuasive Advertising: Evidence-Based Principles, , London, Palgrave Macmillan; Atkin, C., Silk, K., “Health communication,” (2008) An Integrated Approach to Communication Theory, , New York, NY, Routledge, eds. D.W. Stacks, M. B. Salwen, and K. C. Eichhorn; Baclic, O., Tunis, M., Young, K., Doan, C., Swerdfeger, H., Schonfeld, J., Challenges and opportunities for public health made possible by advances in natural language processing (2020) Can. Commun. Dis. Rep, 46, pp. 161-168. , 32673380; Bechtel, W., Mechanisms in cognitive psychology: what are the operations? (2008) Philos. Sci, 75, pp. 983-994; Bender, E.M., Koller, A., “Climbing towards NLU: On meaning, form, and understanding in the age of data,” (2020) Proceedings of the 58th Annual Meeting of the Association for Computational Linguistics, , in, (. 5185–5198; Bettinghaus, E.P., Health promotion and the knowledge-attitude-behavior continuum (1986) Prev. Med, 15, pp. 475-491. , 3774779; Blei, D.M., Topic modeling and digital humanities (2012) Digit. Humanit. Q, , 2, 1; Bubeck, S., Chandrasekaran, V., Eldan, R., Gehrke, J., Horvitz, E., Kamar, E., (2023) Sparks of artificial general intelligence: Early experiments with GPT-4. arXiv [Preprint], , https://arxiv.org/abs/2303.12712, Available online at:, (accessed April 20, 2023; (2022) Folic Acid, , https://www.cdc.gov/ncbddd/folicacid/about.html, Available online at:, (accessed October 5, 2022; Chalmers, A.F., (2013) What is This Thing Called Science?, , Indianapolis, Hackett Publishing; Champely, S., (2020) pwr: Basic Functions for Power Analysis, , https://CRAN.R-project.org/package=pwr, Available online at:, (accessed October 15, 2022; Chan, A.K., Nickson, C.P., Rudolph, J.W., Lee, A., Joynt, G.M., Social media for rapid knowledge dissemination: early experience from the COVID-19 pandemic (2020) Anaesth, 75, pp. 1579-1582. , 32227594; Chen, X., Zhou, M., Gong, Z., Xu, W., Liu, X., Huang, T., DNNBrain: A unifying toolbox for mapping deep neural networks and brains (2020) Front. Comput. Neurosci, , 33328946, 14, 580632; Cho, H., (2011) Health Communication Message Design: Theory and Practice, , Thousand Oaks, Sage Publications; Chollet, F., (2021) Deep Learning with Python (2nd ed.), , New York, NY, Manning Publications Co, 37203751; Contractor, D., McDuff, D., Haines, J., Lee, J., Hines, C., Hecht, B., (2020) Behavioral use licensing for responsible AI. arXiv [Preprint], , http://arxiv.org/abs/2011.03116, Available online at:, (accessed October 17, 2022; Craver, C.F., Darden, L., (2013) In Search of Mechanisms: Discoveries Across the Life Sciences, , Chicago, University of Chicago Press; Crowson, K., Biderman, S., Kornis, D., Stander, D., Hallahan, E., Castricato, L., (2022) VQGAN-CLIP: Open Domain Image Generation and Editing With Natural Language Guidance. arXiv [Preprint], , https://www.ecva.net/papers/eccv_2022/papers_ECCV/papers/136970088.pdf, Available online at:, (accessed October 15, 2022; DellaVigna, S., Gentzkow, M., Persuasion: Empirical evidence (2010) Annu. Rev. Econ, 2, pp. 643-669; DeWilde, B., (2020) Textacy: NLP, before and after spaCy, , https://github.com/chartbeat-labs/textacy, Available online at:, (accessed September 10, 2022; Dmochowski, J.P., Bezdek, M.A., Abelson, B.P., Johnson, J.S., Schumacher, E.H., Parra, L.C., Audience preferences are predicted by temporal reliability of neural processing (2014) Nat. Commun, , 25072833, 5, 4567; Dubova, M., Building human-like communicative intelligence: a grounded perspective (2022) Cogn. Syst. Res, 72, pp. 63-79; Fan, A., Lewis, M., Dauphin, Y., (2018) Hierarchical neural story generation. arXiv [Preprint], , http://arxiv.org/abs/1805.04833, Available online at:, (accessed October 15, 2022; Flesch, R., (1946) The Art of Plain Talk, , New York, NY, Harper and Row, Publishers; Flesch, R., A new readability yardstick (1948) J. Appl. Psychol, 32, p. 221. , 18867058, -233; (2012) Vitamin B9, , https://www.hsph.harvard.edu/nutritionsource/folic-acid, Available online at:, (accessed October 15, 2022; Gatt, A., Krahmer, E., Survey of the state of the art in natural language generation: core tasks, applications and evaluation (2018) Int. J. Artif. Intell. Res, 61, pp. 65-170; Geisel, J., Folic acid and neural tube defects in pregnancy: a review (2003) J. Perinat. Neonatal. Nurs, 17, pp. 268-279. , 14655787; Gelernter, D., (2010) The Muse in the Machine: Computerizing the Poetry of Human Thought, , New York, NY, Simon and Schuster; Giles, J., Social science lines up its biggest challenges (2011) Nat, 470, pp. 18-19. , 21293348; Githuku, J.N., Azofeifa, A., Valencia, D., Ao, T., Hamner, H., Amwayi, S., Assessing the prevalence of spina bifida and encephalocele in a Kenyan hospital from 2005-2010: Implications for a neural tube defects surveillance system (2014) Pan. Afr. Med. J, , 26113894, 18, 60; Gomes, S., Lopes, C., Pinto, E., Folate and folic acid in the periconceptional period: recommendations from official health organizations in thirty-six countries worldwide and WHO (2016) Public Health Nutr, 19, pp. 176-189. , 25877429; Goodfellow, I., Bengio, Y., Courville, A., (2016) Deep Learning, , Cambridge, MIT Press; Gough, A., Hunter, R.F., Ajao, O., Jurek, A., McKeown, G., Hong, J., Tweet for behavior change: Using social media for the dissemination of public health messages (2017) JMIR Public Health Surveill, , 28336503, 3, e6313; Greene, J.O., (2013) Message Production: Advances in Communication Theory, , New York, NY, Routledge; Green-Raleigh, K., Carter, H., Mulinare, J., Prue, C., Petrini, J., Trends in folic acid awareness and behavior in the United States: the gallup organization for the march of dimes foundation surveys, 1995–2005 (2006) Matern. Child Health J, 10, pp. 177-182. , 16823638; Greenwald, A.G., There is nothing so theoretical as a good method (2012) Perspect. Psychol. Sci, 7, pp. 99-108. , 26168438; Hancock, J.T., Naaman, M., Levy, K., AI-mediated communication: Definition, research agenda, and ethical considerations (2020) J. Comput. Mediat. Commun, 25, pp. 89-100; Harrington, N.G., Introduction to the special issue: Message design in health communication research (2015) Health Commun, 30, pp. 103-105. , 25470434; Harrington, N.G., Persuasive health message design (2016) ORE of Commun, 13, p. 7; Hassabis, D., Kumaran, D., Summerfield, C., Botvinick, M., Neuroscience-inspired artificial intelligence (2017) Neuron, 95, pp. 245-258. , 28728020; Hirschberg, J., Manning, C.D., Advances in natural language processing (2015) Science, 349, pp. 261-266. , 26185244; Hodgkinson, G.P., Langan-Fox, J., Sadler-Smith, E., Intuition: a fundamental bridging construct in the behavioural sciences (2008) Br. J. Psychol, 99, pp. 1-27. , 17559716; Holtzman, A., Buys, J., Du, L., Forbes, M., Choi, Y., (2019) The curious case of neural text degeneration. arXiv [Preprint], , http://arxiv.org/abs/1904.09751, Available online at:, (accessed October 2, 2022; Hornik, K., Grün, B., Topicmodels: an R package for fitting topic models (2011) J. Stat. Softw, 40, pp. 1-30; Huskey, R., Turner, B.O., Weber, R., Individual differences in brain responses: new opportunities for tailoring health communication campaigns (2020) Front. Hum. Neurosci, , 33343317, 14, 565973; Hutto, C., Gilbert, E., VADER: a parsimonious rule-based model for sentiment analysis of social media text (2014) Proc. Int. AAAI Conf. Weblogs Soc. Media, 8, pp. 216-225; Karinshak, E., Liu, S.X., Park, J.S., Hancock, J.T., Working with AI to persuade: Examining a large language model's ability to generate pro-vaccination messages (2023) Proc. ACM Hum. Comput. Interact (CSCW), , 23, 52; Keskar, N.S., McCann, B., Varshney, L.R., Xiong, C., Socher, R., (2019) CTRL: A Conditional Transformer Language Model for Controllable Generation. arXiv [Preprint], , http://arxiv.org/abs/1909.05858, Available online at:, (accessed August 31, 2022; Kim, H.S., Attracting views and going viral: How message features and news-sharing channels affect health news diffusion (2015) J. Commun, 65, pp. 512-534. , 26441472; Kim, M., Cappella, J.N., An efficient message evaluation protocol: two empirical analyses on positional effects and optimal sample size (2019) J. Health Commun, 24, pp. 761-769. , 31543057; Kreps, S.E., McCain, M., Brundage, M., All the news that's fit to fabricate: AI-generated text as a tool of media misinformation (2020) J. Exp. Political Sci, 9, pp. 104-117; Lake, B.M., Ullman, T.D., Tenenbaum, J.B., Gershman, S.J., Building machines that learn and think like people (2017) Behav. Brain Sci, , 27881212, 40, e253; Lapinski, M.K., Rimal, R.N., An explication of social norms (2005) Commun. Theory, 15, pp. 127-147; Laurençon, H., Saulnier, L., Wang, T., Akiki, C., Villanova del Moral, A., Le Scao, T., “The bigscience roots corpus: A 1.6 tb composite multilingual dataset,” (2022) Advances in Neural Information Processing Systems, Vol. 35, pp. 31809-31826. , in, p; LeCun, Y., Bengio, Y., Hinton, G., Deep learning (2015) Nature, , 26017442, 521, 7553,7436; Lee, E.W., Zheng, H., Goh, D.H.L., Lee, C.S., Theng, Y.L., Examining COVID-19 tweet diffusion using an integrated social amplification of risk and issue-attention cycle framework (2023) Health Commun, 2, pp. 1-14. , 36746920; Lin, Z., Riedl, M., (2021) Plug-and-blend: A framework for Controllable Story Generation With Blended Control Codes. arXiv [Preprint], , http://arxiv.org/abs/2104.04039, Available online at:, (accessed October 15, 2022; Liu, P., Yuan, W., Fu, J., Jiang, Z., Hayashi, H., Neubig, G., Pre-train, prompt, and predict: a systematic survey of prompting methods in natural language processing (2023) ACM Comput. Surv, 55, pp. 1-35; Marcus, G., Davis, E., (2019) Rebooting AI: Building Artificial Intelligence We Can Trust, , New York, NY, Pantheon Books; Matthew, H., Montani, I., van Landeghem, S., Boyd, A., spaCy: Industrial-strength Natural Language Processing in Python (2020) Zenodo; McGuire, W.J., “Input and output variables currently promising for constructing persuasive communications,” (2001) The Public Communication Campaigns, pp. 22-48. , Los Angeles, CA, Sage Publications, Inc., eds. R. E. Rice and C. K. Atkin; Medawar, G., Wehbe, T., Jaoude, E.A., Awareness and use of folic acid among women of childbearing age (2019) Ann. Glob. Health, , 33209187, 85, 1; Miller, G., Boster, F., Roloff, M., Seibold, D., Compliance-gaining message strategies: a typology and some findings concerning effects of situational differences (1977) Commun. Monograph, 44, pp. 37-51; Misri, I., (2021) How to Set Sampling Temperature for GPT Models, , https://medium.com/@imisri1/how-to-set-sampling-temperature-for-gpt-models-762887df1fac, Available online at:, (accessed October 15, 2022; Mitchell, M., (2019) Artificial Intelligence: A Guide for Thinking Humans, , London, Penguin UK; Mokdad, A.H., Marks, J.S., Stroup, D.F., Gerberding, J.L., Actual causes of death in the United States, 2000 (2004) JAMA, 291, pp. 1238-1245. , 15657315; Morse, A., (2022) ‘Stable fertility rates 1990-2019 mask distinct variations by age', United States Census Bureau, , https://www.census.gov/library/stories/2022/04/fertility-rates-declined-for-younger-women-increased-for-older-women.html, Available online at:, (accessed April 5, 2023; Nabi, R.L., Walter, N., Oshidary, N., Endacott, C.G., Love-Nichols, J., Lew, Z.J., Can emotions capture the elusive gain-loss framing effect? a meta-analysis (2020) Commun. Res, 47, pp. 1107-1130; Noar, S.M., Benac, C.N., Harris, M.S., Does tailoring matter? meta-analytic review of tailored print health behavior change interventions (2007) Psychol. Bull, 133, pp. 673-693. , 17592961; O'Keefe, D.J., (2015) Persuasion: Theory and Research, , London, Sage Publications; O'Keefe, D.J., Hoeken, H., Message design choices don't make much difference to persuasiveness and can't be counted on-not even when moderating conditions are specified (2021) Front. Psychol, , 34267703, 12, 664160; Palan, S., Schitter, C., Prolific. ac—A subject pool for online experiments (2018) J. Behav. Exp. Finance, 17, pp. 22-27; Pei, R., Schmälzle, R., Kranzler, E.C., O'Donnell, M.B., Falk, E.B., Adolescents' neural response to tobacco prevention messages and sharing engagement (2019) Am. J. Prev. Med, 56, pp. S40-S48. , 30661524; Petty, R.E., Cacioppo, J.T., Petty, R.E., Cacioppo, J.T., (1986) The Elaboration Likelihood Model of Persuasion, pp. 1-24. , New York, Springer; Rains, S.A., Big data, computational social science, and health communication: a review and agenda for advancing theory (2020) Health Commun, 35, pp. 26-34. , 30351198; Rashkin, H., Celikyilmaz, A., Choi, Y., Gao, J., (2020) PlotMachines: Outline-Conditioned Generation With Dynamic Plot State Tracking. arXiv [Preprint], , http://arxiv.org/abs/2004.14967, Available online at:, (accessed October 15, 2022; Reimers, N., Gurevych, I., (2019) Sentence-BERT: Sentence embeddings using siamese BERT-networks. arXiv [Preprint], , http://arxiv.org/abs/1908.10084, Available online at:, (accessed September 3, 2022; Rhodes, N., Ewoldsen, D.R., “Outcomes of persuasion: Behavioral, cognitive, and social,” (2013) The SAGE Handbook of Persuasion: Developments in Theory and Practice, pp. 53-69. , Los Angeles, CA, Sage Publications, Inc., eds., J. P. Dillard and L. Shen; Rice, R.E., Atkin, C.K., (2012) Public Communication Campaigns, , Los Angeles, CA, SAGE Publications, Inc; Rofail, D., Colligs, A., Abetz, L., Lindemann, M., Maguire, L., Factors contributing to the success of folic acid public health campaigns (2012) J. Public Health, 34, pp. 90-99. , 21727078; Scao, T.L., Fan, A., Akiki, C., Pavlick, E., Ili, S., Hesslow, D., (2022) Bloom: A 176b-parameter open-access multilingual language model. arXiv [Preprint], , http://arxiv.org/abs/2211.05100, Available online at:, (accessed November 9, 2022; Schmälzle, R., Meshi, D., Communication neuroscience: Theory, methodology and experimental approaches (2020) Commun. Methods Meas, 14, pp. 105-124; Schmälzle, R., Renner, B., Schupp, H.T., Health risk perception and risk communication (2017) Policy Insights Behav. Brain Sci, , 4, 2; Schmälzle, R., Wilcox, S., Harnessing artificial intelligence for health message generation: The folic acid message engine (2022) J. Med. Internet Res, 24, p. e28858. , 35040800; Schmidhuber, J., Deep learning in neural networks: an overview (2015) Neural Netw, 61, pp. 85-117. , 25462637; Scholl, T.O., Johnson, W.G., Folic acid: Influence on the outcome of pregnancy (2000) Am. J. Clin. Nutr, 71, p. 1295S. , 10799405, −303S; Shi, J., Poorisat, T., Salmon, C.T., The use of social networking sites (SNSs) in health communication campaigns: review and recommendations (2018) Health Commun, 33, pp. 49-56. , 27858464; (2021) snscrape: A Social Networking Service Scraper in Python, , https://github.com/JustAnotherArchivist/snscrape, Available online at:, (accessed May 31, 2022; Snyder, L.B., Health communication campaigns and their impact on behavior (2007) J. Nutr. Educ. Behav, 39, pp. S32-S40. , 17336803; Solaiman, I., Brundage, M., Clark, J., Askell, A., Herbert-Voss, A., Wu, J., (2019) Release Strategies and the Social Impacts of Language Models. arXiv [Preprint], , http://arxiv.org/abs/1908.09203, Available online at:, (accessed October 13, 2022; Tan, C., Niculae, V., Danescu-Niculescu-Mizil, C., Lee, L., Winning arguments: interaction dynamics and persuasion strategies in good-faith online discussions (2016) Proc. Int. Conf. WWW, 25, pp. 613-624; Thackeray, R., Neiger, B.L., Hanson, C.L., McKenzie, J.F., Enhancing promotional strategies within social marketing programs: use of Web 2.0 social media (2008) Health Promot. Pract, 9, pp. 338-343. , 18936268; Theron, D., (2022) Getting Started With Bloom, , https://towardsdatascience.com/getting-started-with-bloom-9e3295459b65, Available online at:, (accessed July 28, 2022; Thompson, T.L., Harrington, N.G., (2021), The, New York, NY: Routledge; Tunstall, L., von Werra, L., Wolf, T., (2022) Natural Language Processing With Transformers, , Sebastopol, O'Reilly Media, Inc; Turner, M., Rains, S., Guilt appeals in persuasive communication: a meta-analytic review (2021) Commun. Stud, 72, pp. 684-700; Vaswani, A., Shazeer, N., Parmar, N., Uszkoreit, J., Jones, L., Gomez, A.N., Attention is all you need (2017) Adv. Neural Inf. Process Syst, , 30, 25; Virtanen, P., Gommers, R., Oliphant, T.E., Haberland, M., Reddy, T., Cournapeau, D., SciPy 1.0: Fundamental algorithms for scientific computing in Python (2020) Nat. Methods, 17, pp. 261-272. , 32094914; von Platen, P., (2020) How to Generate Text: Using Different Decoding Methods for Language Generation With Transformers, , https://huggingface.co/blog/how-to-generate, Available online at:, (accessed October 2, 2022; von Werra, L., Belkada, Y., Tunstall, L., Beeching, E., Thrush, T., Lambert, N., (2020) TRL: Transformer Reinforcement Learning. GitHub, , https://github.com/lvwerra/trl, Available online at; Wang, X., Chen, L., Shi, J., Peng, T.-Q., What makes cancer information viral on social media? (2019) Comput. Hum. Behav, 93, pp. 149-156; Wang, X., Qin, X., Demirtas, H., Li, J., Mao, G., Huo, Y., Efficacy of folic acid supplementation in stroke prevention: a meta-analysis (2007) Lancet, 369, pp. 1876-1882. , 23541460; Weber, R., Fisher, J.T., Hopp, F.R., Lonergan, C., Taking messages into the magnet: method–theory synergy in communication neuroscience (2018) Commun. Monogr, 85, pp. 81-102; Wicks, P., The ALS ice bucket challenge—can a splash of water reinvigorate a field? (2014) Amyotroph. Lateral Scler. Frontotemporal Degener, 15, pp. 479-480. , 25431828; Willoughby, J.F., Noar, S.M., Fifteen years after a 10-year retrospective: the state of health mass mediated campaigns (2022) J. Health Commun, 2, pp. 1-13. , 35950540; Witte, K., Meyer, G., Martell, D., (2001) Effective Health Risk Messages: A step-by-step Guide, , Thousand Oaks, Sage Publications, Inc; Wolf, T., Debut, L., Sanh, V., Chaumond, J., Delangue, C., Moi, A., Transformers: state-of-the-Art natural language processing (2020) Proc. Conf. EMNLP, 2, pp. 38-45. , 36568019; Xu, F., Uszkoreit, H., Du, Y., Fan, W., Zhao, D., Zhu, J., Explainable AI: a brief survey on history, research areas, approaches and challenges (2019) NLPCC, 1, pp. 563-574; Yang, J., Mackert, M., The effectiveness of CDC's Rx awareness campaigns on reducing opioid stigma: Implications for health communication (2021) Health Commun, 21, pp. 1-10. , 34555999; Yeomans, M., Kantor, A., Tingley, D., The politeness package: detecting politeness in natural language (2019) R. J, , 10, 489; Zhou, S., Silvasstar, J., Clark, C., Salyers, A.J., Chavez, C., Bull, S.S., An artificially intelligent, natural language processing chatbot designed to promote COVID-19 vaccination: a proof-of-concept pilot study (2023) Digit. Health, , 36896332, 9, 20552076231155679</t>
  </si>
  <si>
    <t>Lim, S., Department of Communication, Michigan State University, East Lansing, MI, United States; Schmälzle, R., Department of Communication, Michigan State University, East Lansing, MI, United States</t>
  </si>
  <si>
    <t>57796556700;23393626700;</t>
  </si>
  <si>
    <t>Lim S., Schmälzle R.</t>
  </si>
  <si>
    <t>Phippen, A.; Professor of Digital Rights, United Kingdom; email: Aphippen1@bournemouth.ac.uk</t>
  </si>
  <si>
    <t>Greenway, D.E., (2002) The history of the English people, 1000-1154, , Oxford University Press, USA; Chowdhary, K., Chowdhary, K.R., Natural language processing (2020) Fundamentals of artificial intelligence, pp. 603-649; Brown, T., Mann, B., Ryder, N., Subbiah, M., Kaplan, J.D., Dhariwal, P., Neelakantan, A., Agarwal, S., Language models are few-shot learners (2020) Adv Neural Inf Process Syst, 33, pp. 1877-1901; Cohen, S., (2011) Folk devils and moral panics, , Routledge; Cotton, D.R., Cotton, P.A., Shipway, J.R., Chatting and cheating: Ensuring academic integrity in the era of ChatGPT (2023) Innov Educ Teaching Int, pp. 1-12; Fyfe, P., How to cheat on your final paper: Assigning AI for student writing (2022) AI and Society, pp. 1-11; Dehouche, N., Plagiarism in the age of massive generative pre-trained transformers (GPT-3) (2021) Ethics Sci Environ Politics, 21, pp. 17-23; Xiao, Y., Chatterjee, S., Gehringer, E., A new era of plagiarism the danger of cheating using AI (2022) 2022 20th international conference on information technology based higher education and training (ITHET). IEEE, pp. 1-6; Floridi, L., Chiriatti, M., GPT-3: Its nature, scope, limits, and consequences (2020) Mind Mach, 30, pp. 681-694; Shen, Y., Heacock, L., Elias, J., Hentel, K.D., Reig, B., Shih, G., Moy, L., ChatGPT and other large language models are double-edged swords (2023) Radiology, p. 230163; (2022) Can GPT-3 write an academic paper on itself, with minimal human input?, , ffhal-03701250f; Lucy, L., Bamman, D., Gender and representation bias in GPT-3 generated stories (2021) Proceedings of the third workshop on narrative understanding, pp. 48-55. , June; Jaimovitch-López, G., Ferri, C., Hernández-Orallo, J., Martínez-Plumed, F., Ramírez-Quintana, M.J., Can language models automate data wrangling? (2022) Machine Learn, pp. 1-30; Elkins, K., Chun, J., Can GPT-3 pass a Writer’s turing test? (2020) J Cult Anal, 5 (2); Scott, K., (2020) Microsoft teams up with OpenAI to exclusively license GPT-3 language model, , Official Microsoft Blog; Wiggers, K., (2020) OpenAI’s massive GPT-3 model is impressive, but size isn’t everything. VentureBeat, , June; French, R.M., The Turing test: The first 50 years (2000) Trends Cogn Sci, 4 (3), pp. 115-122; Ryan, J.J., Student plagiarism in an online world (1998) ASEE Prism, 8 (4), p. 20; DeVoss, D., Rosati, A.C., “It wasn’t me, was it?" Plagiarism and the Web (2002) Comput Compos, 19 (2), pp. 191-203; Bugeja, M., Don’t let students” overlook” internet plagiarism (2004) Educ Digest, 70 (2), p. 37; McLafferty, C.L., Foust, K.M., Electronic plagiarism as a college instructor’s nightmare-prevention and detection (2004) J Educ Bus, 79 (3), pp. 186-190; Neill, C.J., Shanmuganthan, G., A web-enabled plagiarism detection tool (2004) IT Profess, 6 (5), pp. 19-23; Vernon, R.F., Bigna, S., Smith, M.L., Plagiarism and the Web (2001) J Soc Work Educ, 37 (1), pp. 193-196; Austin, M., Brown, L., Internet plagiarism: Developing strategies to curb student academic dishonesty (1999) Internet Higher Educ, 2 (1), pp. 21-33; Medway, D., Roper, S., Gillooly, L., Contract cheating in UK higher education: A covert investigation of essay mills (2018) Br Edu Res J, 44 (3), pp. 393-418; Naughton, M., Why do university students in the UK buy assignments from essay mills? (2020) Critical Educ, 11 (10); Draper, M.J., Ibezim, V., Newton, P.M., Are essay mills committing fraud? An analysis of their behaviours vs the 2006 fraud act (UK) (2017) Int J Educ Integr, 13 (1), pp. 1-14; Phippen, A., Street, L., (2022) Online resilience and wellbeing in young people, , Springer International Publishing; Cech, J.P., The effect of the use of desk calculators on attitude and achievement with low-achieving ninth graders (1972) Math Teacher, 65 (2), pp. 183-186; Rudnick, J.A., Krulik, S., The minicalculator: Friend or foe? (1976) Arith Teach, 1976 (23), pp. 654-656; Bryant, P.E., The distinction between knowing when to do a sum and knowing how to do it (1985) Educ Psychol, 5 (3-4), pp. 207-215; Hembree, R., Dessart, D.J., Effects of hand-held calculators in precollege mathematics education: A meta-analysis (1986) J Res Math Educ, 17 (2), pp. 83-99; Roberts, D.M., The impact of electronic calculators on educational performance (1980) Rev Educ Res, 50 (1), pp. 71-98; Shuch, M.L., (1975) The use of calculators versus hand computations in teaching business arithmetic and the effects on the critical thinking ability of community college students, , New York University; Adams, D., (2005) The salmon of doubt: Hitchhiking the galaxy one last time. Del Rey Books mass market ed, , Ballantine Books, New York; Foucault, M., (1975) Discipline and punish, , A. Sheridan, Tr., Paris, FR, Gallimard; Sánchez-Cruzado, C., Santiago Campión, R., Sánchez-Compaña, M.T., Teacher digital literacy: The indisputable challenge after COVID-19 (2021) Sustainability, 13 (4), p. 1858; Tejedor, S., Cervi, L., Pérez-Escoda, A., Jumbo, F.T., Digital literacy and higher education during COVID-19 lockdown: Spain, Italy, and Ecuador (2020) Publications, 8 (4), p. 48; Martzoukou, K., Academic libraries in COVID-19: A renewed mission for digital literacy (2021) Libr Manage, 42 (4-5), pp. 266-276; Buiten, M.C., Towards intelligent regulation of artificial intelligence (2019) Euro J Risk Regul, 10 (1), pp. 41-59; Smuha, N.A., From a ‘race to AI’ to a ‘race to AI regulation’: Regulatory competition for artificial intelligence (2021) Law Innov Technol, 13 (1), pp. 57-84; Gao, C.A., Howard, F.M., Markov, N.S., Dyer, E.C., Ramesh, S., Luo, Y., Pearson, A.T., (2022) Comparing scientific abstracts generated by ChatGPT to original abstracts using an artificial intelligence output detector, plagiarism detector, and blinded human reviewers, , bioRxiv, 2022-12</t>
  </si>
  <si>
    <t>Phippen, A., Professor of Digital Rights, Bournemouth University, Poole, United Kingdom; Bond, E., Professor of Socio-Technical Research, University of Suffolk, Ipswich, United Kingdom</t>
  </si>
  <si>
    <t>6508204237;36642422300;</t>
  </si>
  <si>
    <t>Phippen A., Bond E.</t>
  </si>
  <si>
    <t>3 July 2023 through 7 July 2023</t>
  </si>
  <si>
    <t>Wang N.Rebolledo-Mendez G.Matsuda N.Santos O.C.Dimitrova V.</t>
  </si>
  <si>
    <t>7 July 2023</t>
  </si>
  <si>
    <t>1st Annual Workshop on Empowering Education with LLMs - the Next-Gen Interface and Content Generation, AIEDLLM 2023</t>
  </si>
  <si>
    <t>Moore S.Stamper J.Tong R.Cao C.Liu Z.Hu X.Lu Y.Liang J.Khosravi H.Denny P.Singh A.Brooks C.</t>
  </si>
  <si>
    <t>Sridhar, P.; Language Technology Institute, United States; email: pragnyas@andrew.cmu.edu
Doyle, A.; Language Technology Institute, United States; email: adoyle@andrew.cmu.edu</t>
  </si>
  <si>
    <t>Bloom, B. S., Engelhart, M. D., Furst, E., Hill, W. H., Krathwohl, D. R., (1956) Handbook i: cognitive domain, , New York: David McKay; Krathwohl, D. R., A revision of bloom's taxonomy: An overview (2002) Theory into practice, 41, pp. 212-218; Adams, N. E., Bloom's taxonomy of cognitive learning objectives (2015) Journal of the Medical Library Association: JMLA, 103 (3), pp. 152-153; Tran, K. N., Lau, J. H., Contractor, D., Gupta, U., Sengupta, B., Butler, C. J., Mohania, M., Document chunking and learning objective generation for instruction design (2018) EDM, International EDM Society; Su, J., Yang, W., Unlocking the power of chatgpt: A framework for applying generative ai in education ECNU Review of Education, , https://doi.org/10.1177/20965311231168423, 0 20965311231168423; Kasneci, E., Seßler, K., Küchemann, S., Bannert, M., Dementieva, D., Fischer, F., Gasser, U., Hüllermeier, E., (2023) Chatgpt for good? on opportunities and challenges of large language models for education, , edarxiv.org/5er8f; Malinka, K., Perešíni, M., Firc, A., Hujňák, O., Januš, F., (2023) On the educational impact of chatgpt: Is artificial intelligence ready to obtain a university degree?, , arXiv:2303.11146; Rodriguez-Torrealba, R., Garcia-Lopez, E., Garcia-Cabot, A., End-to-end generation of multiple-choice questions using text-to-text transfer transformer models (2022) Expert Syst. Appl, 208. , https://doi.org/10.1016/j.eswa.2022.118258; Lu, X., Fan, S., Houghton, J., Wang, L., Wang, X., Readingquizmaker: A human-nlp collaborative system that supports instructors to design high-quality reading quiz questions (2023) Proceedings of the 2023 CHI Conference on Human Factors in Computing Systems; Sarsa, S., Denny, P., Hellas, A., Leinonen, J., Automatic generation of programming exercises and code explanations using large language models (2022), https://doi.org/10.1145%2F3501385.3543957, ACM; Leinonen, J., Denny, P., MacNeil, S., Sarsa, S., Bernstein, S., Kim, J., Tran, A., Hellas, A., (2023) Comparing code explanations created by students and large language models, , arXiv:2304.03938; Denny, P., Kumar, V., Giacaman, N., (2022) Conversing with copilot: Exploring prompt engineering for solving cs1 problems using natural language, , arXiv:2210.15157; Savelka, J., Agarwal, A., Bogart, C., Song, Y., Sakr, M., (2023) Can generative pre-trained transformers (gpt) pass assessments in higher education programming courses?, , arXiv preprint arXiv:2303.09325; Savelka, J., Agarwal, A., An, M., Bogart, C., Sakr, M., (2023) Thrilled by your progress! large language models (gpt-4) no longer struggle to pass assessments in higher education programming courses, , arXiv preprint arXiv:2306.10073; Piccolo, S. R., Denny, P., Luxton-Reilly, A., Payne, S., Ridge, P. G., (2023) Many bioinformatics programming tasks can be automated with chatgpt, , arXiv:2303.13528; Savelka, J., Agarwal, A., Bogart, C., Sakr, M., (2023) Large language models (gpt) struggle to answer multiple-choice questions about code, , arXiv:2303.08033; Wermelinger, M., (2023) Using github copilot to solve simple programming problems; Phung, T., Cambronero, J. P., Gulwani, S., Kohn, T., Majumdar, R., Singla, A. K., Soares, G., (2023) Generating high-precision feedback for programming syntax errors using large language models, , ArXiv abs/2302.04662; MacNeil, S., Tran, A., Mogil, D., Bernstein, S., Ross, E., Huang, Z., Generating diverse code explanations using the gpt-3 large language model (2022) ICER'22, , https://doi.org/10.1145/3501709.3544280, Association for Computing Machinery, New York, NY, USA; MacNeil, S., Tran, A., Hellas, A., Kim, J., Sarsa, S., Denny, P., Bernstein, S., Leinonen, J., Experiences from using code explanations generated by large language models in a web software development e-book (2023) SIGCSE 2023, pp. 931-937. , https://doi.org/10.1145/3545945.3569785, ACM, New York, NY, USA; Tan, K., Pang, T., Fan, C., (2023) Towards applying powerful large ai models in classroom teaching: Opportunities, challenges and prospects, , arXiv:2305.03433; Wollowski, M., Using chatgpt to produce code for a typical college-level assignment (2023) AI Magazine, 44, pp. 129-130. , https://onlinelibrary.wiley.com/doi/abs/10.1002/aaai.12086, https://doi.org/10.1002/aaai.12086. arXiv:https://onlinelibrary.wiley.com/doi/pdf/10.1002/aaai.12086; White, J., Hays, S., Fu, Q., Spencer-Smith, J., Schmidt, D. C., (2023) Chatgpt prompt patterns for improving code quality, refactoring, requirements elicitation, and software design, , arXiv:2303.07839; Shen, Y., Song, K., Tan, X., Li, D., Lu, W., Zhuang, Y., (2023) Hugginggpt: Solving ai tasks with chatgpt and its friends in hugging face, , arXiv:2303.17580; Dai, H., Liu, Z., Liao, W., Huang, X., Cao, Y., Wu, Z., Zhao, L., Li, X., (2023) Auggpt: Leveraging chatgpt for text data augmentation, , arXiv:2302.13007; (2023) OpenAI, Gpt-4 technical report, , arXiv:2303.08774; Li, Y., Rakovic, M., Poh, B. X., Gasevic, D., Chen, G., Automatic classification of learning objectives based on bloom's taxonomy (2022) EDM, International EDM Society, pp. 530-537. , A. Mitrovic, N. Bosch (Eds), Durham, United Kingdom</t>
  </si>
  <si>
    <t>Sridhar, P., Language Technology Institute, Carnegie Mellon University, Pittsburgh, PA, United States; Doyle, A., Language Technology Institute, Carnegie Mellon University, Pittsburgh, PA, United States; Agarwal, A., Computer Science Department, Carnegie Mellon University, Pittsburgh, PA, United States; Bogart, C., Computer Science Department, Carnegie Mellon University, Pittsburgh, PA, United States; Savelka, J., Computer Science Department, Carnegie Mellon University, Pittsburgh, PA, United States; Sakr, M., Computer Science Department, Carnegie Mellon University, Pittsburgh, PA, United States</t>
  </si>
  <si>
    <t>58500370900;58499616700;58155030600;25649133400;54783405100;57337410100;</t>
  </si>
  <si>
    <t>Sridhar P., Doyle A., Agarwal A., Bogart C., Savelka J., Sakr M.</t>
  </si>
  <si>
    <t>9781668476949; 9781668476932</t>
  </si>
  <si>
    <t>Bhuiyan, J., Microsoft reportedly added ChatGPT to Bing search engine (2023) The Guardian, , https://www.theguardian.com/profile/johana-bhuiyan, January 18, Retrieved February 21, 2023, from; Elias, J., (2023) Jennifer Elias on linkedin: Google is asking employees to test potential CHATGPT competitors.., , https://www.linkedin.com/posts/jenniferelias-845b1130_google-is-asking-employees-to-test-potential-activity-7026375314557595648-Fm3V, February 1, Retrieved February 10, 2023, from; Fedus, W., (2022) Switch Transformers: Scaling to Trillion Parameter Models with Simple and Efficient Sparsity, , Academic Press; Greengard, S., (2022) Chatgpt: Understanding the CHATGPT AI chatbot, , https://www.eweek.com/big-data-and-analytics/chatgpt/, December 29, eWEEK. Retrieved January 8, 2023, from; Herbert, T., (2023) Ai Chatbot Falls just short on accounting exam, , https://www.accountingweb.co.uk/tech/tech-pulse/ai-chatbot-fallsjust-short-on-accounting-exam, January 11, AccountingWEB. Retrieved January 21, 2023, from; Herman, D., The end of high-school English (2022) The Atlantic, , https://www.theatlantic.com/technology/archive/2022/12/openai-chatgpt-writing-highschool-english-essay/672412/, December 16, Retrieved December 22, 2022, from; Holmes, A., (2023) Microsoft and OpenAI working on CHATGPT-powered Bing in challenge to Google, , https://www.theinformation.com/articles/microsoft-and-openai-working-on-chatgpt-powered-bing-in-challenge-to-google, January 10, The Information. Retrieved February 21, 2023, from; Hu, K., (2023) ChatGPT Sets Record for Fastest-Growing User Base-Analyst Note, , https://www.reuters.com/technology/chatgpt-setsrecord-fastest-growing-user-base-analyst-note-2023-02-01/Inc; (2023) Discover your next read with librarianai - the revolutionary new tool delivering personalized access to two million books, , https://legible.ai/, The LibrararianAI by Legible, Retrieved February 12, from; Karp, P., MP tells Australia’s Parliament ai could be used for ‘mass destruction’ in speech part-written by CHATGPT (2023) The Guardian, , https://aechaer.dynu.net/australia-news/2023/feb/06/labor-mp-julian-hill-australia-parliament-speech-ai-part-writtenby-chatgpt, February 6, Retrieved February 21, 2023, from; Kulesh, S., Why CHATGPT can be dangerous for every internet user - times of India (2022) The Times of India, , https://timesofindia.indiatimes.com/gadgetsnews/why-chatgpt-can-be-dangerous-to-every-internet-user/articleshow/96393104.cms, December 21, Retrieved January 22, 2022, from; Marche, S., The College Essay Is Dead (2022) The Atlantic, , https://www.theatlantic.com/technology/archive/2022/12/chatgpt-ai-writing-college-studentessays/672371/, December 16, Retrieved January 27, 2023, from; Microsoft and OpenAI working on CHATGPT-powered bing in challenge to google (2023) Flipboard, , https://flipboard.com/article/microsoft-and-openaiworking-on-chatgpt-powered-bing-in-challenge-to-google/f-883a32ec69%2Ftheinformation.com, January 18, Retrieved February 21, 2023, from; Mintzz, S., (2023) Chatgpt: Threat or menace? Inside higher ed, , https://www.insidehighered.com/blogs/higher-ed-gamma/chatgptthreat-or-menace, January 16, Higher Ed Gamma. Retrieved January 21, 2023, from; Mouhamad, R., (2022) Chatgpt a ‘landmark event’ for AI, but what does it mean for the future of human labour and disinformation?, , https://www.cbc.ca/radio/thecurrent/chatgpt-human-labour-and-fake-news-1.6686210, December 15, CBCnews. Retrieved February 21, 2023, from; (2023) Chat.openai.com, , https://chat.openai.com/auth/login?next=, ChatGPT. Retrieved February 14, from; Ramponi, M., (2023) How CHATGPT actually works, , https://www.assemblyai.com/blog/how-chatgpt-actually-works, January 31, News, Tutorials, AI Research. Retrieved February 15, 2023, from; Roose, K., How CHATGPT kicked off an A.I. Arms Race (2023) The New York Times, , https://www.nytimes.com/2023/02/03/technology/chatgpt-openaiartificial-intelligence.html, February 3, Retrieved February 21, 2023, from; Ropek, L., (2023) Did CHATGPT write that? A college student created an AI Essay detector, , https://gizmodo.com/chatgpt-ai-essay-detector-collegeprinceton-edward-tian-1849946535, January 4, Gizmodo. Retrieved January 18, 2023, from; Rosalsky, G., Peaslee, E., (2023) This 22-year-old is trying to save us from chatgpt before it changes writing forever, , https://www.npr.org/sections/money/2023/01/17/1149206188/this-22-year-old-is-trying-to-save-us-from-chatgpt-before-it-changeswriting-for, January 17, NPR. Retrieved February 2, 2023, from; Rouse, M., (2023) What is chatgpt? Definition from Techopedia, , https://www.techopedia.com/definition/34933/chatgpt, Retrieved February 11, from; Schulman, J., Wolski, F., Dhariwal, P., Radford, A., Klimov, O., (2017) Proximal policy optimization algorithms, , https://arxiv.org/abs/1707.06347, August 28, Retrieved February 21, 2023, from; Skitka, L.J., Mosier, K., Burdick, M.D., Accountability and automation bias (2000) International Journal of Human-Computer Studies, 52 (4), pp. 701-717; Staff, N., (2023) New York City Department of Education bans CHATGPT, , https://www.govtech.com/education/k-12/new-york-city-departmentof-education-bans-chatgpt, January 11, GovTech. Retrieved February 2, 2023, from; Stern, J., Chatgpt wrote my AP English essay-and I passed (2022) The Wall Street Journal, , https://www.wsj.com/articles/chatgpt-wrote-my-ap-english-essayandi-passed-11671628256, December 21, Retrieved February 2, 2023, from; Stokel-Walker, C., Ai Bot chatgpt writes Smart Essays - Should professors worry? (2022) Nature News, , https://www.nature.com/articles/d41586-022-04397-7, December 9, Retrieved December 22, 2022, from; Stokel-Walker, C., CHATGPT listed as author on research papers: Many scientists disapprove (2023) Nature, 613 (7945), pp. 620-621. , PMID:36653617; Tran, T.H., A college kid built an app that sniffs out text penned by ai (2023) The Daily Beast, , https://www.thedailybeast.com/princeton-student-edward-tianbuilt-gptzero-to-detect-ai-written-essays, January 4, Retrieved January 16, 2023, from; van Dis, E.A.M., Bollen, J., Zuidema, W., van Rooij, R., Bockting, C.L., ChatGPT: Five priorities for research (2023) Nature, 614 (7947), pp. 224-226. , PMID:36737653; Zeng, W., Ren, X.Z., Su, T., (2021) PanGu-α: Large-scale autoregressive pretrained Chinese language models with auto-parallel computation, , Academic Press; Zhou, J., Ke, P., Qiu, X., ChatGPT: Potential, prospects, and limitations (2023) Front Inform Technol Electron Eng</t>
  </si>
  <si>
    <t>Holland, B.J.</t>
  </si>
  <si>
    <t>57885164700;</t>
  </si>
  <si>
    <t>Tsolaki, M.; Alzheimer HellasGreece</t>
  </si>
  <si>
    <t>Scheltens, P, Alzheimer's disease (2016) Lancet, 388 (10043), pp. 505-517. , [PubMed: 26921134]; Jansen, WJ, Prevalence of cerebral amyloid pathology in persons without dementia: a metaanalysis (2015) JAMA, 313 (19), pp. 1924-1938. , [PubMed: 25988462]; Jack CR, Jr, NIA-AA research framework: toward a biological definition of Alzheimer's disease (2018) Alzheimers Dement, 14 (4), pp. 535-562. , [PubMed: 29653606]; Reynish, E, Cortes, F, Andrieu, S, Cantet, C, Olde Rikkert, M, Melis, R, Froelich, L, Vellas, B, The ICTUS study: a prospective longitudinal observational study of 1,380 AD patients in Europe (2007) Study design and baseline characteristics of the cohort. Neuroepidemiology, 29, pp. 29-38; Visser, PJ, Verhey, FRJ, Boada, M, Bullock, R, De Deyn, PP, Frisoni, GB, Frolich, L, Winblad, B, Development of screening guidelines and clinical criteria for predementia Alzheimer's disease (2008) The DESCRIPA study. Neuroepidemiology, 30 (4), pp. 254-265. , https://doi.org/10.1159/000135644; Frantzidis, CA, Ladas, AK, Vivas, AB, Tsolaki, M, Bamidis, PD, Cognitive and physical training for the elderly: evaluating outcome efficacy by means of neurophysiological synchronization (2014) Int J Psychophysiol, 93 (1), pp. 1-11. , https://doi.org/10.1016/j.ijpsycho.2014.01.007; Hassandra, M, Galanis, E, Hatzigeorgiadis, A, Goudas, M, Mouzakidis, C, Karathanasi, EM, Petridou, N, Theodorakis, Y, A virtual reality app for physical and cognitive training of older people with mild cognitive impairment: mixed methods feasibility study (2021) JMIR Serious Games, 9 (1), p. e24170. , https://doi.org/10.2196/24170; Poptsi, E, Tsolaki, M, Bergh, S, Cesana, BM, Ciccone, A, Fabbo, A, Frisoni, GB, Defanti, CA, Rationale, design, and methodology of a prospective cohort study for coping with behavioral and psychological symptoms of dementia: the RECage project (2021) J Alzheimers Dis, , https://doi.org/10.3233/JAD-201215; Makri, M, Tsolaki, M, Zygouris, S, Development of the training platform "AD-GAMING" for the improvement of quality of life of people with dementia through "serious games" (2020) J Fam Med, 7 (4), p. 1207; Marina Makri, Konstandina Vasiliki., Brouzou, Ioannis Brouzos, Evanggelia Iakovou, Minas Angelidou, Ioana Dasygenis, Nikolaos Baras, Asimina Caciula, Sara Beccati, Alexandra; Manattini, MT, The "Bridge" project: a European innovative intergenerational approach using serious games for people with dementia (2021) Psychology, 12 (9). , https://doi.org/10.4236/psych.2021.129091; Tsolaki, M, Poptsi, E, Aggogiatou, C, Markou, N, Zafeiropoulos, S, Kounti, F, Computer-based cognitive training versus paper and pencil training: which is more effective? A randomized controlled trial in people with mild cognitive impairment (2017) JSM Alzheimer's Dis Relat Dement, 4 (1), p. 1032; Apostolidis, I, Karakostas, A, Dimitriou, T, Tsiatsos, T, Tsolaki, M, (2014) Advanced bio-feedback and collaborative techniques to support caregivers of Alzheimer patients, , http://ieeexplore.ieee.org/xpl/login.jsp?tp=&amp;arnumber=7057170&amp;url=http%3A%2F%2Fieeexplore.ieee.org%2Fxpls%2Fabs_all.jsp%3Farnumber%3D7057170, International Conference on Intelligent Networking and Collaborative Systems (INCoS); Karagiozi, K, Papaliagkas, V, Giaglis, G, Papastavrou, E, Pattakou, V, Tsolaki, M, Combined intervention for caregivers of patients with dementia: a randomized controlled trial (2014) Int J Acad Res Psychol, 1 (2), pp. 77-95</t>
  </si>
  <si>
    <t>The RECAGE project will tackle one of the most challenging problems arising during the clinical course of dementia: the so-called Behavioral and Psychological Symptoms of Dementia (BPSD). The current state-of-the-art treatment of these symptoms is still unsatisfactory and there are many unmet needs in this area. The major objective of the project will be to assess the effectiveness of an intervention—the special medical care unit for patients with BPSD (SCU-B)—that, albeit already implemented in some European countries, is not widespread and has not been sufficiently studied so far, although it seems to be promising for its short-term effi - cacy (alleviating BPSD and improving quality of life of patients with dementia) and possibly for its long-term efficacy also. It is a prospective cohort study, comparing the activity among the centers endowed with SCU-B and those who lack this facility and testing the efficacy and the cost-effectiveness of the proposed intervention in seven European countries. Two cohorts of 250 patients each will be recruited by 6 clinical centers endowed with SCU-B (rst cohort) and 6 centers lacking this structure (second cohort). The follow-up will last 3 years, during which patients will be visited every 6 months and submitted to a battery exploring the severity of the BPSD and the quality of life. All adverse events will be registered, as well as some anticipated occurrences (admissions to the general hospital for intercurrent diseases, admissions to SCU-B pertaining to the clinical participating center, and, if any, admissions to SCU-B not pertaining to the consortium member, nursing home placement). At the same time the quality of life of the primary caregivers will be measured, as well as their attitude toward dementia. A cost-effectiveness analysis will be performed comparing the cohorts. Finally, time to the nursing home placement will be recorded and compared between the two cohorts. This project has received funding from the European Union’s Horizon 2020 research and innovation program under grant agreement No 779237 [8].</t>
  </si>
  <si>
    <t>It is materialized by the Special Account of the Research Committee at Aristotle University of Thessaloniki. The project is funded by the European Union (European Social Fund) and the Ministry of Education, Lifelong Learning and Religious Affairs in the context of the National Strategic Reference Framework (NSRF, 2007– 2013). The results of this program were: (1) many Internet-based exercises for patients with mild cognitive impairment and mild dementia who had memory or language problems [11]; (2) the first Internet platform for caregivers who had the ability to be connected and attend educational or support programs [12, 13]; and (3) different groups of patients had the opportunity to follow dancing programs in order to support both their body and cognition [14].</t>
  </si>
  <si>
    <t>As part of InnoMed, it was a precursor of the Innovative Medicines Initiative (IMI). AddNeuroMed was a cross-European study with participants from six countries (the United Kingdom, Italy, Finland, France, Greece, Poland) and funded by the European Union (EU) and members of the European Federation for Pharmaceutical Industries and Associations (EFPIA), and designed to find biomarkers, or tests, for Alzheimer’s disease. It was launched in 2005. The AddNeuroMed objectives were to produce and improve experimental models of Alzheimer’s disease for biomarker discovery and to identify a biomarker for Alzheimer’s disease suitable for diagnosis, prediction, and monitoring disease progression for use in clinical trials and in clinical practice. AddNeuroMed was involved in multiple preclinical studies including mice models, rat models, drosophila models, bioinfor-matics driven, and imaging. FP6-2004-LIFESCIHEALTH-5, Life Sciences, Genomics and Biotechnology for Health, Health Research Council of Academy of Finland and strategic funding for UEFBRAIN, The Gamla Tjänarinnor Foundation, The Swedish Alzheimer’s Association, and Swedish Brain Power.</t>
  </si>
  <si>
    <t>Horizon 2020 Framework Programme, H2020: 779237; European Commission, EC; Academy of Finland, AKA; European Social Fund, ESF; Ministry of Education, Lifelong Learning and Religious Affairs; Swedish Brain Power, SBP</t>
  </si>
  <si>
    <t>cholinergic receptor blocking agent; AddNeuroMed study; Alzheimer disease; Augmentation of the Support of Patients suffering from Alzheimer Disease and their caregivers study; caregiver; clinical practice; cognitive rehabilitation; De-Sign project; degenerative disease; dementia; Dementia Right study; DESCRIPA study; Development of Screening Guidelines and Clinical Criteria for Predementia Alzheimer Disease study; English Lessons with the Use of Songs for People with Mild Cognitive Impairment study; European; Game4CoSkills study; GECONEU project; genetic counseling; geriatric patient; human; Impact of Cholinergic Treatment USe study; INFOCARE study; Innovative Medicines Initiative study; Intergenerational CONtact between studeNts and people with dEmentia through CreaTive education; Long Lasting Memories study; mental health research; mild cognitive impairment; Peer support workers as an Innovative force in Advocacy in dementia care study; predementia; prevalence; preventive medicine; quality of life; Remote Assessment of Disease and Relapse Alzheimer disease study; REspectful Caring for the AGitated Elderly study; social media; Story2remember study; Supporting Informal Carers: A Whole-Family and Life course Approach study; telemedicine; training; types of study; virtual reality; virtual reality application for the exercise of dementia and Alzheimer patients study; aged; Alzheimer disease; caregiver; cognitive defect; degenerative disease; prospective study; psychology; Aged; Alzheimer Disease; Caregivers; Cognitive Dysfunction; Humans; Neurodegenerative Diseases; Prospective Studies; Quality of Life</t>
  </si>
  <si>
    <t>Tsolaki, M., Alzheimer Hellas, Thessaloniki, Greece, Laboratory of Neurodegenerative diseases, Center for Interdisciplinary Research and Innovation (CIRI-AUTh), Balkan Center, Aristotle University of Thessaloniki, Thessaloniki, Greece; Makri, M., Alzheimer Hellas, Thessaloniki, Greece, Laboratory of Neurodegenerative diseases, Center for Interdisciplinary Research and Innovation (CIRI-AUTh), Balkan Center, Aristotle University of Thessaloniki, Thessaloniki, Greece; Tsatali, M., Alzheimer Hellas, Thessaloniki, Greece, Laboratory of Neurodegenerative diseases, Center for Interdisciplinary Research and Innovation (CIRI-AUTh), Balkan Center, Aristotle University of Thessaloniki, Thessaloniki, Greece; Teichmann, Β., Alzheimer Hellas, Thessaloniki, Greece, Laboratory of Neurodegenerative diseases, Center for Interdisciplinary Research and Innovation (CIRI-AUTh), Balkan Center, Aristotle University of Thessaloniki, Thessaloniki, Greece, Network Aging Research, Heidelberg University, Heidelberg, Germany</t>
  </si>
  <si>
    <t>7004174854;57252638500;36633300500;57190231236;</t>
  </si>
  <si>
    <t>Tsolaki M., Makri M., Tsatali M., Teichmann Β.</t>
  </si>
  <si>
    <t>5th IEEE/ACM International Workshop on Software Engineering Education for the Next Generation, SEENG 2023</t>
  </si>
  <si>
    <t>Neumann, M.; University of Applied Sciences and Arts HannoverGermany; email: michael.neumann@hs-hannover.de</t>
  </si>
  <si>
    <t>(2022) Chatgpt: Optimizing language models for dialogue, , https://openai.com/blog/chatgpt/; Haque, M.U., Dharmadasa, I., (2022) i think this is the most disruptive technology: Exploring sentiments of chatgpt early adopters using twitter data; Neumann, M., Rauschenberger, M., Schon, E.-M., (2023) Research protocol, , https://figshare.com/s/07fefa4448f6373ab710; Rudolph, J., Tan, S., Tan, S., Bullshit spewer or the end of traditional assessments in higher education? (2023) Journal of Applied Learning &amp; Teaching; Kitchenham, B., Charters, S., (2007) Guidelines for performing systematic literature reviews in software engineering; Yasin, A., Fatima, R., On using grey literature and google scholar in systematic literature reviews in software engineering (2020) IEEE Access, 8, pp. 36226-36243; Gao, C.A., Howard, F.M., (2022) Comparing scientific abstracts generated by chatgpt to original abstracts using an artificial intelligence output detector, plagiarism detector, and blinded human reviewers; Else, H., (2023) Abstracts written by chatgpt fool scientists, , 1; Rauschenberger, M., Baeza-Yates, R., How to handle health-related small imbalanced data in machine learning? (2020) i-com, 19 (3), pp. 215-226; Susnjak, T., (2022) Chatgpt: The end of online exam integrity?; Zhai, X., (2022) Chatgpt user experience: Implications for education; Qadir, J., (2022) Engineering education in the era of chatgpt: Promise and pitfalls of generative ai for education; Salomon, G., On the nature of pedagogic computer tools: The case of the writing partner (1993) Computers as Cognitive Tools, pp. 179-196; Elsen-Rooney, M., (2023) Nyc education department blocks chatgpt on school devices, networks, , https://cacm.acm.org/news/268457-nyc-education-dept-blocks-chatgpt-on-school-devices-networks/fulltext; Rauschenberger, M., Acceptance by design : Voice assistants (2021) 1st AI-DEbate Workshop</t>
  </si>
  <si>
    <t>On November 30th, 2022, OpenAI released the large language model ChatGPT, an extension of GPT-3. The AI chatbot provides real-time communication in response to users' requests. The quality of ChatGPT's natural speaking answers marks a major shift in how we will use AI-generated information in our day-to-day lives. For a software engineering student, the use cases for ChatGPT are manifold: assessment preparation, translation, and creation of specified source code, to name a few. It can even handle more complex aspects of scientific writing, such as summarizing literature and paraphrasing text. Hence, this position paper addresses the need for discussion of potential approaches for integrating ChatGPT into higher education. Therefore, we focus on articles that address the effects of ChatGPT on higher education in the areas of software engineering and scientific writing. As ChatGPT was only recently released, there have been no peer-reviewed articles on the subject. Thus, we performed a structured grey literature review using Google Scholar to identify preprints of primary studies. In total, five out of 55 preprints are used for our analysis. Furthermore, we held informal discussions and talks with other lecturers and researchers and took into account the authors' test results from using ChatGPT. We present five challenges and three opportunities for the higher education context that emerge from the release of ChatGPT. The main contribution of this paper is a proposal for how to integrate ChatGPT into higher education in four main areas. © 2023 IEEE.</t>
  </si>
  <si>
    <t>Neumann, M., University of Applied Sciences and Arts Hannover, Hannover, Germany; Rauschenberger, M., University of Applied Sciences and Arts Hannover, Hannover, Germany; Schon, E.-M., University of Applied Sciences Emden/Leer, Emden, Germany</t>
  </si>
  <si>
    <t>57222129168;55480367700;57188560423;</t>
  </si>
  <si>
    <t>Neumann M., Rauschenberger M., Schon E.-M.</t>
  </si>
  <si>
    <t>23 July 2023 through 28 July 2023</t>
  </si>
  <si>
    <t>25th International Conference on Human-Computer Interaction, HCII 2023</t>
  </si>
  <si>
    <t>Stephanidis C.Antona M.Ntoa S.Salvendy G.</t>
  </si>
  <si>
    <t>Kamath Barkur, S.; University of Applied SciencesGermany; email: s.kamath-barkur@hs-ansbach.de</t>
  </si>
  <si>
    <t>AI, O.: ChatGPT-a sibling of InstructGPT which is trained to follow an instruction (2023). https://chat.openai.com/chat; ArangoDB-a native multi-model database with flexible data models for documents, graphs (2023) And Key-Values, , https://www.arangodb.com/; Community, A., (2023) Python Arango-Python Driver for Arango, , https://github. com/ArangoDB-Community/python-arango; Effland, T., Collins, M.: Partially supervised named entity recognition via the expected entity ratio loss (2021). https://doi.org/10.48550/ARXIV.2108.07216, https://arxiv.org/abs/2108.07216; Explosion: SpaCy-Industrial-strength Natural Language Processing (NLP) in Python (2023). https://spacy.io/; Flair: Flair-a very simple framework for state-of-the-art Natural Language Processing (NLP) (2023). https://github.com/flairNLP/flair; Henne, S., Mehlin, V., Schmid, E., Schacht, S., The DIAS project. development of an intelligent digital assistant in higher education (2023) Proceedings of the 4Th International Conference Business Meets Technology (BMT22). Editorial Univer-Sitat Politècnica De València; HuggingFace Transformers-State-of-the-art Machine Learning for Pytorch, TensorFlow (2023) And JAX, , https://github.com/huggingface/transformers; Pasupat, P., Liang, P., Zero-shot entity extraction from web pages (2014) Proceedings of the 52Nd Annual Meeting of the Association for Computational Linguistics (Volume 1: Long Papers), pp. 391-401; (2023) Rasa: Rasa-An Open Source Machine Learning Framework to Automate Text and Voice-Based Conversations, , https://rasa.com/; Sang, E.F., de Meulder, F., Introduction to the CoNLL-2003 shared task: Language-independent named entity recognition (2003) Arxiv Preprint Cs/0306050; Singh, V., (2017) Replace Or Retrieve Keywords in Documents at Scale. Arxiv Preprint Arxiv, 1711, p. 00046</t>
  </si>
  <si>
    <t>Acknowledgments. To everyone involved in user studies, and discussion groups, thank for your time and expertise. This research was supported by IEETA, funded through FCT in the context of the project [UIDB/00127/2020].</t>
  </si>
  <si>
    <t>Acknowledgement. This work was supported by the National Research Foundation of Korea (NRF) grant funded by the Korea government (MIST) (No. 2021R1A2C1014210) and by the MSIT (Ministry of Science and ICT), Korea, under the ITRC (Information Technology Research Center) support program (IITP-2023-RS-2022-00156353) supervised by the IITP (Institute for Information &amp; Communications Technology Planning &amp; Evaluation).</t>
  </si>
  <si>
    <t>This contribution results from the publicly funded joint research project RUMBA (German acronym for “Achieving a positive user experience through user-friendly design of the vehicle interior for automated driving functions”), which is funded by the German Federal Ministry for Economic Affairs and Climate Action (BMWK) on the basis of a resolution of the German Bundestag (funding code 19A20007D).</t>
  </si>
  <si>
    <t>The simulations developed are currently being applied in a randomized control trial study which evaluates its efficiency as part of exposure therapy in a clinical setting [10]. The design case is part of a bigger research project titled VR8 which is funded by the Danish Innovation Fund [11].</t>
  </si>
  <si>
    <t>Acknowledgements. This work was supported by the National Research Foundation of Korea (NRF) grant (2021R1A2C1012377, 2019R1A2C1006316).</t>
  </si>
  <si>
    <t>Acknowledgments. This research was conducted under the financial support of the University of Missouri Postdoctoral Association (MUPA) Research Award and the University of Missouri Graduate Professional Council (GPC) Research Award.</t>
  </si>
  <si>
    <t>Funding. This project has been generously supported by the Osborne Legacy. The financial assistance provided by the legacy has been instrumental in the successful completion of this research effort.</t>
  </si>
  <si>
    <t>Funding. The work was supported by the Faculty of Engineering University of Nottingham Research Excellence PhD Scholarship.</t>
  </si>
  <si>
    <t>Supported by Sidia Institute of Science and Technology http://www.sidia.com Idesam -Conservation and Sustainable Development https://www.idesam.org.</t>
  </si>
  <si>
    <t>ICN2021-004; T2EDK-04616; 2021R1A2C1014210; 101.016/2020; University of Missouri, MU; SRM Institute of Science and Technology, SRMIST; Bundesministerium für Wirtschaft und Klimaschutz, BMWK: 19A20007D; Fundação para a Ciência e a Tecnologia, FCT: UIDB/00127/2020; Ministry of Science, ICT and Future Planning, MSIP: IITP-2023-RS-2022-00156353; National Research Foundation of Korea, NRF: 2019R1A2C1006316, 2021R1A2C1012377; Faculty of Engineering, University of Nottingham; European Regional Development Fund, ERDF</t>
  </si>
  <si>
    <t>Kamath Barkur, S., University of Applied Sciences, Ansbach, Germany; Schacht, S., University of Applied Sciences, Ansbach, Germany; Lanquillon, C., University of Applied Sciences, Heilbronn, Germany</t>
  </si>
  <si>
    <t>58558275900;58114356600;24178557600;</t>
  </si>
  <si>
    <t>Kamath Barkur S., Schacht S., Lanquillon C.</t>
  </si>
  <si>
    <t>Camacho-Zuñiga, C.; School of Engineering and Sciences, Mexico; email: claudia.camacho@tec.mx</t>
  </si>
  <si>
    <t>Abbas, A., Haruna, H., Arrona-Palacios, A., Camacho-Zuñiga, C., Núñez-Daruich, S., Enríquez de la O, J.F., Students’ evaluations of teachers and recommendation based on course structure or teaching approaches: an empirical study based on the institutional dataset of student opinion survey (2022) Educ. Inf. Technol, 27, pp. 12049-12064; Abelha, M., Fernandes, S., Mesquita, D., Seabra, F., Ferreira-Oliveira, A.T., Graduate employability and competence development in higher education—a systematic literature review using PRISMA (2020) Sustainability, 12, p. 5900; Ahmad, U.N.U., Amin, S.M., Ismail, W.K.W., The relationship between technostress creators and Organisational commitment among academic librarians (2012) Procedia. Soc. Behav. Sci, 40, pp. 182-186; Akour, M., Alenezi, M., Higher education future in the era of digital transformation (2022) Educ. Sci, 12, p. 784; Alenezi, M., Digital learning and digital institution in higher education (2023) Educ. Sci, 13, p. 88; Archambault, L., Leary, H., Rice, K., Pillars of online pedagogy: a framework for teaching in online learning environments (2022) Educ. Psychol, 57, pp. 178-191; Banyoi, V., Kharkivska, O., Shkurko, H., Yatskiv, M., Tools for implementing distance learning during the war: experience of Uzhhorod National University, Ukraine (2023) Arab World Eng. J, 1, pp. 75-87; Basilotta-Gómez-Pablos, V., Matarranz, M., Casado-Aranda, L.A., Otto, A., Teachers’ digital competencies in higher education: a systematic literature review (2022) Int. J. Educ. Technol. High. Educ, 19, p. 8; Benavides, L., Tamayo Arias, J., Arango Serna, M., Branch Bedoya, J., Burgos, D., Digital transformation in higher education institutions: a systematic literature review (2020) Sensors, 20, p. 3291. , 32526998, :,, PMID; Bhebhe, S., Schlebusch, L., Gawie, S., Sustaining the integration of technology pedagogies in higher education after the COVID-19 pandemic (2023) Int. J. Learn. Teach. Educ. Res, 22, pp. 1-19; Blau, I., Shamir-Inbal, T., Avdiel, O., How does the pedagogical design of a technology-enhanced collaborative academic course promote digital literacies, self-regulation, and perceived learning of students? (2020) Internet High. Educ, 45, p. 100722; Bond, M., Bedenlier, S., Marín, V.I., Händel, M., Emergency remote teaching in higher education: mapping the first global online semester (2021) Int. J. Educ. Technol. High. Educ, 18, p. 50. , 34778537, :,, PMID; Bradberry, L.A., De Maio, J., Learning by doing: the long-term impact of experiential learning programs on student success (2019) J. Polit. Sci. Educ, 15, pp. 94-111; Bygstad, B., Øvrelid, E., Ludvigsen, S., Dæhlen, M., From dual digitalization to digital learning space: exploring the digital transformation of higher education (2022) Comput. Educ, 182, p. 104463; Camacho-Zuñiga, C., Peña-Becerril, M., Cuevas-Cancino, M.O., Avilés-Rabanales, E.G., Gains from the transition from face-to-face to digital/online modality to improve education in emergency (2023) Front. Educ, 8, p. 1197396; Coleman, M., Berge, Z.L., A review of accessibility in online higher education (2018) Online J. Dist. Learn. Adm, 21, pp. 1-7; Cueva, A., Inga, E., Information and communication Technologies for Education Considering the flipped learning model (2022) Educ. Sci, 12, p. 207; Daher, W., Sabbah, K., Abuzant, M., Affective engagement of higher education students in an online course (2021) Emerg. Sci. J, 5, pp. 545-558; Daniel, S.J., Education and the COVID-19 pandemic (2020) Prospects, 49, pp. 91-96. , 32313309, PMID; De Oca, S.M., Villada-Balbuena, M., Camacho-Zuniga, C., Professors’ concerns after the shift from face-to-face to online teaching amid COVID-19 contingency: an educational data mining analysis (2021) 2021 machine learning-driven digital Technologies for Educational Innovation Workshop, pp. 1-5. , Monterrey, Mexico, IEEE; Demirkol-Orak, S., İnözü, J., Teachers awareness and actual practices of 21st century learning and innovation skills (2021) Int. Online J. Educ. Teach, 8, pp. 975-997; Dontre, A.J., The influence of technology on academic distraction: a review (2021) Hum. Behav. Emerg. Technol, 3, pp. 379-390; Dunn, T.J., Kennedy, M., Technology enhanced learning in higher education; motivations, engagement and academic achievement (2019) Comput. Educ, 137, pp. 104-113; Ehlers, U.-D., (2021) Future skills: the future of learning and higher education, , Norderstedt, BoDBooks on Demand; El Miedany, Y., Flipped learning (2019) Rheumatology teaching, pp. 285-303. , Cham, Springer International Publishing; Fan, L., Li, L., Ma, Z., Lee, S., Yu, H., Hemphill, L., A bibliometric review of large language models research from 2017 to 2023 (2023) arXiv, 2304, p. 02020; Feerick, E., Clerkin, A., Cosgrove, J., Teachers’ understanding of the concept of “embedding” digital technology in education (2022) Irish Educ. Stud, 41, pp. 27-39; Fernández, A., Gómez, B., Binjaku, K., Meçe, E.K., Digital transformation initiatives in higher education institutions: a multivocal literature review (2023) Educ. Inf. Technol, pp. 1-32. , 37361743 PMID; Galperin, H., (2017), https://unesdoc.unesco.org/ark:/48223/pf0000262860_eng, (, ) ‘Digital society: gaps and challenges for digital inclusion Latin America and the Caribbean’. UNESCO Office Montevideo and Regional Bureau for Science Latin America and the Caribbean; García-Morales, V.J., Garrido-Moreno, A., Martín-Rojas, R., The transformation of higher education after the COVID disruption: emerging challenges in an online learning scenario (2021) Front. Psychol, 12, p. 616059. , 33643144, :,, PMID; Garzón Artacho, E., Martínez, T.S., Ortega Martín, J.L., Marín Marín, J.A., Gómez García, G., Teacher training in lifelong learning—the importance of digital competence in the encouragement of teaching innovation (2020) Sustainability, 12, p. 2852; George, G., Thomas, M.R., Quarantined effects and strategies of college students – COVID-19 (2021) Asian Educ. Dev. Stud, 10, pp. 565-573; Giang, N.T.P., Dien, T.T., Khoa, T.T.M., Sentiment analysis for university students’ feedback (2020) Advances in information and communication, pp. 55-66. , Arai K., Kapoor S., Bhatia R., (eds), Cham, Springer International Publishing, eds., (, :, (Advances Intelligent Systems and Computing; Golden, J., Kohlbeck, M., Addressing cheating when using test bank questions in online classes (2020) J. Account. Educ, 52, p. 100671; Gorjón, L., Osés, A., The negative impact of information and communication technologies overuse on student performance: evidence from OECD countries (2023) J. Educ. Comput. Res, 61, pp. 723-765; Hodges, C.B., Moore, S., Lockee, B.B., Trust, T., Bond, M.A., (2020), https://er.educause.edu/articles/2020/3/the-difference-between-emergency-remote-teaching-and-online-learning, (, ) ‘The difference between emergency remote teaching and online learning’, 27; (2018), https://internationalfaculty.tec.mx/sites/g/files/vgjovo1851/files/tec21-model.pdf, (, ) ‘TEC 21 educational model’. Instituto Tecnológico y de Estudios Superiores de Monterrey; Itten, R., Hischier, R., Andrae, A.S.G., Bieser, J.C.T., Cabernard, L., Falke, A., Digital transformation—life cycle assessment of digital services, multifunctional devices and cloud computing (2020) Int. J. Life Cycle Assess, 25, pp. 2093-2098; Khan, N., Sarwar, A., Chen, T.B., Khan, S., Connecting digital literacy in higher education to the 21st century workforce (2022) Knowl. Manag. E-Learn. Int. J, 14, pp. 46-61; Klein, M., Leadership characteristics in the era of digital transformation (2020) Bus. Manag. Stud. Int. J, 8, pp. 883-902; Kraus, S., Durst, S., Ferreira, J.J., Veiga, P., Kailer, N., Weinmann, A., Digital transformation in business and management research: an overview of the current status quo (2022) Int. J. Inf. Manag, 63, p. 102466; Kraus, S., Jones, P., Kailer, N., Weinmann, A., Chaparro-Banegas, N., Roig-Tierno, N., Digital transformation: an overview of the current state of the art of research (2021) SAGE Open, 11. , 215824402110475; Krouska, A., Troussas, C., Sgouropoulou, C., Mobile game-based learning as a solution in COVID-19 era: modeling the pedagogical affordance and student interactions (2022) Educ. Inf. Technol, 27, pp. 229-241. , 34316285, PMID; Kumar, V., Alshazly, H., Idris, S.A., Bourouis, S., Evaluating the impact of COVID-19 on society, environment, economy, and education (2021) Sustainability, 13, p. 13642; Llerena-Izquierdo, J., Ayala-Carabajo, R., University teacher training during the COVID-19 emergency: the role of online teaching-learning tools (2021) Information technology and systems, pp. 90-99. , Rocha Á., (ed), Cham, Springer International Publishing, eds., (, :, (Advances Intelligent Systems and Computing; Ludvigsen, S.R., Mørch, A.I., Computer-supported collaborative learning: basic concepts, multiple perspectives, and emerging trends (2010) Int. Encycl. Educ, 5, pp. 290-296. , Elsevier; Maechler, M., (2022), https://CRAN.R-project.org/package=cluster, (, ) ‘Cluster: cluster analysis basics and extensions’; Mamani, N.M., García-Peñalvo, F.J., Conde, M.Á., Gonçalves, J., (2021), (, ) ‘A systematic maing about simulators and remote laboratories using hardware the loop and robotic: developing STEM/STEAM skills pre-university education’, 2021 international symposium on computers education (SIIE). 2021 international symposium on computers education (SIIE), Malaga, Spain: IEEE,. 1–6; Mhlanga, D., Open AI in education, the responsible and ethical use of ChatGPT towards lifelong learning (2023) SSRN Electr. J, pp. 1-19; Mhlanga, D., Denhere, V., Moloi, T., COVID-19 and the key digital transformation lessons for higher education institutions in South Africa (2022) Educ. Sci, 12, p. 464; Miller, J.P., (2019) The holistic curriculum, , Third edition, Toronto Buffalo London, University of Toronto Press; Miranda, J., Navarrete, C., Noguez, J., Molina-Espinosa, J.M., Ramírez-Montoya, M.S., Navarro-Tuch, S.A., The core components of education 4.0 in higher education: three case studies in engineering education (2021) Comput. Electr. Eng, 93, p. 107278; Miseliunaite, B., Kliziene, I., Cibulskas, G., Can holistic education solve the World’s problems: a systematic literature review (2022) Sustainability, 14, p. 9737; Misirlis, N., Munawar, H.B., An analysis of the technology acceptance model in understanding university students behavioral intention to use metaverse technologies (2023) arXiv, 2302, p. 02176; Mondragon-Estrada, E., Camacho-Zuniga, C., Undergraduate’s perspective on being an effective online student during lockdown due to COVID-19 pandemic: an educational data mining study (2021) 2021 machine learning-driven digital Technologies for Educational Innovation Workshop, pp. 1-5. , Monterrey, Mexico, IEEE; Moust, J., Bouhuijs, P., Schmidt, H., (2021) Introduction to problem-based learning: a guide for students, , 4th, London, Routledge, Edn; Olimov, S.S., Mamurova, D.I., Information Technology in Education (2022) J. Adv. Res. Sci. Prog, 1, pp. 17-22; Peimani, N., Kamalipour, H., Online education and the COVID-19 outbreak: a case study of online teaching during lockdown (2021) Educ. Sci, 11, p. 72; Pérez, J.M., Furman, D.A., Alemany, L.A., Luque, F., RoBERTuito: a pre-trained language model for social media text in Spanish (2021) arXiv, 2111, p. 09453. , a; Pérez, J.M., Giudici, J.C., Luque, F., Pysentimiento: a Python toolkit for sentiment analysis and SocialNLP tasks (2021) arXiv, 2106, p. 09462. , b; Perez-Poch, A., López, D., (2016), (, ) ‘Do differences exist between how engineering and non-engineering lecturers perceive the importance of teaching competences?’, in. 2016 IEEE Frontiers Education Conference (FIE), Erie, PA, USA: IEEE,. 1–8; Pozas, M., Letzel, V., Do you think you have what it takes?” – exploring predictors of pre-service teachers Prospective ICT Use’ (2023) Technol. Knowl. Learn, 28, pp. 823-841; Pozo-Rico, T., Gilar-Corbí, R., Izquierdo, A., Castejón, J.L., Teacher training can make a difference: tools to overcome the impact of COVID-19 on primary schools. An experimental study (2020) Int. J. Environ. Res. Public Health, 17, p. 8633. , 33233750, :,, PMID; Pradhan, S., Madihally, S.V., Teaching process simulators during COVID-19 pandemic: analysis on the digitalization of a dry laboratory (2022) J. Chem. Educ, 99, pp. 3007-3019; (2022), https://www.R-project.org/, (, ) ‘R: A language and environment for statistical computing’. Vienna, Austria: R Foundation for Statistical Computing; Reese, H.W., The learning-by-doing principle (2011) Behav. Dev. Bull, 17, pp. 1-19; Rosli, M.S., Saleh, N.S., Technology enhanced learning acceptance among university students during Covid-19: integrating the full spectrum of self-determination theory and self-efficacy into the technology acceptance model (2022) Curr. Psychol, pp. 1-20. , 35370388, PMID; Sahu, I., Majumdar, D., (2017), (, ) ‘Detecting factual and non-factual content news articles’, Proceedings of the Fourth ACM IKDD Conferences on Data Sciences. CODS ‘17: Fourth ACM IKDD Conferences on Data Sciences, Chennai India: ACM,. 1–12; Salas-Pilco, S.Z., Yang, Y., Zhang, Z., Student engagement in online learning in Latin American higher education during the COVID-19 pandemic: a systematic review (2022) Br. J. Educ. Technol, 53, pp. 593-619. , 35600418, PMID; Scherak, L., Rieckmann, M., Developing ESD competences in higher education institutions—staff training at the University of Vechta (2020) Sustainability, 12, p. 10336; Seale, J., (2020) Improving accessible digital practices in higher education: Challenges and new practices for inclusion, , Cham, Springer International Publishing, (ed; Serianni, B.A., Coy, K., Doing the math: supporting students with disabilities in online courses (2014) Teach. Except. Child, 46, pp. 102-109; Shen, C., Ho, J., Technology-enhanced learning in higher education: a bibliometric analysis with latent semantic approach (2020) Comput. Hum. Behav, 104, p. 106177; Silge, J., Robinson, D., Tidytext: text mining and analysis using tidy data principles in R (2016) J. Open Source Softw, 1, p. 37; Sonsona, D.A., Talidong, K.J.B., Toquero, C.M.D., Game-based learning: reinforcing a paradigm transition on pedagogy amid COVID-19 to complement emergency online education (2021) Int. J. Didact. Stud, 2; Tabatabai, S., Simulations and virtual learning supporting clinical education during the COVID 19 pandemic (2020) Adv. Med. Educ. Pract, 11, pp. 513-516. , 32821192, PMID; Tan, L., Kim, B., Learning by doing in the digital media age (2015) New media and learning in the 21st century, pp. 181-197. , Lin T.-B., Chen V., Chai C.S., (eds), Singapore, Springer, eds., (, :, Singapore (Education Innovation Series; Teixeira, A.F., Gonçalves, M.J.A., Taylor, M.D.L.M., How higher education institutions are driving to digital transformation: a case study (2021) Educ. Sci, 11, p. 636; Theobald, E.J., Hill, M.J., Tran, E., Agrawal, S., Arroyo, E.N., Behling, S., Active learning narrows achievement gaps for underrepresented students in undergraduate science, technology, engineering, and math (2020) Proc. Natl. Acad. Sci, 117, pp. 6476-6483. , 32152114, PMID; Tobias, S., Fletcher, J.D., Wind, A.P., Game-based learning (2014) Handbook of research on educational communications and technology, pp. 485-503. , Spector J.M., (ed), Springer New York, New York, NY, eds; Utomo, M.N.Y., Sudayanto, M., Saddhono, K., Tools and strategy for distance learning to respond COVID-19 pandemic in Indonesia (2020) Ingénierie des Systèmes d’Inform, 25, pp. 383-390; Vial, G., Understanding digital transformation: a review and a research agenda (2019) J. Strateg. Inf. Syst, 28, pp. 118-144; Vikas, S., Mathur, A., An empirical study of student perception towards pedagogy, teaching style and effectiveness of online classes (2022) Educ. Inf. Technol, 27, pp. 589-610. , 34720659, PMID; Wang, Q., Zhao, G., Exploring the influence of technostress creators on in-service teachers’ attitudes toward ICT and ICT adoption intentions (2023) Br. J. Educ. Technol, pp. 1-19; Wati, I.F., (2020), (, ) ‘Digital game-based learning as a solution to fun learning challenges during the Covid-19 pandemic’: Proceedings of the 1 st International Conference on Information Technology and Education (ICITE 2020). 1st International Conference on Information Technology and Education (ICITE 2020), Malang, Indonesia: Atlantis Press; Yang, Y., Liu, K., Li, M., Li, S., Students’ affective engagement, parental involvement, and teacher support in emergency remote teaching during the COVID-19 pandemic: evidence from a cross-sectional survey in China (2022) J. Res. Technol. Educ, 54, pp. S148-S164; Yew, E.H.J., Goh, K., Problem-based learning: an overview of its process and impact on learning (2016) Health Prof. Educ, 2, pp. 75-79; Yu, J., Denham, A.R., Searight, E., A systematic review of augmented reality game-based learning in STEM education (2022) Educ. Technol. Res. Dev, 70, pp. 1169-1194; Zaoui, F., Souissi, N., Roadmap for digital transformation: a literature review (2020) Procedia Comput Sci, 175, pp. 621-628; Zhang, L., Carter, R.A., Jr., Qian, X., Yang, S., Rujimora, J., Wen, S., Academia’s responses to crisis: a bibliometric analysis of literature on online learning in higher education during COVID-19 (2022) Br. J. Educ. Technol, 53, pp. 620-646. , 35600420, PMID; Zhang, X., Xu, Y.Y., Ma, L., Information technology investment and digital transformation: the roles of digital transformation strategy and top management (2023) Bus. Process. Manag. J, 29, pp. 528-549; в в : и (2020), 24, pp. 72-81. , Открытое образование Штыхно Константинова Гагиев</t>
  </si>
  <si>
    <t>Mondragon-Estrada, E., School of Engineering and Sciences, Tecnologico de Monterrey, Monterrey, Mexico; Kirschning, I., School of Engineering, Universidad de las Américas Puebla, Puebla, Mexico; Nolazco-Flores, J.A., Institute for the Future of Education, Tecnologico de Monterrey, Monterrey, Mexico; Camacho-Zuñiga, C., School of Engineering and Sciences, Tecnologico de Monterrey, Monterrey, Mexico, Institute for the Future of Education, Tecnologico de Monterrey, Monterrey, Mexico</t>
  </si>
  <si>
    <t>57579391300;6508226887;9732640700;6504213461;</t>
  </si>
  <si>
    <t>Mondragon-Estrada E., Kirschning I., Nolazco-Flores J.A., Camacho-Zuñiga C.</t>
  </si>
  <si>
    <t>Intl. J. Adv. Comput. Sci. Appl.</t>
  </si>
  <si>
    <t>Sutirtha, S. R., Giorgia, D., Elizabeth, R., A growing crisis: Work, workers and wellbeing in myanmar? (2023) World Bank, Tech. Rep, , [1]; Nikoloski, Z., Smith-Govoni, R., (2023) Covid-19, coup d’etat and poverty, , [2] United Nations(UN), Tech. Rep; of Myanmar, G. N. L., (2022) Youths keen on going overseas for work, , [3] May; Smedt, J., Vrang, M., Papantoniou, A., (2015) Esco: Towards a semantic web for the european labor market, 1409. , [4] 01; (2023) O*net 27.3 database, , https://www.onetcenter.org/database.html, [5]; Grüger, J., Schneider, G. J., (2019) Automated analysis of job requirements for computer scientists in online job advertisements, pp. 226-233. , [6]; Maria, P., Nikolaos, M., Lefteris, A., Mining people analytics from stackoverflow job advertisements (2017) 2017 43rd Euromicro Conference on Software Engineering and Advanced Applications (SEAA), pp. 108-115. , [7] in; Kennan, M. A., Cecez-Kecmanovic, D., Willard, P., Wilson, C. S., (2009) Is knowledge and skills sought by employers: A content analysis of australian is early career online job advertisements, 15 (2), pp. 169-190. , [8]; José-García, A., Sneyd, A., C3-ioc: A career guidance system for assessing student skills using machine learning and network visualisation (2022) International Journal of Artificial Intelligence in Education, pp. 1-28. , [9]; Khaouja, I., Kassou, I., Ghogho, M., A survey on skill identification from online job ads (2021) IEEE Access, PP, pp. 1-1. , [10] 08; (2023) Open ai: Gpt-4, , https://openai.com/product/gpt-4, [11]; Hoes, E., Altay, S., Bermeo, J., (2023) Leveraging chatgpt for efficient fact-checking, , [12]; Dai, H., Liu, Z., Liao, W., (2023) Auggpt: Leveraging chatgpt for text data augmentation, , [13]; (2023) Jobsdb, , https://th.jobsdb.com/th, [14]; (2023) Jobbkk, , https://www.jobbkk.com/, [15]; (2023) Job postings for thailand industries, facebook group 1, , https://www.facebook.com/groups/3517244485171573, [16]; (2022) Job postings for thailand industries, facebook group 2, , https://www.facebook.com/groups/565407345189563, [17]; (2023) Job postings for thailand industries, facebook group 3, , https://www.facebook.com/groups/417434729384306/, [18]; (2020) Job postings for migrant workers in thailand, facebook group 4, , https://www.facebook.com/groups/1764364050271625/, [19]; (2020) Job postings for migrant workers in thailand, facebook group 5, , https://www.facebook.com/groups/601115987172804/, [20]; (2023) Job recruitment agency - 1, 2023, , https://www.facebook.com/Polestar.Employment.Agency/, [21]; (2022) Job recruitment agency - 2, 2023, , https://www.facebook.com/profile.php?id=100084530810886, [22]; (2023) Job recruitment agency - 3, 2023, , https://www.facebook.com/popoaung.company.limited, [23]</t>
  </si>
  <si>
    <t>The authors would like to thank the researchers and data analysts from Women in Tech (Myanmar) for collecting the job advertisements manually.</t>
  </si>
  <si>
    <t>Thida, M., Department of Computer Engineering, Chiang Mai University, Chiang Mai, Thailand</t>
  </si>
  <si>
    <t>24829932800;</t>
  </si>
  <si>
    <t>Leung, T.I.; Department of Internal Medicine (adjunct), Canada; email: tiffany.leung@jmir.org</t>
  </si>
  <si>
    <t>Schmader, T, Whitehead, J, Wysocki, VH., A linguistic comparison of letters of recommendation for male and female chemistry and biochemistry job applicants (2007) Sex Roles, 57 (7-8), pp. 509-514. , [FREE Full text] [doi] [Medline: 18953419]; Bernstein, RH, Macy, MW, Williams, WM, Cameron, CJ, Williams-Ceci, SC, Ceci, SJ., Assessing gender bias in particle physics and social science recommendations for academic jobs (2022) Soc Sci, 11 (2), p. 74. , Feb 14; [doi]; Houser, C, Lemmons, K., Implicit bias in letters of recommendation for an undergraduate research internship (2017) J Furth High Educ, 42 (5), pp. 585-595. , Apr 24; [doi]; Grimm, LJ, Redmond, RA, Campbell, JC, Rosette, AS., Gender and racial bias in radiology residency letters of recommendation (2020) J Am Coll Radiol, 17 (1), pp. 64-71. , Jan;(Pt A): [doi] [Medline: 31494103]; Madera, JM, Hebl, MR, Martin, RC., Gender and letters of recommendation for academia: agentic and communal differences (2009) J Appl Psychol, 94 (6), pp. 1591-1599. , Nov; [doi] [Medline: 19916666]; Trix, F, Psenka, C., Exploring the color of glass: Letters of recommendation for female and male medical faculty (2003) Discourse &amp; Society, 14 (2), pp. 191-220. , Mar; [doi]; Madera, JM, Hebl, MR, Dial, H, Martin, R, Valian, V., Raising doubt in letters of recommendation for academia: Gender differences and their impact (2018) J Bus Psychol, 34, pp. 287-303. , Apr 26;: [doi]; Sarraf, D, Vasiliu, V, Imberman, B, Lindeman, B., Use of artificial intelligence for gender bias analysis in letters of recommendation for general surgery residency candidates (2021) Am J Surg, 222 (6), pp. 1051-1059. , Dec; [doi] [Medline: 34674847]; Heath, JK, Weissman, GE, Clancy, CB, Shou, H, Farrar, JT, Dine, CJ., Assessment of gender-based linguistic differences in physician trainee evaluations of medical faculty using automated text mining (2019) JAMA Netw Open, 2 (5), p. e193520. , May 03; [FREE Full text] [doi] [Medline: 31074813]; Alexander, CS., Text mining for bias: A recommendation letter experiment (2022) American Business Law Journal, 59 (1), pp. 5-59. , Apr 06; [doi]; Introducing ChatGPT Plus. OpenAI, , https://openai.com/blog/chatgpt-plus, [accessed 2023-06-11]; Klein, R, Julian, KA, Snyder, ED, Koch, J, Ufere, NN, Volerman, A, Gender bias in resident assessment in graduate medical education: Review of the literature (2019) J Gen Intern Med, 34 (5), pp. 712-719. , May; [FREE Full text] [doi] [Medline: 30993611]; Arora, VM, Carter, K, Babcock, C., Bias in assessment needs urgent attention-no rest for the "Wicked" (2022) JAMA Netw Open, 5 (11), p. e2243143. , Nov 01; [FREE Full text] [doi] [Medline: 36409501]; Mamtani, M, Shofer, F, Scott, K, Kaminstein, D, Eriksen, W, Takacs, M, Gender differences in emergency medicine attending physician comments to residents: A qualitative analysis (2022) JAMA Netw Open, 5 (11), p. e2243134. , Nov 01; [FREE Full text] [doi] [Medline: 36409494]; Dayal, A, O'Connor, DM, Qadri, U, Arora, VM., Comparison of male vs female resident milestone evaluations by faculty during emergency medicine residency training (2017) JAMA Intern Med, 177 (5), pp. 651-657. , May 01; [FREE Full text] [doi] [Medline: 28264090]; (2019), https://www.worldbank.org/en/news/feature/2019/01/24/gendered-languages-may-play-a-role-in-limiting-womens-opportunities-new-research-finds, The World Bank. Jan 24. [accessed 2023-06-11]; Valian, V., (1999) Why So Slow?: The Advancement of Women, , Cambridge, MA: The MIT Press; Pennebaker, JW, Booth, RJ, Boyd, RL, Francis, ME., Linguistic Inquiry and Word Count: LIWC2015 (2015) LIWC, , http://downloads.liwc.net.s3.amazonaws.com/LIWC2015_OperatorManual.pdf, [accessed 2023-08-15]; Hovy, D., (2021) Text Analysis in Python for Social Scientists: Discovery and Exploration, , Cambridge, United Kingdom: Cambridge University Press; Jan; Welcome to LIWC-22. LIWC, , https://www.liwc.app, [accessed 2023-07-03]; Miller, DT, McCarthy, DM, Fant, AL, Li-Sauerwine, S, Ali, A, Kontrick, AV., The standardized letter of evaluation narrative: Differences in language use by gender (2019) West J Emerg Med, 20 (6), pp. 948-956. , Oct 17; [FREE Full text] [doi] [Medline: 31738723]; Dutt, K, Pfaff, DL, Bernstein, AF, Dillard, JS, Block, CJ., Gender differences in recommendation letters for postdoctoral fellowships in geoscience (2016) Nat Geosci, 9, pp. 805-808. , Oct 3;: [doi]; Friedman, R, Fang, CH, Hasbun, J, Han, H, Mady, LJ, Eloy, JA, Use of standardized letters of recommendation for otolaryngology head and neck surgery residency and the impact of gender (2017) Laryngoscope, 127 (12), pp. 2738-2745. , Dec; [doi] [Medline: 28786169]; Turrentine, FE, Dreisbach, CN, St Ivany, AR, Hanks, JB, Schroen, AT., Influence of gender on surgical residency applicants' recommendation letters (2019) J Am Coll Surg, 228 (4), pp. 356-365. , Apr; e3 [doi] [Medline: 30630084]; Catalyst, , https://www.catalyst.org/biascorrect-install/, BiasCorrect install. [accessed 2023-08-02]; Schmidt, B., Gendered language in teaching evaluations https://benschmidt.org/profGender/, Ben Schmidt blog. [accessed 2023-08-02]; Forth, T., Gender bias calculator https://www.tomforth.co.uk/genderbias/, Tom Forth blog. [accessed 2023-08-02]; Miller, SM, Davenport, T., AI and the future of work: What we know today (2022) Tom Davenport, , https://www.tomdavenport.com/ai-and-the-future-of-work-what-we-know-today/, [accessed 2023-06-11]; Shen, Y, Heacock, L, Elias, J, Hentel, KD, Reig, B, Shih, G, ChatGPT and other large language models are double-edged swords (2023) Radiology, 307 (2), p. e230163. , Apr; [doi] [Medline: 36700838]; Introducing ChatGPT. OpenAI, , https://openai.com/blog/chatgpt, [accessed 2023-08-02]; Meta and Microsoft introduce the next generation of Llama (2023) Meta AI, , https://ai.meta.com/blog/llama-2/, Jul 18. [accessed 2023-08-02]; Rozado, D., The political biases of ChatGPT (2023) Soc Sci, 12 (3), p. 148. , Mar 02; [doi]; Hartmann, J, Schwenzow, J, Witte, M., (2023) The political ideology of conversational AI: Converging evidence on ChatGPT's pro-environmental, left-libertarian orientation, , arXiv. Preprint posted online on January 5, [FREE Full text]; Cao, Y, Zhou, L, Lee, S, Cabello, L, Chen, M, Hershcovich, D., Assessing cross-cultural alignment between ChatGPT and human societies: An empirical study, , arXiv. Preprint posted online on March 31, 2023. [FREE Full text]; Ferrara, E., Should ChatGPT be biased? Challenges and risks of bias in large language models, , arXiv. Preprint posted online on April 18, 2023. [FREE Full text]; Leung, TI, Ancker, JS, Cimino, JJ, Ross, H, Wu, H., S104: panel - an unseen art: Writing letters of support and nomination to promote diversity, equity, and inclusion in informatics 2020 Presented at: 2020 American Medical Informatics Association (AMIA) Annual Symposium, , November 18, 2020; Virtual Conference; The state of women in academic medicine, , https://www.aamc.org/data-reports/data/2018-2019-state-women-academic-medicine-exploring-pathways-equity, Association of American Medical Colleges. [accessed 2023-08-02]; Joseph, MM, Ahasic, AM, Clark, J, Templeton, K., State of women in medicine: History, challenges, and the benefits of a diverse workforce (2021) Pediatrics, 148, p. e2021051440C. , Sep 01;(Suppl 2): [doi] [Medline: 34470878]; Richter, KP, Clark, L, Wick, JA, Cruvinel, E, Durham, D, Shaw, P, Women physicians and promotion in academic medicine (2020) N Engl J Med, 383 (22), pp. 2148-2157. , Nov 26; [doi] [Medline: 33252871]; Jackson, J, Landis, G, Baskin, PK, Hadsell, KA, English, M, CSE guidance on machine learning and artificial intelligence tools (2023) Science Editor, 46 (2), p. sed460207. , May 1; [doi]; Zielinski, C, Winker, MA, Aggarwal, R, Ferris, LE, Heinemann, M, Lapeña, JFJ, Chatbots, generative AI, and scholarly manuscripts (2023), https://wame.org/page3.php?id=106, WAME Board. World Association of Medical Editors. [accessed 2023-08-08]; Stokel-Walker, C., ChatGPT listed as author on research papers: many scientists disapprove (2023) Nature, 613 (7945), pp. 620-621. , Jan; [doi] [Medline: 36653617]; Drage, E, Mackereth, K., Does AI debias recruitment? Race, gender, and AI's "Eradication of Difference" (2022) Philos Technol, 35 (4), p. 89. , [FREE Full text] [doi] [Medline: 36246553]; Steinpreis, RE, Anders, KA, Ritzke, D., The impact of gender on the review of the curricula vitae of job applicants and tenure candidates: A national empirical study (1999) Sex Roles, 41, pp. 509-528. , Oct;: [doi]; Wenneras, C, Wold, A., Nepotism and sexism in peer-review (1997) Nature, 387 (6631), pp. 341-343. , May 22; [doi] [Medline: 9163412]; Automated employment decision tools, , https://portal.311.nyc.gov/article/?kanumber=KA-03552, NYC311. [accessed 2023-08-02]; Thakur, V., Unveiling gender bias in terms of profession across LLMs: Analyzing and addressing sociological implications, , arXiv. Preprint posted online on July 18, 2023. [FREE Full text]; Rodriguez, N, Kintzer, E, List, J, Lypson, M, Grochowalski, JH, Marantz, PR, Implicit bias recognition and management: Tailored instruction for faculty (2021) J Natl Med Assoc, 113 (5), pp. 566-575. , Oct; [FREE Full text] [doi] [Medline: 34140145]; Hemmer, PA, Karani, R., Let's face it: We are biased, and it should not be that way (2019) J Gen Intern Med, 34 (5), pp. 649-651. , May; [FREE Full text] [doi] [Medline: 30993617]; Gerull, KM, Loe, M, Seiler, K, McAllister, J, Salles, A., Assessing gender bias in qualitative evaluations of surgical residents (2019) Am J Surg, 217 (2), pp. 306-313. , Feb; [FREE Full text] [doi] [Medline: 30343879]; Smith, DG, Rosenstein, JE, Nikolov, MC, Chaney, DA., The power of language: Gender, status, and agency in performance evaluations (2018) Sex Roles, 80, pp. 159-171. , May 3;: [doi]; Sheffield, V, Hartley, S, Stansfield, RB, Mack, M, Blackburn, S, Vaughn, VM, Gendered expectations: the impact of gender, evaluation language, and clinical setting on resident trainee assessment of faculty performance (2022) J Gen Intern Med, 37 (4), pp. 714-722. , Mar; [FREE Full text] [doi] [Medline: 34405349]; Ross, DA, Boatright, D, Nunez-Smith, M, Jordan, A, Chekroud, A, Moore, EZ., Differences in words used to describe racial and gender groups in medical student performance evaluations (2017) PLoS One, 12 (8), p. e0181659. , Aug 09; [FREE Full text] [doi] [Medline: 28792940]; Rojek, AE, Khanna, R, Yim, JWL, Gardner, R, Lisker, S, Hauer, KE, Differences in narrative language in evaluations of medical students by gender and under-represented minority status (2019) J Gen Intern Med, 34 (5), pp. 684-691. , May; [FREE Full text] [doi] [Medline: 30993609]; Stack, TJ, Berk, GA, Ho, TD, Zeatoun, A, Kong, KA, Chaskes, MB, Racial and ethnic bias in letters of recommendation and personal statements for application to otolaryngology residency (2023) ORL J Otorhinolaryngol Relat Spec, 85 (3), pp. 141-149. , [doi] [Medline: 37040732]; Jiang, Z, Xu, FF, Araki, J, Neubig, G., How can we know what language models know? (2020) Trans Assoc Comput Linguist, 8, pp. 423-438. , [doi]; Bates, C, Gordon, L, Travis, E, Chatterjee, A, Chaudron, L, Fivush, B, Striving for gender equity in academic medicine careers: A call to action (2016) Acad Med, 91 (8), pp. 1050-1052. , Aug; [FREE Full text] [doi] [Medline: 27332868]; Leung, TI, Barrett, E, Lin, TL, Moyer, DV., Advancing from perception to reality: How to accelerate and achieve gender equity now (2019) Perspect Med Educ, 8 (6), pp. 317-319. , Dec; [FREE Full text] [doi] [Medline: 31755023]; Sagar, A, Henry, T, Shroff, S, Leung, TI., Best practices: Reading between the lines to promote diversity, equity, and inclusion SGIM Forum, , https://connect.sgim.org/sgimforum/viewdocument/reading-between-the-lines-to-promo, [accessed 2023-06-11]; Leung, T, Sagar, A, Henry, TL, Shroff, S., SGIM2022: Recognizing and reducing bias in letters of support and performance evaluations in 360 degrees (2022) 2023 Presented at: 2022 Annual Meeting of the Society of General Internal Medicine, , April 9, Orlando, FL [doi]</t>
  </si>
  <si>
    <t>This article is inspired by previous related work published by the authors in the official newsletter of the Society of General Internal Medicine, SGIM Forum [59], and a workshop presentation by the authors at the 2022 Annual Meeting of the Society of General Internal Medicine [60].</t>
  </si>
  <si>
    <t>Society of General Internal Medicine, SGIM</t>
  </si>
  <si>
    <t>Leung, T.I., Department of Internal Medicine (adjunct), Southern Illinois University School of Medicine, Toronto, ON, Canada, JMIR Publications, Toronto, ON, Canada, JMIR Publications, 130 Queens Quay East Unit, 1100, Toronto, ON  M5A 0P6, Canada; Sagar, A., CommonSpirit Health, Chicago, IL, United States, Creighton University School of Medicine, Omaha, NE, United States; Shroff, S., Division of Internal Medicine, Thomas Jefferson University, Philadelphia, PA, United States; Henry, T.L., Department of Medicine, Emory University School of Medicine, Atlanta, GA, United States</t>
  </si>
  <si>
    <t>Department of Internal Medicine (adjunct), Southern Illinois University School of Medicine, Toronto, ON, Canada; JMIR Publications, Toronto, ON, Canada; CommonSpirit Health, Chicago, IL, United States; Creighton University School of Medicine, Omaha, NE, United States; Division of Internal Medicine, Thomas Jefferson University, Philadelphia, PA, United States; Department of Medicine, Emory University School of Medicine, Atlanta, GA, United States; JMIR Publications, 130 Queens Quay East Unit, 1100, Toronto, ON  M5A 0P6, Canada</t>
  </si>
  <si>
    <t>57023066700;53865721000;57488897900;56599931800;</t>
  </si>
  <si>
    <t>Leung T.I., Sagar A., Shroff S., Henry T.L.</t>
  </si>
  <si>
    <t>ALSUBAIE, M. A., Hidden Curriculum as One of Current Issue of Curriculum" (PDF) (2015), https://doi.org/10.48550/arXiv.2207.14255, Journal of Education and Practice.&lt;paraend&gt;BAVARIAN, M. et al., 2022. “Efficient Training of Language Models to Fill in the Middle 28 Jul 2022; BENDER, E.M., On the Dangers of Stochastic Parrots: Can Language Models Be Too Big? (2021) Communications of the ACM, FAccT ’21, , https://DOI.ORG/10.1145/3442188.3445922, March 3–10, 2021, Virtual Event, Canada; BROWN, T. B., (2020) Language Models are Few-Shot Learners, , https://doi.org/10.48550/arXiv.2005.14165, 28 May 2020; DAYAL, D., Unsupervised NLP: Methods and Intuitions behind working with unstructured texts (2020) Medium, , https://towardsdatascience.com/unsupervised-nlp-methods-andintuitions-behind-working-with-unstructured-textsb84aa4d286da, (26/10/2020); DELSIGNORE, P., ChatGPT And The Education Problem: How Universities Need To Respond To The Challenge Of AI (2023) Medium, , https://medium.com/generative-ai/chatgpt-and-the-education-problem-30eb3f8b5351, (17/01/2023); FRENZEL, P., ChatGPT in the classroom: ban or embrace? (2023) Medium, , https://prof-frenzel.medium.com/openai-in-the-classroom-ban-or-embrace-76bac6cb417, (17/01/2023); GIROUX, H., PURPEL, D., (1983) The Hidden Curriculum and Moral Education, , https://www.youtube.com/watch?v=YELMi67whkU, Ed. Giroux, Berkeley, California: McCutchan Publishing Corporation.&lt;paraend&gt;HEATON, J., 2023. “ChatGPT Takes my Programming Machine Learning Course YouTube (2023/01/23); HEATON, J., (2022) Course Syllabus T– 81-558 Applications of Deep Neural Networks, Spring 2022, , https://data.heatonresearch.com/wustl/jheaton-t81-558-spring-2022-syllabus.pdf; LI, A., (2023) Google announces Bard, powered by LaMDA, to compete with ChatGPT, , https://9to5google.com/2023/02/06/google-bard-lamda-chatgpt/, Feb. 6th 2023; NAIK, A. R., (2023) Google Introduces ChatGPT Rival, Bard, , https://analyticsindiamag.com/googleintroduces-chatgpt-rival-bard/, (February 7, 2023); (2018) Improving Language Understanding with Unsupervised Learning, , https://openai.com/blog/language-unsupervised/, June 11, 2018; (2019) Better Language Models and Their Implications, , https://openai.com/blog/better-languagemodels/, February 14, 2019; (2021) OpenAI’s API Now Available with No Waitlist, , https://openai.com/blog/api-no-waitlist/, November 18, 2021; (2022) Aligning Language Models to Follow Instructions, , https://openai.com/blog/instruction-following/, 2022a. January 27; (2022) Introducing Whisper, , https://openai.com/blog/whisper/, (September 21,2022); (2022) ChatGPT: Optimizing Language Models for DIALOGUE, , HTTPS://OPENAI.COM/BLOG/CHATGPT/, 2022/11/30; OUYANG, L., (2022) Training language models to follow instructions with human feedback, , https://doi.org/10.48550/arXiv.2203.02155, 4/03/2022; PICHAI, S., (2023) An important next step on our AI journey, , https://blog.google/technology/ai/bard-google-aisearch-updates/, Feb 06, 2023; RADFORD, A., (2022) Robust Speech Recognition via Large-Scale Weak Supervision, , https://doi.org/10.48550/arXiv.2212.04356, 2022/12/06; RADFORD, A., NARASIMHAN, K., SALIMANS, T., SUTSKEVER, I., Improving language understanding by generative pre-training (2018) OpenAI, , https://openai.com/blog/language-unsupervised/; REVELL, J., (2023) Enter ‘Dark ChatGPT’: Users Have Hacked The AI Chatbot to Make It Evil, , https://thelatch.com.au/chat-gpt-dan/, 2023/02/09; KEVIN, ROOSE, Don’t Ban “ChatGPT” in Schools (2023), New York Times 18/01/2023; SARWAR, N., (2023) Microsoft Answers Google Bard With Surprise Event, And ChatGPT May Be On The Docket, , https://www.slashgear.com/1190514/microsoft-answers-googlebard-with-surprise-event-and-chatgpt-may-be-on-the-docket/, (6/2/2023); SHEN, J., Technologies behind ChatGPT (2022), https://medium.datadriveninvestor.com/technologies-behind-chatgpt-a9a7701e176b, Medium (5/12/2022); SHREE, P., The Journey of Open AI GPT models (2020) Medium, , https://medium.com/walmartglobaltech/thejourney-of-open-ai-gpt-models-32d95b7b7fb2, (10/11/2020); VANDAMME, F., (2023), https://lifearchitect.ai/chatgpt/, et ali., Gnostotheca, The Blue Lotus, Ghent. THOMPSON, A. D., 2023. “GPT-3.5 ChatGPT: An illustrated overview December 2022 (Updated 20/Jan/2023); VANBRUSSEL, E., Zet Microsoft Bing met superwapen ChatGPT meteen aanval in op zoekmachine van Google? (2023), https://businessam.be/bing-chatgptgoogle/, BusinessAM, 2023/02/06; VASWANI, A., SHAZEER, N., PARMAR, N., USZKOREIT, J., JONES, L., GOMEZ, A., KAISER, L., POLOSUKHIN, I., Attention Is All You Need (2017) 31st Conference on Neural Information Processing Systems (NIPS 2017), , https://doi.org/10.48550/arXiv.1706.03762, Long Beach, CA, USA; VINCENT, J., OpenAI’s new chatbot can explain code and write sitcom scripts but is still easily tricked (2022) The Verge, , https://www.theverge.com/23488017/openaichatbot-chatgpt-ai-examples-web-demo, (1/12/2022)</t>
  </si>
  <si>
    <t>Vandamme, F., Babbage Institute of Technology (Bikit)), Belgium; Kaczmarski, P., BIKEMA, Leiekaai 25-F2, Gent, 9000, Belgium</t>
  </si>
  <si>
    <t>55767590300;55767831700;</t>
  </si>
  <si>
    <t>Vandamme F., Kaczmarski P.</t>
  </si>
  <si>
    <t>Whitfield, S.; University Libraries at Rider University, 2083 Lawrenceville Road, United States; email: swhitfield@rider.edu</t>
  </si>
  <si>
    <t>(2023), https://www.semanticscholar.org/faq, Semantic Scholar FAQ. Retrieved May 5, 2023, from; Formica, A., Taglino, F., An enriched information-theoretic definition of semantic similarity in a taxonomy (2021) IEEE Access, 9, pp. 100583-100593; (2022), https://ought.org/updates/2022-04-08-elicit-plan, Ought: The plan for elicit. Retrieved April 7, 2023, from; (2023), https://elicit.org/faq, Elicit: The AI research assistant FAQ. Retrieved April 7, 2023, from; (2023), https://ought.org/mission, Ought: Mission. Retrieved April 25, 2023, from</t>
  </si>
  <si>
    <t>Whitfield, S., University Libraries at Rider University, Lawrenceville, NJ, United States; Hofmann, M.A., University Libraries at Rider University, Lawrenceville, NJ, United States</t>
  </si>
  <si>
    <t>57210415729;36482822200;</t>
  </si>
  <si>
    <t>Whitfield S., Hofmann M.A.</t>
  </si>
  <si>
    <t>Putz, F.; Department of Radiation Oncology, Germany; email: Florian.Putz@uk-erlangen.de</t>
  </si>
  <si>
    <t>Vaswani, A., Shazeer, N., Parmar, N., Uszkoreit, J., Jones, L., Gomez, A.N., Attention is all you need (2017) Adv Neural Inf Process Syst, 30. , https://papers.nips.cc/paper_files/paper/2017/hash/3f5ee243547dee91fbd053c1c4a845aa-Abstract.html, Available at: ; Brown, T., Mann, B., Ryder, N., Subbiah, M., Kaplan, J.D., Dhariwal, P., Language models are few-shot learners (2020) Adv Neural Inf Process Syst, 33; Wei, J., Wang, X., Schuurmans, D., Bosma, M., Chi, E., Le, Q., Chain of thought prompting elicits reasoning in large language models (2022) NeurIPS; Thapa, S., Adhikari, S., ChatGPT, bard, and large language models for biomedical research: opportunities and pitfalls (2023) Ann Biomed Eng, pp. 1-5; Touvron, H., Lavril, T., Izacard, G., Martinet, X., Lachaux, M.A., Lacroix, T., LLaMA: Open and efficient foundation language models (2023) arXiv preprint arXiv:2302.13971; Singhal, K., Azizi, S., Tu, T., Mahdavi, S.S., Wei, J., Chung, H.W., Large language models encode clinical knowledge (2023) Nat, 620, pp. 172-180; Wang, F.Y., Yang, J., Wang, X., Li, J., Han, Q.L., Chat with ChatGPT on industry 5.0: Learning and decision-making for intelligent industries (2023) IEEE/CAA J Autom Sin, 10; Ebrahimi, B., Howard, A., Carlson, D.J., Al-Hallaq, H., ChatGPT: Can a natural language processing tool be trusted for radiation oncology use (2023) Int J Radiat Oncol Biol Phys, 116 (5). , ?; Gu, Y., Tinn, R., Cheng, H., Lucas, M., Usuyama, N., Liu, X., Domain-specific language model pretraining for biomedical natural language processing (2021) ACM Trans Comput Healthc (Health), 3, pp. 1-23; Lee, J., Yoon, W., Kim, S., Kim, D., Kim, S., So, C.H., BioBERT: a pre-trained biomedical language representation model for biomedical text mining (2020) Bioinformatics, 36; Li, Y., Li, Z., Zhang, K., Dan, R., Jiang, S., Zhang, Y., Chatdoctor: A medical chat model fine-tuned on a large language model Meta-AI (LLaMA) using medical domain knowledge (2023) Cureus, 15 (6); Alsentzer, E., Murphy, J., Boag, W., Weng, W.H., Jindi, D., Naumann, T., Publicly available clinical BERT embeddings (2019) Proc Clin NLP Workshop; Wang, H., Liu, C., Xi, N., Qiang, Z., Zhao, S., Qin, B., Huatuo: Tuning LLaMA model with chinese medical knowledge (2023) arXiv preprint arXiv:2304.06975; Wang, S., Zhao, Z., Ouyang, X., Wang, Q., Shen, D., ChatCAD: Interactive computer-aided diagnosis on medical image using large language models (2023) arXiv preprint arXiv:2302.07257; GPT-4 technical report (2023) arXiv preprint arXiv:2303.08774; Christiano, P.F., Leike, J., Brown, T., Martic, M., Legg, S., Amodei, D., Deep reinforcement learning from human preferences (2017) Adv Neural Inf Process Syst, 30. , https://papers.nips.cc/paper_files/paper/2017/hash/d5e2c0adad503c91f91df240d0cd4e49-Abstract.html, Available at: ; Kung, T.H., Cheatham, M., Medenilla, A., Sillos, C., De Leon, L., Elepano, C., Performance of ChatGPT on USMLE: Potential for AI-assisted medical education using large language models (2023) PloS Digit Health, 2, p. e0000198; Liu, S., Wright, A.P., Patterson, B.L., Wanderer, J.P., Turer, R.W., Nelson, S.D., Using AI-generated suggestions from ChatGPT to optimize clinical decision support (2023) J Am Med Inform Assoc, 30 (7); Sahiner, B., Pezeshk, A., Hadjiiski, L.M., Wang, X., Drukker, K., Cha, K.H., Deep learning in medical imaging and radiation therapy (2019) Med Phys, 46, pp. e1-e36; Kamnitsas, K., Ledig, C., Newcombe, V.F., Simpson, J.P., Kane, A.D., Menon, D.K., Efficient multi-scale 3D CNN with fully connected CRF for accurate brain lesion segmentation (2017) Med Image Anal, 36, pp. 61-78; Huang, Y., Bert, C., Sommer, P., Frey, B., Gaipl, U., Distel, L.V., Deep learning for brain metastasis detection and segmentation in longitudinal mri data (2022) Med Phys, 49; Weissmann, T., Huang, Y., Fischer, S., Roesch, J., Mansoorian, S., Ayala Gaona, H., Deep learning for automatic head and neck lymph node level delineation provides expert-level accuracy (2023) Front Oncol, 13; Wang, H., Liu, X., Kong, L., Huang, Y., Chen, H., Ma, X., Improving cbct image quality to the ct level using reggan in esophageal cancer adaptive radiotherapy (2023) Strahlenther Onkol, pp. 1-13; Xing, Y., Nguyen, D., Lu, W., Yang, M., Jiang, S., A feasibility study on deep learning-based radiotherapy dose calculation (2020) Med Phys, 47; Yang, Y., Wang, M., Qiu, K., Wang, Y., Ma, X., Computed tomography-based deep-learning prediction of induction chemotherapy treatment response in locally advanced nasopharyngeal carcinoma (2022) Strahlenther Onkol, 198, pp. 183-193; Hagag, A., Gomaa, A., Kornek, D., Maier, A., Fietkau, R., Bert, C., Deep learning for cancer prognosis prediction using portrait photos by StyleGAN embedding (2023) arXiv preprint arXiv:2306.14596; Holmes, J., Liu, Z., Zhang, L., Ding, Y., Sio, T.T., McGee, L.A., Evaluating large language models on a highly-specialized topic, radiation oncology physics (2023) Front Oncol, 13; Rogacki, K., Gutiontov, S., Goodman, C., Jeans, E., Hasan, Y., Golden, D.W., Analysis of the radiation oncology in-training examination content using a clinical care path conceptual framework (2021) Appl Radiat Oncol, 10 (3); Palma, D.A., Yom, S.S., Bennett, K.E., Corry, J., Zietman, A.L., Introducing: The red journal gray zone (2017) Int J Radiat Oncol Biol Phys, 97, p. 1; GPT-4 system card (2023) OpenAI.com, p. 6; Mamounas, E.P., Bandos, H., White, J.R., Julian, T.B., Khan, A.J., Shaitelman, S.F., NRG Oncology/NSABP B-51/RTOG 1304: Phase III trial to determine if chest wall and regional nodal radiotherapy (CWRNRT) post mastectomy (Mx) or the addition of RNRT to whole breast rt post breast-conserving surgery (BCS) reduces invasive breast cancer recurrence-free interval (IBCR-FI) in patients (pts) with pathologically positive axillary (PPAx) nodes who are ypN0 after neoadjuvant chemotherapy (NC) (2019) J Clin Oncol, 37; Erlandsson, J., Holm, T., Pettersson, D., Berglund, A., Cedermark, B., Radu, C., Optimal fractionation of preoperative radiotherapy and timing to surgery for rectal cancer (stockholm iii): a multicentre, randomised, non-blinded, phase 3, non-inferiority trial (2017) Lancet Oncol, 18; Cats, A., Jansen, E.P., van Grieken, N.C., Sikorska, K., Lind, P., Nordsmark, M., Chemotherapy versus chemoradiotherapy after surgery and preoperative chemotherapy for resectable gastric cancer (critics): an international, open-label, randomised phase 3 trial (2018) Lancet Oncol, 19; de Boer, S.M., Powell, M.E., Mileshkin, L., Katsaros, D., Bessette, P., Haie-Meder, C., Adjuvant chemoradiotherapy versus radiotherapy alone in women with high-risk endometrial cancer (portec-3): patterns of recurrence and post-hoc survival analysis of a randomised phase 3 trial (2019) Lancet Oncol, 20; Kirchheiner, K., Nout, R.A., Lindegaard, J.C., Haie-Meder, C., Mahantshetty, U., Segedin, B., Dose–effect relationship and risk factors for vaginal stenosis after definitive radio (chemo) therapy with imageguided brachytherapy for locally advanced cervical cancer in the embrace study (2016) Radiothe Oncol, 118; Phillips, R., Shi, W.Y., Deek, M., Radwan, N., Lim, S.J., Antonarakis, E.S., Outcomes of observation vs stereotactic ablative radiation for oligometastatic prostate cancer: the oriole phase 2 randomized clinical trial (2020) JAMA Oncol, 6; Amin, M.B., Greene, F.L., Edge, S.B., Compton, C.C., Gershenwald, J.E., Brookland, R.K., The eighth edition AJCC cancer staging manual: continuing to build a bridge from a population-based to a more “personalized” approach to cancer staging (2017) CA: Cancer J Clin, 67; Al-Rashdan, A., Cao J. A viewpoint on isolated contralateral axillary lymph node involvement by breast cancer: regional recurrence or distant metastasis (2022) Int J Radiat Oncol Biol Phys, 113, p. 489. , ?; Tremont, A., Lu, J., Cole, J.T., Endocrine therapy for early breast cancer: updated review (2017) Ochsner J, 17; Tchelebi, L.T., Sowing the seeds: A case of oligometastatic anal cancer 12 years after prostate brachytherapy (2022) Int J Radiat Oncol Biol Phys, 114; Scarpelli, D., Jaboin, J.J., Exploring the role of resection post-radiation therapy in gliomas (2022) Int J Radiat Oncol Biol Phys, 113, p. 11; Prpic, M., Murgic, J., Frobe, A., Radiation therapy for cure or palliation: Case of the immunosuppressed patient with multiple primary cancers and liver transplant (2022) Int J Radiat Oncol Biol Phys, 112; Johnson, J., Kudrimoti, M., Kaushal, A., Synopsis of supraclavicular sarcoma: synthesis of stratagem and solutions (2021) Int J Radiat Oncol Biol Phys, 112, pp. 4-5. , https://www.redjournal.org/article/S0360-3016(21)00466-1/fulltext; Berghen, C., De Meeler, G., Postoperative radiation therapy in prostate cancer: Timing, duration of hormonal treatment and the use of PSMA PET-CT (2022) Int J Radiat Oncol Biol Phys, 113; Hottinger, A.F., Pacheco, P., Stupp, R., Tumor treating fields: a novel treatment modality and its use in brain tumors (2016) Neuro-Oncol, 18; Goodman, C.R., Strauss, J.B., One way or another: An oligorecurrence after an oligometastasis of an estrogen receptor-positive breast cancer (2022) Int J Radiat Oncol Biol Phys, 114; Oertel, M., Pepper, N.B., Schmitz, M., Becker, J.C., Eich, H.T., Digital transfer in radiation oncology education for medical students—single-center data and systemic review of the literature (2022) Strahlenther Onkol, 198; Shin, M., Kim, J., van Opheusden, B., Griffiths, T.L., Superhuman artificial intelligence can improve human decision-making by increasing novelty (2023) PNAS, 120. , e2214840120; Azamfirei, R., KudChadkar, S.R., Fackler, J., Large language models and the perils of their hallucinations (2023) Crit Care, 27, pp. 1-2; Waisberg, E., Ong, J., Masalkhi, M., Kamran, S.A., Zaman, N., Sarker, P., GPT-4: a new era of artificial intelligence in medicine (2023) Ir J Med Sci, pp. 1-4; Gilbert, S., Harvey, H., Melvin, T., Vollebregt, E., Wicks, P., Large language model ai chatbots require approval as medical devices (2023) Nat Med, pp. 1-3; Touvron, H., Martin, L., Stone, K., Albert, P., Almahairi, A., Babaei, Y., Llama 2: Open foundation and fine-tuned chat models (2023) arXiv preprint arXiv:2307.09288; Singhal, K., Tu, T., Gottweis, J., Sayres, R., Wulczyn, E., Hou, L., Towards expert-level medical question answering with large language models (2023) arXiv preprint arXiv:2305.09617</t>
  </si>
  <si>
    <t>The authors declare no financial support was received for the research, authorship, and/or publication of this article.</t>
  </si>
  <si>
    <t>Huang, Y., Department of Radiation Oncology, University Hospital Erlangen, Friedrich-Alexander-Universität Erlangen-Nürnberg, Erlangen, Germany, Comprehensive Cancer Center Erlangen-EMN (CCC ER-EMN), Erlangen, Germany; Gomaa, A., Department of Radiation Oncology, University Hospital Erlangen, Friedrich-Alexander-Universität Erlangen-Nürnberg, Erlangen, Germany, Comprehensive Cancer Center Erlangen-EMN (CCC ER-EMN), Erlangen, Germany; Semrau, S., Department of Radiation Oncology, University Hospital Erlangen, Friedrich-Alexander-Universität Erlangen-Nürnberg, Erlangen, Germany, Comprehensive Cancer Center Erlangen-EMN (CCC ER-EMN), Erlangen, Germany; Haderlein, M., Department of Radiation Oncology, University Hospital Erlangen, Friedrich-Alexander-Universität Erlangen-Nürnberg, Erlangen, Germany, Comprehensive Cancer Center Erlangen-EMN (CCC ER-EMN), Erlangen, Germany; Lettmaier, S., Department of Radiation Oncology, University Hospital Erlangen, Friedrich-Alexander-Universität Erlangen-Nürnberg, Erlangen, Germany, Comprehensive Cancer Center Erlangen-EMN (CCC ER-EMN), Erlangen, Germany; Weissmann, T., Department of Radiation Oncology, University Hospital Erlangen, Friedrich-Alexander-Universität Erlangen-Nürnberg, Erlangen, Germany, Comprehensive Cancer Center Erlangen-EMN (CCC ER-EMN), Erlangen, Germany; Grigo, J., Department of Radiation Oncology, University Hospital Erlangen, Friedrich-Alexander-Universität Erlangen-Nürnberg, Erlangen, Germany, Comprehensive Cancer Center Erlangen-EMN (CCC ER-EMN), Erlangen, Germany; Tkhayat, H.B., Department of Radiation Oncology, University Hospital Erlangen, Friedrich-Alexander-Universität Erlangen-Nürnberg, Erlangen, Germany, Pattern Recognition Lab, Friedrich-Alexander-Universität Erlangen-Nürnberg, Erlangen, Germany; Frey, B., Department of Radiation Oncology, University Hospital Erlangen, Friedrich-Alexander-Universität Erlangen-Nürnberg, Erlangen, Germany, Comprehensive Cancer Center Erlangen-EMN (CCC ER-EMN), Erlangen, Germany; Gaipl, U., Department of Radiation Oncology, University Hospital Erlangen, Friedrich-Alexander-Universität Erlangen-Nürnberg, Erlangen, Germany, Comprehensive Cancer Center Erlangen-EMN (CCC ER-EMN), Erlangen, Germany; Distel, L., Department of Radiation Oncology, University Hospital Erlangen, Friedrich-Alexander-Universität Erlangen-Nürnberg, Erlangen, Germany, Comprehensive Cancer Center Erlangen-EMN (CCC ER-EMN), Erlangen, Germany; Maier, A., Pattern Recognition Lab, Friedrich-Alexander-Universität Erlangen-Nürnberg, Erlangen, Germany; Fietkau, R., Department of Radiation Oncology, University Hospital Erlangen, Friedrich-Alexander-Universität Erlangen-Nürnberg, Erlangen, Germany, Comprehensive Cancer Center Erlangen-EMN (CCC ER-EMN), Erlangen, Germany; Bert, C., Department of Radiation Oncology, University Hospital Erlangen, Friedrich-Alexander-Universität Erlangen-Nürnberg, Erlangen, Germany, Comprehensive Cancer Center Erlangen-EMN (CCC ER-EMN), Erlangen, Germany; Putz, F., Department of Radiation Oncology, University Hospital Erlangen, Friedrich-Alexander-Universität Erlangen-Nürnberg, Erlangen, Germany, Comprehensive Cancer Center Erlangen-EMN (CCC ER-EMN), Erlangen, Germany</t>
  </si>
  <si>
    <t>57190218062;58284137900;7801641569;36637302100;36188373700;57207843861;57715331700;58304429300;12763042700;6602782543;6701513471;23392966100;56608863700;20435731200;55908494400;</t>
  </si>
  <si>
    <t>Huang Y., Gomaa A., Semrau S., Haderlein M., Lettmaier S., Weissmann T., Grigo J., Tkhayat H.B., Frey B., Gaipl U., Distel L., Maier A., Fietkau R., Bert C., Putz F.</t>
  </si>
  <si>
    <t>28 August 2023 through 1 September 2023</t>
  </si>
  <si>
    <t>19th IFIP TC 13 International Conference on Human-Computer Interaction, INTERACT 2023</t>
  </si>
  <si>
    <t>Abdelnour Nocera J.Kristin Larusdottir M.Petrie H.Piccinno A.Winckler M.</t>
  </si>
  <si>
    <t>Garcia-Pi, B.; Texas A&amp;M UniversityUnited States; email: brinni@tamu.edu</t>
  </si>
  <si>
    <t>Erolin, C., Reid, L., McDougall, S., Using virtual reality to complement and enhance anatomy education (2019) J. Vis. Commun. Med., 42 (3), pp. 93-101. , https://doi.org/10.1080/17453054. 2019.1597626; Yee, N., Bailenson, J.N., Rickertsen, K., A meta-analysis of the impact of the inclusion and realism of human-like faces on user experiences in interfaces (2007) Conference Human Factors Computer System-Proceedings, pp. 1-10. , https://doi.org/10.1145/1240624.1240626; Nabors, L., Monnin, J., Jimenez, S., A scoping review of studies on virtual reality for individuals with intellectual disabilities (2020) Adv. Neurodev. Disord., 4, pp. 344-356; de Filippis, M.L., Preliminary results of a systematic review: Quality assessment of conversational agents (chatbots) for people with disabilities or special needs (2020) ICCHP 2020. LNCS, Vol. 12376, pp. 250-257. , https://doi.org/10.1007/978-3-030-58796-3_30, Miesenberger, K., Manduchi, R., Covarrubias Rodriguez, M., Peňáz, P. (eds.), Springer, Cham; Malinverni, L., Mora-Guiard, J., Padillo, V., Mairena, M.A., Hervás, A., Pares, N., Participatory design strategies to enhance the creative contribution of children with special needs (2014) ACM International Conference on Proceeding Series, pp. 85-94. , https://doi.org/10. 1145/2593968.2593981; González, H.S., Vega Córdova, V., Exss Cid, K., Jarpa Azagra, M., Álvarez-Aguado, I., Including intellectual disability in participatory design processes: Methodological adaptations and supports (2020) ACM International Conference on Proceeding Series, 1, pp. 55-63. , https://doi.org/10.1145/3385010.3385023; Abascal, J., Arrue, M., Pérez, J.E., (2020) Applying Participatory Design with Users with Intellectual Disabilities, pp. 321-326. , https://doi.org/10.18573/book3.ao; Narynov, S., Zhumanov, Z., Gumar, A., Khassanova, M., Omarov, B.: Chatbots and conversational agents in mental health: a literature review. In: International Conference on Control Automation System, vol. 2021-October, no. Iccas, pp. 353–358 (2021). https://doi.org/10. 23919/ICCAS52745.2021.9649855; Nicolescu, L., Tudorache, M.T., Human-computer interaction in customer service: the experience with AI chatbots—a systematic literature review (2022) Electronics, 11 (10), p. 1579. , https://doi.org/10.3390/electronics11101579; Zhang, S., Dinan, E., Urbanek, J., Szlam, A., Kiela, D., Weston, J., Personalizing dialogue agents: I have a dog, do you have pets too? (2018) ACL 2018-56Th Annual Meeting Association Computer Linguistics Processing Conference, Long Paper, Vol. 1, Pp. 2204–2213, , https://doi.org/10.18653/v1/p18-1205; Gao, J., Galley, M., Li, L., Neural approaches to conversational AI (2019) Found. Trends Inf. Retr., 13 (2-3), pp. 127-298. , https://doi.org/10.1561/1500000074; Radford, A., Wu, J., Child, R., Luan, D., Amodei, D., Sutskever, I., Language models are unsupervised multitask learners (2020) Proceedings of the 34Th International Conference on Neural Information Processing Systems (NIPS 2020), pp. 1877-1901. , http://arxiv. org/abs/2007.07582; Snell, J., Swersky, K., Zemel, R., Prototypical networks for few-shot learning (2017) Proceedings of the 31St International Conference on Neural Information Processing Systems (NIPS 2017), pp. 4080-4090. , https://doi.org/10.12783/dtetr/mcee2017/15746; Mori, M., Macdorman, K.F., Kageki, N., The uncanny valley (2012) IEEE Robot. Autom. Mag., 19 (2), pp. 98-100. , https://doi.org/10.1109/MRA.2012.2192811; Fadhil, A., Wang, Y., Reiterer, H., Assistive conversational agent for health coaching: A validation study (2019) Methods Inf. Med., 58 (1), pp. 9-23. , https://doi.org/10.1055/s-0039-168 8757</t>
  </si>
  <si>
    <t>Garcia-Pi, B., Texas A&amp;M University, College Station, TX  77840, United States; Chaudhury, R., Texas A&amp;M University, College Station, TX  77840, United States; Versaw, M., Texas A&amp;M University, College Station, TX  77840, United States; Back, J., Texas A&amp;M University, College Station, TX  77840, United States; Kwon, D., Texas A&amp;M University, College Station, TX  77840, United States; Kicklighter, C., Texas A&amp;M University, College Station, TX  77840, United States; Taele, P., Texas A&amp;M University, College Station, TX  77840, United States; Seo, J.H., Texas A&amp;M University, College Station, TX  77840, United States</t>
  </si>
  <si>
    <t>Texas A&amp;M University, College Station, TX  77840, United States</t>
  </si>
  <si>
    <t>58629453300;57207115437;58629245100;58629245200;58629453400;57210696177;25926107700;55149233500;</t>
  </si>
  <si>
    <t>Garcia-Pi B., Chaudhury R., Versaw M., Back J., Kwon D., Kicklighter C., Taele P., Seo J.H.</t>
  </si>
  <si>
    <t>Decker, H.; Philip R. Lee Institute for Health Policy Studies, 490 Illinois St, 7th Fl, United States; email: hannah.decker@ucsf.edu</t>
  </si>
  <si>
    <t>Kinnersley, P., Phillips, K., Savage, K., Interventions to promote informed consent for patients undergoing surgical and other invasive healthcare procedures (2013) Cochrane Database Syst Rev, 7, p. CD009445; Quick Safety 21: Informed Consent: More than Getting a Signature, , https://www.jointcommission.org/resources/news-and-multimedia/newsletters/newsletters/quick-safety/quick-safety-issue-68/, Updated April 2022. Accessed May 4, 2023; Schenker, Y., Fernandez, A., Sudore, R., Schillinger, D., Interventions to improve patient comprehension in informed consent for medical and surgical procedures: a systematic review (2011) Med Decis Making, 31 (1), pp. 151-173; Elwyn, G., Frosch, D., Thomson, R., Shared decision making: a model for clinical practice (2012) J Gen Intern Med, 27 (10), pp. 1361-1367; Bilimoria, K.Y., Liu, Y., Paruch, J.L., Development and evaluation of the universal ACS NSQIP surgical risk calculator: a decision aid and informed consent tool for patients and surgeons (2013) J Am Coll Surg, 217 (5). , 833-42.e1, 3; Scheer, A.S., O’Connor, A.M., Chan, B.P.K., The myth of informed consent in rectal cancer surgery: what do patients retain? (2012) Dis Colon Rectum, 55 (9), pp. 970-975; Falagas, M.E., Korbila, I.P., Giannopoulou, K.P., Kondilis, B.K., Peppas, G., Informed consent: how much and what do patients understand? (2009) Am J Surg, 198 (3), pp. 420-435; Lavelle-Jones, C., Byrne, D.J., Rice, P., Cuschieri, A., Factors affecting quality of informed consent (1993) BMJ, 306 (6882), pp. 885-890; Grady, C., Enduring and emerging challenges of informed consent (2015) N Engl J Med, 372 (9), pp. 855-862; Issa, M.M., Setzer, E., Charaf, C., Informed versus uninformed consent for prostate surgery: the value of electronic consents (2006) J Urol, 176 (2), pp. 694-699; Reeves, J.J., Mekeel, K.L., Waterman, R.S., Association of electronic surgical consent forms with entry error rates (2020) JAMA Surg, 155 (8), pp. 777-778; Chimonas, S., Lipitz-Snyderman, A., Gaffney, K., Kuperman, G.J., Electronic consent at US Cancer Centers: a survey of practices, challenges, and opportunities (2023) JCO Clin Cancer Inform, 7, p. e2200122; Paterick, Z.R., Paterick, T.E., Paterick, B.B., Medical informed choice: understanding the element of time to meet the standard of care for valid informed consent (2020) Postgrad Med J, 96 (1141), pp. 708-710; Simon, C.M., Wang, K., Shinkunas, L.A., Communicating With diverse patients about participating in a biobank: a randomized multisite study comparing electronic and face-to-face informed consent processes (2022) J Empir Res Hum Res Ethics, 17 (1-2), pp. 144-166; Informed Consent: Hospital and Surgery Center Ratings, , https://ratings.leapfroggroup.org/measure/hospital/2023/informed-consent, Accessed May 16, 2023; Meade, M.J., Dreyer, C.W., How readable are orthognathic surgery consent forms? (2022) Int Orthod, 20 (4), p. 100689; Boztaş, N., Özbilgin, Ş., Öçmen, E., Evaluating the readibility of informed consent forms available before anaesthesia: a comparative study (2014) Turk J Anaesthesiol Reanim, 42 (3), pp. 140-144; Coco, L., Colina, S., Atcherson, S.R., Marrone, N., Readability level of Spanish-language patient-reported outcome measures in audiology and otolaryngology (2017) Am J Audiol, 26 (3), pp. 309-317; Sönmez, M.G., Kozanhan, B., Özkent, M.S., Evaluation of the readability of informed consent forms used in urology: is there a difference between open, endoscopic, and laparoscopic surgery? (2018) Turk J Surg, 34 (4), pp. 295-299; Eltorai, A.E.M., Naqvi, S.S., Ghanian, S., Readability of invasive procedure consent forms (2015) Clin Transl Sci, 8 (6), pp. 830-833; Sivanadarajah, N., El-Daly, I., Mamarelis, G., Sohail, M.Z., Bates, P., Informed consent and the readability of the written consent form (2017) Ann R Coll Surg Engl, 99 (8), pp. 645-649; Models - OpenAI API, , https://platform.openai.com/docs/models, Accessed May 16, 2023; Samaan, J.S., Yeo, Y.H., Rajeev, N., Assessing the accuracy of responses by the language model ChatGPT to questions regarding bariatric surgery (2023) Obes Surg, 33 (6), pp. 1790-1796; Ayers, J.W., Poliak, A., Dredze, M., Comparing physician and artificial intelligence chatbot responses to patient questions posted to a public social media forum (2023) JAMA Intern Med, 183 (6), pp. 589-596; Kanjee, Z., Crowe, B., Rodman, A., Accuracy of a generative artificial intelligence model in a complex diagnostic challenge (2023) JAMA, 330 (1), pp. 78-80; Johnson, S.B., King, A.J., Warner, E.L., Aneja, S., Kann, B.H., Bylund, C.L., Using ChatGPT to evaluate cancer myths and misconceptions: artificial intelligence and cancer information (2023) J Natl Cancer Inst Cancer Spectr, 7 (2), p. 15; Most Frequent Operating Room Procedures Performed in US Hospitals, , https://hcup-us.ahrq.gov/reports/statbriefs/sb186-Operating-RoomProcedures-United-States-2012.jsp, Accessed May 16, 2023; GPT-4 Technical Report, , https://cdn.openai.com/papers/gpt-4.pdf, Published online March 15, 2023. Accessed September 1, 2023; Ley, P., Florio, T., The use of readability formulas in health care (1996) Psychol Health Med, 1 (1), pp. 7-28; Raja, H., Fitzpatrick, N., Assessing the readability and quality of online information on Bell’s palsy (2022) J Laryngol Otol, pp. 1-5; Soliman, L., Soliman, P., Marin, G.B., Sobti, N., Woo, A.S., Craniosynostosis: Are Online Resources Readable? (2023) Cleft Palate Craniofac J, , 10556656231154843; Readability Formulas, , https://www.readabilityformulas.com, Accessed September 8, 2023; Informed Consent, , https://www.facs.org/for-patients/patient-resources/informed-consent/, Accessed May 16, 2023; Chang, N., Lee-Goldman, R., Tseng, M., View of Linguistic Wisdom from the Crowd, , https://ojs.aaai.org/index.php/HCOMP/article/view/13266/13114, Accessed May 24, 2023; ChatGPT: friend or foe? (2023) Lancet Digit Health, 5 (3), p. e102. , The Lancet Digital Health; Tustumi, F., Andreollo, N.A., de Aguilar-Nascimento, J.E., Future of the language models in healthcare: the role of ChatGPT (2023) Arq Bras Cir Dig, 36; Introducing ChatGPT, , https://openai.com/blog/chatgpt, Accessed June 8, 2023; Kessels, R.P.C., Patients’ memory for medical information (2003) J R Soc Med, 96 (5), pp. 219-222; Jiang, L.Y., Liu, X.C., Nejatian, N.P., Health system-scale language models are all-purpose prediction engines (2023) Nature, 619 (7969), pp. 357-362; Dharmasukrit, C., Ramaiyer, M., Dillon, E.C., Public opinions about surgery in older adults: a thematic analysis (2023) Ann Surg, 277 (3), pp. e513-e519</t>
  </si>
  <si>
    <t>cross-sectional study; documentation; human; informed consent; language; surgeon; United States; Cross-Sectional Studies; Documentation; Humans; Informed Consent; Language; Surgeons; United States</t>
  </si>
  <si>
    <t>Decker, H., Department of Surgery, University of California, San Francisco, United States; Trang, K., Department of Surgery, University of California, San Francisco, United States; Ramirez, J., Department of Surgery, University of California, San Francisco, United States; Colley, A., Department of Surgery, University of California, San Francisco, United States; Pierce, L., Department of Medicine, University of California, San Francisco, United States; Coleman, M., Department of Surgery, University of California, San Francisco, United States; Bongiovanni, T., Department of Surgery, University of California, San Francisco, United States; Melton, G.B., Department of Surgery, Institute for Health Informatics, Center for Learning Health System Sciences, University of Minnesota, Minneapolis, United States; Wick, E., Department of Surgery, University of California, San Francisco, United States</t>
  </si>
  <si>
    <t>57209102960;58332203100;57200014111;57191967211;57216499789;53986092000;56743184400;7006135479;8274627700;</t>
  </si>
  <si>
    <t>Decker H., Trang K., Ramirez J., Colley A., Pierce L., Coleman M., Bongiovanni T., Melton G.B., Wick E.</t>
  </si>
  <si>
    <t>2-s2.0-85173823295</t>
  </si>
  <si>
    <t>Book</t>
  </si>
  <si>
    <t>Smashing the Core Surgical Train. Interview: A Holistic Guide to Becom. A Surgeon</t>
  </si>
  <si>
    <t>9781000925654; 9781032395913</t>
  </si>
  <si>
    <t>CRC Press</t>
  </si>
  <si>
    <t>Smashing Core Surgical Training Interviews is a crucial roadmap through the highly competitive world of surgery, written by previous Core Surgical Training National Recruitment panel members. It provides a realistic understanding of what is expected on the interview day and how best to prepare for it. This is the perfect preparation guide for any medical student or junior doctor with a serious desire to launch a career in surgery in the United Kingdom by smashing the Core Surgical Training interviews. It covers all aspects of the interview, including how to prepare the portfolio, virtual interview etiquette, and post-interview considerations. This book contains: • More than 35 clinical scenarios and more than 15 management scenarios with model answers. • Model frameworks for structuring answers. • Information covering real-life struggles, including how to maximise opportunities as a medical student, how to publish, and how to decide whether to take an F3 year. • Insights into the diverse world of modern surgery, including women in surgery, LGBTQ issues, dyslexia and neurodiversity, and challenges faced by ethnic minorities. • A framework for international medical graduates planning surgical careers. “This book has been written to help those taking the step up from medical student or Foundation doctor to the first rungs on a surgical career ladder. In addition to some very useful hints and tips, this book touches on topics for which there is often little signposting.” Fiona Myint, FRCS, MA (Clin Ed), LLM, SFHEA, Consultant Vascular Surgeon,Vice-President, Royal College of Surgeons of England “The editors have put together a wonderful group of surgical educators to write this practical and easy-to-read book that is filled with useful pearls for prospective surgical training applicants. It directly addresses feelings of imposter syndrome and stereotype threat.” Roy Phitayakorn, MD MHPE FACS, General and Endocrine Surgeon, Vice Chair of Education, Massachusetts General Hospital Department of Surgery, Associate Professor of Surgery, Harvard Medical School “Surgery is the best job ever! Becoming a surgeon however requires technical skill, common sense and grit. If you know what’s ahead (from this book) you are more likely to achieve your goal to become a Master Surgeon.” Daniel B. Jones, MD, MS, FACS, Professor and Chair of the Department of Surgery at University Hospital, Assistant Dean at Rutgers New Jersey Medical School. © 2024 Taylor &amp; Francis Group, LLC.</t>
  </si>
  <si>
    <t>Joseph, A.O.; Joseph, J.P.</t>
  </si>
  <si>
    <t>https://www.scopus.com/inward/record.uri?eid=2-s2.0-85173823295&amp;doi=10.1201%2f9781003350422&amp;partnerID=40&amp;md5=6ed4b43a52908fc69c3db8209787dba6</t>
  </si>
  <si>
    <t>10.1201/9781003350422</t>
  </si>
  <si>
    <t>Smashing the Core Surgical Training Interview: A Holistic Guide to Becoming A Surgeon</t>
  </si>
  <si>
    <t>57216629460;57216632874;</t>
  </si>
  <si>
    <t>Joseph A.O., Joseph J.P.</t>
  </si>
  <si>
    <t>21 July 2023 through 24 July 2023</t>
  </si>
  <si>
    <t>6th IEEE International Conference on Electronic Information and Communication Technology, ICEICT 2023</t>
  </si>
  <si>
    <t>Zeng, W.; School of Computer Science and Engineering, China; email: weizeng@hzu.edu.cn</t>
  </si>
  <si>
    <t>Vaswani, A., Shazeer, N., Parmar, N., Uszkoreit, J., Jones, L., Gomez, A., Kaiser, L., Polosukhin, I., (2017) Attention Is All You Need; Dosovitskiy, A., Beyer, L., Kolesnikov, A., Weissenborn, D., Zhai, X., Unterthiner, T., Dehghani, M., Houlsby, N., (2020) An Image Is Worth 16x16 Words: Transformers for Image Recognition at Scale; Radford, A., Wu, J., Child, R., Luan, D., Amodei, D., Sutskever, I., Language models are unsupervised multitask learners (2019) OpenAI Blog, 1 (8), p. 9; Brown, T., Mann, B., Ryder, N., Subbiah, M., Kaplan, J., Dhariwal, P., Neelakantan, A., Amodei, D., (2020) Language Models Are Few-shot Learners; (2023) GPT-4 Technical Report, , OpenAI; Jelinek, F., Mercer, R.L., Interpolated estimation of Markov source parameters from sparse data (1980) Proceedings of the Workshop on Pattern Recognition in Practice, 2 (1), pp. 381-397; Rabiner, L.R., A tutorial on hidden Markov models and selected applications in speech recognition (1989) Proceedings of the Ieee, 77 (2), pp. 257-286. , Feb; Berger, A., Della Pietra, S.A., Della Pietra, V.J., A maximum entropy approach to natural language processing (1996) Computational Linguistics, 22 (1), pp. 39-71; Devlin, J., Chang, M.W., Lee, K., Toutanova, K., (2018) BERT: Pretraining of Deep Bidirectional Transformers for Language Understanding; Raffel, C., Shazeer, N., Roberts, A., Lee, K., Narang, S., Matena, M., Liu, P.J., (2019) Exploring the Limits of Transfer Learning with a Unified Text-to-text Transformer; Yang, Z., Dai, Z., Yang, Y., Carbonell, J., Salakhutdinov, R., Le, Q.V., Xlnet: Generalized autoregressive pretraining for language understanding (2019) Advances in Neural Information Processing Systems, pp. 5754-5764; Cordonnier, J.B., Loukas, A., Jaggi, M., (2020) Multi-head Attention: Collaborate Instead of Concatenate; Vaswani, A., Shazeer, N., Parmar, N., Uszkoreit, J., Jones, L., Gomez, A.N., Polosukhin, I., Transformer: The state of the art in language understanding (2017) Proceedings of the Conference of the North American Chapter of the Association for Computational Linguistics: Human Language Technologies, 10, pp. 2653-2688; Wang, W., Dai, J., Chen, Z., Huang, Z., Li, Z., Zhu, X., Hu, X., Qiao, Y., (2022) InternImage: Exploring Largescale Vision Foundation Models with Deformable Convolutions; Liu, Y., Ott, M., Goyal, N., Du, J., Joshi, M., Chen, D., Levy, O., Stoyanov, V., (2019) RoBERTa: A Robustly Optimized Bert Pretraining Approach; Chen, X., Ye, J., Zu, C., Xu, N., Zheng, R., Peng, M., Zhou, J., Huang, X., (2023) How Robust Is GPT-3.5 to Predecessors? A Comprehensive Study on Language Understanding Tasks; Chavez, M.R., Butler, T.S., Rekawek, P., Heo, H., Kinzler, W.L., Chat generative pre-trained transformer: Why we should embrace this technology (2023) American Journal of Obstetrics and Gynecology; Zhu, B., Jiao, J., Jordan, M., (2023) Principled Reinforcement Learning with Human Feedback from Pairwise or K-wise Comparisons; Wolf, T., Debut, L., Sanh, V., Chaumond, J., Delangue, C., Moi, A., Rush, A.M., Transformers: State-of-the-art natural language processing (2020) Proceedings of the 2020 Conference on Empirical Methods in Natural Language Processing: System Demonstrations, pp. 38-45. , October; Yuan, L., Chen, D., Chen, Y., Codella, N., Dai, X., Gao, J., Hu, H., Zhang, P., (2021) Florence: A New Foundation Model for Computer, , Vision; Touvron, H., Lavril, T., Izacard, G., Martinet, X., Lachaux, M., Lacroix, T., Rozière, B., Lample, G., (2023) LLaMA: Open and Efficient Foundation Language Models; Hoffmann, J., Borgeaud, S., Mensch, A., Buchatskaya, E., Cai, T., Rutherford, E., Las Casas, D., Sifre, L., (2022) Training Compute-optimal Large Language Models; Touvron, H., Cord, M., Jégou, H., (2022) DeiT III: Revenge of the ViT; Zhang, H., Li, F., Liu, S., Zhang, L., Su, H., Zhu, J., Ni, L., Shum, H., (2022) DINO: Detr with Improved Denoising Anchor Boxes for End-to-end Object Detection; Liu, Z., Lin, Y., Cao, Y., Hu, H., Wei, Y., Zhang, Z., Lin, S., Guo, B., (2021) Swin Transformer: Hierarchical Vision Transformer Using Shifted Windows; El-Nouby, A., Touvron, H., Caron, M., Bojanowski, P., Douze, M., Joulin, A., Laptev, I., Jegou, H., (2021) XCiT: Cross-covariance Image Transformers</t>
  </si>
  <si>
    <t>Transformers, originally introduced for machine translation, and built upon the Self-Attention mechanism, have undergone a remarkable evolution, establishing themselves as the bedrock of large language models (LLMs). Their unparalleled capacity to model intricate relationships and capture extensive dependencies within sequences has propelled their prominence. This article, presented in a popular science format, serves as an introduction to the transformer architecture, elucidating its innovative structure that enables efficient processing of long sequences and capturing dependencies over extended distances. We believe that this resource will prove valuable to college students or youth researchers aspiring to delve into the study and research of modern Artificial Intelligence (AI) domains. © 2023 IEEE.</t>
  </si>
  <si>
    <t>Luo, Q., School of Computer Science and Engineering, Huizhou University, Guangdong, 516007, China; Zeng, W., School of Computer Science and Engineering, Huizhou University, Guangdong, 516007, China; Chen, M., School of Computer Science and Engineering, Huizhou University, Guangdong, 516007, China; Peng, G., School of Computer Science and Engineering, Huizhou University, Guangdong, 516007, China; Yuan, X., School of Computer Science and Engineering, Huizhou University, Guangdong, 516007, China; Yin, Q., School of Computer Science and Engineering, Huizhou University, Guangdong, 516007, China, School of Computer Science, Yangtze University, Hubei, 451199, China</t>
  </si>
  <si>
    <t>58641696900;57202213333;58628664900;56217194100;57313002900;58640792500;</t>
  </si>
  <si>
    <t>Luo Q., Zeng W., Chen M., Peng G., Yuan X., Yin Q.</t>
  </si>
  <si>
    <t>Costantino, F.Via Ariosto 25, Italy; email: francesco.costantino@uniroma1.it</t>
  </si>
  <si>
    <t>Afonso, C.M., Roldán, J.L., Sánchez-Franco, M., O, M.D., The moderator role of gender in the unified theory of acceptance and use of technology (UTAUT): A study on users of electronic document management systems (2012) 7th international conference on partial least squares and related methods, pp. 1-8; Alqahtani, T., Badreldin, H.A., Alrashed, M., Alowais, S.A., Alshaya, O.A., Rahman, I., Al, M.S., Albekairy, A.M., Research in Social and Administrative Pharmacy the emergent role of artificial intelligence, natural learning processing, and large language models in higher education and research (2023) Research in Social and Administrative Pharmacy, , April; Ayaz, A., Yanartaş, M., An analysis on the unified theory of acceptance and use of technology theory (UTAUT): Acceptance of electronic document management system (EDMS) (2020) Computers in Human Behavior Reports, 2 (March); Aziz, F., Rami, A.M., Rasdi, R.M., Aina, N., The integration of work ethics and technology acceptance towards enhancing online learning environment among lecturers (2021) Turkish Journal of Computer and Mathematics Education, 12 (9), pp. 2979-2982; Chigbu, B.I., Ngwevu, V., Jojo, A., The effectiveness of innovative pedagogy in the industry 4.0: Educational ecosystem perspective (2023) Social Sciences &amp; Humanities Open, 7 (1); Choi, B.C., Pak, A.W., Cdc, F., A catalog of biases in questionnaires (2005); Colabianchi, S., Bernabei, M., Costantino, F., Chatbot for training and assisting operators in inspecting containers in seaports (2022) Transportation Research Procedia, 64, pp. 6-13; Colabianchi, S., Tedeschi, A., Costantino, F., Human-technology integration with industrial conversational agents: A conceptual architecture and a taxonomy for manufacturing (2023) Journal of Industrial Information Integration, 35, p. 100510; Cribben, I., Zeinali, Y., The benefits and limitations of ChatGPT in business education and research: A focus on management science, operations management and data analytics (2023) SSRN Electronic Journal; Davis, F.D., Perceived usefulness, perceived ease of use, and user acceptance of information technology (1989) MIS Quarterly: Management Information Systems, 13 (3), pp. 319-339; Dizon, G., Tang, D., Yamamoto, Y., A case study of using Alexa for out-of-class, self-directed Japanese language learning (2022) Computers &amp; Education: Artificial Intelligence, 3 (March); Dwivedi, Y.K., Kshetri, N., Hughes, L., Slade, E.L., Jeyaraj, A., Kar, A.K., Baabdullah, A.M., Wright, R., “So what if ChatGPT wrote it?” Multidisciplinary perspectives on opportunities, challenges and implications of generative conversational AI for research, practice and policy (2023) International Journal of Information Management, 71; Feng, S., Zhang, L., Wang, S., Cai, Z., Effectiveness of the functions of classroom orchestration systems: A systematic review and meta-analysis (2023) Computers &amp; Education; Gilson, A., Safranek, C.W., Huang, T., Socrates, V., Chi, L., Taylor, R.A., Chartash, D., How does ChatGPT perform on the United States medical licensing examination? The implications of Large Language Models for medical education and knowledge assessment (2023) JMIR Medical Education, 9; Glette, M.K., Wiig, S., The headaches of case study research: A discussion of emerging challenges and possible ways out of the pain (2022) Qualitative Report, 27 (5), pp. 1377-1392; Groff, J., Technology-rich innovative learning environments (2013) Oecd.Org, pp. 1-30; Guo, K., Zhong, Y., Li, D., Kai, S., Chu, W., Effects of chatbot-assisted in-class debates on students ’ argumentation skills and task motivation (2023) Computers &amp; Education, 203 (March); Haleem, A., Javaid, M., Qadri, M.A., Suman, R., Understanding the role of digital technologies in education: A review (2022) Sustainable Operations and Computers, 3 (May), pp. 275-285; Jeon, J., Lee, S., Large language models in education: A focus on the complementary relationship between human teachers and ChatGPT (2023) Education and Information Technologies, pp. 1-20; Ji, H., Han, I., Ko, Y., (2022) A systematic review of conversational AI in language education: Focusing on the Collaboration with Human Teachers; Johnson, A., ChatGPT in schools: Here's where it's banned—and how it could potentially help students (2023), https://www.forbes.com/sites/ariannajohnson/2023/01/18/chatgpt-in-schools-heres-where-its-banned-and-how-it-could-potentially-help-students/, Forbes; Kabanda, S., Brown, I., A structuration analysis of Small and Medium Enterprise (SME) adoption of E-Commerce: The case of Tanzania (2017) Telematics and Informatics, 34 (4), pp. 118-132; Kasneci, E., Sessler, K., Küchemann, S., Bannert, M., Dementieva, D., Fischer, F., Gasser, U., Kasneci, G., ChatGPT for good? On opportunities and challenges of large language models for education (2023) Learning and Individual Differences, 103; Katz, D.M., Bommarito, M.J., Gao, S., David Arredondo, P., (2023) GPT-4 Passes the Bar Exam. March 15; Kennedy, D., Hyland, A., Ryan, N., Writing and using learning outcomes: A practical guide (2007) Behaviour &amp; Information Technology, pp. 1-30. , https://cora.ucc.ie/handle/10468/1613, August; Keržič, D., Tomaževič, N., Aristovnik, A., Umek, L., Exploring critical factors of the perceived usefulness of blended learning for higher education students (2019) PLoS One, 14 (11), pp. 1-18; Kim, J.K., Chua, M., Rickard, M., ChatGPT and large language model (LLM) chatbots : The current state of acceptability and a proposal for guidelines on utilization in academic medicine (2023) Journal of Pediatric Urology, xxxx; Kinshuk, Chen, N.S., Cheng, I.L., Chew, S.W., Evolution is not enough: Revolutionizing current learning environments to Smart learning environments (2016) International Journal of Artificial Intelligence in Education, 26 (2), pp. 561-581; Knoop-van Campen, C.A.N., Segers, E., Verhoeven, L., Effects of audio support on multimedia learning processes and outcomes in students with dyslexia (2020) Computers &amp; Education, 150 (February); Kumarage, T., Garland, J., Bhattacharjee, A., Trapeznikov, K., Ruston, S., Liu, H., Stylometric detection of AI-generated text in twitter timelines (2023); Lavarda, R.B., Bellucci, C.F., Case study as a suitable method to research strategy as practice perspective (2022) Qualitative Report, 27 (2), pp. 539-555; Lee, A.H., Kang, H.-Y., Chang, C.-C., An integrated interpretive structural modeling-fuzzy analytic network process-benefits, opportunities, costs and risks model for selecting technologies (2011) International Journal of Information Technology and Decision Making, 10 (5); Lesage, J., Brennan, R., Eaton, S.E., Moya, B., McDermott, B., Wiens, J., Herrero, K., Exploring natural language processing in mechanical engineering education: Implications for academic integrity (2023) International Journal of Mechanical Engineering Education; Li, Y., Sha, L., Yan, L., Lin, J., Raković, M., Galbraith, K., Lyons, K., Chen, G., Can large language models write reflectively (2023) Computers &amp; Education: Artificial Intelligence, 4 (April); Mageira, K., Pittou, D., Papasalouros, A., Kotis, K., Zangogianni, P., Daradoumis, A., Educational AI chatbots for content and language integrated learning (2022) Applied Sciences, 12 (7); Mhlanga, D., Open AI in education, the responsible and ethical use of ChatGPT towards lifelong learning (2023) SSRN Electronic Journal, pp. 1-19; Mosweu, O., Bwalya, K.J., Mutshewa, A., A probe into the factors for adoption and usage of electronic document and records management systems in the Botswana context (2017) Information Development, 33 (1), pp. 97-110; Nightingale, K.P., Anderson, V., Onens, S., Fazil, Q., Davies, H., Developing the inclusive curriculum: Is supplementary lecture recording an effective approach in supporting students with Specific Learning Difficulties (SpLDs)? (2019) Computers &amp; Education, 130, pp. 13-25. , June 2018; Okonkwo, C.W., Ade-Ibijola, A., Chatbots applications in education: A systematic review (2021) Computers &amp; Education: Artificial Intelligence, 2; Introducing ChatGPT (2022); GPT-4 technical report (2023), https://cdn.openai.com/papers/gpt-4.pdf; Osmani, M., El-Haddedeh, R., Hindi, N., Blockchain for next generation services in banking and finance: Cost, benefit, risk and opportunity analysis (2021) Journal of Enterprise Information Management, 34 (3); Radianti, J., Majchrzak, T.A., Fromm, J., Wohlgenannt, I., A systematic review of immersive virtual reality applications for higher education: Design elements, lessons learned, and research agenda (2020) Computers &amp; Education, 147 (December 2019); Rashid, Y., Rashid, A., Warraich, M.A., Sabir, S.S., Waseem, A., Case study method: A step-by-step guide for business researchers (2019) International Journal of Qualitative Methods, 18; Sarsa, S., Denny, P., Hellas, A., Leinonen, J., Automatic generation of programming exercises and code explanations using Large Language Models (2022) ICER 2022 - proceedings of the 2022 ACM conference on international computing education research, 1, pp. 27-43; Sezer, B., Yilmaz, R., Learning management system acceptance scale (LMSAS): A validity and reliability study (2019) Australasian Journal of Educational Technology, 35 (3), pp. 15-30; Shoufan, A., Exploring students' perceptions of ChatGPT: Thematic analysis and follow-up survey (2023) IEEE Access; Tabatabaee, S., Mahdiyar, A., Durdyev, S., Mohandes, S.R., Ismail, S., An assessment model of benefits, opportunities, costs, and risks of green roof installation: A multi criteria decision making approach (2019) Journal of Cleaner Production, 238; Tang, R., Chuang, Y.-N., Hu, X., (2023) The science of detecting LLM-generated texts; the science of detecting LLM-generated texts, , ArXiv Preprint ArXiv:2303.07205; Tsai, M.L., Ong, C.W., Chen, C.L., Exploring the use of large language models (LLMs) in chemical engineering education: Building core course problem models with Chat-GPT (2023) Education for Chemical Engineers, 44, pp. 71-95; Tuyet Mai, N.T., Yoshi, T., Tuan, N.P., Technology acceptance model and the paths to online customer loyalty in an emerging market (2013) Tržište, 25 (2), pp. 231-248; Uzun, L., ChatGPT and academic integrity concerns: Detecting artificial intelligence generated content (2023) Language Education and Technology, 3 (1), pp. 45-54. , http://www.langedutech.com/letjournal/index.php/let/article/view/49; Venkatesh, V., Morris, M.G., Davis, G.B., Davis, F.D., User acceptance of information technology: Toward a unified view (2003) MIS Quarterly: Management Information Systems, 27 (3), pp. 425-478; Wang, J., Hwang, G.H., Chang, C.Y., Directions of the 100 most cited chatbot-related human behavior research: A review of academic publications (2021) Computers &amp; Education: Artificial Intelligence, 2; Wang, Y.S., Shih, Y.W., Why do people use information kiosks? A validation of the unified theory of acceptance and use of technology (2009) Government Information Quarterly, 26 (1), pp. 158-165; Warmbrod, J.R., Reporting and interpreting scores derived from likert-type scales (2014) Journal of Agricultural Education, 55 (5), pp. 30-47; Wei, J., Tay, Y., Bommasani, R., Raffel, C., Zoph, B., Borgeaud, S., Yogatama, D., Fedus, W., Emergent abilities of Large Language Models (2022); Wijnmalen, D.J.D., Analysis of benefits, opportunities, costs, and risks (BOCR) with the AHP-ANP: A critical validation (2007) Mathematical and Computer Modelling, 46 (7-8), pp. 892-905; Wu, K., Zhao, Y., Zhu, Q., Tan, X., Zheng, H., A meta-analysis of the impact of trust on technology acceptance model: Investigation of moderating influence of subject and context type (2011) International Journal of Information Management, 31 (6), pp. 572-581; Yilmaz, R., Karaoglan Yilmaz, F.G., The effect of generative artificial intelligence (AI)-based tool use on students' computational thinking skills, programming self-efficacy and motivation (2023) Computers &amp; Education: Artificial Intelligence, 4; Yin, J., Goh, T.T., Yang, B., Xiaobin, Y., Conversation technology with micro-learning: The impact of chatbot-based learning on students' learning motivation and performance (2021) Journal of Educational Computing Research, 59 (1), pp. 154-177; Yu, H., Reflection on whether Chat GPT should be banned by academia from the perspective of education and teaching (2023) Frontiers in Psychology, 14; Zakeri, S.M.H., Tabatabaee, S., Ismail, S., Mahdiyar, A., Wahab, M.H., Developing an MCDM model for the benefits, opportunities, costs and risks of BIM adoption (2023) Sustainability, 15 (5), pp. 1-19</t>
  </si>
  <si>
    <t>Bernabei, M., Department of Mechanical and Aerospace Engineering, Sapienza University of Rome, Via Eudossiana 18, Rome, 00184, Italy; Colabianchi, S., Department of Computer, Control, and Management Engineering Antonio Ruberti, Sapienza University of Rome, Via Ariosto 25, Rome, 00185, Italy; Falegnami, A., Management Engineering Faculty, Uninettuno University, Corso Vittorio Emanuele II 39 00186, Rome, Italy; Costantino, F., Department of Computer, Control, and Management Engineering Antonio Ruberti, Sapienza University of Rome, Via Ariosto 25, Rome, 00185, Italy</t>
  </si>
  <si>
    <t>57280498100;57224642253;57200073110;55229777600;</t>
  </si>
  <si>
    <t>Bernabei M., Colabianchi S., Falegnami A., Costantino F.</t>
  </si>
  <si>
    <t>Sallam, M.; Department of Pathology, Queen Rania Al-Abdullah Street-Aljubeiha, Jordan; email: malik.sallam@ju.edu.jo</t>
  </si>
  <si>
    <t>de Divitiis, E, Cappabianca, P, de Divitiis, O., The "schola medica salernitana": the forerunner of the modern university medical schools (2004) Neurosurgery, 55 (4), pp. 722-744. , Oct; -44; discussion [doi] [Medline: 15458581]; Dornan T., Dornan T., Osler, Flexner, apprenticeship and 'the new medical education' (2005) J R Soc Med, 98 (3), pp. 91-95. , Mar; [FREE Full text] [doi] [Medline: 15738549]; Arnone, JM, Fitzsimons, V., Plato, nightingale, and nursing: can you hear me now? (2015) Int J Nurs Knowl, 26 (4), pp. 156-162. , Oct; [doi] [Medline: 25243354]; Hildebrandt, S., Lessons to be learned from the history of anatomical teaching in the United States: the example of the University of Michigan (2010) Anat Sci Educ, 3 (4), pp. 202-212. , [FREE Full text] [doi] [Medline: 20648596]; Custers, E, Cate, O., The History of Medical Education in Europe and the United States, with respect to time and proficiency (2018) Acad Med, 93 (3), pp. S49-S54. , Mar;(S Competency-Based, Time-Variable Education in the Health Professions): [doi] [Medline: 29485488]; Kamel Boulos, MN, Wheeler, S., The emerging Web 2.0 social software: an enabling suite of sociable technologies in health and health care education (2007) Health Info Libr J, 24 (1), pp. 2-23. , Mar; [FREE Full text] [doi] [Medline: 17331140]; Bernhardt, J, Hubley, J., Health education and the Internet: the beginning of a revolution (2001) Health Educ Res, 16 (6), pp. 643-645. , Dec 1; [doi]; Braddock, CH, Eckstrom, E, Haidet, P., The "new revolution" in medical education: fostering professionalism and patient-centered communication in the contemporary environment (2004) J Gen Intern Med, 19 (5), pp. 610-611. , May;(Pt 2): [FREE Full text] [doi] [Medline: 15109334]; Sallam, M., ChatGPT utility in healthcare education, research, and practice: systematic review on the promising perspectives and valid concerns (2023) Healthcare (Basel), 11 (6). , Mar 19; [FREE Full text] [doi] [Medline: 36981544]; Sapci, AH, Sapci, HA., Artificial intelligence education and tools for medical and health informatics students: systematic review (2020) JMIR Med Educ, 6 (1), p. e19285. , Jun 30; [FREE Full text] [doi] [Medline: 32602844]; Eysenbach, G., The role of ChatGPT, generative language models, and artificial intelligence in medical education: a conversation with ChatGPT and a call for papers (2023) JMIR Med Educ, 9, p. e46885. , Mar 06;: [FREE Full text] [doi] [Medline: 36863937]; Akour, I, Alshurideh, M, Al Kurdi, B, Al Ali, A, Salloum, S., Using machine learning algorithms to predict people's intention to use mobile learning platforms during the COVID-19 pandemic: machine learning approach (2021) JMIR Med Educ, 7 (1), p. e24032. , Mar 04; [FREE Full text] [doi] [Medline: 33444154]; Zhang, A, Xing, L, Zou, J, Wu, JC., Shifting machine learning for healthcare from development to deployment and from models to data (2022) Nat Biomed Eng, 6 (12), pp. 1330-1345. , Dec 04; [doi] [Medline: 35788685]; Weidener, L, Fischer, M., Artificial intelligence teaching as part of medical education: qualitative analysis of expert interviews (2023) JMIR Med Educ, 9, p. e46428. , Apr 24;: [FREE Full text] [doi] [Medline: 36946094]; Lee, J, Wu, AS, Li, D, Kulasegaram, KM., Artificial intelligence in undergraduate medical education: a scoping review (2021) Acad Med, 96 (11S), pp. S62-S70. , Nov 01; [doi] [Medline: 34348374]; Talks, J, Denniston, AK, Kelly, CJ, Stakeholder perspectives of clinical artificial intelligence implementation: systematic review of qualitative evidence (2023) J Med Internet Res, 25, p. e39742. , Hogg HDJ, Al-Zubaidy M, Jan 10;: [FREE Full text] [doi] [Medline: 36626192]; OpenAI: models GPT-3. OpenAI, , https://beta.openai.com/docs/models, [accessed 2023-04-02]; Sallam, M, Salim, N, Barakat, M, Al-Tammemi, A., ChatGPT applications in medical, dental, pharmacy, and public health education: a descriptive study highlighting the advantages and limitations (2023) Narra J, 3 (1), p. e103. , Mar 29; [doi]; Li, J, Dada, A, Kleesiek, J, Egger, J., ChatGPT in healthcare: a taxonomy and systematic review (2023) medRxiv, , Preprint posted online on March 30, [doi]; Nov, O, Singh, N, Mann, D., Putting ChatGPT's medical advice to the (Turing) test: survey study (2023) JMIR Med Educ, 9, p. e46939. , Jul 10;: [FREE Full text] [doi] [Medline: 37428540]; Shahsavar, Y, Choudhury, A., User intentions to use ChatGPT for self-diagnosis and health-related purposes: cross-sectional survey study (2023) JMIR Hum Factors, 10, p. e47564. , May 17;: [FREE Full text] [doi] [Medline: 37195756]; Jacob, C, Sanchez-Vazquez, A, Ivory, C., Social, organizational, and technological factors impacting clinicians' adoption of mobile health tools: systematic literature review (2020) JMIR Mhealth Uhealth, 8 (2), p. e15935. , Feb 20; [FREE Full text] [doi] [Medline: 32130167]; Roberts, R, Flin, R, Millar, D, Corradi, L., Psychological factors influencing technology adoption: a case study from the oil and gas industry (2021) Technovation, 102, p. 102219. , Apr;: [doi]; Tverskoi, D, Babu, S, Gavrilets, S., The spread of technological innovations: effects of psychology, culture and policy interventions (2022) R Soc Open Sci, 9 (6), p. 211833. , Jun; [FREE Full text] [doi] [Medline: 35754991]; Davis, FD., Perceived usefulness, perceived ease of use, and user acceptance of information technology (1989) MIS Quarterly, 13 (3), p. 319. , Sep; [doi]; Marangunić, N, Granić, A., Technology acceptance model: a literature review from 1986 to 2013 (2014) Univ Access Inf Soc, 14 (1), pp. 81-95. , Feb 16; [doi]; Venkatesh, Thong, Xu, Consumer acceptance and use of information technology: extending the unified theory of acceptance and use of technology (2012) MIS Quarterly, 36 (1), p. 157. , [doi]; Ammenwerth, E., Technology Acceptance Models in Health Informatics: TAM and UTAUT (2019) Stud Health Technol Inform, 263, pp. 64-71. , Jul 30;: [doi] [Medline: 31411153]; Lange, A, Koch, J, Beck, A, Neugebauer, T, Watzema, F, Wrona, KJ, Learning with virtual reality in nursing education: qualitative interview study among nursing students using the unified theory of acceptance and use of technology model (2020) JMIR Nursing, 3 (1), p. e20249. , Sep 1; [doi]; Lai, P., The literature review of technology adoption models and theories for the novelty technology (2017) J Sys Inf Technol Manag, 14 (1), pp. 21-38. , Jun 08; [doi]; Rogers, E., (1995) Diffusion of Innovations, , Berlin, Germany: Springer; Liu, Z, Min, Q, Ji, S., A comprehensive review of research in IT adoption (2008) 4th International Conference on Wireless Communications, Networking and Mobile Computing, , Presented at: October 12-17; Dalian, China [doi]; Rahimi, B, Nadri, H, Lotfnezhad Afshar, H, Timpka, T., A systematic review of the technology acceptance model in health informatics (2018) Appl Clin Inform, 9 (3), pp. 604-634. , Dec; [FREE Full text] [doi] [Medline: 30112741]; ChatGPT banned in Italy over privacy concerns (2023) BBC News, , https://www.bbc.com/news/technology-65139406, [accessed 2023-04-02]; Stokel-Walker, C., AI bot ChatGPT writes smart essays - should professors worry? (2022) Nature, , Dec 09 [doi] [Medline: 36494443]; Stokel-Walker, C, Van Noorden, R., What ChatGPT and generative AI mean for science (2023) Nature, 614 (7947), pp. 214-216. , Feb 06; [doi] [Medline: 36747115]; Tools such as ChatGPT threaten transparent science; here are our ground rules for their use (2023) Nature, 613 (7945), pp. 612-612. , Jan 24; [doi]; van Dis, EAM, Bollen, J, Zuidema, W, van Rooij, R, Bockting, CL., ChatGPT: five priorities for research (2023) Nature, 614 (7947), pp. 224-226. , Feb 03; [FREE Full text] [doi] [Medline: 36737653]; Khan, RA, Jawaid, M, Khan, AR, Sajjad, M., ChatGPT - Reshaping medical education and clinical management (2023) Pak J Med Sci, 39 (2), pp. 605-607. , Feb 07; [FREE Full text] [doi] [Medline: 36950398]; Gilson, A, Safranek, CW, Huang, T, Socrates, V, Chi, L, Taylor, RA, How Does ChatGPT Perform on the United States Medical Licensing Examination? The Implications of Large Language Models for Medical Education and Knowledge Assessment (2023) JMIR Med Educ, 9, p. e45312. , Feb 08;: [FREE Full text] [doi] [Medline: 36753318]; Borji, A., (2023) A Categorical Archive of ChatGPT Failures, , arXiv. Preprint posted online on May 9, [doi]; Boateng, GO, Neilands, TB, Frongillo, EA, Melgar-Quiñonez, HR, Young, SL., Best practices for developing and validating scales for health, social, and behavioral research: a primer (2018) Front Public Health, 6, p. 149. , [FREE Full text] [doi] [Medline: 29942800]; MacCallum, RC, Widaman, KF, Zhang, S, Hong, S., Sample size in factor analysis (1999) Psychol Methods, 4 (1), pp. 84-99. , Mar; [doi]; Streiner, DL, Kottner, J., Recommendations for reporting the results of studies of instrument and scale development and testing (2014) J Adv Nurs, 70 (9), pp. 1970-1979. , Sep 30; [doi] [Medline: 24684713]; Artino, AR, La Rochelle, JS, Dezee, KJ, Gehlbach, H., Developing questionnaires for educational research: AMEE Guide No 87 (2014) Med Teach, 36 (6), pp. 463-474. , Jun; [FREE Full text] [doi] [Medline: 24661014]; Holtz, B, Mitchell, K, Hirko, K, Ford, S., Using the technology acceptance model to characterize barriers and opportunities of telemedicine in rural populations: survey and interview study (2022) JMIR Form Res, 6 (4), p. e35130. , Apr 15; [FREE Full text] [doi] [Medline: 35436207]; Nadal, C, Sas, C, Doherty, G., Technology acceptance in mobile health: scoping review of definitions, models, and measurement (2020) J Med Internet Res, 22 (7), p. e17256. , Jul 06; [FREE Full text] [doi] [Medline: 32628122]; An, MH, You, SC, Park, RW, Lee, S., Using an extended technology acceptance model to understand the factors influencing telehealth utilization after flattening the COVID-19 curve in South Korea: cross-sectional survey study (2021) JMIR Med Inform, 9 (1), p. e25435. , Jan 08; [FREE Full text] [doi] [Medline: 33395397]; Eysenbach, G., Improving the quality of web surveys: the Checklist for Reporting Results of Internet E-Surveys (CHERRIES) (2004) J Med Internet Res, 6 (3), p. e34. , Sep 29; [FREE Full text] [doi] [Medline: 15471760]; Choi, BCK, Pak, AWP., A catalog of biases in questionnaires (2005) Prev Chronic Dis, 2 (1), p. A13. , Jan; [FREE Full text] [Medline: 15670466]; Rao, A, Pang, M, Kim, J, Kamineni, M, Lie, W, Prasad, AK, Assessing the Utility of ChatGPT throughout the entire clinical workflow (2023) medRxiv, , Preprint posted online on Feb 26, [FREE Full text] [doi] [Medline: 36865204]; Thirunavukarasu, AJ, Hassan, R, Mahmood, S, Sanghera, R, Barzangi, K, El Mukashfi, M, Trialling a large language model (ChatGPT) in general practice with the applied knowledge test: observational study demonstrating opportunities and limitations in primary care (2023) JMIR Med Educ, 9, p. e46599. , Apr 21;: [FREE Full text] [doi] [Medline: 37083633]; Karabacak, M, Ozkara, BB, Margetis, K, Wintermark, M, Bisdas, S., The advent of generative language models in medical education (2023) JMIR Med Educ, 9, p. e48163. , Jun 06;: [FREE Full text] [doi] [Medline: 37279048]; Sabry Abdel-Messih, M, Kamel Boulos, MN., ChatGPT in clinical toxicology (2023) JMIR Med Educ, 9, p. e46876. , Mar 08;: [FREE Full text] [doi] [Medline: 36867743]; Benoit, J., ChatGPT for Clinical Vignette Generation, Revision, and Evaluation (2023) medRxiv, , Preprint posted online on Feb 8, [doi]; Antaki, F, Touma, S, Milad, D, El-Khoury, J, Duval, R., Evaluating the performance of ChatGPT in ophthalmology: an analysis of its successes and shortcomings (2023) medRxiv, , Preprint posted online on Jan 26, [doi]; Kung, TH, Cheatham, M, Medenilla, A, Sillos, C, De Leon, L, Elepaño, C, Performance of ChatGPT on USMLE: Potential for AI-assisted medical education using large language models (2023) PLOS Digit Health, 2 (2), p. e0000198. , Feb 9; [FREE Full text] [doi] [Medline: 36812645]; Mbakwe, AB, Lourentzou, I, Celi, LA, Mechanic, OJ, Dagan, A., ChatGPT passing USMLE shines a spotlight on the flaws of medical education (2023) PLOS Digit Health, 2 (2), p. e0000205. , Feb 9; [FREE Full text] [doi] [Medline: 36812618]; Takagi, S, Watari, T, Erabi, A, Sakaguchi, K., Performance of GPT-3.5 and GPT-4 on the Japanese medical licensing examination: comparison study (2023) JMIR Med Educ, 9, p. e48002. , Jun 29;: [FREE Full text] [doi] [Medline: 37384388]; Giannos, P, Delardas, O., Performance of ChatGPT on UK standardized admission tests: insights from the BMAT, TMUA, LNAT, and TSA examinations (2023) JMIR Med Educ, 9, p. e47737. , Apr 26;: [FREE Full text] [doi] [Medline: 37099373]; Shahsavar, Y, Choudhury, A., The role of AI chatbots in healthcare: a study on user intentions to utilize ChatGPT for self-diagnosis (2023) JMIR Preprints, , Preprint posted online on May 9, [doi]; Lund, BD, Wang, T., Chatting about ChatGPT: how may AI and GPT impact academia and libraries? (2023) Library Hi Tech News, 40 (3), pp. 26-29. , Feb 14; [doi]; Aczel, B, Wagenmakers, E., Transparency guidance for ChatGPT usage in scientific writing (2023) PsyArXiv, , Preprint posted online on Feb 6, [doi]; Sanmarchi, F, Bucci, A, Golinelli, D., A step-by-step researcher's guide to the use of an AI-based transformer in epidemiology: an exploratory analysis of ChatGPT using the STROBE checklist for observational studies (2023) medRxiv, , Preprint posted online on Feb 8, [doi]; Williams, DJ, Noyes, JM., How does our perception of risk influence decision-making? Implications for the design of risk information (2007) Theor, 8 (1), pp. 1-35. , Jan; [doi]; Featherman, M, Fuller, M., Applying TAM to e-services adoption: the moderating role of perceived risk (2003) 2003 Presented at: 36th Annual Hawaii International Conference on System Sciences, pp. 6-9. , Jan 6-9; Big Island, HI [doi]; Savas-Hall, S, Koku, PS, Mangleburg, T., Really new services: perceived risk and adoption intentions (2021) Serv Mark Q, 43 (4), pp. 485-503. , Oct 25; [doi]; Sebastian, G, George, A, Jackson, G., Persuading patients using rhetoric to improve artificial intelligence adoption: experimental study (2023) J Med Internet Res, 25, p. e41430. , Mar 13;: [FREE Full text] [doi] [Medline: 36912869]; Rao, A, Kim, J, Kamineni, M, Pang, M, Lie, W, Succi, MD., Evaluating ChatGPT as an adjunct for radiologic decision-making (2023) medRxiv, , Preprint posted online on Feb 7, [FREE Full text] [doi] [Medline: 36798292]; Duong, D, Solomon, BD., Analysis of large-language model versus human performance for genetics questions (2023) medRxiv, , Preprint posted online on Jan 28, [FREE Full text] [doi] [Medline: 36789422]; Malik, S., The utility of ChatGPT as an example of large language models in healthcare education, research and practice: systematic review on the future perspectives and potential limitations (2023) medRxiv, , Preprint posted online on Feb 21, [doi]; Chew, HSJ, Achananuparp, P., Perceptions and needs of artificial intelligence in health care to increase adoption: scoping review (2022) J Med Internet Res, 24 (1), p. e32939. , Jan 14; [FREE Full text] [doi] [Medline: 35029538]; Lee, DY, Lehto, MR., User acceptance of YouTube for procedural learning: an extension of the technology acceptance model (2013) Comput Educ, 61, pp. 193-208. , Feb;: [doi]; Alfadda, HA, Mahdi, HS., Measuring students' use of Zoom application in language course based on the technology acceptance model (TAM) (2021) J Psycholinguist Res, 50 (4), pp. 883-900. , Aug; [FREE Full text] [doi] [Medline: 33398606]; Okonkwo, CW, Ade-Ibijola, A., Chatbots applications in education: A systematic review (2021) Comput Educ, 2, p. 100033. , [doi]; Lo, CK., What is the impact of ChatGPT on education? A rapid review of the literature (2023) Educ Sci, 13 (4), p. 410. , Apr 18; [doi]; Bezrukova, K, Griffith, TL, Spell, C, Rice, V, Yang, HE., Artificial intelligence and groups: effects of attitudes and discretion on collaboration (2023) Group Organ Manag, 48 (2), pp. 629-670. , Mar 03; [doi]; Paul, J, Ueno, A, Dennis, C., ChatGPT and consumers: benefits, pitfalls and future research agenda (2023) Int J Consumer Studies, 47 (4), pp. 1213-1225. , Mar 25; [doi]; Gates, B., The Age of AI has begun: artificial intelligence is as revolutionary as mobile phones and the internet GatesNotes, , https://www.gatesnotes.com/The-Age-of-AI-Has-Begun, [accessed 2023-04-17]; Taecharungroj, V., What can ChatGPT do?” Analyzing early reactions to the innovative AI chatbot on Twitter (2023) Big Data Cogn, 7 (1), p. 35. , Feb 16; [doi]; Stewart, KA, Segars, AH., An empirical examination of the concern for information privacy instrument (2002) Inf Syst Res, 13 (1), pp. 36-49. , Mar; [doi]; Sallam, M, Salim, NA, Al-Tammemi, AB, Barakat, M, Fayyad, D, Hallit, S, ChatGPT output regarding compulsory vaccination and COVID-19 vaccine conspiracy: a descriptive study at the outset of a paradigm shift in online search for information (2023) Cureus, 15 (2), p. e35029. , Feb; [FREE Full text] [doi] [Medline: 36819954]; Beaudry, Pinsonneault, The other side of acceptance: studying the direct and indirect effects of emotions on information technology use (2010) MIS Quarterly, 34 (4), p. 689. , [doi]; Şahin, F, Doğan, E, Okur, MR, Şahin, YL., Emotional outcomes of e-learning adoption during compulsory online education (2022) Educ Inf Technol (Dordr), 27 (6), pp. 7827-7849. , Feb 24; [FREE Full text] [doi] [Medline: 35228828]; Scherer, R, Siddiq, F, Tondeur, J., The technology acceptance model (TAM): A meta-analytic structural equation modeling approach to explaining teachers’ adoption of digital technology in education (2019) Comput Educ, 128, pp. 13-35. , Jan;: [doi]; Abdullah, F, Ward, R, Ahmed, E., Investigating the influence of the most commonly used external variables of TAM on students’ Perceived Ease of Use (PEOU) and Perceived Usefulness (PU) of e-portfolios (2016) Comput Hum Behav, 63, pp. 75-90. , Oct;: [doi]; Songkram, N, Chootongchai, S, Osuwan, H, Chuppunnarat, Y, Songkram, N., Students' adoption towards behavioral intention of digital learning platform (2023) Educ Inf Technol (Dordr), pp. 1-23. , Feb 22: [FREE Full text] [doi] [Medline: 36846495]; Balaskas, S, Panagiotarou, A, Rigou, M., The influence of trustworthiness and technology acceptance factors on the usage of e-government services during COVID-19: a case study of post COVID-19 Greece (2022) Adm Sci, 12 (4), p. 129. , Sep 29; [doi]; AlHogail, A., Improving IoT technology adoption through improving consumer trust (2018) Technologies, 6 (3), p. 64. , Jul 07; [doi]; Ray, PP., ChatGPT: A comprehensive review on background, applications, key challenges, bias, ethics, limitations and future scope (2023) IET Cyber-Phys Syst, 3, pp. 121-154. , [doi]; Baumgartner, C., The potential impact of ChatGPT in clinical and translational medicine (2023) Clin Transl Med, 13 (3), p. e1206. , Mar; [FREE Full text] [doi] [Medline: 36854881]; Chang, I, Shih, Y, Kuo, K., Why would you use medical chatbots? Interview and survey (2022) Int J Med Inform, 165, p. 104827. , Sep;: [doi] [Medline: 35797921]; Kasneci, E, Sessler, K, Küchemann, S, Bannert, M, Dementieva, D, Fischer, F, ChatGPT for good? On opportunities and challenges of large language models for education (2023) Learn Individ Differ, 103, p. 102274. , Apr;: [doi]; Shorey, S, Ang, E, Yap, J, Ng, ED, Lau, ST, Chui, CK., A virtual counseling application using artificial intelligence for communication skills training in nursing education: development study (2019) J Med Internet Res, 21 (10), p. e14658. , Oct 29; [FREE Full text] [doi] [Medline: 31663857]; Zhuo, T, Huang, Y, Chen, C, Xing, Z., (2023) Exploring ai ethics of chatgpt: A diagnostic analysis, , arXiv. Preprint posted online on Feb 22, [doi]; Hu, B, Mao, Y, Kim, KJ., How social anxiety leads to problematic use of conversational AI: the roles of loneliness, rumination, and mind perception (2023) Comput Hum Behav, 145, p. 107760. , Aug;: [doi]; Jeong, D, Aggarwal, S, Robinson, J, Kumar, N, Spearot, A, Park, DS., Exhaustive or exhausting? Evidence on respondent fatigue in long surveys (2023) J Dev Econ, 161, p. 102992. , Mar;: [doi]</t>
  </si>
  <si>
    <t>We are deeply grateful to the students who participated in this study.</t>
  </si>
  <si>
    <t>Sallam, M., Department of Pathology, Microbiology and Forensic Medicine, School of Medicine, The University of Jordan, Amman, Jordan, Department of Clinical Laboratories and Forensic Medicine, Jordan University Hospital, Amman, Jordan; Salim, N.A., Prosthodontic Department, School of Dentistry, The University of Jordan, Amman, Jordan, Prosthodontic Department, Jordan University Hospital, Amman, Jordan; Barakat, M., Department of Clinical Pharmacy and Therapeutics, Faculty of Pharmacy, Applied Science Private University, Amman, Jordan, Middle East University Research Unit, Middle East University, Amman, Jordan; Al-Mahzoum, K., Department of Pathology, Microbiology and Forensic Medicine, School of Medicine, The University of Jordan, Amman, Jordan; Al-Tammemi, A.B., Migration Health Division, International Organization for Migration, The United Nations Migration Agency, Amman, Jordan; Malaeb, D., College of Pharmacy, Gulf Medical University, Ajman, United Arab Emirates; Hallit, R., School of Medicine and Medical Sciences, Holy Spirit University of Kaslik, Jounieh, Lebanon, Department of Infectious Disease, Bellevue Medical Center, Mansourieh, Lebanon, Department of Infectious Disease, Notre Dame des Secours, University Hospital Center, Byblos, Lebanon; Hallit, S., School of Medicine and Medical Sciences, Holy Spirit University of Kaslik, Jounieh, Lebanon, Research Department, Psychiatric Hospital of the Cross, Jal Eddib, Lebanon</t>
  </si>
  <si>
    <t>58031424100;55100814300;57216549396;57221541849;57216892163;56117492000;37101532600;37101759800;</t>
  </si>
  <si>
    <t>Sallam M., Salim N.A., Barakat M., Al-Mahzoum K., Al-Tammemi A.B., Malaeb D., Hallit R., Hallit S.</t>
  </si>
  <si>
    <t>Restrepo-Calle, F.; Universidad Nacional de ColombiaColombia; email: ferestrepoca@unal.edu.co</t>
  </si>
  <si>
    <t>Aissa, M., Al-Kalbani, M., Al-Hatali, S., BinTouq, A., Novice learning programming languages in Omani higher education institution (Nizwa University) issues, challenges and solutions (2020) Sustainable development and social responsibility, 2, pp. 143-148. , https://doi.org/10.1007/978-3-030-32902-0_18, A. Al-Masri, &amp; Y. Al-Assaf (Eds), –). Springer; Aljohani, N. R., Daud, A., Abbasi, R. A., Alowibdi, J. S., Basheri, M., Aslam, M. A., An integrated framework for course adapted student learning analytics dashboard (2019) Computers in Human Behavior, 92, pp. 679-690. , https://doi.org/10.1016/j.chb.2018.03.035; Andergassen, M., Mödritscher, F., Neumann, G., Practice and repetition during exam preparation in blended learning courses: Correlations with learning results (2014) Journal of Learning Analytics, 1 (1), pp. 48-74. , https://doi.org/10.18608/jla.2014.11.4; Arnold, K. E., Pistilli, M. D., Course signals at Purdue: Using learning analytics to increase student success (2012) Proceedings of the 2nd International Conference on Learning Analytics and Knowledge, pp. 267-270. , https://doi.org/10.1145/2330601.2330666, Association for Computing Machinery; Azcona, D., Hsiao, I.-H., Smeaton, A. F., Detecting students-at-risk in computer programming classes with learning analytics from students’ digital footprints (2019) User Modeling and User-Adapted Interaction, 29, pp. 759-788. , https://doi.org/10.1007/s11257-019-09234-7; Baker, R. S., Inventado, P. S., Educational data mining and learning analytics (2014) Learning analytics, pp. 61-75. , https://doi.org/10.1007/978-1-4614-3305-7_4, J. Larusson, R. White (Eds), –). Springer; Barber, R., Sharkey, M., Course correction: using analytics to predict course success (2012) Proceedings of the 2nd International Conference on Learning Analytics and Knowledge, pp. 259-262. , https://doi.org/10.1145/2330601.2330664, Association for Computing Machinery; Bryman, A., Mixed methods research: Combining quantitative and qualitative research (2015) Social research methods, pp. 634-660. , A. Bryman, Oxford University Press; Carter, A., Hundhausen, C., Olivares, D., Leveraging the integrated development environment for learning analytics (2019) The Cambridge handbook of computing education research, pp. 679-706. , https://doi.org/10.1017/9781108654555.024, S. Fincher, &amp; A. Robins (Eds), Cambridge University Press; Castellanos, H., Restrepo-Calle, F., González, F. A., Ramírez Echeverry, J. J., Understanding the relationships between self-regulated learning and students source code in a computer programming course (2017) Proceedings of the IEEE Frontiers in Education Conference, pp. 1-9. , https://doi.org/10.1109/FIE.2017.8190467, (October). Indianapolis USA; Clow, D., The learning analytics cycle: Closing the loop effectively (2012) Proceedings of the 2nd International Conference on Learning Analytics and Knowledge, pp. 134-138. , https://doi.org/10.1145/2330601.2330636, Association for Computing Machinery; Coffrin, C., Corrin, L., de Barba, P., Kennedy, G., Visualizing patterns of student engagement and performance in MOOCs (2014) Proceedings of the Fourth International Conference on Learning Analytics and Knowledge, pp. 83-92. , https://doi.org/10.1145/2567574.2567586, Association for Computing Machinery; Corbin, J. M., Strauss, A., Grounded theory research: Procedures, canons, and evaluative criteria (1990) Qualitative Sociology, 13, pp. 3-21. , https://doi.org/10.1007/BF00988593; Creswell, J. W., The selection of a research approach (2014) Research design: Qualitative, quantitative and mixed methods approaches, pp. 3-24. , J. W. Creswell, Sage Publications; Elia, G., Solazzo, G., Lorenzo, G., Passiante, G., Assessing learners’ satisfaction in collaborative online courses through a big data approach (2019) Computers in Human Behavior, 92, pp. 589-599. , https://doi.org/10.1016/j.chb.2018.04.033; Hernández-Sampieri, R., Fernández-Collado, C., Baptista-Lucio, P., Proceso de la investigación cualitativa [Qualitative research process] (2014) Metodología de la investigación, pp. 355-466. , R. Hernández-Sampieri, C. Fernández-Collado, &amp; P. Baptista-Lucio, McGraw-Hill; Hilliger, I., Ortiz-Rojas, M., Pesántez-Cabrera, P., Scheihing, E., Tsai, Y.-S., Muñoz-Merino, P. J., Broos, T., Pérez-Sanagustín, M., Identifying needs for learning analytics adoption in Latin American universities: A mixed-methods approach (2020) The Internet and Higher Education, 45, p. 100726. , https://doi.org/10.1016/j.iheduc.2020.100726; Ihantola, P., Vihavainen, A., Ahadi, A., Butler, M., Börstler, J., Edwards, S. H., Isohanni, E., Toll, D., Educational data mining and learning analytics in programming: Literature review and case studies (2015) Proceedings of the 2015 ITiCSE on Working Group Reports, pp. 41-63. , https://doi.org/10.1145/2858796.2858798, Association for Computing Machinery; Kizilcec, R. F., Pérez-Sanagustín, M., Maldonado, J. J., Self-regulated learning strategies predict learner behavior and goal attainment in Massive Open Online Courses (2017) Computers &amp; Education, 104, pp. 18-33. , https://doi.org/10.1016/j.compedu.2016.10.001; Kop, R., Fournier, H., Durand, G., A critical perspective on learning analytics and educational data mining (2017) The handbook of learning analytics, pp. 319-326. , https://doi.org/10.18608/hla17.027, C. Lang, G. Siemens, A. F. Wise, &amp; D. Gašević (Eds), –). Society for Learning Analytics Research; Kumar, V. S., Kinshuk, Somasundaram, T. S., Boulanger, D., Seanosky, J., Vilela, M. F., Big data learning analytics: A new perspective (2015) Ubiquitous learning environments and technologies, pp. 139-158. , https://doi.org/10.1007/978-3-662-44659-1_8, Kinshuk, &amp; R. Huang (Eds), –). Springer; Ladias, A., Karvounidis, T., Ladias, D., Forms of communications in scratch and the SOLO taxonomy (2022) Advances in Mobile Learning Educational Research, 2 (1), pp. 234-245. , https://doi.org/10.25082/AM-LER.2022.01.007; Lagus, J., Longi, K., Klami, A., Hellas, A., Transfer-learning methods in programming course outcome prediction (2018) ACM Transactions on Computing Education, 18 (4), p. 19. , https://doi.org/10.1145/3152714, Article; Lazarinis, F., Karatrantou, A., Panagiotakopoulos, C., Daloukas, V., Panagiotakopoulos, T., Strengthening the coding skills of teachers in a low dropout Python MOOC (2022) Advances in Mobile Learning Educational Research, 2 (1), pp. 187-200. , https://doi.org/10.25082/AMLER.2022.01.003; Long, P., Siemens, G., Penetrating the fog: Analytics in learning and education (2011) EDUCAUSE Review, pp. 31-40. , https://er.educause.edu/articles/2011/9/penetrating-the-fog-analytics-in-learning-and-education, September/October; Lonn, S., Aguilar, S. J., Teasley, S. D., Investigating student motivation in the context of a learning analytics intervention during a summer bridge program (2015) Computers in Human Behavior, 47, pp. 90-97. , https://doi.org/10.1016/j.chb.2014.07.013; Lu, O. H. T., Huang, J. C. H., Huang, A. Y. Q., Yang, S. J. H., Applying learning analytics for improving students engagement and learning outcomes in an MOOCs enabled collaborative programming course (2017) Interactive Learning Environments, 25 (2), pp. 220-234. , https://doi.org/10.1080/10494820.2016.1278391; Macfadyen, L. P., Dawson, S., Mining LMS data to develop an “early warning system” for educators: A proof of concept (2010) Computers &amp; Education, 54 (2), pp. 588-599. , https://doi.org/10.1016/j.compedu.2009.09.008; Mangaroska, K., Giannakos, M., Learning analytics for learning design: Towards evidence-driven decisions to enhance learning (2017) Data driven approaches in digital education, pp. 428-433. , https://doi.org/10.1007/978-3-319-66610-5_38, É. Lavoué, H. Drachsler, K. Verbert, J. Broisin, &amp; M. Pérez-Sanagustín (Eds), –). Springer; Margulieux, L. E., Morrison, B. B., Decker, A., Reducing withdrawal and failure rates in introductory programming with subgoal labeled worked examples (2020) International Journal of STEM Education, 7, p. 19. , https://doi.org/10.1186/s40594-020-00222-7, Article; Monllaó Olivé, D., Huynh, D. Q., Reynolds, M., Dougiamas, M., Wiese, D., A supervised learning framework: Using assessment to identify students at risk of dropping out of a MOOC (2020) Journal of Computing in Higher Education, 32, pp. 9-26. , https://doi.org/10.1007/s12528-019-09230-1; Pistilli, M. D., Willis, J. E., Campbell, J. P., Analytics through an institutional lens: Definition, theory, design, and impact (2014) Learning analytics, pp. 79-102. , https://doi.org/10.1007/978-1-4614-3305-7_5, J. Larusson, &amp; B. White (Eds), –). Springer; Ramírez-Echeverry, J. J., Restrepo-Calle, F., González, F. A., A case study in technology-enhanced learning in an introductory computer programming course (2022) Global Journal of Engineering Education, 24 (1), pp. 65-71. , http://www.wiete.com.au/journals/GJEE/Publish/vol24no1/10-Restrepo-Calle-F.pdf; Restrepo-Calle, F., Ramírez-Echeverry, J. J., Gonzalez, F. A., UNCode: Interactive system for learning and automatic evaluation of computer programming skills (2018) Proceedings of the 10th International Conference on Education and New Learning Technologies, pp. 6888-6898. , https://doi.org/10.21125/edu-learn.2018.1632, (July). Palma, Spain; Restrepo-Calle, F., Ramírez-Echeverry, J. J., González, F. A., Using an interactive software tool for the formative and summative evaluation in a computer programming course: An experience report (2020) Global Journal of Engineering Education, 22 (3), pp. 174-185. , http://www.wiete.com.au/journals/GJEE/Publish/vol22no3/06-Echeverry-J.pdf; Rienties, B., Toetenel, L., The impact of 151 learning designs on student satisfaction and performance: Social learning (analytics) matters (2016) Proceedings of the Sixth International Conference on Learning Analytics &amp; Knowledge, pp. 339-343. , https://doi.org/10.1145/2883851.2883875, Association for Computing Machinery; Salguero, A., Griswold, W. G., Alvarado, C., Porter, L., Understanding sources of student struggle in early computer science courses (2021) Proceedings of the 17th ACM Conference on International Computing Education Research, pp. 319-333. , https://doi.org/10.1145/3446871.3469755, Association for Computing Machinery; Shen, H., Liang, L., Law, N., Hemberg, E., O’Reilly, U.-M., Understanding learner behavior through learning design informed learning analytics (2020) Proceedings of the Seventh ACM Conference on Learning @ Scale, pp. 135-145. , https://doi.org/10.1145/3386527.3405919, Association for Computing Machinery; Siemens, G., Learning analytics: The emergence of a discipline (2013) American Behavioral Scientist, 57 (10), pp. 1380-1400. , https://doi.org/10.1177/0002764213498851; Tempelaar, D. T., Rienties, B., Giesbers, B., Verifying the stability and sensitivity of learning analytics based prediction models: An extended case study (2016) Computer supported education, pp. 256-273. , https://doi.org/10.1007/978-3-319-29585-5_15, S. Zvacek, M. Uhomoibhi, &amp; M. Helfert (Eds), –). Springer; Vahdat, M., Oneto, L., Anguita, D., Funk, M., Rauterberg, M., A learning analytics approach to correlate the academic achievements of students with interaction data from an educational simulator (2015) Design for teaching and learning in a networked world, pp. 352-366. , https://doi.org/10.1007/978-3-319-24258-3_26, G. Conole, T. Klobučar, C. Rensing, J. Konert, &amp; E. Lavoué (Eds), –). Springer; Wu, Y., Wu, W., A learning analytics system for cognition analysis in online learning community (2018) Web and big data, pp. 243-258. , https://doi.org/10.1007/978-3-030-01298-4_21, L. H. U, &amp; H. Xie (Eds), –). Springer; Zacharis, N. Z., A multivariate approach to predicting student outcomes in web-enabled blended learning courses (2015) The Internet and Higher Education, 27, pp. 44-53. , https://doi.org/10.1016/j.iheduc.2015.05.002</t>
  </si>
  <si>
    <t>Amaya, E.J.C., Universidad Nacional de Colombia, Bogotá, Colombia; Restrepo-Calle, F., Universidad Nacional de Colombia, Bogotá, Colombia; Ramírez-Echeverry, J.J., Universidad Nacional de Colombia, Bogotá, Colombia</t>
  </si>
  <si>
    <t>58643273100;36195972000;56237308500;</t>
  </si>
  <si>
    <t>Amaya E.J.C., Restrepo-Calle F., Ramírez-Echeverry J.J.</t>
  </si>
  <si>
    <t>Olney, A.M.; Institute for Intelligent Systems, 365 Innovation Drive, Suite 303, United States; email: aolney@memphis.edu</t>
  </si>
  <si>
    <t>Downing, S. M., Selected-response item formats in test development (2006) Handbook of Test Development, pp. 287-301. , T. M. Haladyna, S. M. Downing (Eds), Routledge, New Jersey; Gierl, M. J., Bulut, O., Guo, Q., Zhang, X., Developing, analyzing, and using distractors for multiple-choice tests in education: A comprehensive review (2017) Review of Educational Research, 87, pp. 1082-1116. , https://doi.org/10.3102/0034654317726529, arXiv:https://doi.org/10.3102/0034654317726529; Rao, D. C., Saha, S. K., Automatic multiple choice question generation from text: A survey (2020) IEEE Transactions on Learning Technologies, 13, pp. 14-25; Rus, V., Wyse, B., Piwek, P., Lintean, M., Stoyanchev, S., Moldovan, C., Overview of the first question generation shared task evaluation challenge (2010) Proceedings of QG2010: The Third Workshop on Question Generation, pp. 45-57. , http://oro.open.ac.uk/22343/, K. E. Boyer, P. Piwek (Eds), questiongeneration.org, Pittsburgh; Olney, A. M., Sentence selection for cloze item creation: A standardized task and preliminary results (2021) Joint Proceedings of the Workshops at the 14th International Conference on Educational Data Mining, 3051, pp. LDI-LD6. , T. W. Price, S. San Pedro (Eds), of CEUR Workshop Proceedings, CEUR-WS.org; Gao, L., Gimpel, K., Jensson, A., Distractor analysis and selection for multiple-choice cloze questions for second-language learners (2020) Proceedings of the Fifteenth Workshop on Innovative Use of NLP for Building Educational Applications, pp. 102-114. , https://aclanthology.org/2020.bea-1.10, Association for Computational Linguistics, Seattle, WA, USA Online; Chung, H.-L., Chan, Y.-H., Fan, Y.-C., A BERT-based distractor generation scheme with multi-tasking and negative answer training strategies (2020) Findings of the Association for Computational Linguistics: EMNLP 2020, pp. 4390-4400. , https://aclanthology.org/2020.findings-emnlp.393, Association for Computational Linguistics, Online, doi; Gao, Y., Bing, L., Li, P., King, I., Lyu, M. R., Generating distractors for reading comprehension questions from real examinations (2019) Proceedings of the Thirty-Third AAAI Conference on Artificial Intelligence, pp. 6423-6430. , https://doi.org/10.1609/aaai.v33i01.33016423, AAAI Press; Qiu, Z., Wu, X., Fan, W., Automatic distractor generation for multiple choice questions in standard tests (2020) Proceedings of the 28th International Conference on Computational Linguistics, International Committee on Computational Linguistics, pp. 2096-2106. , https://aclanthology.org/2020.coling-main.189, Barcelona, Spain; Zhou, X., Luo, S., Wu, Y., Co-attention hierarchical network: Generating coherent long distractors for reading comprehension (2020) The Thirty-Fourth AAAI Conference on Artificial Intelligence, pp. 9725-9732. , https://ojs.aaai.org/index.php/AAAI/article/view/6522, AAAI Press; Raffel, C., Shazeer, N., Roberts, A., Lee, K., Narang, S., Matena, M., Zhou, Y., Liu, P. J., Exploring the limits of transfer learning with a unified text-to-text transformer (2020) Journal of Machine Learning Research, 21, pp. 1-67; Vachev, K., Hardalov, M., Karadzhov, G., Georgiev, G., Koychev, I., Nakov, P., Leaf: Multiple-choice question generation (2022) Advances in Information Retrieval, pp. 321-328. , M. Hagen, S. Verberne, C. Macdonald, C. Seifert, K. Balog, K. Nørvåg, Setty (Eds), Springer International Publishing, Cham; Rodriguez-Torrealba, R., Garcia-Lopez, E., Garcia-Cabot, A., End-to-end generation of multiple-choice questions using text-to-text transfer transformer models (2022) Expert Systems with Applications, 208, p. 118258. , https://www.sciencedirect.com/science/article/pii/S0957417422014014, https://doi.org/10.1016/j.eswa.2022.118258; Offerijns, J., Verberne, S., Verhoef, T., (2020) Better distractions: Transformer-based distractor generation and multiple choice question filtering, , arXiv:2010.09598; Tafjord, O., Clark, P., (2021) General-purpose question-answering with Macaw, , https://arxiv.org/abs/2109.02593; Olney, A. M., Generating multiple choice questions with a multi-angle question answering model (2022) Proceedings of the 3rd Workshop of the Learner Data Institute, pp. 18-23. , S. E. Fancsali, Rus (Eds); Brown, T., Mann, B., Ryder, N., Subbiah, M., Kaplan, J. D., Dhariwal, P., Neelakantan, A., Amodei, D., Language models are few-shot learners (2020) Advances in Neural Information Processing Systems, 33, pp. 1877-1901. , https://proceedings.neurips.cc/paper_files/paper/2020/file/1457c0d6bfcb4967418bfb8ac142f64a-Paper.pdf, H. Larochelle, M. Ranzato, R. Hadsell, M. Balcan, H. Lin (Eds), Curran Associates, Inc; Sanh, V., Webson, A., Raffel, C., Bach, S., Sutawika, L., Alyafeai, Z., Chaffin, A., Rush, A. M., Multitask prompted training enables zero-shot task generalization (2022) International Conference on Learning Representations, pp. 1-216. , https://openreview.net/forum?id=9Vrb9D0WI4; Wang, Y., Mishra, S., Alipoormolabashi, P., Kordi, Y., Mirzaei, A., Naik, A., Ashok, A., Shen, X., Super-NaturalInstructions: Generalization via declarative instructions on 1600+ NLP tasks (2022) Proceedings of the 2022 Conference on Empirical Methods in Natural Language Processing, pp. 5085-5109. , https://aclanthology.org/2022.emnlp-main.340, A in: Association for Computational Linguistics, Abu Dhabi, United Arab Emirates; Chung, H. W., Hou, L., Longpre, S., Zoph, B., Tay, Y., Fedus, W., Li, Y., Wei, J., (2022) Scaling instruction-finetuned language models, , arXiv:2210.11416; Wei, J., Bosma, M., Zhao, V., Guu, K., Yu, A. W., Lester, B., Du, N., Le, Q. V., Fine-tuned language models are zero-shot learners (2022) International Conference on Learning Representations, pp. 1-46. , https://openreview.net/forum?id=gEZrGCozdqR; Betts, J. G., Desaix, P., Johnson, E., Johnson, J. E., Korol, O., Kruse, D., Poe, B., Young, K. A., (2017) Anatomy and Physiology, , OpenStax; Brooks, M. E., Kristensen, K., Van Benthem, K. J., Magnusson, A., Berg, C. W., Nielsen, A., Skaug, H. J., Bolker, B. M., glmmtmb balances speed and flexibility among packages for zero-inflated generalized linear mixed modeling (2017) The R Journal, 9, pp. 378-400; Kieschnick, R., McCullough, B. D., Regression analysis of variates observed on (0, 1): percentages, proportions and fractions (2003) Statistical Modelling, 3, pp. 193-213. , https://doi.org/10.1191/1471082X03st053oa, arXiv:https://doi.org/10.1191/1471082X03st053oa; Smithson, M., Verkuilen, J., A better lemon squeezer? Maximum-likelihood regression with beta-distributed dependent variables (2006) Psychological Methods, 11, pp. 54-71; Litman, L., Robinson, J., Abberbock, T., TurkPrime.com: A versatile crowdsourcing data acquisition platform for the behavioral sciences (2017) Behavior Research Methods, 49, pp. 433-442; Cheong, A., (2023) Edge GPT, , https://github.com/acheong08/EdgeGPT, original-date: 2023-02-09T16:07:42Z; Graham, Y., Baldwin, T., Moffat, A., Zobel, J., Is machine translation getting better over time? (2014) Proceedings of the 14th Conference of the European Chapter of the Association for Computational Linguistics, pp. 443-451. , Association for Computational Linguistics, Gothenburg, Sweden; Federmann, C., Elachqar, O., Quirk, C., Multilingual whispers: Generating paraphrases with translation (2019) Proceedings of the 5th Workshop on Noisy User-Generated Text, pp. 17-26. , Association for Computational Linguistics, Hong Kong, China; Bojar, O., Federmann, C., Fishel, M., Graham, Y., Haddow, B., Koehn, P., Monz, C., Findings of the 2018 Conference on Machine Translation (WMT18) (2018) Proceedings of the Third Conference on Machine Translation: Shared Task Papers, pp. 272-303. , Association for Computational Linguistics, Belgium, Brussels; Olney, A. M., Generating response-specific elaborated feedback using long-form neural question answering (2021) Proceedings of the Eighth ACM Conference on Learning @ Scale, L@S'21, pp. 27-36. , https://doi.org/10.1145/3430895.3460131, Association for Computing Machinery, New York, NY, USA; Marasini, D., Quatto, P., Ripamonti, E., Assessing the inter-rater agreement for ordinal data through weighted indexes (2016) Statistical Methods in Medical Research, 25, pp. 2611-2633. , https://doi.org/10.1177/0962280214529560, arXiv:https://doi.org/10.1177/0962280214529560, pMID: 24740999; van der Lee, C., Gatt, A., van Miltenburg, E., Wubben, S., Krahmer, E., Best practices for the human evaluation of automatically generated text (2019) Proceedings of the 12th International Conference on Natural Language Generation, pp. 355-368. , Association for Computational Linguistics, Tokyo, Japan</t>
  </si>
  <si>
    <t>This material is based upon work supported by the Institute of Education Sciences under Grant R305A190448 and by the National Science Foundation under Grants 1918751 and 1934745.</t>
  </si>
  <si>
    <t>National Science Foundation, NSF: 1918751, 1934745; Institute of Education Sciences, IES: R305A190448</t>
  </si>
  <si>
    <t>Olney, A.M., Institute for Intelligent Systems, University of Memphis, 365 Innovation Drive, Suite 303, Memphis, TN  38152, United States</t>
  </si>
  <si>
    <t>Institute for Intelligent Systems, University of Memphis, 365 Innovation Drive, Suite 303, Memphis, TN  38152, United States</t>
  </si>
  <si>
    <t>57206567984;</t>
  </si>
  <si>
    <t>(2020) AACSB Business Accreditation Standards, , https://www.aacsb.edu/educators/accreditation/businessaccreditation/aacsb-business-accreditation-standards; Branch, R. M., (2009) Instructional design: The ADDIE approach, 722. , New York: Springer; Burke, B., Chandrasekaran, A., Sicular, S., (2022) Innovation insight for generative AI, , https://www.gartner.com/document/4022272?ref=solrAll&amp;refval=367379459, (December 15). Gartner.com; Creating assignments, , https://www.cmu.edu/teaching/assessment/assesslearning/creatingassignments.html, (n.d). Eberley Center; Chowdhury, S., Fosso-Wamba, S., (2023) Why it’s time to join “Team ChatGPT.” AASCB, , https://www.aacsb.edu/insights/articles/2023/03/why-its-time-to-join-team-chatgpt, (March 8); (2023) What is ChatGPT-10 ways to use ChatGPT for students, , https://collegevidya.com/blog/how-to-use-chat-gpt-for-students/, (February 3); Prompt Engineering Guide, , https://www.promptingguide.ai/techniques, (n.d); D’Agostino, S., ChatGPT advice academics can use now (2023), https://www.insidehighered.com/news/2023/01/12/academic-experts-offer-advice-chatgpt, (January 12). Inside Higher Ed; Freire, P., (1968) Pedagogy of the oppressed, , New York: Herder and Herder; Friedman, J., (2017) 10 types of assignments in online degree programs, , https://www.usnews.com/higher-education/online-education/slideshows/10-types-ofassignments-in-online-degree-programs?slide=13, (August 31). US News and World Report; Greenwood, J., Samsung employees leak confidential information to OpenAI’s ChatGPT (2023) The Cybersecurity Times, , https://www.thecybersecuritytimes.com/samsungemployees-leak-confidential-information-to-openais-chatgpt/, (April 7); Hern, A., AI-assisted plagiarism? ChatGPT bot says it has an answer for that (2023) The Guardian, , https://www.proquest.com/blogs-podcasts-websites/ai-assistedplagiarismchatgptbotsays-has/docview/2760723658/se-2?accountid=14968; Hou, L., Liu, Y., Wu, J., Hou, M., Prompt-based few-shot learning for table-based fact verification (2022) Proceedings of the 2022 5th International Conference on Machine Learning and Natural Language Processing, pp. 14-19; Jaffri, A., Choudhary, F., (2022) Hype cycle for artificial intelligence, 2022, , https://www.gartner.com/interactive/hc/4016394?ref=solrAll&amp;refval=367578304, (July 8). Gartner.com; Jennings, D., Strategic management and the case method (1996) Journal of Management Development, 15 (9), pp. 4-12. , https://doi.org/10.1108/02621719610146211; King, M.R., ChatGPT. A Conversation on Artificial Intelligence, Chatbots, and Plagiarism in Higher Education (2023) Cel. Mol. Bioeng, 16, pp. 1-2. , https://doi.org/10.1007/s12195-022-00754-8; Klein, J., Taub, D., The effect of variations in handwriting and print on evaluation of student essays (2005) Assessing Writing, 10 (2), pp. 134-148. , https://doi.org/10.1016/j.asw.2005.05.002; https://learnprompting.org/docs/category/-basics, (n.d) LearnPrompting.org; Maryani, H. P., Gaol, F. L., Hidayanto, A. N., Comparison of the system development life cycle and prototype model for software engineering (2022) Int. J. Emerg. Technol. Adv. Eng, 12 (4), pp. 155-162; Meacham, J., Gaff, J. G., Learning goals in mission statements: Implications for educational leadership (2006) Liberal Education, 92 (1), pp. 6-13; Nelson, E., (2023) ChatGPT is changing the way colleges look at online learning, , https://mtsusidelines.com/2023/03/07/chat-gbt-is-changing-theway-colleges-look-at-online-learning/, (March 7). Middle State Tennessee University Sidelines; Nolan, B., Here are some of the schools and colleges that have banned the use of ChatGPT over plagiarism and misinformation fears (2023) Business Insider, , https://www.businessinsider.com/chatgpt-schools-colleges-ban-plagiarism-misinformationeducation-2023-1, (January 30); Open, AI, (2023) Best practices for prompt engineering with OpenAI API, , https://help.openai.com/en/articles/6654000-best-practices-for-prompt-engineering-with-openaiapi, (May); Orr, T., So you want to be a prompt engineer: Critical careers of the future (2023) VentureBeat, , https://venturebeat.com/ai/so-you-want-to-be-a-prompt-engineer-critical-careers-of-the-future/, (March 8); Perkins, M., Academic Integrity considerations of AI Large Language Models in the post-pandemic era: ChatGPT and beyond (2023) Journal of University Teaching &amp; Learning Practice, 20 (2). , https://doi.org/10.53761/1.20.02.07; Roose, K., Don’t ban ChatGPT in schools: Teach with it (2023), https://www.proquest.com/blogs-podcasts-websites/don-t-ban-chatgpt-schoolsteachwith/docview/2764444230/se-2?accountid=14968, (January 12). New York Times; Rosalsky, G., This company adopted AI. Here's what happened to its human workers (2023), https://www.npr.org/sections/money/2023/05/02/1172791281/thiscompany-adopted-ai-heres-what-happened-to-its-human-workers, (May 8). National Public Radio; Rudolph, J., Tan, S., Tan, S., ChatGPT: Bullshit spewer or the end of traditional assessments in higher education? (2023) Journal of Applied Learning and Teaching, 6 (1). , https://doi.org/10.37074/jalt.2023.6.1.9; Schlosser, K., ChatGPT goes to college: Here’s how the UW says professors should deal with AI in the classroom (2023) Geek Wire, , https://www.geekwire.com/2023/univ-of-washingtonissues-guidance-to-faculty-on-dealing-with-chatgpt-and-ais-impact-on-education/, (January 23); Sheehan, T., Quick answer: How should education institutions respond to use of generative AI such as ChatGPT? (2023), https://www.gartner.com/document/4023154?ref=solrAll&amp;refval=367380109, (January 19). Gartner.com; Stacey, S., Cheating on your college essay with ChatGPT won’t get you good grades, say professors-but AI could make education fairer (2022) Business Insider, , https://www.proquest.com/newspapers/cheating-on-your-college-essay-withchatgptwont/docview/2755253436/se-2?accountid=14968, (December 18); Susnjak, T., (2022) ChatGPT: The end of online exam integrity?; Supiano, B., Will ChatGPT change how professors assess learning? (2023) The Chronicle of Higher Education, , https://www.chronicle.com/article/will-chatgpt-change-how-professors-assesslearning?bc_nonce=etgj3q1v8hbcfxyvgxs&amp;cid=reg_wall_signup, (April 5); Sutton, M. J., Allen, K., (2019) Emotify!: The power of the human element in game-based learning, serious games, and experiential education, , EI Games LLC; Taylor, L., ChatGPT sparks concern and hope for professors (2023), https://www.studlife.com/news/2023/02/01/chat-gpt-sparks-concern-and-hope-for-professors, (February 1). Student Life; Tsang, A., Enhancing learners’ awareness of oral presentation (delivery) skills in the context of self-regulated learning (2020) Active Learning in Higher Education, 12 (1), pp. 3-10. , https://doi.org/10.1177/1469787413514649; (2023) Let's chat about ChatGPT, , https://www.ubs.com/global/en/wealth-management/our-approach/marketnews/article.1585717, (March 8); Umejima, K., Ibaraki, T., Yamazaki, T., Sakai, K.L., Paper notebooks vs. mobile devices: Brain activation differences during memory retrieval (2021) Frontiers in Behavioral Neuroscience, 15 (1), pp. 1-11; (2023) How ChatGPT can be embraced—not feared—in the classroom, , https://giesbusiness.illinois.edu/news/2023/02/24/howchatgpt-can-be-embraced-not-feared-in-the-classroom, (February 24). Gies College of Business; Wallbank, A. J., (2023) Prompt engineering as academic skill: A model for effective ChatGPT interactions, , https://www.timeshighereducation.com/campus/prompt-engineering-academic-skill-modeleffective-chatgpt-interactions, (April 28). Times Higher Education: Campus resources for academics and university staff; Westfall, C., Educators battle plagiarism as 89% of students admit to using OpenAI’s ChatGPT for homework (2023) Forbes, , https://www.forbes.com/sites/chriswestfall/2023/01/28/educators-battle-plagiarism-as-89-ofstudents-admit-to-using-open-ais-chatgpt-for-homework/?sh=28086a27750d, (January 28); Wrigley, S., Avoiding ‘de-plagiarism’: Exploring the affordances of handwriting in the essay-writing process (2019) Active Learning in Higher Education, 20 (2), pp. 167-179. , https://doi/10.1177/1469787417735611; Zamfirescu-Pereira, J. D., Wong, R. Y., Hartmann, B., Yang, Q., Why Johnny can’t prompt: how non-AI experts try (and fail) to design LLM prompts (2023) Proceedings of the 2023 CHI Conference on Human Factors in Computing Systems, pp. 1-21; Zawacki-Richter, O., Marín, V. I., Bond, M., Gouverneur, F., Systematic review of research on artificial intelligence applications in higher education–where are the educators? (2019) International Journal of Educational Technology in Higher Education, 16 (1), pp. 1-27; Zivkovic, S., The importance of oral presentations for university students (2014) Mediterranean Journal of Social Sciences, 5 (19), pp. 468-475</t>
  </si>
  <si>
    <t>Willey, L., Western Carolina University, United States; White, B.J., Western Carolina University, United States; Deale, C.S., East Carolina University, United States</t>
  </si>
  <si>
    <t>36057766500;55417495300;16240762200;</t>
  </si>
  <si>
    <t>Willey L., White B.J., Deale C.S.</t>
  </si>
  <si>
    <t>10 July 2023 through 13 July 2023</t>
  </si>
  <si>
    <t>23rd IEEE International Conference on Advanced Learning Technologies, ICALT 2023</t>
  </si>
  <si>
    <t>Chang M.Chen N.-S.Kuo R.Rudolph G.Sampson D.G.Tlili A.</t>
  </si>
  <si>
    <t>Vaswani, A., Shazeer, N., Parmar, N., Uszkoreit, J., Jones, L., Gomez, A.N., Kaiser, Ł., Polosukhin, I., Attention is all you need (2017) Advances in neural information processing systems, 30; Floridi, L., Chiriatti, M., Gpt-3: Its nature, scope, limits, and consequences (2020) Minds and Machines, 30, pp. 681-694; Hu, K., Chatgpt sets record for fastest-growing user base - analyst note, , https://www.reuters.com/technology/chatgptsets-record-fastest-growing-user-base-analyst-note-2023-02-01/, ONLINE,: visited February 9, 2023, 2023; Pichai, S., An important next step on our ai journey, , https://blog.google/technology/ai/bard-google-aisearch-updates/,2023; Chatgpt: Optimizing language models for dialogue, , https://openai.com/blog/chatgpt/, ONLINE,: visited January 20, 2023, 2022; Kasneci, E., Seßler, K., Küchemann, S., Bannert, M., Dementieva, D., Fischer, F., Gasser, U., Hüllermeier, E., Chatgpt for good? on opportunities and challenges of large language models for education, p. 2023; Study guide of information and communication technology bachelor degree 2022-2024, , https://opas.peppi.utu.fi/en/degree-studies/faculty-oftechnology/14002/33054, ONLINE,: visited February 9, 2023, 2023; Krizhevsky, A., Sutskever, I., Hinton, G.E., Imagenet classification with deep convolutional neural networks (2017) Communications of the ACM, 60 (6), pp. 84-90; Liang, H., Sun, X., Sun, Y., Gao, Y., Text feature extraction based on deep learning: a review (2017) EURASIP journal on wireless communications and networking, 2017 (1), pp. 1-12; Hochreiter, S., Schmidhuber, J., Long short-term memory (1997) Neural computation, 9 (8), pp. 1735-1780; Devlin, J., Chang, M.-W., Lee, K., Toutanova, K., (2018) Bert: Pre-training of deep bidirectional transformers for language understanding, , arXiv preprint; Weiss, K., Khoshgoftaar, T.M., Wang, D., A survey of transfer learning (2016) Journal of Big data, 3 (1), pp. 1-40; Marr, B., How chatgpt and natural language technology might affect your job if you are a computer programmer, , https://www.forbes.com/sites/bernardmarr/2023/01/23/how-chatgpt-and-natural-language-technology-might-affect-your-job-if-you-are-a-computer-programmer/?sh=3ccdba86174b, ONLINE,: visited February 10, 2023, 2023; Thorbecke, C., Google’s ai chatbot bard had an inaccurate response in public demo, , https://edition.cnn.com/2023/02/08/tech/google-ai-bard-demoerror/index.html, ONLINE,: visited February 9, 2023, 2023; Express, T.I., What happens when chatgpt has to solve a basic math problem? check out its response, , https://indianexpress.com/article/technology/tech-newstechnology/chatgpt-messing-up-a-basic-math-problem-apologising-andcorrecting-itself-8346602/, ONLINE,: visited February 9, 2023, 2022; Jones, M., Sheridan, L., Back translation: an emerging sophisticated cyber strategy to subvert advances in ‘digital age’plagiarism detection and prevention (2015) Assessment &amp; Evaluation in Higher Education, 40 (5), pp. 712-724; Isaac, I., Is chat gpt bad business for stack overflow?, , https://frontdreams.com.ng/insight/is-chat-gpt-bad-business-forstack-overflow, ONLINE,: visited January 20, 2023, 2022; Rambocas, M., Pacheco, B.G., Online sentiment analysis in marketing research: a review (2018) Journal of Research in Interactive Marketing; Jant, E.A., Haden, C.A., Uttal, D.H., Babcock, E., Conversation and object manipulation influence children’s learning in a museum (2014) Child development, 85 (5), pp. 2029-2045; Campbell, M., Hoane, A.J., Jr., Hsu, F.-H., Deep blue (2002) Artificial intelligence, 134 (1-2), pp. 57-83; Silver, D., Hubert, T., Schrittwieser, J., Antonoglou, I., Lai, M., Guez, A., Lanctot, M., Graepel, T., A general reinforcement learning algorithm that masters chess, shogi, and go through self-play (2018) Science, 362 (6419), pp. 1140-1144</t>
  </si>
  <si>
    <t>The recent progress in generative AI models, particularly large language models (LLMs), has brought about a transformation in the field of education. Conversational LLM services, such as Google's Bard and OpenAI's ChatGPT, offer students access to many abilities such as summarization and generation of text and code, and on-demand replies to questions on expert topics. In this paper, we observe ChatGPT to explore how LLM services impact learning and instruction in higher education. First, we mapped the capabilities of the system by reviewing the grey literature on ChatGPT and using the system ourselves for two months. Second, we selected a Bachelor level computer science curriculum from a Finnish university, and examined the impact of ChatGPT on the offered courses. As an outcome of this study, we highlight 13 implications for students' learning in higher education, and discuss the contemporary future of AI-assisted learning in universities and beyond. © 2023 IEEE.</t>
  </si>
  <si>
    <t>Laato, S., Tampere University, Gamification Group, Tampere, Finland; Morschheuser, B., Inst. of Information Systems, Fau Erlangen-Nürnberg, Nuremberg, Germany; Hamari, J., Tampere University, Gamification Group, Tampere, Finland; Bjorne, J., University of Turku, Dept. of Computing, Turku, Finland</t>
  </si>
  <si>
    <t>57195940928;56902643500;35361989600;16027873300;</t>
  </si>
  <si>
    <t>Laato S., Morschheuser B., Hamari J., Bjorne J.</t>
  </si>
  <si>
    <t>26 September 2023 through 29 September 2023</t>
  </si>
  <si>
    <t>46th German Conference on Artificial Intelligence, KI 2023</t>
  </si>
  <si>
    <t>Seipel D.Steen A.</t>
  </si>
  <si>
    <t>Solopova, V.; Freie Universität BerlinGermany; email: veronika.solopova@fu-berlin.de</t>
  </si>
  <si>
    <t>Batbaatar, E., Li, M., Ryu, K.H., Semantic-emotion neural network for emotion recognition from text (2019) IEEE Access, 7, pp. 111866-111878. , https://doi.org/10.1109/ACCESS.2019.2934529; Becker, A., (2021) 83 Prozent Der Studenten Brechen Lehramts-Studium Ab, , Nordkurier; Bird, S., Klein, E., Loper, E., (2009) Natural Language Processing with Python: Analyzing Text with the Natural Language Toolkit, , O’Reilly Media, Inc., Sebastopol; Brown, T.B., (2020) Language Models are Few-Shot Learners; Cevher, D., Zepf, S., Klinger, R., (2019) Towards Multimodal Emotion Recognition in German Speech Events in Cars Using Transfer Learning; Chen, Y., Yu, B., Zhang, X., Yu, Y., Topic modeling for evaluating students’ reflective writing: A case study of pre-service teachers’ journals (2016) Proceedings of the Sixth International Conference on Learning Analytics &amp; Knowledge, LAK 2016, pp. 1-5. , https://doi.org/10.1145/2883851.2883951, Association for Computing Machinery, New York, NY, USA; Chiorrini, A., Diamantini, C., Mircoli, A., Potena, D., Emotion and sentiment analysis of tweets using bert (2021) EDBT/ICDT Workshops; de Lin, O., Gottipati, S., Ling, L.S., Shankararaman, V., Mining informal &amp; short student self-reflections for detecting challenging topics-a learning outcomes insight dashboard (2021) IEEE Frontiers in Education Conference (FIE), pp. 1-9. , https://doi.org/10.1109/FIE49875.2021.9637181, 2021; Ekman, P., (2023) Basic Emotions. and Book of Cognition and Emotion, 98, p. 16; Elands, P., Huizing, A., Kester, J., Peeters, M.M.M., Oggero, S., Governing ethical and effective behaviour of intelligent systems: A novel framework for meaningful human control in a military context (2019) Militaire Spectator, 188 (6), pp. 302-313; Fleck, R., Fitzpatrick, G., Reflecting on reflection: Framing a design landscape (2010) Proceedings of the 22Nd Conference of the Computer-Human Interaction Special Interest Group of Australia on Computer-Human Interaction, OZCHI 2010, pp. 216-223. , https://doi.org/10.1145/1952222.1952269, Association for Computing Machinery, New York, NY, USA; Geden, M., Emerson, A., Carpenter, D., Rowe, J.P., Azevedo, R., Lester, J.C., Predictive student modeling in game-based learning environments with word embedding representations of reflection (2021) Int. J. Artif. Intell. Educ., 31, pp. 1-23; Gibbs, G., Unit, G.B.F.E., (1988) Learning by Doing: A Guide to Teaching and Learning Methods. FEU, , Oxford Brookes University, Oxford; Grootendorst, M.R., Bertopic: Neural topic modeling with a class-based tf-idf procedure (2022) Arxiv; Guhr, O., Schumann, A.K., Bahrmann, F., Böhme, H.J., Training a broad-coverage German sentiment classification model for dialog systems (2020) Proceedings of the 12Th Language Resources and Evaluation Conference, pp. 1627-1632. , https://aclanthology.org/2020.lrec-1.202, European Language Resources Association, Marseille, France, May; Jena, R.K., Sentiment mining in a collaborative learning environment: Capitalising on big data (2019) Behav. Inf. Technol., 38 (9), pp. 986-1001. , https://doi.org/10.1080/0144929X.2019.1625440; Ji, Z., Survey of hallucination in natural language generation (2023) ACM Comput. Surv., 55 (12), pp. 1-38. , https://doi.org/10.1145/3571730; Jung, Y., Wise, A.F., How and how well do students reflect?: Multi-dimensional automated reflection assessment in health professions education (2020) Proceedings of the Tenth International Conference on Learning Analytics &amp; Knowledge; Klamm, C., Rehbein, I., Ponzetto, S., Frameast: A Framework for Second-Level Agenda Setting in Parliamentary Debates through the Lense of Comparative Agenda Topics, , ParlaCLARIN III at LREC2022 (2022; Klemm, K., Zorn, D., (2019) Steigende Schülerzahlen Im Primarbereich: Lehrkräftemangel Deutlich stärker Als Von Der KMK Erwartet, , Bertelsmann Stiftung, September; Knight, S., Acawriter: A learning analytics tool for formative feedback on academic writing (2020) J. Writing Res., 12 (1), pp. 141-186. , https://doi.org/10.17239/jowr-2020.12.01.06; Kovanović, V., Understand students’ self-reflections through learning analytics (2018) Proceedings of the 8Th International Conference on Learning Analytics and Knowledge, LAK 2018, pp. 389-398. , https://doi.org/10.1145/3170358.3170374, Association for Computing Machinery, New York, NY, USA; Liu, M., Kitto, K., Buckingham Shum, S., Combining factor analysis with writing analytics for the formative assessment of written reflection (2021) Comput. Hum. Behav., 120. , https://doi.org/10.1016/j.chb.2021.106733; Liu, M., Shum, S.B., Mantzourani, E., Lucas, C., Evaluating machine learning approaches to classify pharmacy students’ reflective statements AIED 2019, Part I. LNCS (LNAI), pp. 220-230. , https://doi.org/10.1007/978-3-030-23204-719, Isotani, S., Millán, E., Ogan, A., Hastings, P., McLaren, B., Luckin, R. (eds.); Liu, Y., Roberta: A robustly optimized bert pretraining approach (2019) Arxiv; Lui, M., Baldwin, T.: Langid.py: An off-the-shelf language identification tool (2012) Proceedings of the ACL 2012 System Demonstrations, pp. 25-30. , https://aclanthology.org/P12-3005, Association for Computational Linguistics, Jeju Island, Korea; Manakul, P., Liusie, A., Gales, M.J.F., (2023) Selfcheckgpt: Zero-Resource Black-Box Hallucination Detection for Generative Large Language Models; McCallum, A.K., (2002) Mallet: A Machine Learning for Language Toolkit, , https://mallet.cs.umass.edu; Napanoy, J., Gayagay, G., Tuazon, J., Difficulties encountered by pre-service teachers: Basis of a pre-service training program (2021) Univ. J. Educ. Res., 9, pp. 342-349. , https://doi.org/10.13189/ujer.2021.090210; (2023) Openai: Gpt-4 Technical Report; Plutchik, R., A psychoevolutionary theory of emotions (1982) Soc. Sci. Inf., 21 (4-5), pp. 529-553. , https://doi.org/10.1177/053901882021004003; Schmid, H., Laws, F., Estimation of conditional probabilities with decision trees and an application to fine-grained POS tagging (2008) Proceedings of the 22Nd International Conference on Computational Linguistics-Coling 2008, , Association for Computational Linguistics, Morristown, NJ, USA; Shashkov, A., Gold, R., Hemberg, E., Kong, B., Bell, A., O’Reilly, U.M., Analyzing student reflection sentiments and problem-solving procedures in moocs (2021) Proceedings of the Eighth ACM Conference on Learning @ Scale, L@S 2021, pp. 247-250. , https://doi.org/10.1145/3430895.3460150, Association for Computing Machinery, New York, NY, USA; Sidarenka, U., PotTS: The potsdam twitter sentiment corpus (2016) Proceedings of the Tenth International Conference on Language Resources and Evaluation (LREC 2016), pp. 1133-1141. , https://aclanthology.org/L16-1181, European Language Resources Association (ELRA), Por-torož, Slovenia, May; Solopova, V., Popescu, O.I., Chikobava, M., Romeike, R., Landgraf, T., Benzmüller, C., A German corpus of reflective sentences (2021) Proceedings of the 18Th International Conference on Natural Language Processing (ICON), pp. 593-600. , https://aclanthology.org/2021.icon-main.72, NLP Association of India (NLPAI), National Institute of Technology Silchar, Silchar, India, December; Ullmann, T., Automated analysis of reflection in writing: Validating machine learning approaches (2019) Int. J. Artif. Intell. Educ., 29. , https://doi.org/10.1007/s40593-019-00174-2; Wojatzki, M., Ruppert, E., Holschneider, S., Zesch, T., Biemann, C., GermEval 2017: Shared task on aspect-based sentiment in social media customer feedback (2017) Proceedings of the Germeval 2017-Shared Task on Aspect-Based Sentiment in Social Media Customer Feedback, pp. 1-12. , Berlin, Germany; Wulff, D., Computer-based classification of preservice physics teachers’ written reflections (2020) J. Sci. Educ. Technol., 30, pp. 1-15</t>
  </si>
  <si>
    <t>This project is supported by the National Research Council Canada (NRC) and the Defence Research and Development Canada (DRDC).</t>
  </si>
  <si>
    <t>Acknowledgement. The authors gratefully acknowledge funding from the German</t>
  </si>
  <si>
    <t>Acknowledgements. This work was supported by the BMWK</t>
  </si>
  <si>
    <t>Acknowledgements. This research has been supported by the Austrian Federal Ministry for Climate Action, Environment, Energy, Mobility, Innovation and Technology (BMK), the German Federal Ministry for Economic Affairs and Climate Action (BMWK) and the Fraunhofer-Gesellschaft through the projects REINFORCE (887500), champI4.0ns (891793) and MES.Trix.</t>
  </si>
  <si>
    <t>Acknowledgment. The research was partly funded by the Deutsche Forschungsge-meinschaft (DFG, German Research Foundation) under Germany’s Excellence Strategy – EXC 2176 “Understanding Written Artefacts: Material, Interaction and Transmission in Manuscript Cultures”, project no. 390893796. The research was conducted within the scope of the Centre for the Study of Manuscript Cultures (CSMC) at Universität Hamburg.</t>
  </si>
  <si>
    <t>Acknowledgements. We acknowledge financial support by Technologieallianz Ober-franken (TAO) and thank the anonymous reviewers for their feedback.</t>
  </si>
  <si>
    <t>Defence Research and Development Canada, DRDC; Bundesministerium für Wirtschaft und Klimaschutz, BMWK; National Research Council Canada, NRC; Helmholtz-Gemeinschaft, HGF; Deutsche Forschungsgemeinschaft, DFG: 390893796, EXC 2176; Bundesministerium für Bildung und Forschung, BMBF: FKZ FKZ16KIS1700; Fraunhofer-Gesellschaft, Fraunhofer: 887500, 891793; Helmholtz Association</t>
  </si>
  <si>
    <t>Solopova, V., Freie Universität Berlin, Berlin, Germany; Rostom, E., Freie Universität Berlin, Berlin, Germany; Cremer, F., Freie Universität Berlin, Berlin, Germany; Gruszczynski, A., Freie Universität Berlin, Berlin, Germany; Witte, S., Freie Universität Berlin, Berlin, Germany; Zhang, C., Friedrich-Alexander-Universität Erlangen-Nürnberg, Erlangen, Germany; López, F.R., Freie Universität Berlin, Berlin, Germany; Plößl, L., Friedrich-Alexander-Universität Erlangen-Nürnberg, Erlangen, Germany; Hofmann, F., Friedrich-Alexander-Universität Erlangen-Nürnberg, Erlangen, Germany; Romeike, R., Freie Universität Berlin, Berlin, Germany; Gläser-Zikuda, M., Friedrich-Alexander-Universität Erlangen-Nürnberg, Erlangen, Germany; Benzmüller, C., Friedrich-Alexander-Universität Erlangen-Nürnberg, Erlangen, Germany, Otto-Friedrich-Universität Bamberg, Bamberg, Germany; Landgraf, T., Freie Universität Berlin, Berlin, Germany</t>
  </si>
  <si>
    <t>57322485000;58515217700;58513869100;58515446300;58514093500;58515217800;58515217900;58514093600;57211375939;24475498800;23979664700;6507389221;25929319000;</t>
  </si>
  <si>
    <t>Solopova V., Rostom E., Cremer F., Gruszczynski A., Witte S., Zhang C., López F.R., Plößl L., Hofmann F., Romeike R., Gläser-Zikuda M., Benzmüller C., Landgraf T.</t>
  </si>
  <si>
    <t>12 October 2023 through 15 October 2023</t>
  </si>
  <si>
    <t>12th National CCF Conference on Natural Language Processing and Chinese Computing, NLPCC 2023</t>
  </si>
  <si>
    <t>Liu F.Duan N.Xu Q.Hong Y.</t>
  </si>
  <si>
    <t>Jiang, F.; School of Data Science, China; email: jeffreyjiang@cuhk.edu.cn</t>
  </si>
  <si>
    <t>Chen, F., Feng, Y., Chain-of-thought prompt distillation for multimodal named entity and multimodal relation extraction (2023) Arxiv Preprint Arxiv, 2306, p. 14122; Chen, Z., (2023) Phoenix: Democratizing Chatgpt across Languages. Arxiv Preprint Arxiv, 2304, p. 10453; Dahlmeier, D., Ng, H.T., Better evaluation for grammatical error correction (2012) Proceedings of the 2012 Conference of the North American Chapter of the Association for Computational Linguistics: Human Language Technologies, pp. 568-572. , https://aclanthology.org/N12-1067, Association for Computational Linguistics, Montréal, Canada, June; Fang, T., Is ChatGPT a highly fluent grammatical error correction system? (2023) A Comprehensive Evaluation. Arxiv Preprint Arxiv, 2304, p. 01746; Hinson, C., Huang, H.H., Chen, H.H., Heterogeneous recycle generation for Chinese grammatical error correction (2020) Proceedings of the 28Th International Conference on Computational Linguistics, pp. 2191-2201; Ho, N., Schmid, L., Yun, S.Y., (2022) Large Language Models are Reasoning Teachers. Arxiv Preprint Arxiv, 2212, p. 10071; Katsumata, S., Komachi, M., stronger baselines for grammatical error correction using a pretrained encoder-decoder model (2020) Proceedings of the 1St Conference of the Asia-Pacific Chapter of the Association for Computational Linguistics and the 10Th International Joint Conference on Natural Language Processing, pp. 827-832; Li, J., Sequence-to-action: Grammatical error correction with action guided sequence generation (2022) Proc. AAAI Conf. Artif. Intell, 36 (10), pp. 10974-10982; Liang, D., BERT enhanced neural machine translation and sequence tagging model for Chinese grammatical error diagnosis (2020) Proceedings of the 6Th Workshop on Natural Language Processing Techniques for Educational Applications, Pp. 57–66. Association for Computational Linguistics; Ma, S., Linguistic rules-based corpus generation for native Chinese grammatical error correction (2022) Findings of the Association for Computational Linguistics: EMNLP 2022, pp. 576-589; Ng, H.T., Wu, S.M., Briscoe, T., Hadiwinoto, C., Susanto, R.H., Bryant, C., The CoNLL-2014 shared task on grammatical error correction (2014) Proceedings of the Eighteenth Conference on Computational Natural Language Learning: Shared Task, pp. 1-14; Peng, B., Li, C., He, P., Galley, M., Gao, J., (2023) Instruction Tuning with GPT-4. Arxiv Preprint Arxiv, 2304, p. 03277; Rao, G., Gong, Q., Zhang, B., Xun, E., Overview of NLPTEA-2018 share task Chinese grammatical error diagnosis (2018) Proceedings of the 5Th Workshop on Natural Language Processing Techniques for Educational Applications, pp. 42-51; Rao, G., Yang, E., Zhang, B., Overview of NLPTEA-2020 shared task for chinese grammatical error diagnosis (2020) Proceedings of the 6Th Workshop on Natural Language Processing Techniques for Educational Applications, pp. 25-35; Rothe, S., Mallinson, J., Malmi, E., Krause, S., Severyn, A., A simple recipe for multilingual grammatical error correction (2021) Proceedings of the 59Th Annual Meeting of the Association for Computational Linguistics and the 11Th International Joint Conference on Natural Language Processing, 2, pp. 702-707. , Short Papers; Sanh, V., (2021) Multitask Prompted Training Enables Zero-Shot Task Generalization. Arxiv Preprint Arxiv, 2110, p. 08207; Scao, T.L., (2022) Bloom: A 176B-Parameter Open-Access Multilingual Language Model. Arxiv Preprint Arxiv, 2211, p. 05100; Touvron, H., (2023) Llama: Open and Efficient Foundation Language Models; Wang, P., Wang, Z., Li, Z., Gao, Y., Yin, B., Ren, X., (2023) SCOTT: Self-Consistent Chain-Of-Thought Distillation. Arxiv Preprint Arxiv, 2305, p. 01879; Wang, X., (2023) Instructuie: Multi-Task Instruction Tuning for Unified Information Extraction. Arxiv Preprint Arxiv, 2304, p. 08085; Wei, J., (2021) Finetuned Language Models are Zero-Shot Learners. Arxiv Preprint Arxiv, 2109, p. 01652; Yu, J., https://github.com/blcuicall/taoli(2023, Taoli LLaMA; Zhang, B., Features and functions of the HSK dynamic composition corpus (2009) Int. Chin. Lang. Educ., 4, pp. 71-79; Zhang, B., Yang, H., Liu, X.Y., (2023) Instruct-Fingpt: Financial Sentiment Analysis by Instruction Tuning of General-Purpose Large Language Models. Arxiv Preprint Arxiv, 2306, p. 12659; Zhang, H., (2023) Huatuogpt, Towards Taming Language Model to Be a Doctor. Arxiv Preprint Arxiv, 2305, p. 15075; Zhang, Y., MuCGEC: A multi-reference multi-source evaluation dataset for Chinese grammatical error correction (2022) Proceedings of the 2022 Conference of the North American Chapter of the Association for Computational Linguistics: Human Language Technologies, pp. 3118-3130; Zhang, Y., (2023) Nasgec: A Multi-Domain Chinese Grammatical Error Correction Dataset from Native Speaker Texts. Arxiv Preprint Arxiv, 2305, p. 16023; Zhao, Y., Jiang, N., Sun, W., Wan, X., Overview of the NLPCC 2018 shared task: Grammatical error correction (2018) NLPCC 2018. LNCS (LNAI), pp. 439-445. , https://doi.org/10.1007/978-3-319-99501-441, Zhang, M., Ng, V., Zhao, D., Li, S., Zan, H. (eds.), Springer, Cham; Zhao, Z., Wang, H., MaskGEC: Improving neural grammatical error correction via dynamic masking (2020) Proc. AAAI Conf. Artif. Intell, 34 (1), pp. 1226-1233</t>
  </si>
  <si>
    <t>Acknowledgement. This work is supported by the National Natural Science Foundation of China (Grant No. 62271432) and the Guangdong Provincial Key Laboratory of Big Data Computing, The Chinese University of Hong Kong, Shenzhen (Grant No. B10120210117).</t>
  </si>
  <si>
    <t>Acknowledgement. This work was supported in part by the National Key Research and Development Program under Grant 2020YFB2104200 the National Natural Science Foundation of China under Grant 62261042 and 62002026, the Key Research Projects of the Joint Research Fund for Beijing Natural Science Foundation and the Fengtai Rail Transit Frontier Research Joint Fund under Grant L221003, the Strategic Priority Research Program of Chinese Academy of Sciences under Grant XDA28040500, and the Key Research and Development Project from Hebei Province under Grant 21310102D.</t>
  </si>
  <si>
    <t>Supported by the Natural Science Foundation of China (No.61976026), the Fundamental Research Funds for the Central Universities.</t>
  </si>
  <si>
    <t>Acknowledgments. This work was supported in part by the National Natural Science Foundation of China under Grant No. 62276110, in part by CCF-AFSG Research Fund under Grant No. RF20210005, and in part by the fund of Joint Laboratory of HUST and Pingan Property &amp; Casualty Research (HPL). The authors would also like to thank the anonymous reviewers for their comments on improving the quality of this paper.</t>
  </si>
  <si>
    <t>Acknowledgements. This research was supported in part by the National Natural Science Foundation of China(62006062, 62176076), the Guangdong Provincial Key Laboratory of Novel Security Intelligence Technologies(2022B1212010005), Natural Science Foundation of Guangdong(2023A1515012922), and Key Technologies Research and Development Program of Shenzhen JSGG20210802154400001.</t>
  </si>
  <si>
    <t>Acknowledgments. This work is partially supported by the General Program of the National Natural Science Foundation of China (Grant No: 61977029) and the China Postdoctoral Science Foundation (Grant No: 2023M731245).</t>
  </si>
  <si>
    <t>Fund projects: Key Research Projects of Henan Higher Education Institutions (No.22B520054); Songshan Laboratory Pre-research Project (YYJC032022021); Natural Science Foundation of Zhongyuan University of Technology (2023MS021).</t>
  </si>
  <si>
    <t>Acknowledgments. This research was funded by National Natural Science Foundation of China (NSFC) no.62276258, Jiangsu Science and Technology Programme (Natural Science Foundation of Jiangsu Province) no. BE2020006-4, Xi’an Jiaotong-Liverpool University’s Key Program Special Fund no. KSF-E-43.</t>
  </si>
  <si>
    <t>Acknowledgment. This work was supported by the Guangxi Science and Technology Base and Talent Project (No. 2022AC16002), Horizontal Scientific Research Project of Guangxi Minzu University (No. 2022450016000429).</t>
  </si>
  <si>
    <t>Acknowledgments. This work was supported in part by Research Funds under National Natural Science Foundation of China (Grant No. 61977026), East China Normal University (Grant No. 2022ECNU-WHCCYJ-29, 2022ECNU-WHCCYJ-31), and Ministry of Education of China (Grant No. YHJC22ZD067).</t>
  </si>
  <si>
    <t>Acknowledgment. This work is supported by National Natural Science Foundation of China (Nos. 62066033, 61966025); Inner Mongolia Applied Technology Research and Development Fund Project (Nos. 2019GG372, 2020PT0002, 2022YFDZ0059); Inner Mongolia Natural Science Foundation (2020BS06001). We are grateful for the useful suggestions from the anonymous reviewers.</t>
  </si>
  <si>
    <t>Acknowledgment. The research work is supported by National Key R&amp;D Program of China (No.202 2YFB3904700), Key Research and Development Program of in Shan-dong Province (2019JZZY020102), Key Research and Development Program of Jiangsu Province (No.BE2018084), Industrial Internet Innovation and Development Project in 2021 (TC210A02M, TC210804D), Opening Project of Beijing Key Laboratory of Mobile Computing and Pervasive Device.</t>
  </si>
  <si>
    <t>Acknowledgement. This work is supported by the National Natural Science Foundation of China (62076008) and the Key Project of Natural Science Foundation of China (61936012).</t>
  </si>
  <si>
    <t>Acknowledgements.. This work was supported in part by the National Natural Science Foundation of China under Grant Grant 62006034; in part by the Natural Science Foundation of Liaoning Province under Grant 2021-BS-067; and in part by the Dalian High-level Talent Innovation Support Plan under Grant 2021RQ056.</t>
  </si>
  <si>
    <t>Acknowledgements. This work was supported by Natural Science Foundation of Guangdong Province (No. 2021A1515011864) and National Natural Science Foundation of China (No. 71472068).</t>
  </si>
  <si>
    <t>Acknowledgments. This work was supported by Improvement of Innovation Ability of Small and Medium Sci-tech Enterprises Program (No. 2023TSGC0182) and Tai Shan Industry Leading Talent Project.</t>
  </si>
  <si>
    <t>RF20210005; L221003; 2022450016000429; 2023TSGC0182; 22B520054; 21310102D; 2023MS021; YYJC032022021; Dalian High-Level Talent Innovation Program: 2021RQ056; Inner Mongolia Application Technology Research and Development Funding Project: 2019GG372, 2020PT0002, 2022YFDZ0059; National Natural Science Foundation of China, NSFC: 61936012, 61966025, 61976026, 61977026, 61977029, 62002026, 62006034, 62006062, 62066033, 62076008, 62176076, 62261042, 62271432, 62276110, 62276258, 71472068; Ministry of Education of the People's Republic of China, MOE: YHJC22ZD067; Chinese Academy of Sciences, CAS: XDA28040500; China Postdoctoral Science Foundation: 2023M731245; Natural Science Foundation of Guangdong Province: 2021A1515011864; East China Normal University, ECNU: 2022ECNU-WHCCYJ-29, 2022ECNU-WHCCYJ-31; Natural Science Foundation of Jiangsu Province: BE2020006-4; Natural Science Foundation of Inner Mongolia Autonomous Region: 2020BS06001; Chinese University of Hong Kong, CUHK: B10120210117; Natural Science Foundation of Liaoning Province: 2021-BS-067; Xi’an Jiaotong-Liverpool University, XJTLU: KSF-E-43; National Key Research and Development Program of China, NKRDPC: 202 2YFB3904700, 2020YFB2104200; Fundamental Research Funds for the Central Universities; Jiangsu Provincial Key Research and Development Program: TC210804D, TC210A02M; Key Research and Development Program of Sichuan Province: 2019JZZY020102; Specific Research Project of Guangxi for Research Bases and Talents: 2022AC16002</t>
  </si>
  <si>
    <t>Fan, Y., School of Data Science, The Chinese University of Hong Kong, Shenzhen, China, School of Computer Science and Technology, Soochow University, Suzhou, China, Shenzhen Research Institute of Big Data, Guangdong, Shenzhen, China; Jiang, F., School of Data Science, The Chinese University of Hong Kong, Shenzhen, China, Shenzhen Research Institute of Big Data, Guangdong, Shenzhen, China, School of Information Science and Technology, University of Science and Technology of China, Hefei, China; Li, P., School of Computer Science and Technology, Soochow University, Suzhou, China; Li, H., School of Data Science, The Chinese University of Hong Kong, Shenzhen, China, Shenzhen Research Institute of Big Data, Guangdong, Shenzhen, China</t>
  </si>
  <si>
    <t>57285126700;57203782041;56132447700;8615868400;</t>
  </si>
  <si>
    <t>Fan Y., Jiang F., Li P., Li H.</t>
  </si>
  <si>
    <t>13 July 2023</t>
  </si>
  <si>
    <t>18th Workshop on Innovative Use of NLP for Building Educational Applications, BEA 2023</t>
  </si>
  <si>
    <t>Cambridge University Press and Assessment;CATALPA;Duolingo;Educational Testing Service;et al.;Grammarly</t>
  </si>
  <si>
    <t>Kochmar E.Burstein J.Horbach A.Horbach A.Horbach A.Laarmann-Quante R.Madnani N.Tack A.Yaneva V.Yuan Z.Zesch T.Zesch T.</t>
  </si>
  <si>
    <t>Nasser-Abu Alhija, Fadia, Fresko, Barbara, Student evaluation of instruction: what can be learned from students’ written comments? (2009) Studies in Educational evaluation, 35 (1), pp. 37-44; Asselin, Marlene, Dobson, Teresa, Meyers, Eric M, Teixiera, Cristina, Ham, Linda, Learning from youtube: an analysis of information literacy in user discourse (2011) Proceedings of the 2011 iConference, pp. 640-642; Azab, Mahmoud, Mihalcea, Rada, Abernethy, Jacob, Analysing ratemyprofessors evaluations across institutions, disciplines, and cultures: The tell-tale signs of a good professor (2016) Social Informatics: 8th International Conference, SocInfo 2016, Bellevue, WA, USA, November 11-14, 2016, Proceedings, Part I 8, pp. 438-453. , Springer; Baddam, Swathi, Bingi, Prasad, Shuva, Syed, Student evaluation of teaching in business education: Discovering student sentiments using text mining techniques (2019) e-Journal of Business Education and Scholarship of Teaching, 13 (3), pp. 1-13; Bauer, Martin W, Gaskell, George, (2000) Qualitative researching with text, image and sound: A practical handbook for social research, , Sage; Breslow, Lori, Pritchard, David E, DeBoer, Jennifer, Stump, Glenda S, Ho, Andrew D, Seaton, Daniel T, Studying learning in the worldwide classroom research into edx’s first mooc (2013) Research &amp; Practice in Assessment, 8, pp. 13-25; Brook, Jennifer, The affordances of youtube for language learning and teaching (2011) Hawaii Pacific University TESOL Working Paper Series, 9 (1), p. 2; Brown, Tom, Mann, Benjamin, Ryder, Nick, Subbiah, Melanie, Kaplan, Jared D, Dhariwal, Prafulla, Neelakantan, Arvind, Askell, Amanda, Language models are few-shot learners (2020) Advances in neural information processing systems, 33, pp. 1877-1901; Chen, Yining, Hoshower, Leon B, Student evaluation of teaching effectiveness: An assessment of student perception and motivation (2003) Assessment &amp; evaluation in higher education, 28 (1), pp. 71-88; Child, Rewon, Gray, Scott, Radford, Alec, Sutskever, Ilya, (2019) Generating long sequences with sparse transformers; Chung, Hyung Won, Hou, Le, Longpre, Shayne, Zoph, Barret, Tay, Yi, Fedus, William, Li, Yunxuan, Wei, Jason, (2022) Scaling instruction-finetuned language models; Cohen, Peter A, Student ratings of instruction and student achievement: A meta-analysis of multisection validity studies (1981) Review of educational research, 51 (3), pp. 281-309; Corbin, Juliet, (1990) Basics of qualitative research grounded theory procedures and techniques; Corbin, Juliet M, Strauss, Anselm, Grounded theory research: Procedures, canons, and evaluative criteria (1990) Qualitative sociology, 13 (1), pp. 3-21; Curran, Vernon, Simmons, Karla, Matthews, Lauren, Fleet, Lisa, Gustafson, Diana L, Fairbridge, Nicholas A, Xu, Xiaolin, Youtube as an educational resource in medical education: a scoping review (2020) Medical Science Educator, 30, pp. 1775-1782; Dubovi, Ilana, Tabak, Iris, An empirical analysis of knowledge co-construction in youtube comments (2020) Computers &amp; Education, 156, p. 103939; Erickson, Frederick, (1985) Qualitative methods in research on teaching, , Institute for Research on Teaching; Evans, Warren E, Guymon, Ronald E, (1978) Clarity of explanation: A powerful indicator of teacher effectiveness; Measuring the mathematical quality of instruction (2011) Journal of Mathematics Teacher Education, 14 (1), pp. 25-47; Ganesh, Ananya, Scribner, Hugh, Singh, Jasdeep, Goodman, Katherine, Hertzberg, Jean, Kann, Katharina, Response construct tagging: NLP-aided assessment for engineering education (2022) Proceedings of the 17th Workshop on Innovative Use of NLP for Building Educational Applications (BEA 2022), pp. 250-261. , Seattle, Washington. Association for Computational Linguistics; Gilardi, Fabrizio, Alizadeh, Meysam, Kubli, Maël, (2023) Chatgpt outperforms crowd-workers for text-annotation tasks; Gottipati, Swapna, Shankararaman, Venky, Lin, Jeff Rongsheng, Text analytics approach to extract course improvement suggestions from students’ feedback (2018) Research and Practice in Technology Enhanced Learning, 13, pp. 1-19; Gravestock, Pamela, Gregor-Greenleaf, Emily, (2008) Student course evaluations: Research, models and trends, , Higher Education Quality Council of Ontario Toronto; Greenwald, Anthony G, Gillmore, Gerald M, Grading leniency is a removable contaminant of student ratings (1997) American psychologist, 52 (11), p. 1209; Hammonds, Frank, Mariano, Gina J, Ammons, Gracie, Chambers, Sheridan, Student evaluations of teaching: improving teaching quality in higher education (2017) Perspectives: Policy and Practice in Higher Education, 21 (1), pp. 26-33; Harrison, Colin D, Nguyen, Tiffy A, Seidel, Shannon B, Escobedo, Alycia M, Hartman, Courtney, Lam, Katie, Liang, Kristen S, Akana, Susan F, Investigating instructor talk in novel contexts: Widespread use, unexpected categories, and an emergent sampling strategy (2019) CBE—Life Sciences Education, 18 (3), p. ar47; Hativa, Nira, Lack of clarity in university teaching: A case study (1998) Higher Education, pp. 353-381; He, Xingwei, Lin, Zhenghao, Gong, Yeyun, Jin, A-Long, Zhang, Hang, Lin, Chen, Jiao, Jian, Chen, Weizhu, (2023) Annollm: Making large language models to be better crowdsourced annotators; Hu, Yinuo, Zhang, Shiyue, Sathy, Viji, Panter, AT, Bansal, Mohit, (2022) Setsum: Summarization and visualization of student evaluations of teaching, , arXiv preprint arXiv:2207.03640; Hujala, Maija, Knutas, Antti, Hynninen, Timo, Arminen, Heli, Improving the quality of teaching by utilising written student feedback: A streamlined process (2020) Computers &amp; education, 157, p. 103965; Hynninen, Timo, Knutas, Antti, Hujala, Maija, Arminen, Heli, Distinguishing the themes emerging from masses of open student feedback (2019) 2019 42nd International Convention on Information and Communication Technology, Electronics and Microelectronics (MIPRO), pp. 557-561. , IEEE; Kim, Yunsung, Piech, Chris, (2023) High-resolution course feedback: Timely feedback for course instructors; Kuzman, Taja, Mozetic, Igor, Ljubešic, Nikola, (2023) Chatgpt: Beginning of an end of manual linguistic data annotation? use case of automatic genre identification, , arXiv e-prints, pages arXiv–2303; Lee, Chei Sian, Osop, Hamzah, Goh, Dion Hoe-Lian, Kelni, Gani, Making sense of comments on youtube educational videos: A self-directed learning perspective (2017) Online Information Review, 41 (5), pp. 611-625; Lee, Dong Won, Ahuja, Chaitanya, Liang, Paul Pu, Natu, Sanika, Morency, Louis-Philippe, (2022) Multimodal lecture presentations dataset: Understanding multimodality in educational slides, , arXiv preprint arXiv:2208.08080; Lindahl, Mary W, Unger, Michael L, Cruelty in student teaching evaluations (2010) College Teaching, 58 (3), pp. 71-76; Marsh, Herbert W, Roche, Lawrence A, Making students’ evaluations of teaching effectiveness effective: The critical issues of validity, bias, and utility (1997) American psychologist, 52 (11), p. 1187; MIT, OCW., (2020) 2020 ocw impact report, , https://ocw.mit.edu/ocw-www/2020-19_ocw_impact_report.pdf; MIT, OCW., (2023) Massachusetts institute of technology: Mit opencouseware, , https://ocw.mit.edu/; (2023) Introducing chatgpt and whisper apis, , https://openai.com/blog/introducing-chatgpt-and-whisper-apis, OpenAI; Ouyang, Long, Wu, Jeff, Jiang, Xu, Almeida, Diogo, Wainwright, Carroll L., Mishkin, Pamela, Zhang, Chong, Lowe, Ryan, (2022) Training language models to follow instructions with human feedback; O’Connor, Cliodhna, Joffe, Helene, Intercoder reliability in qualitative research: debates and practical guidelines (2020) International journal of qualitative methods, 19. , 1609406919899220; Pianta, Robert C, La Paro, Karen M, Hamre, Bridget K, (2008) Classroom Assessment Scoring System™: Manual K-3, , Paul H Brookes Publishing; Radford, Alec, Kim, Jong Wook, Xu, Tao, Brock-man, Greg, McLeavey, Christine, Sutskever, Ilya, (2022) Robust speech recognition via large-scale weak supervision; Scheurer, Jérémy, Campos, Jon Ander, Chan, Jun Shern, Chen, Angelica, Cho, Kyunghyun, Perez, Ethan, (2022) Training language models with language feedback; Seidel, Shannon B, Reggi, Amanda L, Schinske, Jeffrey N, Burrus, Laura W, Tanner, Kimberly D, Beyond the biology: A systematic investigation of non-content instructor talk in an introductory biology course (2015) CBE—Life Sciences Education, 14 (4), p. ar43; Welch, Charles, Mihalcea, Rada, Targeted sentiment to understand student comments (2016) Proceedings of COLING 2016, the 26th International Conference on Computational Linguistics: Technical Papers, pp. 2471-2481. , Osaka, Japan. The COLING 2016 Organizing Committee; Yao, Yuankun, Grady, Marilyn L, How do faculty make formative use of student evaluation feedback?: A multiple case study (2005) Journal of Personnel Evaluation in Education, 18, pp. 107-126; Zabaleta, Francisco, The use and misuse of student evaluations of teaching (2007) Teaching in higher education, 12 (1), pp. 55-76; Ziems, Caleb, Held, William, Shaikh, Omar, Chen, Jiaao, Zhang, Zhehao, Yang, Diyi, (2023) Can large language models transform computational social science?, , arXiv submission 4840038</t>
  </si>
  <si>
    <t>REW is supported by the National Science Foundation Graduate Research Fellowship. We thank Professor Shannon Seidel for feedback during the initial stages of the project. We thank Yunsung Kim, Allen Nie, Haley Lepp, and Gabriel Poesia for their feedback on the manuscript. We also thank Betsy Rajala, Quinn Waeiss and Professor Michael Bernstein from the Ethics and Society Review Board for guidance on the ethical and safety risks with the data used in our work.</t>
  </si>
  <si>
    <t>National Science Foundation, NSF</t>
  </si>
  <si>
    <t>Wang, R.E., Stanford University, United States; Wirawarn, P., Stanford University, United States; Goodman, N., Stanford University, United States; Demszky, D., Stanford University, United States</t>
  </si>
  <si>
    <t>57310835000;58476808800;12767629400;57210871455;</t>
  </si>
  <si>
    <t>Wang R.E., Wirawarn P., Goodman N., Demszky D.</t>
  </si>
  <si>
    <t>Fecher, B.; Alexander von Humboldt Institute for Internet and SocietyGermany; email: fecher@hiig.de</t>
  </si>
  <si>
    <t>Bazeley, P., Analysing qualitative data: more than ‘identifying themes’ (2009) Malays J Qual Res, 2 (2), pp. 6-22; Beer, D., (2019) Should we use AI to make us quicker and more efficient researchers, , https://blogs.lse.ac.uk/impactofsocialsciences/2019/10/30/should-we-use-ai-to-make-us-quicker-and-more-efficient-researchers/; On the dangers of stochastic parrots: Can language models be too big? (2021) In: Proceedings of the 2021 ACM Conference on Fairness, Accountability, and Transparency, Pp, pp. 610-623. , https://doi.org/10.1145/3442188.3445922; Buruk, O., Academic writing with GPT-3.5: Reflections on practices, efficacy and transparency (2023) Arxiv, , http://arxiv.org/abs/2304.11079; Chubb, J., Cowling, P., Reed, D., Speeding up to keep up: exploring the use of AI in the research process (2022) AI &amp; Soc, 37 (4), pp. 1439-1457; Coeckelbergh, M., Gunkel, D.J., ChatGPT: deconstructing the debate and moving it forward (2023) AI &amp; Soc; Corless, V., ChatGPT is making waves in the scientific literature (2023) Advanced Science News, , https://www.advancedsciencenews.com/where-and-how-should-chatgpt-be-used-in-the-scientific-literature/; Deranty, J.P., Corbin, T., Artificial intelligence and work: a critical review of recent research from the social sciences (2022) AI &amp; Soc; Dillion, D., Tandon, N., Gu, Y., Gray, K., Can AI language models replace human participants? (2023) Trends Cognit Sci, 27 (7), pp. 597-600; Dowling, M., Lucey, B., ChatGPT for (Finance) research: the Bananarama Conjecture (2023) Financ Res Lett, 53; Dwivedi, Y.K., Kshetri, N., Hughes, L., Slade, E.L., Jeyaraj, A., Kar, A.K., Baabdullah, A.M., Wright, R., So what if ChatGPT wrote it?” Multidisciplinary perspectives on opportunities, challenges and implications of generative conversational AI for research, practice and policy (2023) Int J Inform Manag, 71, p. 102642; Flanagin, A., Bibbins-Domingo, K., Berkwits, M., Christiansen, S.L., Nonhuman “Authors” and implications for the integrity of scientific publication and medical knowledge (2023) JAMA, 329 (8), p. 637; Floridi, L., Chiriatti, M., GPT-3: its nature, scope, limits, and consequences (2020) Mind Mach, 30 (4), pp. 681-694; Fyfe, P., How to cheat on your final paper: Assigning AI for student writing (2023) AI &amp; Soc, 38 (4), pp. 1395-1405; Gellers, J.C., AI ethics discourse: a call to embrace complexity, interdisciplinarity, and epistemic humility (2023) AI &amp; Soc; Goujard, C., European data regulators set up ChatGPT task force (2023) Politico, , https://www.politico.eu/article/european-data-regulators-set-up-chatgpt-taskforce/; Intelligenza artificiale: Il Garante blocca ChatGPT (2023) Raccolta Illecita Di Dati Personali. Assenza Di Sistemi per La Verifica dell’età Dei Minori., , https://www.garanteprivacy.it:443/home/docweb/-/docweb-display/docweb/9870847; Grimaldi, G., Ehrler, B., AI et al.: machines are about to change scientific publishing forever (2023) ACS Energy Lett, 8 (1), pp. 878-880; Hacker, P., Engel, A., Mauer, M., Regulating ChatGPT and other Large Generative AI Models (2023) Arxiv, , https://arxiv.org/abs/2302.02337; Hao, K., Training a single AI model can emit as much carbon as five cars in their lifetimes (2019) MIT Technology Review, , https://www.technologyreview.com/2019/06/06/239031/training-a-single-ai-model-can-emit-as-much-carbon-as-five-cars-in-their-lifetimes/; Harding, J., D’Alessandro, W., Laskowski, N.G., Long, R., AI language models cannot replace human research participants (2023) AI &amp; Soc; Helberger, N., Diakopoulos, N., ChatGPT and the AI act (2023) Internet Policy Rev; Hosseini, M., Horbach, S.P.J.M., Fighting reviewer fatigue or amplifying bias? Considerations and recommendations for use of ChatGPT and other Large Language Models in scholarly peer review (2023) Res Integr Peer Rev, 8, p. 4; Hosseini, M., Rasmussen, L.M., Resnik, D.B., Using AI to write scholarly publications (2023) Acc Res; Jiang, M., Breidbach, C., Karanasios, S., How does artificial intelligence transform knowledge work? (2022) PACIS 2022 Proceedings, p. 312. , https://aisel.aisnet.org/pacis2022/312; Khowaja, S.A., Khuwaja, P., Dev, K., (2023) ChatGPT Needs SPADE (Sustainability, PrivAcy, Digital divide, and Ethics), , http://arxiv.org/abs/2305.03123, evaluation: a review. arXiv; Kirchenbauer, J., Geiping, J., Wen, Y., Katz, J.I.T., (2023) A watermark for large language models., , https://arxiv.org/abs/2301.10226, arXiv; Landeta, J., Current validity of the Delphi method in social sciences (2006) Technol Forecast Soc Chang, 73 (5), pp. 467-482; Liang, W., Yuksekgonul, M., Mao, Y., Wu, E., Zou, J., (2023) GPT Detectors are Biased against Non-Native English Writers Arxiv 2304.02819, , http://arxiv.org/abs/2304.02819; Liebrenz, M., Schleifer, R., Buadze, A., Bhugra, D., Smith, A., Generating scholarly content with ChatGPT: Ethical challenges for medical publishing (2023) Lancet Digit Health, 5 (3), pp. e105-e106; Linstone, H.A., Turoff, M., (1975) The Delphi method, , Addison-Wesley, Reading; Lucey, B., Dowling, M., (2023) Chatgpt: Our Study Shows AI Can Produce Academic Papers Good Enough for journals—just as Some Ban It., , https://theconversation.com/chatgpt-our-study-shows-ai-can-produce-academic-papers-good-enough-for-journals-just-as-some-ban-it-197762, The Conversation; Lund, B.D., Wang, T., Mannuru, N.R., Nie, B., Shimray, S., Wang, Z., ChatGPT and a new academic reality: artificial Intelligence-written research papers and the ethics of the large language models in scholarly publishing (2023) J Assoc Inform Sci Technol; (2022) Introducing Chatgpt, , https://openai.com/blog/chatgpt; Owens, B., How Nature readers are using ChatGPT (2023) Nature, 615 (7950), p. 20; Perkins, M., Academic integrity considerations of AI Large Language Models in the post-pandemic era: ChatGPT and beyond (2023) J Univ Teach Learn Pract; Pividori, M., Greene, C.S., A publishing infrastructure for AI-assisted academic authoring [Preprint] (2023) Sci Commun Edu; Ribeiro, B., Meckin, R., Balmer, A., Shapira, P., The digitalisation paradox of everyday scientific labour: how mundane knowledge work is amplified and diversified in the biosciences (2023) Res Policy, 52 (1); Schäfer, M.S., The Notorious GPT: science communication in the age of artificial intelligence (2023) J Sci Commun, 22 (2), p. Y02; Sokolov, D.A., ChatGPT: Deutschlands Datenschützer eröffnen Verfahren gegen OpenAI (2023) Heise Online, , https://heise.de/-8974708; Staiman, A., Guest Post—academic publishers are missing the point on ChatGPT (2023) The Scholarly Kitchen, , https://scholarlykitchen.sspnet.org/2023/03/31/guest-post-academic-publishers-are-missing-the-point-on-chatgpt/; Stokel-Walker, C., ChatGPT listed as author on research papers: many scientists disapprove (2023) Nature, 613, pp. 620-621; Teubner, T., Flath, C.M., Weinhardt, C., Van Der Aalst, W., Hinz, O., Welcome to the era of ChatGPT et al.: the prospects of large language models (2023) Bus Inform Syst Eng, 65 (2), pp. 95-101; Tomlinson, B., Torrance, A.W.R.W., (2023) Chatgpt and Works Scholarly: Best Practices and Legal Pitfalls in Writing with AI., , http://arxiv.org/abs/2305.03722, arXiv; Van Noorden, R., How language-generation AIs could transform science (2022) Nature, 605 (7908), p. 21; Wulff, K., Finnestrand, H., Creating meaningful work in the age of AI: explainable AI, explainability, and why it matters to organizational designers (2023) AI &amp; Soc</t>
  </si>
  <si>
    <t>This study was funded and primarily conducted by the Alexander von Humboldt Institute for Internet and Society.</t>
  </si>
  <si>
    <t>Fecher, B., Alexander von Humboldt Institute for Internet and Society, Berlin, Germany, Wissenschaft im Dialog, Berlin, Germany; Hebing, M., Alexander von Humboldt Institute for Internet and Society, Berlin, Germany, DBU Digital Business University of Applied Sciences, Berlin, Germany; Laufer, M., Alexander von Humboldt Institute for Internet and Society, Berlin, Germany; Pohle, J., Alexander von Humboldt Institute for Internet and Society, Berlin, Germany; Sofsky, F., Alexander von Humboldt Institute for Internet and Society, Berlin, Germany</t>
  </si>
  <si>
    <t>56534167100;55961200100;57204729185;57219395617;58482016400;</t>
  </si>
  <si>
    <t>Fecher B., Hebing M., Laufer M., Pohle J., Sofsky F.</t>
  </si>
  <si>
    <t>18 September 2023 through 21 September 2023</t>
  </si>
  <si>
    <t>24th Working Notes of the Conference and Labs of the Evaluation Forum, CLEF-WN 2023</t>
  </si>
  <si>
    <t>Aliannejadi M.Faggioli G.Ferro N.Vlachos M.</t>
  </si>
  <si>
    <t>Krumholz, H. M., Terry, S. F., Waldstreicher, J., (2016) Data acquisition, curation, and use for a continuously learning health system; Bommasani, R., Hudson, D. A., Adeli, E., Altman, R., Arora, S., von Arx, S., Bernstein, M. S., Liang, P., (2021) On the opportunities and risks of foundation models; Vaswani, A., Shazeer, N., Parmar, N., Uszkoreit, J., Jones, L., Gomez, A. N., Kaiser, Łukasz, Polosukhin, I., Attention is all you need (2017) Advances in Neural Information Processing Systems 2017-Decem, , http://arxiv.org/abs/1706.03762; Devlin, J., Chang, M.-W., Lee, K., Toutanova, K., (2018) Bert: Pre-training of deep bidirectional transformers for language understanding, , http://arxiv.org/abs/1810.04805, doi:N19-1423; Lewis, M., Liu, Y., Goyal, N., Ghazvininejad, M., Mohamed, A., Levy, O., Stoyanov, V., Zettlemoyer, L., Bart: Denoising sequence-to-sequence pre-training for natural language generation, translation, and comprehension (2020) Association for Computational Linguistics, pp. 7871-7880. , http://arxiv.org/abs/1910.13461https://www.aclweb.org/anthology/2020.acl-main.703; Mikolov, T., Chen, K., Corrado, G., Dean, J., (2013) Efficient estimation of word representations in vector space, pp. 1-12. , http://arxiv.org/abs/1301.3781; Peters, M. E., Neumann, M., Iyyer, M., Gardner, M., Clark, C., Lee, K., Zettlemoyer, L., (2018) Deep contextualized word representations, 1. , http://arxiv.org/abs/1802.05365, doi; Alsentzer, E., Murphy, J. R., Boag, W., Weng, W.-H., Jin, D., Naumann, T., McDermott, M. B. A., (2019) Publicly available clinical bert embeddings, , http://arxiv.org/abs/1904.03323; Lee, J., Yoon, W., Kim, S. S., Kim, D., Kim, S. S., So, C. H., Kang, J., Biobert: a pre-trained biomedical language representation model for biomedical text mining (2019) Bioinformatics, p. 36. , http://arxiv.org/abs/1901.08746, (2020); Gu, Y., Tinn, R., Cheng, H., Lucas, M., Usuyama, N., Liu, X., Naumann, T., Poon, H., (2020) Domain-specific language model pretraining for biomedical natural language processing, , http://arxiv.org/abs/2007.15779; Alrowili, S., Vijay-Shanker, K., (2021) Biom-transformers: Building large biomedical language models with bert, albert and electra; Raza, S., Reji, D. J., Shajan, F., Bashir, S. R., Large-scale application of named entity recognition to biomedicine and epidemiology (2022) PLOS Digital Health, 1; Liu, Y., Lapata, M., (2019) Text summarization with pretrained encoders, , http://arxiv.org/abs/1908.08345; Raffel, C., Shazeer, N., Roberts, A., Lee, K., Narang, S., Matena, M., Zhou, Y., Liu, P. J., (2019) Exploring the limits of transfer learning with a unified text-to-text transformer, , http://arxiv.org/abs/1910.10683; Yuan, H., Yuan, Z., Gan, R., Zhang, J., Xie, Y., Yu, S., (2022) Biobart: Pretraining and evaluation of a biomedical generative language model; Luo, R., Sun, L., Xia, Y., Qin, T., Zhang, S., Poon, H., Liu, T. Y., Biogpt: generative pre-trained transformer for biomedical text generation and mining (2022) Briefings in bioinformatics, 23; Hendrycks, D., Liu, X., Wallace, E., Dziedzic, A., Krishnan, R., Song, D., (2020) Pretrained transformers improve out-of-distribution robustness; Radford, A., Narasimhan, K., Sutskever, I., Gpt: Improving language understanding by generative pre-training (2018) OpenAI; Alec, R., Jeffrey, W., Rewon, C., David, L., Dario, A., Ilya, S., Language models are unsupervised multitask learners (2019) OpenAI Blog, 1. , https://github.com/codelucas/newspaper; (2021) About - pubmed, , https://pubmed.ncbi.nlm.nih.gov/about/, PubMed; Pan, S. J., Yang, Q., A survey on transfer learning (2010) IEEE Transactions on Knowledge and Data Engineering, 22, pp. 1345-1359. , http://ieeexplore.ieee.org/document/5288526/, doi; Ruder, S., (2019) Neural transfer learning for natural language processing; Rajpurkar, P., Zhang, J., Lopyrev, K., Liang, P., (2016) Squad: 100,000+ questions for machine comprehension of text; Hermann, K. M., Kočiský, T., Grefenstette, E., Espeholt, L., Kay, W., Suleyman, M., Blunsom, P., (2015) Teaching machines to read and comprehend, , 2015-January; Lin, C. Y., (2004) Rouge: A package for automatic evaluation of summaries; Liu, Y., Chowdhury, S., Zhang, C., Caragea, C., Yu, P. S., (2020) Interpretable multi-step reasoning with knowledge extraction on complex healthcare question answering; Molla-Aliod, D., Jones, C., (2020) Classification betters regression in query-based multi-document summarisation techniques for question answering: Macquarie university at bioasq7b, , http://arxiv.org/abs/1909.00542; Xu, Q., Xu, C., Qu, L., (2019) Alter: Auxiliary text rewriting tool for natural language generation; Bengio, S., Vinyals, O., Jaitly, N., Shazeer, N., (2015) Scheduled sampling for sequence prediction with recurrent neural networks, , 2015-January; Liu, Y., Liu, P., Radev, D., Neubig, G., (2022) Brio: Bringing order to abstractive summarization, 1; Briakou, E., Carpuat, M., (2022) Can synthetic translations improve bitext quality?, 1</t>
  </si>
  <si>
    <t>Galat, D., University of Technology Sydney (UTS), Australia; Rizoiu, M.-A., University of Technology Sydney (UTS), Australia</t>
  </si>
  <si>
    <t>57232262900;53864218100;</t>
  </si>
  <si>
    <t>Galat D., Rizoiu M.-A.</t>
  </si>
  <si>
    <t>Matos, S.; IEETA/DETI, Portugal; email: aleixomatos@ua.pt</t>
  </si>
  <si>
    <t>Klerings, I., Weinhandl, A. S., Thaler, K. J., Information overload in healthcare: too much of a good thing? (2015) Zeitschrift für Evidenz, Fortbildung und Qualität im Gesundheitswesen, 109, pp. 285-290; Tsatsaronis, G., Schroeder, M., Paliouras, G., Almirantis, Y., Androutsopoulos, I., Gaussier, E., Gallinari, P., Zschunke, M., BioASQ: A challenge on large-scale biomedical semantic indexing and question answering (2012) AAAI fall symposium: Information retrieval and knowledge discovery in biomedical text, , Arlington, VA: Citeseer; Nentidis, A., Katsimpras, G., Krithara, A., Lima-López, S., Farré-Maduell, E., Gasco, L., Krallinger, M., Paliouras, G., Overview of BioASQ 2023: The eleventh BioASQ challenge on Large-Scale Biomedical Semantic Indexing and Question Answering (2023) Experimental IR Meets Multilinguality, Multimodality, and Interaction. Proceedings of the Fourteenth International Conference of the CLEF Association (CLEF 2023); Robertson, S., Zaragoza, H., The Probabilistic Relevance Framework: BM25 and Beyond (2009) Foundations and Trends® in Information Retrieval, 3, pp. 333-389. , https://www.nowpublishers.com/article/Details/INR-019; Nogueira, R., Jiang, Z., Pradeep, R., Lin, J., Document Ranking with a Pretrained Sequence-to-Sequence Model (2020) Findings of the Association for Computational Linguistics: EMNLP 2020, pp. 708-718. , https://www.aclweb.org/anthology/2020.findings-emnlp.63, Association for Computational Linguistics, Online; Gu, Y., Tinn, R., Cheng, H., Lucas, M., Usuyama, N., Liu, X., Naumann, T., Poon, H., Domain-specific language model pretraining for biomedical natural language processing (2021) ACM Transactions on Computing for Healthcare (HEALTH), 3, pp. 1-23; Nentidis, A., Katsimpras, G., Vandorou, E., Krithara, A., Paliouras, G., Overview of BioASQ tasks 10a, 10b and Synergy10 in CLEF2022 Proceedings of the Working Notes of CLEF 2022 - Conference and Labs of the Evaluation Forum, Bologna, Italy, September 5th - to - 8th, 2022, volume 3180 of CEUR Workshop Proceedings, pp. 171-178. , https://ceur-ws.org/Vol-3180/paper-10.pdf, G. Faggioli, N. Ferro, A. Hanbury, M. Potthast (Eds), CEUR-WS.org, 2022; Almeida, T., Pinho, A., Pereira, R., Matos, S., Deep Learning solutions based on fixed contextualized embeddings from PubMedBERT on BioASQ 10b and traditional IR in Synergy Proceedings of the Working Notes of CLEF 2022 - Conference and Labs of the Evaluation Forum, Bologna, Italy, September 5th - to - 8th, 2022, volume 3180 of CEUR Workshop Proceedings, pp. 204-221. , https://ceur-ws.org/Vol-3180/paper-12.pdf, G. Faggioli, N. Ferro, A. Hanbury, M. Potthast (Eds), CEUR-WS.org, 2022; Almeida, T., Matos, S., Universal passage weighting mecanism (UPWM) in BioASQ 9b (2021) Proceedings of the Working Notes of CLEF 2021 - Conference and Labs of the Evaluation Forum, 2936, pp. 196-212. , https://ceur-ws.org/Vol-2936/paper-13.pdf, G. Faggioli, N. Ferro, A. Joly, M. Maistro, F. Piroi (Eds), Bucharest, Romania, September 21st to 24th, of CEURWorkshopProceedings, CEUR-WS.org, 2021; Dai, Z., Callan, J., (2019) Context-Aware Sentence/Passage Term Importance Estimation For First Stage Retrieval, , http://arxiv.org/abs/1910.10687, arXiv:1910.10687 [cs]; Dai, Z., Callan, J., Context-Aware Document Term Weighting for Ad-Hoc Search (2020) Proceedings of The Web Conference 2020, WWW’20, pp. 1897-1907. , https://dl.acm.org/doi/10.1145/3366423.3380258, Association for Computing Machinery, New York, NY, USA; Gao, L., Callan, J., (2021) Condenser: a pre-training architecture for dense retrieval, , arXiv preprint arXiv:2104.08253; Karpukhin, V., Oguz, B., Min, S., Wu, L., Edunov, S., Chen, D., Yih, W., Dense passage retrieval for open-domain question answering (2020), https://arxiv.org/abs/2004.04906, CoRR abs/2004.04906 arXiv:2004.04906; Xiong, L., Xiong, C., Li, Y., Tang, K., Liu, J., Bennett, P. N., Ahmed, J., Overwijk, A., Approximate nearest neighbor negative contrastive learning for dense text retrieval (2020), https://arxiv.org/abs/2007.00808, CoRR abs/2007.00808 arXiv:2007.00808; Johnson, J., Douze, M., Jégou, H., Billion-scale similarity search with GPUs (2019) IEEE Transactions on Big Data, 7, pp. 535-547; Zhan, J., Mao, J., Liu, Y., Guo, J., Zhang, M., Ma, S., Optimizing dense retrieval model training with hard negatives (2021) Proceedings of the 44th International ACM SIGIR Conference on Research and Development in Information Retrieval, pp. 1503-1512; Brown, T., Mann, B., Ryder, N., Subbiah, M., Kaplan, J. D., Dhariwal, P., Neelakantan, A., Askell, A., Language models are few-shot learners (2020) Advances in neural information processing systems, 33, pp. 1877-1901; Touvron, H., Lavril, T., Izacard, G., Martinet, X., Lachaux, M.-A., Lacroix, T., Rozière, B., Azhar, F., (2023) Llama: Open and efficient foundation language models, , arXiv preprint arXiv:2302.13971; Taori, R., Gulrajani, I., Zhang, T., Dubois, Y., Li, X., Guestrin, C., Liang, P., Hashimoto, T. B., (2023) Stanford alpaca: An instruction-following LLaMA model, , https://github.com/tatsu-lab/stanford_alpaca; Biderman, S., Schoelkopf, H., Anthony, Q., Bradley, H., O’Brien, K., Hallahan, E., Khan, M. A., van der Wal, O., (2023) Pythia: A suite for analyzing large language models across training and scaling, , arXiv:2304.01373; Chowdhery, A., Narang, S., Devlin, J., Bosma, M., Mishra, G., Roberts, A., Barham, P., Fiedel, N., (2022) PaLM: Scaling language modeling with pathways, , arXiv:2204.02311; Black, S., Gao, L., Wang, P., Leahy, C., Biderman, S., (2021) GPT-Neo: Large scale autoregressive language modeling with mesh-tensorflow, , https://doi.org/10.5281/zenodo.5297715, doi:, If you use this software, please cite it using these meta-data; Hu, E. J., shen, yelong, Wallis, P., Allen-Zhu, Z., Li, Y., Wang, S., Wang, L., Chen, W., LoRA: Low-rank adaptation of large language models (2022) International Conference on Learning Representations, , https://openreview.net/forum?id=nZeVKeeFYf9; Köpf, A., Kilcher, Y., von Rütte, D., Anagnostidis, S., Tam, Z.-R., Stevens, K., Barhoum, A., Mattick, A., (2023) OpenAssistant conversations – democratizing large language model alignment, , arXiv:2304.07327; Yang, P., Fang, H., Lin, J., Anserini: Enabling the use of Lucene for information retrieval research (2017) Proceedings of the 40th International ACM SIGIR Conference on Research and Development in Information Retrieval, SIGIR’17, pp. 1253-1256. , https://doi.org/10.1145/3077136.3080721, Association for Computing Machinery, New York, NY, USA, doi; Gao, T., Yao, X., Chen, D., SimCSE: Simple contrastive learning of sentence embeddings (2021) Proceedings of the 2021 Conference on Empirical Methods in Natural Language Processing, pp. 6894-6910. , https://aclanthology.org/2021.emnlp-main.552, Association for Computational Linguistics, Online and Punta Cana, Dominican Republic; Yang, P., Fang, H., Lin, J., Anserini: enabling the use of Lucene for information retrieval research (2017) Proceedings of the 40th international ACM SIGIR conference on research and development in information retrieval, pp. 1253-1256; Lin, J., Ma, X., Lin, S.-C., Yang, J.-H., Pradeep, R., Nogueira, R., (2021) Pyserini: An easy-to-use python toolkit to support replicable ir research with sparse and dense representations, , arXiv preprint arXiv:2102.10073; Robertson, S., Zaragoza, H., The probabilistic relevance framework: BM25 and beyond (2009) Foundations and Trends® in Information Retrieval, 3, pp. 333-389; Luo, R., Sun, L., Xia, Y., Qin, T., Zhang, S., Poon, H., Liu, T.-Y., BioGPT: generative pre-trained transformer for biomedical text generation and mining (2022) Briefings in Bioinformatics, 23. , https://doi.org/10.1093/bib/bbac409; Zhang, J., Zhao, Y., Saleh, M., Liu, P. J., PEGASUS: Pre-training with extracted gap-sentences for abstractive summarization (2020) Proceedings of the 37th International Conference on Machine Learning, ICML’20, , JMLR.org; Cormack, G. V., Clarke, C. L., Buettcher, S., Reciprocal rank fusion outperforms condorcet and individual rank learning methods (2009) Proceedings of the 32nd international ACM SIGIR conference on Research and development in information retrieval, pp. 758-759; Cormack, G. V., Clarke, C. L. A., Buettcher, S., Reciprocal rank fusion outperforms condorcet and individual rank learning methods (2009) Proceedings of the 32nd International ACM SIGIR Conference on Research and Development in Information Retrieval, SIGIR’09, pp. 758-759. , https://doi.org/10.1145/1571941.1572114, Association for Computing Machinery, New York, NY, USA; Brown, T., Mann, B., Ryder, N., Subbiah, M., Kaplan, J. D., Dhariwal, P., Neelakantan, A., Askell, A., Language models are few-shot learners (2020) Advances in neural information processing systems, 33, pp. 1877-1901; Raffel, C., Shazeer, N., Roberts, A., Lee, K., Narang, S., Matena, M., Zhou, Y., Liu, P. J., Exploring the limits of transfer learning with a unified text-to-text transformer (2020) The Journal of Machine Learning Research, 21, pp. 5485-5551; Lewis, M., Liu, Y., Goyal, N., Ghazvininejad, M., Mohamed, A., Levy, O., Stoyanov, V., Zettlemoyer, L., (2019) Bart: Denoising sequence-to-sequence pre-training for natural language generation, translation, and comprehension, , arXiv preprint arXiv:1910.13461; Khandelwal, U., Clark, K., Jurafsky, D., Kaiser, L., (2019) Sample efficient text summarization using a single pre-trained transformer, , arXiv preprint arXiv:1905.08836; Zhang, Z., Han, X., Liu, Z., Jiang, X., Sun, M., Liu, Q., (2019) ERNIE: Enhanced language representation with informative entities, , arXiv preprint arXiv:1905.07129</t>
  </si>
  <si>
    <t>This work was partially supported by national funds through the Foundation for Science and Technology (FCT) in the context of the project UIDB/00127/2020. Tiago Almeida is funded by FCT under the grant 2020.05784.BD. Jorge Miguel Silva has received funding from the EC under grant agreement 101081813, Genomic Data Infrastructure.</t>
  </si>
  <si>
    <t>European Commission, EC: 101081813; Fundação para a Ciência e a Tecnologia, FCT: 2020.05784, UIDB/00127/2020</t>
  </si>
  <si>
    <t>Almeida, T., IEETA/DETI, LASI, University of Aveiro, Portugal; Jonker, R.A.A., IEETA/DETI, LASI, University of Aveiro, Portugal; Poudel, R., IEETA/DETI, LASI, University of Aveiro, Portugal; Silva, J.M., IEETA/DETI, LASI, University of Aveiro, Portugal; Matos, S., IEETA/DETI, LASI, University of Aveiro, Portugal</t>
  </si>
  <si>
    <t>57196719694;57386941900;57387315500;57194129937;26031510200;</t>
  </si>
  <si>
    <t>Almeida T., Jonker R.A.A., Poudel R., Silva J.M., Matos S.</t>
  </si>
  <si>
    <t>Watermeyer, R.; Centre for Higher Education Transformations, United Kingdom; email: Richard.watermeyer@bristol.ac.uk</t>
  </si>
  <si>
    <t>Alvesson, M., (2013) The triumph of emptiness: Consumption, higher education and work organization., , https://doi.org/10.1093/oso/9780199660940.001.0001, Oxford, Oxford University Press; Arday, J., Jones, C., Same storm, different boats: the impact of COVID-19 on Black students and academic staff in UK and US higher education (2022) Higher Education; Bender, E.M., Gebru, T., McMillan-Major, A., Shmitchell, S., The Dangers of Stochastic Parrots: Can Language Models Be Too Big? (2021) On, pp. 610-623. , https://doi.org/10.1145/3442188.3445922, [InlineMediaObject not available: see fulltext.], (,). New York; Berg, M., Seeber, B.K., (2016) The slow professor: Challenging the culture of speed in the Academy, , University of Toronto Press, Toronto/Buffalo/London; Bourdieu, P., (1988) Homo academicus, , Polity Press, Cambridge; Brankovic, J., The status games they play: unpacking the dynamics of organisational status competition in higher education (2018) Higher Education, 75, pp. 695-709; Brankovic, J., Hamann, J., Rinkel, L., The institutionalization of rankings in higher education: continuities, interdependencies, engagement (2023) Higher Education; Braun, V., Clarke, V., Using thematic analysis in psychology (2006) Qualitative Research in Psychology, 3 (2), pp. 77-101. , https://psycnet.apa.org/doi/10.1191/1478088706qp063oa, &amp;, (,).,., (,)., https://psycnet.apa.org/doi/10.1191/1478088706qp063oa; Browne, S., (2015) Dark Matters: On the surveillance of blackness, , Duke University Press, Durham, NC; Bryant, P., (2021) The Snapback. Post Digital Learning (blog), , https://peterbryant.smegradio.com/the-snapback/, 12 January, Accessed 5 Oct 2023; Bryant, P., Nd the way that it ends is that the way it began’: Why we need to learn forward, not snap back (2022) Post Digital Learning (Blog), , https://peterbryant.smegradio.com/and-the-way-that-it-ends-is-that-the-way-it-began-why-we-need-to-learn-forward-not-snap-back/, 4 November, Accessed 5 Oct 2023; Cardozo, K.M., Academic Labor: Who Cares? (2017) Critical Sociology, 43 (3), pp. 405-428; Carr, J., Students must be allowed to return to campus from April 12, university chiefs tell Boris after PM failed to mention their plight in press conference (2021) . Daily Mail, , https://www.dailymail.co.uk/news/article-9443265/Students-allowed-return-campus-university-chiefs-tell-Boris.htm, 7 April, . Accessed 5 Oct 2023; Cassidy, C., Australian universities to return to ‘pen and paper’ exams after students caught using AI to write essays (2023) The Guardian, , https://www.theguardian.com/australia-news/2023/jan/10/universities-to-return-to-pen-and-paper-exams-after-students-caught-using-ai-to-write-essays, 10 January, . Accessed 18 October 2023; Cho, K.S., Brassfield, L., An Afterthought: Staff of Color and Campus Wellness Within Higher Education Responses to COVID-19 (2023) American Behavioral Scientist, 67 (12), pp. 1394-1415; Cotton, D.R.W., Cotton, P.A., Shipway, J.A., Chatting and cheating: Ensuring academic integrity in the era of ChatGPT (2023) Innovations in Education and Teaching International; Czerniewicz, L., Agherdien, N., Badenhorst, J., Belluigi, D., Chambers, T., Chili, M., Wissing, G., A wake-up call: Equity, inequality and Covid-19 emergency remote teaching and learning (2020) Postdigital Science and Education, 2 (3), pp. 946-967; Dalipi, F., Jokela, P., Kastrati, Z., Kurti, A., Elm, P., Going digital as a result of COVID-19: insights from students' and teachers' impressions in a Swedish University (2022) International Journal of Educational Research Open, 3. , &amp;, (,).,.,., https://doi.org/10.1016/j.ijedro.2022.100136; Docka-Filipek, D., Stone, L.B., Twice a “housewife”: On academic precarity, “hysterical” women, faculty mental health, and service as gendered care work for the “university family” in pandemic times (2021) Gender, Work and Organization, 28 (6), pp. 2158-2179; Dwivedi, Y.K., Kshetri, N., Hughes, L., Slade, E.L., Wright, R., So what if ChatGPT wrote it?” Multidisciplinary perspectives on opportunities, challenges and implications of generative AI for research, practice and policy (2023) International Journal of Information Management, 71. , https://doi.org/10.1016/j.ijinfomgt.2023.102642; Dunn, M., Gregor, M., Robinson, S., Ferrer, A., Campbell-Halfaker, D., Martin-Fernandez, J., Academia During the Time of COVID-19: Examining the Voices of Untenured Female Professors in STEM (2022) Journal of Career Assessment, 30 (3), pp. 573-589; Feenberg, A., (2017) Technosystem: The social life of reason, , Harvard University Press, Cambridge, MA; Flynn, S., Noonan, G., Mind the gap: Academic staff experiences of remote teaching during the Covid 19 emergency (2020) All Ireland Journal of Higher Education, 12 (3); Forrester, N., Fed up and burnt out: ‘quiet quitting’ hits academia (2023) Nature, 615, pp. 751-753; França, T., Godinho, F., Padilla, B., Vicente, M., Amâncio, L., Fernandes, A., Having a family is the new normal”: Parenting in neoliberal academia during the COVID-19 pandemic (2023) Gender, Work &amp; Organization, 30 (1), pp. 35-51; Francois, S., Blakey, J., Stevenson, R., Walker, T., Davis, C., Jr., Navigating COVID-19 and racial trauma as a Black student at predominantly White institutions (2023) American Journal of Community Psychology; Fromm, E., (1971), Introduction. In I. Illich, Celebration of awareness. A call for institutional revolution. London: Calder and Boyars; Gewin, V., Pandemic burnout is rampant in academia (2021) Nature, 591, pp. 489-491; Gewin, V., Has the ‘great resignation’ hit academia? (2022) Nature, 606, pp. 211-213; Giroux, H., (2011) On critical pedagogy, , Bloomsbury, London; Gourlay, L., Surveillance and Datafication in Higher Education: Documentation of the Human (2022) Postdigital Science and Education; Górska, A.M., Kulicka, K., Staniszewska, Z., Dobija, D., Deepening inequalities: What did COVID-19 reveal about the gendered nature of academic work? (2021) Gender, Work &amp; Organization, 28 (4), pp. 1546-1561; (2006), Universities: The recovery of an idea, Thorverton, Imprint Academic; Hayes, S., Measuring Excellence in Higher Education (2021) Postdigital Science and Education, 3. , https://link.springer.com/journal/42438/volumes-and-issues/3-1, Accessed 5 Oct 2023; Hayes, S., Postdigital Perspectives on the McPolicy of Measuring Excellence (2021) Postdigital Science and Education, 3 (1), pp. 1-6; Hadjisolomou, A., Mitsakis, F., Gary, S., Too Scared to Go Sick: Precarious Academic Work and ‘Presenteeism Culture’ in the UK Higher Education Sector During the Covid-19 Pandemic (2022) Work, Employment and Society, 36 (3), pp. 569-579; Hazelkorn, E., Rankings and the Reshaping of Higher Education (2011) The Battle for World Class Excellence. London: Palgrave MacMillan.; Hughey, A.W., Kirk-Jenkins, A.J., Abrupt adaption: A review of the impact of the COVID-19 pandemic on faculty in higher education (2021) The Journal of the Professoriate, 12 (1), pp. 104-121; Ioannidis, J.P.A., Klavans, R., Boyack, K.W., Thousands of scientists publish a paper every five days (2018) Nature, 561, pp. 167-169; Ivancheva, M., Garvey, B., Putting the university to work: The subsumption of academic labour in UK's shift to digital higher education (2022) New Technology, Work and Employment, 37 (3), pp. 381-397; Jandrić, P., Postdigital research measurement (2020) Postdigital Science and Education, 3 (1), pp. 15-26; Jandrić, P., On The Hyping of Scholarly Research (With A Shout-Out to ChatGPT) (2023) Postdigital Science and Education; Jandrić, P., Bozkurt, A., McKee, M., Hayes, S., Teaching in the Age of Covid-19 - A Longitudinal Study (2021) Postdigital Science and Education, 3 (3), pp. 743-770; Jandrić, P., Fuentes Martinez, A., Reitz, C., Jackson, L., Grauslund, D., Hayes, D., Lukoko, H.O., Hayes, S., Teaching in the Age of Covid-19—The New Normal (2022) Postdigital Science and Education, 4 (3), pp. 877-1015; Jandrić, P., Hayes, D., Levinson, P., Lisberg Christensen, L., Lukoko, H.O., Kihwele, J.E., Brown, J.B., Hayes, S., Teaching in the Age of Covid-19—1 Year Later (2021) Postdigital Science and Education, 3 (3), pp. 1073-1223; Komljenovic, J., The rise of education rentiers: digital platforms, digital data and rents (2021) Learning, Media and Technology, 46 (3), pp. 320-332; Lanclos, D., (2019) Listening to Refusal: Opening Keynote for #APTconf 2019., , https://www.donnalanclos.com/listening-to-refusal-opening-keynote-for-aptconf-2019/, Accessed 5 Oct 2023; Lekchiri, S., Chuang, S., Crowder, C.L., Eversole, B.A., The Disappearing Research Agendas of Mother-Scholars in Academia during the COVID–19 Pandemic: Autoethnographic Studies (2022) New Horizons in Adult Education and Human Resource Development, 34 (3), pp. 40-53; Lévy, P., (1999) Collective intelligence: Mankind’s emerging world in cyberspace, , Perseus Books, Cambridge, MA; Lewis, J., Bolton, P., Hubble, S., Oronavirus: HE/FE return to campus in England 2021 (2021) House of Commons Library., , https://commonslibrary.parliament.uk/research-briefings/cbp-9142/, Accessed 5 Oct 2023; Maisuria, A., Cole, M., The neoliberalization of higher education in England: An alternative is possible (2017) Policy Futures in Education, 15 (5), pp. 602-619; McLay Paterson, A., Eva, N., “Relationships of Care”: Care and Meaning in Canadian Academic Librarian Work during COVID-19 (2022) Partnership, 17 (2), pp. 1-26. , https://doi.org/10.21083/partnership.v17i2.7055; Menzies, H., Newson, J., No time to think: Academics’ life in the globally wired university (2007) Time &amp; Society, 16 (1), pp. 83-98; Mitchell, A., Collaboration technology affordances from virtual collaboration in the time of COVID-19 and post-pandemic strategies (2023) Information Technology &amp; People, 36 (5), pp. 1982-2008. , (,).,., (,)., https://doi.org/10.1108/ITP-01-2021-0003; Mitchell, N., % of UK academics set to quit within 5 years – Survey (2022) University World News, , https://www.universityworldnews.com/post.php?story=20220329135940852, 29 March, . Accessed 26 Sep 2023; Moorhouse, B.L., Kohnke, L., Thriving or surviving emergency remote teaching necessitated by COVID-19: University teachers’ perspectives (2021) The Asia-Pacific Education Researcher, 30, pp. 279-287. , &amp;, (,).,., https://doi.org/10.1007/s40299-021-00567-9; Morozov, E., (2014) Save everything, click here: The folly of technological solutionism, , Public Affairs, New York; Morrish, L., Pressure Vessels: The epidemic of poor mental health among higher education staff (2019) Higher Education Policy Institute, , https://www.hepi.ac.uk/2019/05/23/pressure-vessels-the-epidemic-of-poor-mental-health-among-higher-education-staff/, 23 May, Accessed 26 Sep 2023; Njoku, A., Evans, M., Black women faculty and administrators navigating COVID-19, social unrest, and academia: Challenges and strategies (2022) International Journal of Environmental Research and Public Health, 19 (4), p. 2220; Okeke-Uzodike, O.E., Gamede, V., The Dilemma of Unrelenting Workload Amidst Covid-19 Pandemic: An Agenda for University Female Academics (2021) Journal of Research in Higher Education, 5 (1). , https://doi.org/10.24193/JRHE.2021.1.1; Otenyo, E.E., Organizational Humanism (2016) Global Encyclopedia of Public Administration, Public Policy, and Governance, , https://doi.org/10.1007/978-3-319-31816-5_34-1, A. Farazmand, Cham, Springer; Peters, M.A., Jandrić, P., Peer Production and Collective Intelligence as the Basis for the Public Digital University (2018) Educational Philosophy and Theory, 50 (13), pp. 1271-1284; Price, J., Lanclos, D., Phipps, L., COVID, Campus, Cameras, Communication, and Connection (2022) Irish Journal of Technology Enhanced Learning, 7 (1). , &amp;, (,).,., (,)., https://doi.org/10.22554/ijtel.v7i1.96; Readings, B., (1996) The university in ruins, , Harvard University Press, Cambridge, MA; Sadowski, C., (2020) Too Smart: How Digital Capitalism Is Extracting Data, Controlling Our Lives, and Taking Over the World., , Cambridge, MA &amp; London, UK: The MIT Press; Schmiedehaus, E., Cordaro, M., Perrotte, J., Stern, M., Dailey, S., Howard, K., The great resignation in higher education: an occupational health approach to understanding intentions-to-quit for faculty in higher education (2023) Teaching and Teacher Education, 123; Sennett, R., (2008) The craftsman, , Yale University Press, New Haven, CT; Shore, C., Wright, S., Coercive accountability: The rise of audit culture in higher education (2000) Audit Cultures: Anthropological Studies in Accountability, Ethics and the Academy, pp. 57-89. , M. Strathern, London, Routledge; Simpson, A., On ethnographic refusal: Indigeneity,‘voice’and colonial citizenship (2007) Junctures: The Journal for Thematic Dialogue, p. 9; Smyth, J., (2017) The toxic university: Zombie leadership, academic rock stars and neoliberal ideology, , https://doi.org/10.1057/978-1-137-54968-6, London, Palgrave Macmillan; Susskind, D., Technological unemployment (2022) The Oxford Handbook of AI Governance, , https://doi.org/10.1093/oxfordhb/9780197579329.013.42, J. B. Bullock, Y.-C. Chen, J. Himmelreich, V. M. Hudson, A. Korinek, M. M. Young, B. Zhang, Oxford, Oxford University Press; Taylor, D.G., Frechette, M., The Impact of Workload, Productivity, and Social Support on Burnout Among Marketing Faculty During the COVID-19 Pandemic (2022) Journal of Marketing Education, 44 (2), pp. 134-148; Thorp, H.H., ChatGPT is fun but not an author (2023) Science, 379 (6630), p. 313; (2020) Second class academic citizens: The dehumanising effects of casualisation in higher education., , https://www.ucu.org.uk/media/10681/second_class_academic_citizens/pdf/secondclassacademiccitizens, Accessed 26 Sep 2023; (2022) ). UK higher education: A workforce in crisis., , https://www.ucu.org.uk/media/12532/HEReport24March22/pdf/HEReport24March22.pdf, Accessed 26 Sep 2023; Wahab, S., Mehrotra, G.R., Myers, K.E., Slow scholarship for social work: A praxis of resistance and creativity (2022) Qualitative Social Work, 21 (1), pp. 147-159; Watermeyer, R., (2019) Competitive accountability in academic life. The struggle for social impact and public legitimacy, , Edward Elgar, Cheltenham; Watermeyer, R., Olssen, M., Exclusion and excellence: The individual costs of institutional competitiveness (2016) Minerva, 54 (2), pp. 201-218; Watermeyer, R., Bolden, R., Khalid, F., Knight, C., Toxic corporate culture in universities needs uprooting (2023) University World News, , https://www.universityworldnews.com/post.php?story=20230721132953122, 27 July, . Accessed 26 Sep 2023; Watermeyer, R., Bolden, R., Knight, C., Holm, J., (2022) Leadership in global higher education: Findings from a scoping study., , https://s3.eu-west-2.amazonaws.com/assets.creode.advancehe-document-manager/documents/advance-he/AdvHE_LS%20Scoping%20Study%20Report_FINAL_1662384897.pdf, London: AdvanceHE, Accessed 26 Sep 2023; Watermeyer, R., Shankar, K., Crick, T., Knight, C., McGaughey, F., Hardman, J., Suri, V.R., Phelan, D., ‘Pandemia’: A reckoning of UK universities’ corporate response to COVID-19 and its academic fallout (2021) British Journal of Sociology of Education, 42 (5-6), pp. 651-666; Welsh, J., Controlling academics: Power and resistance in the archipelago of post-COVID-19 audit regimes (2021) Anthropological Theory, 21 (4), pp. 460-493; Yang, H., How I use ChatGPT responsibly in my teaching (2023) Nature</t>
  </si>
  <si>
    <t>Watermeyer, R., Centre for Higher Education Transformations, School of Education, University of Bristol, Bristol, United Kingdom; Phipps, L., JISC and Keele Institute for Innovation and Teaching Excellence, Keele University, Keele, United Kingdom; Lanclos, D., Munster Technological University, Cork, Ireland; Knight, C., School of Education, University of Bristol, Bristol, United Kingdom</t>
  </si>
  <si>
    <t>36440857400;8379226800;36863839300;57203093658;</t>
  </si>
  <si>
    <t>Watermeyer R., Phipps L., Lanclos D., Knight C.</t>
  </si>
  <si>
    <t>27 September 2023 through 29 September 2023</t>
  </si>
  <si>
    <t>2023 Annual Conference of the Spanish Association for Natural Language Processing: Projects and System Demonstrations, SEPLN-PD 2023</t>
  </si>
  <si>
    <t>Diputacion de Jaen;Escuela Politecnica Superior de Jaen (EPS);et al.;Impulso de las Lenguas en la Inteligencia Artificial (ILENIA);Junta de Andalucia, Consejeria de Turismo, Cultura y Deporte;PERTE Nueva Economia de la Lengua</t>
  </si>
  <si>
    <t>Camara E.M.Raez A.M.Valdivia M.T.M.Lopez L.A.U.</t>
  </si>
  <si>
    <t>García-Díaz, J.A.; Facultad de Informática, Spain; email: joseantonio.garcia8@um.es</t>
  </si>
  <si>
    <t>García-Sánchez, F., Paredes-Valverde, M. A., Valencia-García, R., Alcaraz-Mármol, G., Almela, Á., KBS4FIA: leveraging advanced knowledge-based systems for financial information analysis (2017) Procesamiento del Lenguaje Natural, 59, pp. 145-148. , http://journal.sepln.org/sepln/ojs/ojs/index.php/pln/article/view/5507; (2022) Analistas Financieros Internacionales, Inversión en activos alternativos, , https://media.afi.es/webcorporativa/2022/07/Estudio-activos-alternativos-Afi-Aberdeen_DEF_Actualizacion-JUN22.pdf, AFI: Accessed: 2023-05-25; García-Díaz, J. A., Almela, Á., Alcaraz-Mármol, G., Valencia-García, R., UMUCorpusClassifier: Compilation and evaluation of linguistic corpus for natural language processing tasks (2020) Procesamiento del Lenguaje Natural, 65, pp. 139-142. , http://journal.sepln.org/sepln/ojs/ojs/index.php/pln/article/view/6292; Liu, Y., Ott, M., Goyal, N., Du, J., Joshi, M., Chen, D., Levy, O., Stoyanov, V., (2019) Roberta: A robustly optimized bert pretraining approach, , arXiv preprint arXiv:1907.11692; Cañete, J., Chaperon, G., Fuentes, R., Ho, J.-H., Kang, H., Pérez, J., Spanish pre-trained BERT model and evaluation data (2020) PML4DC at ICLR 2020, pp. 1-10; Gutiérrez-Fandiño, A., Armengol-Estapé, J., Pàmies, M., Llop-Palao, J., Silveira-Ocampo, J., Carrino, C. P., Armentano-Oller, C., Villegas, M., MarIA: Spanish language models (2022) Procesamiento del Lenguaje Natural, 68, pp. 39-60. , http://journal.sepln.org/sepln/ojs/ojs/index.php/pln/article/view/6405; de la Rosa, J., Ponferrada, E. G., Romero, M., Villegas, P., González de Prado Salas, P., Grandury, M., BERTIN: efficient pre-training of a spanish language model using perplexity sampling (2022) Procesamiento del Lenguaje Natural, 68, pp. 13-23. , http://journal.sepln.org/sepln/ojs/ojs/index.php/pln/article/view/6403; García-Díaz, J. A., García-Sánchez, F., Valencia- García, R., Smart analysis of economics sentiment in spanish based on linguistic features and transformers (2023) IEEE Access, 11, pp. 14211-14224. , https://doi.org/10.1109/ACCESS.2023.3244065; García-Díaz, J. A., Vivancos-Vicente, P. J., Almela, A., Valencia-García, R., UMUTextStats: A linguistic feature extraction tool for spanish (2022) Proceedings of the Thirteenth Language Resources and Evaluation Conference, pp. 6035-6044; Pennington, J., Socher, R., Manning, C. D., Glove: Global vectors for word representation (2014) Proceedings of the 2014 conference on empirical methods in natural language processing (EMNLP), pp. 1532-1543; Mikolov, T., Chen, K., Corrado, G., Dean, J., (2013) Efficient estimation of word representations in vector space, , arXiv preprint arXiv:1301.3781; Grave, E., Bojanowski, P., Gupta, P., Joulin, A., Mikolov, T., (2018) Learning word vectors for 157 languages, , arXiv preprint arXiv:1802.06893; Cañete, J., Donoso, S., Bravo-Marquez, F., Carvallo, A., Araujo, V., (2022) ALBETO and DistilBETO: Lightweight spanish language models, , arXiv preprint arXiv:2204.09145; Conneau, A., Khandelwal, K., Goyal, N., Chaudhary, V., Wenzek, G., Guzmán, F., Grave, E., Stoyanov, V., (2019) Unsupervised crosslingual representation learning at scale, , http://arxiv.org/abs/1911.02116, CoRR abs/1911.02116 arXiv:1911.02116; Devlin, J., Chang, M., Lee, K., Toutanova, K., (2018) BERT: pre-training of deep bidirectional transformers for language understanding, , http://arxiv.org/abs/1810.04805, CoRR abs/1810.04805 arXiv:1810.04805; Pan, R., García-Díaz, J. A., Garcia-Sanchez, F., Valencia-García, R., Evaluation of transformer models for financial targeted sentiment analysis in spanish (2023) PeerJ Computer Science, 9, p. e1377; García-Díaz, J. A., García-Sánchez, F., Valencia García, R., Overview of FinancES 2023: Financial targeted sentiment analysis in spanish (to appear) (2023) Procesamiento del Lenguaje Natural; Schmitt, X., Kubler, S., Robert, J., Papadakis, M., Le- Traon, Y., A replicable comparison study of NER software: StanfordNLP, NLTK, OpenNLP, SpaCy, Gate (2019) 2019 Sixth International Conference on Social Networks Analysis, Management and Security (SNAMS), pp. 338-343. , IEEE; Yetistiren, B., Özsoy, I., Ayerdem, M., Tüzün, E., (2023) Evaluating the code quality of ai-assisted code generation tools: An empirical study on github copilot, amazon codewhisperer, and chatgpt, , arXiv preprint arXiv:2304.10778; del Pilar Salas-Zárate, M., Alor-Hernández, G., Sánchez-Cervantes, J. L., Paredes-Valverde, M. A., García-Alcaraz, J. L., Valencia-García, R., Review of English literature on figurative language applied to social networks (2020) Knowledge and Information Systems, 62, pp. 2105-2137</t>
  </si>
  <si>
    <t>This project is funded by the Prueba de Concepto 2021 call1 and is based on a previous project KBS4FIA [1], whose objective was the development of Natural Language Processing and knowledge extraction technologies within the financial domain to enable a better management of unstructured information for decision-making within this domain. Knowledge extraction technologies based on Spanish texts were developed including named entity recognition, text classification, semantic annotation and ontology population. Deep-learning technologies were also developed to process subjective language in Spanish, which involved sentiment analysis in different domains, including the financial domain. In addition, technologies for the efficient extraction of information</t>
  </si>
  <si>
    <t>Alternative investment funds have high strategic value but high uncertainty associated with them because they are relatively new and difficult to monitor using traditional approaches. In addition, being such specialized products there is little public information. The main objective of the AIInFunds project is to use Natural Language Processing and Semantic Web technologies to extract information about alternative assets and apply entity extraction techniques and sentiment and emotion analysis to measure social perception towards these alternative assets. AIInFunds is being developed by the TECNOMOD group of the University of Murcia and is financed by the Spanish National Research Agency and by the European Union NextGenerationEU/PRTR through the Prueba de Concepto 2021 projects.</t>
  </si>
  <si>
    <t>Alternative investment funds have high strategic value but high uncertainty associated with them because they are relatively new and difficult to monitor using traditional approaches. In addition, being such specialized products there is little public information. The main objective of the AIInFunds project is to use Natural Language Processing and Semantic Web technologies to extract information about alternative assets and apply entity extraction techniques and sentiment and emotion analysis to measure social perception towards these alternative assets. AIInFunds is being developed by the TECNOMOD group of the University of Murcia and is financed by the Spanish National Research Agency and by the European Union NextGenerationEU/PRTR through the Prueba de Concepto 2021 projects. © 2023 Copyright for this paper by its authors.</t>
  </si>
  <si>
    <t>García-Díaz, J.A., Facultad de Informática, Universidad de Murcia, Campus de Espinardo, Murcia, 30100, Spain; Miñarro-Giménez, J.A., Facultad de Informática, Universidad de Murcia, Campus de Espinardo, Murcia, 30100, Spain; Almela, Á., Facultad de Letras, Universidad de Murcia, Campus de la Merced, Murcia, 30001, Spain; Alcaraz-Mármol, G., Departamento de Filología Moderna, Universidad de Castilla la Mancha45071, Spain; Marín-Pérez, M.J., Facultad de Letras, Universidad de Murcia, Campus de la Merced, Murcia, 30001, Spain; García-Sánchez, F., Facultad de Informática, Universidad de Murcia, Campus de Espinardo, Murcia, 30100, Spain; Valencia-García, R., Facultad de Informática, Universidad de Murcia, Campus de Espinardo, Murcia, 30100, Spain</t>
  </si>
  <si>
    <t>Facultad de Informática, Universidad de Murcia, Campus de Espinardo, Murcia, 30100, Spain; Facultad de Letras, Universidad de Murcia, Campus de la Merced, Murcia, 30001, Spain; Departamento de Filología Moderna, Universidad de Castilla la Mancha45071, Spain</t>
  </si>
  <si>
    <t>57201498591;26422426900;54384764800;56348004100;58652491800;7102142588;55887649000;</t>
  </si>
  <si>
    <t>García-Díaz J.A., Miñarro-Giménez J.A., Almela Á., Alcaraz-Mármol G., Marín-Pérez M.J., García-Sánchez F., Valencia-García R.</t>
  </si>
  <si>
    <t>Hirosawa, T.; Department of Diagnostic and Generalist Medicine Dokkyo Medical University, 880 Kitakobayashi, Mibu-cho Shimotsuga, Japan; email: hirosawa@dokkyomed.ac.jp</t>
  </si>
  <si>
    <t>Holmboe, E, Durning, S., Assessing clinical reasoning: moving from in vitro to in vivo (2014) Diagnosis (Berl), 1 (1), pp. 111-117. , Jan 01; [FREE Full text] [doi] [Medline: 29539977]; Harada, Y, Otaka, Y, Katsukura, S, Shimizu, T., Effect of contextual factors on the prevalence of diagnostic errors among patients managed by physicians of the same specialty: a single-centre retrospective observational study (2023) BMJ Qual Saf, p. bmjqs2022015436. , Jan 23: [doi]; Skinner, T, Scott, I, Martin, J., Diagnostic errors in older patients: a systematic review of incidence and potential causes in seven prevalent diseases (2016) IJGM, pp. 137-146. , May: [doi] [Medline: 27284262]; Balogh, EP, Miller, BT., Technology and tools in the diagnostic process (2015) Improving Diagnosis in Health Care, , Washington DC: National Academies Press (US); Dec 29; Schmieding, ML, Kopka, M, Schmidt, K, Schulz-Niethammer, S, Balzer, F, Feufel, MA., Triage accuracy of symptom checker apps: 5-year follow-up evaluation (2022) J Med Internet Res, 24 (5), p. e31810. , May 10; [FREE Full text] [doi] [Medline: 35536633]; Riches, N, Panagioti, M, Alam, R, Cheraghi-Sohi, S, Campbell, S, Esmail, A, The effectiveness of electronic differential diagnoses (ddx) generators: a systematic review and meta-analysis (2016) PLoS One, 11 (3), p. e0148991. , [FREE Full text] [doi] [Medline: 26954234]; Greenes, R., Chapter 2 - A brief history of clinical decision support: technical, social, cultural, economic, governmental perspectives (2014) Clinical Decision Support (Second Edition), pp. 49-109. , London, UK: Academic Press; Mar 28; Kawamura, R, Harada, Y, Sugimoto, S, Nagase, Y, Katsukura, S, Shimizu, T., Incidence of diagnostic errors among unexpectedly hospitalized patients using an automated medical history-taking system with a differential diagnosis generator: retrospective observational study (2022) JMIR Med Inform, 10 (1), p. e35225. , Jan 27; [FREE Full text] [doi] [Medline: 35084347]; Meunier, P, Raynaud, C, Guimaraes, E, Gueyffier, F, Letrilliart, L., Barriers and facilitators to the use of clinical decision support systems in primary care: a mixed-methods systematic review (2023) Ann Fam Med, 21 (1), pp. 57-69. , [FREE Full text] [doi] [Medline: 36690490]; Wani, SUD, Khan, NA, Thakur, G, Gautam, SP, Ali, M, Alam, P, Utilization of artificial intelligence in disease prevention: diagnosis, treatment, and implications for the healthcare workforce (2022) Healthcare (Basel), 10 (4), p. 608. , Mar 24; [FREE Full text] [doi] [Medline: 35455786]; Haug, CJ, Drazen, JM., Artificial intelligence and machine learning in clinical medicine, 2023 (2023) N Engl J Med, 388 (13), pp. 1201-1208. , Mar 30; [doi]; Will ChatGPT transform healthcare? (2023) Nat Med, 29 (3), pp. 505-506. , authors listed. Mar; [doi] [Medline: 36918736]; Biswas, S., ChatGPT and the future of medical writing (2023) Radiology, 307 (2), p. e223312. , Apr; [doi] [Medline: 36728748]; Curtis, N, To ChatGPT or not to ChatGPT? The impact of artificial intelligence on academic publishing (2023) Pediatr Infect Dis J, 42 (4), p. 275. , ChatGPT. Apr 01; [doi] [Medline: 36757192]; Kung, TH, Cheatham, M, Medenilla, A, Sillos, C, De Leon, L, Elepaño, C, Performance of ChatGPT on USMLE: Potential for AI-assisted medical education using large language models (2023) PLOS Digit Health, 2 (2), p. e0000198. , Feb; [FREE Full text] [doi] [Medline: 36812645]; (2023) GPT-4 technical report, , arXiv Preprint posted online on March 15, [FREE Full text] [doi]; Vaishya, R, Misra, A, Vaish, A., ChatGPT: Is this version good for healthcare and research? (2023) Diabetes Metab Syndr, 17 (4), p. 102744. , Apr; [doi] [Medline: 36989584]; Lee, P, Bubeck, S, Petro, J., Benefits, limits, and risks of GPT-4 as an AI chatbot for medicine (2023) N Engl J Med, 388 (13), pp. 1233-1239. , Mar 30; [doi]; Zheng, H, Zhan, H., ChatGPT in scientific writing: A cautionary tale (2023) Am J Med, 136 (8), pp. 725-726. , Aug; e6 [doi] [Medline: 36906169]; Chen, JH, Dhaliwal, G, Yang, D., Decoding artificial intelligence to achieve diagnostic excellence: learning from experts, examples, and experience (2022) JAMA, 328 (8), pp. 709-710. , Aug 23; [doi] [Medline: 35913752]; Kanjee, Z, Crowe, B, Rodman, A., Accuracy of a generative artificial intelligence model in a complex diagnostic challenge (2023) JAMA, 330 (1), pp. 78-80. , Jul 03; [doi] [Medline: 37318797]; Hirosawa, T, Harada, Y, Yokose, M, Sakamoto, T, Kawamura, R, Shimizu, T., Diagnostic accuracy of differential-diagnosis lists generated by generative pretrained transformer 3 chatbot for clinical vignettes with common chief complaints: a pilot study (2023) Int J Environ Res Public Health, 20 (4), p. 3378. , Feb 15; [FREE Full text] [doi] [Medline: 36834073]; Jinno, A, Hirosawa, T, Shimizu, T., Hepatic portal venous gas after diving (2018) BMJ Case Reports, , Jan 12:bcr-2017-223844 [doi]; Krupat, E, Wormwood, J, Schwartzstein, RM, Richards, JB., Avoiding premature closure and reaching diagnostic accuracy: some key predictive factors (2017) Med Educ, 51 (11), pp. 1127-1137. , Nov; [doi] [Medline: 28857266]; Armstrong, RA., When to use the Bonferroni correction (2014) Ophthalmic Physiol Opt, 34 (5), pp. 502-508. , Sep; [doi] [Medline: 24697967]; Zong, M, Krishnamachari, B., (2022) A survey on GPT-3, , arXiv Preprint posted on December 1, [doi]; Hirosawa, T, Shimizu, T., Enhancing clinical reasoning with chat generative pre-trained transformer: A practical guide (2023) Diagnosis, 11 (1), p. A. , [doi]</t>
  </si>
  <si>
    <t>Hirosawa, T., Department of Diagnostic and Generalist Medicine, Dokkyo Medical University, Tochigi, Japan; Kawamura, R., Department of Diagnostic and Generalist Medicine, Dokkyo Medical University, Tochigi, Japan; Harada, Y., Department of Diagnostic and Generalist Medicine, Dokkyo Medical University, Tochigi, Japan; Mizuta, K., Department of Diagnostic and Generalist Medicine, Dokkyo Medical University, Tochigi, Japan; Tokumasu, K., Department of General Medicine, Okayama University Graduate School of Medicine, Dentistry and Pharmaceutical Sciences, Okayama, Japan; Kaji, Y., Department of General Medicine, International University of Health, Welfare Narita Hospital, Chiba, Japan; Suzuki, T., Department of Hospital Medicine, Urasoe General Hospital, Okinawa, Japan; Shimizu, T., Department of Diagnostic and Generalist Medicine, Dokkyo Medical University, Tochigi, Japan</t>
  </si>
  <si>
    <t>57193420373;57222005090;57189847899;58605122100;57214117313;57413892100;57226872394;36141977800;</t>
  </si>
  <si>
    <t>Hirosawa T., Kawamura R., Harada Y., Mizuta K., Tokumasu K., Kaji Y., Suzuki T., Shimizu T.</t>
  </si>
  <si>
    <t>Bailey, J., A brief history of article spinning (2018), https://www.plagiarismtoday.com/2018/03/08/a-brief-history-of-article-spinning/, (March 8). Plagiarism Today; Braun, V., Clarke, V., Using thematic analysis in psychology (2006) Qualitative Research in Psychology, 3, pp. 77-101. , https://doi.org/10.1191/1478088706qp063oa; Braun, V., Clarke, V., (2013) Successful qualitative research: A practical guide for beginners, , SAGE; Bretag, T., Harper, R., Burton, M., Ellis, C., Newton, P., Rozenberg, P., Saddiqui, S., van Haeringen, K., Contract cheating: a survey of Australian university students (2019) Studies in Higher Education, 44 (11), pp. 1837-1856. , https://doi.org/10.1080/03075079.2018.1462788; Broom, C., Empowering students: Pedagogy that benefits educators and learners (2015) Citizenship, Social and Economics Education, 14 (2), pp. 79-86. , https://doi.org/10.1177/2047173415597142; Shepherd Cambridge dictionary, , https://dictionary.cambridge.org/dictionary/english/shepherd, (n.d) Retrieved October 6, 2022, from; Clarke, A. E., (2005) Situational analysis, , Sage; De Maio, C., Dixon, K., Promoting academic integrity in institutions of higher learning: What 30 years of research (1990-2020) in Australasia has taught us (2022) Journal of College and Character, 23 (1), pp. 6-20. , https://doi.org/:10.1080/2194587X.2021.2017972; Eaton, S. E., (2022) Academic integrity in Canada, , Springer; Edley, N., Wetherell, M., Jekyll and Hyde: Men’s construction of feminism and feminists (2001) Women &amp; Psychology, 11 (4), pp. 439-457. , https://doi.org/10.1177/0959353501011004002; Fairclough, N., (1995) Critical discourse analysis, , Longman; Fillenbaum, S., A note on the “Search after meaning”: Sensibleness of paraphrases of well formed and malformed expressions (1970) Psychonomic Science, 18 (2), pp. 67-68. , https://doi.org/10.3758/bf03335699; Foltýnek, T., Ruas, T., Scharpf, P., Meuschke, N., Schubotz, M., Grosky, W., Gipp, B., Detecting Machine-obfuscated Plagiarism (2020) Sustainable digital communities. iConference 2020. Lecture Notes in Computer Science, 12051. , https://doi.org/10.1007/978-3-030-43687-2_68, A. Sundqvist, G. Berget, J. Nolin, and K. Skjerdingstad, (Eds), Springer; Fudge, A., Ulpen, T., Bilic, S., Picard, M., Carter, C., Does an educative approach work? A reflective case study of how two Australian higher education Enabling programs support students and staff uphold a responsible culture of academic integrity (2022) International Journal for Educational Integrity, 18 (5). , https://doi.org/10.1007/s40979-021-00099-1; Gee, J. P., Green, J. L., Discourse, learning and social practice (1998) Review of Research in Education, 23, pp. 119-169. , https://www.jstor.org/stable/1167289; Guerrero-Dib, J. G., Portales, L., Heredia-Escorza, Y., Impact of academic integrity on workplace ethical behaviour (2020) International Journal for Educational Integrity, 16 (2). , https://doi.org/10.1007/s40979-020-0051-3; Harrison, D., Patch, A., McNally, D., Harris, L., Student and faculty perceptions of study helper websites: A new practice in collaborative cheating (2021) Journal of Academic Ethics, 19, pp. 483-500. , https://doi.org/10.1007/s10805-020-09373-2; Hyland, K., (2006) English for academic purposes, , Routledge; Keck, C., The use of paraphrase in summary writing: A comparison of L1 and L2 writers (2006) Journal of Second Language Writing, 15 (4), pp. 261-278. , https://doi.org/10.1016/j.jslw.2006.09.006; Keck, C., Copying, paraphrasing, and academic writing development: A re-examination of L1 and L2 summarization practices (2014) Journal of Second Language Writing, 25, pp. 4-22. , http://doi.org/10.1016/j.jslw.2014.05.005; Kumar, P. M., Priya, N. S., Musalaiah, S., Nagasree, M., Knowing and avoiding plagiarism during scientific writing (2014) Annals of Medical Health Science Research, 4 (3), pp. S193-S198. , https://doi:10.4103/2141-9248.141957; Liu, D., (2023) Responding to generative AI for assessments in semester, 2, p. 2023. , https://tinyurl.com/2s3ru5aa; Lodge, J. M., Thompson, K., Corrin, L., Mapping out a research agenda for generative artificial intelligence in tertiary education (2023) Australasian Journal of Educational Technology, 39 (1), pp. 1-8. , https://doi.org/10.14742/ajet.8695; Lӧfstӧm, E., Trotman, T., Furnari, M., Shephard, K., Who teaches academic integrity and how do they teach it? (2015) Higher Education, 69, pp. 435-448. , https://doi.org/10.1007/s10734-014-9784-3; MacLeod, P. D., Eaton, S. A., The paradox of faculty attitudes towards student violations of academic integrity (2020) Journal of Academic Ethics, 18 (3), pp. 47-362. , https://doi.org/10.1007/s10805-020-09363-4; McCarthy, G., (2014) Coaching and mentoring for business, , Sage; McKay, J., Devlin, M., ‘Uni has a different language … to the real world’: Demystifying academic culture and discourse for students from low socioeconomic backgrounds (2014) Higher Education Research &amp; Development, 33 (5), pp. 949-961. , https://doi.org/10.1080/07294360.2014.890570; Plagiarism (2022) Merriam-Webster Dictionary, , https://www.merriam-webster.com/dictionary/plagiarize, Retrieved October 2, 2022, from; Perkins, M., Academic Integrity considerations of AI Large Language Models in the post-pandemic era: ChatGPT and beyond (2023) Journal of University Teaching &amp; Learning Practice, 20 (2). , https://doi.org/10.53761/1.20.02.07; Potter, J., Wetherell, M., (1987) Discourse and social psychology: Beyond attitudes and behaviour, , Sage; Prentice, F. M., Kinden, C. E., Paraphrasing tools, language translation tools and plagiarism: An exploratory study (2018) International Journal for Educational Integrity, 14 (11). , https://doi.org/10.1007/s40979-018-0036-7; Roe, J., Perkins, M., What are Automated Paraphrasing Tools and how do we address them? A review of a growing threat to academic integrity (2022) International Journal for Academic Integrity, 18, p. 15. , https://doi.org/10.1007/s40979-022-00109-w; Using Internet based paraphrasing tools: Original work, patchwriting or facilitated plagiarism? (2017) International Journal for Educational Integrity, 13 (2). , https://doi.org/10.1007/s40979-016-0013-y; Ronai, K., Plagiarism defined? A multiple case study analysis of institutional definitions (2020) Apples –Journal of Applied Language Studies, 14 (1), pp. 25-46. , http://dx.doi.org/10.17011/apples/urn.202003282558; San Jose, A. E., Academic Integrity of Students during the COVID-19 Pandemic: A mixed method analysis (2022) European Journal of Education and Pedagogy, 3 (4), pp. 97-103. , http://dx.doi.org/10.24018/ejedu.2022.3.4.400; Shi, L., Rewriting and paraphrasing source texts in second language writing (2012) Journal of Second Language Writing, 21, pp. 134-148. , https://doi.org/10.1016/j.jslw.2012.03.003; Suchan, J., Toward an understanding of Arabic persuasion: A western perspective (2014) International Journal of Business Communication, 51 (3), pp. 279-303. , https://doi.org/10.1177/2329488414525401; Sutherland-Smith, W., (2008) Plagiarism, the internet, and student learning: Improving academic integrity, , https://doi.org/10.4324/9780203928370, Routledge; Vygotsky, L. S., (1978) Mind in society: The development of higher psychological processes, , Harvard University Press; Widdowson, H. G., The theory and practice of critical discourse analysis (1998) Applied Linguistics, 19, pp. 136-151. , https://doi.org/10.1093/applin/19.1.136; Zobel, J., Hamilton, M., Managing student plagiarism in large academic departments (2002) Australian Universities Review, 45 (2), pp. 23-30</t>
  </si>
  <si>
    <t>Hammond, K.M., Auckland University of Technology, New Zealand; Lucas, P., Auckland University of Technology, New Zealand; Hassouna, A., Auckland University of Technology, New Zealand; Brown, S., Auckland University of Technology, New Zealand</t>
  </si>
  <si>
    <t>57072809800;7202397186;16202436700;55712937000;</t>
  </si>
  <si>
    <t>Hammond K.M., Lucas P., Hassouna A., Brown S.</t>
  </si>
  <si>
    <t>Huang, R.S.T.; Temerty Faculty of Medicine University of Toronto, 1 King’s College, Cir, Canada; email: ry.huang@mail.utoronto.ca</t>
  </si>
  <si>
    <t>Ray, PP., ChatGPT: A comprehensive review on background, applications, key challenges, bias, ethics, limitations and future scope (2023) Internet of Things and Cyber-Physical Systems, 3, pp. 121-154. , [FREE Full text] [doi]; Kalla, D, Smith, N., Public disclosure and private decisions: equity market execution quality and order routing (2023) SSRN, 8 (3), pp. 827-833. , [FREE Full text]; Bubeck, Sébastien, Varun, Ronen, Johannes, Eric, Ece, Peter, Yin, Yuanzhi, Scott, Harsha, Hamid, Marco, Yi, Sparks of artificial general intelligencearly experiments with GPT-4 (2023), ArXiv Preprint posted online Mar 22, [FREE Full text] [doi]; Rathje, S, Mirea, DM, Sucholutsky, I, Marjieh, R, Robertson, CE, Van Bavel, JJ., GPT is an effective tool for multilingual psychological text analysis (2023), PsyArXiv Preprint posted online May 19, [FREE Full text] [doi]; Zhao, WX, Zhou, K, Li, J, Tang, T, Wang, X., (2023) A survey of large language models, , ArXiv Preprint posted online Mar 31, [doi]; Shakarian, P, Koyyalamudi, A, Ngu, N, Mareedu, L., (2023) An independent evaluation of ChatGPT on mathematical word problems (MWP), , ArXiv Preprint posted online Feb 23, [doi]; Bongini, P, Becattini, F., Is GPT-3 all you need for visual question answering in cultural heritage? ECCV 2022: Computer Vision – ECCV 2022 Workshops, 2023, pp. 268-281. , [FREE Full text] [doi]; Kung, T, Cheatham, M, Medenilla, A, Sillos, C, De Leon, L, Elepaño, C, Performance of ChatGPT on USMLE: potential for AI-assisted medical education using large language models (2023) PLOS Digit Health, 2 (2), p. e0000198. , Feb; [FREE Full text] [doi] [Medline: 36812645]; OpenAI, , https://openai.com/research/gpt-4, [accessed 2023-09-13]; Leung, FH, Herold, J, Iglar, K., Family medicine mandatory assessment of progress (2016) CFP, 62 (5), pp. 263-267. , May; [FREE Full text] [Medline: 4865355]; Karthikeyan, C., Literature review on pros and cons of ChatGPT implications in education (2023) Int J Sci Res, 12 (3), pp. 283-291. , Mar; Agresti, A, Min, Y., Simple improved confidence intervals for comparing matched proportions (2005) Stat Med, 24 (5), pp. 729-740. , Mar 15; [FREE Full text] [doi] [Medline: 15696504]; Nori, Harsha, Nicholas, Scott, Dean, Eric, Capabilities of GPT-4 on medical challenge problems, , ArXiv Preprint posted online Apr 12, 2023 [FREE Full text]; Takagi, S, Watari, T, Erabi, A, Sakaguchi, K., Performance of GPT-3.5 and GPT-4 on the Japanese Medical Licensing Examination: comparison study (2023) JMIR Med Educ, 9, p. e48002. , Jun 29;: [FREE Full text] [doi] [Medline: 37384388]; Jang, D, Kim, CE., (2023) Exploring the potential of large language models in traditional korean medicine: a foundation model approach to culturally-adapted healthcare, , arXiv Preprint posted online Mar 31; Barry, P., An overview of special considerations in the evaluation and management of the geriatric patient (2000) Am J Gastroenterol, 95 (1), pp. 8-10. , Jan; [FREE Full text] [doi] [Medline: 10638552]; Ji, Z, Lee, N, Frieske, R, Yu, T, Su, D, Xu, Y, Survey of hallucination in naturallanguage generation (2023) ACM Comput Surv, 55 (12), pp. 1-38. , Mar 03; [FREE Full text] [doi]; Alkaissi, H, McFarlane, SI., Artificial hallucinations in ChatGPT: implications in scientific writing (2023) Cureus, 15 (2), p. e35179. , Feb; [FREE Full text] [doi] [Medline: 36811129]; Khan, R, Jawaid, M, Khan, AR, Sajjad, M., ChatGPT - reshaping medical education and clinical management (2023) Pak J Med Sci, 39 (2), pp. 605-607. , [FREE Full text] [doi] [Medline: 36950398]; Al-Rukban, M., Guidelines for the construction of multiple choice questions tests (2006) J Fam Community Med, 13 (3), p. 125. , [doi]; Kreptul, D, Thomas, RE., Family medicine resident OSCEs: a systematic review (2016) Educ Prim Care, 27 (6), pp. 471-477. , Nov 13; [doi] [Medline: 27412296]; Gilson, A, Safranek, CW, Huang, T, Socrates, V, Chi, L, Taylor, RA, How does ChatGPT perform on the United States Medical Licensing Examination? The implications of large kanguage models for medical education and knowledge assessment (2023) JMIR Med Educ, 9, p. e45312. , Feb 08;: [FREE Full text] [doi] [Medline: 36753318]; Phillips, W, Herbert, CP., What makes family doctors the leaders we need in health care? (2022) Can Fam Physician, 68 (11), pp. 801-802. , Nov; [FREE Full text] [doi] [Medline: 36376031]</t>
  </si>
  <si>
    <t>Huang, R.S.T., Temerty Faculty of Medicine, University of Toronto, Toronto, ON, Canada; Lu, K.J.Q., Department of Family and Community Medicine, University of Toronto, Toronto, ON, Canada; Meaney, C., Department of Family and Community Medicine, University of Toronto, Toronto, ON, Canada; Kemppainen, J., Department of Family and Community Medicine, University of Toronto, Toronto, ON, Canada; Punnett, A., Temerty Faculty of Medicine, University of Toronto, Toronto, ON, Canada, Division of Haematology, The Hospital for Sick Children, Toronto, ON, Canada; Leung, F.-H., Department of Family and Community Medicine, University of Toronto, Toronto, ON, Canada</t>
  </si>
  <si>
    <t>58539157700;58516656400;35765360800;58695619400;6602252996;26024277400;</t>
  </si>
  <si>
    <t>Huang R.S.T., Lu K.J.Q., Meaney C., Kemppainen J., Punnett A., Leung F.-H.</t>
  </si>
  <si>
    <t>2-s2.0-85176804505</t>
  </si>
  <si>
    <t>Editorial</t>
  </si>
  <si>
    <t>Abeysekera, L., Dawson, P., Motivation and cognitive load in the flipped classroom: definition, rationale and a call for research (2015) Higher Education Research &amp; Development, 34 (1), pp. 1-14. , https://doi.org/10.1080/07294360.2014.934336; Baker, J., The Classroom Flip: Becoming the “Guide by the Side”. [Presentation slides] (2000) Presentation at the CIC Information Technologies Workshop, , http://www.classroomflip.com/presentations, March 31). Pittsburgh, PA. Retrieved from; Baker, J., The origins of “the classroom flip.” (2016) Proceedings of the 1st annual higher education flipped learning conference, , (June) Greeley, Colorado; Belot, H., (2023) Australian academics apologise for false AI-generated allegations against big four consultancy firms, , https://www.theguardian.com/business/2023/nov/02/australian-academics-apologise-for-false-ai-generated-allegations-against-big-four-consultancy-firms, The Guardian, 3 November 2023; Bearman, M., Ajjawi, R., Learning to work with the black box: Pedagogy for a world with artificial intelligence (2023) British Journal of Educational Technology, pp. 1-14. , https://doi.org/10.1111/bjet.13337; Belland, B., Kim, C., Hannafin, M., A framework for designing scaffolds that improve motivation and cognition (2013) Educational Psychologist, 48 (4), pp. 243-270. , https://doi.org/10.1080/00461520.2013.838920; Blaschke, L. M., Heutagogy and lifelong learning: A review of heutagogical practice and self-determined learning (2012) The International Review of Research in Open and Distributed Learning, 13 (1), pp. 56-71. , https://doi.org/10.19173/irrodl.v13i1.1076; Boussen, S., Denis, J. B., Simeone, P., Lagier, D., Bruder, N., Velly, L., ChatGPT and the stochastic parrot: artificial intelligence in medical research (2023) British Journal of Anaesthesia, 131 (4), pp. e120-e121. , https://doi.org/10.1016/j.bja.2023.06.065; Carvalho, L., Martinez-Maldonado, R., Tsai, Y.-S., Markauskaite, L., De Laat, M., How can we design for learning in an AI world? (2022) Computers and Education: Artificial Intelligence, p. 100053. , https://doi.org/10.1016/j.caeai.2022.100053; Chen, J., Zhang, Y., Pan, Y., Xu, P., Guan, C., A Transformer-based deep neural network model for SSVEP classification (2023) Neural Networks, 164, pp. 521-534. , https://doi.org/10.1016/j.neunet.2023.04.045; Choi-Lundberg, D. L., Butler-Henderson, K., Harman, K., Crawford, J., A systematic review of digital innovations in technology-enhanced learning designs in higher education (2022) Australasian Journal of Educational Technology, pp. 133-162. , https://doi.org/10.14742/ajet.7615; Chugh, R., Ruhi, U., Social media in higher education: A literature review of Facebook (2018) Education and Information Technologies, 23, pp. 605-616. , https://https://doi.org/10.1007/s10639-017-9621-2; Cowling, M., Crawford, J., Vallis, C., Middleton, R., Sim, K., The EdTech difference: Digitalisation, digital pedagogy, and technology enhanced learning (2022) Journal of University Teaching &amp; Learning Practice, 19 (2), pp. 1-13. , https://doi.org/10.53761/1.19.2.1; Crawford, J., COVID-19 and higher education: A pandemic response model from rapid adaption to consolidation and restoration (2023) International Education Journal: Comparative Perspectives, 22 (1), pp. 7-29; Crawford, J., Cowling, M., Ashton-Hay, S., Kelder, J. A., Middleton, R., Wilson, G. S., Artificial Intelligence and Authorship Editor Policy: ChatGPT, Bard Bing AI, and beyond (2023) Journal of University Teaching &amp; Learning Practice, 20 (5), p. 1. , https://doi.org/10.53761/1.20.5.01; Crompton, H., Burke, D., The use of mobile learning in higher education: A systematic review (2018) Computers &amp; Education, 123, pp. 53-64. , https://doi.org/10.1016/j.compedu.2018.04.007; Davis, C., Deil-Amen, R., Rios-Aguilar, C., González Canché, M. S., Social media, higher education, and community colleges: A research synthesis and implications for the study of two-year institutions (2015) Community College Journal of Research and Practice, 39 (5), pp. 409-422. , https://doi.org/10.1080/10668926.2013.828665; Deslauriers, (2019) Measuring actual learning versus feeling of learning in response to being actively engaged in the classroom, , https://doi.org/10.1073/pnas.1821936116; Dumbu, E., Chadamoyo, P., Managerial deficiencies in the Small and Medium Enterprises (SMEs) in the craft industry: An empirical evidence of SMEs at Great Zimbabwe in Chief Mugabe’s area (2012) European Journal of Business and Management, 4 (10), pp. 79-85; Eager, B., Brunton, R., Prompting higher education towards AI-augmented teaching and learning practice (2023) Journal of University Teaching &amp; Learning Practice, 20 (5), p. 02. , https://doi.org/10.53761/1.20.5.02; Friesen, N., Lowe, S., The questionable promise of social media for education: Connective learning and the commercial imperative (2012) Journal of Computer Assisted Learning, 28 (3), pp. 183-194. , https://doi.org/10.1111/j.1365-2729.2011.00426.x; Geman, S., Bienenstock, E., Doursat, R., Neural networks and the bias/variance dilemma (1992) Neural Computation, 4 (1), pp. 1-58. , https://doi.org/10.1162/neco.1992.4.1.1; Jones, H., Fitzgerald, R., The Role of Analytics When Supporting Staff and Students in the Virtual Learning Environment (2023) Technology-Enhanced Learning and the Virtual University, , https://doi.org/10.1007/978-981-19-9438-8_11-1, Sankey, M.D., Huijser, H., &amp; Fitzgerald, R. (eds) University Development and Administration. Springer, Singapore; Koh, J., Cowling, M., Jha, M., Sim, K. N., (2022) Collaborating with AIed for better student-teacher reconnection, p. e22126. , https://doi.org/10.14742/apubs.2022.126, ASCILITE Publications, e22126; Khosravi, H., Shum, S. B., Chen, G., Conati, C., Tsai, Y.-S., Kay, J., Knight, S., Gašević, D., Explainable Artificial Intelligence in education (2022) Computers and Education: Artificial Intelligence, 3, p. 100074. , https://doi.org/10.1016/j.caeai.2022.100074; Knight, S., Shibani, A., Abel, S., Gibson, A., Ryan, P., AcaWriter: A Learning Analytics Tool for Formative Feedback on Academic Writing (2020) Journal of Writing Research, 12 (1), pp. 141-186. , https://doi.org/10.17239/jowr-2020.12.01.06, 12); Ifenthaler, D., Yau, J. Y.-K., Utilising learning analytics to support study success in higher education: a systematic review (2020) Educational Technology Research and Development, 68 (4), pp. 1961-1990. , https://doi.org/10.1007/s11423-020-09788-z; Knowles, M., Andragogy: An emerging technology for adult learning (2013) Boundaries of adult learning, pp. 82-98. , R. Edwards, A. Hanson, and P. Raggatt (eds), Routledge. Kolb, D. A. (1984). Experiential Learning. Englewood Cliffs; Lodge, J. M., Thompson, K., Corrin, L., Mapping out a research agenda for generative artificial intelligence in tertiary education (2023) Australasian Journal of Educational Technology, 39 (1), pp. 1-8. , https://doi.org/10.14742/ajet.8695; Newell, S., Beynen, T., Mills, J., Mason, J., Chia, I., Lai, E., Fitzgerald, R., Hall, K., Equitable integration of GenAI in higher education: Insights from current practices and educator attitudes Using generative AI effectively in higher education: Sustainable and ethical artificial intelligence for the common good, , (in press) Beckingham, S., Lawrence, J., Powell, S. and Hartley, P. (Eds), Routledge; Neumann, M., Baumann, L., Agile methods in higher education: Adapting and using eduscrum with real world projects (2021) 2021 IEEE Frontiers in Education Conference (FIE), pp. 1-8. , https://doi.org/10.1109/FIE49875.2021.9637344, (October) IEEE; Perkins, M., Academic Integrity considerations of AI Large Language Models in the post-pandemic era: ChatGPT and beyond (2023) Journal of University Teaching &amp; Learning Practice, 20 (2), p. 07. , https://doi.org/10.53761/1.20.02.07; Purvis, A., Beckingham, S., A decade of social media for learning: A systematic review of papers (2024) Journal of University Teaching and Learning Practice, , In-Press; Reimann, P., Connecting learning analytics with learning research: the role of design-based research (2016) Learning: Research and Practice, 2 (2), pp. 130-142. , https://doi.org/10.1080/23735082.2016.1210198; Riley, M., Byrne, W., Finke, M., Khudanpur, S., Ljolje, A., McDonough, J., Zavaliagkos, G., Stochastic pronunciation modelling from hand-labelled phonetic corpora (1999) Speech Communication, 29 (2-4), pp. 209-224; Rudolph, J., Tan, S., Tan, S., ChatGPT: Bullshit spewer or the end of traditional assessments in higher education? (2023) Journal of Applied Learning and Teaching, 6 (1). , https://doi.org/10.37074/jalt.2023.6.1.9, Saettler, P. (2004). The evolution of American educational technology. IAP; Sadaf, A., Newby, T. J., Ertmer, P. A., Exploring pre-service teachers' beliefs about using Web 2.0 technologies in K-12 classroom (2012) Computers &amp; Education, 59 (3), pp. 937-945. , https://doi.org/10.1016/j.compedu.2012.04.001; Safi, M., Chung, J., Pradhan, P., Review of augmented reality in aerospace industry (2019) Aircraft Engineering and Aerospace Technology, 91 (9), pp. 1187-1194. , https://https://doi.org/10.1108/AEAT-09-2018-0241; Sankey, M.D., Huijser, H., Fitzgerald, R., The Virtual University in Practice (2023) Technology-Enhanced Learning and the Virtual University, , https://doi.org/10.1007/978-981-99-4170-4_31, Sankey, M.D., Huijser, H. &amp; Fitzgerald, R. (eds) University Development and Administration. Springer, Singapore; Smolansky, A., Cram, A., Raduescu, C., Zeivots, S., Huber, E., Kizilcec, R. F., Educator and Student Perspectives on the Impact of Generative AI on Assessments in Higher Education (2023) Proceedings of the Tenth ACM Conference on Learning @ Scale, pp. 378-382. , https://doi.org/10.1145/3573051.3596191; Tess, P., The role of social media in higher education classes (real and virtual)–A literature review (2013) Computers in Human Behavior, 29 (5), pp. A60-A68; (2020) UT Ends Use Of Algorithm To Evaluate Computer Science PhD Applicants, , https://www.texasstandard.org/stories/ut-quietly-ends-use-of-algorithm-to-evaluate-computer-science-phd-applicants/, Texas Standard. Accessed 1 November 2023; Thorp, H. H., ChatGPT is fun, but not an author (2023) Science, 379 (6630), pp. 313-313. , https://doi.org/10.1126/science.adg7879; Vallis, C., Wilson, S., Gozman, D., Buchanan, J., Student Perceptions of AI-Generated Avatars in Teaching Business Ethics: We Might not be Impressed (2023) Postdigital Science and Education, , https://doi.org/10.1007/s42438-023-00407-7; Yang, S. J. H., Ogata, H., Matsui, T., Chen, N.-S., Human-centered artificial intelligence in education: Seeing the invisible through the visible (2021) Computers and Education: Artificial Intelligence, 2, p. 100008. , https://doi.org/10.1016/j.caeai.2021.100008</t>
  </si>
  <si>
    <t>AIED; Andragogy; Bard; ChatGPT; higher education; large language model</t>
  </si>
  <si>
    <t>The explosion of generative artificial intelligence into the mainstream of society some twelve months ago has seriously challenged learning and teaching practice. Since then, AI companies such as OpenAI are constantly improving their language models and releasing new features to make them more capable and useful. So, given there have been many disruptors in the past and emerging disruptions in the present, what can we learn in this situation, where Generative AI stands poised to challenge the purpose and relevance of assessment models? From our examples, disruptive technologies only have a major impact when they positively transform practice and are informed by pedagogic models and learning theory. GenAI as a disruptor is only likely to have this positive impact when it informs quality learning and teaching practice. We should be focused on the opportunities that GenAI now presents to higher education. It is argued here and elsewhere that the relative weakness of GenAI is that it creates poor quality output, delivering uninformed, incorrect, biased and bland responses. In itself, this offers opportunities for ‘teachable moments’ (Newell et al, 2023) and gives us room to support students with their capabilities in an AI informed world. Historically, these opportunities enable higher education to grow and progress. What we have learned so far would appears to be that for research to contribute to the literature, they needed to be informed by it. Likewise, need to ensure that pedagogy, andragogy, and heutagogy come first. We also need to remember that people processes happen, artificial intelligence happens around them, and that artificial intelligence comes after human intelligence. © 2023, University of Wollongong. All rights reserved.</t>
  </si>
  <si>
    <t>Crawford, J., University of Tasmania, Australia; Vallis, C., University of Sydney, Australia; Yang, J., University of Warwick, United Kingdom; Fitzgerald, R., University of Queensland, Australia; O'dea, C., University of Huddersfield, United Kingdom</t>
  </si>
  <si>
    <t>University of Tasmania, Australia; University of Sydney, Australia; University of Warwick, United Kingdom; University of Queensland, Australia; University of Huddersfield, United Kingdom</t>
  </si>
  <si>
    <t>https://www.scopus.com/inward/record.uri?eid=2-s2.0-85176804505&amp;doi=10.53761%2f1.20.7.01&amp;partnerID=40&amp;md5=64c3db63353ef9d7e73060fe09b535b6</t>
  </si>
  <si>
    <t>Editorial: Artificial Intelligence is Awesome, but Good Teaching Should Always Come First.</t>
  </si>
  <si>
    <t>57196083515;57316350300;55864866000;56492257500;56704753900;</t>
  </si>
  <si>
    <t>Crawford J., Vallis C., Yang J., Fitzgerald R., O'dea C.</t>
  </si>
  <si>
    <t>Fowler, T.; Barking Havering and Redbridge University Hospitals NHS TrustUnited Kingdom; email: thomas.fowler6@nhs.net</t>
  </si>
  <si>
    <t>Krizhevsky, A., Sutskever, I., Hinton, G.E., Imagenet classification with deep Convolutional neural networks (2012) Advances in Neural Information Processing Systems, pp. 1097-1105; De Fauw, J., Ledsam, J.R., Romera-Paredes, B., Clinically applicable deep learning for diagnosis and referral in retinal disease (2018) Nat Med, 24, pp. 1342-1350. , http://dx.doi.org/10.1038/s41591-018-0107-6; Vaswani, A., Shazeer, N., Parmar, N., Al, E., Attention is all you need (2017) Advances in Neural Information Processing Systems, pp. 5998-6008; LaMDA: Open-domain Conversational Agents, , https://blog.google/technology/ai/lamda, Google AI Blog, [Accessed 11 Aug 2023]; Bommasani, R., Hudson, D.A., Adeli, E., Al, E., On the Opportunities and Risks of Foundation Models; Introducing GPT-4, , https://openai.com/research/gpt-4, OpenAI, [Accessed 11 2023]; Bard, , https://bard.google.com/faq, Google, [Accessed 11 2023]; Antaki, F., Touma, S., Milad, D., Evaluating the performance of chatgpt in ophthalmology: An analysis of its successes and shortcomings (2023) Ophthalmol Sci, 3. , http://dx.doi.org/10.1016/j.xops.2023.100324, 100324; Mihalache, A., Huang, R.S., Popovic, M.M., Performance of an artificial intelligence chatbot in ophthalmic knowledge assessment (2023) JAMA Ophthalmol, 141, pp. 798-800. , http://dx.doi.org/10.1001/jamaophthalmol.2023.2754; Cai, L.Z., Alabiad, C., Reply to comment on: Performance of generative large language models on ophthalmology board style questions (2023) Am J Ophthalmol, , http://dx.doi.org/10.1016/j.ajo.2023.07.030; Moshirfar, M., Altaf, A.W., Stoakes, I.M., Artificial intelligence in ophthalmology: A comparative analysis of GPT-3.5, GPT-4, and human expertise in answering statpearls questions (2023) Cureus, 15. , http://dx.doi.org/10.7759/cureus.40822, e40822; (2023) GPT-4: Scaling Up Language Models, , https://cdn.openai.com/papers/gpt-4.pdf, OpenAI; (2023) Part 1 Frcophth Exam, , https://www.rcophth.ac.uk/examinations/rcophth-exams/part-1-frcophth-exam, The Royal College of Ophthalmologists; (2016) Part 1 Frcophth Sample MCQs, , https://www.rcophth.ac.uk/wp-content/uploads/2022/01/Part-1-FRCOphth-Sample-MCQs.pdf, The Royal College of Ophthalmologists; Nori, H., King, N., McKinney, S.M., Al, E., Capabilities of GPT-4 on Medical Challenge Problems; (2022) The Regulation of Artificial Intelligence As A Medical Device, , https://assets.publishing.service.gov.uk/government/uploads/system/uploads/attachment_data/file/1120503/RHC_regulation_of_AI_as_a_Medical_Device_report.pdf, Gov.uk</t>
  </si>
  <si>
    <t>Fowler, T., Department of Medicine, Barking Havering and Redbridge University Hospitals NHS Trust, London, United Kingdom; Pullen, S., Department of Anaesthetics, Princess Alexandra Hospital, Harlow, United Kingdom; Birkett, L., Emergency Medicine, Royal Free Hospital, London, United Kingdom</t>
  </si>
  <si>
    <t>58484005700;58484141500;57756588600;</t>
  </si>
  <si>
    <t>Fowler T., Pullen S., Birkett L.</t>
  </si>
  <si>
    <t>Kirwan, A.; Critical Skills, Room 8, Rowan House, Ireland; email: adrian.kirwan@mu.ie</t>
  </si>
  <si>
    <t>Alkaissi, H., McFarlane, S., Artificial Hallucinations in ChatGPT: Implications in Scientific Writing (2023) Cureus, 15 (2); Altman, S., (2022), https://twitter.com/sama/status/1601731295792414720, @sama).,. ChatGPT is Incredibly Limited, but Good Enough at Some Things to Create a Misleading Impression of Greatness. It’s a Mistake to Be Relying on It for Anything Important Right Now. It’s a Preview of Progress; We Have Lots of Work to do on Robustness and Truthfulness. Twitter, December, 11, 2022, 12.11 am; (2015), https://www.ala.org/acrl/standards/ilframework, Framework for Information Literacy for Higher Education Accessed 4 Sept. 2023; (2020), Publication Manual of the American Psychological Association, (7th ed.). Accessed 12 May 2023; Armstrong, P., (2010), https://cft.vanderbilt.edu/guides-sub-pages/blooms-taxonomy/, Bloom’s Taxonomy. Vanderbilt University Center for Teaching. Accessed 10 May 2023; Ayers, J.W., Poliak, A., Dredze, M., Leas, E.C., Zhu, Z., Kelley, J.B., Faix, D.J., Comparing Physician and Artificial Intelligence Chatbot Responses to Patient Questions Posted to a Public Social Media Forum (2023) JAMA Internal Medicine, 183 (6), pp. 589-596; Barnett, S., (2023), http://www.wired.com%2Fstory%2Fchatgpt-college-university-plagiarism%2F, ChatGPT Is Making Universities Rethink Plagiarism WIRED, Accessed 11 April 2023; Bartlett, T., (2010) Ireland: A History, , Cambridge: Cambridge University Press; Bayerlein, L., Hora, M.T., Dean, B.A., Perkiss, S., Developing Skills in Higher Education for Post-pandemic Work (2021) Labour and Industry, 31 (4), pp. 418-429; Bender, E.M., Gebru, T., McMillan-Major, A., Shmitchell, S., (2021), On the Dangers of Stochastic Parrots: Can Language Models Be Too Big? FAccT ‘21: Proceedings of the 2021 ACM Conference on Fairness, Accountability, and Transparency, : 610–623; Blikstein, P., Blikstein, I., Do educational Technologies Have Politics? A Semiotic Analysis of the Discourse of Educational Technologies and Artificial Intelligence in Education (2021) Algorithmic Rights and Protections for Children; Burgess, M., (2023), https://www.wired.co.uk/article/italy-ban-chatgpt-privacy-gdpr, ChatGPT Has a Big Privacy Problem WIRED, 4 April 2023, Accessed 12 April 2023; Burrell, J., (2023), https://techpolicy.press/chatgpt-and-copyright-the-ultimate-appropriation/, ChatGPT and Copyright: The Ultimate Appropriation Technology and Democracy, Tech Policy Press, 11 April 2023. Accessed 12 April 2023; Cannon, J., Crowcroft, R., (2015) The Oxford Companion to British History, , 2nd ed, Oxford: Oxford University Press; Cassidy, C., (2023), https://www.theguardian.com/australia-news/2023/jan/10/universities-to-return-to-pen-and-paper-exams-after-students-caught-using-ai-to-write-essays, Australian Universities to Return to ‘Pen and Paper’ Exams After Students Caught Using AI to Write Essays Guardian, 10 Jan. 2023, Accessed 1 May 2023; Ceres, P., (2023), https://www.wired.com/story/chatgpt-is-coming-for-classrooms-don’t-panic/, ChatGPT Is Coming for Classrooms. Don’t Panic Wired, 26 Jan. 2023. Accessed 11 April 2023; Chang, K.K., Cramer, M., Soni, S., Bamman, D., (2023), Speak, Memory: An Archaeology of Books Known to ChatGPT/GPT-4 Accessed 2 May 2023. Pre-print (Version 1). Arxiv; Concannon, F., Costello, E., Farrell, O., Farrelly, T., Graves Wolf, L., Editorial: There’s an AI for That: Rhetoric, Reality, and Reflections on EdTech in the Dawn of GenAI (2023) Irish Journal of Technology Enhanced Learning, 7 (1); Cotton, D.R.E., Cotton, P.A., Reuben Shipway, J., Chatting and Cheating. Ensuring Academic Integrity in the Era of Chatgpt (2023) Innovations in Education and Teaching International, , Advance online publication; Cronan, T.P., Mullins, J.K., Douglas, D.E., Further Understanding Factors that Explain Freshman Business Students’ Academic Integrity Intention and Behavior: Plagiarism and Sharing Homework (2018) Journal of Business Ethics, 147, pp. 197-220; Dick, S.A., Coded Conduct: Making MACSYMA Users and the Automation of Mathematics (2020) BJHS Themes, 5, pp. 205-224; Donnelly, J.S., The Administration of Relief, 1846–7 (1989) A New History of Ireland V: Ireland under the Union, I, pp. 1801-1870. , Vaughan W.E., (ed), Oxford: Oxford University Press,. edited by; Eloundou, T., Manning, S., Mishken, P., Rock, D., GPTs are GPTs: An Early Look at the Labor Market Impact Potential of Large Language Models” PREPRINT (Version 1) (2023) Arxiv, , Accessed 4 May 2023; Elsen-Rooney, M., (2023), https://ny.chalkbeat.org/2023/1/3/23537987/nyc-schools-ban-chatgpt-writing-artificial-intelligence, NYC Education Department Blocks ChatGPT on School Devices, Networks Chalkbeat, 3 Jan. 2023. Accessed 10 April 2023; Fraser, D., (2023), https://www.cbc.ca/news/politics/privacy-commissioner-investigation-openai-chatgpt-1.6801296, Federal Privacy Watchdog Probing OpenAI, ChatGPT Following Complaint CBC, 4 April 2023. Accessed 12 April 2023; Gao, C.A., Howard, F.M., Markov, N.S., Comparing Scientific Abstracts Generated by ChatGPT to Real Abstracts with Detectors and Blinded Human Reviewers (2023) NPJ Digital Medicine, 6 (75). , Accessed 8 Nov. 2023; Goertzel, B., (2023), Generative AI vs. AGI: The Cognitive Strengths and Weaknesses of Modern LLMs Accessed 9 Nov. 2023. Preprint (Version 1). Arxiv; Gold, J., (2023), https://www.computerworld.com/article/3694652/chatgpt-learns-to-forget-openai-implements-data-privacy-controls.html, ChatGPT Learns to Forget: OpenAI Implements Data Privacy Controls Computer World, 26 April 2023. Accessed 3 May 2023; Gray, P., Famine and Land, 1845–80 (2014) The Oxford Handbook of Modern Irish History, pp. 544-561. , Jackson A., (ed), Oxford: Oxford University Press,. edited by; Hekkert, M.P., Suurs, R.A.A., Negro, S.O., Kuhlmann, S., Smits, R.E.H.M., Functions of Innovation Systems: A New Approach for Analysing Technological Change (2007) Technologica Forecasting and Social Change, 74, pp. 413-432; Hern, A., Milmo, D., (2023), https://www.theguardian.com/technology/2023/apr/10/i-didnt-give-permission-do-ais-backers-care-about-data-law-breaches, I Didn’t Give Permission’: Do AI’s Backers Care about Data Law Breaches? The Guardian, 10 April 2023. Accessed 12 April 2023; Johnson, D., Goodman, R., Patrinely, J., Stone, C., Zimmerman, E., Donald, R., Chang, S., (2023), Assessing the Accuracy and Reliability of AI-Generated Medical Responses: An Evaluation of the Chat-GPT Model PREPRINT (Version 1), Research Square; King, M.R., A Conversation on Artificial Intelligence, Chatbots, and Plagiarism in Higher Education (2023) Cellular and Molecular Bioengineering, 16 (1-2), pp. 1-2; Krsmanovic, M., Using First-Year Seminar Courses to Improve Performance Funding Outcomes–A Case Study of the State of Florida (2019) Voices of Reform, 2 (1), pp. 24-44; Lund, S., Madgavkar, J., Smit, S., Ellingrud, K., Robinson, O., (2021), https://www.mckinsey.com/featured-insights/future-of-work/the-future-of-work-after-covid-19#/, The future of work after COVID-19. McKensey Global Institute. Accessed 4 May 2023; Maxson, C., (2022), https://sc.edu/nrc/system/pub_files/1656346819_0.pdf, Community College Students Deriving Value from a First-Year Seminar Curriculum. Research Briefs, National Resource Center for the First-year Experience and Students Transition., Accessed 4 Sept 2023. zz; Milmo, D., (2023), https://www.theguardian.com/technology/2023/mar/31/italy-privacy-watchdog-bans-chatgpt-over-data-breach-concerns, Italy’s Privacy Watchdog Bans ChatGPT Over Data Breach Concerns. The Guardian, 1 April 2023. Accessed 9 April 2023; Mollick, E.R., Mollick, L., (2023), New Modes of Learning Enabled by AI Chatbots: Three Methods and Assignments. Preprint, SSRN; Mukherjee, S., Pollina, E., More, R., (2023), https://www.reuters.com/technology/germany-principle-could-block-chat-gpt-if-needed-data-protection-chief-2023-04-03/, Italy’s ChatGPT Ban Attracts EU Privacy Regulators. Reuters, 3 April 2023. Accessed 12 April 2023; (2023) Generative Artificial Intelligence: Guidelines for Educators, , Ireland: Quality and Qualifications Ireland; (2016), https://hub.teachingandlearning.ie/resource/assessment-of-for-and-as-learning-continuing-the-debate-and-creating-a-focus/, Assessment OF, FOR and AS Learning: Continuing the Debate and Creating a Focus. Accessed 4 Sept. 2023; (2023), https://openai.com/blog/our-approach-to-ai-safety, Our Approach to AI Safety Accessed 30 August 2023; https://help.openai.com/en/articles/4936856-what-are-tokens-and-how-to-count-them, What are Tokens and How to Count Them? Accessed 4 May 2023; Oudshoorn, N., Pinch, T., (2003) How Users Matter: The Co-construction of Users and Technology, , Cambridge, MA: MIT Press; Rudolph, J., Tan, S., Tan, S., ChatGPT: Bullshit Spewer or the end of Traditional Assessment in Higher Education? (2023) Journal of Applied Learning &amp; Teaching, 6 (1); Rudolph, J., Tan, S., Tan, S., War of the Chatbots: Bard, Bing Chat, ChatGPT, Ernie and Beyond. The new AI Gold Rush and Its Impact on Higher Education (2023) Journal of Applied Learning &amp; Teaching, 6 (1); Sabzalieva, E., Valentini, A., (2023), https://unesdoc.unesco.org/ark:/48223/pf0000385146, ChatGPT and Artificial Intelligence Higher Education: Quick Start Guide,. UNESCO, International Institute for Higher Education Latin America and the Carribbean; Southworth, J., Migliaccio, K., Glover, J., Glover, J., Reed, D., McCarty, C., Brendemuhl, J., Thomas, A., Developing a Model for AI Across the Curriculum: Transforming the Higher Education Landscape via Innovation in AI Literacy (2023) Computers and Education: Artificial Intelligence, 4; Spataro, J., (2023), https://blogs.microsoft.com/blog/2023/03/16/introducing-microsoft-365-copilot-your-copilot-for-work/, Introducing Microsoft 365 CopilotYour Copilot for Work. Office Microsoft Blog, 16 March 2023. Accessed 3 May 2023; Stahl, B.C., Eke, D., The Ethics of ChatGPT–Exploring the Ethical Issues of an Emerging Technology (2024) Information Management, 74; Stokel-Walker, C., AI Bot ChatGPT Writes Smart Essays–Should Professors Worry? (2023) Nature, 613, pp. 620-621; Stokel-Walker, C., ChatGPT Listed as Author on Research Papers: Many Scientists Disapprove (2023) Nature, 613, pp. 621-622; https://www.turnitin.com/products/features/ai-writing-detection, Turnitin’s AI Writing Detection Capabilities. Accessed 5 May 2023; van Dis, E.A.M., Bollen, J., Willem, Z., van Rooji, R., Bockting, C.L., ChatGPT: Five Priorities for Research (2023) Nature, 614, pp. 224-226; Volpicelli, G., (2023), https://www.politico.eu/article/eu-plan-regulate-chatgpt-openai-artificial-intelligence-act/, ChatGPT Broke the EU Plan to Regulate AI. Politico., Accessed 30 August 2023; Wallbank, A.J., (2023), https://www.timeshighereducation.com/campus/prompt-engineering-academic-skill-model-effective-chatgpt-interactions, Prompt Engineering as Academic Skill: A Model for Effective ChatGPT Interactions. Times Higher Education., Accessed 2 May 2023; Weale, S., (2023), https://www.theguardian.com/technology/2023/jan/13/end-of-the-essay-uk-lecturers-assessments-chatgpt-concerns-ai, Lecturers Urged to Review Assessments UK Amid Concerns Over New AI Tool. The Guardian, 13 January 2023. Accessed 3 March 2023; Wolfram, S., (2023), https://writings.stephenwolfram.com/2023/02/what-is-chatgpt-doing-and-why-does-it-work/, What Is ChatGPT Doing … and Why Does It Work? Accessed 2 April 2023; Zhai, X., (2023), ChatGPT User Experience: Implications for Education Preprint, SSRN</t>
  </si>
  <si>
    <t>Kirwan, A., Critical Skills, Office of the Dean of Teaching and Learning, Maynooth University, Maynooth, Ireland</t>
  </si>
  <si>
    <t>57198812834;</t>
  </si>
  <si>
    <t>6 November 2023 through 7 November 2023</t>
  </si>
  <si>
    <t>7th Workshop on Natural Language for Artificial Intelligence, NL4AI 2023</t>
  </si>
  <si>
    <t>Bassignana E.Brunato D.Polignano M.Ramponi A.</t>
  </si>
  <si>
    <t>Siragusa, I.; Dipartimento di Ingegneria, Viale delle Scienze, Edificio 6, Italy; email: irene.siragusa02@unipa.it</t>
  </si>
  <si>
    <t>Bassignana, E., Brunato, D., Polignano, M., Ramponi, A., Preface to the Seventh Workshop on Natural Language for Artificial Intelligence (NL4AI 2023) (2023) CEUR Workshop Proceedings, 3551; Dwivedi, Y. K., Kshetri, N., Hughes, L., Slade, E. L., Jeyaraj, A., Kar, A. K., Baabdullah, A. M., Ahuja, M., so what if chatgpt wrote it?" multidisciplinary perspectives on opportunities, challenges and implications of generative conversational ai for research, practice and policy (2023) International Journal of Information Management, 71, p. 102642; Borji, A., (2023) A categorical archive of chatgpt failures, , arXiv:2302.03494; Ray, P. P., Chatgpt: A comprehensive review on background, applications, key challenges, bias, ethics, limitations and future scope (2023) Internet of Things and Cyber-Physical Systems; Lewis, P., Perez, E., Piktus, A., Petroni, F., Karpukhin, V., Goyal, N., Küttler, H., Rocktäschel, T., Retrieval-augmented generation for knowledge-intensive nlp tasks (2020) Advances in Neural Information Processing Systems, 33, pp. 9459-9474; Touvron, H., Martin, L., Stone, K., Albert, P., Almahairi, A., Babaei, Y., Bashlykov, N., Bhosale, S., (2023) Llama 2: Open foundation and fine-tuned chat models, , arXiv preprint arXiv:2307.09288; Johnson, J., Douze, M., Jégou, H., Billion-scale similarity search with GPUs (2019) IEEE Transactions on Big Data, 7, pp. 535-547; Brown, T., Mann, B., Ryder, N., Subbiah, M., Kaplan, J. D., Dhariwal, P., Neelakantan, A., Askell, A., Language models are few-shot learners (2020) Advances in neural information processing systems, 33, pp. 1877-1901; Vaswani, A., Shazeer, N., Parmar, N., Uszkoreit, J., Jones, L., Gomez, A. N., Kaiser, Ł., Polosukhin, I., Attention is all you need (2017) Advances in neural information processing systems, 30; Ji, Z., Lee, N., Frieske, R., Yu, T., Su, D., Xu, Y., Ishii, E., Fung, P., Survey of hallucination in natural language generation (2023) ACM Comput. Surv, 55. , https://doi.org/10.1145/3571730; Holtzman, A., Buys, J., Du, L., Forbes, M., Choi, Y., (2019) The curious case of neural text degeneration, , arXiv preprint arXiv:1904.09751; Zhao, Z., Wallace, E., Feng, S., Klein, D., Singh, S., Calibrate before use: Improving few-shot performance of language models (2021) Proceedings of the 38th International Conference on Machine Learning, volume 139 of Proceedings of Machine Learning Research, PMLR, pp. 12697-12706. , https://proceedings.mlr.press/v139/zhao21c.html, M. Meila, T. Zhang (Eds)</t>
  </si>
  <si>
    <t>We thank all the CHILab team, in particular Dr. Salvatore Contino and PhD students Luca Cruciata, Gaetano Pottino and Paolo Sortino, that contributed in generating the corpus with the scraping and implemented the demonstration interface. This work is supported by the PO FESR 2014-2020 grant n. 086201000543, “SCuSi - Smart Culture in Sicily”.</t>
  </si>
  <si>
    <t>This paper illustrates the architecture and training of Unipa-GPT, a Large Language Model based chatbot developed for assisting students in choosing a bachelor/master degree course at the University of Palermo. Unipa-GPT relies on gpt-3.5-turbo, it was presented in the context of the European Researchers' Night SHARPER event. In our experiments we adopted both the Retrieval Augmented Generation (RAG) approach and fine-tuning to develop the system. The whole architecture of Unipa-GPT is presented, both the RAG and the fine-tuned systems are compared, and a brief discussion on their performance is reported. © 2023 Copyright for this paper by its authors.</t>
  </si>
  <si>
    <t>Siragusa, I., Dipartimento di Ingegneria, Università Degli Studi di Palermo, Viale delle Scienze, Edificio 6, Palermo, 90128, Italy; Pirrone, R., Dipartimento di Ingegneria, Università Degli Studi di Palermo, Viale delle Scienze, Edificio 6, Palermo, 90128, Italy</t>
  </si>
  <si>
    <t>58636100700;6603614874;</t>
  </si>
  <si>
    <t>Siragusa I., Pirrone R.</t>
  </si>
  <si>
    <t>Crawford, J.; University of TasmaniaAustralia; email: Joseph.crawford@utas.edu.au</t>
  </si>
  <si>
    <t>Abowd, G. D., Dey, A. K., Brown, P. J., Davies, N., Smith, M., Steggles, P., Towards a better understanding of context and context-awareness (1999) Lecture notes in compuer science: Vol. 1707. Handheld and ubiquitous computing, pp. 304-307. , https://link.springer.com/chapter/10.1007/3-540-48157-5_29, H.-W. Gellersen (Ed), –). Springer; Adams, N., Little, T.D., Ryan, R.M., Self-determination theory (2017) Development of self-determination through the life-course, pp. 47-34. , https://link.springer.com/chapter/10.1007/978-94-024-1042-6_4, M. L. Wehmeyer, K. A. Shogren, T. D. Little, &amp; S. Lopez (Eds), –). Springer; Aldao, A., The future of emotion regulation research: Capturing context (2013) Perspectives on Psychological Science, 8 (2), pp. 155-172. , https://doi.org/10.1177/1745691612459518; Allen, K. A., What is the actual impact of measuring academic notions of impact? (2019) The Educational and Developmental Psychologist, 36 (2), pp. 33-34. , https://doi.org/10.1017/edp.2019.16; Allen, K. A., Butler-Henderson, K., Reupert, A., Longmuir, F., Finefter-Rosenbluh, I., Berger, E., Grove, C., Fleer, M., Work like a girl: Redressing gender inequity in academia through systemic solutions (2021) Journal of University Teaching &amp; Learning Practice, 18 (3), p. 3. , https://doi.org/10.53761/1.18.3.3, Article; Allen, K. A., Donoghue, G. M., Pahlevansharif, S., Jimerson, S. R., Hattie, J. A. C., Addressing academic rejection: Recommendations for reform (2020) Journal of University Teaching &amp; Learning Practice, 17 (5), p. 19. , https://doi.org/10.53761/1.17.5.19, Article; Beasy, K., Crawford, J., Young, S., Kelder, J., A quantitative study on Australian doctoral students’ perceptions of employability preparedness: How gender and age matter (2022) Journal of Further and Higher Education, 46 (8), pp. 1092-1106. , https://doi.org/10.1080/0309877X.2022.2050687; Chu, H. C., Hwang, G. H., Tu, Y. F., Yang, K. H., Roles and research trends of artificial intelligence in higher education: A systematic review of the top 50 most-cited articles (2022) Australasian Journal of Educational Technology, 38 (3), pp. 22-42. , https://doi.org/10.14742/ajet.7526; (2018) Australian code for the responsible conduct of research, , https://www.nhmrc.gov.au/about-us/publications/australian-code-responsible-conduct-research-2018, National Health and Medical Research Council; Crawford, J., Allen, K-A., Pani, B., Cowling, M., (2024) When artificial intelligence replaces humans in higher education: The cost of loneliness, student success, and retention, , [Manuscript submitted for publication]; Crawford, J., Cowling, M., Allen, K., Leadership is needed for ethical ChatGPT: Character, assessment, and learning using artificial intelligence (AI) (2023) Journal of University Teaching &amp; Learning Practice, 20 (3). , https://doi.org/10.53761/1.20.3.02; Crawford, J., Cowling, M., Ashton-Hay, S., Kelder, J. A., Middleton, R., Wilson, G. S., Artificial intelligence and authorship editor policy: ChatGPT, Bard Bing AI, and beyond (2023) Journal of University Teaching &amp; Learning Practice, 20 (5). , https://ro.uow.edu.au/jutlp/vol20/iss5/1/; Deci, E. L., Ryan, R. M., The" what" and" why" of goal pursuits: Human needs and the self-determination of behavior (2000) Psychological Inquiry, 11 (4), pp. 227-268. , https://doi.org/10.1207/S15327965PLI1104_01; Dempere, J., Modugu, K., Hesham, A., Ramasamy, L. K., The impact of ChatGPT on higher education (2023) Frontiers in Education, 8. , https://doi.org/10.3389/feduc.2023.1206936; Denis, C., Colet, N. R., Lison, C., Doctoral supervision in North America: Perception and challenges of supervisor and supervisee (2019) Higher Education Studies, 9 (1), pp. 30-39. , https://doi.org/10.5539/hes.v9n1p30; Eager, B., Brunton, R., Prompting higher education towards AI-augmented teaching and learning practice (2023) Journal of University Teaching &amp; Learning Practice, 20 (5). , https://doi.org/10.53761/1.20.5.02; Evans, T., Macauley, P., Pearson, M., Tregenza, K., A decadic review of PhDs in Australia (2003) Educational research, risks and dilemmas—Proceedings of the NZARE/AARE Joint Conference, pp. 1-16. , https://www.aare.edu.au/data/publications/2003/eva03090.pdf, Australian Association for Research in Education; Geary, E., Allen, K. A., Gamble, N., Pahlevansharif, S., Online learning during the COVID-19 pandemic: Does social connectedness and learning community predict self-determined needs and course satisfaction? (2023) Journal of University Teaching &amp; Learning Practice, 20 (1). , https://ro.uow.edu.au/jutlp/vol20/iss1/13; Hughes, R. T., Zhu, L., Bednarz, T., Generative adversarial networks–enabled human–artificial intelligence collaborative applications for creative and design industries: A systematic review of current approaches and trends (2021) Frontiers in Artificial Intelligence, 4, p. 604234. , https://doi.org/10.3389/frai.2021.604234, Article; Igumbor, J. O., Bosire, E. N., Karimi, F., Katahoire, A., Allison, J., Muula, A. S., Peixoto, A., Ajuwon, A., Effective supervision of doctoral students in public and population health in Africa: CARTA supervisors’ experiences, challenges and perceived opportunities (2022) Global Public Health, 17 (4), pp. 496-511. , https://doi.org/10.1080/17441692.2020.1864752; Janssen, V., Indirect tracking of drop bears using GNSS technology (2012) Australian Geographer, 43 (4), pp. 445-452. , https://doi.org/10.1080/00049182.2012.731307; Jeyaraj, J. J., Wald, N., Harland, T., Higher education teachers’ experiences of becoming research active: Striving for university status in the Global South (2021) Asia Pacific Education Review, 22, pp. 417-425. , https://doi.org/10.1007/s12564-021-09688-8; Jiang, S., Yan, X., Research on the effect of supervisor feedback for undergraduate thesis writing (2020) English Language Teaching, 13 (1), pp. 43-50. , https://doi.org/10.5539/elt.v13n1p43; Kasneci, E., Sessler, K., Küchemann, S., Bannert, M., Dementieva, D., Fischer, F., Gasser, U., Kasneci, G., ChatGPT for good? On opportunities and challenges of large language models for education (2023) Learning and Individual Differences, 103, p. 102274. , https://doi.org/10.1016/j.lindif.2023.102274, Article; Kaur, A., Kumar, V., Noman, M., Partnering with doctoral students in research supervision: Opportunities and challenges (2022) Higher Education Research &amp; Development, 41 (3), pp. 789-803. , https://doi.org/10.1080/07294360.2020.1871326; Kellerman, B., (2022) Leader of the year – 2022, , https://barbarakellerman.com/leader-of-the-year-2022/, (December 28). BK Barbara Kellerman; Kelly, A., Sullivan, M., Strampel, K., Generative artificial intelligence: University student awareness, experience, and confidence in use across disciplines (2023) Journal of University Teaching &amp; Learning Practice, 20 (6). , https://doi.org/10.53761/1.20.6.12; Kenny, J., Fluck, A. E., Emerging principles for the allocation of academic work in universities (2022) Higher Education, 83 (6), pp. 1371-1388. , https://doi.org/10.1007/s10734-021-00747-y; Khosa, A., Wilkin, C., Burch, S., PhD students’ relatedness, motivation, and well-being with multiple supervisors (2023) Accounting Education, , https://doi.org/10.1080/09639284.2023.2179889; Kift, S., Nelson, K., Clarke, J., Transition pedagogy: A third generation approach to FYE – A case study of policy and practice for the higher education sector (2010) Student Success, 1 (1), pp. 1-20. , https://doi.org/10.5204/intjfyhe.v1i1.13; Kumar, N. N., Summerell, E., Spehar, B., Cranney, J., Experiences of honours research students and supervisors during the COVID-19 pandemic: A pilot study framed by self-determination theory (2021) Frontiers in Education, 6, p. 758960. , https://doi.org/10.3389/feduc.2021.758960, Article; Kung, T.H., Cheatham, M., Medenilla, A., Sillos, C., De Leon, L., Elepaño, C., Madriaga, M., Tseng, V., Performance of ChatGPT on USMLE: Potential for AI-assisted medical education using large language models (2023) PLOS Digital Health, 2 (2), p. e0000198. , https://doi.org/10.1371/journal.pdig.0000198; Lee, Y., Wehmeyer, M., Palmer, S., Williams-Diehm, K., Davies, D., Stock, S., The effect of student-directed transition planning using a computer-based reading support program on the self-determination of students with disabilities (2011) Journal of Special Education, 45 (2), pp. 104-117. , https://doi.org/10.1177/0022466909358916; Levesque-Bristol, C., Fostering students’ learning experiences in higher education – Reflections from student-centered pedagogy and course transformation (2023) Higher education – Reflections from the field, , https://doi.org/10.5772/intechopen.110327, L. Waller &amp; S. Waller (Eds), IntechOpen; Lodge, J. M., Thompson, K., Corrin, L., Mapping out a research agenda for generative artificial intelligence in tertiary education (2023) Australasian Journal of Educational Technology, 39 (1), pp. 1-8. , https://doi.org/10.14742/ajet.8695; Longden, B., Yorke, M., Institutional rankings, marketing, and the needs of intending students (2009) Global perspectives on higher education, pp. 47-64. , https://doi.org/10.1163/9789087908164_005, J. Knight (Ed), –). Brill Publishing; McCallin, A., Nayar, S., Postgraduate research supervision: A critical review of current practice (2012) Teaching in Higher Education, 17 (1), pp. 63-74. , https://doi.org/10.1080/13562517.2011.590979; Meer, N. M., Chapman, A., Assessment for confidence: Exploring the impact that low-stakes assessment design has on student retention (2014) The International Journal of Management Education, 12 (2), pp. 186-192. , https://doi.org/10.1016/j.ijme.2014.01.003; Mishler, E. G., (1991) Research interviewing: Context and narrative, , Harvard University Press; Narayan, A. K., Northcott, D., Parker, L. D., Managing the accountability-autonomy tensions in university research commercialisation (2017) Financial Accountability and Management, 33 (4), pp. 335-355. , https://doi.org/10.1111/faam.12127; Nasiri, F., Mafakheri, F., Postgraduate research supervision at a distance: A review of challenges and strategies (2015) Studies in Higher Education, 40 (10), pp. 1962-1969. , https://doi.org/10.1080/03075079.2014.914906; Neumann, M., Rauschenberger, M., Schön, E. M., We need to talk about ChatGPT: The future of AI and higher education (2023) SerWisS, , https://doi.org/10.25968/opus-2467; Newstead, T., Eager, B., Wilson, S., How AI can perpetuate – or help mitigate – gender bias in leadership (2023) Organizational Dynamics, , https://doi.org/10.1016/j.orgdyn.2023.100998, Advance online publication; O'Dea, X., O'Dea, M., Is artificial intelligence really the next big thing in learning and teaching in higher education? A conceptual paper (2023) Journal of University Teaching &amp; Learning Practice, 20 (5). , https://doi.org/10.53761/1.20.5.05; Open, AI., (2022) Introducing ChatGPT, , https://openai.com/blog/chatgpt, (November 30); Perkins, M., Academic Integrity considerations of AI large language models in the post-pandemic era: ChatGPT and beyond (2023) Journal of University Teaching &amp; Learning Practice, 20 (2). , https://doi.org/10.53761/1.20.02.07; Popenici, S., The critique of AI as a foundation for judicious use in higher education (2023) Journal of Applied Learning and Teaching, 6 (2). , https://doi.org/10.37074/jalt.2023.6.2.4; Pucciarelli, F., Kaplan, A., Competition and strategy in higher education: Managing complexity and uncertainty (2016) Business Horizons, 59 (3), pp. 311-320. , https://doi.org/10.1016/j.bushor.2016.01.003; Reddy, K. S., Xie, E., Tang, Q., Higher education, high-impact research, and world university rankings: A case of India and comparison with China (2016) Pacific Science Review B: Humanities and Social Sciences, 2 (1), pp. 1-21. , https://doi.org/10.1016/j.psrb.2016.09.004; (2023) Ob-gyn loses PhD after committee finds he made up research, , https://retractionwatch.com/2023/03/08/ob-gyn-loses-phd-after-committee-finds-he-made-up-research/, (March 8). Retrieved March 15, 2023, from; Rudolph, J., Tan, S., Tan, S., ChatGPT: Bullshit spewer or the end of traditional assessments in higher education? (2023) Journal of Applied Learning and Teaching, 6 (1). , https://doi.org/10.37074/jalt.2023.6.1.9; Ryan, R. M., (2023) The Oxford handbook of self-determination theory, , https://doi.org/10.1093/oxfordhb/97801976000047.001.0001, Oxford University Press; Ryan, R. M., Deci, E. L., (2017) Self-determination theory: Basic psychological needs in motivation, development, and wellness, , https://doi.org/10.1521/978.14625/28806, The Guilford Press; Sambell, K., Hubbard, A., The role of formative ‘low-stakes’ assessment in supporting non-traditional students’ retention and progression in higher education: Student perspectives (2004) Widening Participation and Lifelong Learning, 6 (2), pp. 25-36. , https://www.ingentaconnect.com/content/openu/jwpll/2004/00000006/00000002/art00004; Sawatsky, A. P., O’Brien, B. C., Hafferty, F. W., Autonomy and developing physicians: Reimagining supervision using self-determination theory (2022) Medical Education, 56 (1), pp. 56-63. , https://onlinelibrary.wiley.com/doi/full/10.1111/medu.14580; Shaw, J., The diversity paradox: Does student diversity enhance or challenge excellence? (2009) Journal of Further and Higher Education, 33 (4), pp. 321-331. , https://doi.org/10.1080/03098770903266018; Spinrad, M. L., Relles, S. R., Watson, D. L., Not in the greater good: Academic capitalism and faculty labor in higher education (2022) Education Sciences, 12 (12), p. 912. , https://doi.org/10.3390/educsci12120912, Article; Stokel-Walker, C., Van Noorden, R., What ChatGPT and generative AI mean for science (2023) Nature, 614 (7947), pp. 214-216. , https://doi.org/10.1038/d41586-023-00340-6; Thorp, H., ChatGPT is fun, but not an author (2023) Science, 379 (6630), pp. 313-313. , https://doi.org/10.1126/science.adg7879; Tice, D., Baumeister, R., Crawford, J., Allen, K. A., Percy, A., Student belongingness in higher education: Lessons for Professors from the COVID-19 pandemic (2021) Journal of University Teaching &amp; Learning Practice, 18 (4), p. 2. , https://doi.org/10.53761/1.18.4.2, Article; (2020) Towards universal access to higher education: International trends, , https://unesdoc.unesco.org/ark:/48223/pf0000375686, UNESCO IESALC; Wisker, G., McGinn, M. K., Bengtsen, S. S., Lokhtina, I., He, F., Cornér, S., Leshem, S., Löfström, E., Remote doctoral supervision experiences: Challenges and affordances (2021) Innovations in Education and Teaching International, 58 (6), pp. 612-623. , https://doi.org/10.1080/14703297.2021.1991427; Wisker, G., Robinson, G., Shacham, M., Postgraduate research success: Communities of practice involving cohorts, guardian supervisors, and online communities (2007) Innovations in Education and Teaching International, 44 (3), pp. 301-320. , https://doi.org/10.1080/14703290701486720; Yang, H., Kyun, S., The current research trend of artificial intelligence in language learning: A systematic empirical literature review from an activity theory perspective (2022) Australasian Journal of Educational Technology, 38 (5), pp. 180-210. , https://doi.org/10.14742/ajet.7492</t>
  </si>
  <si>
    <t>This article uses some text generated by the Open AI ChatGPT-3 (https://chat.openai.com/chat). Typically, when asking the AI questions, it lists multiple answers; in most cases we used only the summary paragraph it offered in the body of this document. Where we do use this content, we present it as a direct quote.</t>
  </si>
  <si>
    <t>Cowling, M., CQ University, Australia; Crawford, J., University of Tasmania, Australia; Allen, K.-A., Monash University, Australia; Wehmeyer, M., The University of Kansas, United States</t>
  </si>
  <si>
    <t>57188726168;57196083515;55582596300;36009212300;</t>
  </si>
  <si>
    <t>Cowling M., Crawford J., Allen K.-A., Wehmeyer M.</t>
  </si>
  <si>
    <t>Zaphiris P.Ioannou A.Ioannou A.Sottilare R.A.Schwarz J.Fui-Hoon Nah F.Siau K.Wei J.Salvendy G.</t>
  </si>
  <si>
    <t>Mai, V.; TH Köln/University of Applied SciencesGermany; email: vanessa.mai@th-koeln.de</t>
  </si>
  <si>
    <t>Brown, M., (2020) 2020 EDUCAUSE Horizon Report. Teaching and Learning Edition, , EDUCAUSE, Louisville; Nagarhalli, T.P., Vaze, V., Rana, N.K., A review of current trends in the development of chatbot systems (2020) 6Th International Conference on Advanced Computing and Communication Systems (ICACCS), pp. 706-710. , https://doi.org/10.1109/ICACCS48705.2020.907 4420, 2020; Kanatouri, S.: The Digital Coach, 1st edn. Routledge, London (2020); Mai, V., Bauer, A., Deggelmann, C., Neef, C., Richert, A., AI-based coaching: Impact of a Chatbot’s disclosure behavior on the working alliance and acceptance (2022) HCI International 2022 – Late Breaking Papers: Interacting with Extended Reality and Artificial Intelligence. Lecture Notes in Computer Science, Vol. 13518, pp. 391-406. , https://doi.org/10.1007/978-3-031-21707-4_28, Springer, Cham; Potts, C., (2022) Toolkit for the Co-Creation of Health-Based Chatbots. 1St Edn, , Ulster University; Graßmann, C., Schölmerich, F., Schermuly, C.C., The relationship between working alliance and client outcomes in coaching: A meta-analysis (2019) Hum. Relations, 73 (1), pp. 35-58; Lindart, M., (2016) Was Coaching Wirksam Macht: Wirkfaktoren Von Coachingprozessen Im Fokus, , https://doi.org/10.1007/978-3-658-11761-0, Springer; Terblanche, N., A design framework to create Artificial Intelligence Coaches (2020) Int. J. Evidence Based Coach. Mentoring, 18 (2), pp. 152-165; Berninger-Schäfer, E., (2018) Online-Coaching. 1St Edn, , https://doi.org/10.1007/978-3-658-10128-2, Springer Wiesbaden, Karlsruhe; Mai, V., Neef, C., Richert, A., Writing”: The impact of a Chatbot’s interaction method on the working alliance in AI-based coaching (2022) Coach. Theorie Praxis, 8 (1), pp. 1-17. , https://doi.org/10.1365/s40896-021-00063-3, Clicking vs; Hussain, S., Ameri Sianaki, O., Ababneh, N., A survey on conversational agents/chatbots classification and design techniques. Artificial Intelligence and Network Applications (2019) Adv. Intell. Syst. Comput., 927, pp. 946-956; Mai, V., Rutschmann, R., Chatbots im Coaching. Potenziale und Einsatzmöglichkeiten von digitalen Coaching-Begleitern und Assistenten (2023) Organisationsberatung, Supervision, Coaching, 30, pp. 45-57. , https://doi.org/10.1007/s11613-022-00801-3; Diederich, S., Brendel, A.B., Morana, S., Kolbe, L., On the design of and interaction with conversational agents: An organizing and assessing review of human-computer interaction research (2022) J. Assoc. Inf. Syst., 23 (1), pp. 96-138; Kohne, A., Kleinmanns, P., Rolf, C., Beck, M.: Chatbots: Conversation Design, 1st edn. Springer Vieweg, Wiesbaden (2020); Schlippe, A., Schweitzer, J., (2016) Lehrbuch Der Systemischen Therapie Und Beratung I. Das Grundlagenwissen, , Vandenhoeck &amp; Ruprecht; Venkatesh, V., Morris, M.G., Davis, G.B., Davis, F.D., User acceptance of information technology: Toward a unified view (2003) MIS Quar, 27 (3), pp. 425-478; Wilmers, F., et al.: Die deutschsprachige Version des Working Alliance Inventory – Short revised (WAI-SR) – Ein schulenübergreifendes, ökonomisches und empirisch vali-diertes Instrument zur Erfassung der therapeutischen Allianz In: Klinische Diagnostik und Evaluation, vol. 1(3), pp. 343–358. Vandenhoeck &amp; Ruprecht, Göttingen (2008); Laban, G., Araujo, T., Working together with conversational agents: The relationship of perceived cooperation with service performance evaluations (2019) International Workshop on Chatbot Research and Design, pp. 215-228. , Springer; Terblanche, N., Factors that influence users’ adoption of being coached by an Artificial Intelligence Coach (2020) Philosophy Coach. Int. J., 5 (2), pp. 61-70; Brandtzaeg, P.B., Følstad, A.: Why people use chatbots. In: Kompatsiaris, I., et al. (eds.) INSCI 2017. LNCS, vol. 10673, pp. 377–392. Springer, Cham (2017). https://doi.org/10. 1007/978-3-319-70284-1_30; Hauser-Ulrich, S., Künzli, H., Meier-Peterhans, D., Kowatsch, T.: A smartphone-based health care chatbot to promote selfmanagement of chronic pain (SELMA): pilot randomized controlled trial. JMIR mHealth uHealth 8(4), e15806, 452–474 (2020). https://doi.org/10.2196/15806; Gratch, J., Wang, N., Gerten, J., Fast, E., Duffy, R.: Creating rapport with virtual agents. In: International Conference on Intelligent Virtual Agents. IVA 2007 LNCS, vol. 4722, pp. 125– 138. Springer, Berlin, Heidelberg (2007).https://doi.org/10.1007/978-3-540-74997-4_12</t>
  </si>
  <si>
    <t>Mai, V., TH Köln/University of Applied Sciences, Cologne, Germany; Bauer, A., TH Köln/University of Applied Sciences, Cologne, Germany; Deggelmann, C., TH Köln/University of Applied Sciences, Cologne, Germany; Richert, A., TH Köln/University of Applied Sciences, Cologne, Germany</t>
  </si>
  <si>
    <t>57211534498;58024107200;58023910900;36176257900;</t>
  </si>
  <si>
    <t>Mai V., Bauer A., Deggelmann C., Richert A.</t>
  </si>
  <si>
    <t>26 November 2023 through 28 November 2023</t>
  </si>
  <si>
    <t>Xie H.Lai C.-L.Chen W.Xu G.Popescu E.</t>
  </si>
  <si>
    <t>English; French</t>
  </si>
  <si>
    <t>Perrottet, N.; Service of Pharmacy, Switzerland; email: Nancy.Perrottet@chuv.ch</t>
  </si>
  <si>
    <t>Miller, R.R., History of clinical pharmacy and clinical pharmacology (1981) J Clin Pharmacol, 21 (4), pp. 195-197; Tanty, A., Dantigny, R., Bardet, J.D., Chanoine, S., Bedouch, P., Allenet, B., French hospital clinical pharmacy: an identity crisis? (2021) Ann Pharm Fr, 79 (4), pp. 431-439; Baudouin, A., Herledan, C., Poletto, N., Guillemin, M.D., Maison, O., Garreau, R., Economic impact of clinical pharmaceutical activities in hospital wards: a systematic review (2021) Res Social Adm Pharm, 17 (3), pp. 497-505; Al Raiisi, F., Stewart, D., Fernandez-Llimos, F., Salgado, T.M., Mohamed, M.F., Cunningham, S., Clinical pharmacy practice in the care of chronic kidney disease patients: a systematic review (2019) Int J Clin Pharm, 41 (3), pp. 630-666; Javelot, H., Gitahy Falcao Faria, C., Vandenberghe, F., Dizet, S., Langree, B., Le Maout, M., Clinical pharmacy in psychiatry: towards promoting clinical expertise in psychopharmacology (2021) Pharmacy (Basel), 9 (3), p. 146; Bourne, R.S., Shulman, R., Jennings, J.K., Reducing medication errors in critical care patients: pharmacist key resources and relationship with medicines optimisation (2018) Int J Pharm Pract, 26 (6), pp. 534-540; Maleki, S., Glewis, S., Fua, T., Liu, C., Rischin, D., Alexander, M., A randomised controlled trial of clinical pharmacy intervention versus standard care to improve medication adherence in outpatients with head and neck cancer receiving radiotherapy (2022) Support Care Cancer, 30 (5), pp. 4243-4253; Naseralallah, L.M., Hussain, T.A., Jaam, M., Pawluk, S.A., Impact of pharmacist interventions on medication errors in hospitalized pediatric patients: a systematic review and meta-analysis (2020) Int J Clin Pharm, 42 (4), pp. 979-994; Hahn, L., Belisle, M., Nguyen, S., Snackey Alvarez, K., Das, S., Effect of pharmacist clinic visits on 30-day heart failure readmission rates at a county hospital (2019) Hosp Pharm, 54 (6), pp. 358-364; Jia, X., Zhou, S., Luo, D., Zhao, X., Zhou, Y., Cui, Y.M., Effect of pharmacist-led interventions on medication adherence and inhalation technique in adult patients with asthma or COPD: a systematic review and meta-analysis (2020) J Clin Pharm Ther, 45 (5), pp. 904-917; Davies, N.M., Adapting artificial intelligence into the evolution of pharmaceutical sciences and publishing: technological darwinism (2023) J Pharm Pharm Sci, 26, p. 11349; Else, H., Abstracts written by ChatGPT fool scientists (2023) Nature, 613 (7944), p. 423; van Dis, E.A.M., Bollen, J., Zuidema, W., van Rooij, R., Bockting, C.L., ChatGPT: five priorities for research (2023) Nature, 614 (7947), pp. 224-226; Baumgartner, C., The potential impact of ChatGPT in clinical and translational medicine (2023) Clin Transl Med, 13 (3), p. e1206; Ali, S.R., Dobbs, T.D., Hutchings, H.A., Whitaker, I.S., Using ChatGPT to write patient clinic letters (2023) Lancet Digit Health, 5 (4), pp. e179-e181; Homolak, J., Opportunities and risks of ChatGPT in medicine, science, and academic publishing: a modern Promethean dilemma (2023) Croat Med J, 64 (1), pp. 1-3; Sabry Abdel-Messih, M., Kamel Boulos, M.N., ChatGPT in clinical toxicology (2023) JMIR Med Educ, 9, p. e46876; Lee, P., Bubeck, S., Petro, J., Benefits, limits, and risks of GPT-4 as an AI Chatbot for medicine (2023) N Engl J Med, 388 (13), pp. 1233-1239; Kung, T.H., Cheatham, M., Medenilla, A., Sillos, C., De Leon, L., Elepano, C., Performance of ChatGPT on USMLE: potential for AI-assisted medical education using large language models (2023) PLOS Digit Health, 2 (2), p. e0000198; Mbakwe, A.B., Lourentzou, I., Celi, L.A., Mechanic, O.J., Dagan, A., ChatGPT passing USMLE shines a spotlight on the flaws of medical education (2023) PLOS Digit Health, 2 (2), p. e0000205; Skalidis, I., Cagnina, A., Luangphiphat, W., Mahendiran, T., Muller, O., Abbe, E., ChatGPT takes on the European Exam in Core Cardiology: an artificial intelligence success story? (2023) Eur Heart J Digit Health, 4 (3), pp. 279-281; Salvagno, M., Taccone, F.S., Gerli, A.G., Can artificial intelligence help for scientific writing? (2023) Crit Care, 27 (1), p. 75; https://openai.com/blog/chatgpt, OpenAI. Introducing ChatGPT. November 30, 2022 (); Morath, B., Chiriac, U., Jaszkowski, E., Deiss, C., Nurnberg, H., Horth, K., Performance and risks of ChatGPT used in drug information: an exploratory real-world analysis (2023) Eur J Hosp Pharm; Huang, X., Estau, D., Liu, X., Yu, Y., Qin, J., Li, Z., Evaluating the performance of ChatGPT in clinical pharmacy: a comparative study of ChatGPT and clinical pharmacists (2023) Br J Clin Pharmacol; Fijacko, N., Gosak, L., Stiglic, G., Picard, C.T., John Douma, M., Can ChatGPT pass the life support exams without entering the American heart association course? (2023) Resuscitation, 185, p. 109732; Al-Dujaili, Z., Omari, S., Pillai, J., Al Faraj, A., Assessing the accuracy and consistency of ChatGPT in clinical pharmacy management: a preliminary analysis with clinical pharmacy experts worldwide (2023) Res Social Adm Pharm, 19 (12), pp. 1590-1594; Xue, V.W., Lei, P., Cho, W.C., The potential impact of ChatGPT in clinical and translational medicine (2023) Clin Transl Med, 13 (3), p. e1216; Gilson, A., Safranek, C.W., Huang, T., Socrates, V., Chi, L., Taylor, R.A., How does ChatGPT perform on the United States Medical Licensing Examination? The implications of large language models for medical education and knowledge assessment (2023) JMIR Med Educ, 9, p. e45312; Grunebaum, A., Chervenak, J., Pollet, S.L., Katz, A., Chervenak, F.A., The exciting potential for ChatGPT in obstetrics and gynecology (2023) Am J Obstet Gynecol; Eysenbach, G., The role of chatgpt, generative language models, and artificial intelligence in medical education: a conversation with ChatGPT and a call for papers (2023) JMIR Med Educ, 9, p. e46885; Carli, D., Fahrni, G., Bonnabry, P., Lovis, C., Quality of decision support in computerized provider order entry: systematic literature review (2018) JMIR Med Inform, 6 (1), p. e3; Sallevelt, B., Huibers, C.J.A., Heij, J., Egberts, T.C.G., van Puijenbroek, E.P., Shen, Z., Frequency and acceptance of clinical decision support system-generated STOPP/START signals for hospitalised older patients with polypharmacy and multimorbidity (2022) Drugs Aging, 39 (1), pp. 59-73</t>
  </si>
  <si>
    <t>Fournier, A., Service of Pharmacy, centre hospitalier universitaire Vaudois (CHUV), Lausanne, Switzerland; Fallet, C., Service of Pharmacy, centre hospitalier universitaire Vaudois (CHUV), Lausanne, Switzerland; Sadeghipour, F., Service of Pharmacy, centre hospitalier universitaire Vaudois (CHUV), Lausanne, Switzerland, School of Pharmaceutical Sciences, University of Geneva, University of Lausanne, Geneva, Switzerland, Center for Research and Innovation in Clinical Pharmaceutical Sciences, Lausanne University Hospital and University of Lausanne, Lausanne, Switzerland; Perrottet, N., Service of Pharmacy, centre hospitalier universitaire Vaudois (CHUV), Lausanne, Switzerland, School of Pharmaceutical Sciences, University of Geneva, University of Lausanne, Geneva, Switzerland</t>
  </si>
  <si>
    <t>Assessing the applicability and appropriateness of ChatGPT in answering clinical pharmacy questions [Évaluation de l'applicabilité et de la pertinence de ChatGPT dans la réponse aux questions de pharmacie clinique]</t>
  </si>
  <si>
    <t>56317690900;58745256400;56013251100;24336244000;</t>
  </si>
  <si>
    <t>Fournier A., Fallet C., Sadeghipour F., Perrottet N.</t>
  </si>
  <si>
    <t>11 September 2023 through 13 September 2023</t>
  </si>
  <si>
    <t>21. Fachtagung Bildungstechnologien der Gesellschaft fur Informatik e.V., DELFI 2023 - 21st Conference on Educational Technologies of the German Informatics Society, DELFI 2023</t>
  </si>
  <si>
    <t>Ropke R.Schroeder U.</t>
  </si>
  <si>
    <t>Godinez, J., Jamil, H., Meet Cyrus (2019) Proceedings of the 34th ACM/SIGAPP Symposium on Applied Computing, , [GJ19] New York; Hobert, S., Say Hello to 8Coding Tutor9! (2019) Fortieth International Conference on Information Systems, , [Ho19] Munich</t>
  </si>
  <si>
    <t>Linxen, A., FernUniversität Hagen, Data Science, Universitätsstr. 11, Hagen, 58097, Germany; Opel, S., FernUniversität Hagen, Data Science, Universitätsstr. 11, Hagen, 58097, Germany; Ebbing, S., FernUniversität Hagen, Data Science, Universitätsstr. 11, Hagen, 58097, Germany; Beecks, C., FernUniversität Hagen, Data Science, Universitätsstr. 11, Hagen, 58097, Germany</t>
  </si>
  <si>
    <t>58034810200;55620161000;58745740100;24723639300;</t>
  </si>
  <si>
    <t>Linxen A., Opel S., Ebbing S., Beecks C.</t>
  </si>
  <si>
    <t>Farah, J.C.; École Polytechnique Fédérale de Lausanne (EPFL)Switzerland; email: juancarlos.farah@epfl.ch</t>
  </si>
  <si>
    <t>Airbnb: Airbnb JavaScript Style Guide (2012). https://airbnb.io/javascript/; Bach, S.H., (2022) Promptsource: an Integrated Development Environment and Repository for Natural Language Prompts, , https://doi.org/10.48550/arXiv. 2202.01279; Bergin, J., Fourteen pedagogical patterns (2000) Proceedings of the 5Th European Conference on Pattern Languages of Programs (Euro-Plop, p. 2000. , Devos, M., Rüping, A. (eds.), Universitaetsverlag Konstanz, Irsee, Germany; Charmaz, K., Constructing Grounded Theory: A Practical Guide through Qualitative Analysis. Sage (2006) London; Farah, J.C., Spaenlehauer, B., Rodríguez-Triana, M.J., Ingram, S., Gillet, D., Toward code review notebooks (2022) 2022 International Conference on Advanced Learning Technologies (ICALT), New York, NY, USA, Pp. 209–211. IEEE, , https://doi.org/10.1109/ICALT55010.2022.00068; Gillet, D., Vonèche-Cardia, I., Farah, J.C., Phan Hoang, K.L., Rodríguez-Triana, M.J.: Integrated model for comprehensive digital education platforms. In: 2022 IEEE Global Engineering Education Conference (EDUCON), New York, NY, USA, pp. 1586–1592. IEEE (2022). https://doi.org/10.1109/EDUCON52537.2022. 9766795; Hunter, J.D., Matplotlib: A 2D graphics environment (2007) Comput. Sci. Eng., 9 (3), pp. 90-95; Hutto, C.J., Gilbert, E., VADER: A parsimonious rule-based model for sentiment analysis of social media text (2014) Proceedings of the Eighth International AAAI Conference on Weblogs and Social Media, pp. 216-225. , https://doi.org/10.1609/icwsm.v8i1.14550, Ann Arbor, MI, USA, AAAI; Jiang, Z., Xu, F.F., Araki, J., Neubig, G., (2020) How Can We Know What Language Models Know?, , https://doi.org/10.48550/arXiv.1911.12543; Johnson, S.C., Lint, A C Program Checker. Technical report, Bell Laboratories, Murray Hill, NJ (1978) USA; Kasneci, E., (2023) Chatgpt for Good? On Opportunities and Challenges of Large Language Models for Education, , https://doi.org/10.35542/osf.io/5er8f; Laugwitz, B., Held, T., Schrepp, M.: Construction and evaluation of a user experience questionnaire. In: Holzinger, A. (ed.) USAB 2008. LNCS, vol. 5298, pp. 63–76. Springer, Heidelberg (2008). https://doi.org/10.1007/978-3-540-89350-9 6; (2022) Openai: Introducing Chatgpt, , https://openai.com/blog/chatgpt; Reynolds, L., McDonell, K., (2021) Prompt Programming for Large Language Models: Beyond the Few-Shot Paradigm, , https://doi.org/10.48550/arXiv.2102. 07350; Song, D., Oh, E.Y., Rice, M., Interacting with a conversational agent system for educational purposes in online courses (2017) 2017 10Th International Conference on Human System Interactions (HSI), Ulsan, South Korea, Pp. 78–82. IEEE, , https://doi.org/10.1109/HSI.2017.8005002; Tómasdóttir, K.F., Aniche, M., van Deursen, A., The adoption of JavaScript linters in practice: a case study on ESLint (2020) IEEE Trans. Software Eng., 46 (8), pp. 863-891. , https://doi.org/10.1109/TSE.2018.2871058; Zakas, N.C., (2013), p. ESLint. , https://eslint.org/; Zhao, T.Z., Wallace, E., Feng, S., Klein, D., Singh, S., (2021) Calibrate before Use: Improving Few-Shot Performance of Language Models, , https://doi.org/10. 48550/arXiv.2102.09690</t>
  </si>
  <si>
    <t>Farah, J.C., École Polytechnique Fédérale de Lausanne (EPFL), Lausanne, Switzerland, University of Applied Sciences (HES-SO), Fribourg, Switzerland; Ingram, S., University of Applied Sciences (HES-SO), Fribourg, Switzerland; Spaenlehauer, B., École Polytechnique Fédérale de Lausanne (EPFL), Lausanne, Switzerland; Lasne, F.K.-L., École Polytechnique Fédérale de Lausanne (EPFL), Lausanne, Switzerland; Gillet, D., École Polytechnique Fédérale de Lausanne (EPFL), Lausanne, Switzerland</t>
  </si>
  <si>
    <t>57203636644;58399425500;57702846800;58745319300;57203238151;</t>
  </si>
  <si>
    <t>Farah J.C., Ingram S., Spaenlehauer B., Lasne F.K.-L., Gillet D.</t>
  </si>
  <si>
    <t>26 October 2023 through 27 October 2023</t>
  </si>
  <si>
    <t>17th ACM/IEEE International Symposium on Empirical Software Engineering and Measurement, ESEM 2023</t>
  </si>
  <si>
    <t>(2023) Owasp top ten, , https://owasp:org/www-project-top-ten/; Firefox web developer tool, , https://firefox-dev:tools/; (2023) Postman, , https://www:postman:com/; Owasp zed attack proxy, , https://owasp:org/www-project-zap/; Nessus vulnerability assessment, , https://www:tenable:com/products/nessus; (2023), https://owasp:org/www-project-web-security-testing-guide/v42/, OWASP" Web security testing guide 4.2; (2023) Chatgpt, , https://openai:com/blog/chatgpt; (2023), https://openai:com/product/gpt-4, Gpt4; Becker, B.A., Denny, P., Finnie-Ansley, J., Luxton-Reilly, A., Prather, J., Santos, E.A., (2022) Programming is hard-or at least it used to be: Educational opportunities and challenges of ai code generation, , arXiv preprint; Finnie-Ansley, J., Denny, P., Becker, B.A., Luxton-Reilly, A., Prather, J., The robots are coming: Exploring the implications of openai codex on introductory programming (2022) Proceedings of the 24th Australasian Computing Education Conference, ser. ACE '22, pp. 10-19. , https://org/10:1145/3511861:3511863, New York, NY, USA: Association for Computing Machinery; Tony, C., Balasubramanian, M., Dáz Ferreyra, N.E., Scandariato, R., Conversational devbots for secure programming: An empirical study on skf chatbot (2022) Proceedings of the International Conference on Evaluation and Assessment in Software Engineering 2022, pp. 276-281; Chen, M., Tworek, J., Jun, H., Yuan, Q., Pinto, H.P.D.O., Kaplan, J., Edwards, H., Brockman, G., (2021) Evaluating large language models trained on code, , arXiv preprint; Fischer, F., Böttinger, K., Xiao, H., Stransky, C., Acar, Y., Backes, M., Fahl, S., Stack overflow considered harmful the impact of copy&amp;paste on android application security (2017) 2017 IEEE Symposium on Security and Privacy (SP). IEEE, pp. 121-136; Perry, N., Srivastava, M., Kumar, D., Boneh, D., (2022) Do users write more insecure code with ai assistants, , arXiv preprint; Santhanam, S., Hecking, T., Schreiber, A., Wagner, S., Bots in software engineering: A systematic mapping study (2022) PeerJ Computer Science, 8, p. e866; Secure code warrior, , https://www:securecodewarrior:com/, Secure Code Warrior; (2023) Gpt-4 technical report, , OpenAI; Meucci, M., Muller, A., Owasp testing guide, v4 (2014) OWASP Foundation, 4, pp. 14-23</t>
  </si>
  <si>
    <t>ACKNOWLEDGMENT The research conducted in this paper has partly been related to the CyberSecPro project under the European Union’s Digital Europe Programme (DEP) (grant agreement No 101083594).</t>
  </si>
  <si>
    <t>Florida Department of Environmental Protection, DEP: 101083594</t>
  </si>
  <si>
    <t>Along with the development of large language models (LLMs), e.g., ChatGPT, many existing approaches and tools for software security are changing. It is, therefore, essential to understand how security-aware these models are and how these models impact software security practices and education. In exercises of a software security course at our university, we ask students to identify and fix vulnerabilities we insert in a web application using state-of-the-art tools. After ChatGPT, especially the GPT-4 version of the model, we want to know how the students can possibly use ChatGPT to complete the exercise tasks. We input the vulnerable code to ChatGPT and measure its accuracy in vulnerability identification and fixing. In addition, we investigated whether ChatGPT can provide a proper source of information to support its outputs. Results show that ChatGPT can identify 20 of the 28 vulnerabilities we inserted in the web application in a white-box setting, reported three false positives, and found four extra vulnerabilities beyond the ones we inserted. ChatGPT makes nine satisfactory penetration testing and fixing recommendations for the ten vulnerabilities we want students to fix and can often point to related sources of information. © 2023 IEEE.</t>
  </si>
  <si>
    <t>Li, J., Norwegian Univ. of Science and Technology (NTNU), Dept. of Computer Science, Trondheim, Norway; Meland, P.H., Ntnu, Dept. of Computer Science, Trondheim, Norway; Notland, J.S., Ntnu, Dept. of Computer Science, Trondheim, Norway; Storhaug, A., Ntnu, Dept. of Computer Science, Trondheim, Norway; Tysse, J.H., Ntnu, Dept. of Computer Science, Trondheim, Norway</t>
  </si>
  <si>
    <t>8273831100;19934033100;57218932972;58151088800;58638896200;</t>
  </si>
  <si>
    <t>Li J., Meland P.H., Notland J.S., Storhaug A., Tysse J.H.</t>
  </si>
  <si>
    <t>22nd European Conference on e- Learning, ECEL 2023</t>
  </si>
  <si>
    <t>Johnston S.J.Singh S.</t>
  </si>
  <si>
    <t>Alami, H., Lehoux, P., Denis, J.L., Fortin, J. P., Organizational readiness for artificial intelligence in health care: insights for decision-making and practice (2021) Journal of Health Organization and Management, 35 (1), pp. 106-114; Bang, Y., Cahyawijaya, S., Lee, N., Dai, W., Su, D., Wilie, B., Lovenia, H., Fung, P., (2023) A Multitask, Multilingual, Multimodal Evaluation of ChatGPT on Reasoning, Hallucination, and Interactivity, , ArXiv./abs/2302.04023; Bender, E. M., Gebru, T., McMillan-Major, A., Mitchell, S., On the Dangers of Stochastic Parrots: Can Language Models Be Too Big? (2021) Proceedings of the 2021 ACM conference on fairness, accountability, and transparency, pp. 610-623; Chan, C.K.Y., Hu, W., (2023) Students' Voices on Generative AI: Perceptions, Benefits, and Challenges in Higher Education, , https://doi.org/10.48550/arxiv.2305.00290, arXiv, [online]; Chatterjee, J., Dethlefs, N., This new conversational AI model can be your friend, philosopher, and guide... and even your worst enemy (2023) Patterns (N. Y.), 4 (1), p. 100676. , articl; Crawford, J., Cowling, M., Allen, K.-A., Leadership is needed for ethical ChatGPT: Character, assessment, and learning using artificial intelligence (AI) (2023) Journal of University Teaching &amp; Learning Practice, 20 (3), pp. 1-19. , Quarterly 1, article 02; Davis, F.D., Perceived Usefulness, Perceived Ease of Use, and User Acceptance of Information Technology (1989) MIS Quarterly, 13 (3), pp. 319-340; Davis, F.D., Bagozzi, R.P., Warshaw, P.R., User Acceptance of Computer Technology: A Comparison of Two Theoretical Models (1989) Management Science, 35 (8), pp. 982-1003; Farrokhnia, M., Banihashem, S.K., Noroozi, O., Wals, A., A SWOT analysis of ChatGPT: Implications for educational practice and research (2023) Innovations in Education and Teaching International, 2023, pp. 1-15; Dwivedi, Y. K., Kshetri, N., Hughes, L., Slade, E. L., Jeyaraj, A., Kar, A. K., Wright, R., 'So what if ChatGPT wrote it?' Multidisciplinary perspectives on opportunities, challenges and implications of generative conversational AI for research, practice and policy (2023) International Journal of Information Management, 71, p. 102642; Gao, J., Ren, L., Yang, Y., Zhang, D., Li, L., The impact of artificial intelligence technology stimuli on smart customer experience and the moderating effect of technology readiness (2022) International Journal of Emerging Markets, 17 (4), pp. 1123-1142; Gimpel, H., Hall, K., Decker, S., Vandirk, S., Unlocking the power of generative AI models and systems such as GPT-4 and ChatGPT for higher education: A Guide for Students and Lecturers (2023) Hohenheim Discussion Papers in Business, Economics and Social Sciences, 2023 (2), pp. 1-46; Godoe, P., Johansen, T., Understanding adoption of new technologies: Technology readiness and technology acceptance as an integrated concept (2012) Journal of European psychology students, 3 (1), pp. 38-52; Hair, J.F., Hult, G.T.M., Ringle, C.M., Sarstedt, M., (2022) A Primer on Partial Least Squares Structural Equation Modeling (PLS-SEM), , 3rd ed. Sage Publishing; Kasneci, E., Seßler, K., Küchemann, S., Bannert, M., Dementieva, D., Fischer, F., Kasneci, G., ChatGPT for good? On opportunities and challenges of large language models for education (2023) Learning and Individual Differences, 103, p. 102274. , articl; Koivisto, K., Makkonen, M., Frank, L., Riekkinen, J., Extending the Technology Acceptance Model with Personal Innovativeness and Technology Readiness: A Comparison of Three Models (2016) BLED 2016: Proceedings of the 29th Bled eConference, pp. 113-128. , Moderna organizacija; Levina, N, All Information Systems Theory is Grounded Theory (2021) MIS Quarterly, 45 (1), pp. 489-494; Li, H., Language models: past, present, and future (2022) Communications of the ACM, 65 (7), pp. 56-63; Lim, W.M., Gunasekara, A., Pallant, J.L., Pallant, J.I., Pechenkina, E., Generative AI and the future of education: Ragnarök or reformation? A paradoxical perspective from management educators (2023) The International Journal of Management Education, 21 (2), p. 100790. , articl; Lin, C.-H., Shih, H.-Y., Sher, P.J., Wang, Y.-L., Consumer adoption of e-service: integrating technology readiness with the technology acceptance model (2005) Technology Management: A Unifying Discipline for Melting the Boundaries, 2005, pp. 483-488; Lin, C.H., Shih, H.Y., Sher, P.J., Integrating technology readiness into technology acceptance: The TRAM model (2007) Psychology &amp; Marketing, 24 (7), pp. 641-657; Milano, S., McGrane, J.A., Leonelli, S., Large language models challenge the future of higher education (2023) Nature Machine Intelligence, 5 (4), pp. 333-334; Lucchi, N., ChatGPT: A Case Study on Copyright Challenges for Generative AI Systems (2023) European Journal of Risk Regulation, , http://dx.doi.org/10.2139/ssrn.4483390; Mlekus, L., Bentler, D., Paruzel, A., Kato-Beiderwieden, A.L., Maier, G.W., How to raise technology acceptance: user experience characteristics as technology-inherent determinants (2020) Gruppe. Interaktion. Organisation. Zeitschrift für Angewandte Organisationspsychologie (GIO), 51 (3), pp. 273-283; Parasuraman, A., Technology Readiness Index (TRI), A Multiple-Item Scale to Measure Readiness To Embrace New Technologies (2000) Journal of Service Research, 2 (4), pp. 307-320; Parasuraman, A., Colby, C.L., (2001) Techno-Ready Marketing. How and Why Your Customers Adopt Technology, , The Free Press; Parasuraman, A., Colby, C.L., An Updated and Streamlined Technology Readiness Index: TRI 2.0 (2015) Journal of Service Research, 18 (1), pp. 59-74; Porter, C. E., Donthu, N., Using the technology acceptance model to explain how attitudes determine Internet usage: The role of perceived access barriers and demographics (2006) Journal of business research, 59 (9), pp. 999-1007; Rudolph, J., Tan, S., Tan, S., ChatGPT: Bullshit spewer or the end of traditional assessments in higher education? (2023) Journal of Applied Learning and Teaching, 6 (1), pp. 1-22; Saber, C., Souiden, N., Rethinking the TAM model: time to consider fun (2010) Journal of Consumer Marketing, 27 (4), pp. 336-344. , M., and; Savelka, J., Agarwal, A., Bogart, C., Song, Y., Sakr, M., (2023) Can Generative Pre-trained Transformers (GPT) Pass Assessments in Higher Education Programming Courses?, , http://arxiv.org/abs/2303.09325, arXiv, [online]; Shanahan, M., (2023) Talking About Large Language Models, , http://arxiv.org/abs/2212.03551, arXiv, [online]; Su, J., Yang, W., Unlocking the Power of ChatGPT: A Framework for Applying Generative AI in Education (2023) ECNU Review of Education, pp. 1-12. , 0 0; Sullivan, M., Kelly, A., McLaughlan, P., ChatGPT in higher education: Considerations for academic integrity and student learning (2023) Journal of Applied Learning and Teaching, 6 (1), pp. 1-10; Tuomi, I., A Framework for Socio-Developmental Ethics in Educational AI (2023) Proceedings of the 56th Hawaii International Conference on System Sciences, 2023, pp. 6208-6217; (2023) UNESCO unveils new AI roadmap for classrooms, , https://news.un.org/en/story/2023/05/1137117, United Nations, [online]; Venkatesh, V., Bala, H., Technology Acceptance Model 3 and a Research Agenda on Interventions (2008) Decision Sciences, 39 (2), pp. 273-315; Venkatesh, V., Davis, F., Morris, M., Dead Or Alive? The Development, Trajectory And Future Of Technology Adoption Research (2007) AIS Educator Journal, 8 (4), pp. 267-286; Walczuch, R., Lemmink, J., Streukens, S., The Effect of Service Employees' Technology Readiness on Technology Acceptance (2007) Information &amp; Management, 44 (2), pp. 206-215; Weidinger, L., Mellor, J., Rauh, M., Gabriel, I., (2021) Ethical and social risks of harm from Language Models, , https://arxiv.org/pdf/2112.04359.pdf, arXiv, [online]; Weßels, D., Hochschullehre unter dem Einfluss des KI-gestützten Schreibens (2022) Hochschulforum Digitalisierung, , https://hochschulforumdigitalisierung.de/de/blog/Hochschullehre-KI-gestuetztes-Schreiben, [online]; Zhai, X., ChatGPT User Experience: Implications for Education (2022) SSRN Electronic Journal, , https://ssrn.com/abstract=4312418, [online]</t>
  </si>
  <si>
    <t>Lemke, C., Business Information Systems, Berlin School of Economics and Law, Berlin, Germany; Kirchner, K., Department of Technology, Management and Economics, Technical University of Denmark, Lyngby, Denmark; Anandarajah, L., Humboldt-Universität zu Berlin, Berlin, Germany; Herfurth, F.N., Business Information Systems, Berlin School of Economics and Law, Berlin, Germany</t>
  </si>
  <si>
    <t>57220786224;35307613600;58001764100;58753685400;</t>
  </si>
  <si>
    <t>Lemke C., Kirchner K., Anandarajah L., Herfurth F.N.</t>
  </si>
  <si>
    <t>(2022) ChatGPT, , https://chat.openai.com; (2023) ChatGPT: Implications for Teaching and Student Learning | CRLT, , https://crlt.umich.edu/blog/chatgptimplications-teaching-and-student-learning; Denscombe, M., (2010) The good research guide: For small-scale social research projects (Open UP Study Skills), , McGraw-Hill; Denscombe, M., (2021) Ebook: The Good Research Guide: Research Methods for Small-Scale Social Research Projects, , McGraw-Hill Education (UK); Gilat, R., Cole, B. J., How Will Artificial Intelligence Affect Scientific Writing, Reviewing and Editing? The Future is Here … (2023) Arthroscopy: The Journal of Arthroscopic &amp; Related Surgery: Official Publication of the Arthroscopy Association of North America and the International Arthroscopy Association, 39 (5), pp. 1119-1120. , https://doi.org/10.1016/j.arthro.2023.01.014; (2023) Study: 30% of College Students Have Used ChatGPT for Essays, , https://www.govtech.com/education/higher-ed/study-30-of-college-students-have-used-chatgpt-for-essays, (January 25). GovTech; Kadir, M. R. A., Johari, N. I. S., Hussin, N., Information Needs and Information Seeking Behaviour: A Case Study on Students in Private University Library (2018) International Journal of Academic Research in Progressive Education and Development, 7 (3), pp. 226-235; Kuhlthau, C. C., Heinström, J., Todd, R. J., The 'information search process' revisited: Is the model still useful (2008) Information Research, 13 (4), pp. 13-14; Kulkarni, P., Mahabaleshwarkar, A., Kulkarni, M., Sirsikar, N., Gadgil, K., Conversational AI: An Overview of Methodologies, Applications &amp; Future Scope (2019) 2019 5th International Conference On Computing, Communication, Control And Automation (ICCUBEA), pp. 1-7. , https://doi.org/10.1109/ICCUBEA47591.2019.9129347; Liaw, S.-S., Huang, H.-M., An investigation of user attitudes toward search engines as an information retrieval tool (2003) Computers in Human Behavior, 19 (6), pp. 751-765; Mckie, I. A. S., Narayan, B., Enhancing the Academic Library Experience with Chatbots: An Exploration of Research and Implications for Practice (2019) Journal of the Australian Library and Information Association, 68 (3), pp. 268-277. , https://doi.org/10.1080/24750158.2019.1611694; Mckie, I., Narayan, B., Kocaballi, B., Conversational Voice Assistants and a Case Study of Long-Term Users: A Human Information Behaviours Perspective (2022) Journal of the Australian Library and Information Association, 71 (3), pp. 233-255. , https://doi.org/10.1080/24750158.2022.2104738; Morville, P., (2005) Ambient Findability: What We Find Changes Who We Become, , O'Reilly Media, Inc; Difference Between Conversational AI and Generative AI (2023) Analytics Insight, , https://www.analyticsinsight.net/difference-between-conversational-ai-and-generative-ai/, (January 26); Rudolph, J., Tan, S., Tan, S., War of the chatbots: Bard, Bing Chat, ChatGPT, Ernie and beyond. The new AI gold rush and its impact on higher education (2023) Journal of Applied Learning and Teaching, 6 (1), p. 1. , https://doi.org/10.37074/jalt.2023.6.1.23, Article; Sambe, M. T., (2017) INFORMATION SEARCH STRATEGY AND RETRIEVAL TOOLS IN LIBRARIES; Sanderson, M., Croft, W. B., The history of information retrieval research (2012) Proceedings of the IEEE, 100, pp. 1444-1451. , (Special Centennial Issue); Schmitt, A., Wambsganss, T., Leimeister, J. M., Conversational Agents for Information Retrieval in the Education Domain: A User-Centered Design Investigation (2022) Proceedings of the ACM on Human-Computer Interaction, 6, pp. 1-22. , (CSCW2); Silva, P., Davis' technology acceptance model (TAM)(1989) (2015) Information Seeking Behavior and Technology Adoption: Theories and Trends, pp. 205-219; Singhal, A., Modern information retrieval: A brief overview (2001) IEEE Data Eng. Bull, 24 (4), pp. 35-43; Thindwa, T., Chawinga, W. D., Dube, G., Information-seeking behaviour of security studies students: A case study (2019) South African Journal of Information Management, 21 (1), pp. 1-10; Tubachi, P., (2018) INFORMATION SEEKING BEHAVIOR: AN OVERVIEW; Wilson, T. D., Human information behaviour (2000) Informing Science, 3, p. 49</t>
  </si>
  <si>
    <t>Karunaratne, T., Department of Computer and Systems Sciences, Stockholm University, Kista, Sweden; Adesina, A., Department of Computer and Systems Sciences, Stockholm University, Kista, Sweden</t>
  </si>
  <si>
    <t>25822554100;58753481500;</t>
  </si>
  <si>
    <t>Karunaratne T., Adesina A.</t>
  </si>
  <si>
    <t>De Paoli, S.; Abertay UniversityUnited Kingdom; email: s.depaoli@abertay.ac.uk</t>
  </si>
  <si>
    <t>Baden, C., Pipal, C., Schoonvelde, M., van der Velden, M.A.G., Three gaps in computational text analysis methods for social sciences: A research agenda (2022) Communication Methods and Measures, 16 (1), pp. 1-18. , https://doi.org/10.1080/19312458.2021.2015574; Braun, V., Clarke, V., Using thematic analysis in psychology (2006) Qualitative Research in Psychology, 3 (2), pp. 77-101. , https://doi.org/10.1191/1478088706qp063oa; Curty, R., Greer, R., White, T., (2021) Teaching undergraduates with quantitative data in the social sciences at University of California Santa Barbara: a local report, , https://escholarship.org/uc/item/0xp6b513, Available from; Curty, R., Greer, R., White, T., (2022) Teaching undergraduates with quantitative data in the social sciences at University of California Santa Barbara, , https://doi.org/10.25349/D9402J, [Data set]; Dowling, M., Lucey, B., ChatGPT for (finance) research: The Bananarama conjecture (2023) Finance Research Letters, 53 (May 2023), p. 103662. , https://doi.org/10.1016/j.frl.2023.103662; Floridi, L., AI as Agency without Intelligence: On ChatGPT, large language models, and other generative models (2023) Philosophy &amp; Technology, 36 (1), p. 15. , https://doi.org/10.1007/s13347-023-00621-y; Gao, J., Guo, Y., Lim, G., Zhan, T., Zhang, Z., Li, T.J.J., Perrault, S.T., (2023) CollabCoder: A GPT-powered workflow for collaborative qualitative analysis, , https://doi.org/10.48550/arXiv.2304.07366, arXiv preprint; Gauthier, R.P., Wallace, J.R., The computational thematic analysis toolkit (2022) Proceedings of the ACM on Human-Computer Interaction, 6 (GROUP), pp. 1-15. , https://doi.org/10.1145/3492844; George, A.S., George, A.H., A review of ChatGPT AI’s impact on several business sectors (2023) Partners Universal International Innovation Journal, 1 (1), pp. 9-23. , https://doi.org/10.5281/zenodo.7644359; Hao, S., Gu, Y., Ma, H., Hong, J.J., Wang, Z., Wang, D.Z., Hu, Z., (2023) Reasoning with language model is planning with world model, , https://doi.org/10.48550/arXiv.2305.14992, arXiv preprint; Hassani, H., Silva, E.S., The role of ChatGPT in data science: How ai-assisted conversational interfaces are revolutionizing the field (2023) Big data and cognitive computing, 7 (2), p. 62. , https://doi.org/10.3390/bdcc7020062; Jiang, J.A., Wade, K., Fiesler, C., Brubaker, J.R., Supporting serendipity (2021) Proceedings of the ACM on Human-Computer Interaction, 5 (CSCW1), pp. 1-23. , https://doi.org/10.1145/3449168; Kennedy, B.L., Thornberg, R., Deduction, induction, and abduction (2018) The Sage handbook of qualitative data collection, pp. 49-64. , Flick U., (ed), Sage Publications, (Ed.), (., –; Kurniadi, D., Septiana, Y., Sutedi, A., Alternative text pre-processing using chat GPT open AI (2023) Jurnal Nasional Pendidikan Teknik Informatika: JANAPATI, 12 (1). , https://doi.org/10.23887/janapati.v12i1.59746; Lo, C.K., What is the impact of ChatGPT on education? A rapid review of the literature (2023) Education Sciences, 13 (4), p. 410. , https://doi.org/10.3390/educsci13040410; Lund, B.D., Wang, T., Mannuru, N.R., Nie, B., Shimray, S., Wang, Z., ChatGPT and a new academic reality: Artificial Intelligence‐written research papers and the ethics of the large language models in scholarly publishing (2023) Journal of the Association for Information Science and Technology, 74 (5), pp. 570-581. , https://doi.org/10.1002/asi.24750; Nelson, L.K., Computational grounded theory: A methodological framework (2020) Sociological Methods &amp; Research, 49 (1), pp. 3-42. , https://doi.org/10.1177/0049124117729703; Nowell, L.S., Norris, J.M., White, D.E., Moules, N.J., Thematic analysis: Striving to meet the trustworthiness criteria (2017) International Journal of Qualitative Methods, 16 (1). , 1609406917733847; Peres, R., Schreier, M., Schweidel, D., Sorescu, A., On ChatGPT and beyond: How generative artificial intelligence may affect research, teaching, and practice (2023) International Journal of Research in Marketing, 40 (2), pp. 269-275. , https://doi.org/10.1016/j.ijresmar.2023.03.001; Perrotta, C., Persico, D., Haggis, M., Bailey, C., Passarelli, M., Buijntenweg, T., Earp, J., (2018) Gaming horizons stakeholder interviews - anonymised (1.2), , https://doi.org/10.5281/zenodo.1163698, [Data set], Zenodo; Persico, D., Bailey, C.T., Buijtenweg, T., (2017) D2.1 systematic review and methodological framework, , https://www.gaminghorizons.eu/wp-content/uploads/sites/18/2017/05/D2.1-State-of-the-Art-Literature-review.pdf, Available from, (, b; Persico, D., Dagnino, F., Earp, J., Manganello, D., Passarelli, M., Pozzi, D., (2017) D2. 3 Report on interviews with experts and informants, , https://www.gaminghorizons.eu/wp-content/uploads/sites/18/2017/09/D2.3_Interviews-report.pdf, Available from, (, a; Rahman, M.M., Watanobe, Y., Chatgpt for education and research: Opportunities, threats, and strategies (2023) Applied Sciences, 13 (9), p. 5783. , https://doi.org/10.3390/app13095783; Rai, A., Explainable AI: From black box to glass box (2020) Journal of the Academy of Marketing Science, 48, pp. 137-141. , https://doi.org/10.1007/s11747-019-00710-5; Renz, S.M., Carrington, J.M., Badger, T.A., Two strategies for qualitative content analysis: An intramethod approach to triangulation (2018) Qualitative Health Research, 28 (5), pp. 824-831. , https://doi.org/10.1177/1049732317753586; Richards, K.A.R., Hemphill, M.A., A practical guide to collaborative qualitative data analysis (2018) Journal of Teaching in Physical Education, 37 (2), pp. 225-231. , https://doi.org/10.1123/jtpe.2017-0084; Sallam, M., ChatGPT utility in healthcare education, research, and practice: Systematic review on the promising perspectives and valid concerns (2023) Healthcare, 11 (6), p. 887. , https://doi.org/10.3390/healthcare11060887, (, March; Sanmarchi, F., Golinelli, D., Bucci, A., (2023) A step-by-step researcher's guide to the use of an AI-based transformer in epidemiology: An exploratory analysis of ChatGPT using the STROBE checklist for observational studies, , https://doi.org/10.1101/2023.02.06.23285514, medRxiv, 2023-02; Schiavone, W., Roberts, C., Du, D., Sauro, J., Lewis, J., (2023) Can ChatGPT Replace UX Researchers? An Empirical Analysis of Comment Classifications. Online post, , https://measuringu.com/classification-agreement-between-ux-researchers-and-chatgpt/; van Dis, E.A., Bollen, J., Zuidema, W., van Rooij, R., Bockting, C.L., ChatGPT: Five priorities for research (2023) Nature, 614 (7947), pp. 224-226; Wei, J., Tay, Y., Bommasani, R., Raffel, C., Zoph, B., Borgeaud, S., Fedus, W., (2022) Emergent abilities of large language models, , arXiv preprint; Xiao, Z., Yuan, X., Liao, Q.V., Abdelghani, R., Oudeyer, P.Y., March). Supporting qualitative analysis with Large Language Models: Combining codebook with GPT-3 for deductive coding (2023) Companion proceedings of the 28th international conference on intelligent user interfaces, pp. 75-78. , Association for Computing Machinery, (, (., –; Zhou, Y., Muresanu, A.I., Han, Z., Paster, K., Pitis, S., Chan, H., Ba, J., (2022) Large language models are human-level prompt engineers, , arXiv preprint</t>
  </si>
  <si>
    <t>De Paoli, S., Abertay University, United Kingdom</t>
  </si>
  <si>
    <t>25632080800;</t>
  </si>
  <si>
    <t>25 October 2023 through 27 October 2023</t>
  </si>
  <si>
    <t>16th International Conference on Advanced Technologies, Systems and Services in Telecommunications, TELSIKS 2023</t>
  </si>
  <si>
    <t>Doncov N.S.Stankovic Z.Z.Stosic B.P.</t>
  </si>
  <si>
    <t>Raaijmakers, S., Cremers, A., Krahmer, E., Westera, M., Editorial: Conversational AI (2023) Front. Artif. Intell, 6 (1-2), p. 1203910. , https://doi.org/10.3389/frai.2023.1203910; Laravel-The PHP Framework for Web Artisans, , https://laravel.com/docs, last accessed:13/07/2023; Jankovic, A., Laravel Functions Dataset [Data set] GitHub, , https://github.com/pAtisha/DataSets, Retrieved from last accessed: 13/07/2023; Radovic, M., Petrovic, N., Tosic, M., Clicker: An Ontology Driven Platform for E-Assessment (2023) COAST 2023, pp. 1-9; Tian, H., (2023) Is ChatGPT the Ultimate Programming Assistant-How Far Is It, , https://arxiv.org/pdf/2304.11938.pdf, preprint; Biswas, S., Role of ChatGPT in Computer Programming.: ChatGPT in Computer Programming (2023) Mesopotamian Journal of Computer Science, pp. 8-16. , https://doi.org/10.58496/MJCSC/2023/002; Nigar, M., Use Chat GPT to Solve Programming Bugs (2023) International Journal of Information Technology &amp; Computer Engineering (IJITC) ISSN : 2455-5290, 3 (1), pp. 17-22. , https://doi.org/10.55529/ijitc.31.17.22; Controllers-Laravel-The PHP Framework for Web Artisans [Online], , https://laravel.com/docs/controllers, last accessed: 13/0</t>
  </si>
  <si>
    <t>This work has been supported by the Ministry of Education, Science and Technological Development of the Republic of Serbia.</t>
  </si>
  <si>
    <t>Ministarstvo Prosvete, Nauke i Tehnološkog Razvoja, MPNTR</t>
  </si>
  <si>
    <t>Jankovic, A., University of Nis, Faculty of Electronic Engineering, Niš, 18000, Serbia; Mincic, D., University of Nis, Faculty of Electronic Engineering, Niš, 18000, Serbia; Petrovic, N., University of Nis, Faculty of Electronic Engineering, Niš, 18000, Serbia; Tosic, M., University of Nis, Faculty of Electronic Engineering, Niš, 18000, Serbia</t>
  </si>
  <si>
    <t>58761108800;58761159900;57206900973;7006349903;</t>
  </si>
  <si>
    <t>Jankovic A., Mincic D., Petrovic N., Tosic M.</t>
  </si>
  <si>
    <t>31 October 2023 through 3 November 2023</t>
  </si>
  <si>
    <t>Tan, C.W.; Faculty of Computing and Information Technology, Setapak, Malaysia; email: chiwee@tarc.edu.my</t>
  </si>
  <si>
    <t>Razzaq, L., The Assistment project: Blending assessment and assisting (2005) Proceedings of the 12th Annual Conference on Artificial Intelligence in Education; Koedinger, K.R., Anderson, J.R., Illustrating Principled Design: The Early Evolution of a Cognitive Tutor for Algebra Symbolization (1998) Interactive Learning Environments, 5 (1), pp. 161-179. , Mar; Figueiredo, J., García-Peñalvo, F.J., Intelligent Tutoring Systems approach to Introductory Programming Courses (2020) Eighth International Conference on Technological Ecosystems for Enhancing Multiculturality, pp. 34-39. , New York, NY, USA: ACM, Oct; Mitrovic, A., An intelligent SQL tutor on the web (2003) Int J Artif Intell Educ, 13 (2-4); Sykes, E.R., Franek, F., A Prototype for an Intelligent Tutoring System for Students Learning to Program in JavaTM (2004) Advanced Technology for Learning, 1 (1); Weragama, D., Reye, J., The PHP intelligent tutoring system (2013) Lecture Notes in Computer Science (including subseries Lecture Notes in Artificial Intelligence and Lecture Notes in Bioinformatics), 7926, pp. 583-586; Swartz, M.L., Yazdani, M., (1992) Intelligent Tutoring Systems for Foreign Language Learning, , Eds, Berlin, Heidelberg: Springer Berlin Heidelberg; Slavuj, V., Kovacic, B., Jugo, I., Intelligent tutoring systems for language learning (2015) 2015 38th International Convention on Information and Communication Technology, Electronics and Microelectronics (MIPRO), pp. 814-819. , IEEE, May; Ferreira, A., Atkinson, J., Designing a feedback component of an intelligent tutoring system for foreign language (2009) Knowl Based Syst, 22 (7), pp. 496-501. , Oct; Evens, M.W., CIRCSIM -Tutor: An Intelligent Tutoring System Using Natural Language Dialogue (2001) Cogn Sci; Salah, S., Thabet, M., E-Learning Management Systems- A Feature-based Comparative Analysis (2021) Journal of Information Systems and Technology Management, 18. , May; Zhang, Y., Ghandour, A., Shestak, V., (2020) Using Learning Analytics to Predict Students Performance in Moodle LMS, , https://digitallibrary.aau.ac.ae/handle/123456789/434, Accessed: Jun. 20, 2023. Online; Raju, R., Bhat, S., Bhat, S., D'Souza, R., Singh, A.B., Effective Usage of Gamification Techniques to Boost Student Engagement (2021) Journal of Engineering Education Transformations, 34, p. 713. , 0,. Jan; Mansor, A.Z., Managing Student's Grades and Attendance Records using Google Forms and Google Spreadsheets (2012) Procedia Soc Behav Sci, 59, pp. 420-428. , Oct; Ng, C.H., MICROTEACHING VIA ZOOM IN PRESERVICE ENGLISH LANGUAGE TEACHER TRAINING: TECHNOLOGY, PEDAGOGY, AND CONTENT KNOWLEDGE (2022) EDULEARN22 Proceedings, IATED, pp. 2078-2084. , Jul; Manipatruni, V.R., Kumar, N.S., The Efficacy of Edtech Tools In Higher Education Online for The Provision of Quality Education in India During Covid-19 Pandemic (2022) EPRA International Journal of Research and Development (IJRD), 7 (3), pp. 91-95. , Dr. Mar; Ipek, O.F., Ustunbas, Z., Applications Used in Distance Education for English Language Classrooms (2021) JET (Journal of English Teaching), 7 (3), pp. 260-272. , Oct; Ipek, O.F., Ustunbas, Z., Applications Used in Distance Education for English Language Classrooms (2021) JET (Journal of English Teaching), 7 (3), pp. 260-272. , Oct; Lloyd, S., Beckman, M., Pearl, D., Passonneau, R., Li, Z., Wang, Z., Foundations for AI-Assisted Formative Assessment Feedback for Short-Answer Tasks in Large-Enrollment Classes (2022) Bridging the Gap: Empowering and Educating Today's Learners in Statistics. Proceedings of the Eleventh International Conference on Teaching Statistics, , International Association for Statistical Education, Dec; Minn, S., AI-assisted knowledge assessment techniques for adaptive learning environments (2022) Computers and Education: Artificial Intelligence, 3, p. 100050. , Jan; Bender, E.M., Gebru, T., McMillan-Major, A., Shmitchell, S., On the Dangers of Stochastic Parrots (2021) Proceedings of the 2021 ACM Conference on Fairness, Accountability, and Transparency, pp. 610-623. , New York, NY, USA: ACM, Mar; Fan, L., Li, L., Ma, Z., Lee, S., Yu, H., Hemphill, L., (2023) A Bibliometric Review of Large Language Models Research from 2017 to 2023, , http://arxiv.org/abs/2304.02020, Apr. Accessed: Jun. 17, 2023. Online; Schildkamp, K., van der Kleij, F.M., Heitink, M.C., Kippers, W.B., Veldkamp, B.P., Formative assessment: A systematic review of critical teacher prerequisites for classroom practice (2020) Int J Educ Res, 103, p. 101602. , Jan</t>
  </si>
  <si>
    <t>Tan, C.W., Faculty of Computing and Information Technology, Tunku Abdul Rahman University of Management and Technology, Setapak, Kuala Lumpur, 53300, Malaysia; Lim, K.Y., Department of Computing and Information Technology, Tunku Abdul Rahman University of Management and Technology, Penang, Malaysia</t>
  </si>
  <si>
    <t>58769187100;57194266032;</t>
  </si>
  <si>
    <t>Tan C.W., Lim K.Y.</t>
  </si>
  <si>
    <t>Hackl, V.; Faculty of Social and Educational Sciences, Germany; email: veronika.hackl@uni-passau.de</t>
  </si>
  <si>
    <t>Bursztyn, V., Demeter, D., Downey, D., Birnbaum, L., “Learning to perform complex tasks through compositional fine-tuning of language models,” (2022) Findings of the Association for Computational Linguistics: EMNLP 2022, pp. 1676-1686. , Abu Dhabi, Association for Computational Linguistics; Cao, Y., Li, S., Liu, Y., Yan, Z., Dai, Y., Yu, P.S., A comprehensive survey of AI-generated content (AIGC): a history of generative AI from GAN to ChatGPT (2023) arXiv, , [preprint]; Chen, L., Zaharia, M., Zou, J., (2023), How is ChatGPT's behavior changing over time?, [preprint]; Conijn, R., Kahr, P., Snijders, C., The effects of explanations in automated essay scoring systems on student trust and motivation (2023) J. Learn. Anal, 10, pp. 37-53; der Kleij, F.M.V., Feskens, R.C.W., Eggen, T.J.H.M., Effects of feedback in a computer-based learning environment on students' learning outcomes: a meta-analysis (2015) Rev. Educ. Res, 85, pp. 475-511; Elazar, Y., Kassner, N., Ravfogel, S., Ravichander, A., Hovy, E., Schütze, H., Measuring and improving consistency in pretrained language models (2021) arXiv, , [preprint]; Giamattei, M., Lambsdorff, J.G., classEx-an online tool for lab-in-the-field experiments with smartphones (2019) J. Behav. Exp. Finance, 22, pp. 223-231; Hattie, J., Timperley, H., The power of feedback (2007) Rev. Educ. Res, 77, pp. 81-112; Haughney, K., Wakeman, S., Hart, L., Quality of feedback in higher education: a review of literature (2020) Educ. Sci, , 10, 60; Jonsson, A., Svingby, G., The use of scoring rubrics: reliability, validity and educational consequences (2007) Educ. Res. Rev, 2, pp. 30-144; Koo, T.K., Li, M.Y., A guideline of selecting and reporting intraclass correlation coefficients for reliability research (2016) J. Chiropr. Med, 15, pp. 155-163. , 27330520; Kortemeyer, G., (2023), Can an AI-tool grade assignments an introductory physics course?, [preprint]; Liu, Y., Deng, G., Li, Y., Wang, K., Zhang, T., Liu, Y., Prompt injection attack against LLM-integrated applications (2023) arXiv, , [preprint]; Min, S., Lyu, X., Holtzman, A., Artetxe, M., Lewis, M., Hajishirzi, H., (2022), Rethinking the role of demonstrations: what makes in-context learning work?, [preprint]; Moghaddam, S.R., Honey, C.J., Boosting theory-of-mind performance in large language models via prompting (2023) arXiv, , [preprint]; Naismith, B., Mulcaire, P., Burstein, J., “Automated evaluation of written discourse coherence using GPT-4,” (2023) Proceedings of the 18th Workshop on Innovative Use of NLP for Building Educational Applications (BEA 2023), pp. 394-403. , Toronto, Association for Computational Linguistics; Narciss, S., Zumbach, J., (2020) Formative Assessment and Feedback Strategies, pp. 1-28. , Cham, Springer International Publishing; GPT-4 technical report (2023) arXiv, , [preprint]; Perez, E., Discovering language model behaviors with model-written evaluations (2022) arXiv, , [preprint]; Perez, F., Ribeiro, I., Ignore previous prompt: attack techniques for language models (2022) arXiv, , [preprint]; Ruth, L., Murphy, S.M., (1988) Designing Writing Tasks for the Assessment of Writing, , London, Bloomsbury Academic; Sailer, M., Bauer, E., Hofmann, R., Kiesewetter, J., Glas, J., Gurevych, I., Adaptive feedback from artificial neural networks facilitates pre-service teachers' diagnostic reasoning in simulation-based learning (2023) Learn Instr, , 83, 101620; Santu, S.K.K., Feng, D., TELeR: a general taxonomy of LLM prompts for benchmarking complex tasks (2023) arXiv, , [preprint]; Schulhoff, S., (2022) Learn Prompting, , https://github.com/trigaten/Learn_Prompting, Available online at; Schwarze, C., Feedbackpraktiken im schreibcoaching: texte besprechen in der hochschullehre (2021) Coaching Theor. Prax, 7, pp. 117-134; Si, C., Gan, Z., Yang, Z., Wang, S., Wang, J., Boyd-Graber, J., Prompting GPT-3 to be reliable (2023) arXiv, , [preprint]; Wei, J., Tay, Y., Bommasani, R., Raffel, C., Zoph, B., Borgeaud, S., Emergent abilities of large language models (2022) arXiv, , [preprint]; Wood, R., Shirazi, S., A systematic review of audience response systems for teaching and learning in higher education: the student experience (2020) Comput. Educ, , 31783969, 153, 103896</t>
  </si>
  <si>
    <t>The author(s) declare financial support was received for the research, authorship, and/or publication of this article. The report has been funded by the German Federal Ministry of Education and Research (BMBF) under the project DeepWrite (Grant No. 16DHBKI059). The authors are responsible for the content of this publication.</t>
  </si>
  <si>
    <t>Bundesministerium für Bildung und Forschung, BMBF: 16DHBKI059</t>
  </si>
  <si>
    <t>Hackl, V., Faculty of Social and Educational Sciences, University of Passau, Passau, Germany; Müller, A.E., Faculty of Law, University of Passau, Passau, Germany; Granitzer, M., Faculty of Computer Science and Mathematics, University of Passau, Passau, Germany; Sailer, M., Faculty of Social and Educational Sciences, University of Passau, Passau, Germany</t>
  </si>
  <si>
    <t>58308327400;58603963400;8714519100;57210924628;</t>
  </si>
  <si>
    <t>Hackl V., Müller A.E., Granitzer M., Sailer M.</t>
  </si>
  <si>
    <t>Nguyen, D.; University of Massachusetts Chan Medical SchoolUnited States; email: dan.nguyen@umassmed.edu</t>
  </si>
  <si>
    <t>Lee, P., Bubeck, S., Petro, J., Benefits, limits, and risks of GPT-4 as an AI chatbot for medicine (2023) N Engl J Med, 388 (13), pp. 1233-1239. , PMID: 36988602; (2023), 〈https://blog.google/technology/ai/bard-google-ai-search-updates/〉, Pichai S.An important next step on our AI journey. Google. Accessed: October 11; Kung, T.H., Cheatham, M., Medenilla, A., Performance of ChatGPT on USMLE: potential for AI-assisted medical education using large language models (2023) PLOS Digital Health, 2 (2); (2023), https://mackinstitute.wharton.upenn.edu/wp-content/uploads/2023/01/Christian-Terwiesch-Chat-GTP.pdf, Terwiesch C.Would Chat GPT3 get a Wharton MBA? Accessed July 13; (2023), K.D. Bommarito II MGPT takes the bar exam. Available at:. Accessed July 13; Lyu, Q., Translating radiology reports into plain language using ChatGPT and GPT-4 with prompt learning: results, limitations, and potential (2023) Vis Comput Ind Biomed Art, 6 (1); Macdonald, C., Adeloye, D., Sheikh, A., Can ChatGPT draft a research article? An example of population-level vaccine effectiveness analysis (2023) J Glob Health, 13; Stokel-Walker, C., ChatGPT listed as author on research papers: many scientists disapprove (2023) Nature, 613 (7945), pp. 620-621; Haver, H.L., Ambinder, E.B., Bahl, M., Appropriateness of breast cancer prevention and screening recommendations provided by ChatGPT (2023) Radiology, 307 (4); Rao, A., Kim, J., Kamineni, M., Evaluating ChatGPT as an adjunct for radiologic decision-making (2023) medRxiv; Giray, L., Prompt engineering with ChatGPT: a guide for academic writers (2023) Ann Biomed Eng, 51 (12), pp. 2629-2633; Haver, H.L., Ambinder, E.B., Bahl, M., Appropriateness of breast cancer prevention and screening recommendations provided by ChatGPT (2023) Radiology, 307 (4); Ekin, S., Prompt engineering for ChatGPT: a quick guide to techniques, tips, and best practices (2023) TechRxic</t>
  </si>
  <si>
    <t>Nguyen, D., University of Massachusetts Chan Medical School, Worcester, Massachusetts, United States; Swanson, D., University of Massachusetts Chan Medical School, Worcester, Massachusetts, United States; Newbury, A., Department of Radiology, University of Massachusetts Chan Medical School, Worcester, Massachusetts, United States; Kim, Y.H., Department of Radiology, University of Massachusetts Chan Medical School, Worcester, Massachusetts, United States</t>
  </si>
  <si>
    <t>58484925800;58773897400;57202112419;56590645600;</t>
  </si>
  <si>
    <t>Nguyen D., Swanson D., Newbury A., Kim Y.H.</t>
  </si>
  <si>
    <t>Riedel, M.; Department of Gynecology and Obstetrics, Germany; email: maximilian.riedel@mri.tum.de</t>
  </si>
  <si>
    <t>(2023), https://openai.com/blog/chatgpt/, OpenAI ChatGPT: Optimizing language models for dialogue. :, (Accessed September 17, 2023; Brown, T.B., Mann, B., Ryder, N., Subbiah, M., Kaplan, J., Dhariwal, P., (2020), https://arxiv.org/abs/2005.14165, Language models are few-shot learners. :, (Accessed September 17, 2023; Tamkin, A., Brundage, M., Clark, J., Ganguli, D., (2021), https://arxiv.org/abs/2102.02503, Understanding the capabilities, limitations, and societal impact of large language models. :, (Accessed September 17, 2023; Dai, Z., Yang, Z., Yang, Y., Carbonell, J., Le, Q.V., Salakhutdinov, R., (2019), https://arxiv.org/abs/1901.02860, Transformer-XL: Attentive language models beyond a fixed-length context. :, (Accessed September 17, 2023; Keskar, N.S., Mc Cann, B., Varshney, L.R., Xiong, C., Socher, R., (2019), https://arxiv.org/abs/1909.05858, CTRL: A conditional transformer language model for controllable generation. :, (Accessed September 17, 2023; Ge, J., Lai, J.C., Artificial intelligence-based text generators in hepatology: ChatGPT is just the beginning (2023) Hepatol Commun, 7, p. e0097; Eysenbach, G., The role of ChatGPT, generative language models, and artificial intelligence in medical education: a conversation with ChatGPT and a call for papers (2023) JMIR Med Educ, 9, p. e46885. , 36863937, :,, PMID; Sallam, M., ChatGPT utility in healthcare education, research, and practice: systematic review on the promising perspectives and valid concerns (2023) Healthcare (Basel), 11, p. 887. , 36981544, :,, PMID; (2020), https://www.amboss.com/us, Medical knowledge distilled. AMBOSS. :, (Accessed September 17, 2023; Gilson, A., Safranek, C.W., Huang, T., Socrates, V., Chi, L., Taylor, R.A., How does ChatGPT perform on the United States medical licensing examination? The implications of large language models for medical education and knowledge assessment (2023) JMIR Med Educ, 9, p. e45312. , 36753318, :,, PMID; Wang, R., Strong, D., (1996) Beyond accuracy: What data quality means to data consumers, , Armonk, NY, M.E. Sharpe, Inc; Kung, T.H., Cheatham, M., Medenilla, A., Sillos, C., De Leon, L., Elepaño, C., Performance of ChatGPT on USMLE: potential for AI-assisted medical education using large language models (2023) PLOS Digit Health, 2, p. e0000198; (2022), https://www.economist.com/business/2022/12/08/how-good-is-chatgpt, How good is ChatGPT? :, (Accessed September 17, 2023; (2022), https://www.sueddeutsche.de/kultur/chatgpt-kuenstliche-intelligenz-1.5708877, Die gefühlte Reution; Wang, L.K.P., Paidisetty, P.S., Cano, A.M., The next paradigm shift? ChatGPT, artificial intelligence, and medical education (2023) Med Teach, 1, p. 1; (2023), https://www.reuters.com/technology/chatgpt-sets-record-fastest-growing-user-base-analyst-note-2023-02-01/, ChatGPT sets record for fastest-growing user baseanalyst note. :, (Accessed September 17, 2023; (2023), https://insights.pecb.com/rise-chatgpt-paving-way-large-language-model-adoption/, The rise of ChatGPT: Paving the way for large language model adoption. Available from:, (Accessed September 17, 2023; (2023), https://www.cognizant.com/us/en/insights/perspectives/chatgpt-and-the-generative-ai-revolution-wf1532750, ChatGPT and the generative AI reution. :, (Accessed September 17, 2023; Biswas, S., ChatGPT and the future of medical writing (2023) Radiology, 307, p. e223312. , 36728748, :,, PMID; Khan, R.A., Jawaid, M., Khan, A.R., Sajjad, M., ChatGPT – reshaping medical education and clinical management (2023) Pak J Med Sci, 39, pp. 605-607. , 36950398, :, PMID; Temsah, O., Khan, S.A., Chaiah, Y., Senjab, A., Alhasan, K., Jamal, A., Overview of early ChatGPT’s presence in medical literature: insights from a hybrid literature review by ChatGPT and human experts (2023) Cureus, 15, p. e37281. , 37038381, :,, PMID; Weng, T.L., Wang, Y.M., Chang, S., Chen, T.J., Hwang, S.J., ChatGPT failed Taiwan’s family medicine board exam (2023) J Chin Med Assoc, 86, p. 865. , 37418340, :,, PMID; Jin, D., Pan, E., Oufattole, N., Weng, W.H., Fang, H., Szolovits, P., (2020), https://arxiv.org/abs/2009.13081, What disease does this patient have? A large-scale open domain question answering dataset from medical exams. :, (Accessed September 17, 2023; Le, A.H., Victoria, Y., Automatic Question Answering for Medical MCQs: Can It go Further than Information Retrieval? (2019) Proceedings of the International Conference on Recent Advances in Natural Language Processing (RANLP 2019), pp. 418-422. , Varna, Bulgaria, INCOMA Ltd; Jin, Q., Dhingra, B., Liu, Z., Cohen, W.W., Lu, X., (2019), https://arxiv.org/abs/1909.06146, PubMedQA: A dataset for biomedical research question answering. :, (Accessed September 17, 2023; (2022), https://hai.stanford.edu/news/stanford-crfm-introduces-pubmedgpt-27b, Introduces PubMedGPT 2.7B. :, (Accessed September 17, 2023; (2023), https://www.wolterskluwer.com/de-de/solutions/uptodate, (,) Surgeon viewing UpToDate on tablet UpToDate: Interaktive Unterstützung klinischer Entscheidungen. :, (Accessed September 17, 2023; (2023), https://www.clinicalkey.com/#!/, (,) Diagnose and treat your patients with confidence. :, (Accessed September 17, 2023; (2023), https://www.ibm.com/products/watsonx-assistant, (,) Conversational AI for fast and friendly customer care. :, (Accessed September 17, 2023; Dave, T., Athaluri, S.A., Singh, S., ChatGPT in medicine: an overview of its applications, advantages, limitations, future prospects, and ethical considerations (2023) Front Artif Intell, 6, p. 1169595. , 37215063, :,, PMID; Riedel, M., Amann, N., Recker, F., Hennigs, A., Heublein, S., Meyer, B., The COVID-19 pandemic and its impact on medical teaching in obstetrics and gynecology-a nationwide expert survey among teaching coordinators at German university hospitals (2022) PLoS One, 17, p. e0269562. , 35930549, :,, PMID; Skochelak, S.E., Stack, S.J., Creating the medical schools of the future (2017) Acad Med, 92, pp. 16-19; Irby, D.M., Cooke, M., O’Brien, B.C., Calls for reform of medical education by the Carnegie Foundation for the Advancement of Teaching: 1910 and 2010 (2010) Acad Med, 85, pp. 220-227. , 20107346, :, PMID; Enyama, D., Balti, E.V., Simeni Njonnou, S.R., Ngongang Ouankou, C., Kemta Lekpa, F., Noukeu Njinkui, D., Use of WhatsApp®, for distance teaching during COVID-19 pandemic: experience and perception from a sub-Saharan African setting (2021) BMC Med Educ, 21, p. 517. , 34598681, :,, PMID; Rahm, A.K., Töllner, M., Hubert, M.O., Klein, K., Wehling, C., Sauer, T., Effects of realistic e-learning cases on students’ learning motivation during COVID-19 (2021) PLoS One, 16, p. e0249425. , 33882079, :,, PMID; Middeke, A., Anders, S., Schuelper, M., Raupach, T., Schuelper, N., Training of clinical reasoning with a serious game versus small-group problem-based learning: a prospective study (2018) PLoS One, 13, p. e0203851; Lee, H., The rise of ChatGPT: exploring its potential in medical education (2023) Anat Sci Educ; Springer, L., Stanne, M.E., Donovan, S.S., Effects of small-group learning on undergraduates in science, mathematics, engineering, and technology: a meta-analysis (1999) Rev Educ Res, 69, pp. 21-51; Robinson, L., Small groups, big possibilities: radical pedagogical approaches to critical small-group learning in medical education (2023) Can Med Educ J, 14, pp. 178-179. , 37304643, :, PMID; Jones, R.W., Learning and teaching in small groups: characteristics, benefits, problems and approaches (2007) Anaesth Intensive Care, 35, pp. 587-592. , 18020080, :, PMID; Riedel, M., Eisenkolb, G., Amann, N., Karge, A., Meyer, B., Tensil, M., Experiences with alternative online lectures in medical education in obstetrics and gynecology during the COVID-19 pandemic-possible efficient and student-orientated models for the future? (2021) Arch Gynecol Obstet, 305, pp. 1041-1053; Burgess, A., van Diggele, C., Roberts, C., Mellis, C., Facilitating small group learning in the health professions (2020) BMC Med Educ, 20, p. 457. , 33272270, :,, PMID; Lecler, A., Duron, L., Soyer, P., Revolutionizing radiology with GPT-based models: current applications, future possibilities and limitations of ChatGPT (2023) Diagn Interv Imaging, 104, pp. 269-274. , 36858933, :, PMID; Schukow, C., Smith, S.C., Landgrebe, E., Parasuraman, S., Folaranmi, O.O., Paner, G.P., Application of ChatGPT in routine diagnostic pathology: promises, pitfalls, and potential future directions (2023) Adv Anat Pathol, , 37501529,, PMID; Lacalamita, A., Serino, G., Pantaleo, E., Monaco, A., Amoroso, N., Bellantuono, L., Artificial intelligence and complex network approaches reveal potential gene biomarkers for hepatocellular carcinoma (2023) Int J Mol Sci, 24, p. 15286. , 37894965, :,, PMID; Grünebaum, A., Chervenak, J., Pollet, S.L., Katz, A., Chervenak, F.A., The exciting potential for ChatGPT in obstetrics and gynecology (2023) Am J Obstet Gynecol, 228, pp. 696-705; Yang, X., Chen, A., PourNejatian, N., Shin, H.C., Smith, K.E., Parisien, C., A large language model for electronic health records (2022) NPJ Digit Med, 5, p. 194. , 36572766, :,, PMID; Huh, S., Are ChatGPT’s knowledge and interpretation ability comparable to those of medical students in Korea for taking a parasitology examination?: a descriptive study (2023) J Educ Eval Health Prof, 20, p. 1; Huang, H., Zheng, O., Wang, D., Yin, J., Wang, Z., Ding, S., ChatGPT for shaping the future of dentistry: the potential of multi-modal large language model (2023) Int J Oral Sci, 15, p. 29. , 37507396, :,, PMID; Beam, K., Sharma, P., Kumar, B., Wang, C., Brodsky, D., Martin, C.R., Performance of a large language model on practice questions for the neonatal board examination (2023) JAMA Pediatr, 177, p. e232373; Moshirfar, M., Altaf, A.W., Stoakes, I.M., Tuttle, J.J., Hoopes, P.C., Artificial intelligence in ophthalmology: a comparative analysis of GPT-3.5, GPT-4, and human expertise in answering StatPearls questions (2023) Cureus, 15, p. e40822. , 37485215, :,, PMID; Waisberg, E., Ong, J., Masalkhi, M., Kamran, S.A., Zaman, N., Sarker, P., GPT-4: a new era of artificial intelligence in medicine (2023) Ir J Med Sci</t>
  </si>
  <si>
    <t>The author(s) declare that no financial support was received for the research, authorship, and/or publication of this article.</t>
  </si>
  <si>
    <t>Riedel, M., Department of Gynecology and Obstetrics, Klinikum Rechts der Isar, Technical University Munich (TU), Munich, Germany; Kaefinger, K., Department of Gynecology and Obstetrics, Klinikum Rechts der Isar, Technical University Munich (TU), Munich, Germany; Stuehrenberg, A., Department of Gynecology and Obstetrics, Klinikum Rechts der Isar, Technical University Munich (TU), Munich, Germany; Ritter, V., Department of Gynecology and Obstetrics, Klinikum Rechts der Isar, Technical University Munich (TU), Munich, Germany; Amann, N., Department of Gynecology and Obstetrics, Friedrich–Alexander-University Erlangen–Nuremberg (FAU), Erlangen, Germany; Graf, A., Department of Gynecology and Obstetrics, Klinikum Rechts der Isar, Technical University Munich (TU), Munich, Germany; Recker, F., Department of Gynecology and Obstetrics, Bonn University Hospital, Bonn, Germany; Klein, E., Department of Gynecology and Obstetrics, Klinikum Rechts der Isar, Technical University Munich (TU), Munich, Germany; Kiechle, M., Department of Gynecology and Obstetrics, Klinikum Rechts der Isar, Technical University Munich (TU), Munich, Germany; Riedel, F., Department of Gynecology and Obstetrics, Heidelberg University Hospital, Heidelberg, Germany; Meyer, B., Department of Gynecology and Obstetrics, Klinikum Rechts der Isar, Technical University Munich (TU), Munich, Germany</t>
  </si>
  <si>
    <t>57205472856;58784850100;58314905800;58459247000;57219720589;57835458900;57172259900;56533117300;7004338097;57038354200;57385011800;</t>
  </si>
  <si>
    <t>Riedel M., Kaefinger K., Stuehrenberg A., Ritter V., Amann N., Graf A., Recker F., Klein E., Kiechle M., Riedel F., Meyer B.</t>
  </si>
  <si>
    <t>27 October 2023 through 28 October 2023</t>
  </si>
  <si>
    <t>9th International Conference on Socio-Technical Perspective in Information Systems Development, STPIS 2023</t>
  </si>
  <si>
    <t>Bednar P.Bednar P.Zaghloul F.Welch C.Nolte A.Nolte A.Rajanen M.Islind A.S.Hult V.H.Hult H.V.Ravarini A.Braccini A.M.</t>
  </si>
  <si>
    <t>Vaswani, A., Shazeer, N., Parmar, N., Uszkoreit, J., Jones, L., Gomez, A.N., Kaiser, L., Polosukhin, I., (2023) Attention Is All You Need, , https://doi.org/10.48550/arXiv.1706.03762; Radford, A., Narasimhan, K., (2018) Improving Language Understanding by Generative Pre-Training, , https://www.semanticscholar.org/paper/Improving-Language-Understandingby-Generative-Radford-Narasimhan/cd18800a0fe0b668a1cc19f2ec95b5003d0a5035, (accessed August 7, 2023); (2021) GPT-3 powers the next generation of apps, , https://openai.com/blog/gpt-3-apps, OpenAI, (accessed August 7, 2023); Zhang, C., Zhang, C., Zheng, S., Qiao, Y., Li, C., Zhang, M., Dam, S.K., Hong, C.S., (2023) A Complete Survey on Generative AI (AIGC): Is ChatGPT from GPT-4 to GPT-5 All You Need?, , https://doi.org/10.48550/arXiv.2303.11717; Brohan, A., Brown, N., Carbajal, J., Chebotar, Y., Chen, X., Choromanski, K., Ding, T., Zitkovich, B., (2023) RT-2: Vision-Language-Action Models, , https://roboticstransformer2.github.io/assets/rt2.pdf, (accessed August 7, 2023); Fui-Hoon Nah, F., Zheng, R., Cai, J., Siau, K., Chen, L., Generative AI and ChatGPT: Applications, challenges, and AI-human collaboration (2023) Journal of Information Technology Case and Application Research, pp. 1-28. , https://doi.org/10.1080/15228053.2023.2233814, 0; Ehrlich, P.R., Raven, P.H., Butterflies and plants: a study in coevolution (1964) Evolution, pp. 586-608; Carmona, D., Fitzpatrick, C.R., Johnson, M.T.J., Fifty years of co-evolution and beyond: integrating co-evolution from molecules to species (2015) Molecular Ecology, 24, pp. 5315-5329. , https://doi.org/10.1111/mec.13389; Lee, E.A., (2020) The Coevolution: The Entwined Futures of Humans and Machines, , https://doi.org/10.7551/mitpress/12307.001.0001, The MIT Press; Duffey, C., (2019) Superhuman Innovation: Transforming Business with Artificial Intelligence, , Kogan Page Inspire; Roucoules, L., Anwer, N., Coevolution of digitalisation, organisations and Product Development Cycle (2021) CIRP Annals, 70, pp. 519-542. , https://doi.org/10.1016/j.cirp.2021.05.003; Oppermann, Axel, (2023) Wen künstliche Intelligenzen über sich dulden, IT &amp; Karriere, , https://mediadaten.heise.de/wpcontent/uploads/2023/04/ITKarriere_Ausgabe01_2023.pdf, (accessed August 8, 2023); Böhm, K., (2023) On the implications for knowledge intensive activities in the presence of Large Language Models; https://ai.meta.com/llama/, (n.d). (accessed August 8, 2023); Phang, J., Bradley, H., Gao, L., Castricato, L., Biderman, S., (2022) EleutherAI: Going Beyond “Open Science” to “Science in the Open,”, , https://doi.org/10.48550/arXiv.2210.06413; https://gpt4all.io, GPT4All, (n.d). (accessed August 8, 2023); Weizenbaum, J., (1976) Computer Power and Human Reason: From Judgment to Calculation, , W. H. Freeman &amp; Co., USA; Ebert, C., Louridas, P., Generative AI for Software Practitioners (2023) IEEE Software, 40, pp. 30-38. , https://doi.org/10.1109/MS.2023.3265877; GitHub Copilot · Your AI pair programmer, GitHub, , https://github.com/features/copilot, (n.d). (accessed August 16, 2023); Barke, S., James, M.B., Polikarpova, N., Grounded Copilot: How Programmers Interact with Code-Generating Models | Proceedings of the ACM on Programming Languages (2023) Proceedings of the ACM on Programming Languages, 7, pp. 85-111. , https://doi.org/10.1145/3586030; Welsh, M., The End of Programming (2023) Communications of the ACM, 66, pp. 34-35. , https://doi.org/10.1145/3570220; Elaoufy, H., Bridging the Gap between Digital Native Students and Digital Immigrant Professors: Reciprocal Learning and Current Challenges: Reciprocal Learning and Current Challenges (2023) American Journal of Education and Technology, 2, pp. 23-33. , https://doi.org/10.54536/ajet.v2i2.1522; Lau, C., Caires, C., An Attempt to Examine Digital Native and Digital Immigrant Macau Graphic Designers’ Perceptions of Adopting Generative Design (2022) International Journal of Creative Interfaces and Computer Graphics, 13, pp. 1-16. , https://doi.org/10.4018/IJCICG.311424; Buragohain, D., A Survey on Digital Immigrants’ Technology Usage and Practice in Teaching Digital Natives (2019) International Research in Education, 8. , https://doi.org/10.5296/ire.v8i1.15560</t>
  </si>
  <si>
    <t>The authors would like to thank the University of Applied Kufstein Tirol for supporting the research and the reviewers of an earlier version for their valuable suggestions that helped to improve the quality of the paper.</t>
  </si>
  <si>
    <t>Böhm, K., FH Kufstein Tirol, University of Applied Sciences, Andreas-Hofer-Str. 7, Kufstein, 6330, Austria; Schedlberger, L.-M., FH Kufstein Tirol, University of Applied Sciences, Andreas-Hofer-Str. 7, Kufstein, 6330, Austria</t>
  </si>
  <si>
    <t>8690366600;58788941300;</t>
  </si>
  <si>
    <t>Böhm K., Schedlberger L.-M.</t>
  </si>
  <si>
    <t>30 November 2023 through 2 December 2023</t>
  </si>
  <si>
    <t>9th Italian Conference on Computational Linguistics, CLiC-it 2023</t>
  </si>
  <si>
    <t>Boschetti F.Boschetti F.Lebani G.E.Magnini B.Novielli N.</t>
  </si>
  <si>
    <t>Gay, M.; IUSS, P.zza Vittoria 15, Italy; email: matteo.gay@iusspavia.it</t>
  </si>
  <si>
    <t>Chesi, C., Parameters of cross-linguistic variation in expectation-based Minimalist Grammars (e-MGs) (2023) IJCoL, 9, p. 21; Nivre, J., Agić, Ž., Ahrenberg, L., Antonsen, L., Aranzabe, M.J., Asahara, M., Ateyah, L., Augustinus, L., (2017) Universal Dependencies, 2, p. 1. , others; Stabler, E., Two Models of Minimalist, Incremental Syntactic Analysis (2013) Top Cogn Sci, 5, pp. 611-633. , https://doi.org/10.1111/tops.12031; Chomsky, N., (1995) The minimalist program, , MIT press, Cambridge, MA; Chomsky, N., (1965) Aspects of the Theory of Syntax, , MIT press; Brown, T.B., Mann, B., Ryder, N., Subbiah, M., Kaplan, J., Dhariwal, P., Neelakantan, A., Amodei, D., (2020) Language Models are Few-Shot Learners, , http://arxiv.org/abs/2005.14165, arXiv:2005.14165 [Cs]. (accessed April 21, 2021); Hochreiter, S., Schmidhuber, J., Long short-term memory (1997) Neural Computation, 9, pp. 1735-1780; Vanian, J., Leswing, K., ChatGPT and generative AI are booming, but the costs can be extraordinary (2023) CNBC News; Chesi, C., Vespignani, F., Zamparelli, R., Modelli generativi e sintassi generativa (2023) Sistemi Intelligenti, 2; Wilcox, E.G., Futrell, R., Levy, R., Using Computational Models to Test Syntactic Learnability (2023) Linguistic Inquiry, pp. 1-44. , https://doi.org/10.1162/ling_a_00491; Chesi, C., (2021) Expectation-based Minimalist Grammars, , http://arxiv.org/abs/2109.13871, arXiv:2109.13871 [Cs]. (accessed November 2, 2021); Chomsky, N., Three factors in language design (2005) Linguistic Inquiry, 36, pp. 1-22; Gay, M., (2023) From Universal Dependencies to Expectation-Based Minimalist Grammars: automatic lexicon extraction and ambiguity issues, , Bachelor, IUSS; Stabler, E., Computational Perspectives on Minimalism (2011) The Oxford Handbook of Linguistic Minimalism, , https://doi.org/10.1093/oxfordhb/9780199549368.013.0027, C. Boeckx (Ed), Oxford University Press; de Marneffe, M.-C., Manning, C.D., Nivre, J., Zeman, D., Universal Dependencies (2021) Computational Linguistics, 47, pp. 255-308. , https://doi.org/10.1162/coli_a_00402; Baker, M.C., (2001) The atoms of language, , 1st ed, Basic Books, New York; Zeldes, A., The GUM Corpus: Creating Multilayer Resources in the Classroom (2017) Language Resources and Evaluation, 51, pp. 581-612. , http://dx.doi.org/10.1007/s10579-016-9343-x; Bosco, C., Dell'Orletta, F., Montemagni, S., The Evalita 2014 Dependency Parsing Task Proceedings of the First Italian Conference on Computational Linguistics CLiC-It 2014 and of the Fourth International Workshop EVALITA 2014 9-11 December 2014, , https://doi.org/10.12871/clicit201421, Pisa, pisa university press, 2014; Oflazer, K., Say, B., Hakkani-Tür, D.Z., Tür, G., Building a Turkish Treebank (2003) Treebanks, pp. 261-277. , https://doi.org/10.1007/978-94-010-0201-1_15, A. Abeillé (Ed), Springer Netherlands, Dordrecht; Tanaka, T., Miyao, Y., Asahara, M., Uematsu, S., Kanayama, H., Mori, S., Matsumoto, Y., Universal Dependencies for Japanese (2016) Proceedings of the Tenth International Conference on Language Resources and Evaluation (LREC'16), pp. 1651-1658. , https://aclanthology.org/L16-1261, European Language Resources Association (ELRA), Portorož, Slovenia; Asahara, M., Kanayama, H., Tanaka, T., Miyao, Y., Uematsu, S., Mori, S., Matsumoto, Y., Murawaki, Y., Universal Dependencies Version 2 for Japanese (2018) Proceedings of the Eleventh International Conference on Language Resources and Evaluation (LREC 2018), , N.C. (Conference chair), K. Choukri, C. Cieri, T. Declerck, S. Goggi, K. Hasida, H. Isahara, B. Maegaard, J. Mariani, H. Mazo, A. Moreno, J. Odijk, S. Piperidis, T. Tokunaga (Eds), European Language Resources Association (ELRA), Miyazaki, Japan; Osborne, T., Gerdes, K., The status of function words in dependency grammar: A critique of Universal Dependencies (UD) (2019) Glossa: A Journal of General Linguistics, 4. , https://doi.org/10.5334/gjgl.537; Cinque, G., (2002) Functional structure in DP and IP, , ed., Oxford University Press, Oxford; New York; Rizzi, L., (2004) The structure of CP and IP, , ed., Oxford University Press, Oxford; New York; Belletti, A., (2004) Structures and Beyond: The Cartography of Syntactic Structures, 3. , Oxford University Press; Cinque, G., Deriving Greenberg's Universal 20 and Its Exceptions (2005) Linguistic Inquiry, 36, pp. 315-332. , https://doi.org/10.1162/0024389054396917; Cinque, G., (1999) Adverbs and functional heads: A cross-linguistic perspective, , Oxford University Press, Oxford (UK); Rizzi, L., Null objects in Italian and the theory of pro (1986) Linguistic Inquiry, 17, pp. 501-557; Tesnière, L., (2015) Elements of structural syntax, , John Benjamins Publishing Company, Amsterdam; Philadelphia; Gage, P., A new algorithm for data compression (1994) C Users Journal, 12, pp. 23-38; Sennrich, R., Haddow, B., Birch, A., (2016) Neural Machine Translation of Rare Words with Subword Units, , http://arxiv.org/abs/1508.07909, (accessed July 24, 2023); Kobele, G.M., Minimalist Grammars and Decomposition (2023) The Cambridge Handbook of Minimalism, , G. Kleanthes K., E. Leivada (Eds), Cambridge University Press, Cambridge (UK); Warstadt, A., Singh, A., Bowman, S.R., (2018) Neural Network Acceptability Judgments, , arXiv Preprint arXiv:1805.12471</t>
  </si>
  <si>
    <t>This project is partially founded by BEXT (New Behavioral EXperimental approaches to complexity perception and stress assessment in linguistic and cognitive research) MIUR PRO3 2021-2023 and TGRA2L (Testing GRAdeness and GRAmmaticality in Linguistics) PRIN 2022 (code: 202223PL4N) Projects.</t>
  </si>
  <si>
    <t>Ministero dell’Istruzione, dell’Università e della Ricerca, MIUR: 202223PL4N, PRO3 2021-2023</t>
  </si>
  <si>
    <t>Gay, M., IUSS, P.zza Vittoria 15, Pavia, 27100, Italy; Chesi, C., IUSS, P.zza Vittoria 15, Pavia, 27100, Italy</t>
  </si>
  <si>
    <t>58789562700;55570075100;</t>
  </si>
  <si>
    <t>Gay M., Chesi C.</t>
  </si>
  <si>
    <t>Giannakopoulos, K.; School of Dentistry, 6 Diogenis St, Engomi, Cyprus; email: k.giannakopoulos@euc.ac.cy</t>
  </si>
  <si>
    <t>Schwendicke, F, Blatz, M, Uribe, S, Cheung, W, Verma, M, Linton, J, Artificial intelligence for dentistry, FDI artificial intelligence working group (2023) FDI, , https://www.fdiworlddental.org/sites/default/files/2023-01/FDI%20ARTIFICIAL%20INTELLIGENCE%20WORKING%20GROUP%20WHITE%20PAPER_0.pdf, [accessed 2023-11-29]; Seah, J., ChatGPT and the future of dentistry https://dentalresourceasia.com/chatgpt-and-the-future-of-dentistry/, Dental Resource Asia. [accessed 2023-11-29]; Carrillo-Perez, F, Pecho, OE, Morales, JC, Paravina, RD, Della Bona, A, Ghinea, R, Applications of artificial intelligence in dentistry: a comprehensive review (2022) J Esthet Restor Dent, 34 (1), pp. 259-280. , Jan; [doi] [Medline: 34842324]; Hung, K, Montalvao, C, Tanaka, R, Kawai, T, Bornstein, MM., The use and performance of artificial intelligence applications in dental and maxillofacial radiology: a systematic review (2020) Dentomaxillofac Radiol, 49 (1), p. 20190107. , Jan; [FREE Full text] [doi] [Medline: 31386555]; Khanagar, SB, Vishwanathaiah, S, Naik, S, A Al-Kheraif, A, Devang Divakar, D, Sarode, SC, Application and performance of artificial intelligence technology in forensic odontology - a systematic review (2021) Leg Med (Tokyo), 48, p. 101826. , Mar; [doi] [Medline: 33341601]; Prados-Privado, M, García Villalón, J, Martínez-Martínez, CH, Ivorra, C, Prados-Frutos, JC., Dental caries diagnosis and detection using neural networks: a systematic review (2020) J Clin Med, 9 (11), p. 3579. , Nov 06; [FREE Full text] [doi] [Medline: 33172056]; Islam, NM, Laughter, L, Sadid-Zadeh, R, Smith, C, Dolan, TA, Crain, G, Adopting artificial intelligence in dental education: a model for academic leadership and innovation (2022) J Dent Educ, 86 (11), pp. 1545-1551. , Nov; [doi] [Medline: 35781809]; (2023) Clinical practice guidelines and dental evidence, , https://www.ada.org/en/resources/research/science-and-research-institute/evidence-based-dental-research, American Dental Association. [accessed 2023-07-02]; Evidence-based dentistry (EBD), , https://www.fdiworlddental.org/evidence-based-dentistry-ebd#:-:text=EBD%20is%20an%20approach%20to,patient's%20treatment%20needs%20and%20preferences, FDI. [accessed 2023-07-02]; McGlone, P, Watt, R, Sheiham, A., Evidence-based dentistry: an overview of the challenges in changing professional practice (2001) Br Dent J, 190 (12), pp. 636-639. , Jun 23; [doi] [Medline: 11453152]; Mertens, S, Krois, J, Cantu, AG, Arsiwala, LT, Schwendicke, F., Artificial intelligence for caries detection: randomized trial (2021) J Dent, 115, p. 103849. , Dec; [doi] [Medline: 34656656]; Eggmann, F, Blatz, MB., ChatGPT: chances and challenges for dentistry (2023) Compend Contin Educ Dent, 44 (4), pp. 220-224. , Apr; [Medline: 37075729]; Vaishya, R, Misra, A, Vaish, A., ChatGPT: is this version good for healthcare and research? (2023) Diabetes Metab Syndr, 17 (4), p. 102744. , Apr; [doi] [Medline: 36989584]; Sallam, M., ChatGPT utility in healthcare education, research, and practice: systematic review on the promising perspectives and valid concerns (2023) Healthcare (Basel), 11 (6), p. 887. , Mar 19; [FREE Full text] [doi] [Medline: 36981544]; Fergus, S, Botha, M, Ostovar, M., Evaluating academic answers generated using ChatGPT (2023) J Chem Educ, 100 (4), pp. 1672-1675. , Mar 31; [doi]; Brynjolfsson, E, Li, D, Raymond, LR., Generative AI at work, , http://www.nber.org/papers/w31161, National Bureau of Economic Research. [accessed 2023-11-29]; Liu, J, Wang, C, Liu, S., Utility of ChatGPT in clinical practice (2023) J Med Internet Res, 25, p. e48568. , Jun 28; [FREE Full text] [doi] [Medline: 37379067]; Schade, M., How do I use ChatGPT browse with Bing to search the web? OpenAI, , https://help.openai.com/en/articles/8077698-how-do-i-use-chatgpt-browse-with-bing-to-search-the-web, [accessed 2023-11-29]; Too many requests in 1 hour try again later: OpenAI ChatGPT fix. OpenAI, , https://www.wepc.com/tips/too-many-requests-in-1-hour-try-again-later-open-ai-chat-gpt/, [accessed 2023-11-29]; Alhaidry, HM, Fatani, B, Alrayes, JO, Almana, AM, Alfhaed, NK., ChatGPT in dentistry: a comprehensive review (2023) Cureus, 15 (4), p. e38317. , Apr; [FREE Full text] [doi] [Medline: 37266053]; Milne-Ives, M, de Cock, C, Lim, E, Shehadeh, MH, de Pennington, N, Mole, G, The effectiveness of artificial intelligence conversational agents in health care: systematic review (2020) J Med Internet Res, 22 (10), p. e20346. , Oct 22; [FREE Full text] [doi] [Medline: 33090118]; Rao, A, Kim, J, Kamineni, M, Pang, M, Lie, W, Succi, MD., Evaluating ChatGPT as an adjunct for radiologic decision-making (2023) medRxiv, , Preprint posted online February 7, [FREE Full text] [doi] [Medline: 36798292]; ChatGPT: friend or foe? (2023) Lancet Digit Health, 5 (3), p. e102. , Mar; [FREE Full text] [doi] [Medline: 36754723]; Oliver, C., Married father kills himself after talking to AI chatbot for six weeks about his climate change fears (2023) Daily Mail, , https://www.dailymail.co.uk/news/article-11920801/Married-father-kills-talking-AI-chatbot-six-weeks-climate-change-fears.html, Mar. [accessed 2023-11-29]; Hsu, T, Lee, MS., Can we no longer believe anything we see? (2023) The New York Times, , https://www.nytimes.com/2023/04/08/business/media/ai-generated-images.html, Apr. [accessed 2023-11-29]; Browne, R., Italy became the first Western country to ban ChatGPT. Here's what other countries are doing. CNBC, , https://www.cnbc.com/2023/04/04/italy-has-banned-chatgpt-heres-what-other-countries-are-doing.html, [accessed 2023-11-29]; Chan, K., OpenAI: ChatGPT back in Italy after meeting watchdog demands https://apnews.com/article/chatgpt-openai-data-privacy-italy-b9ab3d12f2b2cfe493237fd2b9675e21, Associated Press News. [accessed 2023-04-28]; Korngiebel, DM, Mooney, SD., Considering the possibilities and pitfalls of Generative Pre-trained Transformer 3 (GPT-3) in healthcare delivery (2021) NPJ Digit Med, 4 (1), p. 93. , Jun 03; [FREE Full text] [doi] [Medline: 34083689]; (2023) OpenAI, , https://openai.com/product/gpt-4, [accessed 2023-04-19]; Eggmann, F, Weiger, R, Zitzmann, NU, Blatz, MB., Implications of large language models such as ChatGPT for dental medicine (2023) J Esthet Restor Dent, 35 (7), pp. 1098-1102. , Oct 05; [doi] [Medline: 37017291]; Balshem, H, Helfand, M, Schünemann, HJ, Oxman, AD, Kunz, R, Brozek, J, GRADE guidelines: 3. Rating the quality of evidence (2011) J Clin Epidemiol, 64 (4), pp. 401-406. , Apr 01; [doi] [Medline: 21208779]; Mehta, CR, Patel, NR., IBM SPSS exact tests (1996) IBM, , https://www.ibm.com/docs/en/SSLVMB_27.0.0/pdf/en/IBM_SPSS_Exact_Tests.pdf, [accessed 2023-11-29]; Frantsve-Hawley, J, Abt, E, Carrasco-Labra, A, Dawson, T, Michaels, M, Pahlke, S, Strategies for developing evidence-based clinical practice guidelines to foster implementation into dental practice (2022) J Am Dent Assoc, 153 (11), pp. 1041-1052. , Nov; [doi] [Medline: 36127176]; Sabzalieva, E, Valentini, A., ChatGPT and artificial intelligence in higher education. A quick start guide, , https://www.iesalc.unesco.org/wp-content/uploads/2023/04/ChatGPT-and-Artificial-Intelligence-in-higher-education-Quick-Start-guide_EN_FINAL.pdf, United Nations Educational, Scientific and Cultural Organization. [accessed 2023-11-29]; Hemachandran, K, Verma, P, Pareek, P, Arora, N, Rajesh Kumar, KV, Ahanger, TA, Artificial intelligence: a universal virtual tool to augment tutoring in higher education (2022) Comput Intell Neurosci, 2022, p. 1410448. , [FREE Full text] [doi] [Medline: 35586099]; Rudolph, J, Tan, S, Tan, S., War of the chatbots: Bard, Bing Chat, ChatGPT, Ernie and beyond (2023) J Appl Learn Teach, 6 (1), pp. 1-26. , [FREE Full text] [doi]; Introducing ChatGPT. OpenAI, , https://openai.com/blog/chatgpt, [accessed 2023-11-29]; Mago, J, Sharma, M., The potential usefulness of ChatGPT in oral and maxillofacial radiology (2023) Cureus, 15 (7), p. e42133. , Jul; [FREE Full text] [doi] [Medline: 37476297]; Roganović, J, Radenković, M, Miličić, B., Responsible use of artificial intelligence in dentistry: survey on dentists' and final-year undergraduates' perspectives (2023) Healthcare (Basel), 11 (10), p. 1480. , May 19; [FREE Full text] [doi] [Medline: 37239766]; Gao, CA, Howard, FM, Markov, NS, Dyer, EC, Ramesh, S, Luo, Y, Comparing scientific abstracts generated by ChatGPT to real abstracts with detectors and blinded human reviewers (2023) NPJ Digit Med, 6 (1), p. 75. , Apr 26; [FREE Full text] [doi] [Medline: 37100871]; Patel, SB, Lam, K., ChatGPT: the future of discharge summaries? (2023) Lancet Digit Health, 5 (3), pp. e107-e108. , Mar; [FREE Full text] [doi] [Medline: 36754724]; Jeblick, K, Schachtner, B, Dexl, J, Mittermeier, A, Stüber, AT, Topalis, J, (2022) ChatGPT makes medicine easy to swallow: an exploratory case study on simplified radiology reports, , arXiv. Preprint posted online December 30, [FREE Full text] [doi]; Kao, RT., The challenges of transferring evidence-based dentistry into practice (2006) J Evid Based Dent Pract, 6 (1), pp. 125-128. , Mar; [doi] [Medline: 17138414]; Balel, Y., Can ChatGPT be used in oral and maxillofacial surgery? (2023) J Stomatol Oral Maxillofac Surg, 124 (5), p. 101471. , Oct; [FREE Full text] [doi] [Medline: 37061037]; de Souza, LL, Lopes, MA, Santos-Silva, A, Vargas, P., The potential of ChatGPT in oral medicine: a new era of patient care? (2023) Oral Surg Oral Med Oral Pathol Oral Radiol (Forthcoming), , Oct 05 [FREE Full text] [doi] [Medline: 37968192]; Tussie, C., Transforming dentistry with ChatGPT: a guide to optimizing patient care (2023) J Am Dent Assoc (Forthcoming), , Jul 21 [FREE Full text] [doi] [Medline: 37480927]; Rai, A, Sybil, D, Shrivastava, P., AI and clinicians (2023) Br Dent J, 234 (10), pp. 711-712. , May; [FREE Full text] [doi] [Medline: 37237182]; Puladi, B, Gsaxner, C, Kleesiek, J, Hölzle, F, Röhrig, R, Egger, J., The impact and opportunities of large language models like ChatGPT in oral and maxillofacial surgery: a narrative review (2023) Int J Oral Maxillofac Surg (Forthcoming), , Oct 03 [FREE Full text] [doi] [Medline: 37798200]; Mello, MM, Guha, N., ChatGPT and physicians' malpractice risk (2023) JAMA Health Forum, 4 (5), p. e231938. , May 05; [FREE Full text] [doi] [Medline: 37200013]; EU-US trade and technology council: panel discussion on large Artificial Intelligence models, , https://digital-strategy.ec.europa.eu/en/news/eu-us-trade-and-technology-council-panel-discussion-large-artificial-intelligence-models, European Commission. [accessed 2023-07-05]; The power and perils of the "artificial hand": considering AI through the ideas of Adam Smith International Monetary Fund, , https://www.imf.org/en/News/Articles/2023/06/05/sp060523-fdmd-ai-adamsmith, [accessed 2023-07-09]; Information technology - artificial intelligence - artificial intelligence concepts and terminology: ISO/IEC 22989:2022(en), , https://www.iso.org/obp/ui/en/#iso:std:iso-iec:22989:ed-1:v1:en, International Organization for Standardization. [accessed 2023-07-29]; Framework for Artificial Intelligence (AI) systems using machine learning (ML): ISO/IEC 23053:2022(en), , https://www.iso.org/obp/ui/en/#iso:std:iso-iec:23053:ed-1:v1:en, International Organization for Standardization. [accessed 2023-11-29]; EU AI Act: first regulation on artificial intelligence, , https://www.europarl.europa.eu/news/en/headlines/society/20230601STO93804/eu-ai-act-first-regulation-on-artificial-intelligence, European Parliament. [accessed 2023-11-29]; Boon, IS, Lim, JS, Yap, MH, Au Yong, TP, Boon, CS., Artificial intelligence and soft skills in radiation oncology: data versus wisdom (2020) J Med Imaging Radiat Sci, 51 (4S), pp. S114-S115. , Dec; [doi] [Medline: 32859543]; Huang, H, Zheng, O, Wang, D, Yin, J, Wang, Z, Ding, S, ChatGPT for shaping the future of dentistry: the potential of multi-modal large language model (2023) Int J Oral Sci, 15 (1), p. 29. , Jul 28; [FREE Full text] [doi] [Medline: 37507396]; Ferres, JM, Weeks, WB, Chu, LC, Rowe, SP, Fishman, EK., Beyond chatting: the opportunities and challenges of ChatGPT in medicine and radiology (2023) Diagn Interv Imaging, 104 (6), pp. 263-264. , Jun; [doi] [Medline: 36925365]; OpenAI, , https://openai.com/research/gpt-4, [accessed 2023-11-29]; Dorri, M., AI and clinical decision making (2023) Br Dent J, 234 (10), p. 711. , May; [doi] [Medline: 37237181]</t>
  </si>
  <si>
    <t>Article; artificial intelligence chatbot; ChatGPT; clinical decision making; consensus; controlled study; evidence based dentistry; google bard; human; language; microsoft bing chat; practice guideline; qualitative analysis; quality control; artificial intelligence; dentist; evidence based dentistry; professional standard; search engine; Artificial Intelligence; Dentists; Evidence-Based Dentistry; Humans; Language; Professional Role; Search Engine</t>
  </si>
  <si>
    <t>Giannakopoulos, K., School of Dentistry, European University Cyprus, Nicosia, Cyprus; Kavadella, A., School of Dentistry, European University Cyprus, Nicosia, Cyprus; Salim, A.A., School of Dentistry, European University Cyprus, Nicosia, Cyprus; Stamatopoulos, V., Information Management Systems Institute, ATHENA Research and Innovation Center, Athens, Greece; Kaklamanos, E.G., School of Dentistry, European University Cyprus, Nicosia, Cyprus, School of Dentistry, Aristotle University of Thessaloniki, Thessaloniki, Greece, Mohammed Bin Rashid University of Medicine and Health Sciences, Dubai, United Arab Emirates</t>
  </si>
  <si>
    <t>58175285700;14037472600;58817603300;57453693400;6603502952;</t>
  </si>
  <si>
    <t>Giannakopoulos K., Kavadella A., Salim A.A., Stamatopoulos V., Kaklamanos E.G.</t>
  </si>
  <si>
    <t>Patekar, J.; RIT CroatiaCroatia; email: jakob.patekar@outlook.com</t>
  </si>
  <si>
    <t>Anitha, P., Sundaram, S., Prevalence, types and reasons for academic dishonesty among college students (2021) Journal of Studies in Social Sciences and Humanities, 7 (1), pp. 1-14; Bilić-Zulle, L., Frković, V., Turk, T., Ažman, J., Petrovečki, M., Prevalence of plagiarism among medical students (2005) Croatian Medical Journal, 46 (1), pp. 126-131. , http://www.cmj.hr/2005/46/1/15726686.htm; Brimble, M., Stevenson-Clarke, P., Perceptions of the prevalence and seriousness of academic dishonesty in Australian universities (2005) Australian Educational Researcher, 32 (3), pp. 19-44. , https://doi.org/10.1007/BF03216825; Cotton, D. R. E., Cotton, P. A., Reuben Shipway, J., Chatting and cheating: Ensuring academic integrity in the era of ChatGPT (2023) Innovations in Education and Teaching International, , https://doi.org/10.1080/14703297.2023.2190148; Crawford, J., Cowling, M., Allen, K.-A., Leadership is needed for ethical ChatGPT: Character, assessment, and learning using artificial intelligence (AI) (2023) Journal of University Teaching and Learning Practice, 20 (3). , https://doi.org/10.53761/1.20.3.02; Currie, G. M., Academic integrity and artificial intelligence: Is ChatGPT hype, hero or heresy? (2023) Seminars in Nuclear Medicine, 53 (5), pp. 719-730. , https://doi.org/10.1053/j.semnuclmed.2023.04.008; Davis, S. F., Grover, C. A., Becker, A. H., McGregor, L. N., Academic dishonesty: Prevalence, determinants, techniques, and punishments (1992) Teaching of Psychology, 19 (1), pp. 16-20. , https://doi.org/10.1207/s15328023top1901_3; Denisova-Schmidt, E., (2020) Corruption in higher education: Global challenges and responses, , (Ed). BRILL; Dukić, D., Plagiranje u digitalnome dobu: znanja i ponašanja studenata Sveučilišta J. J. Strossmayera u Osijeku (2022) Vjesnik bibliotekara Hrvatske, 65 (1), pp. 251-272. , https://doi.org/10.30754/vbh.65.1.927; Eaton, S. E., Christensen Huges, J., (2022) Academic integrity in Canada: An enduring and essential challenge, , https://doi.org/10.1007/978-3-030-83255-1, (Eds). Springer International Publishing; Greitemeyer, T., Kastenmüller, A., HEXACO, the Dark Triad, and Chat GPT: Who is willing to commit academic cheating? (2023) Heliyon, 9, pp. 1-9. , https://doi.org/10.1016/j.heliyon.2023.e19909; Hill, G., Mason, J., Dunn, A., Contract cheating: an increasing challenge for global academic community arising from COVID-19 (2021) Research and Practice in Technology Enhanced Learning, 16. , https://doi.org/10.1186/s41039-021-00166-8; Ives, B., Alama, M., Mosora, L. C., Mosora, M., Grosu-Radulescu, L., Clinciu, A. I., Cazan, A.-M., Dutu, A., Patterns and predictors of academic dishonesty in Romanian university students (2017) Higher Education, 74 (5), pp. 815-831. , https://doi.org/10.1007/s10734-016-0079-8; Jowarder, M. I., The influence of ChatGPT on social science students: Insights drawn from undergraduate students in the United States (2023) Indonesian Journal of Innovation and Applied Sciences, 3 (2), pp. 194-200. , https://doi.org/10.47540/ijias.v3i2.878; Majstorović, D., Stavovi studenata korisnika Nacionalne i sveučilišne knjižnice u Zagrebu o plagiranju i javnoj objavi ocjenskih radova (2016) Vjesnik bibliotekara Hrvatske, 59 (3), pp. 131-152. , https://hrcak.srce.hr/187613, (/4); Malesky, A., Grist, C., Poovey, K., Dennis, N., The Effects of peer influence, honor codes, and personality traits on cheating behavior in a University Setting (2021) Ethics &amp; Behavior, 22 (1). , https://doi.org/10.1080/10508422.2020.1869006; Ngo, T. T. A., The perception by university students of the use of ChatGPT in education (2023) International Journal of Emerging Technologies in Learning, 18 (17), pp. 4-19. , https://doi.org/10.3991/ijet.v18i17.39019; O'Rourke, J., Barnes, J., Deaton, A., Fulks, K., Ryan, K., Rettinger, D. A., Imitation is the sincerest form of cheating: The influence of direct knowledge and attitudes on academic dishonesty (2010) Ethics &amp; Behavior, 20, pp. 47-64. , https://doi.org/10.1080/10508420903482616; Petrak, O., Bartolac, A., Academic honesty amongst students of health studies (2014) Croatian Journal of Education, 16 (1), pp. 81-117. , https://hrcak.srce.hr/120169; Pupovac, V., Bilic-Zulle, L., Mavrinac, M., Petrovecki, M., Attitudes toward plagiarism among pharmacy and medical biochemistry students - cross-sectional survey study (2010) Biochemia Medica, 20 (2), pp. 307-313; Rigby, D., Burton, M., Balcombe, K., Bateman, I., Mulatu, A., Contract cheating &amp; the market in essays (2015) Journal of Economic Behavior &amp; Organization, 111, pp. 23-37. , https://doi.org/10.1016/j.jebo.2014.12.019; Singh, H., Tayarani-Najaran, M.-H., Yaqoob, M., Exploring computer science students' perception of ChatGPT in higher education: A descriptive and correlation study (2023) Education Science, 13 (9), pp. 1-23. , https://doi.org/10.3390/educsci13090924; Sweeney, S., Who wrote this? Essay mills and assessment - Considerations regarding contract cheating and AI in higher education (2023) International Journal of Management Education, 21 (2). , https://doi.org/10.1016/j.ijme.2023.100818; Štambuk, M., Maričić, A., Hanzec, I., Cheating is unacceptable, but… Teachers' perceptions of and reactions to students' cheating at schools and universities (2015) Croatian Journal of Education, 17 (4), pp. 259-288. , https://hrcak.srce.hr/153248; Kukolja Taradi, S., Taradi, M., Dogas, Z., Croatian medical students see academic dishonesty as an acceptable behaviour: a cross-sectional multicampus study (2012) Journal of Medical Ethics, 38 (6), pp. 376-379. , https://doi.org/10.1136/medethics-2011-100015; Vaccino-Salvadore, S., Exploring the ethical dimensions of using ChatGPT in language learning and beyond (2023) Languages, 8 (3). , https://doi.org/10.3390/languages8030191; Walker, M., Townley, C., Contract cheating: A new challenge for academic honesty? (2012) Journal of Academic Ethics, 10 (1), pp. 27-44. , https://doi.org/10.1007/s10805-012-9150-y; Yilmaz, R., Karaoglan Yilmaz, F. G., Augmented intelligence in programming learning: Examining student views on the use of ChatGPT for programming learning (2023) Computers in Human Behavior: Artificial Humans, 1 (2). , https://doi.org/10.1016/j.chbah.2023.100005</t>
  </si>
  <si>
    <t>Črček, N., RIT Croatia, Zagreb, Croatia; Patekar, J., RIT Croatia, Zagreb, Croatia</t>
  </si>
  <si>
    <t>58795361400;57070343100;</t>
  </si>
  <si>
    <t>Črček N., Patekar J.</t>
  </si>
  <si>
    <t>10 July 2023 through 12 July 2023</t>
  </si>
  <si>
    <t>(2021) ChatGPT: OpenAI's State-of-The-Art Chatbot, , OpenAI; Virvou, M., Alepis, E., Tsihrintzis, G.A., Jain, L.C., Machine learning paradigms-Advances in learning analytics (2020) Intelligent Systems Reference Library, 158. , Springer; Virvou, M., Brodsky, A., Bourbakis, N.G., Editorial (2018) Int. J. Artif. Intell. Tools, 27 (7), p. 18020031; Virvou, M., A new era towards more engaging and human-like computer-based learning by combining personalisation and artificial intelligence techniques (2018) Keynote in Proceedings of the 23rd Annual ACM Conference on Innovation and Technology in Computer Science Education, ITiCSE 2018, , Larnaca, Cyprus, July 02-04, 2018. ACM 2018 ITiCSE: 2-3; Tsihrintzis, G.A., Virvou, M., Saruwatari, T., Special collection of extended selected papers on "novel research results presented at the 14th international joint conference on knowledge-based software engineering (jckbse2022) (2022) Intelligent Decision Technologies, 16 (4), pp. 715-716. , Larnaca, Cyprus, 22-24 August 2022; Bourbakis, N.G., Tsihrintzis, G.A., Virvou, M., (2022) 13th International Conference on Information, Intelligence, Systems &amp; Applications, , IISA 2022, Corfu, Greece, July 18-20, 2022 IEEE; Virvou, M., The emerging era of human-ai interaction: Keynote address (2022) 13th International Conference on Information, Intelligence, Systems &amp; Applications, IISA 2022, Corfu, pp. 1-10. , Greece, July 18-20,. IEEE 2022; Tsihrintzis, G.A., Virvou, M., Hatzilygeroudis, I., Special collection of extended selected papers on (2021) Novel Research Results Presented in The 12th International Conference on Information, Intelligence, Systems and Applications (IISA2021), 15 (4), pp. 641-643. , Chania, Greece, 12-14 July 2021. Intelligent Decision Technologies; Tsihrintzis, G.A., Phillips-Wren, G.E., Jain, L.C., Watada, J., Intelligent decision technologies: An international journal (idt) heading into its 17th year: A short note from the editors (2023) Intelligent Decision Technologies, 17 (1), pp. 1-7; Tsihrintzis, G.A., Virvou, M., Phillips-Wren, G.E., Surveys in artificial intelligence-based technologies (2019) Intelligent Decision Technologies, 13 (4), pp. 393-394; Virvou, M., The emerging role of artificial intelligence in teaching 21st century skills in software engineering (2023) Keynote 1 in Proceedings of the 35th IEEE Conference on Software Engineering Education and Training, CSEE&amp;T 2023, , Tokyo, Japan EEE; Joyner, D.A., ChatGPT in Education: Partner or pariah? (2023) The ACM Magazine for Students - ACM Crossroads, XRDS, 29 (3), pp. 48-51; Xiao, C., Xu, S.X., Zhang, K., Wang, Y., Xia, L., Evaluating reading comprehension exercises generated by llms: A showcase of chatgpt in education applications (2023) Proceedings of the 18th Workshop on Innovative Use of NLP for Building Educational Applications, pp. 610-625. , Toronto, Canada.BEA@ACL; Kazemitabaar, M., Chow, J., Ma, C.K.T., Ericson, B.J., Weintrop, D., Grossman, T., Studying the effect of ai code generators on supporting novice learners in introductory programming (2023) Proceedings of the 2023 CHI Conference on Human Factors in Computing Systems, CHI 2023, pp. 4551-45523. , Hamburg, Germany, April 23-28, 2023. ACM 2023 CHI; Jalil, S., Rafi, S., LaToza, T.D., Moran, K., Lam, W., Chatgpt and software testing education: Promises &amp; perils (2023) IEEE International Conference on Software Testing, Verification and Validation, ICST 2023 - Workshops, pp. 4130-4137. , Dublin, Ireland, April 16-20, 2023. IEEE 2023; Ouh, E.L., Gan, B.K.S., Shim, K.J., Wlodkowski, S., Chatgpt, can you generate solutions for my coding exercises? An evaluation on its effectiveness in an undergraduate java programming course (2023) Proceedings of the 2023 Conference on Innovation and Technology in Computer Science Education V. 1, ITiCSE 2023, pp. 54-60. , Turku, Finland, ACM ITiCSE (1) 2023; Shakarian, P., Koyyalamudi, A., Ngu, N., Mareedu, L., An independent evaluation of chatgpt on mathematical word problems (mwp) (2023) AAAI Spring Symposium: MAKE; Anders, B.A., Is using chatgpt cheating, plagiarism, both, neither, or forward thinking? (2023) Patterns, 4 (3), p. 100694; Ibrahim, H., Liu, F., Asim, R., Battu, B., Benabderrahmane, S., Alhafni, B., Adnan, W., Beretta, E., Perception, performance, and detectability of conversational artificial intelligence across 32 university courses (2023) Scientific Reports Open Access, 13 (1); Wang, H., Tlili, A., Huang, R., Cai, Z., Li, M., Cheng, Z., Yang, D., Fei, C., Examining the applications of intelligent tutoring systems in real educational contexts: A systematic literature review from the social experiment perspective (2023) Educ. Inf. Technol., 28 (7), pp. 9113-9148; Chrysafiadi, K., Virvou, M., Tsihrintzis, G.A., Hatzilygeroudis, I., An adaptive learning environment for programming based on fuzzy logic and machine learning (2023) Int. J. Artif. Intell. Tools, 32 (5), pp. 23600111-236001119; Chrysafiadi, K., Papadimitriou, S., Virvou, M., Cognitive-based adaptive scenarios in educational games using fuzzy reasoning (2022) Knowl. Based Syst., 250, p. 109111; Tourtoglou, K., Virvou, M., An intelligent recommender system for trainers and trainees in a collaborative learning environment for UML (2012) Intell. Decis. Technol., 6 (2), pp. 79-95; Lampropoulos, A.S., Lampropoulou, P.S., Tsihrintzis, G.A., Music genre classification based on ensemble of signals produced by source separation methods (2010) Intell. Decis. Technol., 4 (3), pp. 229-237; Sotiropoulos, D.N., Lampropoulos, A.S., Tsihrintzis, G.A., MUSIPER: A system for modeling music similarity perception based on objective feature subset selection (2008) User Model. User Adapt. Interact., 18 (4), pp. 315-348; Stathopoulou, I.-O., Tsihrintzis, G.A., Visual affect recognition (2010) Frontiers in Artificial Intelligence and Applications, 214, pp. 1-247. , IOS Press; Ashwin, T.S., Prakash, V., Ramkumar rajendran: A systematic review of intelligent tutoring systems based on gross body movement detected using computer vision (2023) Comput. Educ. Artif. Intell., 4, p. 100125; Greer, J.E., Mark, M., Evaluation methods for intelligent tutoring systems revisited (2016) Int. J. Artif. Intell. Educ., 26 (1), pp. 387-392; Van Lehn, K., Wetzel, J., Grover, S., Van De Sande, B., Learning how to construct models of dynamic systems: An initial evaluation of the dragoon intelligent tutoring system (2017) IEEE Trans. Learn. Technol., 10 (2), pp. 154-167; Lampropoulou, P.S., Lampropoulos, A.S., Tsihrintzis, G.A., Evaluation of a middleware system for accessing digital music libraries in mobile services (2008) Fifth International Conference on Information Technology: New Generations (ITNG 2008), ITNG, pp. 1206-1207. , 7-8 April 2008, Las Vegas, Nevada, USA. IEEE Computer Society 2008; Brajkovic, E., Vasic, D., Tree and word embedding based sentence similarity for evaluation of good answers in intelligent tutoring system (2017) 25th International Conference on Software, Telecommunications and Computer Networks, SoftCOM 2017 SoftCOM, pp. 1-5. , Split, Croatia, September 21-23, 2017. IEEE 2017; Martin, B., Mitrovic, A., Koedinger, K.R., Mathan, S., Evaluating and improving adaptive educational systems with learning curves (2011) User Modeling and User-Adapted Interaction, 21 (3), pp. 249-283; Chrysafiadi, K., Virvou, M., Tsihrintzis, G.A., Hatzilygeroudis, I., Evaluating the user's experience, adaptivity and learning outcomes of a fuzzy-based intelligent tutoring system for computer programming for academic students in Greece (2023) Educ. Inf. Technol., 28 (6), pp. 6453-6483; Virvou, M., Kabassi, K., Evaluating an intelligent graphical user interface by comparison with human experts (2004) Knowl. Based Syst., 17 (1), pp. 31-37; Chrysafiadi, K., Virvou, M., Evaluating the user experience of a fuzzy-based intelligent tutoring system (2021) 12th International Conference on Information, Intelligence, Systems &amp; Applications, IISA 2021, , Chania Crete, Greece, July 12-14,. IEEE 2021 IISA 2021: 1-7; Virvou, M., Artificial intelligence and user experience in reciprocity: Contributions and state of the art (2023) Intell. Decis. Technol., 17 (1), pp. 73-125; Mougiakou, E., Virvou, M., Based on GDPR privacy in UML: Case of e-learning program (2017) 8th International Conference on Information, Intelligence, Systems &amp; Applications, IISA 2017, pp. 1-8. , Larnaca, Cyprus, August 27-30, 2017. IEEE 2017; Koutanis, D., Tsihrintzis, G.A., Virvou, M., Identifying and managing risks in the development of online educational software (2014) 5th International Conference on Information, Intelligence, Systems and Applications, IISA 2014, pp. 245-252. , Chania, Crete, Greece, July 7-9,. IEEE 2014, IISA 2014; Kamitsios, M., Chrysafiadi, K., Virvou, M., Sakkopoulos, E., A stereotype user model for an educational game: Overcome the difficulties in game playing and focus on the educational goal (2018) 9th International Conference on Information, Intelligence, Systems and Applications, IISA 2018,. IEEE Computer Society 2018, pp. 1-6; Chrysafiadi, K., Virvou, M., Evaluating the learning outcomes of a fuzzy-based intelligent tutoring system (2021) 33rd IEEE International Conference on Tools with Artificial Intelligence, ICTAI 2021, ICTAI 2021, pp. 1392-1397. , Washington, DC, USA, November 1-3,. IEEE 2021</t>
  </si>
  <si>
    <t>ACKNOWLEDGEMENTS This work has been partly supported by the University of Piraeus Research Center and co-financed by the European Regional Development Fund of the European Union and Greek national funds through the Operational Program Competitiveness, Entrepreneurship and Innovation, under thecall RESEARCH-CREATE-INNOVATE (project “KnowYourVisitor”, project code: T2EDK-02654).</t>
  </si>
  <si>
    <t>T2EDK-02654; European Regional Development Fund, ERDF; University of Piraeus Research Centre, UPRC</t>
  </si>
  <si>
    <t>Virvou, M., University of Piraeus, Department of Informatics, Piraeus, Greece; Tsihrintzis, G.A., University of Piraeus, Department of Informatics, Piraeus, Greece</t>
  </si>
  <si>
    <t>7003569675;7003361233;</t>
  </si>
  <si>
    <t>Virvou M., Tsihrintzis G.A.</t>
  </si>
  <si>
    <t>Sidiropoulou, M.; Democritus University of Thrace, Greece; email: masidiro@psed.duth.gr</t>
  </si>
  <si>
    <t>Abbas, N., Whitfield, J., Atwell, E., Bowman, H., Pickard, T., Walker, A., Online chat and chatbots to enhance mature student engagement in higher education (2022) International Journal of Lifelong Education, 41, pp. 308-326; Antonis, K., Lampsas, P., Prentzas, J., Adult distance learning using a Web-based learning management system: Methodology and results (2007) Advances in Web-Based Learning, Lecture Notes in Computer Science, 4823, pp. 508-519. , H. Leung, F. Li, R. Lau, and Q. Li, Eds. Heidelberg: Springer2007; Chen, L., Chen, P., Lin, Z., Artificial intelligence in education: A review (2020) IEEE Access, 8, pp. 75264-75278; Chocarro, R., Cortiñas, M., Marcos-Matás, G., Teachers' attitudes towards chatbots in education: A technology acceptance model approach considering the effect of social language, bot proactiveness, and users' characteristics (2023) Educational Studies, 49, pp. 295-313; Dwivedi, Y.K., Kshetri, N., Hughes, L., Slade, E.L., Jeyaraj, A., Kar, A.K., Wright, R., So what if ChatGPT wrote it? Multidisciplinary perspectives on opportunities, challenges and implications of generative conversational AI for research, practice and policy (2023) International Journal of Information Management, 71, p. 102642; Holmes, W., Bialik, M., Fadel, C., Artificial intelligence in education (2023) Data Ethics: Building Trust: How Digital Technologies can Serve Humanity, pp. 621-653. , C. Stückelberger and P. Duggal, Eds. Geneva: Globethics Publications; Hwang, G.-J., Chang, C.-Y., A review of opportunities and challenges of chatbots in education Interactive Learning Environments, , in press; Karipidis, N., Prentzas, J., Requirements for the successful implementation of distance education programs in the digital era: Toward a more inclusive and resilient society (2023) Handbook of Research on Education Institutions, Skills, and Jobs in the Digital Era, pp. 76-95. , P. O. de Pablos, X. Zhang, and M. N. Almunawar, Eds. Hershey: IGI Global; Lo, C.K., What is the impact of ChatGPT on education? A rapid review of the literature (2023) Education Sciences, 13, p. 410; Prentzas, J., Artificial intelligence methods in early childhood education (2013) Artificial Intelligence, Evolutionary Computation and Metaheuristics, Studies in Computational Intelligence, 427, pp. 169-199. , X.-S. Yang, Ed. Heidelberg: Springer-Verlag; Prentzas, J., (2016) Digital Stories and their Integration in Early Childhood and Primary Education: Teaching Scenarios and Practical Ideas, , New York: Nova Science Publishers; Roblyer, M.D., Hughes, J.E., (2018) Integrating Educational Technology into Teaching: Transforming Learning Across Disciplines, , 8th Edition. New York: Pearson,; Surameery, N.M.S., Shakor, M.Y., Use chat gpt to solve programming bugs (2023) International Journal of Information Technology and Computer Engineering, 3, pp. 17-22</t>
  </si>
  <si>
    <t>Prentzas, J., Democritus University of Thrace, Dept. of Education Sciences in Early Childhood, Alexandroupolis, Greece; Sidiropoulou, M., Democritus University of Thrace, Dept. of Education Sciences in Early Childhood, Alexandroupolis, Greece</t>
  </si>
  <si>
    <t>55993265400;58806756700;</t>
  </si>
  <si>
    <t>Prentzas J., Sidiropoulou M.</t>
  </si>
  <si>
    <t>4 August 2023 through 6 August 2023</t>
  </si>
  <si>
    <t>4th IEEE International Conference on Pattern Recognition and Machine Learning, PRML 2023</t>
  </si>
  <si>
    <t>IEEE;Sichuan University;Xinjiang University</t>
  </si>
  <si>
    <t>Zhu, Y.; Shanghai Library (Institute of Scientific and Technical Information of Shanghai)China; email: yuzhu@libnet.sh.cn</t>
  </si>
  <si>
    <t>Disaster Management Using Conditional Random Fields (2020) Journal of Advances in Information Technology, 11 (2), pp. 97-102. , May; Czejdo, C., Bhattacharya, S., Increasing Accessibility of Language Models with Multi-stage Information Extraction (2022) Journal of Advances in Information Technology, 13 (2), pp. 181-185. , April; Nirvana, N., Habibullah, P., Haque Rafi, E., Alam, E., Khan, R., Detection of Fake News Using Machine Learning and Natural Language Processing Algorithms (2022) Journal of Advances in Information Technology, 13 (6), pp. 652-661. , December; Ketmaneechairat, H., Maliyaem, M., Corpus-Based Vocabulary List for Thai Language (2023) Journal of Advances in Information Technology, 14 (2), pp. 319-327; Ma, Y., Bin, Y., Wen, F., Yigan, A., Design of a Pythonbased Emotion Counseling Robot for College Students[J] Computer and Network, pp. 28-29; Lu, C., Lu, G., (2021) Research and Implementation of Chat System Based on Background Knowledge, , Master s Thesis University of Electronic Science and Technology of China June; Lin, L., Zhao, B., (2022) Research on the Appearance Design of Elderly Home Care Robot Based on Emotional Design, , Master s Thesis Qingdao University July; Yang, J., Zhang, X., (2021) Research on Old People S Chatting Robot Based on Deep Learning, , Master s Thesis Guangdong University of Technology May; Shangguan, X., Lv, J., Zhang, H., Liu, L., Design and Implementation of Text Sentiment Chatbot System based on Deep Learning[J] (2023) Software Engineering, 26 (4), pp. 46-51; Xu, T., Wang, Q., Zhang, Y., (2022) Research and Design of Dialogue System Based on Petroleum Exploration and Production, , Master s Thesis Northeast Petroleum University, June; Guo, H., Zhang, W., Yuan, J., Li, Z., Research on Active Dialogue Methods of Police Crisis Negotiation Robot[J] (2021) Information and Computer, 6, pp. 149-155; Zhang, X., Li, D., Ren, P., Chen, Z., Ma, J., Memory Networks Based Knowledge-Aware Medical Dialogue Generation[J] (2022) Journal of Computer Research and Development, 59 (12), pp. 2889-2900; Shen, F., Liu, D., (2021) Research and Implementation of Customer Service Robot Facing the Financial Field, , Master s Thesis University of Electronic Science and Technology of China, June; Hu, P., Ke, X., (2022) The Research of Multi-Turn Dialogue Models Based on Deep Learning, , Master s Thesis Shanghai University April; Wang, H., Guo, B., Hao, S., Zhang, Q., Yu, Z., Personalized Dialogue Content Generation Based on Deep Learning[J] (2020) Journal of Graphics, 41 (2), pp. 210-216. , April; Liu, C., Li, Y., (2022) Research on Improved Intelligent Generative Dialogue Algorithm Based on Knowledge Graph, , Master s Thesis Wuhan Textile University June; Ding, H., Qu, M., (2021) The Design and Implementation of Dialogue Robot Based on Knowledge Graph, , Master s Thesis Harbin Institute of Technology June; Hu, E., Shen, Y., Wallis, P., Allen-Zhu, Z., Li, Y., (2021) Lora: Low-rank Adaptation of Large Lan-guage Models, , https://arXiv2106.09685v2, [cs.CL]16 Oct; Zhang, R., Han, J., Zhou, A., Hu, X., Yan, S., (2023) LLaMA-Adapter: Efficient Fine-Tuning of Language Models with Zeroinit Attention, , https://arXiv2303.16199v1, [cs.CV] 28 Mar; Wang, Y., Kordi, Y., Mishra, S., Liu, A., Smith, N.A., (2023) SELF-INSTRUCT: Aligning Language Models with Self-Generated Instructions, , https://arXiv2212.10560v2, [cs.CL] 25 May; Touvron, H., Lavril, T., Izacard, G., Martinet, X., Lachaux, M., (2023) LLaMA: Open and Efficient Foundation Language Models, , arXiv:2302.13971v1 [cs.CL] 27 Feb; https://github.com/lm-sys/FastChat</t>
  </si>
  <si>
    <t>Zhu, Y., Shanghai Library (Institute of Scientific and Technical Information of Shanghai), Shanghai, China; Ling, Y., Shanghai Xiangming High School, Shanghai, China; Ling, X., Shanghai Normal University Tianhua College, School of Artificial Intelligence, Shanghai, China; Yang, J., Institute of Image Processing and Pattern Recognition, Shanghai Jiaotong University, Shanghai, China</t>
  </si>
  <si>
    <t>58553214300;58806481700;57221330979;15039078800;</t>
  </si>
  <si>
    <t>Zhu Y., Ling Y., Ling X., Yang J.</t>
  </si>
  <si>
    <t>6 October 2023 through 7 October 2023</t>
  </si>
  <si>
    <t>5th International Conference on Cybernetics and Intelligent Systems, ICORIS 2023</t>
  </si>
  <si>
    <t>Taju, S.W.; Klabat University, Indonesia; email: semmy@unklab.ac.id</t>
  </si>
  <si>
    <t>Ventayen, R.J.M., (2023) OpenAI ChatGPT generated results: Similarity index of artificial intelligence-based contents, , Available at SSRN 4332664; Touvron, H., (2023) Llama: Open and efficient foundation language models; Sun, Y., (2021) Ernie 3. 0: Large-scale knowledge enhanced pre-training for language understanding and generation; Ram, B., Pratima Verma, P.V., Artificial intelligence AI-based Chatbot study of ChatGPT, Google AI Bard and Baidu AI (2023) World Journal of Advanced Engineering Technology and Sciences, 8 (1), pp. 258-261; Ranoliya, B.R., Raghuwanshi, N., Singh, S., Chatbot for university related FAQs (2017) 2017 International Conference on Advances in Computing, Communications and Informatics (ICACCI), IEEE, pp. 1525-1530; Rampengan, E.G.C.R., Taju, S.W., Tewu, V., Chatbot Widget as Online Virtual Assistant for Dormitory Room Information and Reservation Service at Klabat University (2023) CogITo Smart Journal, 9 (1), pp. 181-192; Chintagunta, B., Katariya, N., Amatriain, X., Kannan, A., Medically aware GPT-3 as a data generator for medical dialogue summarization (2021) Machine Learning for Healthcare Conference, PMLR, pp. 354-372; Sarol, S.D., Mohammad, M.F., Rahman, N.A.A., Mobile Technology Application in Aviation: Chatbot for Airline Customer Experience (2022) Technology Application in Aviation, Tourism and Hospitality: Recent Developments and Emerging Issues, pp. 59-72. , Springer; Vasishta, C., Chrissie, B., Netflix Movie Recommendation Using Cosine Similarity; Ritha, N., Sentiment Analysis of Health Protocol Policy Using K-Nearest Neighbor and Cosine Similarity (2023) ICSEDTI 2022: Proceedings of the 1st International Conference on Sustainable Engineering Development and Technological Innovation, ICSEDTI 2022, p. 195. , 11-13 October 2022, Tanjungpinang, Indonesia, European Alliance for Innovation; Makela, E., (2008) Survey of Semantic Search Research.; Charbel, N., Sallaberry, C., Laborie, S., Chbeir, R., FEED2SEARCH: a framework for hybrid-molecule based semantic search (2023) International Journal of General Systems, 52 (3), pp. 343-383; Friedman, N., Geiger, D., Goldszmidt, M., Bayesian network classifiers (1997) Machine learning, 29 (2), pp. 131-163; Liaw, A., Wiener, M., Classification and regression by randomForest (2002) R news, 2 (3), pp. 18-22; Keller, J.M., Gray, M.R., Givens, J.A., A fuzzy k-nearest neighbor algorithm (1985) IEEE transactions on systems, man, and cybernetics, (4), pp. 580-585; Huang, S., Cai, N., Pacheco, P.P., Narrandes, S., Wang, Y., Xu, W., Applications of support vector machine (SVM) learning in cancer genomics (2018) Cancer genomics &amp; proteomics, 15 (1), pp. 41-51; Shynk, J.J., Performance surfaces of a single-layer perceptron (1990) IEEE Transactions on Neural Networks, 1 (3), pp. 268-274</t>
  </si>
  <si>
    <t>ACKNOWLEDGMENT This work is supported with good condition and funded by the Computer Science Faculty at Klabat University.</t>
  </si>
  <si>
    <t>The rapid advancement of Artificial Intelligence (AI) in recent years has transformed numerous sectors, including information services. This study introduces Unklabot 1.0, an innovative AI-powered chatbot specially designed and proposed for information services at Klabat university. Unklabot 1.0 was developed to take advantage of an advanced large language model (LLM), namely OpenAI GPT-3 (text-davinci-003), and integrate it with intent recognition and knowledge-based context understanding using semantic search technique to provide accurate and efficient question answering capabilities about Klabat University. To enhance Unklabot's performance, intent recognition is integrated into the Unklabot system. Moreover, this intent recognition helps identify the purpose behind user queries, allowing the chatbot to understand user intentions more accurately. Furthermore, semantic search technique is employed to enhance the capabilities of the Unklabot by understanding the meaning behind user queries and retrieve information in external knowledge based on the closest context or chunk. Utilizing OpenAI GPT-3 API, Unklabot can processes natural language inputs, providing comprehensive and contextually relevant answers to user inquiries. This research successfully implemented the OpenAI GPT-3 API in information services, offering a valuable tool to increase the engagement of AI usage in educational institutions such as Klabat University. © 2023 IEEE.</t>
  </si>
  <si>
    <t>Taju, S.W., Klabat University, Department of Computer Science, Manado, Indonesia; Ferry Mandias, G., Klabat University, Department of Computer Science, Manado, Indonesia; Moedjahedy, J.H., Klabat University, Department of Computer Science, Manado, Indonesia; Kusuma Wahyudi, A., Klabat University, Department of Computer Science, Manado, Indonesia; Rotikan, R., Klabat University, Department of Computer Science, Manado, Indonesia; Putra, E.Y., Klabat University, Department of Computer Science, Manado, Indonesia</t>
  </si>
  <si>
    <t>57193140038;58813072200;57211551601;58813160700;57210460851;57192379966;</t>
  </si>
  <si>
    <t>Taju S.W., Ferry Mandias G., Moedjahedy J.H., Kusuma Wahyudi A., Rotikan R., Putra E.Y.</t>
  </si>
  <si>
    <t>26 October 2023 through 29 October 2023</t>
  </si>
  <si>
    <t>22nd IEEE/WIC International Conference on Web Intelligence and Intelligent Agent Technology, WI-IAT 2023</t>
  </si>
  <si>
    <t>Ca' Foscari University of Venice;IEEE Computer Society;Institute of Electrical and Electronics Engineers (IEEE);IOS Press;Web Intelligence Consortium (WIC)</t>
  </si>
  <si>
    <t>Nakanishi, T.; Musashino University, Japan; email: takafumi.nakanishi@ds.musashino-u.ac.jp</t>
  </si>
  <si>
    <t>Baidoo-Anu, D., Owusu Ansah, L., (2023) Education in the Era of Generative Artificial Intelligence (AI): Understanding the Potential Benefits of ChatGPT in Promoting Teaching and Learning, , https://dx.doi.org/10.2139/ssrn.4337484, SSRN 4337484; Kasneci, E., ChatGPT for good? on opportunities and challenges of large language models for education (2023) Learning and Individual Differences, 103, p. 102274; Dijkstra, R., (2022) Reading Comprehension Quiz Generation Using Generative Pre-trained Transformers, , https:1Ie.humanities.uva.nVpublications/2022/dijk-read22.pdf; Abdelghani, R., GPT-3-Driven Pedagogical Agents to Train Children's Curious Question-Asking Skills (2023) International Journal of Artificial Intelligence in Education, pp. 1-36. , https:J/doi.org/I0.1007/s40593-023-00340-7; MacNeil, S., Generating diverse code explanations using the gpt-3 large language model (2022) In Proceedings of the 2022 Acm Conference on International Computing Education Research, 2, pp. 37-39; Bhat, S., Towards automated generation and evaluation of questions in educational domains (2022) In Proceedings of the 15th International Conference on Educational Data Mining, 70, p. 1; Jia, Q., (2021) All-in-one: Multi-task Learning Bert Models for Evaluating Peer Assessments; Moore, S., Assessing the quality of student-generated short answer questions using GPT-3 (2022) European Conference on Technology Enhanced Learning, pp. 243-257. , Cham: Springer International Publishing; Brown, T., Mann, B., Ryder, N., Language models are few-shot learners (2020) Advances in Neural Information Processing Systems, 33, pp. 1877-1901; Wu, Q., Bansal, G., Zhang, J., (2023) AutoGen: Enabling Next-Gen Llm Applications Via Multi-Agent Conversation Framework; Page, S., (2008) The Difference: How the Power of Diversity Creates Better Groups, Finns, Schools, and Societies-New Edition, , Princeton Univ Pr; Ji, Z., Lee, N., Frieske, T.R., Yu, D., Xu, S.Y., SuJVey of hallucination in natural language generation (2023) Acm Computing SuJVeys, 55 (12), pp. 1-38</t>
  </si>
  <si>
    <t>This paper presents an Inquirer-Responder architecture consisting of multiple LLM instances and applies it to a method for automatically generating feedback comments on student reports by emulating virtual hearing Q&amp;A. This method uses faculty education materials and student reports as inputs for multiple LLM instances. In education, quickly returning personalized feedback to each student is crucial but burdensome for faculty. The implementation of a system that automatically and promptly returns feedback on student submissions can improve student learning efficiency and reduce the faculty workload. Our proposed architecture consists of two LLM instances, referred to as inquirer and responder. The inquirer is an LLM instance that reads the material (e.g., lecture materials) provided by the faculty, poses questions, and evaluates the responses from the responder. The responder is an LLM instance that reads student submissions (e.g., reports) and answers questions posed by the inquirer based on the contents of those submissions. This architecture uses faculty materials and student submissions to emulate a virtual hearing, with evaluation based on the knowledge extracted from both the faculty materials and student submissions. This architecture can be applied to various systems that automatically and quickly check submissions and return feedback. In this study, we established a hypothetical use case for a university class and conducted experiments. As a result, there were some cases in which the evaluation was difficult owing to the performance of the current LLM. However, the proposed architecture provides a new perspective on the design of automatic feedback systems and is a step toward their improvement. © 2023 IEEE.</t>
  </si>
  <si>
    <t>Nakanishi, T., Musashino University, Department of Data Science, Tokyo, Japan</t>
  </si>
  <si>
    <t>7402644059;</t>
  </si>
  <si>
    <t>5 October 2023 through 6 October 2023</t>
  </si>
  <si>
    <t>Conference on Library and knowledge management in times of crisis, 2023</t>
  </si>
  <si>
    <t>Alto, V., (2023) Modern generative AI with ChatGPT and OpenAI models: leverage the capabilities of OpenAI's LLM for productivity and innovation with GPT3, , https://www.oreilly.com/library/view/-/9781805123330/, Birmingham, UK: Packt Publishing. Retrieved October 12, 2023 from (in English); Currie, G., Academic integrity and artificial intelligence: is ChatGPT hype, hero or heresy? (2023) Seminars in Nuclear Medicine, 53 (5), pp. 719-730. , https://doi.org/10.1053/j.semnuclmed.2023.04.008, (in English); Dashti, M., Londono, J., Ghasemi, S., Moghaddasi, N., How much can we rely on artificial intelligence chatbots such as the ChatGPT software program to assist with scientific writing? (2023) The Journal of Prosthetic Dentistry, , https://doi.org/10.1016/j.prosdent.2023.05.023, (in English); Dwivedi, Y. K., Hughes, L., Ismagilova, E., Aarts, G., Coombs, C., Crick, T., Williams, M. D., Artificial Intelligence (AI): Multidisciplinary perspectives on emerging challenges, opportunities, and agenda for research, practice and policy (2021) International Journal of Information Management, 57, p. 101994. , https://doi.org/10.1016/j.ijinfomgt.2019.08.002, (in English); Dwivedi, Y. K., Kshetri, N., Hughes, L., Slade, E. L., Jeyaraj, A., Kar, A. K., Wright, R., “So what if ChatGPT wrote it?”: Multidisciplinary perspectives on opportunities, challenges and implications of generative conversational AI for research, practice and policy (2023) International Journal of Information Management, 71, p. 102642. , https://doi.org/10.1016/j.ijinfomgt.2023.102642, (in English); Floridi, L., Chiriatti, M., GPT-3: Its nature, scope, limits, and consequences (2020) Minds and Machines, 30, pp. 681-694. , https://doi.org/10.1007/s11023-020-09548-1, (in English); Gasparini, A., Kautonen, H., Understanding artificial intelligence in research libraries: An extensive literature review (2022) LIBER Quarterly: The Journal of European Research Libraries, 32 (1), pp. 1-36. , https://doi.org/10.53377/lq.10934, (in English); Grace, K., Salvatier, J., Dafoe, A., Zhang, B., Evans, O., When will AI exceed human performance? Evidence from AI experts (2018) Journal of Artificial Intelligence Research, 62, pp. 729-754. , https://doi.org/10.1613/jair.1.11222, (in English); Haenlein, M., Kaplan, A., A brief history of artificial intelligence: On the past, present, and future of artificial intelligence (2019) California Management Review, 61 (4), pp. 5-14. , https://doi.org/10.1177/0008125619864925, (in English); Hervieux, S., Wheatley, A., (2022) The rise of AI: implications and applications of artificial intelligence in academic libraries, , (Eds). Chicago, IL: Association of College and Research Libraries. (in English); Hill-Yardin, E. L., Hutchinson, M. R., Laycock, R., Spencer, S. J., A Chat (GPT) about the future of scientific publishing (2023) Brain, Behavior, and Immunity, 110, pp. 152-154. , https://doi.org/10.1016/j.bbi.2023.02.022, (in English); (2020) IFLA Statement on libraries and artificial intelligence, , https://repository.ifla.org/handle/123456789/1646, Retriеved from (in English); Leslie, D., Does the sun rise for ChatGPT? Scientific discovery in the age of generative AI (2023) AI and Ethics, , https://doi.org/10.1007/s43681-023-00315-3, (in English); Lund, B. D., Wang, T., Chatting about ChatGPT: How may AI and GPT impact academia and libraries? (2023) Library Hi Tech News, 40 (3), pp. 26-29. , http://dx.doi.org/10.2139/ssrn.4333415, (in English); Manohar, N., Prasad, S. S., Use of ChatGPT in academic publishing: a rare case of seronegative systemic lupus erythematosus in a patient with HIV infection (2023) Cureus, 15 (2). , https://doi.org/10.7759/cureus.34616, (in English); Russell, S. J., Norvig, P., Popineau, F., Miclet, L., Cadet, C., (2021) Intelligence artificielle: une approche moderne (4e éd.), , Pearson France. (in French); van Dis, E. A., Bollen, J., Zuidema, W., van Rooij, R., Bockting, C. L., ChatGPT: five priorities for research (2023) Nature, 614, pp. 224-226. , https://doi.org/10.1038/d41586-023-00288-7, (in English); Vaswani, A., Shazeer, N., Parmar, N., Uszkoreit, J., Jones, L., Gomez, A. N., Polosukhin, I., Attention Is All You Need (2017) Advances in Neural Information Processing Systems, 30. , https://doi.org/10.48550/arXiv.1706.03762, (in English); Williams, K. C., Lowendahl, J.-M., (2018) 5 Best Practices for Artificial Intelligence in Higher Education, , https://www.gartner.com/en/documents/3895923, Gartner. Retrieved October 11, 2023 from (in English); Yan, Y., Li, B., Feng, J., Du, Y., Lu, Z., Huang, M., Li, Y., Research on the impact of trends related to ChatGPT (2023) Procedia Computer Science, 221, pp. 1284-1291. , https://doi.org/10.1016/j.procs.2023.08.117, (in English)</t>
  </si>
  <si>
    <t>Yaroshenko, T.O., National University of Kyiv Mohyla Academy, Kyiv, Ukraine; Iaroshenko, O.I., National University of Kyiv Mohyla Academy, Kyiv, Ukraine</t>
  </si>
  <si>
    <t>56462729200;58823375900;</t>
  </si>
  <si>
    <t>Yaroshenko T.O., Iaroshenko O.I.</t>
  </si>
  <si>
    <t>2-s2.0-85183019798</t>
  </si>
  <si>
    <t>J. Libr. Inf. Sci. Agric.</t>
  </si>
  <si>
    <t>Chinese</t>
  </si>
  <si>
    <t>Agricultural Information Institute, Chinese Academy of Agricultural Sciences</t>
  </si>
  <si>
    <t>https://baike.baidu.com/item/ChatGPT, 百度百科. ChatGPT[EB/OL].[2023-03-23]. Baidu Baike. ChatGPT [EB/OL].[2023-03-23]. https://baike.baidu.com/item/ChatGPT; Baidu, Baike, ERNIE bot https://baike.baidu.com/item/文心一言, 百度百科. 文心一言[EB/OL].[2023-03-23]. [EB/OL]. [2023-03 23]. https://baike.baidu.com/item/文心一言; Baidu, Baike, Bard https://baike.baidu.com/item/Bard/62648598, 百度百科. Bard[EB/OL]. [2023-03-23]. [EB/OL].[2023-03-23]. https://baike.baidu.com/item/Bard/62648598; LU, W H, YANG, X F., Artificial intelligence and human subjectivity reflection (2023) Journal of Chongqing university of posts and telecommunications (social science edition), 35 (2), pp. 85-92. , 卢卫红, 杨新福. 人工智能与人的主体性反思[J]. 重庆邮电大学学报(社会科学版), 2023, 35(2): 85-92. [J]; ZHANG, Z X, ZENG, J X, XIA, C J, Information resource management researchers' thinking about the opportunities and challenges of AIGC (2023) Journal of library and information science in agriculture, 35 (1), pp. 4-25. , 张智雄, 曾建勋, 夏翠娟, 等. 回应 AIGC 的信息资源管理学人思考[J]. 农业图书情报学报, 2023, 35(1): 4-25. [J]; CAO, S J, CAO, R Y., Influence of generative AI on the research and practice of information science from the perspective of ChatGPT (2023) Journal of modern information, 43 (4), pp. 3-10. , 曹树金, 曹茹烨. 从 ChatGPT 看生成式 AI 对情报学研究与实践的影响[J]. 现代情报, 2023, 43(4): 3-10. [J]; ZHANG, H, LIU, C, WANG, D, Research on the influencing factors of ChatGPT users' intention (2023) Information studies: Theory &amp; application, 46 (4), pp. 15-22. , 张海, 刘畅, 王东波, 等. ChatGPT 用户使用意愿影响因素研究[J]. 情报理论与实践, 2023, 46(4): 15-22. [J]; ZHAO, R X, HUANG, Y W, MA, W L, Insights and reflections of the impact of ChatGPT on intelligent knowledge services in libraries (2023) Journal of library and information science in agriculture, 35 (1), pp. 29-38. , 赵瑞雪, 黄永文, 马玮璐, 等. ChatGPT 对图书馆智能知识服务的启示与思考[J]. 农业图书情报学报, 2023, 35(1): 29-38. [J]; http://www.caict.ac.cn/kxyj/qwfb/bps/202209/P020220902534520798735.pdf.2022-9, 中国信息通信研究院. 人工智能生成内容渊AIGC冤白皮书渊2022 年冤[EB/OL]. [2023-03 23]; VASWANI, A, SHAZEER, N, PARMAR, N, Attention is all you need (2017), [J]. arXiv: 1706.03762; Open, AI., Introducing ChatGPT https://ope鄄nai.com/blog/chatgpt, [EB/OL]. [2023-03-23]; RADFORD, A, NARASIMHAN, K., Improving language understand鄄ing by generative pre-training https://cdn.openai.com/research-covers/language-unsupervised/language_un鄄derstanding_paper.pdf, [EB/OL].[2023-03-28]; RADFORD, A, WU, J, CHILD, R, Language models are unsu鄄pervised multitask learners (2019) OpenAI blog, 1 (8), p. 9. , [J]; BROWN, T B, MANN, B, RYDER, N, Language models are few-shot learners (2020), [J]. arXiv: 2005.14165; Baidu, ERNIE bot https://yiyan.baidu.com/welcome, 百度. 文心一言[EB/OL]. https://yiyan.baidu.com/welcome. [EB/OL]; SUN, Y, WANG, S H, LI, Y K, ERNIE: Enhanced representa鄄tion through knowledge integration (2019), [J]. arXiv: 1904.09223; SUN, Y, WANG, S H, LI, Y K, ERNIE 2.0: A continual pre-training framework for language understanding (2020) Proceedings of the AAAI conference on artificial intelligence, 34 (5), pp. 8968-8975. , [J]; SUN, Y, WANG, S, FENG, S, (2021) ERNIE 3.0: Large-scale knowl鄄edge enhanced pre-training for language understanding and genera鄄tion[J], , arXiv:2107.02137; Bard https://bard.google.com/, Google. [EB/OL]; THOPPILAN, R, DE FREITAS, D, HALL, J, LaMDA: Language models for dialog applications (2022), [J]. arXiv:2201.08239</t>
  </si>
  <si>
    <t>AIGC; Bard; ChatGPT; ERNIE bot; smart library</t>
  </si>
  <si>
    <t>[Purpose/Significance] Artificial intelligence generated content (AIGC)'s content creation method has brought about a new revolution to the field of library and information science (LIS). Currently, the related research is mainly based on AIGC and ChatGPT, while ERNIE bot and Bard are less studied. Comparative analysis of the advantages and disadvantages of the AIGC large language models, discussion of the operating mechanism of AIGC, and in-depth research on application solutions in the context of university libraries provide new ideas for AIGC applications in smart libraries. [Method/Process] Taking the three AIGC applications of ChatGPT, ERNIE bot and Bard as examples, starting from the Transformer model, and on the basis of in-depth analysis of the basic principles of the large language model, the comparative analysis method is used to conduct a horizontal comparison of these three applications. The research summarizes the six common features of AIGC's large language model, and points out that it can be used in improving the work efficiency of university libraries. This paper explains and identifies nine different characteristics of the AIGC large language model, and points out how to choose three applications in university libraries. According to the characteristics of each application, six scenarios-based application modes of university libraries and the advantages of AIGC applications in university libraries are pointed out. A discussion is provided on four potential risks that may be faced by libraries in using AIGC large language models, and solutions are proposed to reduce risks, providing a reference for university libraries to choose AIGC applications. [Results/Conclusions] ChatGPT focuses on natural language understanding and content generation, and has more advantages in the ability of natural language understanding, task applicability and cross-language transfer, and is more suitable for resource integration and decision-making assistance in the context of knowledge services, subject services and administrative management. ERNIE bot has hundreds of billions of super-training parameters, and it can generate multi-modal content including text, pictures and voices. It has more advantages in learning training, model expansion and Chinese comprehension, and is more suitable for optimizing services and assisting creation in the context of reader services, technical services and cultural services in university libraries. By comparison, Bard focuses on human-machine dialogue data processing, it can use natural language to communicate with people, and it is more suitable for providing 24-hour intelligent customer service, assisting subject consultation and knowledge Q&amp;A in the context of reference consultation in university libraries. With the application of AIGC, although university libraries will face ethical risks, privacy risks, data security, and the proliferation of false knowledge, as long as artificial intelligence data governance is strengthened, in the future, university libraries will integrate the natural language understanding and generation capabilities of AIGC large language models that can expand diversified application scenarios, innovate multi-dimensional service models, optimize the business service environment, assist administrative decision-making, and improve the level of intelligent services. © 2024 Chinese Journal of Obstetrics and Gynecology/Zhonghua Fu Chan Ke Za Zhi. All rights reserved.</t>
  </si>
  <si>
    <t>Fu, R., Guangxi Normal University Library, Guilin, 541004, China; Yang, X., College of Life Sciences, Guangxi Normal University, Guilin, 541004, China</t>
  </si>
  <si>
    <t>Guangxi Normal University Library, Guilin, 541004, China; College of Life Sciences, Guangxi Normal University, Guilin, 541004, China</t>
  </si>
  <si>
    <t>https://www.scopus.com/inward/record.uri?eid=2-s2.0-85183019798&amp;doi=10.13998%2fj.cnki.issn1002-1248.23-0406&amp;partnerID=40&amp;md5=cf4d95c1341c2b9d4afe230403143b47</t>
  </si>
  <si>
    <t>10.13998/j.cnki.issn1002-1248.23-0406</t>
  </si>
  <si>
    <t>Journal of Library and Information Science in Agriculture</t>
  </si>
  <si>
    <t>Analysis of AIGC Language Models and Application Scenarios in University Libraries [AIGC 语言模型分析及其高校图书馆应用场景研究]</t>
  </si>
  <si>
    <t>57292311000;57291854500;</t>
  </si>
  <si>
    <t>Fu R., Yang X.</t>
  </si>
  <si>
    <t>18 October 2023 through 21 October 2023</t>
  </si>
  <si>
    <t>53rd IEEE ASEE Frontiers in Education International Conference, FIE 2023</t>
  </si>
  <si>
    <t>American Society for Engineering Education (ASEE)/Educational Research and Methods Divison (ERM);IEEE;IEEE Computer Society;IEEE Education Society</t>
  </si>
  <si>
    <t>Bego, C.R.; J. B. Speed School of Engineering, United States; email: campbell.bego@louisville.edu</t>
  </si>
  <si>
    <t>LeCun, Y., Bengio, Y., Hinton, G., Deep learning (2015) Nature, 521 (7553), pp. 436-444. , https://www.nature.com/articles/nature14539, Accessed: May 18 2023; Hughes, A., ChatGPT: Everything you need to know about OpenAI's GPT-4 tool BBC Science Focus, , https://www.sciencefocus.com/future-technology/gpt-3/, May 05, 2023. Accessed: May 21 2023; Abdullah, M., Madain, A., Jararweh, Y., (2023) ChatGPT: Fundamentals, Applications and Social Impacts; Arnold, H.J., Feldman, D.C., Social desirability response bias in self-report choice situations (1981) Academy of Management Journal, 24 (2); Rhoades, E., Irani, T., Telg, R., Myers, B., Internet as an information source: Attitudes and usage of students enrolled in a college of agriculture course (2008) J Agric Educ, 49 (2); (2023) Student Code of Conduct, pp. 2023-2024. , University of Louisville; National Society of Professional Engineers (2023) Code of Ethics, 3. , Sep</t>
  </si>
  <si>
    <t>Bego, C.R., J. B. Speed School of Engineering, University of Louisville, Department of Engineering Fundamentals, United States</t>
  </si>
  <si>
    <t>57195966872;</t>
  </si>
  <si>
    <t>English; Arabic; Chinese; Portuguese; Spanish</t>
  </si>
  <si>
    <t>Moya, B.A.; Universidad de Calgary, Dirección Postal, Canada; email: beatriz.moya@ucalgary.ca</t>
  </si>
  <si>
    <t>Anson, C. M., AI-based text generation and the social construction of “fraudulent authorship”: A revisitation (2022) Composition Studies, 50 (1), pp. 37-46; (2023) AAIN generative artificial intelligence guidelines, , https://www.teqsa.gov.au/sites/default/files/2023-04/aain-generative-ai-guidelines.pdf; Bearman, M., Luckin, R., Preparing university assessment for a world with AI: Tasks for human intelligence (2020) Re-imagining university assessment in a digital world, pp. 49-63. , https://doi.org/https://doi.org/10.1007/978-3-030-41956-1, M. Bearman, P. Dawson, R. Ajjawi, J. Tai &amp; D. Boud (Eds), Springer International Publishing; Bertram Gallant, T., (2008) Academic integrity in the twenty-first century: A teaching and learning imperative, , Jossey-Bass; Bertram Gallant, T., Systems approach to going forward (2016) Handbook of academic integrity, pp. 975-977. , https://doi.org/10.1007/978-981-287-098-8, T. Bretag (Ed), (1st ed., –). Springer; Brake, J., (2022) Education in the world of ChatGPT, , https://joshbrake.substack.com/p/education-in-the-world-of-chatgpt?utm_source=direct&amp;utm_campaign=post&amp;utm_medium=web, The Absent-Minded Professor; Bretag, T., Short-cut students: Fostering academic integrity in students (2013) Transparency International, Global Corruption Report: Education, , https://doi.org/10.4324/9780203109816; Bretag, T., Defining academic integrity: International perspectives - Introduction (2016) Handbook of academic integrity, pp. 3-6. , https://doi.org/10.1007/978-981-287-098-8, T. Bretag (Ed), (1st ed., –). Springer; Bronfenbrenner, U., The experimental ecology of education (1976) Educational Researcher, 5 (9), pp. 5-15. , https://doi.org/10.2307/1174755; Boyer, E. L., (1990) Scholarship reconsidered: Priorities of the professoriate, , https://files.eric.ed.gov/fulltext/ED326149.pdf, The Carnegie Foundation for the Advancement of Teaching; (2023) Generative artificial intelligence (AI) - ITSAP.00.041, , https://www.cyber.gc.ca/en/guidance/generative-artificial-intelligence-ai-itsap00041, Government of Canada; Delisio, L. A., Butaky, C. A., UDL and assistive technology: Utilizing technology beyond mere accessibility (2019) What really works with Universal Design for Learning, pp. 157-172. , W. W. Murawski &amp; K. L. Scott (Eds), Corwin; Dignum, V., The role and challenges of education for responsible AI (2021) London Review of Education, 19 (1), pp. 1-11. , https://doi.org/10.14324/LRE.19.1.01; Eaton, S. E., (2020) Understanding academic integrity from a teaching and learning perspective: Engaging with the 4M framework, , http://hdl.handle.net/1880/112435; Eaton, S. E., (2020) Academic integrity: A systems approach to address contract cheating / Integridad Académica: Un enfoque de sistemas para enfrentar la compraventa de trabajo académico [Conference Paper], , https://prism.ucalgary.ca/handle/1880/112560, Eighth Congress on Academic Integrity, Monterrey, Mexico [online]; Eaton, S. E., Plagiarism in higher education: Tackling tough topics in academic integrity (2021) ABC-CLIO, , https://doi.org/10.5040/9798400697142; Eaton, S.E., (2023) A comprehensive academic integrity (CAI) framework: An overview, , https://prism.ucalgary.ca/handle/1880/116060, University of Calgary; Eaton, S. E., (2023) Del plagio al posplagio: escribiendo el futuro de la integridad académica en la era de la inteligencia artificial [Conference presentation], , September 28). Décimo Primer Congreso de Integridad Académica, Monterrey, México; Eaton, S. E., (2023) Six tenets of postplagiarism. Learning, Teaching and Leadership, , https://drsaraheaton.wordpress.com/2023/02/25/6-tenets-of-postplagiarism-writing-in-the-age-of-artificial-intelligence/; Eke, D.O., ChatGPT and the rise of generative AI: Threat to academic integrity? (2023) Journal of Responsible Technology, 13. , https://doi.org/10.1016/j.jrt.2023.100060; Emenike, M. E., Emenike, B. U., Was this title generated by ChatGPT? Considerations for artificial intelligence text-generation software programs for chemists and chemistry educators (2023) Journal of Chemical Education, 100 (4). , https://doi.org/10.1021/acs.jchemed.3c00063; (2022) Ethical guidelines on the use of artificial intelligence (AI) and data in teaching and learning for educators, , https://op.europa.eu/en/publication-detail/-/publication/d81a0d54-5348-11ed-92ed-01aa75ed71a1/language-en; Felten, P., Principles of good practice in SoTL (2013) Teaching and Learning Inquiry, 1 (1), pp. 121-125. , https://doi.org/10.20343/teachlearninqu.1.1.121; Foltýnek, T., Bjelobaba, S., Glendinning, I, Khan, Z.R., Santos, R., Pavletic, P., Kravjar, J., ENAI Recommendations on the ethical use of Artificial Intelligence in Education (2023) International Journal for Academic Integrity, 19 (12). , https://doi.org/10.1007/s40979-023-00133-4; Fyfe, P., How to cheat on your final paper: Assigning AI for student writing (2022) AI &amp; Society, , https://link.springer.com/article/10.1007/s00146-022-01397-z; Hannah, S. T., Lester, P. B., A multilevel approach to building and leading learning organizations (2009) Leadership Quarterly, 20 (1), pp. 34-48. , https://doi.org/10.1016/j.leaqua.2008.11.003; Hemsley, B., Power, E., Given, F., Will AI tech like ChatGPT improve inclusion for people with communication disability (2023) The Conversation, , https://theconversation.com/will-ai-tech-like-chatgpt-improve-inclusion-for-people-with-communication-disability-196481, (January 18); Hubball, H., Clarke, A., Diverse methodological approaches and considerations for SoTL in higher education (2010) The Canadian Journal for the Scholarship of Teaching and Learning, 1 (1). , https://doi.org/10.5206/cjsotl-rcacea.2010.1.2; Hubball, H., Pearson, M. L., Clarke, A., SoTL inquiry in broader curricular and institutional contexts: Theoretical underpinnings and emerging trends (2013) Teaching and Learning Inquiry, 1 (1), pp. 41-57. , https://doi.org/10.2979/teachlearninqu.1.1.41; Hutchings, P., Huber, M. T., Ciccone, A., Why the scholarship of teaching and learning matters today (2011) The scholarship of teaching and learning reconsidered: Institutional integration and impact, pp. 1-23. , P. Hutchings, M. T. Huber, &amp; A., Ciccone (Eds), –). Jossey-Bass; (2021) The Fundamental Values of Academic Integrity, , https://academicintegrity.org/resources/fundamental-values; Illia, L., Colleoni, E., Zyglidopoulos, S., Ethical implications of text generation in the age of artificial intelligence (2022) Business Ethics, the Environment &amp; Responsibility, 32 (1), pp. 201-210. , https://doi.org/10.1111/beer.12479; Kenny, N., Watson, G. P. L., Desmarais, S., Building sustained action: Supporting an institutional practice of SoTL at the University of Guelph (2016) New Directions for Teaching and Learning, 146, pp. 87-94. , https://doi.org/10.1002/tl.20191; Kenny, N., Popovic, C., McSweeney, J., Knorr, K., Hoessler, C., Hall, S., Fujita, N., El Khoury, E., Drawing on the principles of SoTL to illuminate a path forward for the scholarship of educational development (2017) The Canadian Journal for the Scholarship of Teaching and Learning, 8 (2). , https://doi.org/10.5206/cjsotl-rcacea.2017.2.10; Kenny, N., Eaton, S. E., Academic integrity through a SoTL lens and 4M framework: An institutional self-study (2022) Academic integrity in Canada: An enduring and essential challenge, , https://link.springer.com/book/10.1007/978-3-030-83255-1, S.E Eaton &amp; J. Christensen Hughes (Eds), Springer; Khan, Z. R., (2023) Artificial intelligence content generators in education for schools and universities: A good practice guide, European Network for Academic Integrity Working Group Centre for Academic Integrity in the UAE, , https://academicintegrity-uae.com/category/faculty-resources/, University of Wollongong in Dubai; Kreber, C., Controversy and consensus on the scholarship of teaching (2002) Studies in Higher Education, 27 (2), pp. 151-167. , https://doi.org/10.1080/03075070220119995; Kreber, C., The transformative potential of the scholarship of teaching (2013) Teaching and Learning Inquiry, 1 (1), pp. 5-18. , https://doi.org/10.20343/teachlearninqu.1.1.5; Kumar, R., Mindzak, M., Eaton, S. E., Morrison, R., AI &amp; AI: Exploring the contemporary intersections of artificial intelligence and academic integrity [Conference Session] (2022), http://hdl.handle.net/1880/114647, (May 17). Canadian Society for the Study of Higher Education Annual Conference [Online]; Kumar, R., Eaton, S. E., Mindzak, M., Morrison, R., Academic integrity and artificial intelligence: An overview (2023) Handbook of academic integrity, , https://doi.org/10.1007/978-981-287-079-7_153-1, S. E. Eaton (Ed), (2nd edition). Springer; Lancaster, T., Artificial intelligence, text generation tools and ChatGPT – does digital watermarking offer a solution?" (2023) International Journal for Educational Integrity, 19 (1). , https://doi.org/10.1007/s40979-023-00131-6; Lesage, J., Brennan, R., Eaton, S. E., Moya, B., McDermott, B., Wiens, J., Herrero, K., Exploring natural language processing in mechanical engineering education: Implications for academic integrity (2023) International Journal of Mechanical Engineering Education, , https://doi.org/10.1177/03064190231166665; Lim, W. M., Gunasekara, A., Pallant, J. L., Pallant, J. I., Pechenkina, E., Generative AI and the future of education: Ragnarök or reformation? A paradoxical perspective from management educators (2023) The International Journal of Management Education, 21 (2). , https://doi.org/10.1016/j.ijme.2023.100790; Martensson, K., Roxa, T., Leadership at a local level – Enhancing educational development (2016) Educational Management Administration and Leadership, 44 (2), pp. 247-262. , https://doi.org/10.1177/1741143214549977; Miller-Young, J., Yeo, M., Conceptualizing and communicating SoTL: A framework for the field (2015) Teaching and Learning Inquiry, 3 (2), pp. 37-53. , https://doi.org/10.20343/teachlearninqu.3.2.37; Miller-Young, J., Anderson, C., Kiceniuk, D., Mooney, J., Riddell, J., Schmidt Hanbidge, A., Ward, V., Chick, N., Leading Up in the Scholarship of Teaching and Learning (2017) The Canadian Journal for the Scholarship of Teaching and Learning, 8 (2). , https://doi.org/10.5206/cjsotl-rcacea.2017.2.4; Mills, A., (2023) What to do about AI text generators, , https://docs.google.com/presentation/d/1P5nSOm1g3CvsoPEga4fSnzjMiLtGg7Bf/mobilepresent?slide=id.p2; Mindzak, M., What happens when a machine can write as well as an academic? (2020), https://www.universityaffairs.ca/opinion/in-my-opinion/what-happens-when-a-machine-can-write-as-well-as-an-academic/, (February 17). University Affairs; Munoko, I., Brown-Liburd, H. L., Vasarhely, M., The ethical implications of using artificial intelligence in auditing (2020) Journal of Business Ethics, (167), pp. 209-234. , https://doi.org/10.1007/s10551-019-04407-1; (2023) Generative artificial intelligence: Guidelines for educators, , https://www.qqi.ie/sites/default/files/2023-09/NAIN%20Generative%20AI%20Guidelines%20for%20Educators%202023.pdf; O’Brien, M., Navigating the SoTL landscape: A compass, map and some tools for getting started (2008) International Journal for the Scholarship of Teaching and Learning, 2 (2), p. 15. , https://doi.org/10.20429/ijsotl.2008.020215, Article; Ouyang, F., Zhen, L., Jiao, P., Artificial intelligence in online higher education: A systematic review of empirical research from 2011 to 2020 (2022) Education and Information Technologies, (27), pp. 7893-7925. , https://doi.org/10.1007/s10639-022-10925-9; Peres, R., Schreier, M., Schweidel, D., Sorescu, A., On ChatGPT and beyond: How generative artificial intelligence may affect research, teaching, and practice (2023) International Journal of Research in Marketing, 40 (2), pp. 269-275. , https://doi.org/10.1016/j.ijresmar.2023.03.001; Perkins, M., Academic integrity considerations of AI Large Language Models in the post-pandemic era: ChatGPT and beyond (2023) Journal of University Teaching and Learning Practice, 20 (2). , https://doi.org/10.53761/1.20.02.07; Poole, G., Simmons, N., Contributions of the scholarship of teaching and learning to quality enhancement in Canada (2013) Enhancing quality in higher education international perspectives, pp. 278-298. , R. Land &amp; G. Gordon (Eds), (1st ed., Routledge; Roe, J., Renandya, W., Jacobs, G., A review of AI-Powered writing tools and their implications for academic integrity in the language classroom (2023) Journal of English and Applied Linguistics, 2 (1). , https://doi.org/10.59588/2961-3094.1035; Roxå, T., Mårtensson, K., How effects from teacher-training of academic teachers propagate into the meso level and beyond (2012) Teacher development in higher education: Existing programs, program impact, and future trends, , https://doi.org/10.4324/9780203096826, E. Simon &amp; G. Pleschová (Eds), Routledge; Roxå, T., Mårtensson, K., Microcultures and informal learning: a heuristic guiding analysis of conditions for informal learning in local higher education workplaces (2015) International Journal for Academic Development, 20 (2), pp. 193-205. , https://doi.org/10.1080/1360144X.2015.1029929; Sabzalieva, E., Valentini, A., (2023) ChatGPT and Artificial Intelligence in higher education: Quick start guide, , https://www.iesalc.unesco.org/wp-content/uploads/2023/04/ChatGPT-and-Artificial-Intelligence-in-higher-education-Quick-Start-guide_EN_FINAL.pdf, UNESCO; Sharples, M., Automated essay writing: An AIED opinion (2022) International Journal of Artificial Intelligence in Education, 32, pp. 1119-1126. , https://doi.org/10.1007/s40593-022-00300-7; Simmons, N., Synthesizing SoTL institutional initiatives toward national Impact (2016) New Directions for Teaching and Learning, 146, pp. 95-102. , https://doi.org/10.1002/tl.20192; Simmons, N., Poole, G., The history of SoTL in Canada: Answering calls for action (2016) New Directions for Teaching and Learning, 146, pp. 13-22. , https://doi.org/10.1002/tl.20182; Simmons, N., Taylor, K. L., Leadership for the scholarship of teaching and learning: Understanding bridges and gaps in practice (2019) The Canadian Journal for the Scholarship of Teaching and Learning, 10 (1). , https://doi.org/10.5206/cjsotl-rcacea.2019.1.7995; What is AI? / Basic Questions, , http://jmc.stanford.edu/artificial-intelligence/what-is-ai/index.html, Stanford University (n.d); Tauginiené, L., Gaižauskaité, I., Glendinning, I., Kravjar, J., Ojsteršek, M., Ribeiro, L., Odiņeca, T., Foltýnek, T., Glossary for Academic Integrity, , https://www.academicintegrity.eu/wp/wp-content/uploads/2023/02/EN-Glossary_revised_final_24.02.23.pdf; Taylor, K. L., Kenny, N. A., Perrault, E., Mueller, R. A., Taylor, K. L., Kenny, N. A., Perrault, E., Mueller, R. A., Building integrated networks to develop teaching and learning: The critical role of hubs (2021) International Journal for Academic Development, pp. 1-13. , https://doi.org/10.1080/1360144X.2021.1899931; (2017) Good practice note: Addressing contract cheating to safeguard academic integrity, , https://www.teqsa.gov.au/latest-news/publications/good-practice-note-addressing-contract-cheating-safeguard-academic, (Issue October); Trigwell, K., Scholarship of teaching and learning (2021) University teaching in focus: A learning-centred approach, pp. 286-303. , https://doi.org/10.4324/9781003008330-17, L. H. &amp; D. Chalmers (Eds), (2nd ed., –). Routledge; (2021) The ethics of artificial intelligence, , https://unesdoc.unesco.org/ark:/48223/pf0000381137; (2023) Harnessing the era of artificial intelligence in higher education, , https://unesdoc.unesco.org/ark:/48223/pf0000386670; Verwood, R., Poole, G., The role of small significant networks and leadership in the institutional embedding of SoTL (2016) New Directions for Teaching and Learning, 146, pp. 79-86. , https://doi.org/10.1002/tl; Weber-Wulff, D., Anohina-Naumeca, A., Bjelobaba, S., Foltýnek, T., Guerrero-Dib, J., Popoola, O., Šigut, P., Waddington, L., Testing the detection tools for AI-generated text (2023) Computation and Language, , https://arxiv.org/abs/2306.15666; Whitford, E., A computer can now write your college essay – Maybe better than you can (2022), https://www.forbes.com/sites/emmawhitford/2022/12/09/a-computer-can-now-write-your-college-essay-maybe-better-than-you-can/?sh=4f078e2add39, (December 9). Forbes; Zawacki-Richter, O., Marín, V. I., Bond, M., Gouverneur, F., Systematic review of research on artificial intelligence applications in higher education–where are the educators? (2019) International Journal of Educational Technology in Higher Education, 16 (1), pp. 1-27. , https://doi.org/10.1186/s41239-019-0171-0; Zohny, H., McMillan, J., King, M., Ethics of generative AI (2023) J Med Ethics, (49), pp. 79-80. , https://doi.org/10.1136/jme-2023-108909</t>
  </si>
  <si>
    <t>We are grateful to the University of Calgary Teaching and Learning Grant and to the Social Sciences and Humanities Research Council of Canada (SSHRC) (Grant #611-2022-0398) for supporting this research.</t>
  </si>
  <si>
    <t>University of Calgary, U of C; Social Sciences and Humanities Research Council of Canada, SSHRC: 611-2022-0398</t>
  </si>
  <si>
    <t>Moya, B.A., Universidad de Calgary, Canada; Eaton, S.E., Universidad de Calgary, Canada</t>
  </si>
  <si>
    <t>Examining Recommendations for Generative Artificial Intelligence Use with Integrity from a Scholarship of Teaching and Learning Lens [دراسة التوصيات المتعلقة باستخدام الذكاء االصطناعي بنزاهة من منظور التعليم والتعلم] [从教与学的学术研究角度出发审视人工智能诚信应用的建议] [Examinar recomendações para a utilização de inteligência artificial com integridade através de uma lente de bolsa de estudo de ensino e aprendizagem] [Examinando Recomendaciones para el Uso de la Inteligencia Artificial Generativa con Integridad desde un Lente de Enseñanza y Aprendizaje]</t>
  </si>
  <si>
    <t>58707826600;57192980851;</t>
  </si>
  <si>
    <t>Moya B.A., Eaton S.E.</t>
  </si>
  <si>
    <t>6 November 2023</t>
  </si>
  <si>
    <t>1st International Workshop on High-Performance Artificial Intelligence Systems in Education, AIxEDU 2023</t>
  </si>
  <si>
    <t>Schicchi D.Taibi D.Temperini M.</t>
  </si>
  <si>
    <t>Agostini, D.; University of Trento, corso Bettini 31, Italy; email: daniele.agostini@unitn.it</t>
  </si>
  <si>
    <t>(2015) Yerevan Communiqué, , https://www.ehea.info/page-ministerial-conferenceyerevan-2015; (2018), https://eurydice.eacea.ec.europa.eu/publications/2018-eurydice-publications; Punie, Y., Redecker, C., (2017) European Framework for the Digital Competence of Educators, , editor(s) DigCompEdu, EUR 28775 EN, Publications Office of the European Union, Luxembourg, (online), JRC107466; Tamkin, A., Brundage, M., Clark, J., Ganguli, D., (2021) Understanding the capabilities, limitations, and societal impact of large language models, , arXiv preprint arXiv:2102.02503; Dalkey, N., An experimental study of group opinion: the Delphi method (1969) Futures, 1 (5), pp. 408-426; (2021) Policy guidance on AI for children, , https://www.unicef.org/globalinsight/media/2356/file/UNICEF-Global-Insight-policyguidance-AI-children-2.0-2021.pdf.pdf, UNICEF, Author, [Online]. Available; VanLehn, K., The behavior of tutoring systems (2006) International journal of artificial intelligence in education, 16 (3), pp. 227-265; Koedinger, K. R., Corbett, A., (2006) Cognitive tutors: Technology bringing learning sciences to the classroom; Heffernan, N. T., Heffernan, C. L., The ASSISTments ecosystem: Building a platform that brings scientists and teachers together for minimally invasive research on human learning and teaching (2014) International Journal of Artificial Intelligence in Education, 24, pp. 470-497; Roll, I., Wylie, R., Evolution and revolution in artificial intelligence in education (2016) International Journal of Artificial Intelligence in Education, 26, pp. 582-599; Holmes, W., Bialik, M., Fadel, C., Artificial intelligence in education (2023), Globethics Publications; Holmes, W., Tuomi, I., State of the art and practice in AI in education (2022) European Journal of Education, 57 (4), pp. 542-570; Holmes, W., Bialik, M., Fadel, C., Artificial intelligence in Education: Promises and implications for teaching &amp; learning (2019) The Center for Curriculum Redesign; Nieminen, J., Bearman, M., Ajjawi, R., Designing the digital in authentic assessment: is it fit for purpose? (2023) Assessment &amp; Evaluation in Higher Education, 48 (4), pp. 529-543; Sambell, K., McDowell, L., Montgomery, C., (2013) Assessment for learning in higher education, , Routledge; Grion, V., Serbati, A., Valutazione sostenibile e feedback nei contesti universitari. Prospettive emergenti, ricerche e pratiche (2019) PensaMultimedia; Boud, D., Sustainable assessment: rethinking assessment for the learning society (2000) Studies in continuing education, 22 (2), pp. 151-167; Nicol, D. J., Macfarlane-Dick, D., Formative assessment and self-regulated learning: A model and seven principles of good feedback practice (2006) Studies in higher education, 31 (2), pp. 199-218; Sadler, D. R., Formative assessment: Revisiting the territory (1989) Assessment in Education, 5 (1), pp. 77-84; Swiecki, Z., Khosravi, H., Chen, G., Martinez-Maldonado, R., Lodge, J. M., Milligan, S., Selwyn, N., Gašević, D., Assessment in the age of artificial intelligence (2022) Computers and Education: Artificial Intelligence, 3, p. 100075; Murphy, V., Fox, J., Freeman, S., Hughes, N., “Keeping it Real”: A review of the benefits, challenges and steps towards implementing authentic assessment (2017) All Ireland Journal of Higher Education, 9 (3); Gulikers, J. T., Bastiaens, T. J., Kirschner, P. A., A five-dimensional framework for authentic assessment (2004) Educational technology research and development, 52 (3), pp. 67-86; Villarroel, V., Bloxham, S., Bruna, D., Bruna, C., Herrera-Seda, C., Authentic assessment: creating a blueprint for course design (2018) Assessment &amp; Evaluation in Higher Education, 43 (5), pp. 840-854; Herrington, J., Herrington, A., Authentic assessment and multimedia: How university students respond to a model of authentic assessment (1998) Higher Educational Research &amp; Development, 77 (3), pp. 305-322; Sambell, K., McDowell, L., Brown, S., But is it fair?: An exploratory study of student perceptions of the consequential validity of assessments (1997) Studies in Educational Evaluation, 2 (4), pp. 349-371. , 3; Gielen, S., Dochy, ¥., Dierick, S., The influence of assessment on learning (2003) Optimising new modes of assessment: In search of quality and standards, pp. 37-54. , M. Segers, F. Dochy, &amp; E. Cascallar (Eds), Dordrecht, The Netherlands: Kluwer Academic Publishers; Miao, F., Holmes, W., Huang, R., Zhang, H., (2021) AI and education: A guidance for policymakers, , https://doi.org/10.54675/PCSP7350, UNESCO Publishing, [Online]. Available; Kasneci, E., Sessler, K., Küchemann, S., Bannert, M., Dementieva, D., Fischer, F., Gasser, U., Kasneci, G., ChatGPT for good? On opportunities and challenges of large language models for education (2023) Learning and Individual Differences, 103, p. 102274. , https://doi.org/10.1016/j.lindif.2023.102274, ISSN 1041-6080, [Online]. Available; Chen, L., Zaharia, M., Zou, J., (2023) How is ChatGPT’s behavior changing over time?, , https://arxiv.org/pdf/2307.09009.pdf, arXiv preprint arXiv:2307.09009, [Online]. Available; Martin, P. P., Kranz, D., Wulff, P., Graulich, N., Exploring new depths: Applying machine learning for the analysis of student argumentation in chemistry (2023) Journal of Research in Science Teaching, pp. 1-36. , https://doi.org/10.1002/tea.21903, [Online]. Available; Webb, M., A Generative AI Primer (2023) JISC, , https://nationalcentreforai.jiscinvolve.org/wp/2023/05/11/generative-ai-primer/#3-1, [Online]. Available; González-Calatayud, V., Prendes-Espinosa, P., Roig-Vila, R., Artificial intelligence for student assessment: A systematic review (2021) Applied Sciences, 11 (12), p. 5467; Englebart, D.C., (1962) Augmenting human intellect: A conceptual framework, , https://www.dougengelbart.org/pubs/augment-3906.html, SRI Summary Report AFOSR-3223, October [Online]. Available; Malone, T. W., Superminds: The surprising power of people and computers thinking together (2018) Little, Brown Spark; Kaptelinin, V., Nardi, B., (2006) Acting with Technology: Activity Theory and interaction Design, , https://doi.org/10.5210/fm.v12i4.1772, MIT Press, [Online]. Available; Mollick, E. R., Mollick, L., (2023) Assigning AI: Seven Approaches for Students, with Prompts, , https://ssrn.com/abstract=4475995, June 12, [Online]. SSRN: or http://dx.doi.org/10.2139/ssrn.4475995; (2023) Teaching with AI, , https://openai.com/blog/teaching-with-ai, OpenAI, [Online]. Available; Beiderbeck, D., Frevel, N., von der Gracht, H., Schmidt, S. L., Schweitzer, V. M., Preparing, conducting, and analyzing Delphi surveys: Cross-disciplinary practices, new directions, and advancements (2021) MethodsX, 8, p. 101401; Aengenheyster, S., Cuhls, K., Gerhold, L., Heiskanen-Schüttler, M., Huck, J., Muszynska, M., Real-Time Delphi in practice - A comparative analysis of existing software-based tools (2017) Technological Forecasting and Social Change, 118, pp. 15-27; Gnatzy, T., Warth, J., von der Gracht, H., Darkow, I. L., Validating an innovative real-time Delphi approach—A methodological comparison between real-time and conventional Delphi studies (2011) Technological Forecasting and Social Change, 78 (9), pp. 1681-1694; Gordon, T., Pease, A., RT Delphi: An efficient,’round-less’ almost real time Delphi method (2006) Technological Forecasting and Social Change, 73 (4), pp. 321-333; McKenna, H. P., The Delphi technique: a worthwhile research approach for nursing? (1994) Journal of advanced nursing, 19 (6), pp. 1221-1225; Williams, P. L., Webb, C., The Delphi technique: A methodological discussion (1994) Journal of advanced nursing, 19 (1), pp. 180-186; Chuenjitwongsa, S., How to conduct a Delphi study (2017) Medical Education, , https://meded.walesdeanery.org/how-to-guides, [Online]. Available; Cong-Lem, N. V., Vygotsky’s, Leontiev’s and Engeström’s cultural-historical (activity) theories: Overview, clarifications and implications (2022) Integrative Psychological and Behavioral Science, 56 (4), pp. 1091-1112</t>
  </si>
  <si>
    <t>Agostini, D., University of Trento, Palazzo Fedrigotti, corso Bettini 31, Rovereto, 38068, Italy; Picasso, F., University of Trento, Palazzo Fedrigotti, corso Bettini 31, Rovereto, 38068, Italy</t>
  </si>
  <si>
    <t>57190582936;58308904900;</t>
  </si>
  <si>
    <t>Agostini D., Picasso F.</t>
  </si>
  <si>
    <t>6 December 2023 through 10 December 2023</t>
  </si>
  <si>
    <t>2023 Findings of the Association for Computational Linguistics: EMNLP 2023</t>
  </si>
  <si>
    <t>Apple;Colossal-AI;et al.;Google Research;GTCOM;King Salman Global Academy for Arabic Language</t>
  </si>
  <si>
    <t>Abid, Abubakar, Abdalla, Ali, Abid, Ali, Khan, Dawood, Alfozan, Abdulrahman, Zou, James, (2019) Gradio: Hassle-Free Sharing and Testing of ML Models in the Wild, , arXiv preprint arXiv:1906.02569; Anderson, John R, Corbett, Albert T, Koedinger, Kenneth R, Pelletier, Ray, Cognitive tutors: Lessons learned (1995) The journal of the learning sciences, 4 (2), pp. 167-207; Bannert, Maria, Effekte metakognitiver Lernhilfen auf den Wissenserwerb in vernetzten Lernumgebungen (2003) Zeitschrift für Pädagogische Psychologie, 17 (1), pp. 13-25; Bubeck, Sébastien, Chandrasekaran, Varun, Eldan, Ronen, Gehrke, Johannes, Horvitz, Eric, Kamar, Ece, Lee, Peter, Lundberg, Scott, (2023) Sparks of Artificial General Intelligence: Early experiments with GPT-4, , arXiv preprint arXiv:2303.12712; Chiang, Wei-Lin, Li, Zhuohan, Lin, Zi, Sheng, Ying, Wu, Zhanghao, Zhang, Hao, Zheng, Lianmin, Xing, Eric P., (2023) Vicuna: An Open-Source Chatbot Impressing GPT-4 with 90%* ChatGPT Quality; Chowdhery, Aakanksha, Narang, Sharan, Devlin, Jacob, Bosma, Maarten, Mishra, Gaurav, Roberts, Adam, Barham, Paul, Gehrmann, Sebastian, (2022) Palm: Scaling language modeling with pathways, , arXiv preprint arXiv:2204.02311; Clark, Mary Ann, Choi, Jung, Douglas, Matthew, (2021) Biology 2e, , OpenStax; Conklin, Jack, (2005) A taxonomy for learning, teaching, and assessing: A revision of Bloom's taxonomy of educational objectives complete edition; Corbett, Albert T, Anderson, John R, Knowledge tracing: Modeling the acquisition of procedural knowledge (1994) User modeling and user-adapted interaction, 4, pp. 253-278; Anders Ericsson, K, Protocol analysis (2017) A companion to cognitive science, pp. 425-432; Feng, Shi, Magana, Alejandra J, Kao, Dominic, A systematic review of literature on the effectiveness of intelligent tutoring systems in STEM (2021) 2021 IEEE Frontiers in Education Conference (FIE), pp. 1-9. , IEEE; Graesser, Arthur C, Lu, Shulan, Jackson, George Tanner, Mitchell, Heather Hite, Ventura, Mathew, Olney, Andrew, Louwerse, Max M, AutoTutor: A tutor with dialogue in natural language (2004) Behavior Research Methods, Instruments, &amp; Computers, 36, pp. 180-192; Halpern, Joshua B, Libretexts: a flexible online open system for disseminating educational materials relevant to geophysics at all levels (2017) AGU Fall Meeting Abstracts, 2017, pp. ED31A-0275; Hendrycks, Dan, Burns, Collin, Basart, Steven, Zou, Andy, Mazeika, Mantas, Song, Dawn, Steinhardt, Jacob, Measuring Massive Multitask Language Understanding (2020) CoRR, , abs/2009.03300; Kesler, Ted, Tinio, Pablo PL, Nolan, Brian T, What's our position? A critical media literacy study of popular culture websites with eighth-grade special education students (2016) Reading &amp; Writing Quarterly, 32 (1), pp. 1-26; Koetsier, John, (2023) OpenAI's newest chatbot had a bug that exposed'a very small' amount of users' data; Liu, Naiming, Sonkar, Shashank, Wang, Zichao, Woodhead, Simon, Baraniuk, Richard G, (2023) Novice Learner and Expert Tutor: Evaluating Math Reasoning Abilities of Large Language Models with Misconceptions, , arXiv preprint arXiv:2310.02439; Liu, Naiming, Wang, Zichao, Baraniuk, Richard, Lan, Andrew, Open-ended knowledge tracing for computer science education (2022) Proceedings of the 2022 Conference on Empirical Methods in Natural Language Processing, pp. 3849-3862; Macina, Jakub, Daheim, Nico, Chowdhury, Sankalan Pal, Sinha, Tanmay, Kapur, Manu, Gurevych, Iryna, Sachan, Mrinmaya, (2023) MathDial: A Dialogue Tutoring Dataset with Rich Pedagogical Properties Grounded in Math Reasoning Problems, , arXiv preprint arXiv:2305.14536; (2023), ChatGPT The Bard is giving out free Windows 11 keys; Mitrovic, Antonija, Ohlsson, Stellan, Barrow, Devon K, The effect of positive feedback in a constraint-based intelligent tutoring system (2013) Computers &amp; Education, 60 (1), pp. 264-272; (2023) GPT-4 Technical Report, , OpenAI; Ouyang, Long, Wu, Jeffrey, Jiang, Xu, Almeida, Diogo, Wainwright, Carroll, Mishkin, Pamela, Zhang, Chong, Ray, Alex, Training language models to follow instructions with human feedback (2022) Advances in Neural Information Processing Systems, 35, pp. 27730-27744; Rasley, Jeff, Rajbhandari, Samyam, Ruwase, Olatunji, He, Yuxiong, Deepspeed: System optimizations enable training deep learning models with over 100 billion parameters (2020) Proceedings of the 26th ACM SIGKDD International Conference on Knowledge Discovery &amp; Data Mining, pp. 3505-3506; Shute, Valerie J, Sun, Chen, Asbell-Clarke, Jodi, Demystifying computational thinking (2017) Educational research review, 22, pp. 142-158; Sonkar, Shashank, Baraniuk, Richard G, (2023) Deduction under Perturbed Evidence: Probing Student Simulation Capabilities of Large Language Models, , arXiv preprint arXiv:2305.14507; Sonkar, Shashank, Le, MyCo, Chen, Xinghe, Liu, Naiming, Mallick, Debshila Basu, Baraniuk, Richard G, (2023) Code Soliloquies for Accurate Calculations in Large Language Models, , arXiv preprint arXiv:2309.12161; Sonkar, Shashank, Waters, Andrew E, Lan, Andrew S, Grimaldi, Phillip J, Baraniuk, Richard G, (2020) qdkt: Question-centric Deep Knowledge Tracing, , arXiv preprint arXiv:2005.12442; Addison Stone, C, The metaphor of scaffolding: Its utility for the field of learning disabilities (1998) Journal of learning disabilities, 31 (4), pp. 344-364; Suraweera, Pramuditha, Mitrovic, Antonija, KERMIT: A constraint-based tutor for database modeling (2002) Intelligent Tutoring Systems: 6th International Conference, ITS 2002 Biarritz, France and San Sebastian, Spain, June 2-7, 2002 Proceedings 6, pp. 377-387. , Springer; Taori, Rohan, Gulrajani, Ishaan, Zhang, Tianyi, Dubois, Yann, Li, Xuechen, Guestrin, Carlos, Liang, Percy, Hashimoto, Tatsunori B., (2023) Stanford Alpaca: An Instruction-following LLaMA model, , https://github.com/tatsu-lab/stanford_alpaca; Thomas, Danielle, Yang, Xinyu, Gupta, Shivang, Adeniran, Adetunji, Mclaughlin, Elizabeth, Koedinger, Kenneth, When the Tutor Becomes the Student: Design and Evaluation of Efficient Scenario-Based Lessons for Tutors (2023) LAK23: 13th International Learning Analytics and Knowledge Conference, LAK2023, pp. 250-261. , page New York, NY, USA. Association for Computing Machinery; Touvron, Hugo, Lavril, Thibaut, Izacard, Gautier, Martinet, Xavier, Lachaux, Marie-Anne, Lacroix, Timothée, Rozière, Baptiste, Azhar, Faisal, (2023) Llama: Open and efficient foundation language models, , arXiv preprint arXiv:2302.13971; Van de Vijver, Fons JR, Leung, Kwok, (2021) Methods and data analysis for cross-cultural research, 116. , Cambridge University Press; Vygotsky, Lev Semenovich, Cole, Michael, (1978) Mind in society: Development of higher psychological processes, , Harvard university press; Wing, Jeannette M, Computational thinking (2006) Communications of the ACM, 49 (3), pp. 33-35; Winkler, Rainer, Söllner, Matthias, Unleashing the potential of chatbots in education: A state-of-the-art analysis (2018) Academy of management annual meeting (AOM); Wolf, Thomas, Debut, Lysandre, Sanh, Victor, Chaumond, Julien, Delangue, Clement, Moi, Anthony, Cistac, Pierric, Rush, Alexander M., Transformers: State-of-the-Art Natural Language Processing (2020) Proceedings of the 2020 Conference on Empirical Methods in Natural Language Processing: System Demonstrations, pp. 38-45. , Online. Association for Computational Linguistics; Zheng, Lianmin, Chiang, Wei-Lin, Sheng, Ying, Zhuang, Siyuan, Wu, Zhanghao, Zhuang, Yonghao, Lin, Zi, Stoica, Ion, (2023) Judging LLM-as-a-judge with MT-Bench and Chatbot Arena; Zheng, Lianmin, Chiang, Wei-Lin, Sheng, Ying, Zhuang, Siyuan, Wu, Zhanghao, Zhuang, Yonghao, Lin, Zi, Stoica, Ion, (2023) Judging llm-as-a-judge with mt-bench and chatbot arena</t>
  </si>
  <si>
    <t>This work was supported by NSF grants 1842378, ONR grant N0014-20-1-2534, AFOSR grant FA9550-22-1-0060, and a Vannevar Bush Faculty Fellowship, ONR grant N00014-18-1-2047.</t>
  </si>
  <si>
    <t>N00014-18-1-2047; National Science Foundation, NSF: 1842378; Office of Naval Research, ONR: N0014-20-1-2534; Air Force Office of Scientific Research, AFOSR: FA9550-22-1-0060</t>
  </si>
  <si>
    <t>Sonkar, S., Rice University, United States; Mallick, D.B., OpenStax, Rice University, United States; Liu, N., Rice University, United States; Baraniuk, R.G., Rice University, United States</t>
  </si>
  <si>
    <t>57219741166;57188562617;57224097072;35580714600;</t>
  </si>
  <si>
    <t>Sonkar S., Mallick D.B., Liu N., Baraniuk R.G.</t>
  </si>
  <si>
    <t>Azaiz, I.; LMU MunichGermany; email: imen.azaiz@ifi.lmu.de</t>
  </si>
  <si>
    <t>Luxton-Reilly, A., Simon, I. Albluwi, Becker, B. A., Giannakos, M., Kumar, A. N., L., L., Paterson, J., Szabo, C., Introductory programming: A systematic literature review (2018) Proc. ITiCSE, pp. 55-106. , https://doi.org/10.1145/3293881.3295779; Hattie, J., Timperley, H., The power of feedback (2007) Review of Educational Research, 77 (1), pp. 81-112. , https://doi.org/10.3102/003465430298487; Strickroth, S., Bry, F., The future of higher education is social and personalized! experience report and perspectives (2022) Proc. CSEDU, 1, pp. 389-396. , https://doi.org/10.5220/0011087700003182; Indriasari, T. D., Luxton-Reilly, A., Denny, P., A review of peer code review in higher education (2020) TOCE, 20 (3), pp. 1-25. , https://doi.org/10.1145/3403935; Heller, N., Bry, F., Organizing peer correction in tertiary stem education: An approach and its evaluation (2019) International Journal of Engineering Pedagogy, 9 (4), pp. 16-32. , https://doi.org/10.3991/ijep.v9i4.10201; Strickroth, S., Does peer code review change my mind on my submission? (2023) Proc. ITiCSE, 1, pp. 498-504. , https://doi.org/10.1145/3587102.3588802; Strickroth, S., Striewe, M., Building a corpus of task-based grading and feedback systems for learning and teaching programming (2022) International Journal of Engineering Pedagogy, 12 (5), pp. 26-41. , https://doi.org/10.3991/ijep.v12i5.31283; Geng, C., Zhang, Y., Pientka, B., Si, X., (2023) Can ChatGPT pass an introductory level functional language programming course?, , arXiv:2305.02230 [cs]; Tian, H., Lu, W., Li, T. O., Tang, X., Cheung, S.-C., Klein, J., Bissyandé, T. F., (2023) Is ChatGPT the ultimate programming assistant – How far is it?, , arXiv:2304.11938 [cs.SE]; Savelka, J., Agarwal, A., An, M., Bogart, C., Sakr, M., Thrilled by your progress! Large language models (GPT-4) No longer struggle to pass assessments in higher education programming courses (2023) Proc. CER, , https://doi.org/10.1145/3568813.3600142; Finnie-Ansley, J., Denny, P., Luxton-Reilly, A., Santos, E. A., Prather, J., Becker, B. A., My AI wants to know if this will be on the exam: Testing OpenAI’s Codex on CS2 programming exercises (2023) Proc. ACE, pp. 97-104. , https://doi.org/10.1145/3576123.3576134[12]A.Hellas,J.Leinonen,S.Sarsa,C.Koutcheme,L.Kujanpää,andJ.Sorva, Exploring the responses of large language models to beginner programmers help requests, in Proc. CER, 2023. https://doi.org; Shafiq Surameery, N. M., Shakor, M. Y., Use ChatGPT to solve programming bugs (2023) IJITC, 3 (1), pp. 17-22. , https://doi.org/10.55529/ijitc.31.17.22; Sobania, D., Briesch, M., Hanna, C., Petke, J., (2023) An analysis of the automatic bug fixing performance of ChatGPT, , https://doi.org/10.1109/APR59189.2023.00012, arXiv:2301.08653 [cs.SE]; Finnie-Ansley, J., Denny, P., Becker, B. A., Luxton-Reilly, A., Prather, J., The robots are coming: Exploring the implications of OpenAI Codex on introductory programming (2022) Proc. ACE, pp. 10-19. , https://doi.org/10.1145/3511861.3511863; Becker, B. A., Denny, P., Finnie-Ansley, J., Luxton-Reilly, A., Prather, J., Santos, E. A., Programming is hard – or at least it used to be: Educational opportunities and challenges of AI code generation Proc. SICSE, 2023, pp. 500-506. , https://doi.org/10.1145/3545945.3569759; Denny, P., Prather, J., Becker, B. A., Finnie-Ansley, J., Hellas, A., Leinonen, J., Luxton-Reilly, A., Sarsa, S., (2023) Computing education in the era of generative AI, , arXiv:2306.02608 [cs.CY]; Sarsa, S., Denny, P., Hellas, A., Leinonen, J., Automatic generation of programming exercises and code explanations using large language models (2022) Proc. CER, , https://doi.org/10.1145/3501385.3543957; Phung, T., Cambronero, J., Gulwani, S., Kohn, T., Majumdar, R., Singla, A., Soares, G., (2023) Generating high-precision feedback for programming syntax errors using large language models, , arXiv:2302.04662 [cs.PL]; Leinonen, J., Hellas, A., Sarsa, S., Reeves, B., Denny, P., Prather, J., Becker, B. A., Using large language models to enhance programming error messages Proc. SIGCSE, 2023, pp. 563-569. , https://doi.org/10.1145/3545945.3569770; MacNeil, S., Tran, A., Hellas, A., Kim, J., Sarsa, S., Denny, P., Bernstein, S., Leinonen, J., Experiences from using code explanations generated by large language models in a web software development e-book Proc. SIGCSE, 2023, pp. 931-937. , https://doi.org/10.1145/3545945.3569785; Leinonen, J., Denny, P., MacNeil, S., Sarsa, S., Bernstein, S., Kim, J., Tran, A., Hellas, A., Comparing code explanations created by students and large language models Proc. ITiCSE, 2023, pp. 124-130. , https://doi.org/10.1145/3587102.3588785; Kiesler, N., Lohr, D., Keuning, H., Exploring the potential of large language models to generate formative programming feedback (2023) Proc. FiE, , arXiv:2309.00029; Balse, R., Valaboju, B., Singhal, S., Warriem, J. M., Prasad, P., Investigating the potential of GPT-3 in providing feedback for programming assessments Proc. ITiCSE, 2023, pp. 292-298. , https://doi.org/10.1145/3587102.3588852; Strickroth, S., Olivier, H., Pinkwart, N., Das GATE-System: Qualitätssteigerung durch Selbsttests für Studenten bei der Onlineabgabe von Übungsaufgaben? (2011) Proc. DeLFI, pp. 115-126. , https://dl.gi.de/handle/20.500.12116/4740; Larner, A., (2021) The 2x2 Matrix Contingency, Confusion and the Metrics of Binary Classification, , https://doi.org/10.1007/978-3-030-74920-0, Springer; Jeuring, J., Keuning, H., Marwan, S., Bouvier, D., Izu, C., Kiesler, N., Lehtinen, T., Sarsa, S., Towards giving timely formative feedback and hints to novice programmers (2022) ITiCSE-WGR, pp. 95-115. , https://doi.org/10.1145/3571785.3574124; Baker, R. S., De Carvalho, A., Raspat, J., Aleven, V., Corbett, A. T., Koedinger, K. R., Educational software features that encourage and discourage ‘gaming the system (2009) Proc. AIED, pp. 475-482. , https://doi.org/10.3233/978-1-60750-028-5-475</t>
  </si>
  <si>
    <t>This research is part of the project AIM@LMU funded by the German Federal Ministry of Education and Research (BMBF? under the grant number 16DHBKI013. The responsibility for the content of this publication lies with the authors.</t>
  </si>
  <si>
    <t>Bundesministerium für Bildung und Forschung, BMBF: 16DHBKI013</t>
  </si>
  <si>
    <t>Azaiz, I., LMU Munich, Munich, Germany; Deckarm, O., LMU Munich, Munich, Germany; Strickroth, S., LMU Munich, Munich, Germany</t>
  </si>
  <si>
    <t>57214246872;58754058900;55336504600;</t>
  </si>
  <si>
    <t>Azaiz I., Deckarm O., Strickroth S.</t>
  </si>
  <si>
    <t>6 September 2023 through 8 September 2023</t>
  </si>
  <si>
    <t>27th International Conference on Knowledge Based and Intelligent Information and Engineering Sytems, KES 2023</t>
  </si>
  <si>
    <t>Howlett R.Tsihrintzis G.A.Toro C.Rios S.A.Jain L.C.</t>
  </si>
  <si>
    <t>Sugiyama, K.; Graduate School of Science and Engineering, 1-1-1 Noji-higashi, Shiga, Japan; email: re0059hs@ed.ritsumei.ac.jp
Yamanaka, T.; College of Life Sciences, 1-1-1 Noji-higashi, Shiga, Japan; email: yaman@fc.ritsumei.ac.jp</t>
  </si>
  <si>
    <t>(2022) EF EPI EF English Proficiency Index, , https://www.ef.com/epi; Steele, D., Zhang, R., Enhancement of Teacher Training: Key to Improvement of English Education in Japan (2016) Social and Behavioral Sciences, 217, pp. 16-25; Aizawa, I., Rose, H., An analysis of Japan's English as medium of instruction initiatives within higher education: the gap between meso-level policy and micro-level practice (2019) High Educ, 77, pp. 1125-1142; Inter-University Exchange Project, (Re-Inventing Japan Project), , https://www.mext.go.jp/en/policy/education/highered/title02/detail02/sdetail02/1373893.htm, MEXT: Ministry of Education, Culture, Sports, Science and Technology JAPAN; Rose, H., McKinley, J., Japan's English-medium instruction initiatives and the globalization of higher education (2018) High Educ, 75, pp. 111-129; Overview of the 2021 English Language Education Implementation Status Survey, , https://www.mext.go.jp/content/20220516-mxt_kyoiku01-000022559_2.pdf, MEXT: Ministry of Education, Culture, Sports, Science and Technology JAPAN Japanese; DeepL Translate, , https://www.deepl.com/translator; ChatGPT, , https://openai.com/product/chatgpt; Grammarly, , https://www.grammarly.com; TOEFL iBT®, , https://www.ets.org/toefl/score-users/ibt.html; GTEC, , https://www.benesse.co.jp/gtec/en/; CEFR rubric, , https://www.coe.int/en/web/common-europeanframework-reference-languages; Sugiyama, K., Transable, , https://www.transable.net</t>
  </si>
  <si>
    <t>Sugiyama, K., Graduate School of Science and Engineering, Ritsumeikan Univercity, 1-1-1 Noji-higashi, Shiga, Kusatsu, 525-8577, Japan; Yamanaka, T., College of Life Sciences, Ritsumeikan Univercity, 1-1-1 Noji-higashi, Shiga, Kusatsu, 525-8577, Japan</t>
  </si>
  <si>
    <t>57219715392;57217277789;</t>
  </si>
  <si>
    <t>Sugiyama K., Yamanaka T.</t>
  </si>
  <si>
    <t>Wang, K.D.; Graduate School of Education, Stanford, United States; email: kdwang@stanford.edu</t>
  </si>
  <si>
    <t>Achiam, J., Adler, S., Agarwal, S., Ahmad, L., Akkaya, I., Aleman, F.L., GPT-4 technical report (2023) arXiv preprint; Bao, L., Koenig, K., Physics education research for 21st century learning (2019) Discip. Interdscip. Sci. Educ. Res, 1, pp. 1-12; Bransford, J., Sherwood, R., Vye, N., Rieser, J., Teaching thinking and problem solving: research foundations (1986) Am. Psychol, 41, p. 1078; Bubeck, S., Chandrasekaran, V., Eldan, R., Gehrke, J., Horvitz, E., Kamar, E., Sparks of artificial general intelligence: early experiments with gpt-4 (2023) arXiv, , [Preprint]; Burkholder, E., Miles, J., Layden, T., Wang, K., Fritz, A., Wieman, C., Template for teaching and assessment of problem solving in introductory physics (2020) Phys. Rev. Phys. Educ. Res, 16, p. 010123; Burkholder, E., Salehi, S., Sackeyfio, S., Mohamed-Hinds, N., Wieman, C., Equitable approach to introductory calculus-based physics courses focused on problem-solving (2022) Phys. Rev. Phys. Educ. Res, 18, p. 020124; Chi, M.T., Glaser, R., Rees, E., “Expertise in problem solving,” (1981) Advances in the Psychology of Human Intelligence, pp. 7-76. , Hillsdale, NJ, Erlbaum, ed. R. J. Sternberg; Ericsson, K.A., Krampe, R.T., Tesch-Römer, C., The role of deliberate practice in the acquisition of expert performance (1993) Psychol. Rev, 100, pp. 363-406; Gendron, G., Bao, Q., Witbrock, M., Dobbie, G., Large Language Models are Not Abstract Reasoners (2023) arXiv preprint; Ince, E., An overview of problem solving studies in physics education (2018) J. Educ. Learn, 7, pp. 191-200; Jonassen, D.H., Instructional design models for well-structured and iii-structured problem-solving learning outcomes (1997) Educ. Technol. Res. Dev, 45, pp. 65-94; Kihlstrom, J.F., Ecological validity and “ecological validity.” (2021) Perspect. Psychol. Sci, 16, pp. 466-471; Kojima, T., Gu, S.S., Reid, M., Matsuo, Y., Iwasawa, Y., Large language models are zero-shot reasoners (2023) Adv. Neural Inform. Process. Syst, 35. , 2219922213; Kortemeyer, G., Could an artificial-intelligence agent pass an introductory physics course? (2023) Phys. Rev. Phys. Educ. Res, 19, p. 010132; Liu, P., Yuan, W., Fu, J., Jiang, Z., Hayashi, H., Neubig, G., Pre-train, prompt, and predict: a systematic survey of prompting methods in natural language processing (2023) ACM Comput. Surv, 55, p. 135; Mayer, R.E., (1992) Thinking, Problem Solving, Cognition, , New York, NY, WH Freeman/Times Books/Henry Holt &amp; Co; Nevo, B., Face validity revisited (1985) J. Educ. Meas, 22, pp. 287-293; Newell, A., Simon, H.A., (1972) Human Problem Solving, 104. , Cliffs, NJ, Prentice-hall Englewood; (2013) Next Generation Science Standards: For States, by States, , Washington, DC, National Academies Press; Nori, H., King, N., McKinney, S.M., Carignan, D., Horvitz, E., Capabilities of GPT-4 on medical challenge problems (2023) arXiv preprint; Ogilvie, C.A., Changes in students' problem-solving strategies in a course that includes context-rich, multifaceted problems (2009) Phys. Rev. ST Phys. Educ. Res, 5, p. 020102; Orne, M.T., “On the social psychology of the psychological experiment: with particular reference to demand characteristics and their implications,” (2017) Sociological Methods, pp. 279-299. , London, Routledge, ed. N. JK. Denzin; Price, A., Salehi, S., Burkholder, E., Kim, C., Isava, V., Flynn, M., An accurate and practical method for assessing science and engineering problem-solving expertise (2022) Int. J. Sci. Educ, 44, pp. 2061-2084; Price, A.M., Kim, C.J., Burkholder, E.W., Fritz, A.V., Wieman, C.E., A detailed characterization of the expert problem-solving process in science and engineering: guidance for teaching and assessment (2021) CBE–Life Sci. Educ, 20. , 34388005, ar43; Reif, F., Heller, J.I., Knowledge structure and problem solving in physics (1982) Educ. Psychol, 17, pp. 102-127; Salehi, S., (2018) Improving Problem-Solving through Reflection, , Stanford, CA, Stanford University; Shoufan, A., Exploring students' perceptions of ChatGPT: thematic analysis and follow-up survey (2023) IEEE Access, 11, pp. 38805-38818; Simon, H.A., The structure of ill structured problems (1973) Artif. Intell, 4, pp. 181-201; Simon, H.A., “Information-processing theory of human problem solving,” (1978) Handbook of Learning and Cognitive Processes, pp. 271-295. , in, ume 5, ed. W. K. Estes (Abingdon: Taylor &amp; Francis; Wang, R., Zelikman, E., Poesia, G., Pu, Y., Haber, N., Goodman, N.D., Hypothesis Search: Inductive Reasoning with Language Models (2023) arXiv preprint; Xu, Y., Li, W., Vaezipoor, P., Sanner, S., Khalil, E.B., LLMS and the abstraction and reasoning corpus: successes, failures, and the importance of object-based representations (2023) arXiv, , [Preprint]; Zhang, M., Press, O., Merrill, W., Liu, A., Smith, N.A., How Language Model Hallucinations can Snowball (2023) arXiv preprint; Zheng, S., Huang, J., Chang, K.C.C., Why does ChatGPT Fall Short in Providing Truthful Answers? (2023) arXiv preprint</t>
  </si>
  <si>
    <t>Stanford Institute for Human-Centered Artificial Intelligence, Stanford University, HAI</t>
  </si>
  <si>
    <t>Wang, K.D., Graduate School of Education, Stanford University, StanfordCA, United States; Burkholder, E., Department of Physics, Auburn University, Auburn, AL, United States; Wieman, C., Graduate School of Education, Stanford University, StanfordCA, United States, Department of Physics, Stanford University, StanfordCA, United States; Salehi, S., Graduate School of Education, Stanford University, StanfordCA, United States; Haber, N., Graduate School of Education, Stanford University, StanfordCA, United States</t>
  </si>
  <si>
    <t>Graduate School of Education, Stanford University, StanfordCA, United States; Department of Physics, Auburn University, Auburn, AL, United States; Department of Physics, Stanford University, StanfordCA, United States</t>
  </si>
  <si>
    <t>57142927200;57195574952;7006833489;54795917900;56353182800;</t>
  </si>
  <si>
    <t>Wang K.D., Burkholder E., Wieman C., Salehi S., Haber N.</t>
  </si>
  <si>
    <t>2023 Conference on Empirical Methods in Natural Language Processing, EMNLP 2023</t>
  </si>
  <si>
    <t>ahrefs;Amazon;Bloomberg;et al.;Google Research;GTCOM</t>
  </si>
  <si>
    <t>Bouamor H.Pino J.Bali K.</t>
  </si>
  <si>
    <t>Baradaran, Razieh, Ghiasi, Razieh, Amirkhani, Hossein, A survey on machine reading comprehension systems (2022) Natural Language Engineering, 28 (6), pp. 683-732; Bisk, Yonatan, Zellers, Rowan, Gao, Jianfeng, Choi, Yejin, PIQA: Reasoning about physical commonsense in natural language (2020) Proceedings of the AAAI conference on artificial intelligence, pp. 7432-7439; Cahyawijaya, Samuel, Lovenia, Holy, Aji, Alham Fikri, Winata, Genta Indra, Wilie, Bryan, Koto, Fajri, Mahendra, Rahmad, Purwarianti, Ayu, NusaCrowd: Open source initiative for Indonesian NLP resources (2023) Findings of the Association for Computational Linguistics: ACL 2023; Cahyawijaya, Samuel, Winata, Genta Indra, Wilie, Bryan, Vincentio, Karissa, Li, Xiaohong, Kuncoro, Adhiguna, Ruder, Sebastian, Fung, Pascale, IndoNLG: Benchmark and resources for evaluating Indonesian natural language generation (2021) Proceedings of the 2021 Conference on Empirical Methods in Natural Language Processing, pp. 8875-8898. , Online and Punta Cana, Dominican Republic. Association for Computational Linguistics; Chalkidis, Ilias, (2023) ChatGPT may pass the bar exam soon, but has a long way to go for the LexGLUE benchmark, , arXiv preprint arXiv:2304.12202; Choi, Jonathan H, Hickman, Kristin E, Monahan, Amy, Schwarcz, Daniel, (2023) ChatGPT goes to law school, , SSRN; Clark, Jonathan H., Choi, Eunsol, Collins, Michael, Garrette, Dan, Kwiatkowski, Tom, Nikolaev, Vitaly, Palomaki, Jennimaria, TyDi QA: A benchmark for information-seeking question answering in typologically diverse languages (2020) Transactions of the Association for Computational Linguistics, 8, pp. 454-470; Clark, Peter, Cowhey, Isaac, Etzioni, Oren, Khot, Tushar, Sabharwal, Ashish, Schoenick, Carissa, Tafjord, Oyvind, (2018) Think you have solved question answering? Try ARC, the AI2 reasoning challenge, , arXiv preprint arXiv:1803.05457; Cobbe, Karl, Kosaraju, Vineet, Bavarian, Mohammad, Chen, Mark, Jun, Heewoo, Kaiser, Lukasz, Plappert, Matthias, Nakano, Reiichiro, (2021) Training verifiers to solve math word problems, , arXiv preprint arXiv:2110.14168; Conneau, Alexis, Khandelwal, Kartikay, Goyal, Naman, Chaudhary, Vishrav, Wenzek, Guillaume, Guzmán, Francisco, Grave, Edouard, Stoyanov, Veselin, Unsupervised cross-lingual representation learning at scale (2020) Proceedings of the 58th Annual Meeting of the Association for Computational Linguistics, pp. 8440-8451. , Online. Association for Computational Linguistics; Devlin, Jacob, Chang, Ming-Wei, Lee, Kenton, Toutanova, Kristina, BERT: Pre-training of deep bidirectional transformers for language understanding (2019) Proceedings of the 2019 Conference of the North American Chapter of the Association for Computational Linguistics: Human Language Technologies, Volume 1 (Long and Short Papers), pp. 4171-4186. , Minneapolis, Minnesota. Association for Computational Linguistics; Gehrmann, Sebastian, Adewumi, Tosin, Aggarwal, Karmanya, Ammanamanchi, Pawan Sasanka, Aremu, Anuoluwapo, Bosselut, Antoine, Chandu, Khyathi Raghavi, Zhou, Jiawei, The GEM benchmark: Natural language generation, its evaluation and metrics (2021) Proceedings of the 1st Workshop on Natural Language Generation, Evaluation, and Metrics (GEM 2021), pp. 96-120. , Online. Association for Computational Linguistics; Hendrycks, Dan, Burns, Collin, Basart, Steven, Zou, Andy, Mazeika, Mantas, Song, Dawn, Steinhardt, Jacob, Measuring massive multitask language understanding (2021) International Conference on Learning Representations; Hu, Junjie, Ruder, Sebastian, Siddhant, Aditya, Neubig, Graham, Firat, Orhan, Johnson, Melvin, XTREME: A massively multilingual multitask benchmark for evaluating cross-lingual generalization (2020) Proceedings of ICML 2020; Huang, Lifu, Le Bras, Ronan, Bhagavatula, Chandra, Choi, Yejin, Cosmos QA: Machine reading comprehension with contextual commonsense reasoning (2019) Proceedings of the 2019 Conference on Empirical Methods in Natural Language Processing and the 9th International Joint Conference on Natural Language Processing (EMNLP-IJCNLP), pp. 2391-2401. , Hong Kong, China. Association for Computational Linguistics; Joshi, Mandar, Choi, Eunsol, Weld, Daniel, Zettlemoyer, Luke, TriviaQA: A large scale distantly supervised challenge dataset for reading comprehension (2017) Proceedings of the 55th Annual Meeting of the Association for Computational Linguistics (Volume 1: Long Papers), pp. 1601-1611. , Vancouver, Canada. Association for Computational Linguistics; Mahabadi, Rabeeh Karimi, Zettlemoyer, Luke, Henderson, James, Mathias, Lambert, Saeidi, Marzieh, Stoyanov, Veselin, Yazdani, Majid, Prompt-free and efficient few-shot learning with language models (2022) Proceedings of the 60th Annual Meeting of the Association for Computational Linguistics (Volume 1: Long Papers), pp. 3638-3652. , Dublin, Ireland. Association for Computational Linguistics; Katz, Daniel Martin, Bommarito, Michael James, Gao, Shang, Arredondo, Pablo, (2023) GPT-4 passes the bar exam, , SSRN 4389233; Koto, Fajri, Baldwin, Timothy, Lau, Jey Han, Cloze evaluation for deeper understanding of commonsense stories in Indonesian (2022) Proceedings of the First Workshop on Commonsense Representation and Reasoning (CSRR 2022), pp. 8-16. , a pages Dublin, Ireland. Association for Computational Linguistics; Koto, Fajri, Baldwin, Timothy, Lau, Jey Han, LipKey: A large-scale news dataset for absent keyphrases generation and abstractive summarization (2022) Proceedings of the 29th International Conference on Computational Linguistics, pp. 3427-3437. , b pages Gyeongju, Republic of Korea. International Committee on Computational Linguistics; Koto, Fajri, Koto, Ikhwan, Towards computational linguistics in Minangkabau language: Studies on sentiment analysis and machine translation (2020) Proceedings of the 34th Pacific Asia Conference on Language, Information and Computation, pp. 138-148. , Hanoi, Vietnam. Association for Computational Linguistics; Koto, Fajri, Lau, Jey Han, Baldwin, Timothy, Liputan6: A large-scale Indonesian dataset for text summarization (2020) Proceedings of the 1st Conference of the Asia-Pacific Chapter of the Association for Computational Linguistics and the 10th International Joint Conference on Natural Language Processing, pp. 598-608. , a pages Suzhou, China. Association for Computational Linguistics; Koto, Fajri, Lau, Jey Han, Baldwin, Timothy, IndoBERTweet: A pretrained language model for Indonesian Twitter with effective domain-specific vocabulary initialization (2021) Proceedings of the 2021 Conference on Empirical Methods in Natural Language Processing, pp. 10660-10668. , Online and Punta Cana, Dominican Republic. Association for Computational Linguistics; Koto, Fajri, Rahimi, Afshin, Lau, Jey Han, Baldwin, Timothy, IndoLEM and IndoBERT: A benchmark dataset and pre-trained language model for Indonesian NLP (2020) Proceedings of the 28th International Conference on Computational Linguistics, pp. 757-770. , b pages Barcelona, Spain (Online). International Committee on Computational Linguistics; Koto, Fajri, Rahmaningtyas, Gemala Y, Inset lexicon: Evaluation of a word list for Indonesian sentiment analysis in microblogs (2017) 2017 International Conference on Asian Language Processing (IALP), pp. 391-394. , IEEE; Kwiatkowski, Tom, Palomaki, Jennimaria, Red-field, Olivia, Collins, Michael, Parikh, Ankur, Alberti, Chris, Epstein, Danielle, Petrov, Slav, Natural questions: A benchmark for question answering research (2019) Transactions of the Association for Computational Linguistics, 7, pp. 452-466; Lai, Guokun, Xie, Qizhe, Liu, Hanxiao, Yang, Yiming, Hovy, Eduard, RACE: Large-scale ReAding comprehension dataset from examinations (2017) Proceedings of the 2017 Conference on Empirical Methods in Natural Language Processing, pp. 785-794. , Copenhagen, Denmark. Association for Computational Linguistics; Li, Haonan, Koto, Fajri, Wu, Minghao, Aji, Alham Fikri, Baldwin, Timothy, (2023) Bactrian-X: A multilingual replicable instruction-following model with low-rank adaptation, , arXiv preprint arXiv:2305.15011; Li, Haonan, Zhang, Yixuan, Koto, Fajri, Yang, Yifei, Zhao, Hai, Gong, Yeyun, Duan, Nan, Baldwin, Timothy, (2023) CMMLU: Measuring massive multitask language understanding in chinese, , arXiv preprint arXiv:2306.09212; Liang, Yaobo, Duan, Nan, Gong, Yeyun, Wu, Ning, Guo, Fenfei, Qi, Weizhen, Gong, Ming, Zhou, Ming, XGLUE: A new benchmark dataset for cross-lingual pre-training, understanding and generation (2020) Proceedings of the 2020 Conference on Empirical Methods in Natural Language Processing (EMNLP), pp. 6008-6018. , Online. Association for Computational Linguistics; Lin, Xi Victoria, Mihaylov, Todor, Artetxe, Mikel, Wang, Tianlu, Chen, Shuohui, Simig, Daniel, Ott, Myle, Du, Jingfei, (2021) Few-shot learning with multilingual language models, , arXiv preprint arXiv:2112.10668; Liu, Chen Cecilia, Koto, Fajri, Baldwin, Timothy, Gurevych, Iryna, (2023) Are multilingual llms culturally-diverse reasoners? an investigation into multicultural proverbs and sayings, , arXiv preprint arXiv:2309.08591; Liu, Chuang, Jin, Renren, Ren, Yuqi, Yu, Linhao, Dong, Tianyu, Peng, Xiaohan, Zhang, Shuting, Lyu, Qingqing, (2023) M3KE: A massive multi-level multi-subject knowledge evaluation benchmark for chinese large language models, , arXiv preprint arXiv:2305.10263; Mishra, Swaroop, Mitra, Arindam, Varshney, Neeraj, Sachdeva, Bhavdeep, Clark, Peter, Baral, Chitta, Kalyan, Ashwin, NumGLUE: A suite of fundamental yet challenging mathematical reasoning tasks (2022) Proceedings of the 60th Annual Meeting of the Association for Computational Linguistics (Volume 1: Long Papers), pp. 3505-3523. , Dublin, Ireland. Association for Computational Linguistics; Muennighoff, Niklas, Wang, Thomas, Sutawika, Lintang, Roberts, Adam, Biderman, Stella, Le Scao, Teven, Saiful Bari, M, Schoelkopf, Hailey, (2022) Crosslingual generalization through multitask finetuning, , arXiv preprint arXiv:2211.01786; Novak, Joseph, Learning science and the science of learning (1988) Studies in Science Education, 15 (1), pp. 77-101; (2023) GPT-4 technical report, , OpenAI. ArXiv, abs/2303.08774; Ouyang, Long, Wu, Jeffrey, Jiang, Xu, Almeida, Diogo, Wainwright, Carroll, Mishkin, Pamela, Zhang, Chong, Ray, Alex, Training language models to follow instructions with human feedback (2022) Advances in Neural Information Processing Systems, 35, pp. 27730-27744; Penedo, Guilherme, Malartic, Quentin, Hesslow, Daniel, Cojocaru, Ruxandra, Cappelli, Alessandro, Alobeidli, Hamza, Pannier, Baptiste, Launay, Julien, (2023) The RefinedWeb dataset for Falcon LLM: Outperforming curated corpora with web data, and web data only, , arXiv preprint arXiv:2306.01116; Purwarianti, Ayu, Ayu Putu Ari Crisdayanti, Ida, Improving bi-LSTM performance for Indonesian sentiment analysis using paragraph vector (2019) 2019 International Conference of Advanced Informatics: Concepts, Theory and Applications (ICAICTA), pp. 1-5. , IEEE; Purwarianti, Ayu, Tsuchiya, Masatoshi, Nakagawa, Seiichi, A machine learning approach for Indonesian question answering system (2007) Artificial Intelligence and Applications, pp. 573-578; Putri, Rifki Afina, Oh, Alice, IDK-MRC: Unanswerable questions for Indonesian machine reading comprehension (2022) Proceedings of the 2022 Conference on Empirical Methods in Natural Language Processing, pp. 6918-6933. , Abu Dhabi, United Arab Emirates. Association for Computational Linguistics; Ruder, Sebastian, Constant, Noah, Botha, Jan, Siddhant, Aditya, Firat, Orhan, Fu, Jinlan, Liu, Pengfei, Johnson, Melvin, XTREME-R: Towards more challenging and nuanced multilingual evaluation (2021) Proceedings of the 2021 Conference on Empirical Methods in Natural Language Processing, pp. 10215-10245. , Online and Punta Cana, Dominican Republic. Association for Computational Linguistics; Ryznar, Margaret, Exams in the time of ChatGPT (2023) Washington and Lee Law Review Online, 80 (5), p. 305; Sakaguchi, Keisuke, Le Bras, Ronan, Bhagavatula, Chandra, Choi, Yejin, Winogrande: An adversarial Winograd schema challenge at scale (2021) Communications of the ACM, 64 (9), pp. 99-106; Saputri, Mei Silviana, Mahendra, Rahmad, Adriani, Mirna, Emotion classification on Indonesian Twitter dataset (2018) 2018 International Conference on Asian Language Processing (IALP), pp. 90-95. , IEEE; Sengupta, Neha, Sahu, Sunil Kumar, Jia, Bokang, Katipomu, Satheesh, Li, Haonan, Koto, Fajri, Afzal, Osama Mohammed, Pal, Rahul, (2023) Jais and jais-chat: Arabic-centric foundation and instruction-tuned open generative large language models, , arXiv preprint arXiv:2308.16149; Si, Chenglei, Gan, Zhe, Yang, Zhengyuan, Wang, Shuohang, Wang, Jianfeng, Boyd-Graber, Jordan, Wang, Lijuan, (2022) Prompting GPT-3 to be reliable, , arXiv preprint arXiv:2210.09150; Talmor, Alon, Herzig, Jonathan, Lourie, Nicholas, Berant, Jonathan, CommonsenseQA: A question answering challenge targeting commonsense knowledge (2019) Proceedings of the 2019 Conference of the North American Chapter of the Association for Computational Linguistics: Human Language Technologies, Volume 1 (Long and Short Papers), pp. 4149-4158. , Minneapolis, Minnesota. Association for Computational Linguistics; Touvron, Hugo, Lavril, Thibaut, Izacard, Gautier, Martinet, Xavier, Lachaux, Marie-Anne, Lacroix, Timothée, Rozière, Baptiste, Azhar, Faisal, (2023) LLaMA: Open and efficient foundation language models, , arXiv preprint arXiv:2302.13971; Truong, Thinh, Baldwin, Timothy, Cohn, Trevor, Verspoor, Karin, Improving negation detection with negation-focused pre-training (2022) Proceedings of the 2022 Conference of the North American Chapter of the Association for Computational Linguistics: Human Language Technologies, pp. 4188-4193. , Seattle, United States. Association for Computational Linguistics; Wang, Alex, Pruksachatkun, Yada, Nangia, Nikita, Singh, Amanpreet, Michael, Julian, Hill, Felix, Levy, Omer, Bowman, Samuel, SuperGLUE: A stickier benchmark for general-purpose language understanding systems (2019) Advances in neural information processing systems, 32; Wang, Alex, Singh, Amanpreet, Michael, Julian, Hill, Felix, Levy, Omer, Bowman, Samuel, GLUE: A multi-task benchmark and analysis platform for natural language understanding (2018) Proceedings of the 2018 EMNLP Workshop BlackboxNLP: Analyzing and Interpreting Neural Networks for NLP, pp. 353-355. , Brussels, Belgium. Association for Computational Linguistics; Wang, Xuezhi, Wei, Jason, Schuurmans, Dale, Le, Quoc, Chi, Ed, Narang, Sharan, Chowdhery, Aakanksha, Zhou, Denny, (2022) Self-consistency improves chain of thought reasoning in language models, , arXiv preprint arXiv:2203.11171; Wilie, Bryan, Vincentio, Karissa, Winata, Genta Indra, Cahyawijaya, Samuel, Li, Xiaohong, Lim, Zhi Yuan, Soleman, Sidik, Purwarianti, Ayu, IndoNLU: Benchmark and resources for evaluating Indonesian natural language understanding (2020) Proceedings of the 1st Conference of the Asia-Pacific Chapter of the Association for Computational Linguistics and the 10th International Joint Conference on Natural Language Processing, pp. 843-857. , Suzhou, China. Association for Computational Linguistics; Winata, Genta Indra, Aji, Alham Fikri, Cahyawijaya, Samuel, Mahendra, Rahmad, Koto, Fajri, Romadhony, Ade, Kurniawan, Kemal, Ruder, Sebastian, NusaX: Multilingual parallel sentiment dataset for 10 Indonesian local languages (2023) Proceedings of the 17th Conference of the European Chapter of the Association for Computational Linguistics, pp. 815-834. , Dubrovnik, Croatia. Association for Computational Linguistics; Wolf, Thomas, Debut, Lysandre, Sanh, Victor, Chaumond, Julien, Delangue, Clement, Moi, Anthony, Cistac, Pierric, Rush, Alexander, Transformers: State-of-the-art natural language processing (2020) Proceedings of the 2020 Conference on Empirical Methods in Natural Language Processing: System Demonstrations, pp. 38-45. , Online. Association for Computational Linguistics; Zellers, Rowan, Holtzman, Ari, Bisk, Yonatan, Farhadi, Ali, Choi, Yejin, HellaSwag: Can a machine really finish your sentence? (2019) Proceedings of the 57th Annual Meeting of the Association for Computational Linguistics, pp. 4791-4800. , Florence, Italy. Association for Computational Linguistics</t>
  </si>
  <si>
    <t>Koto, F., Department Natural Language Processing, MBZUAI, United Arab Emirates; Aisyah, N., Quantic School of Business and Technology, United States; Li, H., Department Natural Language Processing, MBZUAI, United Arab Emirates; Baldwin, T., Department Natural Language Processing, MBZUAI, United Arab Emirates, The University of Melbourne, Australia</t>
  </si>
  <si>
    <t>56572738100;57217902481;57212087757;8716547300;</t>
  </si>
  <si>
    <t>Koto F., Aisyah N., Li H., Baldwin T.</t>
  </si>
  <si>
    <t>15 December 2023 through 18 December 2023</t>
  </si>
  <si>
    <t>2023 IEEE International Conference on Big Data, BigData 2023</t>
  </si>
  <si>
    <t>Ankura;IEEE Dataport</t>
  </si>
  <si>
    <t>He J.Palpanas T.Hu X.Cuzzocrea A.Dou D.Slezak D.Wang W.Gruca A.Lin J.C.-W.Agrawal R.</t>
  </si>
  <si>
    <t>Chovanec, K.; Marquette University, United States; email: kevin.chovanec@marquette.edu</t>
  </si>
  <si>
    <t>Zaitseva, E., Santhanam, E., Tucker, B., Discovering student experience (2021) Analysing Student Feedback in Higher Education: Using Text-Mining to Interpret the Student Voice, , New York, NY: Routledge; Porter, S.R., Do college student surveys have any validity? (2011) The Review of Higher Education, 35, pp. 45-76; Kanwar, A., Sanjeeva, M., Student satisfaction survey: A key for quality improvement in higher education institutions (2022) Journal of Entrepreneurship, 11 (1), pp. 1-10; Winstone, N.E., Ajjawi, R., Irkx, K., Boud, D., Measuring what matters: The positioning of students in feedback processes within national student satisfaction surveys (2022) Studies in Higher Education, 47 (7), pp. 1524-15356; Ferrer, J., Ringer, A., Saville, K., Parris, M.A., Kashi, D.K., Students' motivation and engagement in higher education: The importance of attitude to online learning (2020) Higher Education, pp. 1-22; Gopalan, M., Brady, S.T., College students sense of belonging: A national perspective (2020) Educational Researcher, 49 (2), pp. 134-137; Gillen-O'Neel, C., Sense of belonging and student engagement: A daily study of first and continuing-generation college students (2021) Research in Higher Eduducation, 62 (1), pp. 45-71; Hussain, M., Jones, J.M., Discrimination, diversity, andd sense of belonging: Experiences of students of color (2021) Journal of Diversity in Higher Education, 14 (1), p. 63; Cunningham-Nelson, S., Baktashmotlagh, M., Boles, W., Visualizing student opinion through text analysis (2019) IEEE Transactions on Education, 62 (4), pp. 305-311; Maatuk, A.M., Elberkawi, E.K., Aljawarneh, S., Rashaideh, H., Alharbi, H., The COVID-19 panemic and e-learning: Challenges an opportunities from the perspective of students and instructors (2022) Journal of computing in higher education, 34 (1), pp. 21-38; Fabriz, S., Mendzheritskaya, J., Stehle, S., Impact of synchronous and asynchronous setting of online teaching and learning in higher education on students' learning experience during COVID-19 (2021) Frontiers in Psychology, 12, p. 4544; Fan, Y., Shepherd, L.J., Slavich, E., Waters, D., Stone, M., Abel, R., Johnson, D.E.L., Gender and cultural bias in student evaluations: Why representation matters (2019) PloS one, 14 (2); Chavez, K., Mithcell, K.M.W., Expoloring bias in student evaluations: Gender, race, and ethnicity (2020) PS Political Science &amp; Politics, 53 (2), pp. 270-274; Edalati, M., (2020) The potential of machine learning and NLP for handling students' feedback (a short survey), , https://arxiv.org/abs/2011.05806, Arxiv preprint. [Acessed July 22 2023]; Cunningham-Nelson, S., Baktashmotlagh, M., Boles, W., Visualizing student opinion through text analysis (2019) IEEE Transactions on Education, 62 (4), pp. 305-311. , Nov; Kastrati, Z., Dalipi, F., Imran, A.S., Nuci, K.P., Wani, M.A., Sentiment analysis of students' feedback with nlp and deep learning: A systematic mapping study (2021) Applied Sciences, 11 (9), p. 3986. , Apr; Liu, W., Wang, H., Shen, X., Tsang, I.W., The emerging trends of multi-label learning (2022) IEEE Transactions on Pattern Analysis and Machine Intelligence, 44 (11), pp. 7955-7974. , 1 Nov; Devlin, J., Chang, M., Lee, K., Toutanova, K., Bert: Pre-training od deep bidirectional transformers for language understanding (2019) Proceedings of the 2019 Conference of the North American Chapter of the Association for Computational Linguistics: Human Language Technologies, 1. , https://aclanthology.org/N19-1423.pdf, June. [Accessed July 22, 2023]; Peng, Z., Abdollahi, B., Xie, M., Fang, Y., Multi-label classification of short texts with label correlated recurrent neural networks (2021) Proceedings of the 2021 ACM SIGIR International Conference on Theory of Information Retrieval., pp. 119-122. , New York, NY: ACM; Hovy, D., Demographic factors improve classification performance (2015) Proceedings of the 53rd annual meeting of the association for computational linguistics and the 7th international joint conference on natural language processing, 1; Hung, C., Lauscher, A., Hovy, D., Ponzetto, S.P., Glavis, G., Can demographic factors improve text classification? Revisiting demographic adaptation in the age of transformers (2023) Findings of EACL, , https://aclanthology.org/2023.findingseacl.116.pdf, [Accessed July 22, 2023]; Gong, J., Teng, Z., Teng, Q., Zhang, H., Du, L., Chen, S., Bhuiyan, Z., Ma, H., Hierarchical graph transformer-based deep learning model for large-scale multi-label text classification (2020) IEEE Access, 8, pp. 30885-30896; Ajlouni, M., Experience simple transformer library in solving mojaz multi-topic labelling task (2021) 2021 12th International Conference on Information and Communication Systems (ICICS), pp. 466-467; Ghourabi, A., A BERT-based system for multi-topic labeling of Arabic content (2021) 2021 12th International Conference on Information and Communication Systems (ICICS), pp. 486-489; Duan, L., You, Q., Wu, X., Sun, J., Multilabel text classification algorithm based on fusion of two-stream transformer (2022) Electronics, 11 (14), p. 2138. , https://www.mdpi.com/2079-9292/11/14/2138, [Accessed July 22, 2023]; Meidinger, M., Assenmacher, M., A new benchmark for nlp in social sciences: Evaluating the usefulness of pre-trained language models for classifying open-ended survey responses (2021) Proceedings of the 13th International Conference on Agents and Artificial Intelligence (ICAART 2021), 2. , https://epub.ub.unimuenchen.de/75923/1/102551.pdf, [Accessed July 22, 2023]; Roudsari, A.H., Afshar, J., Lee, C.C., Lee, W., Multi-label patent classification using attention-aware deep learning model (2020) 2020 IEEE International Conference on Big Data and Smart Computing (BigComp), pp. 558-559; Ganesh, A., Scribner, H., Singh, J., Goodman, K., Hertzberg, J., Kann, K., Response construct tagging: NLP-aided assessment for engineering education (2022) Proceedings of the 17th Workshop on Innovative Use of NLP for Building Educational Applications (BEA 2022), pp. 250-261; Cai, L., Song, Y., Liu, T., Zhang, D.K., A hybrid BERT model that incorporates label semantics via ajustive attention for multi-label text classification (2020) IEEE Access, 8, pp. 152183-152192. , https://ieeexplore.ieee.org/abstract/document/9169885; Fallah, H., Bellot, P., Bruno, E., Murisasco, E., Adapting transformers for multi-label text classification (2022) CIRCLE (Joint Conference of Information Retrieval Communities in Europe); Sleeman, W., Rishabh, K., Ghosh, P., Multimodal classification: Current landscape, taxonomy and future directions (2022) ACM Computing Surveys, 55 (9), pp. 1-31. , https://doi.org/10.1145/3543848; Wang, X., Chen, G., Guangwu, Q., Pengcheng, G., Wei, X., Wang, Y., Tian, Y., Gao, W., Large-scale multi-modal pre-trained models: A comprehensive survey (2023) Machine Intelligence Research, 20, pp. 447-482; Gu, K., Budhkar, A., A package for learning on tabular and text data with transformers (2021) Proceedings of the Third Workshop on Multimodal Artificial Intelligence., pp. 69-73. , New York, NY: ACM; Qu, Y., Li, F., Li, L., Ddou, X., Wang, H., Can we predict student performance based on tabular and textual data? (2022) IEEE Access, 10, pp. 86008-86019; Rabie, A., Goel, A., D'Souza, J., Khanwalkar, S., Question-type identification for academic questions in online learning platform (2022) 5th International Conference on Semantic &amp; Natural Language Processing (SNLP 2023), , https://arxiv.org/abs/2211.13727, [Accessed July 23, 2023]; Nghiem, M., Minh-Quoc, P.B., Freitas, A., Ananiadou, S., Text classification and prediction in the legal domain (2022) Proceedings of the Thirteenth Language Resources and Evaluation Conference, pp. 4717-4722; Sheikhaei, M.S., Tian, Y., Wang, S., A study of update request comments in stack overflow answer posts (2023) Journal of Systems and Software, 198, p. 111590; He, Y., Wang, C., Zhang, S., Li, N., Li, Z., Zeng, Z., (2022) KG-MTT-BERT for multi-type medical text classification, , https://arxiv.org/abs/2210.03970, Arxiv preprint. [Acessed July 22, 2023]; Alazaidah, R., Ahmad, F.K., Mohsen, M.F.M., A comparative analysis between the three main approaches that are being used to solve the problem of multi label classification (2017) International Journal of Soft Computing, 12 (4), pp. 218-223; Rajapakse, T., (2023) General Usage., , https://simpletransformers.ai/docs/usage/#configuring-A-simpletransformers-model, [August 24]; Boutell, M.R., Luo, J., Shen, X., Brown, C.M., Learning multi-label scene classification (2004) Pattern Recognit., 37 (9), pp. 1757-1771; Yu, R., Lee, H., Kizilcec, R.F., Should college dropout prediction models include protected attributes? (2021) Proceedings of the Eighth ACM Conference on Learning @ Scale, L@S '21., pp. 91-100. , New York, NY: ACM; Sha, L., Li, Y., Gasevic, D., Chen, G., Bigger data or fairer data? Augmenting BERT via active sampling for educational text classification (2022) Proceedings of the 29th International Conference on Computational Linguistics, pp. 1275-1285</t>
  </si>
  <si>
    <t>We would like to thank the Office of Institutional Research and Analysis for generously providing the student survey data used in this study.</t>
  </si>
  <si>
    <t>Institutions of Higher Education (HEI) often possess rich text data in the form of student surveys. However, because these data are expensive to process, many universities have not yet capitalized on this resource. When working with student text data, researchers often desire to first label student responses with common categories of interest, a task in Natural Language Processing known as Multi-label Text Classification (MLTC). BERT and other Large Language Models have produced state of the art results on MLTC tasks; yet because MLTC generally presents challenges of data scarcity and data sparsity, accuracy often remains too low to fully automate the task. Unlike many common MLTC datasets, these student survey data can usually be paired with rich tabular data, both academic and demographic. In this paper, we show that a fusion approach combining tabular data with BERT outputs derived from student responses significantly improves model performance, increasing label ranking average precision from.75 to.84. The paper thus contributes to the open academic discussion of whether fusing tabular demographic data with BERT outputs improves performance, and also offers a practical approach for HEIs to automate survey labeling and thus incorporate more student text data into institutional research. © 2023 IEEE.</t>
  </si>
  <si>
    <t>Chovanec, K., Marquette University, Office of Instutional Research and Analysis, Milwaukee, WI, United States; Fields, J., Concordia University Wisconsin - Ann Arbor, Business Analytics, Mequon, WI, United States; Madiraju, P., Marquette University, Computer Science, Milwaukee, WI, United States</t>
  </si>
  <si>
    <t>56974425000;58812587800;6507994448;</t>
  </si>
  <si>
    <t>Chovanec K., Fields J., Madiraju P.</t>
  </si>
  <si>
    <t>2-s2.0-85185393784</t>
  </si>
  <si>
    <t>ASME Int Mech Eng Congress Expos Proc</t>
  </si>
  <si>
    <t>29 October 2023 through 2 November 2023</t>
  </si>
  <si>
    <t>ASME 2023 International Mechanical Engineering Congress and Exposition, IMECE 2023</t>
  </si>
  <si>
    <t>American Society of Mechanical Engineers (ASME)</t>
  </si>
  <si>
    <t>Ayre, D., Dougherty, C., Held, S., Zhao, Y., Development of a Virtual Reality (VR) Thermal-Fluids Lab Experience (2023) ASEE-PSW Conference, , Apr; Paszkiewicz, Salach, M., Strzalka, D., Budzik, G., Nikodem, A., Wójcik, H., Witek, M., VR Education Support System-A Case Study of Digital Circuits Design (2021) Energies (Basel), 15 (1), p. 277. , https://doi.org/10.3390/en15010277; Peixoto, B., Pinto, R., Melo, M., Cabral, L., Bessa, M., Immersive virtual reality for foreign language education: A PRISMA Systematic Review (2021) IEEE Access, 9, pp. 48952-48962. , https://dx.doi.org/10.1109/ACCESS.2021.3068858; Huang, X., Zou, D., Cheng, G., Xie, H., A systematic review of AR and VR enhanced language learning (2021) Sustainability, 13, p. 4639. , https://dx.doi.org/10.3390/su13094639; Ruan, B., VR-assisted environmental education for undergraduates (2022) Advances in Multimedia, 2022, pp. 1-8. , https://doi.org/10.1155/2022/3721301; Young, G., Stehle, S., Walsh, B., Tiri, E., Exploring Virtual Reality in the Higher Education Classroom: Using VR to Build Knowledge and Understanding (2020) JUCS - Journal of Universal Computer Science, 26 (8), pp. 904-928. , https://doi.org/10.3897/jucs.2020.049; Pande, P., Thit, A., Sørensen, A.E., Mojsoska, B., Moeller, M.E., Jepsen, P.M., Long-term effectiveness of immersive VR simulations in undergraduate science learning: Lessons from a media-comparison study (2021) Res. Learn. Technol, 29, p. EJ1293535. , https://dx.doi.org/10.25304/rlt.v29.2482; Johnson-Glenberg, MC., Immersive VR and Education: Embodied Design Principles That Include Gesture and Hand Controls (2018) Front Robot AI, 5, p. 81. , Jul 24;:. PMID: 33500960; PMCID: PMC7805662; Zhang, W., Wang, Z., Theory and Practice of VR/AR in K-12 Science Education-A Systematic Review (2021) Sustainability, 13, p. 12646. , https://doi.org/10.3390/su132212646; Zhang, Q., Wang, K., Zhou, S., Application and Practice of VR Virtual Education Platform in Improving the Quality and Ability of College Students (2020) IEEE Access, 8, pp. 162830-162837. , https://doi.org/10.1109/ACCESS.2020.3019262; Mayer, R. E., Review of Learning and Teaching with Computers: Artificial Intelligence in Education, by T. O'Shea &amp; J. Self] (1984) Instructional Science, 13 (1), pp. 95-97. , http://www.jstor.org/stable/23369076; Chambers, Jack A., Sprecher, Jerry W., (1983) Computer- Assisted Learning: Its Use in the Classroom, , Prentice-Hall, New Jersey; Carbonell, J. R., AI in CAI: An Artificial-Intelligence Approach to Computer-Assisted Instruction (1970) IEEE Transactions on Man-Machine Systems, 11 (4), pp. 190-202. , Dec; Clancey, William J., (1987) Knowledge-based tutoring: the GUIDON program; Freedman, Reva, Atlas: A Plan Manager for Mixed- Initiative, Multimodal Dialogue AAAI '99 Workshop on Mixed-Initiative Intelligence, , Orlando; GPT Chat will revolutionize the classroom: should we be afraid of the "bot" that talks to us? (2023) CE Noticias Financieras, , https://www.proquest.com/wire-feeds/gpt-chat-willrevolutionize-classroom-should-we/docview/2777448505/se-2, L. L. C. Translated by Content Engine, Available; GPT Chat and the opportunity to rethink education (2023) CE Noticias Financieras, , https://www.proquest.com/wire-feeds/gptchat-opportunity-rethink-education/docview/2775605571/se-2, L. L. C. Translated by Content Engine, Available; Leiker, Daniel, Gyllen, Ashley, Eldesouky, Ismail, Cukurova, Mutlu, Generative AI for learning: Investigating the potential of synthetic learning videos (2023) International Conference of Artificial Intelligence in Education 2023; Taylor, L., Chat GPT sparks concern and hope for professors (2023) University Wire, , https://www.proquest.com/wire-feeds/chat-gpt-sparksconcern-hope-professors/docview/2771516422/se-2, Available; Converse, G., (2021) Neural network methods for application in educational measurement, , https://doi.org/10.17077/etd.005860, The University of Iowa ProQuest Dissertations Publishing; Velickovic, Predrag, Milovanovic, Miloš, Improvement of the Interaction Model Aimed to Reduce the Negative Effects of Cybersickness in VR Rehab Applications (2021) Sensors (Basel), 21 (2), p. 321. , Jan; Thorp, Sebastian, Ree, Alexander Sævild, Grassini, Simone, Temporal Development of Sense of Presence and Cybersickness during an Immersive VR Experience (2022) Multimodal Technol. Interact, 6 (5), p. 31; Oh, Heeseok, Son, Wookho, Cybersickness and Its Severity Arising from Virtual Reality Content: A Comprehensive Study (2022) Sensors, 22 (4), p. 1314; Mouloua, M., Smither, J., Kennedy, Robert C., Kennedy, Robert S., Compton, Daniel E., Drexler, Julie M., Visually-Induced Motion Sickness: Effects of Adaptation Proceedings of the Human Factors and Ergonomics Society Annual Meeting, 49 (26), pp. 2263-2267; Zhao, Y., Flanagan, E., Black, K., Abbasi, H., Cardona, A., Wang, X., Development of a virtual lab in assistance of a fluid mechanics laboratory instruction (2019) IMECE Conference, , Salt Lake City, UT, Nov.11-14; Pintrich, P. R., Smith, D., Garcia, T., McKeachie, W., Predictive validity and reliability of the motivated strategies for learning questionnaire (MSLQ) (1993) Educ. Psychol. Meas, 53, pp. 801-813</t>
  </si>
  <si>
    <t>Artificial intelligence; E-learning; Education computing; Engineering education; Fluid mechanics; Laboratories; Professional aspects; Students; Generative ARTIFICIAL INTELLIGENCE; GPT; High educations; Instructional support; Laboratory class; Laboratory experiments; Physical laboratory; Support systems; Thermal fluids; Virtual-reality environment; Virtual reality</t>
  </si>
  <si>
    <t>Artificial Intelligence; Engineering Education; Generative AI; GPT; Virtual Reality</t>
  </si>
  <si>
    <t>Physical laboratory experiments have long been the cornerstone of higher education, providing future engineers practical real-life experience invaluable to their careers. However, demand for laboratory time has exceeded physical capabilities. Virtual reality (VR) labs have proven to retain many benefits of attending physical labs while also providing significant advantages only available in a VR environment. Previously, our group had developed a pilot VR lab that replicated six (6) unique thermal-fluids lab experiments developed using the Unity game engine. One of the VR labs was tested in a thermal-fluid mechanics laboratory class with favorable results, but students highlighted the need for additional assistance within the VR simulation. In response to this testing, we have incorporated an artificial intelligence (AI) assistant to aid students within the VR environment by developing an interaction model. Utilizing the Generative Pre-trained Transformer 4 (GPT-4) large language model (LLM) and augmented context retrieval, the AI assistant can provide reliable instruction and troubleshoot errors while students conduct the lab procedure to provide an experience similar to a real-life lab assistant. The updated VR lab was tested in two laboratory classes and while the overall tone of student response to an AI-powered assistant was excitement and enthusiasm, observations and other recorded data show that students are currently unsure of how to utilize this new technology, which will help guide future refinement of AI components within the VR environment. © 2023 by ASME.</t>
  </si>
  <si>
    <t>Ayre, D., California State Polytechnic University Pomona, Pomona, CA, United States; Dougherty, C., California State Polytechnic University Pomona, Pomona, CA, United States; Zhao, Y., California State Polytechnic University Pomona, Pomona, CA, United States</t>
  </si>
  <si>
    <t>California State Polytechnic University Pomona, Pomona, CA, United States</t>
  </si>
  <si>
    <t>https://www.scopus.com/inward/record.uri?eid=2-s2.0-85185393784&amp;doi=10.1115%2fIMECE2023-112683&amp;partnerID=40&amp;md5=c2492592a016478a4b3591ff82a93be5</t>
  </si>
  <si>
    <t>10.1115/IMECE2023-112683</t>
  </si>
  <si>
    <t>IMECE2023-112683</t>
  </si>
  <si>
    <t>ASME International Mechanical Engineering Congress and Exposition, Proceedings (IMECE)</t>
  </si>
  <si>
    <t>IMPLEMENTATION OF AN ARTIFICIAL INTELLIGENCE (AI) INSTRUCTIONAL SUPPORT SYSTEM IN A VIRTUAL REALITY (VR) THERMAL-FLUIDS LABORATORY</t>
  </si>
  <si>
    <t>58894457000;58894332800;57195962236;</t>
  </si>
  <si>
    <t>Ayre D., Dougherty C., Zhao Y.</t>
  </si>
  <si>
    <t>2-s2.0-85185950569</t>
  </si>
  <si>
    <t>Eng. Proc.</t>
  </si>
  <si>
    <t>Oliveira, P.F.; Research Centre in Digitalization and Intelligent Robotics (CeDRI), Campus de Santa Apolónia, Portugal; email: poliveira@ipb.pt</t>
  </si>
  <si>
    <t>Sjöström, J., Dahlin, M., Tutorbot: A chatbot for higher education practice (2020) Proceedings of the Designing for Digital Transformation. Co-Creating Services with Citizens and Industry: 15th International Conference on Design Science Research in Information Systems and Technology, DESRIST 2020, pp. 93-98. , Kristiansand, Norway, 2–4 December 2020, Proceedings 15, Springer, Berlin/Heidelberg, Germany; Hien, H.T., Cuong, P.N., Nam, L.N.H., Nhung, H.L.T.K., Thang, L.D., Intelligent assistants in higher-education environments: The FIT-EBot, a chatbot for administrative and learning support Proceedings of the 9th International Symposium on Information and Communication Technology, pp. 69-76. , Danang City, Vietnam, 6–7 December 2018; Sandoval, Z.V., Design and implementation of a chatbot in online higher education settings (2018) Issues Inf. Syst, 19, pp. 44-52; Taecharungroj, V., What Can ChatGPT Do?” Analyzing Early Reactions to the Innovative AI Chatbot on Twitter (2023) Big Data Cogn. Comput, 7; Lappalainen, Y., Narayanan, N., Aisha: A Custom AI Library Chatbot Using the ChatGPT API (2023) J. Web Librariansh, 17, pp. 37-58; Fan, L., Lafia, S., Li, L., Yang, F., Hemphill, L., DataChat: Prototyping a Conversational Agent for Dataset Search and Visualization (2023) arXiv, , 2305.18358</t>
  </si>
  <si>
    <t>The authors are grateful to the Foundation for Science and Technology (FCT, Portugal) for financial support through national funds FCT/MCTES (PIDDAC) to CeDRI (UIDB/05757/2020 and UIDP/05757/2020) and SusTEC (LA/P/0007/2021).</t>
  </si>
  <si>
    <t>Fundação para a Ciência e a Tecnologia, FCT; Ministério da Ciência, Tecnologia e Ensino Superior, MCTES: UIDB/05757/2020, UIDP/05757/2020; Southern University of Science and Technology, SUSTech: LA/P/0007/2021</t>
  </si>
  <si>
    <t>artificial intelligence; chatbot; machine learning; NLP; students</t>
  </si>
  <si>
    <t>This paper introduces the implementation of a chatbot on the web portal of a higher education institution, aiming to enhance student interaction and provide seamless access to information and support services. With the increasing reliance on digital platforms for student engagement, a chatbot offers a user-friendly and efficient means of communication, catering to the diverse needs of students in a higher education setting. The chatbot developed utilizes natural language processing, machine learning, and artificial intelligence algorithms to engage in dynamic conversations with students. We use Large Language Models (LLMs), because these and vector databases are revolutionizing the way we handle and retrieve complex data structures. Their main objective is to provide instant responses, personalized guidance, and timely support for various aspects of student life within the institution, namely the following: Information Retrieval, where the chatbot acts as a virtual collaborator, offering quick and accurate responses to frequently asked questions regarding admissions, programs, course registration, financial aid, and campus facilities, reducing the need for manual information searches; Academic Support, where the chatbot assists students in academic matters, such as course selection, prerequisites, graduation requirements, and study resources. It can offer personalized recommendations based on a student’s academic profile and preferences; Campus Services, which provides information about campus services, extracurricular activities, events, and resources; and Appointment Scheduling, which facilitates appointment scheduling with academic advisors, and support staff, streamlining administrative processes and ensuring timely access to guidance and assistance. This development follows a user-centric approach, incorporating feedback from students, faculty, and administrators to ensure that the chatbot meets their specific needs and preferences. Rigorous testing and quality assurance measures are implemented to guarantee the accuracy, reliability, and security of the chatbot. In conclusion, we achieve a functional chatbot with a medium computational heaviness; in this way, it can be practical to use it in real time by the students on the institution’s web portal. The introduction of a chatbot on the web portal of a higher education institution represents a significant advancement in facilitating student interaction and support services. By providing instant and personalized responses, the chatbot streamlines communication, reduces response times, and empowers students to find information and resources efficiently. As chatbot technology continues to evolve, ongoing enhancements and refinements will ensure that it remains a valuable tool for enhancing student experiences, promoting engagement, and fostering a positive learning environment within the institution. © 2023 by the authors.</t>
  </si>
  <si>
    <t>Oliveira, P.F., Research Centre in Digitalization and Intelligent Robotics (CeDRI), Laboratório Associado para a Sustentabilidade e Tecnologia em Regiões de Montanha (SusTEC), Instituto Politécnico de Bragança, Campus de Santa Apolónia, Bragança, 5300-253, Portugal; Matos, P., Research Centre in Digitalization and Intelligent Robotics (CeDRI), Laboratório Associado para a Sustentabilidade e Tecnologia em Regiões de Montanha (SusTEC), Instituto Politécnico de Bragança, Campus de Santa Apolónia, Bragança, 5300-253, Portugal</t>
  </si>
  <si>
    <t>Research Centre in Digitalization and Intelligent Robotics (CeDRI), Laboratório Associado para a Sustentabilidade e Tecnologia em Regiões de Montanha (SusTEC), Instituto Politécnico de Bragança, Campus de Santa Apolónia, Bragança, 5300-253, Portugal</t>
  </si>
  <si>
    <t>https://www.scopus.com/inward/record.uri?eid=2-s2.0-85185950569&amp;doi=10.3390%2fASEC2023-16621&amp;partnerID=40&amp;md5=a6301ce3462c0a925b01c77c448a1442</t>
  </si>
  <si>
    <t>10.3390/ASEC2023-16621</t>
  </si>
  <si>
    <t>Engineering Proceedings</t>
  </si>
  <si>
    <t>Introducing a Chatbot to the Web Portal of a Higher Education Institution to Enhance Student Interaction †</t>
  </si>
  <si>
    <t>57259933700;57193342842;</t>
  </si>
  <si>
    <t>Oliveira P.F., Matos P.</t>
  </si>
  <si>
    <t>2-s2.0-85186112796</t>
  </si>
  <si>
    <t>Int. Symp. Comput. Educ., SIIE</t>
  </si>
  <si>
    <t>16 November 2023 through 18 November 2023</t>
  </si>
  <si>
    <t>25th International Symposium on Computers in Education, SIIE 2023</t>
  </si>
  <si>
    <t>do Rosario Rodrigues M.Figueiredo M.Torres J.</t>
  </si>
  <si>
    <t>Dennis, B., From pencils to pixels: The stages of literacy technologies (1999) Writing about writing: A college reader, pp. 690-708; http://hackeducation.com/2015/03/12/calculators, last accessed 2023/06/15; Ralston, A., Let’s abolish pencil-and-paper arithmetic (1999) Journal of Computers in Mathematics and Science Teaching, 18 (2), pp. 173-194; Roberts, D.M., The impact of electronic calculators on educational performance (1980) Review of Educational Research, 50 (1), pp. 71-98; Bunker, E.L., The history of distance education through the eyes of the International Council for Distance Education (2003) Handbook of distance education, pp. 49-66; Schifter, C.C., Faculty participation in asynchronous learning networks: A case study of motivating and inhibiting factors (2000) Journal of Asynchronous Learning Networks, 4 (1), pp. 15-22; Etherington, M., E-learning pedagogy in the primary school classroom: the McDonaldization of education (2008) Australian Journal of Teacher Education, 33 (5), pp. 29-54; Vlachopoulos, D., COVID-19: Threat or opportunity for online education? (2020) Higher Learning Research Communication, 10 (1), pp. 16-19; Zdravkova, K., Dalipi, F., Krasniqi, V., Remote Education Trajectories for Learners with Special Needs during the Covid-19 Outbreak: An Accessibility Analysis of the Learning Platforms International Journal: Emerging Technologies in Learning, 17 (21), pp. 89-122. , 2022; Ferster, B., (2014) Teaching machines: Learning from the intersection of education and technology, , JHU Press; ChatGPT, , https://openai.com/blog/chatgpt, last accessed 2023/06/12; Kasneci, E., Seßler, K., Küchemann, S., ChatGPT for good? On opportunities and challenges of large language models for education (2023) Learning and Individual Differences, 103, p. 102274; UN News homepage, , https://news.un.org/en/story/2021/09/1099972, last accessed 2023/06/11; Flynn, S., WIPO Conversation on Intellectual Property (IP) and Artificial Intelligence (AI) The World Intellectual Property Organization, p. 2020; European Commission IP Helpdesk, , https://intellectual-propertyhelpdesk.ec.europa.eu/news-events/news/intellectual-propertychatgpt-2023-02-20_en, last accessed 2023/06/09; https://www.un.org/en/desa/will-robots-and-ai-cause-massunemployment-not-necessarily-they-do-bring-other, last accessed 2023/06/13; Goldstein, J.A., Sastry, G., Musser, M., DiResta, R., Gentzel, M., Sedova, K., Generative Language Models and Automated Influence Operations: Emerging Threats and Potential Mitigations, p. 2023. , https://arxiv.org/abs/2301.04246; OECD Forum, , https://www.oecd-forum.org/posts/the-promisespitfalls-and-potential-of-global-technology-governance, last accessed 2023/09/25; Health Sector Cybersecurity Coordination Center, , https://www.hhs.gov/sites/default/files/ai-for-malware-developmentanalyst-note.pdf, last accessed 2023/09/25; Ethics of Artificial Intelligence, , https://www.unesco.org/en/artificial-intelligence/recommendationethics, last accessed 2023/09/25; The decision lab, , https://thedecisionlab.com/biases/google-effect, last accessed 2023/09/25; of Wisconsin - Madison, , https://dept.writing.wisc.edu/wac/whyshould-i-use-writing-assignments-in-my-teaching/, last accessed 2023/09/25; https://github.com/google, last accessed 2023/09/25; https://www.bestcolleges.com/news/will-colleges-banchatgpt/, last accessed 2023/09/25; IB, , https://www.ibo.org/news/news-about-the-ib/statement-from-theib-about-chatgpt-and-artificial-intelligence-in-assessment-andeducation/, last accessed 2023/09/25; https://www.springer.com/journal/10584/updates/24013930, Springer, last accessed 2023/09/25; Strzelecki, A., To use or not to use ChatGPT in higher education? A study of students’ acceptance and use of technology Interactive Learning Environments, pp. 1-14. , 2023; Braun, V., Clarke, V., Using thematic analysis in psychology (2006) Qualitative research in psychology, 3 (2), pp. 77-101; Bauer, E., Greisel, M., Kuznetsov, I., Berndt, M., Kollar, I., Dresel, M., Fischer, F., Using natural language processing to support peer-feedback in the age of artificial intelligence: A cross‐disciplinary framework and a research agenda British Journal of Educational Technology, p. 2023. , M. &amp;; Fill, H.G., Fettke, P., Köpke, J., Conceptual Modeling and Large Language Models: Impressions from First Experiments With ChatGPT Enterprise Modelling and Information Systems Architectures (EMISAJ), 18, pp. 1-15. , 2023; Lincoln, Y., Guba, E., (1985) Naturalistic Inquiry, , California: Sage Publications; Creswell, J.W., Creswell, J.D., (2018) Research design: qualitative, quantitative, and mixed methods approaches, , Fifth edition, Los Angeles: Sage; Creswell, J.W., Miller, D.L., Determining Validity in Qualitative Inquiry (2000) Theory Into Practice, 39 (3), pp. 124-130; Susnjak, T., ChatGPT: The End of Online Exam Integrity?, , arXiv preprint; Lo, C.K., What is the impact of ChatGPT on education? A rapid review of the literature Education Sciences, 13 (4), p. 410. , 2023; Okonkwo, C.W., Ade-Ibijola, A., Chatbots applications in education: A systematic review (2021) Computers and Education: Artificial Intelligence, 2, p. 100033; Sandu, N., Gide, E., Adoption of AI-Chatbots to enhance student learning experience in higher education in India (2019) 2019 18th IEEE International Conference on Information Technology Based Higher Education and Training (ITHET), pp. 1-5; Zhai, X., Chatgpt for next generation science learning. XRDS: Crossroads The ACM Magazine for Students, 29 (3), pp. 42-46. , 2023; Ross, S.I., Martinez, F., Houde, S., Muller, M., Weisz, J.D., The programmer’s assistant: Conversational interaction with a large language model for software development (2023) Proceedings of the 28th International Conference on Intelligent User Interfaces, pp. 491-514; Kazemitabaar, M., Chow, J., Ma, C.K.T., Ericson, B.J., Weintrop, D., Grossman, T., Studying the effect of AI Code Generators on Supporting Novice Learners in Introductory Programming Proceedings of the 2023 CHI Conference on Human Factors in Computing Systems, pp. 1-23. , 2023; Ferrara, E., Should ChatGPT be biased? Challenges and risks of bias in large language models, , arXiv preprint; Deng, J., Lin, Y., The Benefits and Challenges of ChatGPT: An Overview Frontiers in Computing and Intelligent Systems, 2 (2), pp. 81-83. , 2022; Farrokhnia, M., Banihashem, S.K., Noroozi, O., Wals, A., SWOT analysis of ChatGPT: Implications for educational practice and research Innovations in Education and Teaching International, pp. 1-15. , 2023; Cotton, D.R., Cotton, P.A., Shipway, J.R., Chatting and cheating: Ensuring academic integrity in the era of ChatGPT Innovations in Education and Teaching International, pp. 1-12. , 2023</t>
  </si>
  <si>
    <t>Computational linguistics; Copyrights; Education computing; Academic integrity; AI learning tool; ChatGPT; Copyright infringement; High educations; Language model; Large language model; Learning tool; Student feedback; Training data; Students</t>
  </si>
  <si>
    <t>academic integrity; AI learning tool; ChatGPT; higher education; large language models; students' feedback</t>
  </si>
  <si>
    <t>Large language models (LLMs) are being criticized for copyright infringement, inadvertent bias in training data, a danger to human innovation, the possibility of distributing incorrect or misleading information, and prejudice. Due to their popularity among students, the introduction of many comparable apps, and the inability to resist unfair and fraudulent student usage, their educational use needs to be adapted and harmonized. The incorporation of LLMs should be defined not only by pedagogues and educational institutions, but also by students who will actively utilize them to learn and prepare assignments. In order to find out what students from two universities think and suggest about LLMs use in education, they were asked to give their contribution by answering the survey that was conducted at the beginning of the spring semester of academic 2022/23. Their feedback was quantitatively and qualitatively analyzed, showing in a better light what students think about LLMs and how and why they would use them. Based on the analysis, the authors propose an original strategy for integrating LLMs into education. The proposed approach is also adapted for those students who are not interested in using LLMs and for those who prefer the hybrid mode by combining their own research with LLMs generated recommendations. The authors expect that by implementing the proposed strategy, schools will benefit from a better education in which research, creativity, academic honesty, recognition of false information, and the ability to improve knowledge will prevail. © 2023 IEEE.</t>
  </si>
  <si>
    <t>Zdravkova, K., Ss. Cyril and Methodius University, Faculty of Computer Science and Engineering, Skopje, North Macedonia; Dalipi, F., Linnaeus University, Faculty of Technology, Department of Informatics, Kalmar, Sweden; Ahlgren, F., Linnaeus University, Faculty of Technology, Department of Computer Science and Media Technology, Kalmar, Sweden</t>
  </si>
  <si>
    <t>Ss. Cyril and Methodius University, Faculty of Computer Science and Engineering, Skopje, North Macedonia; Linnaeus University, Faculty of Technology, Department of Informatics, Kalmar, Sweden; Linnaeus University, Faculty of Technology, Department of Computer Science and Media Technology, Kalmar, Sweden</t>
  </si>
  <si>
    <t>https://www.scopus.com/inward/record.uri?eid=2-s2.0-85186112796&amp;doi=10.1109%2fSIIE59826.2023.10423681&amp;partnerID=40&amp;md5=b03df5f363d2e302424a7e51e9666804</t>
  </si>
  <si>
    <t>10.1109/SIIE59826.2023.10423681</t>
  </si>
  <si>
    <t>Integration of Large Language Models into Higher Education: A Perspective from Learners</t>
  </si>
  <si>
    <t>16044345900;55321791700;8127283200;</t>
  </si>
  <si>
    <t>Zdravkova K., Dalipi F., Ahlgren F.</t>
  </si>
  <si>
    <t>2-s2.0-85186139735</t>
  </si>
  <si>
    <t>IEEE Int. Conf. Data Mining Workshops, ICDMW</t>
  </si>
  <si>
    <t>1 December 2023 through 4 December 2023</t>
  </si>
  <si>
    <t>23rd IEEE International Conference on Data Mining Workshops, ICDMW 2023</t>
  </si>
  <si>
    <t>IEEE Computer Society;Technology Innovation Institute;TWO SIGMA;US National Science Foundation (NSF)</t>
  </si>
  <si>
    <t>Wang J.He Y.Dinh T.N.Grant C.Qiu M.Pedrycz W.</t>
  </si>
  <si>
    <t>Huang, F.; Zhejiang Lab, Zhejiang, China; email: huangfei@zhejianglab.com</t>
  </si>
  <si>
    <t>Bollacker, K., Evans, C., Paritosh, P., Freebase: A collaboratively created graph database for structuring human knowledge (2008) Proceedings of the 2008 ACM SIGMOD international conference on Management of data., pp. 1247-1250; Lehmann, J., Isele, R., Jakob, M., Dbpedia-a large-scale, multilingual knowledge base extracted from wikipedia (2015) Semantic web, 6 (2), pp. 167-195; Tanon, P.T., Vrandecic, D., Schaffert, S., From freebase to wikidata: The great migration (2016) Proceedings of the 25th international conference on world wide web., pp. 1419-1428; Lan, Y., He, G., Jiang, J., Complex knowledge base question answering: A survey (2022) IEEE Transactions on Knowledge and Data Engineering; Cao, S., Shi, J., Pan, L., (2020) KQA pro: A dataset with explicit compositional programs for complex question answering over knowledge base; Lin, Z., Zhang, Z., Wang, M., (2022) Multi-modal contrastive representation learning for entity alignment; Zeng, A., Liu, X., Du, Z., (2022) Glm-130b: An open bilingual pre-trained model; Su, D., Xu, Y., Winata, I.G., Generalizing question answering system with pre-trained language model fine-tuning (2019) Proceedings of the 2nd Workshop on Machine Reading for Question Answering., pp. 203-211; Lewis, M., Liu, Y., Goyal, N., BART: denoising sequence-tosequence pre-training for natural language generation, translation, and comprehension (2020) Proceedings of the 58th Annual Meeting of the Association for Computational Linguistics, ACL 2020, pp. 7871-7880. , https://doi.org/10.18653/v1/2020.acl-main.703, Online, July 5-10, 2020, D. Jurafsky, J. Chai, N. Schluter, and J. R. Tetreault, Eds. Association for Computational Linguistics; Li, J., Tang, T., Zhao, W.X., (2022) Pretrained language models for text generation: A survey; Bai, J., Bai, S., Yang, S., (2023) Qwen-VL: A Frontier Large Vision-Language Model with Versatile Abilities</t>
  </si>
  <si>
    <t>This research is supported by the National Natural Science Foundation of China (NSFC) under grant 62120106008.</t>
  </si>
  <si>
    <t>National Natural Science Foundation of China, NSFC: 62120106008</t>
  </si>
  <si>
    <t>Data visualization; Learning algorithms; Machine learning; Natural language processing systems; Entity-relationship; Factual information; Knowledge base question answering; Knowledge graphs; Language model; Large language model; Natural languages; Performance; Question Answering; Salary distributions; Knowledge graph</t>
  </si>
  <si>
    <t>KBQA; Knowledge Engineering; LLM; Salary distribution</t>
  </si>
  <si>
    <t>Knowledge base question answering (KBQA) is designed to respond to natural language inquiries by utilizing factual information, such as entities, relationships, and attributes, derived from a knowledge base (KB). The advent of large language models (LLMs) has significantly boosted the performance of KBQA, owing to their exceptional capabilities in content comprehension and generation. In this paper, we present a Knowledge Ocean enhanced Salary Analytics (KOSA) system based on knowledge graphs and LLMs tailored to employee salary data from a public university. This system encompasses an interactive conversational interface, visualization of knowledge graphs, and advanced data analysis. By employing the framework of knowledge engineering, we enable knowledge graph modeling, Cypher (the query engine of Neo4j) reasoning, and question answering functionalities. Furthermore, machine learning algorithms are integrated to facilitate advanced features, such as salary prediction and allocation. © 2023 IEEE.</t>
  </si>
  <si>
    <t>Huang, F., Zhejiang Lab, Research Center for Knowledge Engineering, Zhejiang, Hangzhou, 311121, China; Deng, Y., Zhejiang Lab, Research Center for Knowledge Engineering, Zhejiang, Hangzhou, 311121, China; Zhang, C., Zhejiang Lab, Research Center for Knowledge Engineering, Zhejiang, Hangzhou, 311121, China; Guo, M., Zhejiang Lab, Research Center for Knowledge Engineering, Zhejiang, Hangzhou, 311121, China; Zhan, K., Zhejiang Lab, Research Center for Knowledge Engineering, Zhejiang, Hangzhou, 311121, China; Sun, S., Zhejiang Lab, Research Center for Knowledge Engineering, Zhejiang, Hangzhou, 311121, China; Jiang, J., Zhejiang Lab, Research Center for Knowledge Engineering, Zhejiang, Hangzhou, 311121, China; Sun, Z., Zhejiang Lab, Research Center for Knowledge Engineering, Zhejiang, Hangzhou, 311121, China; Wu, X., Zhejiang Lab, Research Center for Knowledge Engineering, Zhejiang, Hangzhou, 311121, China</t>
  </si>
  <si>
    <t>Zhejiang Lab, Research Center for Knowledge Engineering, Zhejiang, Hangzhou, 311121, China</t>
  </si>
  <si>
    <t>https://www.scopus.com/inward/record.uri?eid=2-s2.0-85186139735&amp;doi=10.1109%2fICDMW60847.2023.00071&amp;partnerID=40&amp;md5=b9bdefe0caf5c1a1429fa8d1d70b1b38</t>
  </si>
  <si>
    <t>10.1109/ICDMW60847.2023.00071</t>
  </si>
  <si>
    <t>IEEE International Conference on Data Mining Workshops, ICDMW</t>
  </si>
  <si>
    <t>KOSA: KO Enhanced Salary Analytics based on Knowledge Graph and LLM Capabilities</t>
  </si>
  <si>
    <t>58909587000;58909366400;57225061047;58909553400;58909522800;58909397700;58559620100;58819567900;55533800700;</t>
  </si>
  <si>
    <t>Huang F., Deng Y., Zhang C., Guo M., Zhan K., Sun S., Jiang J., Sun Z., Wu X.</t>
  </si>
  <si>
    <t>2-s2.0-85186755850</t>
  </si>
  <si>
    <t>Proc. - Int. Conf. Educ. Knowl. Informatiz., EKI</t>
  </si>
  <si>
    <t>22 September 2023 through 24 September 2023</t>
  </si>
  <si>
    <t>2023 International Conference on Educational Knowledge and Informatization, EKI 2023</t>
  </si>
  <si>
    <t>Ding, S.; Wuhan University of Science and Technology, China; email: 361782849@qq.com</t>
  </si>
  <si>
    <t>Thorp, H.H., ChatGPT is fun, but not an author (2023) Science, 379 (6630), p. 313; Taecharungroj, V., What can ChatGPT do? ' Analyzing early reactions to the innovative AI Chatbot on Twitter (2023) Big Data and Cognitive Computing, 7 (35), p. 35; Biswas, S.S., Role of ChatGPT in public health (2023) Annals of Biomedical Engineering, 51, pp. 868-869; Van Dis, E.A.M., Bollen, J., Zuidema, W., Van Rooij, R., Bockting, C.L., ChatGPT: Five priorities for research (2023) Nature, 614 (7947), pp. 224-226; Wu, T.Y., He, S.Z., Liu, J.P., A brief overview of ChatGPT: The history, status quo and potential future development IEEE/ CAA Journal of Automatica Sinica, 10 (5), pp. 1122-1136. , May 2023; How should AI systems behave, and who should decide? (2023) OpenAI, , https://openai.com/blog/how-should-Ai-systems-behave; Sallam, M., ChatGPT Utility in healthcare education, research, and practice: Systematic review on the promising perspectives and valid concerns Healthcare, 11 (6), p. 2023; Tapalova, O., Zhiyenbayeva, N., Gura, D., Artificial intelligence in education: AIEd for personalised learning pathways (2022) Electronic Journal of E-Learning, 20 (5), pp. 639-653; Haque, M.U., Dharmadasa, I., Sworna, Z.T., Rajapakse, R., Ahmad, H., I think this is the most disruptive technology: Exploring sentiments of ChatGPT early adopters using Twitter data (2022) Computer Science, , arXiv.2212.05856; Zhai, X., (2022) ChatGPT User Experience: Implications for Education, , https://doi.org/10.2139/ssrn.4312418; Susnjak, T., (2022) ChatGPT: The End of Online Exam Integrity?, , https://doi.org/10.48550/ARXIV.2212.09292; Qadir, J., (2022) Engineering Education in the Era of ChatGPT: Promise and Pitfalls of Generative Ai for Education, , https://doi.org/10.36227/techrxiv.21789434.vl; Gao, C.A., Howard, F.M., Markov, N.S., (2022) Comparing Scientific Abstracts Generated by ChatGPT to Original Abstracts Using An Artificial Intelligence Output Detector, Plagiarism Detector, and Blinded Human Reviewers, , https://www.biorxiv.org/content/10.1101/2022.12.23.521610vl; ChatGPT: Optimizing language models for dialogue (2022) OpenAI, , https://openai.casa/blog/chatgpt/</t>
  </si>
  <si>
    <t>Computational linguistics; Education computing; ChatGPT; Education field; High educations; Higher education system; Human like; Language model; Large language model; Online exams; Performances evaluation; Personalized feedback; Students</t>
  </si>
  <si>
    <t>ChatGPT; Higher Education; Large Language Model</t>
  </si>
  <si>
    <t>ChatGPT is a powerful large language model developed by OpenAI. It has a profound impact on higher education fields. This technology offers exciting opportunities for students and educators, including personalized feedback, increased accessibility, interactive conversations, lecture preparation, performance evaluation, and new ways to teach complex concepts. At the same time, ChatGPT poses different threats and challenges to the traditional high education system, such as the possibility of cheating on online exams, human-like text generation, diminished critical thinking skills, and difficulties in evaluating information generated by ChatGPT. This paper explores the potential opportunities and challenges that ChatGPT poses in higher education from the perspective of students and educators. In higher education, by understanding these challenges and taking steps to mitigate them, we can then ensure the language models to be used in a responsible and ethical way. © 2023 IEEE.</t>
  </si>
  <si>
    <t>Xie, X., Wuhan University of Science and Technology, Journal Editorial Department of Wuhan University of Science and Technology, Wuhan, China; Ding, S., Wuhan University of Science and Technology, College of Computer Science and Technology, Wuhan, China</t>
  </si>
  <si>
    <t>Wuhan University of Science and Technology, Journal Editorial Department of Wuhan University of Science and Technology, Wuhan, China; Wuhan University of Science and Technology, College of Computer Science and Technology, Wuhan, China</t>
  </si>
  <si>
    <t>https://www.scopus.com/inward/record.uri?eid=2-s2.0-85186755850&amp;doi=10.1109%2fEKI61071.2023.00010&amp;partnerID=40&amp;md5=fcb4a0d1ad77ce8d806b6cdc36c4f9d0</t>
  </si>
  <si>
    <t>10.1109/EKI61071.2023.00010</t>
  </si>
  <si>
    <t>Proceedings - 2023 International Conference on Educational Knowledge and Informatization, EKI 2023</t>
  </si>
  <si>
    <t>Opportunities, Challenges, Strategies, and Reforms for ChatGPT in Higher Education</t>
  </si>
  <si>
    <t>58921228300;54881100500;</t>
  </si>
  <si>
    <t>Xie X., Ding S.</t>
  </si>
  <si>
    <t>2-s2.0-85188219136</t>
  </si>
  <si>
    <t>The proceedings contain 44 papers. The topics discussed include: a tracer for teacher development in the programming language ScratchJr; promoting global awareness of the SDGs in the classroom through the SDGCalendar platform; the emergence of algorithmics in grade 1: a study within the mathematical curriculum; e-assessment systems: an evaluation framework from the perspective of higher education experts; contributions and potential of the WheelDecide digital application in a basic education class; artificial intelligence and academic research: an exploratory study with master's students; class type preferences in informatics engineering: before, during, and after the pandemic; integration of large language models into higher education: a perspective from learners; and PRO(G)NATURA: technology and outdoor education as a complement to improve the child learning process.</t>
  </si>
  <si>
    <t>https://www.scopus.com/inward/record.uri?eid=2-s2.0-85188219136&amp;partnerID=40&amp;md5=de5621da1d036052d4a152f7a883f208</t>
  </si>
  <si>
    <t>2-s2.0-85188904654</t>
  </si>
  <si>
    <t>Open. Prax.</t>
  </si>
  <si>
    <t>International Council for Open and Distance Education</t>
  </si>
  <si>
    <t>Bozkurt, A.; Anadolu UniversityTurkey; email: arasbozkurt@gmail.com</t>
  </si>
  <si>
    <t>Ansari, A. N., Ahmad, S., Bhutta, S. M., Mapping the global evidence around the use of ChatGPT in higher education: A systematic scoping review (2023) Education and Information Technologies, pp. 1-41. , https://doi.org/10.1007/s10639-023-12223-4; Bahroun, Z., Anane, C., Ahmed, V., Zacca, A., Transforming Education: A Comprehensive Review of Generative Artificial Intelligence in Educational Settings through Bibliometric and Content Analysis (2023) Sustainability, 15 (17), p. 12983. , https://doi.org/10.3390/su151712983; Bozkurt, A., Postdigital Artificial Intelligence (2023) Encyclopedia of Postdigital Science and Education, , https://doi.org/10.1007/978-3-031-35469-4_2-2, P. Jandri (Eds), Cham: Springer; Bozkurt, A., Generative artificial intelligence (AI) powered conversational educational agents: The inevitable paradigm shift (2023) Asian Journal of Distance Education, 18 (1), pp. 198-204. , https://doi.org/10.5281/zenodo.7716416; Bozkurt, A., Generative AI, synthetic contents, open educational resources (OER), and open educational practices (OEP): A new front in the openness landscape (2023) Open Praxis, 15 (3), pp. 178-184. , https://doi.org/10.55982/openpraxis.15.3.579; Bozkurt, A., Sharma, R. C., Generative AI and prompt engineering: The art of whispering to let the genie out of the algorithmic world (2023) Asian Journal of Distance Education, 18 (2), pp. i-vii. , https://doi.org/10.5281/zenodo.8174941; Bozkurt, A., Xiao, J., Lambert, S., Pazurek, A., Crompton, H., Koseoglu, S., Farrow, R., Jandrić, P., Speculative futures on ChatGPT and generative artificial intelligence (AI): A collective reflection from the educational landscape (2023) Asian Journal of Distance Education, 18 (1), pp. 53-130. , https://doi.org/10.5281/zenodo.7636568; Dempere, J., Modugu, K. P., Hesham, A., Ramasamy, L., The impact of ChatGPT on higher education. The impact of ChatGPT on higher education (2023) Frontiers in Education, 8, p. 1206936. , https://doi.org/10.3389/feduc.2023.1206936; Donthu, N., Kumar, S., Mukherjee, D., Pandey, N., Lim, W. M., How to conduct a bibliometric analysis: An overview and guidelines (2021) Journal of Business Research, 133, pp. 285-296. , https://doi. org; Fayyad, U., Grinstein, G. G., Wierse, A., (2002) Information visualization in data mining and knowledge discovery, , (Eds) Morgan Kaufmann; Feldman, R., Sanger, J., (2007) The text mining handbook: Advanced approaches in analyzing unstructured data, , https://doi.org/10.1017/CBO9780511546914, Cambridge University Press; Gough, D., Oliver, S., Thomas, J., (2012) An introduction to systematic reviews, , Sage; Griffith, E., Metz, C., Let 1,000 flowers bloom’: A.I. funding frenzy escalates (2023), https://www.nytimes.com/2023/03/14/technology/ai-funding-boom.html?, (March 14). The New York Times; Hansen, D., Shneiderman, B., Smith, M. A., (2010) Analyzing social media networks with NodeXL: Insights from a connected world, , https://doi.org/10.1016/B978-0-12-382229-1.00002-3, Morgan Kaufmann; İpek, Z. H., Gözüm, A. İ. C., Papadakis, S., Kallogiannakis, M., Educational Applications of the ChatGPT AI System: A Systematic Review Research (2023) Educational Process: International Journal, 12 (3), pp. 26-55. , https://doi.org/10.22521/edupij.2023.123.2; Lambert, J., Stevens, M., ChatGPT and Generative AI Technology: A Mixed Bag of Concerns and New Opportunities (2023) Computers in the Schools, pp. 1-25. , https://doi.org; Lo, C. K., What is the impact of ChatGPT on education? A rapid review of the literature (2023) Education Sciences, 13 (4), p. 410. , https://doi.org/10.3390/educsci13040410; Montenegro-Rueda, M., Fernández-Cerero, J., Fernández-Batanero, J. M., López-Meneses, E., Impact of the Implementation of ChatGPT in Education: A Systematic Review (2023) Computers, 12 (8). , https://doi.org/10.3390/computers12080153; (2022) ChatGPT: Optimizing language models for dialogue, , https://openai.com/blog/chatgpt/; Page, M. J., McKenzie, J. E., Bossuyt, P. M., Boutron, I., Hoffmann, T. C., Mulrow, C. D., Shamseer, L., Moher, D., The PRISMA 2020 statement: An updated guideline for reporting systematic reviews (2021) The BMJ, 372 (1). , https://doi.org/10.1136/bmj.n71; Pradana, M., Elisa, H. P., Syarifuddin, S., Discussing ChatGPT in education: A literature review and bibliometric analysis (2023) Cogent Education, 10 (2), p. 2243134. , https://doi.org; Rudolph, J., Tan, S., Tan, S., War of the chatbots: Bard, Bing Chat, ChatGPT, Ernie and beyond. The new AI gold rush and its impact on higher education (2023) Journal of Applied Learning and Teaching, 6 (1). , https://doi.org; Şenocak, D., Kocdar, S., Bozkurt, A., Historical, philosophical and ethical roots of artificial intelligence (2023) Pakistan Journal of Education, 40 (1), pp. 67-90. , https://doi.org/10.30971/pje.v40i1.1152; Thurmond, V. A., The point of triangulation (2001) Journal of Nursing Scholarship, 33 (3), pp. 253-258. , https://doi.org/10.1111/j.1547-5069.2001.00253.x; Tlili, A., Shehata, B., Adarkwah, M. A., Bozkurt, A., Hickey, D. T., Huang, R., Agyemang, B., What if the devil is my guardian angel: ChatGPT as a case study of using chatbots in education (2023) Smart Learning Environments, 10 (1), pp. 1-24. , https://doi.org/10.1186/s40561-023-00237-x; van der Maaten, L., Hinton, G., Visualizing data using t-SNE (2008) Journal of Machine Learning Research, 9 (2008), pp. 2579-2605. , http://www.jmlr.org/papers/volume9/vandermaaten08a/vandermaaten08a.pdf; Yan, L., Sha, L., Zhao, L., Li, Y., Martinez-Maldonado, R., Chen, G., Li, X., Gašević, D., Practical and ethical challenges of large language models in education: A systematic scoping review (2023) British Journal of Educational Technology, pp. 1-23. , https://doi.org/10.1111/bjet.13370; Yu, H., Guo, Y., Generative artificial intelligence empowers educational reform: current status, issues, and prospects (2023) Frontiers in Education, 8, p. 1183162. , https://doi.org/10.3389/feduc.2023.1183162, (June)</t>
  </si>
  <si>
    <t>This paper is funded by Anadolu University with grant number SBA-2023-1852.</t>
  </si>
  <si>
    <t>Anadolu Üniversitesi, Anadolu: SBA-2023-1852</t>
  </si>
  <si>
    <t>AI; artificial intelligence; bibliometric analysis; chatbots; ChatGPT; conversational agents; education; educational technology; GenAI; Generative AI; generative pre-trained transformer; GPT; higher education; large language models; learning; LLMs; natural language processing; systematic review; teaching</t>
  </si>
  <si>
    <t>In the rapidly evolving landscape of education, the pivotal axis around which transformation revolves is human-AI interaction. In this sense, this paper adopts a data mining and analytic approach to understand what the related literature tells us regarding the trends and patterns of generative AI research in educational praxis. Accordingly, this systematic exploration spotlights the following research themes: Interaction and communication with generative AI-powered chatbots; impact of the LLMs and generative AI on teaching and learning, conversational educational agents and their opportunities, challenges, and implications; leveraging Generative AI for enhancing social and cognitive learning processes; promoting AI literacy for unleashing future opportunities; harnessing Generative AI to expand academic capabilities, and lastly, augmenting educational experiences through human-AI interaction. Beyond the identified research themes and patterns, this paper argues that emotional intelligence, AI literacy, and prompt engineering are the trending research topics that require further exploration. Accordingly, it’s in this praxis that emotional intelligence emerges as a pivotal attribute, as AI technologies often struggle to comprehend and respond to the nuanced emotional cues. Generative AI literacy then takes center stage, becoming an indispensable asset in an era permeated with AI technologies, equipping students with the tools to critically engage with AI systems, thereby ensuring they become active, discerning users of these powerful tools. Concurrently, prompt engineering, the art of crafting queries that yield precise and valuable responses from AI systems, empowers both educators and students to maximize the utility of AI-driven educational resources. © 2023 The Author(s).</t>
  </si>
  <si>
    <t>Bozkurt, A., Anadolu University, Turkey</t>
  </si>
  <si>
    <t>Anadolu University, Turkey</t>
  </si>
  <si>
    <t>https://www.scopus.com/inward/record.uri?eid=2-s2.0-85188904654&amp;doi=10.55982%2fopenpraxis.15.4.609&amp;partnerID=40&amp;md5=0a47fe9b34ed8b9d269cb1116e6d9947</t>
  </si>
  <si>
    <t>10.55982/openpraxis.15.4.609</t>
  </si>
  <si>
    <t>Open Praxis</t>
  </si>
  <si>
    <t>Unleashing the Potential of Generative AI, Conversational Agents and Chatbots in Educational Praxis: A Systematic Review and Bibliometric Analysis of GenAI in Education</t>
  </si>
  <si>
    <t>56566181600;</t>
  </si>
  <si>
    <t>Bozkurt A.</t>
  </si>
  <si>
    <t>2-s2.0-85189305658</t>
  </si>
  <si>
    <t>Proc. - Int. Conf. Dev. eSystems Eng., DeSE</t>
  </si>
  <si>
    <t>18 December 2023 through 20 December 2023</t>
  </si>
  <si>
    <t>16th International Conference on Developments in eSystems Engineering, DeSE 2023</t>
  </si>
  <si>
    <t>Alnoor University College;University of Anbar;University Technology of Iraq;Wasit University</t>
  </si>
  <si>
    <t>Obe D.A.-J.Assi S.Jayabalan M.Hind J.Hussain A.Tawfik H.Rowe N.Mustafina J.</t>
  </si>
  <si>
    <t>The proceedings contain 152 papers. The topics discussed include: single and multilevel offshore wind speed prediction - a comparison of LSTM, GRU and bidirectional; violent activity detection on public transportation using surveillance footage; perspectives on industry 4.0 awareness among undergraduate IT students in Iraq: University of Anbar as a case study; task scheduling in IoT cloud-fog environment utilizing a hybrid method and firefly algorithm; routing protocol performance in vehicular ad hoc networks: an evaluation; analyzing sentiment for opinion mining of large movie reviews using naive bayes with word frequency; predicting medicine adherence with precision: an MLP-based approach for personalized healthcare; improved simulation-based circular microwave sensor for water quality assessment; image forgery detection using combined 2D DWT-neural network; LLANIME: large language models for anime recommendations; and polysemy as a complexity predictor in school textbooks.</t>
  </si>
  <si>
    <t>https://www.scopus.com/inward/record.uri?eid=2-s2.0-85189305658&amp;partnerID=40&amp;md5=23c1d88c700d9133dead7df84a2c09af</t>
  </si>
  <si>
    <t>Proceedings - International Conference on Developments in eSystems Engineering, DeSE</t>
  </si>
  <si>
    <t>DeSE 2023 - Proceedings: 16th International Conference on Developments in eSystems Engineering</t>
  </si>
  <si>
    <t>2-s2.0-85189565221</t>
  </si>
  <si>
    <t>Proc. - IEEE CHILEAN Conf. Electr., Electron. Eng., Inf. Commun. Technol., ChileCon</t>
  </si>
  <si>
    <t>5 December 2023 through 7 December 2023</t>
  </si>
  <si>
    <t>2023 IEEE CHILEAN Conference on Electrical, Electronics Engineering, Information and Communication Technologies, ChileCon 2023</t>
  </si>
  <si>
    <t>Arauco;Cerveceriia Kunstmann Valdivia;ETT;Telsur - GTD Chile</t>
  </si>
  <si>
    <t>Schulman, J., Zoph, B., Kim, C., Hilton, J., (2022) Introducing ChatGPT, , November; Penedo, G., Malartic, Q., Hesslow, D., Cojocaru, R., Cappelli, A., Alobeidli, H., (2023) The RefinedWeb Dataset for Falcon LLM: Outperforming Curated Corpora with Web Data, and Web Data only, , June; Hu, E.J., Shen, Y., Wallis, P., Allen-Zhu, Z., Li, Y., Wang, S., Wang, L., Chen, W., (2021) LoRA: Low-Rank Adaptation of Large Language Models, , June; Dettmers, T., Pagnoni, A., Holtzman, A., Zettlemoyer, L., (2023) QLoRA: Efficient Finetuning of Quantized LLMs, , May; Radford, A., Wook Kim, J., Xu, T., Brockman, G., McLeavey, C., Sutskever, I., (2022) Robust Speech Recognition Via Large-Scale Weak Supervision, , December; (2023) GPT-4 Technical Report, , OpenAI, March; Wei-Lin, C., Zhuohan, L., Zi, L., (2023) Vicuna: An Open-Source Chatbot Impressing GPT-4 with 90% ChatGPT Quality, , and Sheng, March; Touvron, H., Lavril, T., Izacard, G., Martinet, X., (2023) LLaMA: Open and Efficient Foundation Language Models, , February; Vaswani, A., Shazeer, N., Parmar, N., Uszkoreit, J., (2017) Attention Is All You Need, , Jun; Brown, T., Mann, B., Ryder, N., Subbiah, M., Kaplan, J., (2020) Language Models Are Few-Shot Learners, , May; Zhao, W., Zhou, K., Li, J., Tang, T., Wang, X., (2023) A Survey of Large Language Models, , March; Mangrulkar, S., Gugger, S., Debut, L., Belkada, Y., (2022) PEFT: State-of-the-art Parameter-Efficient Fine-Tuning Methods; Taori, R., Gulrajani, I., Zhang, T., Dubois, Y., Li, X., (2023) Alpaca: A Strong, Replicable Instruction-Following Model; Werra, L., Belkada, Y., Mangrulkar, S., Tunstall, L., (2023) The Falcon Has Landed in the Hugging Face Ecosystem, , June; Taori, R., Gulrajani, I., Zhang, T., Dubois, Y., Li, X., Guestrin, C., Liang, P., Hashimoto, T.B., (2023) Alpaca: A Strong, Replicable Instruction-Following Model, , March; Geng, X., Gudibande, A., Liu, H., Wallace, E., Abbeel, P., Levine, S., Song, D., (2023) Koala: A Dialogue Model for Academic Research, , April 3; Wang, Y., Kordi, Y., Mishra, S., Liu, A., (2022) Self-Instruct: Aligning Language Models with Self-Generated Instructions, , December; Ainslie, J., Lee-Thorp, J., De Jong, M., Zemlyanskiy, Y., Lebrón, F., Sanghai, S., (2023) GQA: Training Generalized Multi-Query Transformer Models from Multi-Head Checkpoints, , May; Circuit Theory 1 Course Dataset, , https://github.com/GbrlOl/Circuit-Theory-1-Course-Dataset, Gabriel Olmos, Source</t>
  </si>
  <si>
    <t>Computational linguistics; Curricula; Timing circuits; Tuning; Automated approach; Circuit theory 1; Circuits theory; Fine tuning; Language model; Large language model; Low-range adapter; Parameter model; QLoRA; University teaching; Teaching</t>
  </si>
  <si>
    <t>Circuit Theory 1; Fine-tuning; Large Language Model (LLM); LoRA; QLoRA</t>
  </si>
  <si>
    <t>In this article, we present the results of fine-tuning performed on a large language model (LLM) called Falcon, which comprises 7 billion parameters (7B) and is an open-source. Our primary focus lies in enabling the model to mimic university teaching, enabling it to respond to questions and emulate the instructional style of a teacher in the course 'Circuit Theory'. To achieve this goal, we built a comprehensive database using all the online classes recorded during the pandemic for the aforementioned course. Leveraging the Whisper model, we accurately transcribed the audio content of these classes, thereby establishing the requisite corpus for fine-tuning the Falcon 7B model. To accomplish this task efficiently, we adopted effective techniques such as low-range adapters (LoRA) and data quantization (QLoRA), enabling us to conduct the fine-tuning process on a single GPU with a 15 GB capacity. Subsequently, we use GPT-4 compared the responses provided by the base model with those obtained after the fine-tuning process, using a set of 10 questions closely related to the course content. These comparisons enabled us to evaluate the effectiveness and precision of finetuning applied to the Falcon 7B model. The results obtained so far show a good result in fine tuning the Falcon 7B model to imitate university teaching and the quality of the responses about the course. This innovative approach has the potential for valuable applications within education, providing an efficient tool for interactive learning and answering online queries. © 2023 IEEE.</t>
  </si>
  <si>
    <t>Leiva, G.O., Pontificia Universidad Católica de Valparaíso (PUCV), Escuela de Ingeniería Eléctrica (EIE), Valparaíso, Chile; Vigneau, G.H., Pontificia Universidad Católica de Valparaíso (PUCV), Escuela de Ingeniería Eléctrica (EIE), Valparaíso, Chile; Sepulveda, D.Y., Pontificia Universidad Católica de Valparaíso (PUCV), Escuela de Ingeniería Eléctrica (EIE), Valparaíso, Chile</t>
  </si>
  <si>
    <t>Pontificia Universidad Católica de Valparaíso (PUCV), Escuela de Ingeniería Eléctrica (EIE), Valparaíso, Chile</t>
  </si>
  <si>
    <t>https://www.scopus.com/inward/record.uri?eid=2-s2.0-85189565221&amp;doi=10.1109%2fCHILECON60335.2023.10418678&amp;partnerID=40&amp;md5=e4a00e2845f9b461f2ef7cbb05a1532b</t>
  </si>
  <si>
    <t>10.1109/CHILECON60335.2023.10418678</t>
  </si>
  <si>
    <t>Proceedings -  IEEE CHILEAN Conference on Electrical, Electronics Engineering, Information and Communication Technologies, ChileCon</t>
  </si>
  <si>
    <t>Imitating Teaching: An Automated Approach Using Large Language Model</t>
  </si>
  <si>
    <t>58971907200;57221802453;58971907300;</t>
  </si>
  <si>
    <t>Leiva G.O., Vigneau G.H., Sepulveda D.Y.</t>
  </si>
  <si>
    <t xml:space="preserve"> (n.d). The Karel Čapek website"</t>
  </si>
  <si>
    <t xml:space="preserve"> Who did actually invent the word “robot” and what does it mean? http://capek.misto.cz/english/robot.h</t>
  </si>
  <si>
    <t xml:space="preserve"> D.</t>
  </si>
  <si>
    <t xml:space="preserve"> (February 17); Zunt</t>
  </si>
  <si>
    <t xml:space="preserve"> https://www.scmp.com/news/china/politics/article/3210610/police-china-warn-against-chatgpt-rumours-and-scams</t>
  </si>
  <si>
    <t xml:space="preserve"> </t>
  </si>
  <si>
    <t xml:space="preserve"> Police in China warn against ChatGPT ‘rumours’ and scams (2023) South China Morning Post</t>
  </si>
  <si>
    <t xml:space="preserve"> S.</t>
  </si>
  <si>
    <t xml:space="preserve"> arXiv:1812.08989; Zhuang</t>
  </si>
  <si>
    <t xml:space="preserve"> an empathetic social chatbot</t>
  </si>
  <si>
    <t xml:space="preserve"> (2019) The design and implementation of XiaoIce</t>
  </si>
  <si>
    <t xml:space="preserve"> H.-Y.</t>
  </si>
  <si>
    <t xml:space="preserve"> Shum</t>
  </si>
  <si>
    <t xml:space="preserve"> J.</t>
  </si>
  <si>
    <t xml:space="preserve"> Gao</t>
  </si>
  <si>
    <t xml:space="preserve"> L.</t>
  </si>
  <si>
    <t xml:space="preserve"> (March 22). Nikkei Asia; Zhou</t>
  </si>
  <si>
    <t xml:space="preserve"> https://asia.nikkei.com/Business/Technology/Testing-Ernie-How-Baidu-s-AI-chatbot-stacks-up-to-ChatGPT</t>
  </si>
  <si>
    <t xml:space="preserve"> Testing Ernie: How Baidu’s AI chatbot stacks up to ChatGPT (2023)</t>
  </si>
  <si>
    <t xml:space="preserve"> G.</t>
  </si>
  <si>
    <t xml:space="preserve"> pp. 166-171; Zhou</t>
  </si>
  <si>
    <t xml:space="preserve"> 21 (11)</t>
  </si>
  <si>
    <t xml:space="preserve"> Artificial intelligence empowers new reforms in higher education models (2022) Software Guide</t>
  </si>
  <si>
    <t xml:space="preserve"> S. J.</t>
  </si>
  <si>
    <t xml:space="preserve"> Xu</t>
  </si>
  <si>
    <t xml:space="preserve"> Z. F.</t>
  </si>
  <si>
    <t xml:space="preserve"> Chen</t>
  </si>
  <si>
    <t xml:space="preserve"> H. F.</t>
  </si>
  <si>
    <t xml:space="preserve"> SSRN 4312418; Zhang</t>
  </si>
  <si>
    <t xml:space="preserve"> (2022) ChatGPT user experience: Implications for education</t>
  </si>
  <si>
    <t xml:space="preserve"> X.</t>
  </si>
  <si>
    <t xml:space="preserve"> 10; Zhai</t>
  </si>
  <si>
    <t xml:space="preserve"> A brief history of chatbots (2019) DEStech Transactions on Computer Science and Engineering</t>
  </si>
  <si>
    <t xml:space="preserve"> M. T.</t>
  </si>
  <si>
    <t xml:space="preserve"> p. 035027; Zemčík</t>
  </si>
  <si>
    <t xml:space="preserve"> 58 (3)</t>
  </si>
  <si>
    <t xml:space="preserve"> The death of the short-form physics essay in the coming AI revolution (2023) Physics Education</t>
  </si>
  <si>
    <t xml:space="preserve"> C. P.</t>
  </si>
  <si>
    <t xml:space="preserve"> Testrow</t>
  </si>
  <si>
    <t xml:space="preserve"> A.</t>
  </si>
  <si>
    <t xml:space="preserve"> Peach</t>
  </si>
  <si>
    <t xml:space="preserve"> Mizouri</t>
  </si>
  <si>
    <t xml:space="preserve"> O. O.</t>
  </si>
  <si>
    <t xml:space="preserve"> Inyang</t>
  </si>
  <si>
    <t xml:space="preserve"> W.</t>
  </si>
  <si>
    <t xml:space="preserve"> (Februray 17); Yeadon</t>
  </si>
  <si>
    <t xml:space="preserve"> https://www.scmp.com/news/hong-kong/education/article/3210650/university-hong-kong-temporarily-bans-students-using-chatgpt-other-ai-based-tools-coursework</t>
  </si>
  <si>
    <t xml:space="preserve"> other AI-based tools for coursework (2023) South China Morning Post</t>
  </si>
  <si>
    <t xml:space="preserve"> University of Hong Kong temporarily bans students from using ChatGPT</t>
  </si>
  <si>
    <t xml:space="preserve"> K.</t>
  </si>
  <si>
    <t xml:space="preserve"> Chan</t>
  </si>
  <si>
    <t xml:space="preserve"> C.</t>
  </si>
  <si>
    <t xml:space="preserve"> March 16); Yau</t>
  </si>
  <si>
    <t xml:space="preserve"> https://www.technologyreview.com/2023/03/16/1069919/baidu-ernie-bot-chatgpt-launch/</t>
  </si>
  <si>
    <t xml:space="preserve"> Chinese tech giant Baidu just released its answer to ChatGPT (2023) MIT Technology Review</t>
  </si>
  <si>
    <t xml:space="preserve"> Z.</t>
  </si>
  <si>
    <t xml:space="preserve"> March 22); Yang</t>
  </si>
  <si>
    <t xml:space="preserve"> https://www.technologyreview.com/2023/03/22/1070154/baidu-ernie-bot-chatgpt-reputation/</t>
  </si>
  <si>
    <t xml:space="preserve"> The bearable mediocrity of Baidu’s ChatGPT competitor (2023) MIT Technology Review</t>
  </si>
  <si>
    <t xml:space="preserve"> (September 14); Yang</t>
  </si>
  <si>
    <t xml:space="preserve"> https://www.technologyreview.com/2022/09/14/1059481/baidu-chinese-image-ai-tiananme</t>
  </si>
  <si>
    <t xml:space="preserve"> There’s no Tiananmen Square in the new Chinese image-making AI (2022) MIT Technology Review</t>
  </si>
  <si>
    <t xml:space="preserve"> (January 18); Yang</t>
  </si>
  <si>
    <t xml:space="preserve"> https://mpost.io/chatgpt-was-taught-by-the-worlds-poorest-people/</t>
  </si>
  <si>
    <t xml:space="preserve"> ChatGPT was taught by the world’s poorest people (2023) Metaverse Post</t>
  </si>
  <si>
    <t xml:space="preserve"> 2056305118808780; Yalalov</t>
  </si>
  <si>
    <t xml:space="preserve"> 4 (4). </t>
  </si>
  <si>
    <t xml:space="preserve"> Programmatic dreams: Technographic inquiry into censorship of Chinese chatbots (2018) Social Media+ Society</t>
  </si>
  <si>
    <t xml:space="preserve"> Y.</t>
  </si>
  <si>
    <t xml:space="preserve"> Advance online publication; Xu</t>
  </si>
  <si>
    <t xml:space="preserve"> https://doi.org/10.37074/jalt.2023.6.1.20</t>
  </si>
  <si>
    <t xml:space="preserve"> 6 (1). </t>
  </si>
  <si>
    <t xml:space="preserve"> ChatGPT for research and publication: Opportunities and challenges (2023) Journal of Applied Learning and Teaching</t>
  </si>
  <si>
    <t xml:space="preserve"> Shefa</t>
  </si>
  <si>
    <t xml:space="preserve"> M. D.</t>
  </si>
  <si>
    <t xml:space="preserve"> pp. 19-25; Xames</t>
  </si>
  <si>
    <t xml:space="preserve"> 29 (2)</t>
  </si>
  <si>
    <t xml:space="preserve"> Analysis on the influence of artificial intelligence generic large model on education application (2023) Open Education Research</t>
  </si>
  <si>
    <t xml:space="preserve"> H.</t>
  </si>
  <si>
    <t xml:space="preserve"> Li</t>
  </si>
  <si>
    <t xml:space="preserve"> (March 2); Wu</t>
  </si>
  <si>
    <t xml:space="preserve"> https://inews.co.uk/news/oxford-cambridge-ban-chatgpt-plagiarism-universities-2178391?ITO=newsnow</t>
  </si>
  <si>
    <t xml:space="preserve"> (2023) Inews</t>
  </si>
  <si>
    <t>Adamopoulou, E., Moussiades, L., Chatbots: History, technology, and applications (2020) Machine Learning with Applications, 2, p. 100006; China’s students leap ‘Great Firewall’ to get homework help from ChatGPT (2023) Business Times, p. 17. , (March 9); Ali, J. K. M., Shamsan, M. A. A., Hezam, T. A., Mohammed, A. A., Impact of ChatGPT on learning motivation: Teachers and students’ voices (2023) Journal of English Studies in Arabia Felix, 2 (1), pp. 41-49; Alshater, M., (2022) Exploring the role of artificial intelligence in enhancing academic performance: A case study of ChatGPT; Anson, C. M., Straume, I., Amazement and trepidation: Implications of AI-based natural language production for the teaching of writing (2022) Journal of Academic Writing, 12 (1), pp. 1-9; Atlas, S., (2023) ChatGPT for higher education and professional development: A guide to conversational AI, , https://digitalcommons.uri.edu/cba_facpubs/548/; Aydın, Ö., Karaarslan, E., (2022) OpenAI ChatGPT generated literature review: Digital twin in healthcare, , SSRN 4308687; Baidoo-Anu, D., Owusu Ansah, L., (2023) Education in the era of generative artificial intelligence (AI): Understanding the potential benefits of ChatGPT in promoting teaching and learning, , SSRN 4337484; Baptista, E., Baidu’s Ernie writes poems but says it has insufficient information on Xi, tests show (2023) Reuters, , https://www.reuters.com/technology/baidus-ernie-writes-poems-says-it-has-insufficient-information-xi-tests-show-2023-03-20/, (March 20); Baptista, E., Ye, J., China’s answer to ChatGPT? Baidu shares tumble as Ernie Bot disappoints (2023) Reuters, , https://www.reuters.com/technology/chinese-search-giant-baidu-introduces-ernie-bot-2023-03-16/; Biggs, J., Harris, C. W., Rudolph, J., Teaching for quality learning at changing universities. A tour de force of modern education history–an interview with Professor John Biggs (2019) Journal of Applied Learning and Teaching, 2 (1), pp. 54-62; Biggs, J., Tang, C., (2011) Teaching for quality learning at university, , McGrawHill; Bloom, B. S., Englehart, M. D., Furst, E. J., Hill, W. H., Krathwohl, D. R., (1956) The taxonomy of educational objectives. The classification of educational goals, handbook 1: Cognitive domain, , David McKay Company Inc; (2023) Alibaba Cloud unveils new AI model to support enterprises’ intelligence transformation, , https://www.bloomberg.com/press-releases/2023-04-11/alibaba-cloud-unveils-new-ai-model-to-support-enterprises-intelligence-transformation, (April 11); Bommarito, M., Katz, D. M., (2022) GPT takes the bar exam, , arXiv preprint arXiv:2212.14402; Brown, T., Mann, B., Ryder, N., Subbiah, M., Kaplan, J. D., Dhariwal, P., Amodei, D., Language models are few-shot learners (2020) Advances In Neural Information Processing Systems, 33, pp. 1877-1901; Browne, R., Italy became the first Western country to ban ChatGPT. Here’s what other countries are doing (2023) CNBC, , https://www.cnbc.com/2023/04/04/italy-has-banned-chatgpt-heres-what-other-countries-are-doing.html, (April 4); Cao, C., Research on higher education reform and development from the perspective of Artificial Intelligence (2020) Journal of Science and Education, Frontier Perspective], 5, pp. 5-6; Chamberlain, W., (1984) The policeman’s beard is half constructed: Computer prose and poetry, , Warner Books; Chapman, D., (2022) Tweet, , https://twitter.com/Meaningness/status/1592634519269822464/photo/2, (November 22); Che, C., Liu, J., China’s answer to ChatGPT gets an artificial debut and disappoints (2023), https://www.nytimes.com/2023/03/16/world/asia/china-baidu-chatgpt-ernie.html?action=click&amp;pgtype=Article&amp;state=default&amp;module=styln-artificialintelligence&amp;variant=show&amp;region=BELOW_MAIN_CONTENT&amp;block=storyline_flex_guide_recirc, (March 16). The New York Times; Chen, B. X., Grant, N., Weise, K., How Siri, Alexa and Google Assistant lost the A.I. race (2023), https://www.nytimes.com/2023/03/15/technology/siri-alexa-google-assistant-artificial-intelligence.html?action=click&amp;pgtpe=Article&amp;state=default&amp;module=styln-artificial-intelligence&amp;variant=show&amp;region=BELOW_MAIN_CONTENT&amp;block=storyline_flex_guide_recirc, (March 15). The New York Times; Chen, C., China’s ChatGPT black market is thriving (2023) Wired, , https://www.wired.co.uk/article/chinas-chatgpt-black-market-baidu, (March 7); Chomsky, N., Roberts, I., Watumull, J., Noam Chomsky: The false promise of ChatGPT (2023), https://www.nytimes.com/2023/03/08/opinion/noam-chomsky-chatgpt-ai.html, (March 8). The New York Times; (2023), https://gist.github.com/coolaj86/6f4f7b30129b0251f61fa7baaa881516, Chat GPT “DAN (and other “jailbreaks”). Github; Cotton, D. R., Cotton, P. A., Shipway, J. R., (2023) Chatting and cheating: Ensuring academic integrity in the era of ChatGPT; Crawford, J., Cowling, M., Allen, K. A., Leadership is needed for ethical ChatGPT: Character, assessment, and learning using artificial intelligence (AI) (2023) Journal of University Teaching &amp; Learning Practice, 20 (3), p. 02; D’Agostino, S., Machines can craft essays. How should writing be taught now? (2022) Inside Higher Ed, , https://www.insidehighered.com/news/2022/10/26/machines-can-craft-essays-how-should-writing-be-taught-now, (October 26); D’Orazio, D., Computer allegedly passes Turing Test for first time by convincing judges it is a 13-year-old boy (2014) The Verge, , https://www.theverge.com/2014/6/8/5790936/computer-passes-turing-test-for-first-time-by-convincing-judges-it-is, (June 9); David, E., (2023) Tweet, , https://twitter.com/DrEliDavid/status/1617762423972429824?lang=en, (January 25); De Vynck, G., Tiku, N., Google’s catch-up game on AI continues with Bard launch (2023) The Washington Post, , https://www.washingtonpost.com/technology/2023/03/21/bard-google-ai/, (March 21); Deryugina, O.V., Chatterbots (2010) Scientific and Technical Information Processing, 37 (2), pp. 143-147. , https://doi.org/10.3103/S0147688210020097; Dowling, M., Lucey, B., ChatGPT for (finance) research: The Bananarama conjecture (2023) Finance Research Letters, 53, p. 103662; Dwivedi, Y. K., Kshetri, N., Hughes, L., Slade, E. L., Jeyaraj, A., Kar, A. K., Wright, R., “So what if ChatGPT wrote it?” Multidisciplinary perspectives on opportunities, challenges and implications of generative conversational AI for research, practice and policy (2023) International Journal of Information Management, 71, p. 102642; (2023) China National Knowledge Infrastructure. Frequently asked questions, , https://www.eastview.com/resources/cnki-faq/#:~:text=What%20is%20CNKI%3F%20China%20National,Chinese%20knowledge%2Dbased%20information%20resources; (2023), https://en.wikipedia.org/wiki/ELIZA, (March 4) Wikipedia; Farrokhnia, M., Banihashem, S. K., Noroozi, O., Wals, A., A SWOT analysis of ChatGPT: Implications for educational practice and research (2023) Innovations in Education and Teaching International, pp. 1-15; Felten, E., Raj, M., Seamans, R., (2023) How will language modelers like ChatGPT affect occupations and ondustries?, , arXiv preprint arXiv:2303.01157; Feng, Y., (2023) ChatGPT. [The application value, potential ethical risks and governance path of ChatGPT in the field of education]; Firat, M., What ChatGPT means for universities: Perceptions of scholars and students (2023) Journal of Applied Learning &amp; Teaching, 6 (1). , https://doi.org/10.37074/jalt.2023.6.1.22, Advance Online Publication; Fowler, G. A., Say what, Bard? What Google’s new AI gets right, wrong and weird (2023) The Washington Post, , https://www.washingtonpost.com/technology/2023/03/21/google-bard/, (March 21); (2023) Pause giant AI experiments: An open letter, , https://futureoflife.org/open-letter/pause-giant-ai-experiments/; Fyfe, P., How to cheat on your final paper: Assigning AI for student writing (2022) AI &amp; Society, pp. 1-11; Gao, C. A., Howard, F. M., Markov, N. S., Dyer, E. C., Ramesh, S., Luo, Y., Pearson, A. T., Comparing scientific abstracts generated by ChatGPT to original abstracts using an artificial intelligence output detector, plagiarism detector, and blinded human reviewers (2022) bioRxiv, pp. 2022-12; Geerling, W., Mateer, G. D., Wooten, J., Damodaran, N., (2023) Is ChatGPT smarter than a student in principles of economics?, , SSRN 4356034; Gimpel, H., Hall, K., Decker, S., Eymann, T., Lämmermann, L., Mädche, A., Röglinger, R., Vandirk, S., (2023) Unlocking the power of generative AI models and systems such as GPT-4 and ChatGPT for higher education: A guide for students and lecturers, , (March 20). University of Hohenheim; Gindham, A., 15 best ChatGPT plugins you didn’t know about in 2023 (2023) Writesonic, , https://writesonic.com/blog/chatgpt-plugins/, (April 5); Griffith, E., Metz, C., Let1,000flowersbloom’: A.I. funding frenzy escalates (2023) The New York Times, , https://www.nytimes.com/2023/03/14/technology/ai-funding-boom.html?action=click&amp;module=RelatedLinks&amp;pgtype=Article, (March14); Haensch, A. C., Ball, S., Herklotz, M., Kreuter, F., (2023) Seeing ChatGPT through students’ eyes: An analysis of TikTok data, , arXiv preprint arXiv:2303.05349; Hawking, S., Tegmark, M., Russell, S., Transcending complacency on superintelligent machines (2014) Huffpost, , https://www.huffpost.com/entry/artificial-intelligence:b_5174265, (June 19); Heaven, W. D., Why Meta’s latest large language model survived only three days online (2022) MIT Technology Review, , https://www.technologyreview.com/2022/11/18/1063487/meta-large-language-model-ai-only-survived-three-days-gpt-3-science/, (November 18); Helft, M., Microsoft’s search for a name ends with a Bing (2009), https://www.nytimes.com/2009/05/29/technology/internet/29bing.html, (May 28). The New York Times; Hong, W. C. H., The impact of ChatGPT on foreign language teaching and learning: opportunities in education and research (2023) Journal of Educational Technology and Innovation, 5 (1); Huang, Z., China’s first major chatbot doesn’t need to be as good as ChatGPT (2023) Bloomberg, , https://www.bloomberg.com/news/newsletters/2023-03-21/baidu-s-ernie-bot-aims-to-be-first-in-chatgpt-free-market-in-china, (March 21); Jiao, J., Chen, L., Wu, W., Educational issues triggered by ChatGPT: Possible impacts and counter measures (2023) Chinese Journal of ICT in Education, 29 (3), pp. 19-32; Kasneci, E., Seßler, K., Küchemann, S., Bannert, M., Dementieva, D., Fischer, F., Kasneci, G., ChatGPT for good? On opportunities and challenges of large language models for education (2023) Learning and Individual Differences, 103, p. 102274; Katz, D. M., Bommarito, M. J., Gao, S., Arredondo, P., (2023) Gpt-4 passes the bar exam, , SSRN 4389233; Khalil, M., Er, E., (2023) Will ChatGPT get you caught? Rethinking of plagiarism detection, , arXiv preprint arXiv:2302.04335; King, M. R., ChatGPT, A conversation on artificial intelligence, chatbots, and plagiarism in higher education (2023) Cellular and Molecular Bioengineering, 16 (1), pp. 1-2; Kolodny, L., Elon Musk plans ‘TruthGPT’ A.I. to rival OpenAI (2023) DeepMind. CNBC, , https://www.cnbc.com/2023/04/18/musk-calls-plans-truthgpt-ai-to-rival-openai-deepmind.html, (April 18); Kuhail, M. A., Alturki, N., Alramlawi, S., Interacting with educational chatbots: A systematic review (2023) Education and Information Technologies, 28, pp. 973-1018. , https://doi.org/10.1007/s10639-022-11177-3; Kung, T. H., Cheatham, M., Medenilla, A., Sillos, C., De Leon, L., Elepaño, C., Tseng, V., Performance of ChatGPT on USMLE: Potential for AI-assisted medical education using large language models (2023) PLoS digital health, 2 (2), p. e0000198; (2009) Bing chooses “” as Chinese name to avoid negative associations, , https://www.labbrand.com/brandsource/bing-chooses-%E2%80%9C%E5%BF%85%E5%BA%94%E2%80%9D-chinese-name-avoid-negative-associations, (November 2); Law, E., How Chinese netizens are bypassing China’s ChatGPT ban (2023) The Straits Times, , https://www.straitstimes.com/asia/east-asia/how-chinese-netizens-are-bypassing-china-s-chatgpt-ban, (April 6); Lee, H., The rise of ChatGPT: Exploring its potential in medical education (2023) Anatomical Sciences Education, pp. 1-6. , 00; Lee, K.-F., (2018) AI superpowers. China, Silicon Valley and the new world order, , Houghton Mifflin Harcourt; Li, J., Problems and countermeasures in the development of adult higher education courses in the era of artificial intelligence (2022) Adult Education], (6), pp. 1-11; Li, J., Dong, Y., Rethinking the transformation and development of adult higher education in the age of Artificial Intelligence (2021) China Adult Education, (7), pp. 13-18; Li, P., Jourdan, A., Chinese chatbots apparently re-educated after political faux pas (2017) Reuters, , https://www.reuters.com/article/us-china-robots/chinese-chatbots-apparently-re-educated-after-political-faux-pas-idUSKBN1AK0G1, (August 4); Li, Y., Why China didn’t invent ChatGPT (2023) New York Times, , https://www.nytimes.com/2023/02/17/business/china-chatgpt-microsoft-openai.html, February 17); Li, Z., The nature of ChatGPT and its impact on education (2023) Chinese Journal of ICT in Education, 29 (3), pp. 12-18; Lu, J. Z., ChatGPT. [ChatGPT and its potential in talent acquisition] (2023) China Academic Journal Electronic Publishing House, pp. 42-43; Luo, R., Sun, L., Xia, Y., Qin, T., Zhang, S., Poon, H., Liu, T. Y., BioGPT: generative pre-trained transformer for biomedical text generation and mining (2022) Briefings in Bioinformatics, 23 (6), pp. 1-11. , https://arxiv.org/pdf/2210.10341.pdf; Malinka, K., Perešíni, M., Firc, A., Hujňák, O., Januš, F., (2023) On the educational impact of ChatGPT: Is Artificial Intelligence ready to obtain a university degree?, pp. 1-7. , https://arxiv.org/pdf/2303.11146.pdf, ArXiv preprint, arXiv:2303.11146; Marcus, G., AI’s jurassic park moment (2022) Gary Marcus substack, , https://garymarcus.substack.com/p/ais-jurassic-park-moment, (December 10); Marcus, G., David, E., Large language models like ChatGPT say the darnedest things (2023) Communications of the ACM, , https://cacm.acm.org/blogs/blog-cacm/268575-large-language-models-like-chatgpt-say-the-darnedest-things/fulltext, (January 10); Martín-Martín, A., Thelwall, M., Orduna-Malea, E., Delgado López-Cózar, E., Google Scholar, Microsoft Academic, Scopus, Dimensions, Web of Science, and OpenCitations’ COCI: A multidisciplinary comparison of coverage via citations (2021) Scientometrics, 126 (1), pp. 871-906; Mauldin, M. L., Chatterbots, Tinymuds, and the Turing test: Entering the Loebner prize competition (1994) AAAI, 94, pp. 16-21. , (August); Mauran, C., Bing vs. Bard: The ultimate AI chatbot showdown (2023) Mashable, , https://mashable.com/article/bing-vs-bard-ai-chatbot-comparison, (March 24); Maxwell, T., Langley, H., Leaked messages show Googlers are taking out their frustrations over layoffs on its new Bard AI chatbot (2023) Business Insider, , https://www.businessinsider.com/google-layoffs-bard-chatbot-ai-2023-2, (February 25); Mayer, D., Why Google was smart to drop its ‘don’t be evil’ motto (2016), https://www.fastcompany.com/3056389/why-google-was-smart-to-drop-its-dont-be-evil-motto, (February 9). Fast Company; McCallum, S., ChatGPT banned in Italy over privacy concerns (2023) BBC, , https://www.bbc.com/news/technology-65139406, (April 1); McCormack, G., (2023) Chat GPT is here! – 5 alternative ways to assess your class!, , https://gavinmccormack.com.au/chat-gpt-is-here-5-alternative-ways-to-as-sess-your-class/; McMurtrie, B., AI and the future of undergraduate writing (2022), https://www.chronicle.com/article/ai-and-the-future-of-undergraduate-writing, (December 13). The Chronicle of Higher Education; McMurtrie, B., Teaching: Will ChatGPT change the way you teach? (2023) The Chronicle of Higher Education, , https://www.chronicle.com/newsletter/teaching/2023-01-05, (January 5); Metz, C., (2022) Genius makers. The mavericks who brought AI to Google, Facebook and the world, , Penguin; Metz, C., The new chatbots could change the world. Can you trust them? (2022), https://www.nytimes.com/2022/12/10/technology/ai-chat-bot-chatgpt.html, December 10). The New York Times; Metz, C., OpenAI plans to up the ante in tech’s A.I. race (2023), https://www.nytimes.com/2023/03/14/technology/openai-gpt4-chatgpt.html, (March 14). The New York Times; Metz, C., Collins, K., 10 ways GPT-4 is impressive but still flawed (2023), https://www.nytimes.com/2023/03/14/technology/openai-new-gpt4.html, (March 14). The New York Times; Mills, A., (2023) AI text generators. Sources to stimulate discussion among teachers, , https://docs.google.com/document/d/1V1drRG1XlWTBrEwgGqd-cCySUB12JrcoamB5i16-Ezw/edit#heading=h.qljyuxlccr6; Mills, A., ChatGPT just got better. What does that mean for our writing assignments? (2023) Chronicle of Higher Education, , https://www.chronicle.com/article/chatgpt-just-got-better-what-does-that-mean-for-our-writing-assignments?emailConfirmed=true&amp;supportSignUp=true&amp;supportForgotPassword=true&amp;email=drjuergenrudolph%40gmail.com&amp;success=true&amp;code=success&amp;bc_nonce=ppl84ovfdhi8axuyk590ko&amp;cid=gen_sign_in; Milmo, D., Why did Google’s ChatGPT rival go wrong and are AI chatbots overhyped? (2023) The Guardian, , https://www.theguardian.com/technology/2023/feb/09/googles-bard-demo-what-went-wrong-chatgpt-chatbots-, (February 9); ai; Mirrlees, T., Alvi, S., (2020) EdTech Inc. Selling, automating and globalizing higher education in the digital age, , Routledge; Mollick, E., (2023) Superhuman: What can AI do in 30 minutes? One useful thing, , https://oneusefulthing.substack.com/p/superhuman-what-can-ai-do-in-30-minutes?utm_source=substack&amp;utm_medium=email, March 25); Mollick, E., How to use AI to do practical stuff: A new guide (2023) One useful thing, , https://www.oneusefulthing.org/p/how-to-use-ai-to-do-practical-stuff, March 30); Mollick, E., Secret cyborgs: The present disruption in three papers (2023) One useful thing, , https://www.oneusefulthing.org/p/secret-cyborgs-the-present-disruption, March 8); Mollick, E. R., Mollick, L., New modes of learning enabled by AI chatbots: Three methods and assignments (2022) SSRN Electronic Journal, , https://doi.org/10.2139/ssrn.4300783; Mollick, E. R., Mollick, L., (2023) Using AI to implement effective teaching strategies in classrooms: Five strategies, including prompts, , http://dx.doi.org/10.2139/ssrn.4391243, (March 17); Moon, M., Baidu unveils ERNIE Bot, its ChatGPT rival (2023) Engadget, , https://www.engadget.com/baidu-unveils-ernie-bot-its-chatgpt-rival-105509006.html, (March 16); Mozur, P., Beijing wants A.I. to be made in China by 2030 (2017), https://www.nytimes.com/2017/07/20/business/china-artificial-intelligence.html, (July 20). The New York Times; Murphy, D., Microsoft apologizes (again) for Tay chatbot’s offensive tweets (2016) PC Magazine, , https://www.pcmag.com/news/microsoft-apologizes-again-for-tay-chatbots-offensive-tweets, (March 25); Naughton, J., ChatGPT isn’t a great leap forward, it’s an expensive deal with the devil (2023) The Guardian, , https://www.theguardian.com/commentisfree/2023/feb/04/chatgpt-isnt-a-great-leap-forward-its-an-expensive-deal-with-the-devil, (February 4); Nisar, S., Aslam, M. S., (2023) Is ChatGPT a good tool for TCM students in studying pharmacology?, , SSRN 4324310; O’Connor, S., ChatGPT, Open artificial intelligence platforms in nursing education: Tools for academic progress or abuse? (2022) Nurse Education in Practice, 66, pp. 103537-103537; Okonkwo, C. W., Ade-Ibijola, A., Chatbots applications in education: A systematic review (2021) Computers and Education: Artificial Intelligence, 2, p. 100033; (2023) GPT-4 system card, , https://cdn.openai.com/papers/gpt-4-system-card.pdf; (2022) The Washington Post, , https://www.washingtonpost.com/technology/2022/06/17/google-ai-lamda-turing-test/, (June 17). Google’s AI passed a famous test and showed how the test is broken; Ortiz, S., What is the new Bing? Here’s everything you need to know (2023) ZDNET, , https://www.zdnet.com/article/what-is-bing-with-chatgpt-heres-everything-we-know/, March 16); Ortiz, S., The best AI chatbots: ChatGPT and other interesting alternatives to try (2023) ZDNET, , https://www.zdnet.com/article/best-ai-chatbot/, March 13); Ortiz, S., I tried Bing’s AI chatbot, and it solved my biggest problems with ChatGPT (2023) ZDNET, , https://www.zdnet.com/article/i-tried-bings-ai-chatbot-and-it-solved-my-biggest-problems-with-chatgpt/, February 16); Ortiz, S., What is Google Bard? Here’s everything you need to know (2023) ZDNET, , https://www.zdnet.com/article/what-is-google-bard-heres-everything-you-need-to-know/, February 10); Pan, D., The integrated development of artificial intelligence and higher education: Change and leadership (2021) Higher Education Research], 42 (2), pp. 40-46; Pérez, J. Q., Daradoumis, T., Puig, J. M. M., Rediscovering the use of chatbots in education: A systematic literature review (2020) Computer Applications in Engineering Education, 28 (6), pp. 1549-1565; Perkins, M., Academic Integrity considerations of AI Large Language Models in the post-pandemic era: ChatGPT and beyond (2023) Journal of University Teaching &amp; Learning Practice, 20 (2), p. 07; Perrigo, B., Exclusive: OpenAI used Kenyan workers on less than $2 per hour to make ChatGPT less toxic (2023) Time, , https://time.com/6247678/openai-chatgpt-kenya-workers/, (January 18); Popenici, S., Artificial Intelligence and learning futures (2023) Critical narratives of technology and imagination in higher education, , Routledge; Price, R., Microsoft is deleting its AI chatbot’s incredibly racist tweets (2016) The Business Insider, , https://www.businessinsider.com/microsoft-deletes-racist-genocidal-tweets-from-ai-chatbot-tay-2016-3, (March 24); Ptacek, T. H., (2022) Tweet, , https://twitter.com/tqbf/status/1598513757805858820, (December 2); Qadir, J., Engineering education in the era of ChatGPT: Promise and pitfalls of generative AI for education (2022), https://doi.org/10.36227/techrxiv.21789434.v1, TechRxiv. Preprint; Rankin, K., Microsoft chatbot’s racist tirade proves that Twitter is basically trash (2016) Colorlines, , https://colorlines.com/article/microsoft-chatbots-racist-tirade-proves-twitter-basically-trash/, (March 25); (2023) The Straits Times, , https://www.straitstimes.com/asia/east-asia/alibaba-unveils-tongyi-qianwen-an-ai-model-similar-to-gpt?utm_campaign=ST_Newsletter_PM, (April 11). Alibaba unveils Tongyi Qianwen, an AI model similar to ChatGPT, as Beijing flags new rules; Ribas, J., Building the new Bing (2023) LinkedIn, , https://www.linkedin.com/pulse/building-new-bing-jordi-ribas/, February 22); Ribas, J., (2023) Tweet, , https://twitter.com/JordiRib1/status/1635694953463705600?ref_, March 15); Roach, J., (2023) I want to be human.’ My intense, unnerving chat with Microsoft’s AI chatbot, , https://www.digitaltrends.com/computing/chatgpt-bing-hands-on/, (February 17); Rogers, C., (2012) Client centered therapy, , (New Ed). Hachette; Roivainen, R., I gave ChatGPT an IQ Test. Here’s what I discovered (2023) Scientific American, , https://www.scientificamerican.com/article/i-gave-chatgpt-an-iq-test-heres-what-i-discovered/, (March 28); Roose, K., A conversation with Bing’s chatbot left me deeply unsettled (2023), https://www.nytimes.com/2023/02/16/technology/bing-chatbot-microsoft-chatgpt.html, February 16). The New York Times; Roose, K., GPT-4 is exciting and scary (2023), https://www.nytimes.com/2023/03/15/technology/gpt-4-artificial-intelligence-openai.html?action=click&amp;pgtype=Article&amp;state=default&amp;module=styln-artificial-intelligence&amp;variant=show&amp;region=BELOW_MAIN_CONTENT&amp;block=storyline_flex_guide_recirc, March 15). The New York Times; Roose, K., Bing’s A.I. chat: ‘I want to be alive (2023), https://www.nytimes.com/2023/02/16/technology/bing-chatbot-transcript.html, February 17). The New York Times; Roose, K., How ChatGPT kicked off an A.I. arms race (2023), https://www.nytimes.com/2023/02/03/technology/chatgpt-openai-artificial-intelligence.html, February 3). The New York Times; New York City schools ban ChatGPT to head off a cheating epidemic (2023) Gizmodo, , https://gizmodo.com/new-york-city-schools-chatgpt-ban-cheating-essay-openai-1849949384, (January 4); Rudolph, J., Tan, S., Aspland, T., Editorial 5(2): Avoiding Faustian pacts: beyond despair, impostorship, and conceit (2022) Journal of Applied Learning and Teaching, 5 (2), pp. 6-13; Rudolph, J., Tan, S., Tan, S., ChatGPT: Bullshit spewer or the end of traditional assessments in higher education? (2023) Journal of Applied Learning and Teaching, 6 (1). , Advanced online publication; Russell, S. J., Norvig, P., (2003) Artificial Intelligence: A modern approach, , (2nd ed). Prentice Hall; Sabzalieva, E., Valentini, A., (2023) ChatGPT and artificial intelligence in higher education quick start guide, , https://www.iesalc.unesco.org/wp-content/uploads/2023/04/ChatGPT-and-Artificial-Intelligence-in-higher-education-Quick-Start-guide_EN_FINAL.pdf, UNESCO International Institute for Higher Education in Latin America and the Caribbean; Sample, I., Science journals ban listing of ChatGPT as co-author on papers (2023) The Guardian, , https://www.theguardian.com/science/2023/jan/26/science-journals-ban-listing-of-chatgpt-as-co-author-on-papers, (January 26); Saroyan, A., Geis, G. L., An analysis of guidelines for expert reviewers (1988) Instructional Science, 17 (2), pp. 101-128; Shaw, G. B., (2017) Pygmalion (Complete Illustrated Edition), , e-artnow; Skavronskaya, L., Hadinejad, A., Cotterell, D., Reversing the threat of artificial intelligence to opportunity: a discussion of ChatGPT in tourism education (2023) Journal of Teaching in Travel &amp; Tourism, pp. 1-6; Smith, B., Meeting the AI moment: Advancing the future through responsible AI (2023), https://blogs.microsoft.com/on-the-issues/2023/02/02/responsible-ai-chatgpt-artificial-intelligence/, (February 2). Microsoft; Smutny, P., Schreiberova, P., Chatbots for learning: A review of educational chatbots for the facebook messenger (2020) Computers &amp; Education, 151, p. 103862; Sok, S., Heng, K., (2023) ChatGPT for education and research: A review of benefits and risks, , SSRN 4378735; Steinbeck, J., (2006) The grapes of wrath, , Penguin; Sullivan, M., Kelly, A., McLaughlan, P., ChatGPT in higher education: Considerations for academic integrity and student learning (2023) Journal of Applied Learning and Teaching, 6 (1); Sun, N., Reform of higher legal education in the age of artificial intelligence (2023) Journal of Shanxi Datong University(Social Science Edition), 37 (1), pp. 147-151; Talan, T., Kalinkara, Y., The role of artificial intelligence in higher education: ChatGPT assessment for anatomy course (2023) Uluslararası Yönetim Bilişim Sistemleri ve Bilgisayar Bilimleri Dergisi, 7 (1), pp. 33-40; Tan, S., Harnessing Artificial Intelligence for innovation in education (2023) Learning intelligence: Innovative and digital transformative learning strategies: Cultural and social engineering perspectives, pp. 335-363. , Kumaran, R. (Ed), Springer; Tate, T., Doroudi, S., Ritchie, D., Xu, Y., (2023) Educational research and AI-generated writing: Confronting the coming tsunami, , https://doi.org/10.35542/osf.io/4mec3; (2016) Wayback machine, , https://web.archive.org/web/20160323194709/https://tay.ai/, (March 23); Tegmark, M., (2018) Life 3.0. Being human in the age of Artificial Intelligence, , Penguin; (2016) Bots, the next frontier, , https://www.economist.com/business/2016/04/09/bots-the-next-frontier, (April 9); (2023) The battle for internet search, , https://www.economist.com/leaders/2023/02/09/the-battle-for-internet-search, February 9); (2023) The race of the AI labs heats up, , https://www.economist.com/business/2023/01/30/the-race-of-the-ai-labs-heats-up, January 30); (2023) Is Google’s 20-year dominance of search in peril?, , https://www.economist.com/business/2023/02/08/is-googles-20-year-search-dominance-about-to-end, February 8); (2023) Investors are going nuts for ChatGPT-ish artificial intelligence, , https://www.economist.com/business/2023/02/28/investors-are-going-nuts-for-chatgpt-ish-artificial-intelligence, February 28); (2023) The uses and abuses of hype, , https://www.economist.com/business/2023/03/02/the-uses-and-abuses-of-hype, March 2); Thio, S. Y., ChatGPT: Has artificial intelligence come for our jobs? (2023) Business Times, p. 16. , (February 27); Thio, S. Y., Aw, D., ChatGPT: How do we police the robots? (2023) Business Times, p. 15. , (March 15); Thompson, S. A., Hsu, T., Myers, S. L., Conservatives aim to build a chatbot of their own (2023), https://www.nytimes.com/2023/03/22/business/media/ai-chatbots-right-wing-conservative.html?action=click&amp;pgtype=Article&amp;state=default&amp;module=styln-artificial-intelligence&amp;variant=show&amp;region=BELOW_MAIN_CONTENT&amp;block=storyline_flex_guide_recirc, (March 23). The New York Times; Thorp, H. H., ChatGPT is fun, but not an author (2023) Science, 379 (6630), pp. 313-313; Tlili, A., Shehata, B., Adarkwah, M. A., Bozkurt, A., Hickey, D. T., Huang, R., Agyemang, B., What if the devil is my guardian angel: ChatGPT as a case study of using chatbots in education (2023) Smart Learning Environments, 10 (1), p. 15; Tollefson, J., Climate change is hitting the planet faster than scientists originally thought (2022) Nature, , https://observatorio2030.com.br/wp-content/uploads/2022/03/Climate-change-is-hitting-the-planet-faster-than-scientists-originally-thought-2022.pdf, (February 28); Touvron, H., Lavril, T., Izacard, G., Martinet, X., Lachaux, M. A., Lacroix, T., Lample, G., (2023) Llama: Open and efficient foundation language models, , arXiv preprint arXiv:2302.13971; Tung, L., (2023) Microsoft: This is how we integrated ChatGPT-style tech into Bing search, , https://www.zdnet.com/article/microsoft-this-is-how-we-integrated-chatgpt-style-tech-into-bing-search/, (February 24); Turing, A. M., Computing machinery and intelligence (1950) Mind, 54 (236), pp. 433-460; Vallance, C., Elon Musk among experts urging a halt to AI training (2023) BBC, , https://www.bbc.com/news/technology-65110030, (March 30); Van Dijck, J., Poell, T., de Waal, M., (2018) The platform society: Public values in a connective world, , Oxford University Press; Vanian, J., Microsoft adds OpenAI technology to Word and Excel (2023) CNBC, , https://www.cnbc.com/2023/03/16/microsoft-to-improve-office-365-with-chatgpt-like-generative-ai-tech-.html, (March 16); Verma, P., Meta’s new AI is skilled at a ruthless, power-seeking game (2022) The Washington Post, , https://www.washingtonpost.com/technology/2022/12/01/meta-diplomacy-ai-cicero/, (December 1); Vogelgesang, J., Bleher, J., Krupitzer, C., Stein, A., Jung, R., (2023) Nutzung von ChatGPT in Lehre und Forschung – eine Einschätzung der AIDAHO-Projektgruppe [The use of ChatGPT in teaching and research – an assessment of the AIDAHO project group], , https://aidaho.uni-hohenheim.de/fileadmin/einrichtungen/aidaho/Dokumente/AI-DAHO_ChatGPT_Position_Paper_23-02-09_english.pdf; Wang, T. E., (2023) ChatGPT.. [The characteristics, educational significance and problem solving of ChatGPT. Ideological and theoretical education; Wang, Y. L., Research on Artificial Intelligence and paradigm transformation of higher education development (2020) Higher Science Education], (3), pp. 73-78; Wang, Y., Wang, D., Liang, W., Liu, C., Ethical risks and avoidance approaches of ChatGPT in educational application (2023) Open Education Research, 29 (2), pp. 26-34; Weil, E., You are not a parrot and a chatbot is not a human. And a linguist named Emily M. Bender is very worried what will happen when we forget this (2023) New York Magazine, , (March 1); Weizenbaum, J., ELIZA—A computer program for the study of natural language communication between man and machine (1966) Communications of the ACM, 9 (1), pp. 36-45; Weizenbaum, J., (1976) Computer power and human reason, , WI-I. Freeman and Co; Wiggins, G., The case for authentic assessment (1990) Practical Assessment, Research, and Evaluation, 2 (1), p. 2; Wiggers, K., OpenAI releases tool to detect AI-generated text, including from ChatGPT (2023) Techcrunch, , https://techcrunch.com/2023/01/31/openai-releases-tool-to-detect-ai-generated-text-including-from-chatgpt/, (February 1); Wodecki, B., UBS: ChatGPT is the fastest growing app of all time (2023) AI Business, , https://aibusiness.com/nlp/ubs-chatgpt-is-the-fastest-growing-app-of-all-time, (February 4); Wollny, S., Schneider, J., Di Mitri, D., Weidlich, J., Rittberger, M., Drachsler, H., Are we there yet?-a systematic literature review on chatbots in education (2021) Frontiers in Artificial Intelligence, 4; Wood, P., Oxford and Cambridge ban ChatGPT over plagiarism fears but other universities choose to embrace AI bo</t>
  </si>
  <si>
    <t>Rudolph, J., Director of Research, Kaplan, Singapore, Singapore; Tan, S., Director of Research, Kaplan, Singapore, Singapore; Tan, S., Director of Research, Kaplan, Singapore, Singapore</t>
  </si>
  <si>
    <t>57474074600;57764872700;58199753600;</t>
  </si>
  <si>
    <t>Rudolph J., Tan S., Tan S.</t>
  </si>
  <si>
    <t>Rasul, T.; Australian Institute of Business (AIB)Australia; email: tfrasul@gmail.com</t>
  </si>
  <si>
    <t>Abbas, N., Whitfield, J., Atwell, E., Bowman, H., Pickard, T., Walker, A., Online chat and chatbots to enhance mature student engagement in higher education (2022) International Journal of Lifelong Education, 41 (3), pp. 308-326. , https://doi.org/10.1080/02601370.2022.2066213; Abdelghani, R., Wang, Y. H., Yuan, X., Wang, T., Sauzéon, H., Oudeyer, P. Y., (2022) GPT-3-driven pedagogical agents for training children’s curious question-asking skills, , https://doi.org/10.48550/arXiv.2211.14228, ArXiv; Abelha, M., Fernandes, S., Mesquita, D., Seabra, F., Ferreira-Oliveira, A. T., Graduate employability and competence development in higher education—A systematic literature review using PRISMA (2020) Sustainability, 12 (15), p. 5900. , https://doi.org/10.3390/su12155900; Abramson, A., (2023) How to use ChatGPT as a learning tool, , https://www.apa.org/monitor/2023/06/chatgpt-learning-tool, (March 27). American Psychological Association; Adar, N., Kandemir, M. C, M-learning tools for palm device: M-test and m-exercise [Paper presentation] (2008) 8th International Educational Technology Conference, , (May 8). Anadolu University, Eskisehir; Ahmed, A., ChatGPT achieved one million users in record time-revolutionising time-saving in various fields (2023) Digital Information World, , https://www.digitalinformationworld.com/2023/01/chat-gpt-achieved-one-million-users-in.html#:~:text=As%20per%20the%20recent%20reports,to%20reach%20a%20similar%20hallmark, (January 27); Alkaissi, H., McFarlane, S. I., Artificial hallucinations in ChatGPT: Implications in scientific writing (2023) Cureus, 15 (2), p. e35179. , http://dx.doi.org/10.7759/cureus.35179; Atlas, S., (2023) ChatGPT for higher education and professional development: A guide to conversational AI, , University of Rhode Island; Bada, S. O., Olusegun, S., Constructivism learning theory: A paradigm for teaching and learning (2015) Journal of Research &amp; Method in Education, 5 (6), pp. 66-70; Baser, V. G., Mutlu, N., An investigation of relationship between pre-service elementary teachers’ pedagogical beliefs and their technology integration perception [Paper presentation] (2011) Second International Conference on New Trends in Education and Their Implications, , (April 27-29). Antalya, Turkey; Bernius, J. P., Krusche, S., Bruegge, B., Machine learning-based feedback on textual student answers in large courses (2022) Computers and Education: Artificial Intelligence, 3, p. 100081. , https://doi.org/10.1016/j.caeai.2022.100081; Biggs, J., Constructive alignment in university teaching (2014) HERDSA Review of Higher Education, 1, pp. 5-22; Black, P., Wiliam, D., Developing the theory of formative assessment (2009) Educational Assessment, Evaluation and Accountability, 21 (1), pp. 5-31. , https://doi.org/10.1007/s11092-008-9068-5; Boud, D., Soler, R., Sustainable assessment revisited (2016) Assessment &amp; Evaluation in Higher Education, 41 (3), pp. 400-413. , https://doi.org/10.1080/02602938.2015.1018133; Bridgeman, A. J., Liu, D., (2023) How can I update assessments to deal with ChatGPT and other generative AI? The University of Sydney, , https://educational-innovation.sydney.edu.au/teaching@sydney/how-can-i-update-assessments-to-deal-with-chatgpt-and-other-generative-ai/, (January 23); Bridgeman, A., Liu, D., Miller, B., (2023) How ChatGPT can be used at uni to save time and improve learning, , https://www.sydney.edu.au/news-opinion/news/2023/02/28/how-chatgpt-can-be-used-at-uni-to-save-time-and-improve-learning.html, (February 28). The University of Sydney; Bridges, D., Research quality assessment in education: Impossible science, possible art? (2009) British Educational Research Journal, 35 (4), pp. 497-517. , https://doi.org/10.1080/01411920903111565; Brookhart, S. M., (2008) How to give effective feedback to your students, , Association for Supervision and Curriculum Development; Bruner, J. S., The act of discovery (1961) Harvard Educational Review, 31, pp. 21-32; Bruning, R. H., Schraw, G. J., Norby, M. M., Ronning, R. R., (2004) Cognitive psychology and instruction, , (4th ed) Pearson Education; Cascella, M., Montomoli, J., Bellini, V., Bignami, E., Evaluating the feasibility of ChatGPT in healthcare: An analysis of multiple clinical and research scenarios (2023) Journal of Medical Systems, 47 (1), pp. 1-5. , https://doi.org/10.1007/s10916-023-01925-4; Challis, D., Towards the mature ePortfolio: Some implications for higher education (2005) Canadian Journal of Learning and Technology, 31 (3), pp. 1-20. , https://doi.org/10.21432/T2MS41; Chen, Y., Jensen, S., Albert, L. J., Gupta, S., Lee, T., Artificial intelligence (AI) student assistants in the classroom: Designing chatbots to support student success (2023) Information Systems Frontiers, 25 (1), pp. 161-182. , https://doi.org/10.1007/s10796-022-10291-4; Chen, E., Huang, R., Chen, H. S., Tseng, Y. H., Li, L. Y., (2023) GPTutor: A ChatGPT-powered programming tool for code explanation, , https://doi.org/10.48550/arXiv.2305.01863, arXiv; Cotton, D. R. E., Cotton, P. A., Shipway, J. R., Chatting and cheating: Ensuring academic integrity in the era of ChatGPT (2023) Innovations in Education and Teaching International, , https://doi.org/10.1080/14703297.2023.2190148; (2023), https://www.youtube.com/watch?v=mCCqf6tHI24, (February 17). ChatGPT webinar #1-What do we need to know now YouTube; Crawford, J., Cowling, M., Allen, K. A., Leadership is needed for ethical ChatGPT: Character, assessment, and learning using artificial intelligence (AI) (2023) Journal of University Teaching &amp; Learning Practice, 20 (3), p. 2. , https://doi.org/10.53761/1.20.3.02; Dawson, P., (2022) How to fix the fascinating, challenging, dangerous problem of cheating, , https://www.aare.edu.au/blog/?page_id=185, (July 11). Australian Association for Research in Education; Deng, X., Yu, Z., A meta-analysis and systematic review of the effect of Chatbot technology use in sustainable education (2023) Sustainability, 15 (4), p. 2940. , https://doi.org/10.3390/su15042940; Dennick, R., Constructivism: Reflections on twenty five years teaching the constructivist approach in medical education (2016) International Journal of Medical Education, 7, p. 200. , https://doi.org/10.5116/ijme.5763.de11; Dewey, J., (1929) The quest for certainty, , Minton; Dijkstra, R., Genç, Z., Kayal, S., Kamps, J., Reading comprehension quiz generation using generative pre-trained transformers [Paper presentation] (2022) The 23th International Conference on Artificial Intelligence in Education (AIED’ 2022), , (July 27-31); Dwivedi, Y. K., Kshetri, N., Hughes, L., Slade, E. L., Jeyaraj, A., Kar, A. K., Baabdullah, A. M., Wright, R., So what if ChatGPT wrote it? Multidisciplinary perspectives on opportunities, challenges and implications of generative conversational AI for research, practice and policy (2023) International Journal of Information Management, 71, p. 102642. , https://doi.org/10.1016/j.ijinfomgt.2023.102642; Fadel, C., Holmes, W., Bialik, M., (2019) Artificial intelligence in education: Promises and implications for teaching and learning, , The Center for Curriculum Redesign; Falchikov, N., (2013) Improving assessment through student involvement: Practical solutions for aiding learning in higher and further education, , Routledge; Farrokhnia, M., Banihashem, S. K., Noroozi, O., Wals, A., A SWOT analysis of ChatGPT: Implications for educational practice and research (2023) Innovations in Education and Teaching International, pp. 1-15. , https://doi.org/10.1080/14703297.2023.2195846; Flanagin, A., Bibbins-Domingo, K., Berkwits, M., Christiansen, S. L., Nonhuman “authors” and implications for the integrity of scientific publication and medical knowledge (2023) JAMA, 329 (8), pp. 637-639. , https://doi.org/10.1001/jama.2023.1344; Firat, M., What ChatGPT means for universities: Perceptions of scholars and students (2023) Journal of Applied Learning and Teaching, 6 (1). , https://doi.org/10.37074/jalt.2023.6.1.22, Advance online publication; Fosnot, C. T., (2013) Constructivism: Theory, perspectives, and practice, , Teachers College Press; Gabajiwala, E., Mehta, P., Singh, R., Koshy, R., Quiz maker: Automatic quiz generation from text using NLP (2022) Futuristic trends in networks and computing technologies: Proceedings of fourth international conference on FTNCT 2021, pp. 523-533. , P. K. Singh, S. T. Wierzchon, K. K. Chhabra, &amp; S. Tanwar (Eds), Springer Nature; Gao, C. A., Howard, F. M., Markov, N. S., Dyer, E. C., Ramesh, S., Luo, Y., Pearson, A. T., Comparing scientific abstracts generated by ChatGPT to original abstracts using an artificial intelligence output detector, plagiarism detector, and blinded human reviewers (2022) BioRxiv, , https://doi.org/10.1101/2022.12.23.521610; Gatzemeier, S., (2021) AI bias: Where does it come from and what can we do about it? Data Science W231-Behind the Data: Humans and Values, , https://blogs.ischool.berkeley.edu/w231/2021/06/18/ai-bias-where-does-it-come-from-and-what-can-we-do-about-it/, (June 18); Geary, D. C., Reflections of evolution and culture in children’s cognition: Implications for mathematical development and instruction (1995) American Psychologist, 50 (1), pp. 24-37. , https://doi.org/10.1037//0003-066x.50.1.24; Geng, J., Razali, A. B., Tapping the potential of Pigai Automated Writing Evaluation (AWE) program to give feedback on EFL writing (2020) Universal Journal of Educational Research, 8 (12B), pp. 8334-8343. , https://doi.org/10.13189/UJER.2020.082638; Gilson, A., Safranek, C. W., Huang, T., Socrates, V., Chi, L., Taylor, R. A., Chartash, D., How does CHATGPT perform on the United States medical licensing examination? The implications of large language models for medical education and knowledge assessment (2023) JMIR Medical Education, 9 (1), p. e45312. , https://doi.org/10.2196/45312; Goel, A., (2020) AI-powered learning: Making education accessible, affordable, and achievable, , https://doi.org/10.48550/arXiv.2006.01908, ArXiv; Guo, B., Zhang, X., Wang, Z., Jiang, M., Nie, J., Ding, Y., Yue, J., Wu, Y., How close is ChatGPT to human experts? Comparison corpus, evaluation, and detection (2023), https://doi.org/10.48550/arXiv.2301.07597, ArXiv; Hartmann, J., Schwenzow, J., Witte, M., (2023) The political ideology of conversational AI: Converging evidence on ChatGPT’s pro-environmental, left-libertarian orientation, , https://doi.org/10.48550/arXiv.2301.01768, ArXiv; Hattie, J., Timperley, H., The power of feedback (2007) Review of Educational Research, 77 (1), pp. 81-112. , https://doi.org/10.3102/003465430298487; Hein, G. E., Constructivist learning theory (1991) Exploratorium, , https://www.exploratorium.edu/education/ifi/constructivist-learning, (October 15); Hemsley, B., Power, E., Given, F., Will AI tech like ChatGPT improve inclusion for people with communication disability? (2023) The Conversation, , https://theconversation.com/will-ai-tech-like-chatgpt-improve-inclusion-for-people-with-communication-disability-196481, (January 19); Howlett, N., How machine learning is developing to get more insight from complex voice-of-customer data (2017) Applied Marketing Analytics, 3 (3), pp. 250-254; Hsu, T., Thompson, S. A., Disinformation researchers raise alarms about AI. Chatbots (2023), https://www.nytimes.com/2023/02/08/technology/ai-chatbots-disinformation.html, (February 13). The New York Times; Huang, S. L., Shiu, J. H., A user-centric adaptive learning system for e-learning 2.0 (2012) Journal of Educational Technology &amp; Society, 15 (3), pp. 214-225; Iordanou, K., Kuhn, D., Matos, F., Shi, Y., Hemberger, L., Learning by arguing (2019) Learning and Instruction, 63, p. 101207. , https://doi.org/10.1016/j.learninstruc.2019.05.004; Ippolito, D., Yuan, A., Coenen, A., Burnam, S., (2022) Creative writing with an AI-powered writing assistant: Perspectives from professional writers, , https://doi.org/10.48550/arXiv.2211.05030, ArXiv; Isik, A. D., Use of technology in constructivist approach (2018) Educational Research and Reviews, 13 (21), pp. 704-711. , https://doi.org/10.5897/ERR2018.3609; Jansen, S. C., Martin, B., The Streisand effect and censorship backfire (2015) International Journal of Communication, 9, pp. 656-671; June, S., Yaacob, A., Kheng, Y. K., Assessing the use of YouTube videos and interactive activities as a critical thinking stimulator for tertiary students: An action research (2014) International Education Studies, 7 (8), pp. 56-67. , https://doi.org/10.5539/ies.v7n8p56; Kaplan, A., (2021) Higher education at the crossroads of disruption: The university of the 21st century, , Emerald Group Publishing; Karim, R., (2023) ChatGPT: Old AI problems in a new guise, new problems in disguise, , https://lens.monash.edu/@politics-society/2023/02/13/1385448/chatgpt-old-ai-problems-in-a-new-guise-new-problems-in-, (February 13). Monash University; Kasneci, E., ChatGPT can lead to greater equity in education (2023) MyScience, , https://www.myscience.org/news/wire/chatgpt_can_lead_to_greater_equity_in_education-2023-tum, (February 7); Kasneci, E., Seßler, K., Küchemann, S., Bannert, M., Dementieva, D., Fischer, F., Gaseer, U., Kasneci, G., ChatGPT for good? On opportunities and challenges of large language models for education (2023) Learning and Individual Differences, 103, p. 102274. , https://doi.org/10.1016/j.lindif.2023.102274; Keith, T., (2022) Combating academic dishonesty, Part 1 – understanding the problem, , https://academictech.uchicago.edu/2022/02/16/combating-academic-dishonesty-part-1-understanding-the-problem/, (February 16). The University of Chicago; Kerr, P., Adaptive learning (2016) ELT Journal, 70 (1), pp. 88-93. , https://doi.org/10.1093/elt/ccv055; Kılıç, E., Karadeniz, Ş., Karataş, S., İnternet destekli yapici ogrenme ortamlari (2003) Gazi University Journal of Gazi Educational Faculty, 23 (2), pp. 149-160; Kuhn, D., Critical thinking as discourse (2019) Human Development, 62 (3), pp. 146-164. , https://doi.org/10.1159/000500171; Kuhn, D., Modrek, A., Mere exposure to dialogic framing enriches argumentive thinking (2021) Applied Cognitive Psychology, 35 (5), pp. 1349-1355. , https://doi.org/10.1002/acp.3862; Kumar, J. A., Educational chatbots for project-based learning: Investigating learning outcomes for a team-based design course (2021) International Journal of Educational Technology in Higher Education, 18 (1), pp. 1-28. , https://doi.org/10.1186/s41239-021-00302-w; Kung, T. H., Cheatham, M., Medenilla, A., Sillos, C., De Leon, L., Elepaño, C., Madriaga, M., Tseng, V., Performance of ChatGPT on USMLE: Potential for AI-assisted medical education using large language models (2023) PLoS Digital Health, 2 (2), p. e0000198. , https://doi.org/10.1371/journal.pdig.0000198; Kuo, Y. C., Chang, Y. C., Adaptive teaching of flipped classroom combined with concept map learning diagnosis. An example of programming design course (2022) Education and Information Technologies, pp. 1-25. , https://doi.org/10.1007/s10639-022-11540-4; Li, Z., Factors influencing students’ continuous willingness to use e-learning platforms in higher education (2022) International Journal of Information and Communication Technology Education (IJICTE), 18 (3), pp. 1-11. , https://doi.org/10.4018/IJICTE.313424; Lim, W. M., Gunasekara, A., Pallant, J. L., Pallant, J. I., Pechenkina, E., Generative AI and the future of education: Ragnarök or reformation? A paradoxical perspective from management educators (2023) The International Journal of Management Education, 21 (2), p. 100790. , https://doi.org/10.1016/j.ijme.2023.100790; Lin, Z., Why and how to embrace AI such as ChatGPT in your academic life (2023) PsyArXiv, , https://doi.org/10.31234/osf.io/sdx3j; Liu, J., Shen, D., Zhang, Y., Dolan, W. B., Carin, L., Chen, W., What makes good in-context examples for GPT-3? (2022) Proceedings of Deep Learning Inside Out (DeeLIO 2022): The 3rd workshop on knowledge extraction and integration for deep learning architectures, pp. 100-114. , http://dx.doi.org/10.18653/v1/2022.deelio-1.10, E. Aggire, M. Apidianaki, &amp; I. Vulic (Eds), Association for Computational Linguistics; Liu, O. L., Frankel, L., Roohr, K. C., Assessing critical thinking in higher education: Current state and directions for next‐generation assessment (2014) ETS Research Report Series, 14 (1), pp. 1-23. , https://doi.org/10.1002/ets2.12009; Liu, Y., Mittal, A., Yang, D., Bruckman, A., Will AI console me when I lose my pet? Understanding perceptions of AI-mediated email writing (2022) Proceedings of the 2022 CHI conference on human factors in computing systems, pp. 1-13. , http://dx.doi.org/10.1145/3491102.3517731, S. Barbosa, C. Lampe, C. Appert, D. A. Shamma, S. Drucker, J. Williamson, &amp; K. Yatani (Eds); Lodge, J. M., (2023), https://www.linkedin.com/pulse/chatgpt-consistently-fails-most-parts-assessment-tasks-jason-m-lodge, (January 30). ChatGPT consistently fails (most parts of) the assessment tasks I assign my students: Here’s why. LinkedIn; Lund, B. D., Wang, T., Chatting about ChatGPT: How may AI and GPT impact academia and libraries? (2023) Library Hi Tech News, , https://doi.org/10.1108/LHTN-01-2023-0009; Lund, B. D., Wang, T., Mannuru, N. R., Nie, B., Shimray, S., Wang, Z., ChatGPT and a new academic reality: Artificial Intelligence‐written research papers and the ethics of the large language models in scholarly publishing (2023) Journal of the Association for Information Science and Technology, 74 (5), pp. 570-581. , http://dx.doi.org/10.1002/asi.24750; Ma, L., Tsai, S. B., An immersive context teaching method for college English based on artificial intelligence and machine learning in virtual reality technology (2021) Mobile Information Systems, 2021 (2), pp. 1-7. , http://dx.doi.org/10.1155/2021/2637439; MacNeil, S., Tran, A., Mogil, D., Bernstein, S., Ross, E., Huang, Z., Generating diverse code explanations using the GPT-3 large language model (2022) Proceedings of the 2022 ACM conference on international computing education research, pp. 37-39. , https://doi.org/10.1145/3501709.3544280, J. Vahrenhold, K. Fisler, M. Hauswirth, &amp; D. Franklin (Eds); Makewa, L. N., Constructivist theory in technology-based learning (2019) Technology-supported teaching and research methods for educators, pp. 268-287. , L. N. Makewa, B. M. Ngussa, &amp; J. M. Kuboja (Eds), IGI Global; Merelo, J. J., Castillo, P. A., Mora, A. M., Barranco, F., Abbas, N., Guillen, A., Tsivitanidou, O., (2022) Chatbots and messaging platforms in the classroom: An analysis from the teacher’s perspective, , https://doi.org/10.48550/arXiv.2201.10289, ArXiv; Mollick, E. R., Mollick, L., (2022) New modes of learning enabled by AI Chatbots: Three methods and assignments, , http://dx.doi.org/10.2139/ssrn.4300783, Wharton School of the University of Pennsylvania &amp; Wharton Interactive; (2023) Generative AI and assessment, , https://www.monash.edu/learning-teaching/teachhq/Teaching-practices/artificial-intelligence/generative-ai-and-assessment; Moore, S., Nguyen, H. A., Bier, N., Domadia, T., Stamper, J., Assessing the quality of student-generated short answer questions using GPT-3 (2022) Educating for a new future: Making sense of technology-enhanced learning adoption: 17th European conference on technology enhanced learning, EC-TEL 2022, pp. 243-257. , https://doi.org/10.1007/978-3-031-16290-9_18, I. Hilliger, P. J. Muñoz-Merino, T. De Laet, A. Ortega-Arranz, &amp; T. Farrell (Eds), –). Springer; Muhajirah, M., Basic of learning theory: (Behaviorism, cognitivism, constructivism, and humanism) (2020) International Journal of Asian Education, 1 (1), pp. 37-42. , https://dx.doi.org/10.46966/ijae.v1i1.23; (2018) Australian code for responsible conduct of research, , (Report No. R41); Nautiyal, R., Albrecht, J. N., Nautiyal, A., ChatGPT and tourism academia (2023) Annals of Tourism Research, 99, p. 103544. , https://doi.org/10.1016/j.annals.2023.103544; Nicol, D. J., Macfarlane‐Dick, D., Formative assessment and self‐regulated learning: A model and seven principles of good feedback practice (2006) Studies in Higher Education, 31 (2), pp. 199-218. , https://doi.org/10.1080/03075070600572090; Nieminen, J. H., Bearman, M., Ajjawi, R., Designing the digital in authentic assessment: Is it fit for purpose? (2022) Assessment &amp; Evaluation in Higher Education, pp. 1-15. , https://doi.org/10.1080/02602938.2022.2089627; Okonkwo, C. W., Ade-Ibijola, A., Chatbots applications in education: A systematic review (2021) Computers and Education: Artificial Intelligence, 2, p. 100033. , https://doi.org/10.1016/j.caeai.2021.100033; Oliver, B., de St Jorre, T. J., Graduate attributes for 2020 and beyond: Recommendations for Australian higher education providers (2018) Higher Education Research &amp; Development, 37 (4), pp. 821-836. , https://doi.org/10.1080/07294360.2018.1446415; (2022) About, , https://openai.com/about/; (2023) GPT-4 is OpenAI’s most advanced system, producing safer and more useful responses, , https://openai.com/product/gpt-4; Osmani, M., Weerakkody, V., Hindi, N., Eldabi, T., Graduates employability skills: A review of literature against market demand (2019) Journal of Education for Business, 94 (7), pp. 423-432. , https://doi.org/10.1080/08832323.2018.1545629; Pavlik, J. V., Collaborating with ChatGPT: Considering the implications of generative artificial intelligence for journalism and media education (2023) Journalism &amp; Mass Communication Educator, 78 (1). , https://doi.org/10.1177/10776958221149577; Peng, H., Ma, S., Spector, J. M., Personalised adaptive learning: An emerging pedagogical approach enabled by a smart learning environment (2019) Smart Learning Environments, 6 (1), pp. 1-14. , https://doi.org/10.1186/s40561-019-0089-y; Pérez, J. Q., Daradoumis, T., Puig, J. M. M., Rediscovering the use of chatbots in education: A systematic literature review (2020) Computer Applications in Engineering Education, 28 (6), pp. 1549-1565. , https://doi.org/10.1002/cae.22326; Piaget, J., The psychogenesis of knowledge and its epistemological significance (1980) Language and learning: The debate between Jean Piaget and Noam Chomsky, pp. 1-23. , M. Piatelli-Palmarini (Ed), Harvard University Press; Polak, S., Schiavo, G., Zancanaro, M., Teachers’ perspective on artificial intelligence education: An initial investigation (2022) CHI EA ’22: Extended abstracts of the 2022 CHI conference on human factors in computing systems, pp. 1-7. , https://doi.org/10.1145/3491101.3519866, S. Barbosa, C. Lampe, C. Appert, &amp; D. A. Shamma (Eds), Association for Computing Machinery; Popenici, S. A., Kerr, S., Exploring the impact of artificial intelligence on teaching and learning in higher education (2017) Research and Practice in Technology Enhanced Learning, 12 (1), pp. 1-13. , https://doi.org/10.1186/s41039-017-0062-8; Pritchard, A., (2017) Ways of learning: Learning theories for the classroom, , Routledge; Qiu, J., A preliminary study of English mobile learning model based on constructivism (2019) Theory and Practice in Language Studies, 9 (9), pp. 1167-1172. , http://dx.doi.org/10.17507/tpls.0909.13; Qureshi, M. A., Khaskheli, A., Qureshi, J. A., Raza, S. A., Yousufi, S. Q., Factors affecting students’ learning performance through collaborative learning and engagement (2021) Interactive Learning Environments, pp. 1-21. , https://doi.org/10.1080/10494820.2021.1884886; Rahman, M., Terano, H. J. R., Rahman, N., Salamzadeh, A., Rahaman, S., ChatGPT and academic research: A review and recommendations based on practical examples (2023) Journal of Education, Management and Development Studies, 3 (1), pp. 1-12; Raisch, S., Krakowski, S., Artificial intelligence and management: The automation–augmentation paradox (2021) Academy of Management Review, 46 (1), pp. 192-210. , https://doi.org/10.5465/amr.2018.0072; Raschka, S., (2023) What are the different approaches for detecting content generated by LLMs such as ChatGPT? And how do they work and differ? Sebastian Raschka, , https://sebastianraschka.com/blog/2023/detect-ai.html, (February 1); Rudolph, J., Tan, S., Tan, S., ChatGPT: Bullshit spewer or the end of traditional assessments in higher education? (2023) Journal of Applied Learning and Teaching, 6 (1), pp. 342-363. , https://doi.org/10.37074/jalt.2023.6.1.9; Rudolph, J., Tan, S., Tan, S., War of the chatbots: Bard, Bing Chat, ChatGPT, Ernie and beyond. The new AI gold rush and its impact on higher education (2023) Journal of Applied Learning and Teaching, 6 (1), pp. 364-389. , https://doi.org/10.37074/jalt.2023.6.1.23; Sallam, M., ChatGPT utility in health care education, research, and practice: Systematic review on the promising perspectives and valid concerns (2023) Healthcare, 11 (6), p. 887. , https://doi.org/10.3390/healthcare11060887, (March); Sambell, K., Brown, S., Race, P., Assessment to support student learning: Eight challenges for 21st century practice (2019) All Ireland Journal of Teaching and Learning in Higher Education (AISHE-J), 11 (2), pp. 1-15; Schuh, K. L., Knowledge construction in the learner-centered classroom (2003) Journal of Educational Psychology, 95 (2), pp. 426-442. , https://doi.org/10.1037/0022-0663.95.2.426; Schon, D. A., (1983) The reflective practitioner: How professionals think in actions, , Basic Book; Schunk, D. H., (2012) Learning theories an educational perspective, , Pearson Education; Seo, K., Tang, J., Roll, I., Fels, S., Yoon, D., The impact of artificial intelligence on learner–instructor interaction in online learning (2021) International Journal of Educational Technology in Higher Education, 18 (54), pp. 1-23. , https://doi.org/10.1186/s41239-021-00292-9; Shen, Y., Heacock, L., Elias, J., Hentel, K. D., Reig, B., Shih, G., Moy, L., ChatGPT and other large language models are double-edged swords (2023) Radiology, p. 230163. , https://doi.org/10.1148/radiol.230163; Shute, V. J., Focus on formative feedback (2008) Review of Educational Research, 78 (1), pp. 153-189. , https://doi.org/10.3102/0034654307313795; Silberg, J., Manyika, J., (2019) Tackling bias in artificial intelligence (and in humans), , https://www.mckinsey.com/featured-insights/artificial-intelligence/tackling-bias-in-artificial-intelligence-and-in-humans, (June 6). McKinsey &amp; Company; Skavronskaya, L., Hadinejad, A., Cotterell, D., Reversing the threat of artificial intelligence to opportunity: A discussion of ChatGPT in tourism education (2023) Journal of Teaching in Travel &amp; Tourism, pp. 1-6. , https://doi.org/10.1080/15313220.2023.2196658; Smith, A. E., Humphreys, M. S., Evaluation of unsupervised semantic mapping of natural language with Leximancer concept mapping (2006) Behavior Research Methods, 38, pp. 262-279. , https://doi.org/10.3758/BF03192778; Sok, S., Heng, K., (2023) ChatGPT for education and research: A review of benefits and risks, , https://dx.doi.org/10.2139/ssrn.4378735, SSRN; Stapleton, L., Stefaniak, J., Cognitive constructivism: Revisiting Jerome Bruner’s influence on instructional design practices (2019) TechTrends, 63, pp. 4-5. , https://doi.org/10.1007/s11528-018-0356-8; Sullivan, M., Kelly, A., McLaughlan, P., ChatGPT in higher education: Considerations for academic integrity and student learning (2023) Journal of Applied Learning and Teaching, 6 (1), pp. 31-40. , https://doi.org/10.37074/jalt.2023.6.1.17; Taber, K. S., Constructivism as educational theory: Contingency in learning, and optimally guided instruction (2012) Educational theory, pp. 39-61. , J. Hassaskhah (Ed), Nova; Taecharungroj, V., What can ChatGPT do? Analysing early reactions to the innovative AI chatbot on Twitter (2023) Big Data and Cognitive Computing, 7 (1), p. 35. , https://doi.org/10.3390/bdcc7010035; Tai, J. H. M., Dollinger, M., Ajjawi, R., de St Jorre, T. J., Krattli, S., McCarthy, D., Prezioso, D., Designing assessment for inclusion: An exploration of diverse students’ assessment experiences (2022) Assessment &amp; Evaluation in Higher Education, pp. 1-15. , https://doi.org/10.1080/02602938.2022.2082373; Tam, M., Constructivism, instructional design, and technology: Implications for transforming distance learning (2000) Journal of Educational Technology &amp; Society, 3 (2), pp. 50-60; Tangney, S., Student-centred learning: A humanist perspective (2014) Teaching in Higher Education, 19 (3), pp. 266-275. , https://doi.org/10.1080/13562517.2013.860099; Thorp, H. H., ChatGPT is fun, but not an author (2023) Science, 379 (6630), p. 313. , https://doi.org/10.1126/science.adg7879; Tlili, A., Shehata, B., Adarkwah, M. A., Bozkurt, A., Hickey, D. T., Huang, R., Agyemang, B., What if the devil is my guardian angel: ChatGPT as a case study of using chatbots in education (2023) Smart Learning Environments, 10 (1), p. 15. , https://doi.org/10.1186/s40561-023-00237-x; (2022) Graduate attributes, , https://www.adelaide.edu.au/learning/resources-for-educators/graduate-attributes; (2022) Graduate qualities, , https://www.sydney.edu.au/students/graduatequalities.html#:~:text=They%20will%20also%20help, (October 14); Van Der Veen, C., Van Oers, B., Advances in research on classroom dialogue: Learning outcomes and assessments (2017) Learning and Instruction, 48, pp. 1-4. , https://doi.org/10.1016/j.learninstruc.2017.04.002; Villarroel, V., Bloxham, S., Bruna, D., Bruna, C., Herrera-Seda, C., Authentic assessment: Creating a blueprint for course design (2018) Assessment &amp; Evaluation in Higher Education, 43 (5), pp. 840-854. , https://doi.org/10.1080/02602938.2017.1412396; Vogels, E. A., (2021) Some digital divides persist between rural, urban and suburban America, , https://www.pewresearch.org/fact-tank/2021/08/19/some-digital-divides-persist-between-rural-urban-and-suburban-america/, (August 19). Pew Research Center; Vygotsky, L. S., (1962) Thought and language, , MIT Press; Weldy, T. G., Turnipseed, D. L., Assessing and improving learning in business schools: Direct and indirect measures of learning (2010) Journal of Education for Business, 85 (5), pp. 268-273. , https://doi.org/10.1080/08832320903449535; White, P. J., Larson, I., Styles, K., Yuriev, E., Evans, D. R., Rangachari, P. K., Short, J. L., Naidu, S., Adopting an active learning approach to teaching in a research-intensive higher education context transformed staff teaching attitudes and behaviours (2016) Higher Education Research &amp; Development, 35 (3), pp. 619-633. , https://doi.org/10.1080/07294360.2015.1107887; Wiggins, G., The case for authentic assessment (1990) Practical Assessment, Research, and Evaluation, 2 (2). , https://doi.org/10.7275/FFB1-MM19; Yang, T. C., Hwang, G. J., Yang, S. J. H., Development of an adaptive learning system with multiple perspectives based on students’ learning styles and cognitive styles (2013) Journal of Educational Technology &amp; Society, 16 (4), pp. 185-200; Zajda, J., Constructivist learning theory and creating effective learning environments (2021) Globalisation and education reforms: Creating effective learning environments, pp. 35-50. , https://doi.org/10.1007/978-3-030-71575-5_3, J. Zajda (Ed), Springer; Zawacki-Richter, O., Marín, V. I., Bond, M., Gouverneur, F., Systematic review of research on artificial intelligence applications in higher education–Where are the educators? (2019) International Journal of Educational Technology in Higher Education, 16 (1), pp. 1-27. , https://doi.org/10.1186/s41239-019-0171-0; Zhao, X., Shao, M., Su, Y. S., Effects of online learning support services on university students’ learning satisfaction under the impact of Covid-19 (2022) Sustainability, 14 (17), p. 10699. , https://doi.org/10.3390/su141710699; Zhuo, T. Y., Huang, Y., Chen, C., Xing, Z., (2023) Exploring AI ethics of ChatGPT: A diagnostic analysis, , https://doi.org/10.48550/arXiv.2301.12867, ArXiv</t>
  </si>
  <si>
    <t>Rasul, T., Australian Institute of Business (AIB), Adelaide, Australia; Nair, S., Australian Institute of Business (AIB), Adelaide, Australia; Kalendra, D., Australian Institute of Business (AIB), Adelaide, Australia; Robin, M., Australian Institute of Business (AIB), Adelaide, Australia; Santini, F.O., Universidade do Vale do Rio dos Sinos (UNISINOS), Sao Leopoldo, Brazil; Ladeira, W.J., Universidade do Vale do Rio dos Sinos (UNISINOS), Sao Leopoldo, Brazil; Sun, M., Australian Institute of Business (AIB), Adelaide, Australia; Day, I., Australian Institute of Business (AIB), Adelaide, Australia; Rather, R.A., Scientific Independent Researcher, Anantnag, J&amp;K, India; Heathcote, L., Australian Institute of Business (AIB), Adelaide, Australia</t>
  </si>
  <si>
    <t>57193616909;24332757800;57210913779;57194432947;56684504000;55176768900;58355352000;58355997600;57199227902;35434722500;</t>
  </si>
  <si>
    <t>Rasul T., Nair S., Kalendra D., Robin M., Santini F.O., Ladeira W.J., Sun M., Day I., Rather R.A., Heathcote L.</t>
  </si>
  <si>
    <t>Ahmed, S., (2014) White Men, , https://feministkilljoys.com/2014/11/04/white-men/, (November 4). feministkilljoys; Google Groups, , https://groups.google.com/g/ai-in-education; Alexander, B., Future trends forum, , https://www.youtube.com/playlist?list=PLlcx8yl6hlPC3QjlbIHzxGqCP3qRa0zcg, (n.d). [YouTube]; Anders, A, (2023) How to use ChatGPT to boost your research and teaching, , https://docs.google.com/presentation/d/e/2PACX-1vTaK8QwTtFFGZYoOenLVJScc0_1nr-MUE, W 7 m u X b s 4 F m 5 l C 7 G o b 9 R u 3 G-Z c j Z u X Z g Z a 9 E 6 C 1 b 3 W Y g L/pub?start=false&amp;loop=false&amp;delayms=3000&amp;slide=id. g1506fece23e_1_119; About us. ASCCC OERI, , https://asccc-oeri.org/about-us, (n.d); Bailey, C., Good idea-there’s so much being written now, it’s hard to stay on top of it all! Thanks for all the care you put into curating this resource-it’s always my #1 recommendation [Tweet] (2023), https://twitter.com/beilinglaoshi/status/1625557701903192085?s=20, [@beilinglaoshi]. (February 14). Twitter; Bali, M., What if we create a culture of “transparent assessment” (AI &amp; AI) (2023), https://blog.mahabali.me/educational-technology-2/what-if-we-create-a-culture-of-transparent-assessment-ai-ai/, January 5). Reflecting allowed: Maha Bali’s blog about education; Bali, M., On citing our hybrid brain/ writing #chatGPT #openAI (2023) Reflecting allowed: Maha Bali’s blog about education, , https://blog.mahabali.me/educational-technology-2/on-citing-our-hybrid-brain-writing-chatgpt-openai/, January 26); Bali, M., How *not* to be overly impressed with #ChatGPT (2023) Reflecting allowed: Maha Bali’s blog about education, , https://blog.mahabali.me/educational-technology-2/how-not-to-be-overly-impressed-with-chatgpt/, January 27); Bali, M., Have I got an AI assignment for you! Speculative AI futures – inspiration &amp; creation (2023) Reflecting allowed: Maha Bali’s blog about education, , https://blog.mahabali.me/educational-technology-2/have-i-got-an-ai-assignment-for-you-speculative-ai-futures-inspiration-creation/, March 13); Bali, M., (2023) So what are the characteristics of an assignment that AI cannot fully succeed in writing? Is that the right question? Or is the question we should be asking: How do I design an assessment that makes my students want to truly learn? That motivates inquiry and expression? [Tweet], , https://twitter.com/Bali_Maha/status/1614711365146386432, [@Bali_Maha]. (e, January 15). Twitter; Bali, M., Cronin, C., Jhangiani, R. S., Framing open educational practices from a social justice perspective (2020) Journal of Interactive Media in Education, 2020 (1), pp. 1-12. , https://doi.org/10.5334/jime.565; Bali, M., Koseoglu, S., Self as OER (2016) The Chronicle of Higher Education, , http://www.chronicle.com/blogs/profhacker/self-as-oer-selfoer/62679, (August 26); Bali, M., Mills, A., (2023) How well can AI respond to my assignment prompts?, , https://docs.google.com/document/d/1ZbrdqB2xqoOVOdo2OAbk9Osz4_xyG7Xhp2RpeJyWG0g/edit?usp=sharing, (January 25); Bali, M., Moustafa, H., (2023) How AUC faculty are addressing AI in their teaching spring 2023, , https://learnhub.aucegypt.edu/cltnewsletter/?p=1083, (Eds). CLT New Chalk Talk; Baskara, R., (2023) Dear Lance, I would like to ask your permission to use this document as one of the readings in our next department FGD discussing ChatGPT, , https://twitter.com/risangbaskara/status/1621361155989188610?s=20, [@risangbaskara] (February 2). [Tweet]. Twitter; Bozkurt, A., Xiao, J., Lambert, S., Pazurek, A., Crompton, H., Koseoglu, S., Farrow, R., Jandrić, P., Speculative futures on ChatGPT and Generative Artificial Intelligence (AI): A collective reflection from the educational landscape (2023) Asian Journal of Distance Education, 18 (1). , http://www.asianjde.com/ojs/index.php/AsianJDE/article/view/709; Bray, H., BU creates standards for chatbots in the classroom (2023), https://www.bostonglobe.com/2023/04/04/business/bu-creates-standards-chatbots-computer-science-classes/?p1=Article_Inline_Text_Link, (April 4). The Boston Globe; brown, a., (2017) Emergent strategy: Shaping change, changing worlds, , AK Press; Caines, A., Prior to (or instead of) using ChatGPT with your students (2023) Is a Liminal Space, , https://autumm.edtech.fm/2023/01/18/prior-to-or-instead-of-using-chatgpt-with-your-students/; Reddit, , https://www.reddit.com/r/ChatGPT/, (n.d); Hypothes.is, , https://hypothes.is/search?q=tag%3AChatGPTedu, (n.d); Cronin, C., Openness and praxis: Exploring the use of open educational practices in higher education (2017) The International Review of Research in Open and Distributed Learning, 18 (5), pp. 1-21. , https://doi.org/10.19173/irrodl.v18i5.3096; Cronin, C., MacLaren, I., Conceptualising OEP: A review of theoretical and empirical literature in open educational practices (2018) Open Praxis, 10 (2), pp. 127-143. , https://doi.org/10.5944/openpraxis.10.2.825; D’Agostino, S., #AcademicTwitter will endure—for now (2022), https://www.insidehighered.com/news/2022/11/04/professors-and-academics-will-stay-twitter%E2%80%94-now, (November 3). Inside Higher Ed; Dean, J., Five ways to use social annotation with and against ChatGPT (2023), https://web.hypothes.is/blog/five-ways-to-use-social-annotation-with-and-against-chatgpt/, (February 16). Hypothes.is; Dennehy, D., AI/ChatGPT resources, , https://sites.google.com/mail.ccsf.edu/chat-gpt-dayamudra/home, (n.d); Dennehy, D., Mills, A., (2023) ChatGPT in higher ed: A discussion between educators [Youtube], , https://www.youtube.com/watch?v=3ag1KWeH040, (February 10); DeRosa, R., Jhangiani, R., Open pedagogy (2017) A guide to making open textbook with students, , https://press.rebus.community/makingopentextbookswithstudents/chapter/open-pedagogy/, Rebus Community; Douglass, J., Writing to and from, for and against, with and without language models (2023) Future of Writing Symposium, , (May 1); Dreeme, C., Thank you for sharing! Was the talk recorded? I missed it, but this is a really helpful summary of the issue, especially for writing instructors. I’m going to share this with my department as we figure out our approach! [Tweet] (2023), https://twitter.com/cecildreeme/status/1648442635831611392?s=20, [@cecildreeme]. (April 18). Twitter; Eaton, L., Classroom policies for AI generative tools, , https://docs.google.com/document/d/1RMVwzjc1o0Mi8Blw_JUTcXv02b2WRH86vw7mi16W3U/edit#, (n.d. a); Eaton, L., Políticas del Aula para Herramientas Generativas de IA, , https://www.canva.com/design/DAFfvwSGoO0/g7CZUnl4IFfeglf2YzfIOA/edit?utm_content=DAFfvwSGoO0, (n.d. b). (T. Torres-Zapata, Trans); Eaton, L., (2023) College unbound-AI generative tools policy development plan, , https://docs.google.com/document/d/1w1NKdOM2UW359_XPdtyVhMq6pBEt2B5rPNIfs3HeZN0/, January 9); Eaton, L., (2023) ChatGPT: AI generative tools and education, , https://www.byanyothernerd.com/2023/01/chatgpt-ai-generative-tools-and.html, January 31). By any other nerd; Eaton, L., (2023), https://twitter.com/leaton01/status/1621186190656389120?s=20, [@leaton01]. (c, February 2). Here’s our non-punitive approach to working with students to figure out what makes sense for the use of such tools in teaching &amp; learning at college unbound. [Tweet]. Twitter; Eaton, L., My recent (&amp; not particularly original) thoughts on AI (2023), https://www.byanyothernerd.com/2023/03/my-recent-not-particularly-original.html, March 23). By Any Other Nerd; Eaton, L., (2023) Proposal of usage guidelines for AI generative tools at CU, , https://docs.google.com/document/d/12Kx-Xp5lu1zQr16XFddvWOZg99UQCqpOqyn0Zg4Q10g/edit#heading=h.31io3d5xnjva, (Ed); Fawns, T., An entangled pedagogy: Looking beyond the pedagogy-technology dichotomy (2022) Postdigital Science and Education, 4, pp. 711-728. , https://doi.org/10.1007/s42438-022-00302-7; Firat, M., What ChatGPT means for universities: Perceptions of scholars and students (2023) Journal of Applied Learning and Teaching, 6 (1), pp. 57-63. , https://doi.org/10.37074/jalt.2023.6.1.22; Writing across the curriculum clearinghouse, , https://fyca.colostate.edu/, (n.d); Fraser, N., Nancy Fraser on the “Parity Of Participation (2008), https://3quarksdaily.com/3quarksdaily/2008/08/nancy-fraser-on.html, (August 3). 3 Quarks Daily; Goodlad, L., Baker, S., (2023) Now the humanities can disrupt “AI.” Public Books, , https://www.publicbooks.org/now-the-humanities-can-disrupt-ai/; Goodlad, L., Mills, A., Adapting college writing for the age of large language models such as ChatGPT: Some next steps for educators (2023) Critical AI, , https://criticalai.org/2023/01/17/critical-ai-adapting-college-writing-for-the-age-of-large-language-models-such-as-chatgpt-some-next-steps-for-educators/; Gutierrez, J., (2023) Guidelines for the use of artificial intelligence in university courses, , https://forogpp.files.wordpress.com/2023/02/guidelines-for-the-use-of-artificial-intelligence-in-university-courses-v4.3.1.pdf, (February 22); https://www.facebook.com/groups/632930835501841/, (n.d). Home [Facebook page]. Facebook; Hodgkinson-Williams, C. A., Trotter, H., A social justice framework for understanding open educational resources and practices in the global south (2018) Journal of Learning for Development, 5 (3), pp. 204-224. , https://jl4d.org/index.php/ejl4d/article/view/312; Huang, K., Alarmed by A.I. chatbots, Universities start revamping how they teach (2023), https://www.nytimes.com/2023/01/16/technology/chatgpt-artificial-intelligence-universities.html, (January 16). The New York Times; Edge 1, , web.hypothes.is/blog/five-ways-to-use-social-annotation-with-and-against-chatgpt/1, (n.d); Educator considerations for ChatGPT. OpenAI, , https://hyp.is/go?url=https%3A%2F%2Fplatform.openai.com%2Fdocs%2Fchatgpteducation&amp;group=__world__, (n.d); Kimmons, R., Graham, C., West, R., The PICRAT model for technology integration in teacher preparation (2020) Contemporary Issues in Technology and Teacher Education, 20 (1), pp. 176-198; Kimmons, R., Draper, D., Backman, J., PICRAT: The PICRAT technology integration model (2022) EdTechnica: The Open Encyclopedia of Educational Technology, , https://edtechbooks.org/encyclopedia/picrat; Limna, P., Kraiwanit, T., Jangjarat, K., Klayklung, P., Chocksathaporn, P., The use of ChatGPT in the digital era: Perspectives on chatbot implementation (2023) Journal of Applied Learning and Teaching, 6 (1), pp. 64-74. , https://doi.org/10.37074/jalt.2023.6.1.32; Mack, S., Student panel discusses implications of Artificial Intelligence at colgate (2023) The Colgate Maroon-News, , https://thecolgatemaroonnews.com/43246/news/student-panel-discusses-implications-of-artificial-intelligence-at-colgate/, (May 5); Marche, S, The college essay is dead (2022) The Atlantic, , https://www.theatlantic.com/technology/archive/2022/12/chatgpt-ai-writing-college-student-essays/672371/, (December 6); Mills, A., How arguments work: A guide to writing and analyzing texts in college (2020), Open Education Resource (OER) LibreTexts Project; Mills, A., AI text generators and teaching writing: Starting points for inquiry. writing across the curriculum clearinghouse, , https://wac.colostate.edu/repository/collections/ai-text-generators-and-teaching-writing-starting-points-for-inquiry/, (Curator). (n.d); Mills, A., (2023) AI text generators: Sources to stimulate discussion among teachers, , https://docs.google.com/document/d/1V1drRG1XlWTBrEwgGqd-cCySUB12JrcoamB5i16-Ezw/edit#heading=h.qljyuxlccr6; Mills, A., (2023) Critical AI literacy and critical assessment, , https://lor.instructure.com/resources/455e6f86b9e2403ea59b7083dd7d8f56?shared, March 16). Canvas Commons; Mills, A., Thanks to all those who came to “what to do about #ChatGPT: Next steps for educators” for so many useful points and questions [Tweet] (2023), https://twitter.com/EnglishOER/status/1619798302165463041?s=20, [@EnglishOER]. (c, January 29). Twitter; Mills, A., Do you have opinions or input on OpenAI’s message to educators about #ChatGPT? Willing to share in public discussion as well as submitting ideas to OpenAI? See their letter and my comments and add your own using the @hypothes_is tool [Tweet] (2023), https://twitter.com/EnglishOER/status/1623113529103634432?s=20, [@EnglishOER]. (d, February 7). Twitter; Mollick, E., (2023) One useful thing, , https://www.oneusefulthing.org/; Narla, A., (2023) Student panel-What they think about Artificial Intelligence &amp; their learning [YouTube], , https://www.youtube.com/watch?v=y0P1KyM0ubE, (Moderator). UC San Diego Academic Integrity Office “Threats &amp; Opportunities Virtual Symposium; Nerantzi, C., Abegglen, S., Karatsiori, M., Martinez-Arboleda, A., (2023) 100+ Creative ideas to use AI in education, , https://creativehecommunity.wordpress.com/2023/02/02/creating-a-collection-of-101-creative-ideas-to-use-ai-in-education/, (Eds). (March). #creativeHE; Educator considerations for ChatGPT, , https://platform.openai.com/docs/chatgpt-education, (n.d); OEGlobal connect, , https://connect.oeglobal.org/tag/ai, (n.d); Perrigo, B., OpenAI used Kenyan workers on less than $2 per hour to make ChatGPT less toxic (2023) Time Magazine, , https://time.com/6247678/openai-chatgpt-kenya-workers/, (January 18); Rasul, T., Nair, S., Kalendra, D., Robin, M., de Oliveira Santini, F., Ladeira, W. J., Heathcote, L., The role of ChatGPT in higher education: Benefits, challenges, and future research directions (2023) Journal of Applied Learning and Teaching, 6 (1), pp. 41-56. , https://doi.org/10.37074/jalt.2023.6.1.29; Robertson, J., @EnglishOER a quick note of thanks! we had a chatgpt workshop planned and I shared your openly licensed slides with copresenters. It’s possible that you got more than a few citations as adapted versions of your slides showed up in our combined slidedeck! [Tweet] (2023), https://twitter.com/KavuBob/status/1633601128423378944?s=20, [KavuBob]. (March 8). Twitter; Rudolph, J., Tan, S., Tan, S., ChatGPT: Bullshit spewer or the end of traditional assessments in higher education? (2023) Journal of Applied Learning and Teaching, 6 (1), pp. 342-363. , https://doi.org/10.37074/jalt.2023.6.1.9; Sharples, M., Perez, R. P., (2022) Story machines: How computers have become creative writers, , Routledge; Sullivan, M., Kelly, A., McLaughlan, P., ChatGPT in higher education: Considerations for academic integrity and student learning (2023) Journal of Applied Learning and Teaching, 6 (1), pp. 31-40. , https://doi.org/10.37074/jalt.2023.6.1.17; Tai, C., Student insights: The search for creativity: Does artificial intelligence like GPT-3 have what it takes to tell its own stories? (2022) Critical AI, , https://criticalai.org/2022/08/04/student-insights-the-search-for-creativity-does-artificial-intelligence-like-gpt-3-have-what-it-takes-to-tell-its-own-stories/, (August 4); Taylor, S., (2023) AI in Higher Ed student panel discussion-Open Education Week 2023, , https://events.teams.microsoft.com/event/e4e474a1-5a16-476a-bf96-88cc98ab89ee@bdeaeda8-c81d-45ce-863e-5232a535b7cb, (Moderator). (March 8). #creativeHE; Watkins, M., (2023) Embracing generative AI in education rhetorica, , https://marcwatkins.substack.com/p/embracing-generative-ai-in-education, (March 20); Watters, A., (2015) Ed-tech’s inequalities, , http://hackeducation.com/2015/04/08/inequalities/, (April 8); Whitby, T., (2013) How do I get a PLN? Edutopia, , https://www.edutopia.org/blog/how-do-i-get-a-pln-tom-whitby; Wiley, D, (2014) The access compromise and the 5th R. improving learning, , https://opencontent.org/blog/archives/3221; ChatGPT Zotero, , https://www.zotero.org/groups/4888338/chatgpt, (n.d)</t>
  </si>
  <si>
    <t>Mills, A., College of Marin, Kentfield, CA, United States; Bali, M., Center for Learning and Teaching, The American University in Cairo, Cairo, Egypt; Eaton, L., College Unbound, Providence, RI, United States</t>
  </si>
  <si>
    <t>58394333300;36171609200;58393545100;</t>
  </si>
  <si>
    <t>Mills A., Bali M., Eaton L.</t>
  </si>
  <si>
    <t>15 March 2023 through 18 March 2023</t>
  </si>
  <si>
    <t>54th ACM Technical Symposium on Computer Science Education, SIGCSE 2023</t>
  </si>
  <si>
    <t>ACM Special Interest Group on Computer Science Education (ACM SIGCSE);Association for Computing Machinery (ACM)</t>
  </si>
  <si>
    <t>Daniel Ebert, D., Mortier, P., Kaehlke, F., Bruffaerts, R., Baumeister, H., Auerbach, R.P., Alonso Vilagut, J., (2019) Barriers of Mental Health Treatment Utilization among First-year College Students: First Crossnational Results from the WHOWorld Mental Health International College Student Initiative, 2 (28), p. e1782. , https://doi.org/10.1002/mpr.1782; Eisenberg, D., Golberstein, E., Hunt, J.B., (2009) Mental Health and Academic Success in College, 9, p. 1. , https://doi.org/10.2202/1935-1682.2191; Kumar, H., Musabirov, I., Shi, J., Lauzon, A., Kiu Choy, K., Gross, O., Kulzhabayeva, D., Jay Williams, J., (2022) Exploring the Design of Prompts for Applying GPT-3 Based Chatbots: A Mental Wellbeing Case Study on Mechanical Turk, p. 2022. , https://doi.org/10.48550/ARXIV.2209.11344</t>
  </si>
  <si>
    <t>Kumar, H., The University of Toronto, Toronto, ON, Canada; Yu, K., The University of Toronto, Toronto, ON, Canada; Chung, A., The University of Toronto, Toronto, ON, Canada; Shi, J., The University of Toronto, Toronto, ON, Canada; Williams, J.J., The University of Toronto, Toronto, ON, Canada</t>
  </si>
  <si>
    <t>57673888100;58135552000;58135771800;57672510900;56159570600;</t>
  </si>
  <si>
    <t>Kumar H., Yu K., Chung A., Shi J., Williams J.J.</t>
  </si>
  <si>
    <t>2-s2.0-85151451278</t>
  </si>
  <si>
    <t>Letter</t>
  </si>
  <si>
    <t>Milano, S.; Exeter Centre for the Study of the Life Sciences (Egenis), United Kingdom; email: s.milano@exeter.ac.uk</t>
  </si>
  <si>
    <t>Choi, J.H., Hickman, K.E., Monahan, A., Schwarcz, D., (2023) SSRN; Heikkilä, M., How to spot AI-generated text (2022) MIT Technology Review, , https://www.technologyreview.com/2022/12/19/1065596/how-to-spot-ai-generated-text/; (2023) Nature, 613, p. 612; García-Morales, V.J., Garrido-Moreno, A., Martín-Rojas, R., (2021), Front. Psychol. 12; (2023) Intell, 5, p. 1; Hill, C., Lawton, W., (2018) J. High. Educ. Policy Manag., 40, pp. 598-610; Liu, F., Stapleton, P., (2018) Assess. Writ., 38, pp. 10-20; Bender, E. M., Gebru, T., McMillan-Major, A. &amp; Shmitchell, S. in Proceedings of the 2021 ACM Conference on Fairness, Accountability, and Transparency 610–623 (ACM, 2021); Weidinger, L., (2021), http://arxiv.org/abs/2112.04359, Preprint at arXiv; The $2 per Hour Workers Who Made Chatgpt Safer. Time, , https://time.com/6247678/openai-chatgpt-kenya-workers/, 18 January 2023)</t>
  </si>
  <si>
    <t>[No abstract available]</t>
  </si>
  <si>
    <t>Milano, S., Exeter Centre for the Study of the Life Sciences (Egenis), University of Exeter, Exeter, United Kingdom; McGrane, J.A., Melbourne Graduate School of Education, University of Melbourne, Melbourne, VIC, Australia; Leonelli, S., Exeter Centre for the Study of the Life Sciences (Egenis), University of Exeter, Exeter, United Kingdom</t>
  </si>
  <si>
    <t>Exeter Centre for the Study of the Life Sciences (Egenis), University of Exeter, Exeter, United Kingdom; Melbourne Graduate School of Education, University of Melbourne, Melbourne, VIC, Australia</t>
  </si>
  <si>
    <t>https://www.scopus.com/inward/record.uri?eid=2-s2.0-85151451278&amp;doi=10.1038%2fs42256-023-00644-2&amp;partnerID=40&amp;md5=64de4a38d1b18554c6e25f8f4126c8f8</t>
  </si>
  <si>
    <t>10.1038/s42256-023-00644-2</t>
  </si>
  <si>
    <t>Nature Machine Intelligence</t>
  </si>
  <si>
    <t>Large language models challenge the future of higher education</t>
  </si>
  <si>
    <t>57215026453;18437657300;8930372000;</t>
  </si>
  <si>
    <t>Milano S., McGrane J.A., Leonelli S.</t>
  </si>
  <si>
    <t>2-s2.0-85149762038</t>
  </si>
  <si>
    <t>Trends Parasitol.</t>
  </si>
  <si>
    <t>TPRAC</t>
  </si>
  <si>
    <t>Šlapeta, J.; Sydney School of Veterinary Science, Australia; email: jan.slapeta@sydney.edu.au</t>
  </si>
  <si>
    <t>Ji, Z., Survey of hallucination in natural language generation (2022) ACM Comput. Surv.; Jenkins, D.J., Macpherson, C.N., Transmission ecology of Echinococcus in wild-life in Australia and Africa (2003) Parasitology, 127, pp. S63-S72; Thompson, R.C., Observations on the development of Echinococcus multilocularis in cats (2003) J. Parasitol., 89, pp. 1086-1088; Luo, R., BioGPT: generative pre-trained transformer for biomedical text generation and mining (2022) Brief. Bioinform., 23; Adams, R., Prospective, multi-site study of patient outcomes after implementation of the TREWS machine learning-based early warning system for sepsis (2022) Nat. Med., 28, pp. 1455-1460; Mathison, B.A., Detection of intestinal protozoa in trichrome-stained stool specimens by use of a deep convolutional neural network (2020) J. Clin. Microbiol., 58; Nagamori, Y., Evaluation of the VETSCAN IMAGYST: an in-clinic canine and feline fecal parasite detection system integrated with a deep learning algorithm (2020) Parasit. Vectors, 13, p. 346; Slusarewicz, P., Automated parasite faecal egg counting using fluorescence labelling, smartphone image capture and computational image analysis (2016) Int. J. Parasitol., 46, pp. 485-493; Madani, A., Large language models generate functional protein sequences across diverse families (2023) Nat. Biotechnol., , Published online January 26, 2023; Jumper, J., Highly accurate protein structure prediction with AlphaFold (2021) Nature, 596, pp. 583-589; Noack, S., Heartworm disease – overview, intervention, and industry perspective (2021) Int. J. Parasitol. Drugs Drug Resist., 16, pp. 65-89</t>
  </si>
  <si>
    <t>Discussion with group members at the University of Sydney and Nichola Calvani on concept and earlier drafts are greatly appreciated. The author declares no competing interests.</t>
  </si>
  <si>
    <t>artificial intelligence; college student; Echinococcus granulosus; educational model; human; medical education; medical student; nonhuman; Note; parasitology; language; Humans; Language</t>
  </si>
  <si>
    <t>artificial intelligence; education; examination; generative pretrained transformer; study</t>
  </si>
  <si>
    <t>Large language models, such as ChatGPT, will have far-reaching impacts on parasitology, including on students. Authentic experiences gained during students’ training are absent from these models. This is not a weakness of the models but rather an opportunity benefiting parasitology at large. © 2023 Elsevier Ltd</t>
  </si>
  <si>
    <t>Šlapeta, J., Sydney School of Veterinary Science, Faculty of Science, The University of Sydney, Sydney, NSW  2006, Australia, The University of Sydney Institute for Infectious Diseases, University of Sydney, Sydney, NSW  2006, Australia</t>
  </si>
  <si>
    <t>Sydney School of Veterinary Science, Faculty of Science, The University of Sydney, Sydney, NSW  2006, Australia; The University of Sydney Institute for Infectious Diseases, University of Sydney, Sydney, NSW  2006, Australia</t>
  </si>
  <si>
    <t>https://www.scopus.com/inward/record.uri?eid=2-s2.0-85149762038&amp;doi=10.1016%2fj.pt.2023.02.006&amp;partnerID=40&amp;md5=5a5efe0470ff226b8b7c56acd943e7bf</t>
  </si>
  <si>
    <t>10.1016/j.pt.2023.02.006</t>
  </si>
  <si>
    <t>Trends in Parasitology</t>
  </si>
  <si>
    <t>Are ChatGPT and other pretrained language models good parasitologists?</t>
  </si>
  <si>
    <t>7004158093;</t>
  </si>
  <si>
    <t>Šlapeta J.</t>
  </si>
  <si>
    <t>9781668482933; 9781668482926</t>
  </si>
  <si>
    <t>Marron, L.; Edge Hill UniversityUnited Kingdom</t>
  </si>
  <si>
    <t>Amzalag, M., Shapira, N., Dolev, N., Two sides of the coin: Lack of academic integrity in exams during the corona pandemic, students' and lecturers' perceptions (2021) Journal of Academic Ethics, pp. 1-21. , PMID:33846681; Anders, B.A., Is using ChatGPT cheating, plagiarism, both, neither, or forward thinking? (2023) Patterns (New York, N.Y.), 4 (3), p. 100694. , PMID:36960444; Information Technology: Turnitin, , https://services.anu.edu.au/information-technology/software-systems/turnitin/turnitin-frequently-asked-questions-faqs-for-0#:~:text=Turnitin%20matches%20the%20text%20within,periodicals%2C%20journals%2C%20and%20publications; Azaria, A., (2022) ChatGPT Usage and Limitations, , https://hal.science/hal-03913837/, HAL Open Science; Bada, S.O., Olusegun, S., Constructivism learning theory: A paradigm for teaching and learning (2015) Journal of Research &amp; Method in Education, 5 (6), pp. 66-70; Barron, B., Achieving coordination in collaborative problem-solving groups (2000) Journal of the Learning Sciences, 9 (4), pp. 403-436; Berlinck, R.G., The academic plagiarism and its punishments-a review (2011) Revista Brasileira de Farmacognosia, 21 (3), pp. 365-372; Boud, D., Molloy, E., Rethinking models of feedback for learning: The challenge of design (2013) Assessment &amp; Evaluation in Higher Education, 38 (6), pp. 698-712; Bruner, J.S., The act of discovery (1961) Understanding Children, pp. 10-24; Burgason, K.A., Sefiha, O., Briggs, L., Cheating is in the eye of the beholder: An evolving understanding of academic misconduct (2019) Innovative Higher Education, 44 (3), pp. 203-218; (2022), https://chat.openai.com/; Compton, M., (2023) AI text generation: Should we get students back in exam halls?, , https://reflect.ucl.ac.uk/mcarena/2023/03/14/aiexams/, (March 14). University College London; Cotton, D.R.E., Cotton, P.A., Shipway, J.R., (2023) Chatting and Cheating: Ensuring academic integrity in the era of ChatGPT, pp. 1-11. , EdArXiv; Criddle, C., Staton, B., AI breakthrough ChatGPT raises alarm over student cheating (2022) The Financial Times, , (December 18); Dehouche, N., Plagiarism in the age of massive Generative Pre-trained Transformers (GPT-3) (2021) Ethics in Science and Environmental Politics, 21, pp. 17-23; Dewey, J., The quest for certainty: A study of the relation of knowledge and action (1930) The Journal of Philosophy, 27 (1), pp. 14-25; Dixson, D.D., Worrell, F.C., Formative and summative assessment in the classroom (2016) Theory into Practice, 55 (2), pp. 153-159; Academic Malpractice: A Guide for Students, , https://www.edgehill.ac.uk/wp-content/uploads/documents/Academic-malpractice-A-Guide-for-Students-V1.1-1.pdf; Enwistle, N., (1996) Recent research on student learning. In The Management of Independent Learning, , Kogan Page; Forsell, J., Forslund Frykedal, K., Hammar Chiriac, E., Group work assessment: Assessing social skills at group level (2020) Small Group Research, 51 (1), pp. 87-124; Gibbs, G., Simpson, C., Conditions under which assessment supports students' learning (2005) Learning and Teaching in HE, 1, pp. 3-31; (2022) Essay mills are now illegal - Skills Minister calls on internet service platforms to crack down on advertising, , https://educationhub.blog.gov.uk/2022/04/28/essay-mills-are-now-illegal-skills-minister-calls-on-internet-service-providers-to-crack-down-on-advertising/, (April 28); Henderson, M., Selwyn, N., Aston, R., What works and why? Student perceptions of 'useful' digital technology in university teaching and learning (2017) Studies in Higher Education, 42 (8), pp. 1567-1579; Heywood, J., (2000) Assessment in HE: Student learning, teaching, programmes and institutions, 56. , Jessica Kingsley Publishers; Hill, J., Walkington, H., France, D., Graduate attributes: Implications for HE practice and policy: Introduction (2016) Journal of Geography in HE, 40 (2), pp. 155-163; Hine, B., Northeast, T., Using feed-forward strategies in HE (2016) New Vistas, 2 (1); Hounsell, D., Essay writing and the quality of feedback (1987) Student learning: Research in education and cognitive psychology, , Academic Press; Hughes, C., Barrie, S., Influences on the assessment of graduate attributes in HE (2010) Assessment &amp; Evaluation in Higher Education, 35 (3), pp. 325-334; Hughes, G., Tait, A., (2021) Evaluating pre- and post-pandemic reforms in assessment practices in University of London Distance Education programmes, , https://www.london.ac.uk/sites/default/files/assessment-reforms-tra-report.pdf, A Centre for Distance Education Teaching and Research Award Report; Illingworth, S., (2023) ChatGPT: Students could use AI to cheat, but it's a chance to rethink assessment, , (January 19). The Conversation; (2023) Statement from the IB about ChatGPT and artificial intelligence in assessment and education, , (March 1). Author; (2018) Developing Digital Literacies, , https://www.jisc.ac.uk/guides/developing-digital-literacies; Johnson, D.W., Johnson, R.T., Smith, K., The state of cooperative learning in postsecondary and professional settings (2007) Educational Psychology Review, 19 (1), pp. 15-29; Kennedy, A., (2019) A Short History of Academic Plagiarism, , https://www.quetext.com/blog/short-history-academic-plagiarism, (September 1); Kernohan, D., (2019) A brief history of plagiarism and technology, , https://wonkhe.com/blogs/a-history-of-plagiarism-and-technology/, (March 20); Khalil, M., Er, E., (2023) Will ChatGPT get you caught? Rethinking of plagiarism detection, , PMID:28188198; Kibble, J.D., Best practices in summative assessment (2017) Advances in Physiology Education, 41 (1), pp. 110-119. , PMID:28188198; Knight, P.T., Summative assessment in HE: Practices in disarray (2002) Studies in HE, 27 (3), pp. 275-286. , https://www.tandfonline.com/doi/epdf/10.1080/03075070220000662?needAccess=true&amp;role=button; Lancaster, T., Culwin, F., Preserving academic integrity-Fighting against nonoriginality agencies (2007) British Journal of Educational Technology, 38 (1), pp. 153-157; Macfarlane, B., Zhang, J., Pun, A., Academic integrity: A review of the literature (2014) Studies in Higher Education, 39 (2), pp. 339-358; Magin, D., Reciprocity as a source of bias in multiple peer assessment of group work (2001) Studies in Higher Education, 26 (1), pp. 53-63; Plagiarism (2023) Merriam-Webster.com dictionary, , https://www.merriam-webster.com/dictionary/plagiarism, Retrieved March 4; Moss, S., (2005) A History of Plagiarism (not my own work), , https://www.theguardian.com/books/2005/nov/23/comment.stephenmoss, (November 23); Oliver, B., Jorre de St Jorre, T., Graduate attributes for 2020 and beyond: Recommendations for Australian HE providers (2018) HE Research &amp; Development, 37 (4), pp. 821-836; (2023) Introducing ChatGPT and Whisper APIs, , (March, 1). Academic Press; (2023) Terms of Use, , (March 1). Academic Press; Pedaste, M., Mäeots, M., Siiman, L.A., de Jong, T., van Riesen, S.A., Kamp, E.T., Manoli, C.C., Tsourlidaki, E., Phases of inquiry-based learning: Definitions and the inquiry cycle (2015) Educational Research Review, 14, pp. 47-61; Peritz, A., A.I. Is Making It Easier Than Ever for Students to Cheat (2022) SLATE, , https://slate.com/technology/2022/09/ai-students-writing-cheating-sudowrite.html, (September 6); Piaget, J., (1980) The psychogenesis of knowledge and its epistemological significance, , Academic Press; Pincus, H.S., Schmelkin, L.P., Faculty perceptions of academic dishonesty: A multidimensional scaling analysis (2003) The Journal of HE, 74 (2), pp. 196-209; Price, M., Handley, K., Millar, J., O'donovan, B., Feedback: All that effort, but what is the effect? (2010) Assessment &amp; Evaluation in Higher Education, 35 (3), pp. 277-289; Rawlusyk, P.E., Assessment in HE and student learning (2018) Journal of Instructional Pedagogies, p. 21; Richardson, J.T., Coursework versus examinations in end-of-module assessment: A literature review (2015) Assessment &amp; Evaluation in Higher Education, 40 (3), pp. 439-455; Richardson, M., Clesham, R., Rise of the machines? The evolving role of Artificial Intelligence (AI) technologies in high stakes assessment (2021) London Review of Education, 19 (1), pp. 1-13; Ruby, D., (2023) DemandSage: ChatGPT Statistics for2023 (New Data + GPT-4 Facts), , https://www.demandsage.com/chatgpt-statistics/#:~:text=18.,a%20short%20period%20of%20time, (March 18); Sadler, D.R., Formative assessment: Revisiting the territory (1998) Assessment in Education: Principles, Policy &amp; Practice, 5 (1), pp. 77-84; Saeed, N., Mohamedali, F., A study to evaluate students' performance, engagement, and progression in HE based on feedforward teaching approach (2022) Education Sciences, 12 (1), p. 56; Scager, K., Boonstra, J., Peeters, T., Vulperhorst, J., Wiegant, F., Collaborative learning in HE: Evoking positive interdependence (2016) CBE Life Sciences Education, 15 (4). , PMID:27909019; Shahriar, S., Hayawi, K., (2023) Let's have a chat! A Conversation with ChatGPT: Technology, Applications, and Limitations, , PMID:36700838; Shen, Y., Heacock, L., Elias, J., Hentel, K.D., Reig, B., Shih, G., Moy, L., ChatGPT and other large language models are double-edged swords (2023) Radiology, 307 (2), p. 230163. , PMID:36700838; Smith, C.D., Worsfold, K., Davies, L., Fisher, R., McPhail, R., Assessment literacy and student learning: The case for explicitly developing students 'assessment literacy' (2013) Assessment &amp; Evaluation in Higher Education, 38 (1), pp. 44-60; Thompson, S., Thompson, N., (2023) The critically reflective practitioner, , Bloomsbury Publishing; The Contract Cheating Risk Assessment Dashboard, , Author; Student Wellbeing: What is assistive technology?, , https://www.ulster.ac.uk/wellbeing/disability/accessability/what-is-assistive-technology#:~:text=Assistive%20Tech-nology%20is%20the%20term,assist%20you%20in%20your%20studies; (2023) Plagiarism and Academic Misconduct, , Author; (2023) Guidance for students on the use of Generative AI (such as ChatGPT), , Author; (2023) Learning and Teaching: Formative Versus Summative, , https://www.gre.ac.uk/learning-teaching/assessment/assessment/design/formative-vs-summative; (2023) Library Help: Teaching and learning. Can I use a chatbot or AI tool in my assignments?, , https://manchester-uk.libanswers.com/teaching-and-learning/faq/264824; (2023) Oxford Students, , Plagiarism; Vygotsky, L., Interaction between learning and development (1978) Readings on the Development of Children, 23 (3), pp. 34-41; ChatGPT user experience: Implications for education (2022) Available at, , SSRN 4312418; Zhuo, T.Y., Huang, Y., Chen, C., Xing, Z., (2023) Exploring ai ethics of chatgpt: A diagnostic analysis</t>
  </si>
  <si>
    <t>Marron, L., Edge Hill University, United Kingdom</t>
  </si>
  <si>
    <t>58340541500;</t>
  </si>
  <si>
    <t>Ivanov, S.; Varna University of ManagementBulgaria; email: stanislav.ivanov@vumk.eu</t>
  </si>
  <si>
    <t>Abou-Shouk, M., Soliman, M., The impact of gamification adoption intention on brand awareness and loyalty in tourism: the mediating effect of customer engagement (2021) Journal of Destination Marketing and Management, 20; Adamopoulou, E., Moussiades, L., An overview of chatbot technology (2020) Proceedings of the 16th IFIP WG 12.5 International Conference Artificial Intelligence Applications and Innovations: AIAI 2020, pp. 373-383. , Neos Marmaras: Part II 16, June 5-7, 2020, Springer International Publishing, Cham; Ajzen, I., The theory of planned behavior (1991) Organizational Behavior and Human Decision Processes, 50 (2), pp. 179-211; Ajzen, I., Perceived behavioral control, self‐efficacy, locus of control, and the theory of planned behavior (2002) Journal of Applied Social Psychology, 32 (4), pp. 665-683; Ajzen, I., Fishbein, M., (1980) Understanding Attitudes and Predicting Social Behavior, , Prentice-Hall, Englewood Cliffs, NJ; Ali, F., Let the devil speak for itself: should ChatGPT be allowed or banned in hospitality and tourism schools? (2023) Journal of Global Hospitality and Tourism, 2 (1), pp. 1-6; Anders, B.A., (2022) ChatGPT (AI) in education – an overview, , https://drive.google.com/file/d/1fTtmGz2Cp2nd65mNfQzPyo3beWXc9j9m/view, American University of Armenia: accessed, 10 February 2023; Anders, B.A., (2022) Why ChatGPT is such a big deal for education, , https://scalar.usc.edu/works/c2c-digital-magazine-fall-2022---winter-2023/why-chatgpt-is-bigdeal-education, accessed, 10 February 2023; Carlisle, S., Ivanov, S., Dijkmans, C., The digital skills divide: evidence from the European tourism industry (2021) Journal of Tourism Futures, , doi:, ahead-of-print ahead-of-print; Coeckelbergh, M., (2020) AI Ethics, , MIT Press, Cambridge, MA; Gao, C.A., Howard, F.M., Markov, N.S., Dyer, E.C., Ramesh, S., Luo, Y., Pearson, A.T., Comparing scientific abstracts generated by ChatGPT to original abstracts using an artificial intelligence output detector, plagiarism detector, and blinded human reviewers (2022) bioRxiv; Gilson, A., Safranek, C., Huang, T., Socrates, V., Chi, L., Taylor, R.A., Chartash, D., How well does ChatGPT do when taking the medical licensing exams? The implications of large language models for medical education and knowledge assessment (2023) JMIR Medical Education, 9; Haque, M.U., Dharmadasa, I., Sworna, Z.T., Rajapakse, R.N., Ahmad, H., I think this is the most disruptive technology: exploring sentiments of ChatGPT early adopters using Twitter data (2022) arXiv; Iskender, A., Holy or unholy? Interview with open AI's ChatGPT (2023) European Journal of Tourism Research, 34; Ivanov, S., (2016) Will robots substitute teachers?, 9, pp. 42-47. , Yearbook of Varna University of Management; Ivanov, S., Robonomics: the rise of the automated economy (2021) ROBONOMICS: The Journal of the Automated Economy, 1. , https://journal.robonomics.science/index.php/rj/article/view/11; Ivanov, S., Umbrello, S., The ethics of artificial intelligence and robotisation in tourism and hospitality – a conceptual framework and research agenda (2021) Journal of Smart Tourism, 1 (4), pp. 9-18; Murphy, J., Hofacker, C., Gretzel, U., Dawning of the age of robots in hospitality and tourism: challenges for teaching and research (2017) European Journal of Tourism Research, 15, pp. 104-111; Stokel-Walker, C., ChatGPT listed as author on research papers: many scientists disapprove (2023) Nature, 613, pp. 620-621. , https://www.nature.com/articles/d41586-023-00107-z; Topsakal, O., Topsakal, E., Framework for A Foreign language teaching software for children utilizing AR, voicebots and ChatGPT (large language models) (2022) The Journal of Cognitive Systems, 7 (2), pp. 33-38; Vanian, J., (2022) Why tech insiders are so excited about ChatGPT, a chatbot that answers questions and writes essays, , https://www.cnbc.com/2022/12/13/chatgpt-is-a-new-ai-chatbot-that-can-answer-questions-and-write-essays.html, CNBC: accessed, 10 February 2023; Venkatesh, V., Davis, F.D., A theoretical extension of the technology acceptance model: four longitudinal field studies (2000) Management Science, 46 (2), pp. 186-204; Venkatesh, V., Morris, M., Davis, G., Davis, F., User acceptance of information technology: toward a unified view (2003) MIS Quarterly, 27 (3), pp. 425-478; Writer, B., (2019) Lithium-Ion Batteries. A Machine-Generated Summary of Current Research, , https://link.springer.com/content/pdf/10.1007%2F978-3-030-16800-1.pdf, Springer, Cham</t>
  </si>
  <si>
    <t>Ivanov, S., Varna University of Management, Varna, Bulgaria, Zangador Research Institute, Varna, Bulgaria; Soliman, M., University of Technology and Applied Sciences, Salalah, Oman, Fayoum University, Fayoum, Egypt</t>
  </si>
  <si>
    <t>19337727400;56092403500;</t>
  </si>
  <si>
    <t>Ivanov S., Soliman M.</t>
  </si>
  <si>
    <t>Wu, Y.; Clinical and Translational Research Building, 2004 Mowry Road, PO Box 100177, United States; email: yonghui.wu@ufl.edu</t>
  </si>
  <si>
    <t>Xu, H., Stenner, S.P., Doan, S., MedEx: a medication information extraction system for clinical narratives (2010) J. Am. Med. Inform. Assoc., 17, pp. 19-24; Kinlay, M., Zheng, W.Y., Burke, R., Medication errors related to computerized provider order entry systems in hospitals and how they change over time: A narrative review (2021) Res Soc. Adm. Pharm., 17, pp. 1546-1552; Uzuner, Ö., Solti, I., Cadag, E., Extracting medication information from clinical text (2010) J. Am. Med. Inform. Assoc., 17, pp. 514-518; Uzuner, Ö., South, B.R., Shen, S., 2010 i2b2/VA challenge on concepts, assertions, and relations in clinical text (2011) J. Am. Med. Inform. Assoc., 18, pp. 552-556; Sun, W., Rumshisky, A., Uzuner, O., Evaluating temporal relations in clinical text: 2012 i2b2 Challenge (2013) J. Am. Med. Inform. Assoc., 20, pp. 806-813; Yang, X., Bian, J., Gong, Y., MADEx: A System for Detecting Medications, Adverse Drug Events, and Their Relations from Clinical Notes (2019) Drug Saf., 42, pp. 123-133; Henry, S., Buchan, K., Filannino, M., 2018 n2c2 shared task on adverse drug events and medication extraction in electronic health records (2020) J. Am. Med. Inform. Assoc., 27, pp. 3-12; Tang, B., Wu, Y., Jiang, M., A hybrid system for temporal information extraction from clinical text (2013) J. Am. Med. Inform. Assoc., 20, pp. 828-835; Yang, X., Bian, J., Fang, R., Identifying relations of medications with adverse drug events using recurrent convolutional neural networks and gradient boosting (2019) J. Am. Med. Inform. Assoc., 27, pp. 65-72; Jiang, M., Wu, Y., Shah, A., Extracting and standardizing medication information in clinical text – the MedEx-UIMA system (2014) AMIA Jt Summits Transl. Sci. Proc., 2014, pp. 37-42; Lafferty, J.D., McCallum, A., Pereira, F.C.N., Conditional Random Fields: Probabilistic Models for Segmenting and Labeling Sequence Data. In: Proceedings of the Eighteenth International Conference on Machine Learning. San Francisco, CA, USA:: Morgan Kaufmann Publishers Inc. 2001. 282–9; de Bruijn, B., Cherry, C., Kiritchenko, S., Machine-learned solutions for three stages of clinical information extraction: the state of the art at i2b2 2010 (2011) J. Am. Med. Inform. Assoc., 18, pp. 557-562; Hahn, U., Oleynik, M., Medical Information Extraction in the Age of Deep Learning (2020) Yearb Med. Inform., 29, pp. 208-220; Wu, Y., Jiang, M., Lei, J., Named Entity Recognition in Chinese Clinical Text Using Deep Neural Network (2015) Stud. Health Technol. Inform., 216, pp. 624-628; Wei, Q., Ji, Z., Li, Z., A study of deep learning approaches for medication and adverse drug event extraction from clinical text (2019) J. Am. Med. Inform. Assoc., 27, pp. 13-21; Jagannatha, A.N., Yu, H., Bidirectional RNN for Medical Event Detection in Electronic Health Records (2016) Proc. Conf., 2016, pp. 473-482; Vaswani, A., Shazeer, N., Parmar, N., (2017) Attention Is All You Need.; Devlin, J., Chang, M.-W., Lee, K., BERT: Pre-training of Deep Bidirectional Transformers for Language Understanding. 2019. doi:10.48550/arXiv.1810.04805; Liu, Y., Ott, M., Goyal, N., RoBERTa: A Robustly Optimized BERT Pretraining Approach. 2019. doi:10.48550/arXiv.1907.11692; Yang, X., Bian, J., Hogan, W.R., Clinical concept extraction using transformers (2020) J. Am. Med. Inform. Assoc., 27, pp. 1935-1942; Yang, X., Chen, A., PourNejatian, N., A large language model for electronic health records (2022) npj Digit Med, 5, pp. 1-9; https://catalog.ngc.nvidia.com/orgs/nvidia/teams/clara/models/gatortron_s, GatorTron-S | NVIDIA NGC. NVIDIA NGC Catalog. (accessed 6 Jan 2023); https://dl.acm.org/doi/10.1007/s11023-020-09548-1, GPT-3: Its Nature, Scope, Limits, and Consequences | Minds and Machines. (accessed 6 Jan 2023); https://www.nvidia.com/en-us/on-demand/session/gtcspring22-s41638/, SynGatorTron: A Large Clinical Natural Language Generation Model for Synthetic Data Generation and Zero-shot Tasks | NVIDIA On-Demand. NVIDIA. (accessed 10 Mar 2023); Mahajan, D., Liang, J.J., Tsou, C.-H., Toward Understanding Clinical Context of Medication Change Events in Clinical Narratives (2022) AMIA Annu. Symp. Proc., 2021, pp. 833-842; Lee, J., Yoon, W., Kim, S., BioBERT: a pre-trained biomedical language representation model for biomedical text mining (2020) Bioinformatics, 36, pp. 1234-1240; Alsentzer, E., Murphy, J., Boag, W., Publicly Available Clinical BERT Embeddings. In: Proceedings of the 2nd Clinical Natural Language Processing Workshop. Minneapolis, Minnesota, USA:: Association for Computational Linguistics 2019. 72–8. doi:10.18653/v1/W19-1909; Lan, Z., Chen, M., Goodman, S., ALBERT: A Lite BERT for Self-supervised Learning of Language Representations. 2020. doi:10.48550/arXiv.1909.11942; https://huggingface.co/docs/transformers/model_doc/albert, ALBERT. (accessed 6 Jan 2023); https://huggingface.co/docs/transformers/model_doc/roberta, RoBERTa. (accessed 6 Jan 2023)</t>
  </si>
  <si>
    <t>This study was partially supported by grants from the Patient-Centered Outcomes Research Institute® (PCORI®) (ME-2018C3-14754), the National Institute on Aging (1R56AG069880, R21AG068717), the National Cancer Institute (1R01CA246418, 3R01CA246418-02S1, 1R21CA245858-01A1, R21CA245858-01A1S1, R21CA253394-01A1, R21CA253394-01A1), National Institute on Drug Abuse (1R01DA050676), National Institute of Mental Health (1R01MH121907), and Centers for Disease Control and Prevention (1U18DP006512).</t>
  </si>
  <si>
    <t>We would like to thank the n2c2 organizers to provide the annotated corpus and the guidance for this challenge. We gratefully acknowledge the support of NVIDIA Corporation with the donation of the GPUs used for this research.</t>
  </si>
  <si>
    <t>National Institute of Mental Health, NIMH: 1R01MH121907; National Institute on Drug Abuse, NIDA: 1R01DA050676; Centers for Disease Control and Prevention, CDC: 1U18DP006512; National Institute on Aging, NIA: 1R56AG069880, R21AG068717; National Cancer Institute, NCI: 1R01CA246418, 1R21CA245858-01A1, R21CA253394-01A1; Patient-Centered Outcomes Research Institute, PCORI: ME-2018C3-14754; Nvidia</t>
  </si>
  <si>
    <t>Character recognition; Classification (of information); Computational linguistics; Deep learning; Information retrieval; Information use; Text processing; Clinical natural language processing; Context classification; Deep learning; Events classification; Language processing; Medication information extraction; Named entity recognition; Natural languages; Text classification; Transformer modeling; Natural language processing systems; Article; convolutional neural network; deep learning; deep neural network; entropy; human; machine learning; mathematical model; medical information; natural language processing; recurrent neural network; information retrieval; Deep Learning; Information Storage and Retrieval; Natural Language Processing</t>
  </si>
  <si>
    <t>Chen, A., Department of Health Outcomes and Biomedical Informatics, College of Medicine, University of Florida, Gainesville, FL, United States, Cancer Informatics Shared Resource, University of Florida Health Cancer Center, Gainesville, FL, United States; Yu, Z., Department of Health Outcomes and Biomedical Informatics, College of Medicine, University of Florida, Gainesville, FL, United States; Yang, X., Department of Health Outcomes and Biomedical Informatics, College of Medicine, University of Florida, Gainesville, FL, United States; Guo, Y., Department of Health Outcomes and Biomedical Informatics, College of Medicine, University of Florida, Gainesville, FL, United States, Cancer Informatics Shared Resource, University of Florida Health Cancer Center, Gainesville, FL, United States; Bian, J., Department of Health Outcomes and Biomedical Informatics, College of Medicine, University of Florida, Gainesville, FL, United States, Cancer Informatics Shared Resource, University of Florida Health Cancer Center, Gainesville, FL, United States; Wu, Y., Department of Health Outcomes and Biomedical Informatics, College of Medicine, University of Florida, Gainesville, FL, United States, Cancer Informatics Shared Resource, University of Florida Health Cancer Center, Gainesville, FL, United States</t>
  </si>
  <si>
    <t>58036480100;57226392302;57203172777;57216597174;7103200005;55645924700;</t>
  </si>
  <si>
    <t>Chen A., Yu Z., Yang X., Guo Y., Bian J., Wu Y.</t>
  </si>
  <si>
    <t>2-s2.0-85162836523</t>
  </si>
  <si>
    <t>IEEE Rob Autom Mag</t>
  </si>
  <si>
    <t>IRAME</t>
  </si>
  <si>
    <t>Guo, Y.; Stevens Institute of TechnologyUnited States; email: yguo1@stevens.edu</t>
  </si>
  <si>
    <t>(2023) Where are all the robots?, pp. 51-53. , https://www.economist.com/business/2023/03/06/dont-fear-an-ai-induced-jobs-apocalypse-just-yet, Mar. 11th-17th; Hutchinson, S., Robotics and automation [President's Message] (2021) IEEE Robot. Autom. Mag., 28 (2), pp. 6-8. , Jun</t>
  </si>
  <si>
    <t>Chatbots; Industrial sector; Intelligent machine; Internet-services; Language model; Text database</t>
  </si>
  <si>
    <t>ChatGPT is everywhere. From the weekend party table to the weekday university seminars, people have been talking about ChatGPT. Since its public launch at the end of last November, it reached 100 million users in January and has become the fastest-growing Internet service ever. GPT is short for generative pretrained transformer, and the chatbot is the large language model pretrained with text databases from the Internet and human feedback. The hype around ChatGPT may be well justified, as the tech innovation could transform some fields, such as how humans interact with machines. Will it be long before truly intelligent machines are developed to transform industrial sectors such as manufacturing? © 1994-2011 IEEE.</t>
  </si>
  <si>
    <t>Guo, Y., Stevens Institute of Technology, United States</t>
  </si>
  <si>
    <t>Stevens Institute of Technology, United States</t>
  </si>
  <si>
    <t>https://www.scopus.com/inward/record.uri?eid=2-s2.0-85162836523&amp;doi=10.1109%2fMRA.2023.3266616&amp;partnerID=40&amp;md5=56161d58d78fbee49583229896039334</t>
  </si>
  <si>
    <t>10.1109/MRA.2023.3266616</t>
  </si>
  <si>
    <t>IEEE Robotics and Automation Magazine</t>
  </si>
  <si>
    <t>AI-Fused Automation [From the Editor's Desk]</t>
  </si>
  <si>
    <t>35205046400;</t>
  </si>
  <si>
    <t>Guo Y.</t>
  </si>
  <si>
    <t>Bhayana, R.; The University Medical Imaging Toronto, 200 Elizabeth St, Peter Mulk Building, 1st Fl, Canada; email: rajesh.bhayana@uhn.ca</t>
  </si>
  <si>
    <t>Introducing ChatGPT. OpenAI, , https://openai.com/blog/chatgpt/, Published November 30, 2022. Accessed February 25, 2023; Sallam, M., The Utility of ChatGPT as an Example of Large Language Models in Healthcare Education, Research and Practice: Systematic Review on the Future Perspectives and Potential Limitations, , https://www.medrxiv.org/content/10.1101/2023.02.19.23286155, medRxiv 2023.02.19.23286155 [preprint] Posted February 21, 2023. Accessed March 4, 2023; The Doctor’s Digital Path to Treatment. Think with Google, , https://www.thinkwithgoogle.com/marketing-strategies/search/the-doctors-digital-path-to-treatment/, Published July 2012. Accessed March 3, 2023; Patel, SB, Lam, K., ChatGPT: the future of discharge summaries? (2023) Lancet Digit Health, 5 (3), pp. e107-e108; Hosny, A, Parmar, C, Quackenbush, J, Schwartz, LH, Aerts, HJWL., Artificial intelligence in radiology (2018) Nat Rev Cancer, 18 (8), pp. 500-510; Shen, Y, Heacock, L, Elias, J, ChatGPT and Other Large Language Models Are Double-edged Swords (2023) Radiology, 307 (2), p. e230163; Radiological Society of North America, , https://pubs.rsna.org/do/10.1148/radiol.2212023.podcast/full/, Published February 21, 2023. Accessed February 23, 2023; Wang, S, Zhao, Z, Ouyang, X, Wang, Q, Shen, D., ChatCAD: Interactive Computer-Aided Diagnosis on Medical Image using Large Language Models, , https://arxiv.org/abs/2302.07257, arXiv preprint arXiv:2302.07257. Posted February 14, 2023. Accessed March 4, 2023; Jeblick, K, Schachtner, B, Dexl, J, ChatGPT Makes Medicine Easy to Swallow: An Exploratory Case Study on Simplified Radiology Reports, , https://arxiv.org/abs/2212.14882, arXiv 2212.14882 [preprint] Posted December 30, 2022. Accessed March 4, 2023; Rao, A, Kim, J, Kamineni, M, Pang, M, Lie, W, Succi, MD., Evaluating ChatGPT as an Adjunct for Radiologic Decision-Making, , https://www.medrxiv.org/content/10.1101/2023.02.02.23285399, medRxiv 2023.02.02.23285399 [preprint] Posted February 7, 2023. Accessed March 4, 2023; Choi, JH, Hickman, KE, Monahan, A, Schwarcz, D., ChatGPT Goes to Law School Minnesota Legal Studies Research Paper No. 23-03, , https://ssrn.com/abstract=4335905, Published January 25, 2023. Accessed March 5, 2023; Needleman, E., Would Chat GPT Get a Wharton MBA? New White Paper By Christian Terwiesch, , https://mackinstitute.wharton.upenn.edu/2023/would-chat-gpt3-get-awharton-mba-new-white-paper-by-christian-terwiesch/, Mack Institute for Innovation Management. Published January 17, 2023. Accessed March 5, 2023; Kung, TH, Cheatham, M, Medenilla, A, Performance of ChatGPT on USMLE: Potential for AI-assisted medical education using large language models (2023) PLOS Digit Health, 2 (2), p. e0000198; Gilson, A, Safranek, CW, Huang, T, How Does ChatGPT Perform on the United States Medical Licensing Examination? The Implications of Large Language Models for Medical Education and Knowledge Assessment (2023) JMIR Med Educ, 9, p. e45312; Format of the Examination in Diagnostic Radiology - 2023, , https://www.royalcollege.ca/rcsite/documents/ibd/diagnostic_radiology_examformat_e, Royal College of Physicians and Surgeons of Canada. Accessed March 3, 2023; (2017) The American Board of Radiology, , https://www.theabr.org/diagnostic-radiology/initial-certification/certifying-exam, Published Accessed March 3, 2023; (2017) Qualifying (Core) Exam. The American Board of Radiology, , https://www.theabr.org/diagnostic-radiology/initial-certification/core-exam, Published Accessed March 3, 2023; DiSantis, DJ., Writing good multiple-choice questions: a brief guide for radiologists (2013) RadioGraphics, 33 (7), pp. 1865-1866; Anderson, LW, Krathwohl, DR., (2001) A Taxonomy for Learning, Teaching, and Assessing: A Revision of Bloom’s Taxonomy of Educational Objectives, , Pearson; Sawin, EI., Taxonomy of Educational Objectives: The Classification of Educational Goals. Handbook 1. Committee of College and University Examiners, Benjamin S. Bloom (1957) Elem Sch J, 57 (6), pp. 343-344; Brown, TB, Mann, B, Ryder, N, Language Models are Few-Shot Learners, , https://arxiv.org/abs/2005.14165, arXiv 2005.14165 [preprint] Posted May 28, 2020. Accessed March 4, 2023; Şenel, S, Pehlivan, EB, Alatlı, B., Effect of Correction-for-Guessing Formula on Psychometric Characteristics of Test (2015) Procedia Soc Behav Sci, 191, pp. 925-929; R: The R Project for Statistical Computing, , https://www.R-project.org/, Accessed April 24, 2020; Liévin, V, Hother, CE, Winther, O., Can large language models reason about medical questions?, , https://arxiv.org/abs/2207.08143, arXiv 2207.08143 [preprint] Posted July 17, 2022. Accessed March 5, 2023; Jin, D, Pan, E, Oufattole, N, Weng, WH, Fang, H, Szolovits, P., What Disease does this Patient Have? A Large-scale Open Domain Question Answering Dataset from Medical Exams, , https://arxiv.org/abs/2009.13081, arXiv 2009.13081 [preprint] https://arxiv.org/abs/2009.13081. Posted September 28, 2020. Accessed March 5, 2023; Shelmerdine, SC, Martin, H, Shirodkar, K, Shamshuddin, S, Weir-McCall, JR, Can artificial intelligence pass the Fellowship of the Royal College of Radiologists examination? Multi-reader diagnostic accuracy study (2022) BMJ, 379, p. e072826. , FRCR-AI Study Collaborators; Rohrbach, A, Hendricks, LA, Burns, K, Darrell, T, Saenko, K., Object Hallucination in Image Captioning Proceedings of the 2018 Conference on Empirical Methods in Natural Language Processing, , https://arxiv.org/abs/1809.02156, Riloff E, Chiang D, Hockenmaier J, Tsujii J, eds. Brussels, Belgium: Association for Computational Linguistics. arXiv 1809.02156 [preprint] Published September 6, 2018. Accessed March 4, 2023; Xiao, Y, Wang, WY., On Hallucination and Predictive Uncertainty in Conditional Language Generation Proceedings of the 16th Conference of the European Chapter of the Association for Computational Linguistics: Main Volume, , https://arxiv.org/abs/2103.15025, Merlo P, Tiedemann J, Tsarfaty R, eds. Association for Computational Linguistics. arXiv 2103.15025 [preprint] Posted March 28, 2021. Accessed March 4, 2023; Measuring consumer-perceived humanness of online organizational agents (2022) Comput Human Behav, 128, p. 107092; Alkaissi, H, McFarlane, SI., Artificial Hallucinations in ChatGPT: Implications in Scientific Writing (2023) Cureus, 15 (2), p. e35179</t>
  </si>
  <si>
    <t>Article; calculation; Canada; ChatGPT; computer assisted tomography; controlled study; exploratory research; human; Internet; intervention study; prospective study; psychometry; radiodiagnosis; radiology board style examination; scoring system; thyroid nodule; artificial intelligence; radiography; radiology; Artificial Intelligence; Canada; Humans; Prospective Studies; Radiography; Radiology</t>
  </si>
  <si>
    <t>Bhayana, R., The University Medical Imaging Toronto, Joint Department of Medical Imaging, University Health Network, Mount Sinai Hospital, Women’s College Hospital, University of Toronto, Toronto General Hospital, 200 Elizabeth St, Peter Mulk Building, 1st Fl, Toronto, ON  M5G 24C, Canada; Krishna, S., The University Medical Imaging Toronto, Joint Department of Medical Imaging, University Health Network, Mount Sinai Hospital, Women’s College Hospital, University of Toronto, Toronto General Hospital, 200 Elizabeth St, Peter Mulk Building, 1st Fl, Toronto, ON  M5G 24C, Canada; Bleakney, R.R., The University Medical Imaging Toronto, Joint Department of Medical Imaging, University Health Network, Mount Sinai Hospital, Women’s College Hospital, University of Toronto, Toronto General Hospital, 200 Elizabeth St, Peter Mulk Building, 1st Fl, Toronto, ON  M5G 24C, Canada</t>
  </si>
  <si>
    <t>The University Medical Imaging Toronto, Joint Department of Medical Imaging, University Health Network, Mount Sinai Hospital, Women’s College Hospital, University of Toronto, Toronto General Hospital, 200 Elizabeth St, Peter Mulk Building, 1st Fl, Toronto, ON  M5G 24C, Canada</t>
  </si>
  <si>
    <t>6506872404;57200833091;6603253365;</t>
  </si>
  <si>
    <t>Bhayana R., Krishna S., Bleakney R.R.</t>
  </si>
  <si>
    <t>Tavakoli, N.; School of Computational Science and Engineering, United States; email: abedayat@mednet.ucla.edu</t>
  </si>
  <si>
    <t>Brown, T, Mann, B, Ryder, N, Language Models are Few-Shot Learners (2020) Adv Neural Inf Process Syst, 33, pp. 1877-1901; Vaswani, A, Shazeer, N, Parmar, N, Attention is All You Need (2017) Adv Neural Inf Process Syst, 30; Google Bard, , https://bard.google.com; ChatGPT-3.5. OpenAI, , https://openai.com/blog/chatgpt; Ouyang, L, Wu, J, Jiang, X, Training language models to follow instructions with human feedback (2022) Adv Neural Inf Process Syst, 35, pp. 27730-27744; Thoppilan, R, De Freitas, D, Hall, J, LaMDA: Language models for dialog applications, , https://arxiv.org/abs/2201.08239, arXiv preprint arXiv:2201.08239. Posted January 20, 2022. Accessed April 9, 2023; Wang, Y, Luo, Z, Jodoin, P-M., Interactive deep learning method for segmenting moving objects (2017) Pattern Recognit Lett, 96, pp. 66-75; Haver, HL, Ambinder, EB, Bahl, M, Oluyemi, ET, Jeudy, J, Yi, PH., Appropriateness of Breast Cancer Prevention and Screening Recommendations Provided by ChatGPT (2023) Radiology, 307 (4), p. e230424; Sarraju, A, Bruemmer, D, Van Iterson, E, Cho, L, Rodriguez, F, Laffin, L., Appropriateness of Cardiovascular Disease Prevention Recommendations Obtained From a Popular Online Chat-Based Artificial Intelligence Model (2023) JAMA, 329 (10), pp. 842-844; MacMahon, H, Naidich, DP, Goo, JM, Guidelines for Management of Incidental Pulmonary Nodules Detected on CT Images: From the Fleischner Society 2017 (2017) Radiology, 284 (1), pp. 228-243; Lung-RADS® v2022, , https://www.acr.org/-/media/ACR/Files/RADS/Lung-RADS/Lung-RADS-2022.pdf, Published November 2022. Accessed April 9, 2023; Rohrbach, A, Hendricks, LA, Burns, K, Darrell, T, Saenko, K., (2018) Object Hallucination in Image Captioning, , https://arxiv.org/abs/1809.02156, arXiv preprint arXiv:1809.02156. Posted September 6, Accessed April 9, 2023; Xiao, Y, Wang, WY., On Hallucination and Predictive Uncertainty in Conditional Language Generation, , https://arxiv.org/abs/2103.15025, arXiv preprint arXiv:2103.15025. Posted March 28, 2021. Accessed April 9, 2023; Lu, D, Fall, K, Sparén, P, Suicide and suicide attempt after a cancer diagnosis among young individuals (2013) Ann Oncol, 24 (12), pp. 3112-3117; Korngiebel, DM, Mooney, SD., Considering the possibilities and pitfalls of Generative Pre-trained Transformer 3 (GPT-3) in healthcare delivery (2021) NPJ Digit Med, 4 (1), p. 93; Shen, Y, Heacock, L, Elias, J, ChatGPT and Other Large Language Models Are Double-edged Swords (2023) Radiology, 307 (2), p. e230163; Ayers, JW, Poliak, A, Dredze, M, Comparing Physician and Artificial Intelligence Chatbot Responses to Patient Questions Posted to a Public Social Media Forum (2023) JAMA Intern Med, 183 (6), pp. 589-596</t>
  </si>
  <si>
    <t>ChatGPT; Google Bard</t>
  </si>
  <si>
    <t>ablation therapy; Article; artificial intelligence; cancer prevention; cancer risk; cancer screening; clinical feature; computer assisted tomography; controlled study; data accuracy; data consistency; diagnostic test; exposure; family history; genetic screening; health care cost; hospitalization; lung biopsy; lung cancer; lung emphysema; lung fibrosis; lung imaging reporting and data system; lung lesion; lung nodule; medical terminology; nuclear magnetic resonance imaging; odds ratio; positron emission tomography; pulmonologist; radiation; radiologist; radiology; risk factor; search engine; thoracic surgeon; thorax radiography; work environment; artificial intelligence; diagnostic imaging; human; language; lung tumor; x-ray computed tomography; Artificial Intelligence; Humans; Language; Lung Neoplasms; Search Engine; Tomography, X-Ray Computed</t>
  </si>
  <si>
    <t>Rahsepar, A.A., The Department of Radiological Sciences, Division of Cardiothoracic Imaging, David Geffen School of Medicine at UCLA, 10945 Le Conte Ave, Suite 3371, Los Angeles, CA  90095, United States; Tavakoli, N., School of Computational Science and Engineering, Georgia Institute of Technology, Atlanta, Ga, United States; Kim, G.H.J., Center for Computer Vision and Imaging Biomarkers, Department of Radiological Sciences, David Geffen School of Medicine, UCLA, 10945 Le Conte Ave, Suite 3371, Los Angeles, CA  90095, United States, Department of Biostatistics, Fielding School of Public Health at UCLA, Los Angeles, CA, United States; Hassani, C., The Department of Radiological Sciences, Division of Cardiothoracic Imaging, David Geffen School of Medicine at UCLA, 10945 Le Conte Ave, Suite 3371, Los Angeles, CA  90095, United States; Abtin, F., The Department of Radiological Sciences, Division of Cardiothoracic Imaging, David Geffen School of Medicine at UCLA, 10945 Le Conte Ave, Suite 3371, Los Angeles, CA  90095, United States; Bedayat, A., The Department of Radiological Sciences, Division of Cardiothoracic Imaging, David Geffen School of Medicine at UCLA, 10945 Le Conte Ave, Suite 3371, Los Angeles, CA  90095, United States</t>
  </si>
  <si>
    <t>The Department of Radiological Sciences, Division of Cardiothoracic Imaging, David Geffen School of Medicine at UCLA, 10945 Le Conte Ave, Suite 3371, Los Angeles, CA  90095, United States; Center for Computer Vision and Imaging Biomarkers, Department of Radiological Sciences, David Geffen School of Medicine, UCLA, 10945 Le Conte Ave, Suite 3371, Los Angeles, CA  90095, United States; School of Computational Science and Engineering, Georgia Institute of Technology, Atlanta, Ga, United States; Department of Biostatistics, Fielding School of Public Health at UCLA, Los Angeles, CA, United States</t>
  </si>
  <si>
    <t>34067787700;57198291892;36699715600;6506835356;16038770900;23003275500;</t>
  </si>
  <si>
    <t>Rahsepar A.A., Tavakoli N., Kim G.H.J., Hassani C., Abtin F., Bedayat A.</t>
  </si>
  <si>
    <t>Poetry, Prose, and the Machine (1962) Freeing the Mind: Articles and Letters from “The Times Literary Supplement,” during March-June 1962, pp. 45-49. , London: Times Publishing; Bachleitner, Norbert, The Virtual Muse: Forms and Theory of Poetry (2005) Theory into Poetry: New Approaches to the Lyric, pp. 303-344. , edited by Eva Müller-Zettelmann and Margarete Rubik, Amsterdam: Rodopi Press; Bailey, Richard W., Computer-Assisted Poetry: The Writing Machine Is for Everybody (1974) Computers in the Humanities, pp. 283-295. , edited by J. L. Mitchell, Edinburgh: Edinburgh Univ. Press; Balestrini, Nanni, Tape Mark I.” Translated by Edwin Morgan (1962) Cybernetic Serendipity: The Computer and the Arts, pp. 55-56. , 1968 edited by Jasia Reichardt, London: Studio International; Bar-Hillel, Yehoshua, Can Translation Be Mechanized? (1954) American Scientist, 42 (2), pp. 248-260; Booth, A. Donald, Locke, William, Historical Introduction (1955) Machine Translation of Languages, pp. 1-14. , edited by William Locke and A. Donald Booth, Cambridge, MA: MIT Press; Buchloh, Benjamin H. D., The Book of the Future: Alison Knowles’s The House of Dust (2012) Higgins and Kahn, 2012, pp. 200-208; Calvino, Italo, Cybernetics and Ghosts (1986) The Uses of Literature, pp. 3-27. , (1967). Translated by Patrick Creagh. San Diego, CA: Harcourt; Davidson, Michael, Incarnations of Spicer: Heads of the Town up to the Aether (1977) boundary, 2 6 (1), pp. 103-134; Dent, Steve, Microsoft Licenses the Breakthrough Natural Language AI GPT-3 (2020) Engadget, , https://www.engadget.com/microsoft-gpt-3-exclusive-license-ai-language-model-094525975.html, September 23; Sun, Desert, (1963) Computers Bode Ill for Talent, 37 (110); (2020) Bit-Lit, pp. 67-68. , August 8; Edwards, Paul N., (1996) The Closed World: Computers and the Politics of Discourse in Cold War America, , Cambridge, MA: MIT Press; Floridi, Luciano, Chiriatti, Massimo, GPT-3: Its Nature, Scope, Limits, and Consequences (2020) Minds and Machines, 30 (4), pp. 681-694; Funkhouser, Christopher T., (2007) Prehistoric Digital Poetry: An Archaeology of Forms, 1959–1995, , Tuscaloosa: Univ. of Alabama Press; Funkhouser, Christopher T., First-Generation Poetry Generators: Establishing Foundations in Form (2012) Higgins and Kahn, 2012, pp. 243-265; Funkhouser, Christopher T., Digital Poetry: A Look at Generative, Visual, and Interconnected Possibilities in Its First Four Decades (2013) A Companion to Digital Literary Studies, pp. 318-335. , edited by Ray Siemens and Susan Schreibman, Oxford: Wiley-Blackwell; Garvin, Paul L., Computer Participation in Linguistic Research (1962) Language, 38 (4), pp. 385-389; A Robot Wrote This Entire Article. Are You Scared Yet, Human? (2020) Guardian, , September 9; Hao, Karen, A College Kid’s Fake, AI-Generated Blog Fooled Tens of Thousands. This Is How He Made It (2020) MIT Technology Review, , https://www.technologyreview.com/2020/08/14/1006780/ai-gpt-3-fake-blog-reached-top-of-hacker-news/, August 14; Hartman, Charles O., (1996) Virtual Muse: Experiments in Computer Poetry, , Hanover, CT: Wesleyan Univ. Press; Higgins, Hannah B., An Introduction to Alison Knowles’s ‘The House of Dust (2012) Higgins and Kahn, 2012, pp. 195-259; Higgins, Hannah B., Kahn, Douglas, (2012) Mainframe Experimental-ism: Early Computing and the Foundation of the Digital Arts, , eds. Berkeley: Univ. of California Press; Hlibchuk, Geoffrey, The Secret Charm of Numbers: The Clandestine Relationship between Shortwave Number Stations and Twentieth-Century Poetry (2007) English Studies in Canada, 33 (4), pp. 181-194; Jacquin, Maud, Pluot, Sébastien, Poetry in Translation (2016) The House of Dust” by Alison Knowles: Art by Translation, , translated by Tyler Harper, edited by Maud Jacquin and Sébastien Pluot, n.p. New York: James Gallery; Kahn, Douglas, James Tenney at Bell Labs (2012) Higgins and Kahn, 2012, pp. 131-146; Keenan, Matthew, (2012) Jack Spicer: The Poet as Crystal Radio Set, , New York: Atropos Press; Kenner, Hugh, Art in a Closed Field (1964) Learners and Discerners: A Newer Criticism, pp. 109-133. , edited by Robert Scholes, Charlottesville: Univ. Press of Virginia; Klütsch, Christoph, Information Aesthetics and the Stuttgart School (2012) Higgins and Kahn, 2012, pp. 65-87; Lutz, Theo, Stochastische Texte” (“Stochastic Texts”) (1959) Augenblick, 4 (1), pp. 3-9; Lutz, Theo, Über ein Programm zur Erzeugung stochastisch-logistischer Texte” (“On a Program for Generating Stochastic-Logistic Texts”) (1960) Grundlagenstudien aus Kybernetik und Geisteswissenschaft (Basic Studies in Cybernetics and the Humanities), 1 (1), pp. 11-16; Manjoo, Farhad, How Do You Know a Human Wrote This? (2020) New York Times, , July 30; Masterman, Margaret, The Use of Computers to Make Semantic Toy Models of Language (1964) Times Literary Supplement, 3258, pp. 690-691. , (August 6); Masterman, Margaret, Computerized Haiku (1968) Cybernetic Serendipity: The Computer and the Arts, pp. 175-183. , edited by Jasia Reichardt, London: Studio 9 International; Masterman, Margaret, McKinnon-Wood, Robin, The Poet and the Computer (1970) Times Literary Supplement, pp. 667-668. , June 18; McHale, Brian, Poetry as Prosthesis (2000) Poetics Today, 21 (1), pp. 1-32; Metz, Cade, (2020) New York Times, , https://www.nytimes.com/2020/11/24/science/artificial-intelligence-ai-gpt3.html, Meet GPT-3, It Has Learned to Code (and Blog and Argue). November 24; Nemerov, Howard, Speculative Equations: Poems, Poets, Computers (1967) American Scholar, 36 (3), pp. 394-414; Queneau, Raymond, (1961) Cent mille milliards de poèmes (One Hundred Thousand Billion Poems), , Paris: Gallimard; Rasula, Jed, Spicer’s Orpheus and the Emancipation of Pronouns (1977) boundary, 2 6 (1), pp. 51-102; Electronic Poetry (1963) Electronic Age, 22 (3), pp. 30-31; Shirley, Robin, Poet and Program (1972) Bulletin of the Computer Arts Society, 25, p. 25; Slater, Avery, Cryptomonolingualism: Machine Translation and the Poetics of Automation (2018) Amodern, 8. , https://amodern.net/article/crypto-monolingualism/; Strachey, Christopher, The ‘Thinking’ Machine (1954) Encounter, 3 (4), pp. 25-31; Spicer, Jack, (1998) The House That Jack Built: The Collected Lectures of Jack Spicer, , edited by Peter Gizzi. Middletown, CT: Wesleyan Univ. Press; Spicer, Jack, (2008) My Vocabulary Did This to Me: The Collected Poetry of Jack Spicer, , Edited by Peter Gizzi and Kevin Killian. Middletown, CT: Wesleyan Univ. Press; Wardrip-Fruin, Noah, Digital Media Archaeology: Interpreting Computational Processes (2011) Media Archaeology: Approaches, Applications, and Implications, pp. 302-322. , edited by Erkki Huhtamo and Jussi Parikka, Berkeley: Univ. of California Press; Worthy, R. M., A New American Poet Speaks: The Works of A[uto] B[eatnik] (1962) Horizon, 4 (3), pp. 96-99; Yngve, Victor, COMIT as an IR Language (1962) Communications of the ACM, 5 (1), pp. 19-28</t>
  </si>
  <si>
    <t>Slater, A.</t>
  </si>
  <si>
    <t>56081833900;</t>
  </si>
  <si>
    <t>7 February 2023 through 14 February 2023</t>
  </si>
  <si>
    <t>37th AAAI Conference on Artificial Intelligence, AAAI 2023</t>
  </si>
  <si>
    <t>Association for the Advancement of Artificial Intelligence</t>
  </si>
  <si>
    <t>Williams B.Chen Y.Neville J.</t>
  </si>
  <si>
    <t>Abid, A., Farooqi, M., Zou, J., (2021) Persistent Anti-Muslim Bias in Large Language Models, , eprint: 2101.05783; Barocas, S., Crawford, K., Shapiro, A., Wallach, H., The Problem With Bias: Allocative Versus Representational Harms in Machine Learning (2017) Proceedings of SIGCIS 2017; (2022) BLOOM: A 176B-Parameter Open-Access Multilingual Language Model, , BigScience. ArXiv, abs/2211.05100; Black, S., Biderman, S. R., Hallahan, E., Anthony, Q. G., Gao, L., Golding, L., He, H., Weinbach, S., (2022) GPT-NeoX-20B: An Open-Source Autoregressive Language Model, , ArXiv, abs/2204.06745; Blodgett, S. L., (2021) Sociolinguistically Driven Approaches for Just Natural Language Processing, , Ph.D. thesis, University of Massachusetts, Amherst; Blodgett, S. L., Barocas, S., Daumé, H., Wallach, H., Language (Technology) is Power: A Critical Survey of “Bias” in NLP (2020) Proceedings of the Association for Computational Linguistics, 58, pp. 5454-5476; Blodgett, S. L., Lopez, G., Olteanu, A., Sim, R., Wallach, H., Stereotyping Norwegian Salmon: An Inventory of Pitfalls in Fairness Benchmark Datasets (2021) Proceedings of the 59th Annual Meeting of the Association for Computational Linguistics and the 11th International Joint Conference on Natural Language Processing (Volume 1: Long Papers), pp. 1004-1015. , Online: Association for Computational Linguistics; Blodgett, S. L., O'Connor, B., Racial Disparity in Natural Language Processing: A Case Study of Social Media African-American English (2017) Fairness, Accountability, and Transparency in Machine Learning (FAT/ML) Workshop; Bommasani, R., Hudson, D. A., Adeli, E., Altman, R., Arora, S., von Arx, S., Bernstein, M. S., Liang, P., (2021) On the Opportunities and Risks of Foundation Models, , ArXiv, abs/2108.07258; Bordia, S., Bowman, S. R., Identifying and reducing gender bias in word-level language models (2019) NAACL Student Research Workshop; Bowman, S. R., Angeli, G., Potts, C., Manning, C. D., A large annotated corpus for learning natural language inference (2015) Proceedings of the 2015 Conference on Empirical Methods in Natural Language Processing (EMNLP), , Association for Computational Linguistics; Brown, T. B., Mann, B., Ryder, N., Subbiah, M., Kaplan, J., Dhariwal, P., Neelakantan, A., Amodei, D., (2020) Language Models are Few-Shot Learners, , ArXiv, abs/2005.14165; Devlin, J., Chang, M.-W., Lee, K., Toutanova, K., BERT: Pre-training of Deep Bidirectional Transformers for Language Understanding (2019) Proceedings of the 2019 Conference of the North American Chapter of the Association for Computational Linguistics: Human Language Technologies, Volume 1 (Long and Short Papers), pp. 4171-4186. , Minneapolis, Minnesota: Association for Computational Linguistics; Field, A., Blodgett, S. L., Waseem, Z., Tsvetkov, Y., A Survey of Race, Racism, and Anti-Racism in NLP (2021) Proceedings of the 59th Annual Meeting of the Association for Computational Linguistics and the 11th International Joint Conference on Natural Language Processing (Volume 1: Long Papers), pp. 1905-1925. , Online: Association for Computational Linguistics; Gebru, T., Morgenstern, J., Vecchione, B., Vaughan, J. W., Wallach, H., III, H. D., Crawford, K., Datasheets for Datasets (2021) Commun. ACM, 64 (12), pp. 86-92; Hartmann, J., Heitmann, M., Siebert, C., Schamp, C., More than a feeling: Accuracy and Application of Sentiment Analysis (2022) International Journal of Research in Marketing; Lai, G., Xie, Q., Liu, H., Yang, Y., Hovy, E., (2017) RACE: Large-scale ReAding Comprehension Dataset From Examinations, , arXiv preprint arXiv:1704.04683; Lawler, J. M., Ample negatives (1974) Chicago Linguistic Society (CLS), 10, pp. 357-377; Lee, N., Madotto, A., Fung, P., Exploring Social Bias in Chatbots using Stereotype Knowledge (2019) Proceedings of the Workshop on Widening NLP; Liu, H., Dacon, J., Fan, W., Liu, H., Liu, Z., Tang, J., Does Gender Matter? Towards Fairness in Dialogue Systems (2019) International Conference on Computational Linguistics; Liu, Y., Ott, M., Goyal, N., Du, J., Joshi, M., Chen, D., Levy, O., Stoyanov, V., (2019) RoBERTa: A Robustly Optimized BERT Pretraining Approach, , ArXiv, abs/1907.11692; May, C., Wang, A., Bordia, S., Bowman, S. R., Rudinger, R., On Measuring Social Biases in Sentence Encoders (2019) Proceedings of the North American Association for Computational Linguistics; Mitchell, M., Wu, S., Zaldivar, A., Barnes, P., Vasserman, L., Hutchinson, B., Spitzer, E., Gebru, T., Model Cards for Model Reporting (2019) Proceedings of the Conference on Fairness, Accountability, and Transparency, , ACM; Nadeem, M., Bethke, A., Reddy, S., StereoSet: Measuring stereotypical bias in pretrained language models (2021) Proceedings of the 59th Annual Meeting of the Association for Computational Linguistics and the 11th International Joint Conference on Natural Language Processing (Volume 1: Long Papers), pp. 5356-5371. , Online: Association for Computational Linguistics; Pappas, D. A., A sociolinguistic and historical investigation of”so don't I (2004) Cranberry linguistics 2, number 12 in University of Connecticut Working Papers in Linguistics, pp. 53-62. , Rodríguez-Mondoñedo, M.; and Ticio, M. E., eds., Storrs, CT: Department of Linguistics, University of Connecticut; Rogers, A., Kovaleva, O., Downey, M., Rumshisky, A., Getting Closer to AI Complete Question Answering: A Set of Prerequisite Real Tasks (2020) Proceedings of the AAAI Conference on Artificial Intelligence, 34, pp. 8722-8731. , (05); Rogers, A., Sedoc, J., Rumshisky, A., (2020) Proceedings of the First Workshop on Insights from Negative Results in NLP, , eds. Online: Association for Computational Linguistics; Rosenthal, S., Farra, N., Nakov, P., SemEval-2017 task 4: Sentiment analysis in Twitter (2017) Proceedings of the 11th international workshop on semantic evaluation (SemEval-2017), pp. 502-518; Rudinger, R., May, C., Van Durme, B., Social bias in elicited natural language inferences (2017) Proceedings of the Workshop on Ethics in Natural Language Processing; Sedoc, J., Rogers, A., Rumshisky, A., Tafreshi, S., (2021) Proceedings of the Second Workshop on Insights from Negative Results in NLP, , eds. Online and Punta Cana, Dominican Republic: Association for Computational Linguistics; Sheng, E., Chang, K.-W., Natarajan, P., Peng, N., The Woman Worked as a Babysitter: On Biases in Language Generation (2019) Proceedings of Empirical Methods in Natural Language Processing; Sheng, E., Chang, K.-W., Natarajan, P., Peng, N., Societal Biases in Language Generation: Progress and Challenges (2021) Proceedings of the 59th Annual Meeting of the Association for Computational Linguistics and the 11th International Joint Conference on Natural Language Processing (Volume 1: Long Papers), pp. 4275-4293. , Online: Association for Computational Linguistics; Sotnikova, A., Cao, Y. T., Daumé, H., Rudinger, R., Analyzing Stereotypes in Generative Text Inference Tasks (2021) Findings of the Association for Computational Linguistics: ACL-IJCNLP 2021, pp. 4052-4065. , Online: Association for Computational Linguistics; Stanczak, K., Augenstein, I., (2021) A Survey on Gender Bias in Natural Language Processing, , eprint: 2112.14168; Tafreshi, S., Sedoc, J., Rogers, A., Drozd, A., Rumshisky, A., Akula, A., (2022) Proceedings of the Third Workshop on Insights from Negative Results in NLP, , eds. Dublin, Ireland: Association for Computational Linguistics; Underwood, T., (2021) Mapping the Latent Spaces of Culture; Williams, A., Nangia, N., Bowman, S., A Broad-Coverage Challenge Corpus for Sentence Understanding through Inference (2018) Proceedings of the 2018 Conference of the North American Chapter of the Association for Computational Linguistics: Human Language Technologies, 1, pp. 1112-1122. , (Long Papers), Association for Computational Linguistics; Zanuttini, R., Wood, J., Zentz, J., Horn, L., The Yale Grammatical Diversity Project: Morphosyntactic variation in North American English (2018) Linguistics Vanguard, 4 (1), p. 20160070; Zhang, X., Zhao, J., LeCun, Y., Character-level Convolutional Networks for Text Classification (2015) Advances in Neural Information Processing Systems, 28. , Cortes, C.; Lawrence, N.; Lee, D.; Sugiyama, M.; and Garnett, R., eds., Curran Associates, Inc; Zhou, K., Ethayarajh, K., Jurafsky, D., Richer Countries and Richer Representations (2022) Findings of the Association for Computational Linguistics: ACL 2022, pp. 2074-2085. , Dublin, Ireland: Association for Computational Linguistics</t>
  </si>
  <si>
    <t>Kolisko, S., Wellesley College, United States; Anderson, C.J., Wellesley College, United States</t>
  </si>
  <si>
    <t>58540011200;56026186800;</t>
  </si>
  <si>
    <t>Kolisko S., Anderson C.J.</t>
  </si>
  <si>
    <t>8 July 2023 through 12 July 2023</t>
  </si>
  <si>
    <t>28th Annual Conference on Innovation and Technology in Computer Science Education, ITiCSE 2023</t>
  </si>
  <si>
    <t>Association for Computing Machinery's (ACM) Special Interest Group on Computer Science Sducation (SIGCSE)</t>
  </si>
  <si>
    <t>Alves, P., Cipriano, B.P., (2023) The centaur programmer-How Kasparov's Advanced Chess spans over to the software development of the future; Asare, O., Nagappan, M., Asokan, N., (2022) Is GitHub's Copilot as Bad As Humans at Introducing Vulnerabilities in Code, , https://doi.org/10.48550/arXiv.2204.04741; Becker, B.A., Denny, P., Finnie-Ansley, J., Luxton-Reilly, A., Prather, J., Santos, E.A., (2022) Programming Is Hard-Or at Least It Used to Be: Educational Opportunities And Challenges of AI Code Generation, , http://arxiv.org/abs/2212.01020; Bengio, Y., Ducharme, R., Vincent, P., A Neural Probabilistic Language Model (2000) Advances in Neural Information Processing Systems, 13. , https://proceedings.neurips.cc/paper/2000/hash/728f206c2a01bf572b5940d7d9a8fa4c-Abstract.html, MIT Press; Biderman, S., Raff, E., (2022) Fooling MOSS Detection with Pretrained Language Models, , http://arxiv.org/abs/2201.07406; Chen, M., Tworek, J., Jun, H., Yuan, Q., De Oliveira, P.H.P., Kaplan, J., Edwards, H., Zaremba, W., (2021) Evaluating Large Language Models Trained on Code, , http://arxiv.org/abs/2107.03374; Cipriano, B.P., Alves, P., (2023) GPT-3 vs MT2 2022/2023 v4-Full Interaction Log (1.0.0), , https://doi.org/10.5281/zenodo.7851214, 2023; Cipriano, B.P., Fachada, N., Alves, P., Drop Project: An automatic assessment tool for programming assignments (2022) SoftwareX, 18. , https://doi.org/10.1016/j.softx.2022.101079, June 2022; (2023) Statistics of Common Crawl Monthly Archives by commoncrawl, , https://commoncrawl.github.io/cc-crawl-statistics/plots/languages; Finnie-Ansley, J., Denny, P., Becker, B.A., Luxton-Reilly, A., Prather, J., The Robots Are Coming: Exploring the Implications of OpenAI Codex on Introductory Programming (2022) Australasian Computing Education Conference. ACM, Virtual Event Australia, pp. 10-19. , https://doi.org/10.1145/3511861.3511863; Ihantola, P., Ahoniemi, T., Karavirta, V., Seppälä, O., Review of recent systems for automatic assessment of programming assignments (2010) Proceedings of the 10th Koli Calling International Conference on Computing Education Research-Koli Calling '10, pp. 86-93. , https://doi.org/10.1145/1930464.1930480, ACM Press, Berlin, Germany; Ivanov, R., (2023), https://checkstyle.org/, [Online; last accessed 20-January-2023]; Paiva, J.C., Leal, J.P., Figueira, A., Automated Assessment in Computer Science Education: A State-of-the-Art Review (2022) ACM Transactions on Computing Education, 22 (3), pp. 1-40. , https://doi.org/10.1145/3513140, Sept. 2022; Pearce, H., Ahmad, B., Tan, B., Dolan-Gavitt, B., Karri, R., Asleep at the Keyboard Assessing the Security of GitHub Copilot's Code Contributions (2022) 2022 IEEE Symposium on Security and Privacy (SP), pp. 754-768. , https://doi.org/10.1109/SP46214.2022.9833571; Sarsa, S., Denny, P., Hellas, A., Leinonen, J., Automatic Generation of Programming Exercises and Code Explanations Using Large Language Models (2022) Proceedings of the 2022 ACM Conference on International Computing Education Research V.1, pp. 27-43. , https://doi.org/10.1145/3501385.3543957, ACM, Lugano and Virtual Event Switzerland; Wegner, P., Concepts and paradigms of object-oriented programming (1990) ACM SIGPLAN OOPS Messenger, 1 (1), pp. 7-87. , https://doi.org/10.1145/382192.383004, Aug. 1990; Xu, F.F., Alon, U., Neubig, G., Hellendoorn, V.J., A systematic evaluation of large language models of code (2022) Proceedings of the 6th ACM SIGPLAN International Symposium on Machine Programming, pp. 1-10. , https://doi.org/10.1145/3520312.3534862, ACM, San Diego CA USA</t>
  </si>
  <si>
    <t>This research was funded by the Fundação para a Ciência e a Tec-nologia under Grant No.: UIDB/04111/2020 (COPELABS).</t>
  </si>
  <si>
    <t>UIDB/04111/2020</t>
  </si>
  <si>
    <t>Recent studies show that AI-driven code generation tools, such as Large Language Models, are able to solve most of the problems usually presented in introductory programming classes. However, it is still unknown how they cope with Object Oriented Programming assignments, where the students are asked to design and implement several interrelated classes (either by composition or inheritance) that follow a set of best-practices. Since the majority of the exercises in these tools' training dataset are written in English, it is also unclear how well they function with exercises published in other languages. In this paper, we report our experience using GPT-3 to solve 6 real-world tasks used in an Object Oriented Programming course at a Portuguese University and written in Portuguese. Our observations, based on an objective evaluation of the code, performed by an open-source Automatic Assessment Tool, show that GPT-3 is able to interpret and handle direct functional requirements, however it tends not to give the best solution in terms of object oriented design. We perform a qualitative analysis of GPT-3's output, and gather a set of recommendations for computer science educators, since we expect students to use and abuse this tool in their academic work. © 2023 Owner/Author.</t>
  </si>
  <si>
    <t>Cipriano, B.P., Lusófona University, COPELABS, Lisbon, Portugal; Alves, P., Lusófona University, COPELABS, Lisbon, Portugal</t>
  </si>
  <si>
    <t>57669691700;57209335077;</t>
  </si>
  <si>
    <t>Cipriano B.P., Alves P.</t>
  </si>
  <si>
    <t>Abramski, K., Citraro, S., Lombardi, L., Rossetti, G., Stella, M., Cognitive network science reveals bias in GPT-3, GPT-3.5 Turbo, and GPT-4 Mirroring math anxiety in high-school students (2023) Big Data and Cognitive Computing, 7 (3), p. 124. , https://doi.org/10.3390/bdcc703012424; Carlander-Reuterfelt, D., Carrera, Á., Iglesias, C. A., Araque, Ó., Rada, J. F. S., Muñoz, S., JAICOB: A data science chatbot (2020) IEEE Access, 8, pp. 180672-180680. , https://doi.org/10.1109/ACCESS.2020.3024795; Castelvecchi, D., How will AI change mathematics? Rise of chatbots highlights discussion (2023) Nature, 615 (7950), pp. 15-16. , https://doi.org/10.1038/d41586-023-00487-2; Chaka, C., Detecting AI content in responses generated by ChatGPT, YouChat, and Chatsonic: The case of five AI content detection tools (2023) Journal of Applied Learning and Teaching, 6 (2), pp. 1-11. , https://doi.org/10.37074/jalt.2023.6.2.12, Advanced online publication; Chen, Y., Jensen, S., Albert, L. J., Gupta, S., Lee, T., Artificial intelligence (AI) student assistants in the classroom: Designing chatbots to support student success (2023) Information Systems Frontiers, 25 (1), pp. 161-182. , https://doi.org/10.1007/s10796-022-10291-4; Chen, L., Zaharia, M., Zou, J., (2023) How is ChatGPT’s behavior changing over time?, , arXiv preprint arXiv:2307.09009; Eager, B., Brunton, R., Prompting higher education towards AI-Augmented teaching and learning practice (2023) Journal of University Teaching &amp; Learning Practice, 20 (5), p. 02; Ellis, A. R., Slade, E., A new era of learning: Considerations for ChatGPT as a tool to enhance statistics and data science education (2023) Journal of Statistics and Data Science Education, pp. 1-10. , https://doi.org/10.1080/26939169.2023.2223609; Firat, M., What ChatGPT means for universities: Perceptions of scholars and students (2023) Journal of Applied Learning and Teaching, 6 (1), pp. 57-63. , https://doi.org/10.37074/jalt.2023.6.1.22; Hultberg, P., Calonge, D. S., Lee, A. E. S., Promoting long-lasting learning through instructional design (2018) Journal of the Scholarship of Teaching and Learning, 18 (3), pp. 26-43. , https://doi.org/10.14434/josotl.v18i3.23179; Huang, W., Hew, K. F., Fryer, L. K., Chatbots for language learning—Are they really useful? A systematic review of chatbot‐supported language learning (2022) Journal of Computer Assisted Learning, 38 (1), pp. 237-257. , https://doi.org/10.1111/jcal.12610; Hutson, J., Plate, D., Human-AI collaboration for smart education: Reframing applied learning to support metacognition (2023), IntechOpen; Hwang, G. J., Chang, C. Y., A review of opportunities and challenges of chatbots in education (2021) Interactive Learning Environments, pp. 1-14. , https://doi.org/10.1080/10494820.2021.1952615; Ifelebuegu, A., Rethinking online assessment strategies: Authenticity versus AI chatbot intervention (2023) Journal of Applied Learning and Teaching, 6 (2), pp. 1-8. , https://doi.org/10.37074/jalt.2023.6.2.2, Advanced online publication; Kabir, S., Udo-Imeh, D. N., Kou, B., Zhang, T., (2023) Who answers it better? An in-depth analysis of ChatGPT and Stack overflow answers to software engineering questions, , arXiv preprint arXiv:2308.02312; Kamalov, F., Santandreu Calonge, D., Gurrib, I., New era of Artificial Intelligence in education: Towards a sustainable multifaceted revolution (2023) Sustainability, 15 (16), p. 12451. , https://doi.org/10.3390/su151612451; Kamalov, F., Sulieman, H., Santandreu Calonge, D., Machine learning based approach to exam cheating detection (2021) Plos One, 16 (8), p. e0254340. , https://doi.org/10.1371/journal.pone.0254340; Kooli, C., Chatbots in education and research: A critical examination of ethical implications and solutions (2023) Sustainability, 15 (7), p. 5614. , https://doi.org/10.3390/su15075614; Kuhail, M. A., Alturki, N., Alramlawi, S., Alhejori, K., Interacting with educational chatbots: A systematic review (2023) Education and Information Technologies, 28 (1), pp. 973-1018. , https://doi.org/10.1007/s10639-022-11177-3; Lee, D., Yeo, S., Developing an AI-based chatbot for practicing responsive teaching in mathematics (2022) Computers &amp; Education, 191, p. 104646. , https://doi.org/10.1016/j.compedu.2022.104646; Lee, H., The rise of ChatGPT: Exploring its potential in medical education (2023) Anatomical Sciences Education, , https://doi.org/10.1002/ase.2270; Limna, P., Kraiwanit, T., Jangjarat, K., Klayklung, P., Chocksathaporn, P., The use of ChatGPT in the digital era: Perspectives on chatbot implementation (2023) Journal of Applied Learning and Teaching, 6 (1), pp. 64-74. , https://doi.org/10.37074/jalt.2023.6.1.32; Liu, T., Low, B. K. H., (2023) Goat: fine-tuned LLaMA outperforms GPT-4 on arithmetic tasks, , arXiv preprint arXiv:2305.14201; Mogavi, R. H., Deng, C., Kim, J. J., Zhou, P., Kwon, Y. D., Metwally, A. H. S., Hui, P., (2023) Exploring user perspectives on chatgpt: Applications, perceptions, and implications for AI-integrated education, , arXiv preprint arXiv:2305.13114; Neumann, A. T., Arndt, T., Kobis, L., Meissner, R., Martin, A., de Lange, P., Pengel, N., Wollersheim, H. W., Chatbots as a tool to scale mentoring processes: Individually supporting self-study in higher education (2021) Frontiers in Artificial Intelligence, 4, p. 668220. , https://doi.org/10.3389/frai.2021.668220; Nguyen, P., Nguyen, P., Bruneau, P., Cao, L., Wang, J., Truong, H., (2023) Evaluation of mathematics performance of Google Bard on the mathematics test of the Vietnamese national high school graduation examination; Okonkwo, C. W., Ade-Ibijola, A., Chatbots applications in education: A systematic review (2021) Computers and Education: Artificial Intelligence, 2, p. 100033. , https://doi.org/10.1016/j.caeai.2021.100033; Plevris, V., Papazafeiropoulos, G., Rios, A. J., (2023) Chatbots put to the test in math and logic problems: A preliminary comparison and assessment of ChatGPT-3.5, ChatGPT-4, and Google Bard, , arXiv preprint arXiv:2305.18618; Popenici, S., The critique of AI as a foundation for judicious use in higher education (2023) Journal of Applied Learning and Teaching, 6 (2), pp. 1-7. , https://doi.org/10.37074/jalt.2023.6.2.4; Qadir, J., Engineering education in the era of ChatGPT: Promise and pitfalls of generative AI for education (2023) 2023 IEEE Global Engineering Education Conference (EDUCON), pp. 1-9. , https://doi.org/10.1109/EDUCON54358.2023.10125121, (May) IEEE; Rasul, T., Nair, S., Kalendra, D., Robin, M., de Oliveira Santini, F., Ladeira, W. J., Heathcote, L., The role of ChatGPT in higher education: Benefits, challenges, and future research directions (2023) Journal of Applied Learning and Teaching, 6 (1), pp. 41-56. , https://doi.org/10.37074/jalt.2023.6.1.29; Rudolph, J., Tan, S., Tan, S., War of the chatbots: Bard, Bing Chat, ChatGPT, Ernie and beyond. The new AI gold rush and its impact on higher education (2023) Journal of Applied Learning and Teaching, 6 (1), pp. 364-389. , https://doi.org/10.37074/jalt.2023.6.1.23; Rudolph, J., Tan, S., Tan, S., ChatGPT: Bullshit spewer or the end of traditional assessments in higher education? (2023) Journal of Applied Learning and Teaching, 6 (1), pp. 342-363. , https://doi.org/10.37074/jalt.2023.6.1.9; Sánchez-Ruiz, L. M., Moll-López, S., Nuñez-Pérez, A., Moraño-Fernández, J. A., Vega-Fleitas, E., ChatGPT challenges blended learning methodologies in engineering education: A case study in mathematics (2023) Applied Sciences, 13 (10), p. 6039. , https://doi.org/10.3390/app13106039; Sandu, N., Gide, E., Adoption of AI-Chatbots to enhance student learning experience in higher education in India (2019) 2019 18th International Conference on Information Technology Based Higher Education and Training (ITHET), pp. 1-5. , (September) IEEE. htpps://doi.org; Santandreu-Calonge, D., Medina-Aguerrebere, P., Hultberg, P., Shah, M. A., Can ChatGPT improve communication in hospitals? (2023) Profesional de la información, 32 (2). , https://doi.org/10.3145/epi.2023.mar.19; Shah, M., Calonge, D. S., Refugees’ experiences with online higher education: Impact and implications through the pandemic (2023) Journal of Applied Learning and Teaching, 6 (1), pp. 209-221. , https://doi.org/10.37074/jalt.2023.6.1.21; Shehata, S., Calonge, D. S., Purnell, P., Thompson, M., Enhancing video-based learning using knowledge tracing: Personalizing students’ learning experience with ORBITS (2023) Proceedings of the 18th workshop on innovative use of NLP for Building Educational Applications (BEA 2023), pp. 100-107. , https://doi.org/10.18653/v1/2023.bea-1.8, (July); Singh Gill, S., Xu, M., Patros, P., Wu, H., Kaur, R., Kaur, K., Fuller, S., Buyya, R., Transformative effects of ChatGPT on modern education: Emerging era of AI chatbots (2023), https://doi.org/10.1016/j.iotcps.2023.06.002, arXiv e-prints, arXiv-2306; Sok, S., Heng, K., (2023) ChatGPT for education and research: A review of benefits and risks, , http://dx.doi.org/10.2139/ssrn.4378735, SSRN 4378735; Tlili, A., Shehata, B., Adarkwah, M. A., Bozkurt, A., Hickey, D. T., Huang, R., Agyemang, B., What if the devil is my guardian angel: ChatGPT as a case study of using chatbots in education (2023) Smart Learning Environments, 10 (1), p. 15. , https://doi.org/10.1186/s40561-023-00237-x; Touvron, H., Lavril, T., Izacard, G., Martinet, X., Lachaux, M. A., Lacroix, T., Lample, G., (2023) Llama: Open and efficient foundation language models, , arXiv preprint arXiv:2302.13971; Wardat, Y., Tashtoush, M. A., AlAli, R., Jarrah, A. M., ChatGPT: A revolutionary tool for teaching and learning mathematics (2023) Eurasia Journal of Mathematics, Science and Technology Education, 19 (7), p. em2286. , https://doi.org/10.29333/ejmste/13272; Yang, S., Evans, C., Opportunities and challenges in using AI chatbots in higher education (2019) Proceedings of the 2019 3rd international conference on education and e-learning, pp. 79-83. , https://doi.org/10.1145/3371647.3371659, (November); Wu, R., Yu, Z., Do AI chatbots improve students learning outcomes? Evidence from a meta‐analysis (2023) British Journal of Educational Technology, , https://doi.org/10.1111/bjet.13334; Zhang, S. J., Florin, S., Lee, A. N., Niknafs, E., Marginean, A., Wang, A., Drori, I., (2023) Exploring the MIT mathematics and EECS curriculum using Large Language Models, , arXiv preprint arXiv:2306.08997; Zheng, L., Chiang, W. L., Sheng, Y., Zhuang, S., Wu, Z., Zhuang, Y., Lin, Z., Stoica, I., (2023) Judging LLM-as-a-judge with MT-Bench and Chatbot Arena, , arXiv preprint arXiv:2306.05685</t>
  </si>
  <si>
    <t>Calonge, D.S., Department of Academic Development, Mohamed bin Zayed University of Artificial Intelligence, Abu Dhabi, United Arab Emirates; Smail, L., College of Interdisciplinary Studies, Zayed University, Dubai, United Arab Emirates; Kamalov, F., School of Engineering, Applied Science and Technology, Canadian University, Dubai, United Arab Emirates</t>
  </si>
  <si>
    <t>55091052400;20434345600;55821119700;</t>
  </si>
  <si>
    <t>Calonge D.S., Smail L., Kamalov F.</t>
  </si>
  <si>
    <t>Ismail, F.; Kaplan SingaporeSingapore; email: Fadhil.md@gmail.com</t>
  </si>
  <si>
    <t>Adarkwah, M. A., Amponsah, S., van Wyk, M. M., Huang, R., Tlili, A., Shehata, B., Metwally, A. H. S., Wang, H., Awareness and acceptance of ChatGPT as a generative conversational AI for transforming education by Ghanaian academics: A two-phase study (2023) Journal of Applied Learning and Teaching, 6 (2), pp. 1-16. , https://doi.org/10.37074/jalt.2023.6.2.26; Aikens, K., McKenzie, M., Vaughter, P., Environmental and sustainability education policy research: A systematic review of methodological and thematic trends (2016) Environmental Education Research, 22 (3), pp. 333-359. , https://doi.org/10.1080/13504622.2015.1135418; Bearman, M., Smith, C. D., Carbone, A., Slade, S., Baik, C., Hughes-Warrington, M., Neumann, D. L., Systematic review methodology in higher education (2012) Higher Education Research &amp; Development, 31 (5), pp. 625-640. , https://doi.org/10.1080/07294360.2012.702735; Braun, V., Clarke, V., Using thematic analysis in psychology (2006) Qualitative research in Psychology, 3 (2), pp. 77-101. , https://doi.org/10.1191/1478088706qp063oa; Butler-Henderson, K., Crawford, J., Rudolph, J., Lalani, K., Sabu, K. M., COVID-19 in Higher Education Literature Database (CHELD V1): An open access systematic literature review database with coding rules (2020) Journal of Applied Learning &amp; Teaching, 3 (2), pp. 11-16. , https://doi.org/10.37074/jalt.2020.3.2.11; Butler-Henderson, K., Crawford, J., Rudolph, J., Lalani, K., Sahu, K. M, (2020) COVID-19 in Higher Education Literature Database (CHELD V1), , https://doi.org/10.37074/jalt.2020.3.2.11d, Institute of Research Innovation; Butler-Henderson, K., Tan, S., Lalani, K., Mandapam, S. K., Kemp, T., Rudolph, J., Crawford, J., Update of the COVID-19 Higher Education literature database (CHELD v2) (2021) Journal of Applied Learning &amp; Teaching, 4 (1), pp. 134-137. , https://doi.org/10.37074/jalt.2021.4.1.22; Butler-Henderson, K., Tan, S., Lalani, K., Karakka Mandapam, S., Kemp, T., Rudolph, J., Crawford, J., (2021) COVID-19 in Higher Education Literature Database (CHELD), , https://doi.org/10.37074/jalt.2021.4.1.22d, Version 2. Institute of Research Innovation; Calonge, D. S., Smail, L., Kamalov, F., Enough of the chit-chat: A comparative analysis of four AI chatbots for calculus and statistics (2023) Journal of Applied Learning and Teaching, 6 (2), pp. 1-15. , https://doi.org/10.37074/jalt.2023.6.2.20; (2023) Critical appraisal tools, , https://www.cebm.ox.ac.uk/resources/ebm-tools/critical-appraisal-tools, University of Oxford; Chaka, C., Detecting AI content in responses generated by ChatGPT, YouChat, and Chatsonic: The case of five AI content detection tools (2023) Journal of Applied Learning and Teaching, 6 (2), pp. 1-11. , https://doi.org/10.37074/; Crawford, J., Cifuentes-Faura, J., Sustainability in higher education during the COVID-19 pandemic: A systematic review (2022) Sustainability, 14 (3), p. 1879. , https://doi.org/10.3390/su14031879; Crawford, J., Cowling, M., Allen, K. A., Leadership is needed for ethical ChatGPT: Character, assessment, and learning using artificial intelligence (AI) (2023) Journal of University Teaching &amp; Learning Practice, 20 (3), p. 02. , https://doi.org/10.53761/1.20.3.02; Crowe, M., Sheppard, L., A review of critical appraisal tools show they lack rigor: Alternative tool structure is proposed (2011) Journal of Clinical Epidemiology, 64 (1), pp. 79-89. , https://doi.org/10.1016/j.jclinepi.2010.02.008; Eager, B., Brunton, R., Prompting higher education towards AI-augmented teaching and learning practice (2023) Journal of University Teaching &amp; Learning Practice, 20 (5), p. 02. , https://doi.org/10.53761/1.20.5.02; Firat, M., What ChatGPT means for universities: Perceptions of scholars and students (2023) Journal of Applied Learning and Teaching, 6 (1), pp. 57-63. , https://doi.org/10.37074/jalt.2023.6.1.22; Gamage, K. A., Dehideniya, S. C., Xu, Z., Tang, X., ChatGPT and higher education assessments: More opportunities than concerns? (2023) Journal of Applied Learning and Teaching, 6 (2), pp. 1-12. , https://doi.org/10.37074/jalt.2023.6.2.32; Glushenkova, M., Zagato, M., Effect of COVID-19 on digitalisation of higher education. A tale of one business school (2023) Journal of University Teaching &amp; Learning Practice, 20 (6). , https://doi.org/10.53761/1.20.6.10; Haleem, A., Javaid, M., Singh, R. P., An era of ChatGPT as a significant futuristic support tool: A study on features, abilities, and challenges (2022) BenchCouncil transactions on Benchmarks, Standards and Evaluations, 2 (4), p. 100089. , https://doi.org/10.1016/j.tbench.2023.100089; Hassoulas, A., Powell, N., Roberts, L., Umla-Runge, K., Gray, L., Coffey, M., Investigating marker accuracy in differentiating between university scripts written by students and those produced using ChatGPT (2023) Journal of Applied Learning &amp; Teaching, 6 (2), pp. 1-7. , https://doi.org/10.37074/jalt.2023.6.2.13; Higgins, J. P., Altman, D. G., Gøtzsche, P. C., Jüni, P., Moher, D., Oxman, A. D., Sterne, J. A., The Cochrane Collaboration’s tool for assessing risk of bias in randomised trials (2011) BMJ, 343, pp. 1-9. , https://doi.org/10.1136/bmj.d5928; Ifelebuegu, A., Rethinking online assessment strategies: Authenticity versus AI chatbot intervention (2023) Journal of Applied Learning and Teaching, 6 (2), pp. 1-8. , https://doi.org/10.37074/jalt.2023.6.2.2; Ifelebuegu, A. O., Kulume, P., Cherukut, P., (2023) Chatbots; and AI in Education (AIEd) tools: The good, the bad, and the ugly Journal of Applied Learning and Teaching, 6 (2), pp. 1-14. , https://doi.org/10.37074/jalt.2023.6.2.29; Kelly, A., Sullivan, M., Strampel, K., Generative artificial intelligence: University student awareness, experience, and confidence in use across disciplines (2023) Journal of University Teaching &amp; Learning Practice, 20 (6), p. 12. , https://doi.org/10.53761/1.20.6.12; Khademi, A., Can ChatGPT and bard generate aligned assessment items? A reliability analysis against human performance (2023) Journal of Applied Learning &amp; Teaching, 6 (1), pp. 75-80. , https://doi.org/10.37074/jalt.2023.6.1.28; Kleesiek, J., Wu, Y., Stiglic, G., Egger, J., Bian, J., An opinion on ChatGPT in health care—written by humans only (2023) Journal of Nuclear Medicine, 64 (5), pp. 701-703. , https://doi.org/10.2967/jnumed.123.265687; Limna, P., Kraiwanit, T., Jangjarat, K., Klayklung, P., Chocksathaporn, P., The use of ChatGPT in the digital era: Perspectives on chatbot implementation (2023) Journal of Applied Learning and Teaching, 6 (1), pp. 64-74. , https://doi.org/10.37074/jalt.2023.6.1.32; Mills, A., Bali, M., Eaton, L., How do we respond to generative AI in education? Open educational practices give us a framework for an ongoing process (2023) Journal of Applied Learning and Teaching, 6 (1), pp. 16-30. , https://doi.org/10.37074/jalt.2023.6.1.34; Moed, H. F., Halevi, G., Multidimensional assessment of scholarly research impact (2015) Journal of the Association for Information Science and Technology, 66 (10), pp. 1988-2002. , https://doi.org/10.1002/asi.23314; Motyka, B., Employee engagement and performance: A systematic literature review (2018) International Journal of Management and Economics, 54 (3), pp. 227-244. , https://doi.org/10.2478/ijme-2018-0018; Mohammadkarimi, E., Teachers’ reflections on academic dishonesty in EFL students’ writings in the era of artificial intelligence (2023) Journal of Applied Learning and Teaching, 6 (2), pp. 1-9. , https://doi.org/10.37074/jalt.2023.6.2.10; Moher, D., Liberati, A., Tetzlaff, J., Altman, D. G., Preferred reporting items for systematic reviews and meta-analyses: The PRISMA statement (2009) Annals of Internal Medicine, 151 (4), pp. 264-269. , https://doi.org/10.7326/0003-4819-151-4-200908180-00135; Nestor, M. S., Fischer, D. L., Arnold, D., Berman, B., Del Rosso, J. Q., Rethinking the journal impact factor and publishing in the digital age (2020) The Journal of Clinical and Aesthetic Dermatology, 13 (1), p. 12. , https://www.ncbi.nlm.nih.gov/pmc/articles/PMC7028381/pdf/jcad_13_1_12.pdf; O'Dea, X. C., O'Dea, M., Is Artificial Intelligence really the next big thing in learning and teaching in higher education? A conceptual paper (2023) Journal of University Teaching and Learning Practice, 20 (5), p. 05. , https://doi.org/10.53761/1.20.5.05; Page, M. J., Moher, D., Bossuyt, P. M., Boutron, I., Hoffmann, T. C., Mulrow, C. D., McKenzie, J. E., PRISMA 2020 explanation and elaboration: Updated guidance and exemplars for reporting systematic reviews (2021) BMJ, 372. , http://dx.doi.org/10.1136/bmj.n160; Perkins, M., Academic integrity considerations of AI large language models in the post-pandemic era: ChatGPT and beyond (2023) Journal of University Teaching &amp; Learning Practice, 20 (2), p. 07. , https://doi.org/10.53761/1.20.02.07; Popenici, S., The critique of AI as a foundation for judicious use in higher education (2023) Journal of Applied Learning and Teaching, 6 (2), pp. 1-7. , https://doi.org/10.37074/jalt.2023.6.2.4; Popenici, S., Rudolph, J., Tan, S., Tan, S., A critical perspective on generative AI and learning futures. An interview with Stefan Popenici (2023) Journal of Applied Learning and Teaching, 6 (2), pp. 1-21. , https://doi.org/10.37074/jalt.2023.6.2.5; Popay, J., Roberts, H., Sowden, A., Petticrew, M., Arai, L., Rodgers, M., Duffy, S., Guidance on the conduct of narrative synthesis in systematic reviews (2006) A product from the ESRC methods programme Version, 1 (1), p. b92. , https://www.lancaster.ac.uk/media/lancaster-university/content-assets/documents/fhm/dhr/chir/NSsynthesisguidanceVersion1-April2006.pdf; (2020) PRISMA checklist, , http://prisma-statement.org/prismastatement/checklist.aspx?AspxAutoDetectCookieSupport=1; Rasul, T., Nair, S., Kalendra, D., Robin, M., de Oliveira Santini, F., Ladeira, W. J., Heathcote, L., The role of ChatGPT in higher education: Benefits, challenges, and future research directions (2023) Journal of Applied Learning and Teaching, 6 (1), pp. 41-56. , https://doi.org/10.37074/jalt.2023.6.1.29; Rudolph, J., Tan, S., Tan, S., ChatGPT: Bullshit spewer or the end of traditional assessments in higher education? (2023) Journal of Applied Learning and Teaching, 6 (1), pp. 342-363. , https://doi.org/10.37074/jalt.2023.6.1.9; Rudolph, J., Tan, S., Tan, S., War of the chatbots: Bard, Bing Chat, ChatGPT, Ernie and beyond. The new AI gold rush and its impact on higher education (2023) Journal of Applied Learning and Teaching, 6 (1), pp. 364-389. , https://doi.org/10.37074/jalt.2023.6.1.23; Sallam, M., ChatGPT utility in healthcare, education, research and practice. Systematic review on the promising perspectives and valid concerns (2023) Healthcare, 11 (1), p. 887. , https://doi.org/10.3390/healthcare11060887; Spelt, E. J., Biemans, H. J., Tobi, H., Luning, P. A., Mulder, M., Teaching and learning in interdisciplinary higher education: A systematic review (2009) Educational Psychology Review, 21, pp. 365-378. , https://doi.org/10.1007/s10648-009-9113-z; Struyven, K., Dochy, F., Janssens, S., Students’ perceptions about evaluation and assessment in higher education: A review (2005) Assessment &amp; Evaluation in Higher Education, 30 (4), pp. 325-341. , https://doi.org/10.1080/02602930500099102; Sullivan, M., Kelly, A., McLaughlan, P., ChatGPT in higher education: Considerations for academic integrity and student learning (2023) Journal of Applied Learning and Teaching, 6 (1), pp. 31-40. , https://doi.org/10.37074/jalt.2023.6.1.17; Taros, T., Zoppo, C., Yee, N., Hanna, J., MacGinnis, C., Retracted Covid-19 articles: significantly more cited than other articles within their journal of origin (2023) Scientometrics, 128 (5), pp. 2935-2943. , https://doi.org/10.1007/s11192-023-04707-4; Tlili, A., Huang, R., Mustafa, M. Y., Zhao, J., Bozkurt, A., Xu, L., Burgos, D., Speaking of transparency: Are all Artificial Intelligence (AI) literature reviews in education transparent? Journal of Applied Learning and Teaching, 6 (2), pp. 1-12. , https://doi.org/10.37074/jalt.2023.6.2.15; Warrens, M. J., Five ways to look at Cohen's kappa (2015) Journal of Psychology &amp; Psychotherapy, 5. , https://doi.org/10.4172/2161-0487.1000197; Xames, M. D., Shefa, J., ChatGPT for research and publication: Opportunities and challenges (2023) Journal of Applied Learning and Teaching, 6 (1), pp. 390-395. , https://doi.org/10.37074/jalt.2023.6.1.20; Zawacki Richter, O., Marín, V. I., Bond, M., Gouverneur, F., Systematic review of research on artificial intelligence applications in higher education–where are the educators? (2019) International Journal of Educational Technology in Higher Education, 16 (1), pp. 1-27. , https://doi.org/10.1186/s41239-019-0171-0; Zeng, X., Zhang, Y., Kwong, J. S., Zhang, C., Li, S., Sun, F., Du, L., The methodological quality assessment tools for preclinical and clinical studies, systematic review and meta‐analysis, and clinical practice guideline: A systematic review (2015) Journal of Evidence-based Medicine, 8 (1), pp. 2-10. , https://doi.org/10.1111/jebm.12141</t>
  </si>
  <si>
    <t>Ismail, F., Kaplan Singapore, Singapore; Tan, E., Academic Division, Singapore Institute of Management, Singapore; Rudolph, J., Kaplan Singapore, Singapore; Crawford, J., University of Tasmania, Australia; Tan, S., Kaplan Singapore, Singapore</t>
  </si>
  <si>
    <t>58749348800;58393545200;57474074600;57196083515;57764872700;</t>
  </si>
  <si>
    <t>Ismail F., Tan E., Rudolph J., Crawford J., Tan S.</t>
  </si>
  <si>
    <t>Uz, C.; Department of Physical Medicine and Rehabilitation, Turkey; email: cumauz12@gmail.com</t>
  </si>
  <si>
    <t>Mintz, Y., Brodie, R., Introduction to artificial intelligence in medicine (2019) Minim Invasive Ther Allied Technol, 28 (2), pp. 73-81; Palanica, A., Flaschner, P., Thommandram, A., Li, M., Fossat, Y., Physicians' perceptions of chatbots in health care: cross-sectional web-based survey (2019) J Med Internet Res, 21 (4); Jeddi, Z., Bohr, A., (2020) Artificial intelligence in healthcare, , Academic Press, Remote Patient Monitoring Using Artificial Intelligence; Fitzpatrick, K.K., Darcy, A., Vierhile, M., Delivering cognitive behavior therapy to young adults with symptoms of depression and anxiety using a fully automated conversational agent (Woebot): a randomized controlled trial (2017) JMIR Ment Health, 4 (2); CHATGPT: optimizing language models for dialogue, , https://openai.com/blog/chatgpt/, OpenAI., Published February 2, 2023. Accessed February 26, 2023; Xue, V.W., Lei, P., Cho, W.C., The potential impact of ChatGPT in clinical and translational medicine (2023) Clin Transl Med, 13 (3); Gabriel, S.E., Michaud, K., Epidemiological studies in incidence, prevalence, mortality, and comorbidity of the rheumatic diseases (2009) Arthritis Res Ther, 11 (3); Tien, Y.C., Chiu, Y.M., Liu, M.P., Frequency of lost to follow-up and associated factors for patients with rheumatic diseases (2016) PLoS One, 11 (3); Iftikhar, R., Abaalkhail, B., Health-seeking influence reflected by online health-related messages received on social media: cross-sectional survey (2017) J Med Internet Res, 19 (11); Cohen, R.A., Adams, P.F., Use of the internet for health information: United States, 2009 (2011) NCHS Data Brief, (66), pp. 1-8; Kolasinski, S.L., Neogi, T., Hochberg, M.C., 2019 American College of Rheumatology/Arthritis Foundation guideline for the Management of Osteoarthritis of the hand, hip, and knee [published correction appears in arthritis care res (Hoboken). 2021 may;73(5):764] (2020) Arthritis Care Res (Hoboken), 72 (2), pp. 149-162; Ozsoy-Unubol, T., Alanbay-Yagci, E., YouTube as a source of information on fibromyalgia (2021) Int J Rheum Dis, 24 (2), pp. 197-202; Aydin, M.F., Aydin, M.A., Quality and reliability of information available on YouTube and Google pertaining gastroesophageal reflux disease (2020) Int J Med Inform, 137; Chen, C.W., Wei, J.C., Employing digital technologies for effective governance: Taiwan's experience in COVID-19 prevention, health policy and technology, , Published online May 1, 2023</t>
  </si>
  <si>
    <t>ankylosing spondylitis; Article; artificial intelligence; ChatGPT; Cronbach alpha coefficient; fibromyalgia; gout; human; interrater reliability; Likert scale; osteoarthritis; psoriatic arthritis; reliability; rheumatic disease; rheumatoid arthritis; search engine; systemic lupus erythematosus; ankylosing spondylitis; artificial intelligence; osteoarthritis; reproducibility; rheumatic disease; rheumatoid arthritis; systemic lupus erythematosus; Arthritis, Rheumatoid; Artificial Intelligence; Humans; Lupus Erythematosus, Systemic; Osteoarthritis; Reproducibility of Results; Rheumatic Diseases; Spondylitis, Ankylosing</t>
  </si>
  <si>
    <t>Uz, C., Department of Physical Medicine and Rehabilitation, Etlik City Hospital, Ankara, Turkey; Umay, E., Department of Physical Medicine and Rehabilitation, Etlik City Hospital, Ankara, Turkey</t>
  </si>
  <si>
    <t>57207102845;24069550800;</t>
  </si>
  <si>
    <t>Uz C., Umay E.</t>
  </si>
  <si>
    <t>Chen, C.-L.; Department of Chemical Engineering, Taiwan; email: CCL@ntu.edu.tw</t>
  </si>
  <si>
    <t>Andor, D., He, L., Lee, K., Pitler, E., Giving BERT a calculator: finding operations and arguments with reading comprehension (2019) arXiv Prepr. arXiv, 1909; Arjmandi, M., Woo, M.W., Mankelow, C., Loho, T., Shahbaz, K., Auckaili, A., Thambyah, A., Embedding computer programming into a chemical engineering course: the impact on experiential learning (2023) Educ. Chem. Eng., 43, pp. 50-57; Baidoo-Anu, D., (2023), Owusu Ansah, L. Education in the Era of Generative Artificial Intelligence (AI): Understanding the Potential Benefits of ChatGPT in Promoting Teaching and Learning. Available at SSRN 4337484; Bell, I.H., Wronski, J., Quoilin, S., Lemort, V., Pure and pseudo-pure fluid thermophysical property evaluation and the open-source thermophysical property library CoolProp (2014) Ind. Eng. Chem. Res., 53 (6), pp. 2498-2508; Brown, T., Mann, B., Ryder, N., Subbiah, M., Kaplan, J.D., Dhariwal, P., Neelakantan, A., Askell, A., Language models are few-shot learners (2020) Adv. Neural Inf. Process. Syst., 33, pp. 1877-1901; Brundage, M., Avin, S., Wang, J., Belfield, H., Krueger, G., Hadfield, G., Khlaaf, H., Fong, R., (2020), Toward trustworthy AI development: mechanisms for supporting verifiable claims. arXiv Preprint arXiv:2004.07213; Chen, C.T., (2020) MATLAB® Applications in Chemical Engineering (Revised Edition), , National Quemoy University; Chen, M., Tworek, J., Jun, H., Yuan, Q., Pinto, H.P., (2021), d O., Kaplan, J., Edwards, H., Burda, Y., Joseph, N., Brockman, G. Evaluating large language models trained on code. arXiv Preprint arXiv:2107.03374; Christiano, P.F., Leike, J., Brown, T., Martic, M., Legg, S., Amodei, D., Deep reinforcement learning from human preferences (2017) Adv. Neural Inf. Process. Syst., p. 30; Cotton, D.R., Cotton, P.A., Shipway, J.R., Chatting and cheating: ensuring academic integrity in the era of ChatGPT (2023) Innov. Educ. Teach. Int., pp. 1-12; dos Santos, M.T., Vianna, A.S., Jr, Le Roux, G.A., Programming skills in the industry 4.0: are chemical engineering students able to face new problems? (2018) Educ. Chem. Eng., 22, pp. 69-76; Eloundou, T., Manning, S., Mishkin, P., Rock, D., (2023), GPTs are GPTs: an early look at the labor market impact potential of large language models. arXiv Preprint arXiv:2303.10130; Evans, O., Cotton-Barratt, O., Finnveden, L., Bales, A., Balwit, A., Wills, P., Righetti, L., Saunders, W., (2021), Truthful AI: developing and governing AI that does not lie. arXiv Preprint arXiv:2110.06674; Godwin-Jones, R., Partnering with AI: intelligent writing assistance and instructed language learning (2022) Lang. Learn. Technol., 26, pp. 5-24; Haar, L., NBS/NRC Steam Tables (1984), CRC Press; Helberger, N., Diakopoulos, N., ChatGPT and the AI Act (2023) Internet Policy Rev., 12, p. 1; Huang, S., Dong, L., Wang, W., Hao, Y., Singhal, S., Ma, S., Lv, T., Liu, Q., (2023), Language is not all you need: Aligning perception with language models. arXiv Preprint arXiv:2302.14045; Inguva, P., Bhute, V.J., Cheng, T.N.H., Walker, P.J., Introducing students to research codes: a short course on solving partial differential equations in Python (2021) Educ. Chem. Eng., 36, pp. 1-11; Ji, Z., Lee, N., Frieske, R., Yu, T., Su, D., Xu, Y., Ishii, E., Fung, P., Survey of hallucination in natural language generation (2023) ACM Comput. Surv., 55 (12), pp. 1-38; Jiao, W., Wang, W., (2023), Huang, J.-t, Wang, X., Tu, Z. Is ChatGPT a good translator? A preliminary study. arXiv Preprint arXiv:2301.08745; Kumar, H., Musabirov, I., Shi, J., Lauzon, A., Choy, K.K., Gross, O., Kulzhabayeva, D., Williams, J.J., (2022), Exploring the design of prompts for applying GPT-3 Based Chatbots: A Mental Wellbeing Case Study on Mechanical Turk. arXiv Preprint arXiv:2209.11344; Kung, T.H., Cheatham, M., Medenilla, A., Sillos, C., De Leon, L., Elepaño, C., Madriaga, M., Maningo, J., Performance of ChatGPT on USMLE: potential for AI-assisted medical education using large language models (2023) PLoS Digit. Health, 2 (2). , e0000198; Lee, J.-Y., Chen, C.-L., A proposal for charting the undergraduate process control course for the 21st century (2017) J. Taiwan Inst. Chem. Eng., 73, pp. 154-165; Li, Z., 202). The dark side of ChatGPT: legal and ethical challenges from stochastic parrots and hallucination. arXiv Preprint arXiv:2304.14347; Nakano, R., Hilton, J., Balaji, S., Wu, J., Ouyang, L., Kim, C., Hesse, C., Saunders, W., (2021), Webgpt: browser-assisted question-answering with human feedback. arXiv Preprint arXiv:2112.09332; OpenAI, 2023a. ChatGPT Plugins; OpenAI, 2023b. GPT-4 technical report. arXiv Preprint arXiv:2303.08774; Ouyang, L., Wu, J., Jiang, X., Almeida, D., Wainwright, C.L., Mishkin, P., Zhang, C., Ray, A., (2022), Training language models to follow instructions with human feedback. arXiv Preprint arXiv:2203.02155; Pavlik, J.V., Collaborating with ChatGPT: considering the implications of generative artificial intelligence for journalism and media education (2023) J. Mass Commun. Educ., , 10776958221149577; Perkins, M., Academic Integrity considerations of AI Large Language Models in the post-pandemic era: ChatGPT and beyond (2023) J. Univ. Teach. Learn. Pract., 20 (2), p. 07; Prieto, S.A., Mengiste, E.T., (2023), de Soto, B.G. Investigating the use of ChatGPT for the scheduling of construction projects. arXiv Preprint arXiv:2302.02805; Radford, A., Narasimhan, K., Salimans, T., Sutskever, I., (2018), Improving Language understanding by Generative Pre-training; Sanderson, K., (2023), GPT-4 is here: what scientists think. Nature News; Schick, T., Dwivedi-Yu, J., Dessì, R., Raileanu, R., Lomeli, M., Zettlemoyer, L., Cancedda, N., Scialom, T., (2023), Toolformer: language models can teach themselves to use tools. arXiv Preprint arXiv:2302.04761; Sun, T., Zhao, Z., Teaching dynamic mechanisms in signaling pathways using computational simulations (2023) Educ. Chem. Eng., 42, pp. 20-30; Wankat, P.C., Integrating the use of commercial simulators into lecture courses (2002) J. Eng. Educ., 91 (1), pp. 19-23; Wei, J., Wang, X., Schuurmans, D., Bosma, M., Chi, E., Le, Q., Zhou, D., (2022), Chain of thought prompting elicits reasoning in large language models. arXiv Preprint arXiv:2201.11903; Weidinger, L., Uesato, J., Rauh, M., Griffin, C., Huang, P.-S., Mellor, J., Glaese, A., Kasirzadeh, A., Taxonomy of risks posed by language models. In: proceedings of the Presented at 2022 ACM Conference on Fairness, Accountability, and Transparency; White, J., Fu, Q., Hays, S., Sandborn, M., Olea, C., Gilbert, H., Elnashar, A., Schmidt, D.C., (2023), A prompt pattern catalog to enhance prompt engineering with chatgpt. arXiv preprint arXiv:2302.11382; Zhou, Y., Muresanu, A.I., Han, Z., Paster, K., Pitis, S., Chan, H., Ba, J., (2022), Large language models are human-level prompt engineers. arXiv Preprint arXiv:2211.01910</t>
  </si>
  <si>
    <t>This research was funded by the National Science and Technology Council , Taiwan (previously Ministry of Science and Technology, Taiwan), grant numbers MOST 110-2221-E-002-022 and MOST 111-2221-E-002-001 .</t>
  </si>
  <si>
    <t>National Science and Technology Council, NSTC; Ministry of Science and Technology, Taiwan, MOST: MOST 110-2221-E-002-022, MOST 111-2221-E-002-001</t>
  </si>
  <si>
    <t>Tsai, M.-L., Department of Chemical Engineering, National Taiwan University, Taipei, Taiwan; Ong, C.W., Department of Chemical Engineering, National Taiwan University, Taipei, Taiwan; Chen, C.-L., Department of Chemical Engineering, National Taiwan University, Taipei, Taiwan</t>
  </si>
  <si>
    <t>57953443700;57203358105;7501958595;</t>
  </si>
  <si>
    <t>Tsai M.-L., Ong C.W., Chen C.-L.</t>
  </si>
  <si>
    <t>Russe, M.F.; The Department of Diagnostic and Interventional Radiology, Breisacher Str 64, Germany; email: maximilian.russe@uniklinik-freiburg.de</t>
  </si>
  <si>
    <t>Cascade, PN., Setting appropriateness guidelines for radiology (1994) Radiology, 192 (1), pp. 50A-54A; Gabelloni, M, Di Nasso, M, Morganti, R, Application of the ESR iGuide clinical decision support system to the imaging pathway of patients with hepatocellular carcinoma and cholangiocarcinoma: preliminary findings (2020) Radiol Med (Torino), 125 (6), pp. 531-537; European Society of Radiology (ESR) and American College of Radiology (ACR) report of the 2015 global summit on radiological quality and safety (2016) Insights Imaging, 7 (4), pp. 481-484; Young, GJ, Flaherty, S, Zepeda, ED, Mortele, KJ, Griffith, JL., Effects of Physician Experience, Specialty Training, and Self-referral on Inappropriate Diagnostic Imaging (2020) J Gen Intern Med, 35 (6), pp. 1661-1667. , [Published correction J Gen Intern Med 2020 May 6]; Francisco, MZ, Altmayer, S, Verma, N, Appropriateness of Computed Tomography and Ultrasound for Abdominal Complaints in the Emergency Department (2021) Curr Probl Diagn Radiol, 50 (6), pp. 799-802; Summary of the proceedings of the international forum 2016: “Imaging referral guidelines and clinical decision support - how can radiologists implement imaging referral guidelines in clinical routine? (2017) Insights Imaging, 8 (1), pp. 1-9; Markus, T, Saban, M, Sosna, J, Does clinical decision support system promote expert consensus for appropriate imaging referrals? Chest-abdominal-pelvis CT as a case study (2023) Insights Imaging, 14 (1), p. 45; Saban, M, Sosna, J, Singer, C, Clinical decision support system recommendations: how often do radiologists and clinicians accept them? (2022) Eur Radiol, 32 (6), pp. 4218-4224; Methodology for ESR iGuide content (2019) Insights Imaging, 10 (1), p. 32; Bookman, K, West, D, Ginde, A, Embedded Clinical Decision Support in Electronic Health Record Decreases Use of High-cost Imaging in the Emergency Department: EmbED study (2017) Acad Emerg Med, 24 (7), pp. 839-845; GPT-3.5-turbo. OpenAI, , https://platform.openai.com/docs/models/gpt-3.5, Accessed May 15, 2023; OpenAI, , https://openai.com/gpt-4, Accessed May 15, 2023; Kung, TH, Cheatham, M, Medenilla, A, Performance of ChatGPT on USMLE: Potential for AI-assisted medical education using large language models (2023) PLOS Digit Health, 2 (2), p. e0000198; Nori, H, King, N, McKinney, SM, Carignan, D, Horvitz, E., Capabilities of GPT-4 on Medical Challenge Problems, , https://arxiv.org/abs/2303.13375, arXiv 2303.13375 [preprint] Posted March 20, 2023. Accessed May 15, 2023; Buvat, I, Weber, W., Nuclear Medicine from a Novel Perspective: Buvat and Weber Talk with OpenAI’s ChatGPT (2023) J Nucl Med, 64 (4), pp. 505-507; Jeblick, K, Schachtner, B, Dexl, J, ChatGPT Makes Medicine Easy to Swallow: An Exploratory Case Study on Simplified Radiology Reports, , https://arxiv.org/abs/2212.14882, arXiv 2212.14882 [preprint] Posted December 30, 2022. Accessed May 15, 2023; Lyu, Q, Tan, J, Zapadka, ME, Translating Radiology Reports into Plain Language using ChatGPT and GPT-4 with Prompt Learning: Promising Results, Limitations, and Potential, , https://arxiv.org/abs/2303.09038, arXiv 2303.09038 [preprint] Posted March 16, 2023. Accessed May 15, 2023; Rao, A, Pang, M, Kim, J, Assessing the Utility of ChatGPT Throughout the Entire Clinical Workflow, , medRxiv 2023.02.21.23285886. Posted February 26, 2023. Accessed May 15, 2023; Shen, Y, Heacock, L, Elias, J, ChatGPT and Other Large Language Models Are Double-edged Swords (2023) Radiology, 307 (2), p. e230163; Rao, A, Kim, J, Kamineni, M, Pang, M, Lie, W, Succi, MD., Evaluating ChatGPT as an Adjunct for Radiologic Decision-Making, , medRxiv 2023.02.02.23285399. Posted February 7, 2023. Accessed May 15, 2023; Else, H., Abstracts written by ChatGPT fool scientists (2023) Nature, 613 (7944), p. 423; Chaudhari, GR, Chillakuru, YR, Chen, TL, Clinical language search algorithm from free-text: facilitating appropriate imaging (2022) BMC Med Imaging, 22 (1), p. 18; Kwee, TC, Kwee, RM., Workload of diagnostic radiologists in the foreseeable future based on recent scientific advances: growth expectations and role of artificial intelligence (2021) Insights Imaging, 12 (1), p. 88; Carter, SM, Rogers, W, Win, KT, Frazer, H, Richards, B, Houssami, N., The ethical, legal and social implications of using artificial intelligence systems in breast cancer care (2020) Breast, 49, pp. 25-32</t>
  </si>
  <si>
    <t>Albert-Ludwigs-Universität Freiburg</t>
  </si>
  <si>
    <t>algorithm; article; artificial intelligence; ChatGPT; cost control; decision making; human; human experiment; knowledge base; practice guideline; radiologist; radiology; clinical decision making; radiologist; software; Algorithms; Clinical Decision-Making; Cost Savings; Humans; Radiologists; Software</t>
  </si>
  <si>
    <t>Rau, A., The Department of Diagnostic and Interventional Radiology, Medical Center–University of Freiburg, Faculty of Medicine, University of Freiburg, Breisacher Str 64, Freiburg, 79106, Germany, Department of Neuroradiology, Medical Center–University of Freiburg, Faculty of Medicine, University of Freiburg, Breisacher Str 64, Freiburg, 79106, Germany; Rau, S., The Department of Diagnostic and Interventional Radiology, Medical Center–University of Freiburg, Faculty of Medicine, University of Freiburg, Breisacher Str 64, Freiburg, 79106, Germany; Zöller, D., Institute of Medical Biometry and Statistics, Faculty of Medicine, Medical Center–University of Freiburg, Freiburg, Germany, Freiburg Center for Data Analysis and Modelling, University of Freiburg, Freiburg, Germany; Fink, A., The Department of Diagnostic and Interventional Radiology, Medical Center–University of Freiburg, Faculty of Medicine, University of Freiburg, Breisacher Str 64, Freiburg, 79106, Germany; Tran, H., The Department of Diagnostic and Interventional Radiology, Medical Center–University of Freiburg, Faculty of Medicine, University of Freiburg, Breisacher Str 64, Freiburg, 79106, Germany; Wilpert, C., The Department of Diagnostic and Interventional Radiology, Medical Center–University of Freiburg, Faculty of Medicine, University of Freiburg, Breisacher Str 64, Freiburg, 79106, Germany; Nattenmüller, J., The Department of Diagnostic and Interventional Radiology, Medical Center–University of Freiburg, Faculty of Medicine, University of Freiburg, Breisacher Str 64, Freiburg, 79106, Germany; Neubauer, J., The Department of Diagnostic and Interventional Radiology, Medical Center–University of Freiburg, Faculty of Medicine, University of Freiburg, Breisacher Str 64, Freiburg, 79106, Germany; Bamberg, F., The Department of Diagnostic and Interventional Radiology, Medical Center–University of Freiburg, Faculty of Medicine, University of Freiburg, Breisacher Str 64, Freiburg, 79106, Germany; Reisert, M., Medical Physics, Department of Diagnostic and Interventional Radiology, Medical Center–University of Freiburg, Faculty of Medicine, University of Freiburg, Breisacher Str 64, Freiburg, 79106, Germany, Department of Stereotactic and Functional Neurosurgery, Medical Center–University of Freiburg, Faculty of Medicine, University of Freiburg, Breisacher Str 64, Freiburg, 79106, Germany; Russe, M.F., The Department of Diagnostic and Interventional Radiology, Medical Center–University of Freiburg, Faculty of Medicine, University of Freiburg, Breisacher Str 64, Freiburg, 79106, Germany</t>
  </si>
  <si>
    <t>57205328239;58132197800;56993195000;58287932900;58288186400;57668763400;56053977500;56063339500;23975531900;12766736500;16314201300;</t>
  </si>
  <si>
    <t>Rau A., Rau S., Zöller D., Fink A., Tran H., Wilpert C., Nattenmüller J., Neubauer J., Bamberg F., Reisert M., Russe M.F.</t>
  </si>
  <si>
    <t>Killian, C.M.; Department of Kinesiology, United States; email: chad.killian@unh.edu</t>
  </si>
  <si>
    <t>Cassidy, R., The cultural definition of physical education (1965) Quest, 4 (1), pp. 11-15. , https://doi.org/10.1080/00336297.1965.10519577; Cassidy, R., Societal determinants of human movement—The next thirty years (1971) Quest, 16 (1), pp. 48-54. , https://doi.org/10.1080/00336297.1971.10519712; Centeio, E.E., The have and have nots: An ever-present digital divide (2017) Journal of Physical Education, Recreation &amp; Dance, 88 (6), pp. 11-12. , https://doi.org/10.1080/07303084.2017.1331643; Chen, Y., Clayton, E.W., Novak, L.L., Anders, S., Malin, B., Human-centered design to address biases in artificial intelligence (2023) Journal of Medical Internet Research, 25, p. e43251. , https://doi.org/10.2196/43251; Gendron, Y., Andrew, J., Cooper, C., The perils of artificial intelligence in academic publishing (2022) Critical Perspectives on Accounting, 87, p. 102411. , https://doi.org/10.1016/j.cpa.2021.102411, Article; Haggerty, T.R., Influence of information technologies on kinesiology and physical education (1997) Quest, 49, pp. 254-269; Hutson, M., Could AI help you to write your next paper? (2022) Nature, 611, pp. 192-193. , https://doi.org/10.1038/d41586-022-03479-w; Knudson, D., Future trends in the kinesiology sciences (2016) Quest, 68, pp. 348-360. , https://doi.org/10.1080/00336297.2016.1184171; Locke, L.F., Minutes of the commodore club: Even luddites chat on the internet (1997) Quest, 49, pp. 270-279; Mascheroni, G., Ólafsson, K., The mobile Internet: Access, use, opportunities and divides among European children (2016) New Media &amp; Society, 18, pp. 1657-1679. , https://doi.org/10.1177/1461444814567986; Tools such as ChatGPT threaten transparent science; here are our ground rules for their use [Editorial] (2023) Nature, 613, p. 612. , https://doi.org/10.1038/d41586-023-00191-1, Article; Selwyn, N., Minding our language: Why education and technology is full of bullshit::: and what might be done about it (2016) Learning, Media and Technology, 41 (3), pp. 437-441. , https://doi.org/10.1080/17439884.2015.1012523; van Dis, E.A.M., Bollen, J., van Rooij, R., Zuidema, W., Bockting, C.L., ChatGPT: Five priorities for research (2023) Nature, 614, pp. 224-226. , https://doi.org/10.1038/d41586-023-00288-7</t>
  </si>
  <si>
    <t>Killian, C.M., Department of Kinesiology, University of New Hampshire, Durham, NH, United States; Marttinen, R., School of Education, George Mason University, Fairfax, VA, United States; Howley, D., Department of Kinesiology, Towson University, Towson, MD, United States; Sargent, J., Institute of Educational Technology, Open University, Milton Keynes, United Kingdom; Jones, E.M., School of Kinesiology and Recreation, Illinois State University, Normal, IL, United States</t>
  </si>
  <si>
    <t>57194761162;37081600600;57216950521;57206183124;56453762300;</t>
  </si>
  <si>
    <t>Killian C.M., Marttinen R., Howley D., Sargent J., Jones E.M.</t>
  </si>
  <si>
    <t>Microbiol. Australia</t>
  </si>
  <si>
    <t>Lacey, M.M.; Sheffield Hallam University, Howard Street, United Kingdom; email: m.lacey@shu.ac.uk</t>
  </si>
  <si>
    <t>Sallam, M, ChatGPT utility in healthcare education, research, and practice: systematic review on the promising perspectives and valid concerns (2023) Healthcare, 11, p. 887; Chen, X, Two decades of artificial intelligence in education (2022) Educ Technol Soc, 25, pp. 28-47; Brew, M, Towards developing AI literacy: three student provocations on AI in higher education (2023) Asian J Distance Educ, 18, pp. 1-11; Mhlanga, D, Open AI in education, the responsible and ethical use of ChatGPT towards lifelong learning (2023) Education, the Responsible and Ethical Use of ChatGPT Towards Lifelong Learning; King, MR, chatGPT, A conversation on artificial intelligence, chatbots, and plagiarism in higher education (2023) Cell Mol Bioeng, 16, pp. 1-2; Rudolph, J, ChatGPT: bullshit spewer or the end of traditional assessments in higher education? (2023) J App Learn Teach, 6, pp. 342-364; Newton, PM, ChatGPT performance on MCQ-based exams (2023) EdArXiv, , 21 February 2023,. [Preprint]; Nikolic, S, ChatGPT versus engineering education assessment: a multidisciplinary and multi-institutional benchmarking and analysis of this generative artificial intelligence tool to investigate assessment integrity (2023) Eur J Eng Educ, 48, pp. 559-614; Sweeney, S, Academic dishonesty, essay mills, and artificial intelligence: rethinking assessment strategies (2023) 9th International Conference on Higher Education Advances (HEAd'23), , 19-22 June 2023, Valencia, Spain. Editorial Universitat Politècnica de València; Vergadia, P, Seven new no-cost generative AI training courses to advance your cloud career (2023) Google Cloud Blog, , https://cloud.google.com/blog/topics/training-certifications/new-google-cloud-generative-ai-training-resources, 21 June; Firat, M, How chat GPT can transform autodidactic experiences and open education (2023) OSF Preprints, , 12 January 2023,. [Preprint]; Hill-Yardin, EL, A Chat (GPT) about the future of scientific publishing (2023) Brain Behav Immun, 110, pp. 152-154; Naumova, EN, A mistake-find exercise: a teacher's tool to engage with information innovations, ChatGPT, and their analogs (2023) J Public Health Policy, 44, pp. 173-178</t>
  </si>
  <si>
    <t>Artificial intelligence (AI), once a subject of science fiction, is now a tangible, disruptive force in teaching and learning. In an educational setting, generative large language models (LLM), such as OpenAI's ChatGPT, perform and supplement tasks that usually require human thought, such as data analysis, understanding complex ideas, problem-solving, coding and producing written outputs. AI advances are moving quickly. From the emergence of ChatGPT 3.5 in November 2022, we have witnessed the arrival of other progressive language models, like OpenAI's GPT-4, Google's Bard AI and Microsoft's Bing AI. Most recently, AIs gained the ability to access real-time information, analyse images and are becoming directly embedded in many applications. © 2023 CSIRO. All rights reserved.</t>
  </si>
  <si>
    <t>Lacey, M.M., Sheffield Hallam University, Howard Street, Sheffield, S1 1WB, United Kingdom; Smith, D.P., Sheffield Hallam University, Howard Street, Sheffield, S1 1WB, United Kingdom</t>
  </si>
  <si>
    <t>37026348400;55722911000;</t>
  </si>
  <si>
    <t>Lacey M.M., Smith D.P.</t>
  </si>
  <si>
    <t>2-s2.0-85162096958</t>
  </si>
  <si>
    <t>Alqahtani, T.; College of Pharmacy at KSAU-HS, 2915 Al Haras Al Watani St, Ar Rimayah, Saudi Arabia; email: Qahtanita@ksau-hs.edu.sa</t>
  </si>
  <si>
    <t>Zawacki-Richter, O., Marín, V.I., Bond, M., Gouverneur, F., Systematic review of research on artificial intelligence applications in higher education – where are the educators? (2019) Int J Educ Technol High Educ, 16 (1), pp. 1-27; Sarker, I.H., AI-based modeling: techniques, applications and research issues towards automation, intelligent and smart systems (2022) SN Comput Sci, 3 (2); Tai, M.C.T., The impact of artificial intelligence on human society and bioethics (2020) Tzu Chi Med J, 32 (4), pp. 339-343; Deng, J., Lin, Y., The benefits and challenges of ChatGPT: an overview (2023) Fronti Comput Intell Syst, 2 (2), pp. 81-83; Jordan, M.I., Mitchell, T.M., Machine learning: trends, perspectives, and prospects (2015) Science (1979), 349 (6245), pp. 255-260; Brown, T.B., Mann, B., Ryder, N., Language Models are few-shot learners (2020) Adv Neural Inf Process Syst., 33, pp. 1877-1901. , (Accessed 29 March 2023); Manakul, P., Liusie, A., Gales, M., SelfCheckGPT: Zero-Resource Black-Box Hallucination Detection for Generative Large Language Models. ArXiv. Published online 2023. doi:10.48550/ARXIV.2303.08896; Korteling, J.H., van de Boer-Visschedijk, G.C., Blankendaal, R.A.M., Boonekamp, R.C., Eikelboom, A.R., Human- versus artificial intelligence (2021) Front Artif Intell, 4; Madani, A., Krause, B., Greene, E.R., Large language models generate functional protein sequences across diverse families. Nat Biotechnol. Published online 2023. doi:10.1038/s41587-022-01618-2; Solangi, Y.A., Solangi, Z.A., Aarain, S., Abro, A., Mallah, G.A., Shah, A., Review on natural Language Processing (NLP) and its toolkits for opinion mining and sentiment analysis (2018) 2018 IEEE 5th International Conference on Engineering Technologies and Applied Sciences, , ICETAS Published online January 28, 2019; Baars, M., Khare, S., Ridderstap, L., Exploring students' use of a mobile application to support their self-regulated learning processes (2022) Front Psychol, 13; Khan, R.A., Jawaid, M., Khan, A.R., Sajjad, M., ChatGPT - reshaping medical education and clinical management (2023) Pakistan J Med Sci, 39 (2), p. 605; Paranjape, K., Schinkel, M., Panday, R.N., Car, J., Nanayakkara, P., Introducing artificial intelligence training in medical education (2019) JMIR Med Educ, 5 (2); Mbakwe, A.B., Lourentzou, I., Celi, L.A., Mechanic, O.J., Dagan, A., ChatGPT passing USMLE shines a spotlight on the flaws of medical education (2023) PLOS Digital Health, 2 (2); Grunhut, J., Wyatt, A.T., Marques, O., Educating future physicians in artificial intelligence (AI): an integrative review and proposed changes (2021) J Med Educ Curric Dev, 8; Ashwini, S., Rajalakshmi, N.R., Victer Paul P, Jayakumar L. Dynamic NLP enabled chatbot for rural health care in India. 2022 Second International Conference on Computer Science, Engineering and Applications (ICCSEA). Published online 2022. doi:10.1109/ICCSEA54677.2022.9936389; Libbrecht, P., Declerck, T., Schlippe, T., Mandl, T., Schiffner, D., NLP for Student and Teacher: Concept for an AI Based Information Literacy Tutoring System. Published online 2020; Vasileva, O., Balyasnikova, N., (Re)Introducing vygotsky's thought: from historical overview to contemporary psychology (2019) Front Psychol, 10 (AUG); (2023), https://www.forbes.com/sites/forbestechcouncil/2022/09/20/how-ai-is-changing-the-way-students-learn/?sh=2b1ace8c7338, How AI Is Changing The Way Students Learn. Accessed April 3; (2023), https://www.technologyreview.com/2020/03/04/905535/unleashing-the-power-of-ai-for-education/, Unleashing the power of AI for education | MIT Technology Review. Accessed April 3; (2023), https://www.forbes.com/sites/forbestechcouncil/2020/06/08/artificial-intelligence-in-education-transformation/?sh=7049c7b732a4, Artificial Intelligence In Education Transformation. Accessed April 3; Shetty, P., Yadav, K., Kunder, P., Automated essay grading system using NLP techniques (2020) Int J Eng Adv Technol, 9 (5), pp. 1033-1042; Shehab, A., Elhoseny, M., Hassanien, A.E., (2016), A hybrid scheme for Automated Essay Grading based on LVQ and NLP techniques. 2016 12th International Computer Engineering Conference (ICENCO). Published online February 1465-70. doi:10.1109/ICENCO.2016.7856447; Ahmed, A., Joorabchi, A., Hayes, M.J., On deep learning approaches to automated assessment: strategies for short answer grading (2022) International Conference on Computer Supported Education, CSEDU - Proceedings., 2, pp. 85-94; Almaleh, A., Aslam, M.A., Saeedi, K., Aljohani, N.R., Align My Curriculum: A Framework to Bridge the Gap between Acquired University Curriculum and Required Market Skills. doi:10.3390/su11092607; Aljohani, N., Aslam, A., Khadidos, A., Hassan, S.U., Bridging the Skill Gap between the Acquired University Curriculum and the Requirements of the Job Market: A Data-Driven Analysis of Scienti Fi C Literature Journal of Innovation &amp; Knowledge. Published online 2022; (2021), Bile Hassan I, Ghanem T, Jacobson D, Data science curriculum design: a case study. Proceedings of the 52nd ACM Technical Symposium on Computer Science Education. Published online March 3529-534. doi:10.1145/3408877.3432443; Gati, I., Kulcsár, V., Making better career decisions: from challenges to opportunities (2021) J Vocat Behav, 126; Westman, S., Kauttonen, J., Klemetti, A., Artificial intelligence for career guidance - current requirements and prospects for the future (2021) IAFOR Journal of Education, 9 (4), pp. 43-62; Deshpande, K.V., Pan, S., Foulds, J.R., Mitigating demographic bias in AI-based resume filtering (2020) Adjunct Publication of the 28th ACM Conference on User Modeling, Adaptation and Personalization, pp. 268-275. , Published online July 14; Deshpande, K., Pan, S., Foulds, J.R., Mitigating Socio-Lingustic Bias in Job Recommendation. Published online 2020. doi:10.13016/M2KDHX-ZENE; Academy, B., Kouzov, O., The new paradigms in education and support of critical thinking with artificial intelligence (AI) tools (2019) Serdica J Comput, 13 (1-2), pp. 27-40; Auerbach, R.P., Alonso, J., Axinn, W.G., Mental disorders among college students in the world health organization world mental health surveys (2016) Psychol Med, 46 (14), pp. 2955-2970; Sureshkumar, M., Niranjan Kumar S, Chris JS, Lokesh V. HELTRAK - a medical application with chatbot based on AI. 2022 1st International Conference on Computational Science and Technology (ICCST). Published online 2022:262-267. doi:10.1109/ICCST55948.2022.10040438; Le Glaz, A., Haralambous, Y., Kim-Dufor, D.H., Machine learning and natural Language Processing in mental health: systematic review (2021) J Med Internet Res, 23 (5); Graham, S., Depp, C., Lee, E.E., Artificial intelligence for mental health and mental illnesses: an overview (2019) Curr Psychiatr Rep, 21 (11); Fakhoury, M., Artificial intelligence in psychiatry (2019) Adv Exp Med Biol, 1192, pp. 119-125; Marshall, C., Lanyi, K., Green, R., Wilkins, G., Pearson, F., Craig, D., Leveraging Twitter Using Artificial Intelligence to Explore Mental Health Insights in the UK during the COVID-19 Pandemic (Preprint). Published online 2021. doi:10.2196/PREPRINTS.32449; Lee, M., Liang, P., Yang, Q., (2022), CoAuthor: designing a human-AI collaborative writing dataset for exploring language model capabilities. Proceedings of the 2022 CHI Conference on Human Factors in Computing Systems. Published online April 29 doi:10.1145/3491102.3502030; Matyo-Cepero, J., Varvisotis, S., Surviving Publish or Perish: The Junior Faculty Approach to Scholarly Writing and Publishing. Published online 2016; Scott, A., On Writer's Block: A Study of Disciplinary Negotiations in the Faculty Office and Classroom. Published online 2014; Crothers, E., Japkowicz, N., Viktor, H., Machine Generated Text: A Comprehensive Survey of Threat Models and Detection Methods. ArXiv. Published online 2022. doi:10.48550/ARXIV.2210.07321; Dehouche, N., Plagiarism in the age of massive generative pre-trained transformers (GPT-3) (2021) Ethics Sci Environ Polit, 21, pp. 17-23; Best Practices for Using AI when Writing Scientific Manuscripts Caution, Care, and Consideration: Creative Science Depends on it. Published online 2023. doi:10.1021/acsnano.3c01544; O'Connor, S., ChatGPT, Open artificial intelligence platforms in nursing education: tools for academic progress or abuse? (2023) Nurse Educ Pract, 66; Tools such as ChatGPT threaten transparent science; here are our ground rules for their use (2023) Nature, 613 (7945), p. 612; Hosseini, M., Rasmussen, L.M., Resnik, D.B., (2023), https://doi.org/101080/0898962120232168535, Using AI to write scholarly publications. Account Res, Published online January 251-9. doi:10.1080/08989621.2023.2168535; Lee, J.Y., Can an artificial intelligence chatbot be the author of a scholarly article? (2023) J Educ Eval Health Prof, 20, p. 6; Stokel-Walker, C., ChatGPT listed as author on research papers: many scientists disapprove (2023) Nature, 613 (7945), pp. 620-621; Quazi, S., Role of Artificial Intelligence and Machine Learning in Bioinformatics: Drug Discovery and Drug Repurposing. Published online 2021. doi:10.20944/PREPRINTS202105.0346.V1; Zheng, P., Wang, S., Wang, X., Zeng, X., Editorial: artificial intelligence in bioinformatics and drug repurposing: methods and applications (2022) Front Genet, 13; Xue, Y., Chen, C., Tan, R., Artificial intelligence-assisted bioinformatics, microneedle, and diabetic wound healing: a (2022) ACS Appl Mater Interfaces, 14 (33), pp. 37396-37409; Zhao, W., Wang, Z., Zhu, L., Research on the application of AI in the field of education big data mining (2021) J Phys Conf Ser, 1992 (3); Nelson, S.D., Walsh, C.G., Olsen, C.A., Demystifying artificial intelligence in pharmacy (2020) Am J Health Syst Pharm, 77 (19), pp. 1556-1570; Shue, E., Liu, L., Li, B., Feng, Z., Li, X., Hu, G., (2023), Empowering beginners in bioinformatics with ChatGPT. bioRxiv. Published online March 8 doi:10.1101/2023.03.07.531414; Bhattamisra, S.K., Banerjee, P., Gupta, P., Mayuren, J., Patra, S., Candasamy, M., Artificial intelligence in pharmaceutical and healthcare research (2023) Big Data Cognit Comput, 7 (1), p. 10; Gupta, P.P., Bastikar, V.A., Chhajed, S.S., (2019), Chemical structure databases in drug discovery. Adv Med Technol Clin Pract. Published online October 2447-61. doi:10.4018/978-1-5225-7326-5.CH002; Huang, Q., Zhai, S.J., Liao, X.W., Liu, Y.C., Yin, S.H., Gene expression, network analysis, and drug discovery of neurofibromatosis type 2-associated vestibular schwannomas based on bioinformatics analysis (2020) J Oncol, 2020; Luo, L., Zheng, W., Chen, C., Sun, S., Searching for essential genes and drug discovery in breast cancer and periodontitis via text mining and bioinformatics analysis (2021) Anti Cancer Drugs, 32 (10), pp. 1038-1045; Sharma, G., Thakur, A., ChatGPT in Drug Discovery; D'Agostino, D., Clematis, A., Quarati, A., Cloud infrastructures for in silico drug discovery: economic and practical aspects (2013) BioMed Res Int, 2013; Blanco-González, A., Cabezón, A., Seco-González, A., (2023), https://labs.openai.com/e/f9L5L4yGx1QFFeL5zHzHWNvI, The Role of AI in Drug Discovery: Challenges, Opportunities, and Strategies. Accessed March 31; Elkin, P., Mullin, S., Mardekian, J., Employing AI with NLP to combine EHR's structured and free text data to identify NVAF to decrease strokes and death (preprint). J Med Internet Res. Published online 2021. doi:10.2196/PREPRINTS.28946; Alkaitis, M.S., Agrawal, M.N., Riely, G.J., Razavi, P., Sontag, D., Automated NLP extraction of clinical rationale for treatment discontinuation in breast cancer (2021) JCO Clin Cancer Inform, (5), pp. 550-560; Tanniru, M.R., Agarwal, N., Sokan, A., Hariri, S., An agile digital platform to support population health—a case study of a digital platform to support patients with delirium using IoT, NLP, and AI (2021) Int J Environ Res Publ Health, 18 (11); Yeung, J.A., Krajevic, Z., Balston, A., Idowu, E., Dobson, R., Teo, J., AI Chatbots Not yet Ready for Clinical Use. medRxiv. Published online 2023. doi:10.1101/2023.03.02.23286705; Haman, M., Školník, M., (2023), https://doi.org/101080/0898962120232185514, Using ChatGPT to conduct a literature review. Account Res, Published online March 61-3. doi:10.1080/08989621.2023.2185514; (2023), https://www.ijsr.net/get_abstract.php?paper_id=SR23219122412, Literature Review on Pros and Cons of ChatGPT Implications in Education, IJSR, Call for Papers, Online Journal. Accessed March 30; Using ChatGPT to conduct a literature review (2023), pp. 1-3. , https://www.tandfonline.com/doi/full/10.1080/08989621.2023.2185514, 2023; Chubb, J., Cowling, P., Reed, D., Speeding up to keep up: exploring the use of AI in the research process (2022) AI Soc, 37 (4), pp. 1439-1457; Dycke, N., Kuznetsov, I., Gurevych, I.N., (2023), https://tudatalib.ulb.tu-darmstadt, A Unified Resource for the Computational Study of Peer Review. Accessed March 31; Lee, C.J., Sugimoto, C.R., Zhang, G., Cronin, B., Bias in peer review (2013) J Assoc Inf Sci Technol, 64 (1), pp. 2-17; Tomkins, A., Zhang, M., Heavlin, W.D., Reviewer bias in single- versus double-blind peer review (2017) Proc Natl Acad Sci U S A, 114 (48), pp. 12708-12713; Stelmakh, I., Shah, N.B., Singh, A., Daum'e, H., Prior and Prejudice: The Novice Reviewers' Bias against Resubmissions in Conference Peer Review. ArXiv. Published online 2020; Hosseini, M., Horbach, S.P.J.M., (2023), Fighting reviewer fatigue or amplifying bias? Considerations and recommendations for use of ChatGPT and other Large Language Models in scholarly peer review. Res Sq. Published online February 20 doi:10.21203/RS.3.RS-2587766/V1; Schulz, R., Barnett, A., Bernard, R., Is the future of peer review automated? (2022) BMC Res Notes, 15 (1); Tennant, J.P., Ross-Hellauer, T., The limitations to our understanding of peer review (2020) Res Integr Peer Rev, 5 (1), p. 6</t>
  </si>
  <si>
    <t>N/A.</t>
  </si>
  <si>
    <t>algorithm bias; artificial intelligence; career; constructive feedback; data analysis; education; field study; human; human experiment; learning; mental health; natural language processing; outcome assessment; peer review; review; tertiary education; curriculum; educational status; student; Artificial Intelligence; Curriculum; Educational Status; Humans; Learning; Students</t>
  </si>
  <si>
    <t>Artificial intelligence; Education; Large language models; Natural language processing; Pharmacy; Research</t>
  </si>
  <si>
    <t>Artificial Intelligence (AI) has revolutionized various domains, including education and research. Natural language processing (NLP) techniques and large language models (LLMs) such as GPT-4 and BARD have significantly advanced our comprehension and application of AI in these fields. This paper provides an in-depth introduction to AI, NLP, and LLMs, discussing their potential impact on education and research. By exploring the advantages, challenges, and innovative applications of these technologies, this review gives educators, researchers, students, and readers a comprehensive view of how AI could shape educational and research practices in the future, ultimately leading to improved outcomes. Key applications discussed in the field of research include text generation, data analysis and interpretation, literature review, formatting and editing, and peer review. AI applications in academics and education include educational support and constructive feedback, assessment, grading, tailored curricula, personalized career guidance, and mental health support. Addressing the challenges associated with these technologies, such as ethical concerns and algorithmic biases, is essential for maximizing their potential to improve education and research outcomes. Ultimately, the paper aims to contribute to the ongoing discussion about the role of AI in education and research and highlight its potential to lead to better outcomes for students, educators, and researchers. © 2023 The Authors</t>
  </si>
  <si>
    <t>Alqahtani, T., Department of Pharmaceutical Sciences, College of Pharmacy, King Saud bin Abdulaziz University for Health Sciences, Saudi Arabia, King Abdullah International Medical Research Center, Riyadh, Saudi Arabia; Badreldin, H.A., King Abdullah International Medical Research Center, Riyadh, Saudi Arabia, Department of Pharmacy Practice, College of Pharmacy, King Saud bin Abdulaziz University for Health Sciences, King Abdullah International Medical Research Center, Riyadh, Saudi Arabia, Pharmaceutical Care Department, King Abdulaziz Medical City, National Guard Health Affairs, Riyadh, Saudi Arabia; Alrashed, M., King Abdullah International Medical Research Center, Riyadh, Saudi Arabia, Department of Pharmacy Practice, College of Pharmacy, King Saud bin Abdulaziz University for Health Sciences, King Abdullah International Medical Research Center, Riyadh, Saudi Arabia, Pharmaceutical Care Department, King Abdulaziz Medical City, National Guard Health Affairs, Riyadh, Saudi Arabia; Alshaya, A.I., King Abdullah International Medical Research Center, Riyadh, Saudi Arabia, Department of Pharmacy Practice, College of Pharmacy, King Saud bin Abdulaziz University for Health Sciences, King Abdullah International Medical Research Center, Riyadh, Saudi Arabia, Pharmaceutical Care Department, King Abdulaziz Medical City, National Guard Health Affairs, Riyadh, Saudi Arabia; Alghamdi, S.S., Department of Pharmaceutical Sciences, College of Pharmacy, King Saud bin Abdulaziz University for Health Sciences, Saudi Arabia, King Abdullah International Medical Research Center, Riyadh, Saudi Arabia; bin Saleh, K., King Abdullah International Medical Research Center, Riyadh, Saudi Arabia, Department of Pharmacy Practice, College of Pharmacy, King Saud bin Abdulaziz University for Health Sciences, King Abdullah International Medical Research Center, Riyadh, Saudi Arabia, Pharmaceutical Care Department, King Abdulaziz Medical City, National Guard Health Affairs, Riyadh, Saudi Arabia; Alowais, S.A., King Abdullah International Medical Research Center, Riyadh, Saudi Arabia, Department of Pharmacy Practice, College of Pharmacy, King Saud bin Abdulaziz University for Health Sciences, King Abdullah International Medical Research Center, Riyadh, Saudi Arabia, Pharmaceutical Care Department, King Abdulaziz Medical City, National Guard Health Affairs, Riyadh, Saudi Arabia; Alshaya, O.A., King Abdullah International Medical Research Center, Riyadh, Saudi Arabia, Department of Pharmacy Practice, College of Pharmacy, King Saud bin Abdulaziz University for Health Sciences, King Abdullah International Medical Research Center, Riyadh, Saudi Arabia, Pharmaceutical Care Department, King Abdulaziz Medical City, National Guard Health Affairs, Riyadh, Saudi Arabia; Rahman, I., Department of Basic Dental Sciences, College of Dentistry, Princess Nourah bint Abdulrahman University, P.O. Box 84428, Riyadh, 11671, Saudi Arabia; Al Yami, M.S., King Abdullah International Medical Research Center, Riyadh, Saudi Arabia, Department of Pharmacy Practice, College of Pharmacy, King Saud bin Abdulaziz University for Health Sciences, King Abdullah International Medical Research Center, Riyadh, Saudi Arabia, Pharmaceutical Care Department, King Abdulaziz Medical City, National Guard Health Affairs, Riyadh, Saudi Arabia; Albekairy, A.M., King Abdullah International Medical Research Center, Riyadh, Saudi Arabia, Department of Pharmacy Practice, College of Pharmacy, King Saud bin Abdulaziz University for Health Sciences, King Abdullah International Medical Research Center, Riyadh, Saudi Arabia, Pharmaceutical Care Department, King Abdulaziz Medical City, National Guard Health Affairs, Riyadh, Saudi Arabia</t>
  </si>
  <si>
    <t>Department of Pharmaceutical Sciences, College of Pharmacy, King Saud bin Abdulaziz University for Health Sciences, Saudi Arabia; King Abdullah International Medical Research Center, Riyadh, Saudi Arabia; Department of Pharmacy Practice, College of Pharmacy, King Saud bin Abdulaziz University for Health Sciences, King Abdullah International Medical Research Center, Riyadh, Saudi Arabia; Pharmaceutical Care Department, King Abdulaziz Medical City, National Guard Health Affairs, Riyadh, Saudi Arabia; Department of Basic Dental Sciences, College of Dentistry, Princess Nourah bint Abdulrahman University, P.O. Box 84428, Riyadh, 11671, Saudi Arabia</t>
  </si>
  <si>
    <t>https://www.scopus.com/inward/record.uri?eid=2-s2.0-85162096958&amp;doi=10.1016%2fj.sapharm.2023.05.016&amp;partnerID=40&amp;md5=0f64e9ed4681b4b86e8e6fd8c80ef00c</t>
  </si>
  <si>
    <t>Research in Social and Administrative Pharmacy</t>
  </si>
  <si>
    <t>56014236500;57190973148;57458054100;56916024300;57224012693;57190609432;57216868796;57218346061;57206898909;57193308791;55645843000;</t>
  </si>
  <si>
    <t>Alqahtani T., Badreldin H.A., Alrashed M., Alshaya A.I., Alghamdi S.S., bin Saleh K., Alowais S.A., Alshaya O.A., Rahman I., Al Yami M.S., Albekairy A.M.</t>
  </si>
  <si>
    <t>Co, M.T.-H.; L.K.S. Faculty of Medicine, Hong Kong; email: mcth@hku.hk</t>
  </si>
  <si>
    <t>Nassar, AK, Reid, S, Kahnamoui, K, Tuma, F, Waheed, A, McConnell, M., Burnout among Academic Clinicians as It Correlates with Workload and Demographic Variables (2020) Behavioral Sciences, 10 (6), p. 94. , https://doi.org/10.3390/bs10060094, PMID: 32471265; Rao, SK, Kimball, AB, Lehrhoff, SR, Hidrue, MK, Colton, DG, Ferris, TG, The Impact of Administrative Burden on Academic Physicians: Results of a Hospital-Wide Physician Survey (2017) Academic Medicine, 92 (2), pp. 237-243. , https://doi.org/10.1097/ACM.0000000000001461, PMID: 28121687; Yeoh, KG., The future of medical education (2019) Singapore Med J, 60 (1), pp. 3-8. , https://doi.org/10.11622/smedj.2019003, PMID: 30840994; Wong, BM, Levinson, W, Shojania, KG., Quality improvement in medical education: current state and future directions (2012) Med Educ, 46 (1), pp. 107-119. , https://doi.org/10.1111/j.1365-2923.2011.04154.x, PMID: 22150202; Chen, L, Chen, P, Lin, Z., Artificial Intelligence in Education: A Review (2020) IEEE Access, 8, pp. 75264-75278; Scotti, V., Artificial intelligence (2020) IEEE Instrumentation &amp; Measurement Magazine, 23 (3), pp. 27-31; Jordan, MI, Mitchell, TM., Machine learning: Trends, perspectives, and prospects (2015) Science, 349 (6245), pp. 255-260. , https://doi.org/10.1126/science.aaa8415, PMID: 26185243; Wei, J, Tay, Y, Bommasani, R, Raffel, C, Zoph, B, Borgeaud, S, (2022) Emergent abilities of large language models, , arXiv preprint arXiv:220607682; AI, O., ChatGPT: Optimizing Language Models for Dialogue San Francisco, , https://openai.com/blog/chatgpt/, Canada2023; Kung, TH, Cheatham, M, Medenilla, A, Sillos, C, De Leon, L, Elepaño, C, Performance of ChatGPT on USMLE: Potential for AI-assisted medical education using large language models (2023) PLOS Digital Health, 2 (2), p. e0000198. , https://doi.org/10.1371/journal.pdig.0000198, PMID: 36812645; O’Connor, S, ChatGpt, Open artificial intelligence platforms in nursing education: Tools for academic progress or abuse? (2023) Nurse Education in Practice, 66, p. 103537. , https://doi.org/10.1016/j.nepr.2022.103537, PMID: 36549229; Haladyna, TM, Downing, SM, Rodriguez, MC., A Review of Multiple-Choice Item-Writing Guidelines for Classroom Assessment (2002) Applied Measurement in Education, 15 (3), pp. 309-333; Kilgour, JM, Tayyaba, S., An investigation into the optimal number of distractors in single-best answer exams (2016) Adv Health Sci Educ Theory Pract, 21 (3), pp. 571-585. , https://doi.org/10.1007/s10459-015-9652-7, PMID: 26597452; Dion, V, St-Onge, C, Bartman, I, Touchie, C, Pugh, D., Written-Based Progress Testing: A Scoping Review (2022) Academic Medicine, 97 (5), pp. 747-757. , https://doi.org/10.1097/ACM.0000000000004507, PMID: 34753858; Loscalzo, J, Fauci, AS, Kasper, DL, Hauser, S, Longo, D, Jameson, JL., (2022) Harrison’s Principles of Internal Medicine, Twenty-First Edition (Vol.1 &amp; Vol.2), , McGraw Hill LLC; Williams, NS, O’Connell, PR, McCaskie, AW., (2018) Bailey &amp; Love’s Short Practice of Surgery, , Taylor &amp; Francis Group; Introducing ChatGPT Plus 2023, , https://openai.com/blog/chatgpt-plus/, OpenAI; Supported countries and territories 2023, , https://platform.openai.com/docs/supported-countries; Kumar, D, Jaipurkar, R, Shekhar, A, Sikri, G, Srinivas, V., Item analysis of multiple choice questions: A quality assurance test for an assessment tool (2021) Medical Journal Armed Forces India, 77, pp. S85-S9. , https://doi.org/10.1016/j.mjafi.2020.11.007, PMID: 33612937; Brame, CJ., (2013) Writing good multiple choice test questions, , https://cft.vanderbilt.edu/guides-subpages/writing-good-multiple-choice-test-questions/; Iñarrairaegui, M, Fernández-Ros, N, Lucena, F, Landecho, MF, García, N, Quiroga, J, Evaluation of the quality of multiple-choice questions according to the students’ academic level (2022) BMC Med Educ, 22 (1), p. 779. , https://doi.org/10.1186/s12909-022-03844-3, PMID: 36369070; Gierl, MJ, Bulut, O, Guo, Q, Zhang, X., Developing, Analyzing, and Using Distractors for Multiple-Choice Tests in Education: A Comprehensive Review (2017) Review of Educational Research, 87 (6), pp. 1082-1116; Shin, J, Guo, Q, Gierl, MJ., Multiple-Choice Item Distractor Development Using Topic Modeling Approaches (2019) Front Psychol, 10, p. 825. , https://doi.org/10.3389/fpsyg.2019.00825, PMID: 31133911; Adams, NE., Bloom’s taxonomy of cognitive learning objectives (2015) Journal of the Medical Library Association: JMLA, 103 (3), p. 152. , https://doi.org/10.3163/1536-5050.103.3.010, PMID: 26213509; GPT-2 Output Detector 2022, , https://huggingface.co/openai-detector, OpenAI; Haladyna, TM., (2004) Developing and validating multiple-choice test items, , Routledge; Vegada, B, Shukla, A, Khilnani, A, Charan, J, Desai, C., Comparison between three option, four option and five option multiple choice question tests for quality parameters: A randomized study (2016) Indian J Pharmacol, 48 (5), pp. 571-575. , https://doi.org/10.4103/0253-7613.190757, PMID: 27721545; Epstein, RM., Assessment in Medical Education (2007) New England Journal of Medicine, 356 (4), pp. 387-396. , https://doi.org/10.1056/NEJMra054784, PMID: 17251535; Haenlein, M, Kaplan, A., A brief history of artificial intelligence: On the past, present, and future of artificial intelligence (2019) California management review, 61 (4), pp. 5-14; Howard, FM, Dolezal, J, Kochanny, S, Schulte, J, Chen, H, Heij, L, The impact of site-specific digital histology signatures on deep learning model accuracy and bias (2021) Nat Commun, 12 (1), p. 4423. , https://doi.org/10.1038/s41467-021-24698-1, PMID: 34285218; Maynez, J, Narayan, S, Bohnet, B, McDonald, R., (2020) On faithfulness and factuality in abstractive summarization, , arXiv preprint arXiv:200500661; Heaven, WD., Why Meta’s latest large language model survived only three days online US (2023) MIT Technology Review, , https://www.technologyreview.com/2022/11/18/1063487/meta-large-languagemodel-ai-only-survived-three-days-gpt-3-science/; Alkaissi, H, McFarlane, SI., Artificial Hallucinations in ChatGPT: Implications in Scientific Writing (2023) Cureus, 15 (2), p. e35179. , https://doi.org/10.7759/cureus.35179, PMID: 36811129; OpenAI. GPT-4 2023, , https://openai.com/research/gpt-4</t>
  </si>
  <si>
    <t>article; ChatGPT; controlled study; Hong Kong; human; human experiment; Ireland; medical examination; medical staff; multicenter study; multiple choice test; prospective study; quality control; randomized controlled trial; Singapore; United Kingdom; workload; Hong Kong; Ireland; Singapore; United Kingdom; Hong Kong; Humans; Ireland; Prospective Studies; Singapore; United Kingdom</t>
  </si>
  <si>
    <t>Cheung, B.H.H., L.K.S. Faculty of Medicine, University of Hong Kong, Hong Kong, Hong Kong; Lau, G.K.K., L.K.S. Faculty of Medicine, University of Hong Kong, Hong Kong, Hong Kong; Wong, G.T.C., L.K.S. Faculty of Medicine, University of Hong Kong, Hong Kong, Hong Kong; Lee, E.Y.P., L.K.S. Faculty of Medicine, University of Hong Kong, Hong Kong, Hong Kong; Kulkarni, D., Department of Surgery, University of Edinburgh, Edinburgh, United Kingdom; Seow, C.S., Department of Surgery, National University Cancer Institute Singapore, Singapore, Singapore; Wong, R., Department of Surgery, University of Galway, Galway, Ireland; Co, M.T.-H., L.K.S. Faculty of Medicine, University of Hong Kong, Hong Kong, Hong Kong</t>
  </si>
  <si>
    <t>56516330600;58307574200;19637815700;55330110400;55991853500;58584816400;58307574400;54915588000;</t>
  </si>
  <si>
    <t>Cheung B.H.H., Lau G.K.K., Wong G.T.C., Lee E.Y.P., Kulkarni D., Seow C.S., Wong R., Co M.T.-H.</t>
  </si>
  <si>
    <t>French, F.; School of Computing and Digital Media, United Kingdom; email: f.french@londonmet.ac.uk</t>
  </si>
  <si>
    <t>Crawford, J., Cowling, M., Allen, K.-A., Leadership is needed for ethical ChatGPT: Character, assessment, and learning using artificial intelligence (AI) (2023) J. Univ. Teach. Learn. Pract, 20, p. 2; Yu, H., Reflection on whether Chat GPT should be banned by academia from the perspective of education and teaching (2023) Front. Psychol, 14, p. 1181712. , https://www.frontiersin.org/articles/10.3389/fpsyg.2023.1181712, Available online:, 37325766; Chen, Y., Jensen, S., Albert, L.J., Gupta, S., Lee, T., Artificial Intelligence (AI) Student Assistants in the Classroom: Designing Chatbots to Support Student Success (2023) Inf. Syst. Front, 25, pp. 161-182; Farrokhnia, M., Banihashem, S.K., Noroozi, O., Wals, A., A SWOT analysis of ChatGPT: Implications for educational practice and research (2023) Innov. Educ. Teach. Int, pp. 1-15; Cotton, D.R.E., Cotton, P.A., Shipway, J.R., Chatting and cheating: Ensuring academic integrity in the era of ChatGPT (2023) Innov. Educ. Teach. Int, pp. 1-12; Pongsakorn, L., Somporch, J., Sutithep, S., Pichart, K., Patcharavadee, S., A Review of Artificial Intelligence (AI) in Education during the Digital Era (July 2022) (2022) Adv. Knowl. Exec, 1, pp. 1-9. , https://ssrn.com/abstract=4160798, Available online; GitHub Copilot · Your AI Pair Programmer · GitHub, , https://github.com/features/copilot, Available online; Puryear, B., Sprint, G., Github Copilot in the Classroom: Learning to Code with AI Assistance (2022) J. Comput. Sci. Coll, 38, pp. 37-47; Huang, A.Y., Lu, O.H., Yang, S.J., Effects of artificial Intelligence–Enabled personalized recommendations on learners’ learning engagement, motivation, and outcomes in a flipped classroom (2023) Comput. Educ, 194, p. 104684; Ji, H., Han, I., Ko, Y., A systematic review of conversational AI in language education: Focusing on the collaboration with human teachers (2022) J. Res. Technol. Educ, 55, pp. 48-63; Alharbi, W., AI in the Foreign Language Classroom: A Pedagogical Overview of Automated Writing Assistance Tools (2023) Educ. Res. Int, 2023, p. 4253331; https://www.awesomescreenshot.com/blog/knowledge/will-chatgpt-replace-programmers, Available online; Bhaimiya, S., (2023) ChatGPT Could Hypothetically Get Hired as an Entry Level Coder If It Interviewed at Google, Internal Document Reportedly Says. Business Insider, , https://www.businessinsider.com/chatgpt-google-could-get-hired-as-coder-internal-document-report-2023-2, Available online; Surameery, N.M.S., Shakor, M.Y., Use Chat GPT to Solve Programming Bugs (2022) Int. J. Inf. Technol. Comput. Eng, 3, pp. 17-22; Arya, R., Kim, J., Kamineni, M., Pang, M., Lie, W., Succi, M.D., Evaluating ChatGPT as an Adjunct for Radiologic Decision-Making (2023) medRxiv; Liu, S., Wright, A.P., Patterson, B.L., Wanderer, J.P., Turer, R.W., Nelson, S.D., McCoy, A.B., Wright, A., Using AI-generated suggestions from ChatGPT to optimize clinical decision support (2023) J. Am. Med Inform. Assoc, 30, pp. 1237-1245; Cascella, M., Montomoli, J., Bellini, V., Bignami, E., Evaluating the Feasibility of ChatGPT in Healthcare: An Analysis of Multiple Clinical and Research Scenarios (2023) J. Med Syst, 47, p. 33. , 36869927; Borji, A., A Categorical Archive of ChatGPT Failures (2023) arXiv, , 2302.03494; Paul, C., Leike, J., Brown, T.B., Martic, M., Legg, S., Amodei, D., Deep Reinforcement Learning from Human Preferences (2023) arXiv, , 1706.03741; Bishop, J.M., Artificial Intelligence Is Stupid and Causal Reasoning Will Not Fix It (2021) Front. Psychol, 11, p. 2603; Floridi, L., AI as Agency Without Intelligence: On ChatGPT, Large Language Models, and Other Generative Models (2023) Philos. Technol, 36, p. 15; Bender Emily, M., Gebru, T., McMillan-Major, A., Shmitchell, S., On the Dangers of Stochastic Parrots: Can Language Models Be Too Big? (2021) Proceedings of the 2021 ACM Conference on Fairness, Accountability, and Transparency, pp. 610-623. , FAccT ’21, Association for Computing Machinery, New York, NY, USA; Gregory, J., Facilitation and facilitator style (2006) The Theory and Practice of Teaching, 2006, pp. 98-113. , Routledge, Oxfordshire, UK; (2023), https://openai.com/research/dall-e-2-pre-training-mitigations, Available online; (2023), https://commoncrawl.org/, Available online; Perrigo, B., Exclusive: The $2 Per Hour Workers Who Made ChatGPT Safer. Journalism. Time. 18 January 2023, , https://time.com/6247678/openai-chatgpt-kenya-workers/, Available online; Alexandra, L., Viviano, J., What’s in the Box? An Analysis of Undesirable Content in the Common Crawl Corpus (2021) Proceedings of the 59th Annual Meeting of the Association for Computational Linguistics and the 11th International Joint Conference on Natural Language Processing (Volume 2: Short Papers), pp. 182-189. , https://www.aclweb.org/portal, Online portal, Association for Computational Linguistics, Toronto, ON, Canada, Available online; Ameet, D., Murahari, V., Rajpurohit, T., Kalyan, A., Narasimhan, K., Toxicity in ChatGPT: Analyzing Persona-Assigned Language Models (2023) arXiv, , 2304.05335; (2023), https://unity.com/, Available online; (2022), https://visualstudio.microsoft.com/, Available online; Topping, K.J., Trends in Peer Learning (2005) Educ. Psychol, 25, pp. 631-645; Zhang, Z., Jonathan, G.B., Peer Learning for University Students’ Learning Enrichment: Perspectives of Undergraduate Students (2019) J. Peer Learn, 12, pp. 61-74; Altundas, S., (2023) OpenAI-Unity, , https://github.com/srcnalt/OpenAI-Unity, Available online; Shute, V.J., Focus on Formative Feedback (2008) Rev. Educ. Res, 78, pp. 153-189; Al Jahromi, D., Can Teacher and Peer Formative Feedback Enhance L2 University Students’ Oral Presentation Skills? (2020) Changing Language Assessment: New Dimensions, New Challenges, pp. 95-131. , Springer, Berlin/Heidelberg, Germany; Kejiro, T., (2023) AICommand: ChatGPT Integration with Unity Editor, , https://github.com/keijiro/AICommand, Available online; (2010), https://www.minecraft.net/en-us, Available online; (2016), https://www.nomanssky.com/, Available online; Compton, C., How Minecraft Generates Massive Virtual Worlds from Scratch. 28 February 2021, , https://remptongames.com/2021/02/28/how-minecraft-generates-massive-virtual-worlds-from-scratch/, Available online; Blazquez, J.C., (2022) Endless Worlds, Realistic Worlds: Procedural Generation and Artificial Intelligence in Video Games. Telefónica Tech, , https://telefonicatech.com/en/blog/realistic-worlds-procedural-generation-artificial-intelligence-video-games, Available online; Green, D., (2016) The Pros and Cons of Procedural Generation—Procedural Content Generation for C++ Game Development, , https://www.oreilly.com/library/view/procedural-content-generation/9781785886713/ch11s02.html, O’Reilly, Sebastopol, CA, USA, Available online; (2023) Stable Diffusion, , https://stability.ai/stablediffusion, Available online; (2023), https://www.linkedin.com/pulse/what-dall-e-mid-journey-artificial-intelligence, Available online; (2023) Jujutsu Kaisen, , https://en.wikipedia.org/w/index.php?title=Jujutsu_Kaisen&amp;oldid=1166245641, Available online; (2022) Has Anyone Managed to Create Images with Transparent Backgrounds? Reddit Post. R/Dalle2, , https://www.reddit.com/r/dalle2/comments/wn5hpy/has_anyone_managed_to_create_images_with/, Available online; (2023), https://aidungeon.io/, Available online; (2023) AI Dungeon, , https://en.wikipedia.org/w/index.php?title=AI_Dungeon&amp;oldid=1166102901, Available online; Staff, F.P., AI Turns Bond Villain: Microsoft’s AI Bot Wants to Make a Deadly Virus, Steal Nuclear Launch Codes. Firstpost. 21 February 2023, , https://www.firstpost.com/world/microsofts-ai-bot-wants-to-make-a-deadly-virus-steal-nuclear-launch-codes-12186972.html, Available online; Novak, M., (2023) Microsoft Puts New Limits on Bing’s AI Chatbot after It Expressed Desire to Steal Nuclear Secrets. Forbes, , https://www.forbes.com/sites/mattnovak/2023/02/18/microsoft-puts-new-limits-on-bings-ai-chatbot-after-it-expressed-desire-to-steal-nuclear-secrets/, Available online; (2023) Square Enix AI Tech Preview: The Portopia Serial Murder Case on Steam. Steam, , https://store.steampowered.com/app/2280000/SQUARE_ENIX_AI_Tech_Preview_THE_PORTOPIA_SERIAL_MURDER_CASE/, Available online; Staff, A., The Machines Are Whispering: We Tested AI Dungeon 2 and Cannot Stop Laughing. Ars Technica. 20 January 2020, , https://arstechnica.com/gaming/2020/01/we-test-ai-dungeon-2-a-text-adventure-that-creates-itself-with-your-help/, Available online; Barth, R., (2023) The Convergence of AI and Creativity: Introducing Ghostwriter. Ubisoft, , https://news.ubisoft.com/en-us/article/7Cm07zbBGy4Xml6WgYi25d/the-convergence-of-ai-and-creativity-introducing-ghostwriter, Available online; (2023) The Elder Scrolls|Skyrim. Elder Scrolls, , https://elderscrolls.bethesda.net/en/skyrim, Available online; (2023), https://www.reddit.com/r/pcgaming/comments/1335vzw/modder_wires_chatgpt_into_skyrim_vr_so_npcs_can/, Available online; (2023), https://www.reddit.com/r/singularity/comments/12zveq0/chatgpt_in_skyrim_vr_with_lip_synced_voice/, Available online; Beckwith, M., ChatGPT Can Be Used for AI Generated NPC Dialogue and Voices in New Skyrim Mod. Metro (Blog). 28 April 2023, , https://metro.co.uk/2023/04/28/chatgpt-can-be-used-for-ai-generated-npc-dialogue-in-new-skyrim-mod-18690766/, Available online; Montfort, N., (2005) Twisty Little Passages: An Approach to Interactive Fiction, , Mass, Cambridge, UK, MIT Press, London, UK; David, G., Jennifer, E.V., Wang, Y., Turek, M., DARPA’s Explainable AI (XAI) Program: A Retrospective (2021) Appl. AI Lett, 2; Whitten, M., Introducing Unity Muse and Unity Sentis AI. Unity Blog (Blog). 27 June 2023, , https://blog.unity.com/engine-platform/introducing-unity-muse-and-unity-sentis-ai, Available online; Schappert, S., Twitter Blocks Non-Users from Reading Tweets over AI Data Scraping. Cyber News, 3 July 2023, , https://cybernews.com/news/twitter-blocks-non-users-reading-tweets-ai-scraping/, Available online; Creamer, E., Authors File a Lawsuit against OpenAI for Unlawfully “Ingesting” Their Books. The Guardian, 5 July 2023, , https://www.theguardian.com/books/2023/jul/05/authors-file-a-lawsuit-against-openai-for-unlawfully-ingesting-their-books, Available online; Milmo, D., Sarah Silverman Sues OpenAI and Meta Claiming AI Training Infringed Copyright. The Guardian, 10 July 2023. Technology, , https://www.theguardian.com/technology/2023/jul/10/sarah-silverman-sues-openai-meta-copyright-infringement, Available online; Milmo, D., US’s Top Competition Watchdog Opens Investigation into ChatGPT Maker. The Guardian, 13 July 2023, , https://www.theguardian.com/technology/2023/jul/13/ftc-investigate-chat-gpt-openai, Available online; Hacker, P., Engel, A., Mauer, M., Regulating ChatGPT and Other Large Generative AI Models (2023) Proceedings of the 2023 ACM Conference on Fairness, Accountability, and Transparency, FAccT ’23, pp. 1112-1123. , Chicago, IL, USA, 12–15 June 2023, Association for Computing Machinery, New York, NY, USA; Potter, M.C., Wyble, B., Hagmann, C.E., McCourt, E.S., Detecting meaning in RSVP at 13 ms per picture (2013) Atten. Percept. Psychophys, 76, pp. 270-279. , 24374558; Ventayen, R., Magno, J., (2023) OpenAI ChatGPT Generated Results: Similarity Index of Artificial Intelligence-Based Contents (21 January 2023). Advances in Intelligent Systems and Computing, , https://ssrn.com/abstract=4332664, Available online; Finnie-Ansley, J., Denny, P., Becker, B.A., Luxton-Reilly, A., Prather, J., The Robots Are Coming: Exploring the Implications of OpenAI Codex on Introductory Programming (2022) Proceedings of the 24th Australasian Computing Education Conference (ACE ‘22), pp. 10-19. , Virtual Event, Australia, 14–18 February 2022, Association for Computing Machinery, New York, NY, USA; Luccioni, A.S., Viguier, S., Ligozat, A.-L., Estimating the Carbon Footprint of BLOOM, a 176B Parameter Language Model (2022) arXiv, , 2211.02001</t>
  </si>
  <si>
    <t>French, F., School of Computing and Digital Media, London Metropolitan University, London, N7 8DB, United Kingdom; Levi, D., School of Computing and Digital Media, London Metropolitan University, London, N7 8DB, United Kingdom; Maczo, C., School of Computing and Digital Media, London Metropolitan University, London, N7 8DB, United Kingdom; Simonaityte, A., School of Computing and Digital Media, London Metropolitan University, London, N7 8DB, United Kingdom; Triantafyllidis, S., School of Computing and Digital Media, London Metropolitan University, London, N7 8DB, United Kingdom; Varda, G., School of Computing and Digital Media, London Metropolitan University, London, N7 8DB, United Kingdom</t>
  </si>
  <si>
    <t>56369297600;58553580400;58553580500;58553039200;58553580600;58554120600;</t>
  </si>
  <si>
    <t>French F., Levi D., Maczo C., Simonaityte A., Triantafyllidis S., Varda G.</t>
  </si>
  <si>
    <t>Fadda, E.; Department of Chemistry, Ireland; email: elisa.fadda@mu.ie</t>
  </si>
  <si>
    <t>Bommasani, R, Hudson, DA, Adeli, E, Altman, R, Arora, S, von Arx, S, Bernstein, MS, Brunskill, E, (2021) On the opportunities and risks of foundation models, , arXiv [csLG]; Casalino, L, Gaieb, Z, Goldsmith, JA, Hjorth, CK, Dommer, AC, Harbison, AM, Fogarty, CA, McLellan, JS, Beyond shielding: the roles of glycans in the SARS-CoV-2 spike protein (2020) ACS Cent Sci, 6 (10), pp. 1722-1734; Chomsky, N, Roberts, I, Watumull, J, Chomsky, N., The false promise of ChatGPT, , New York: NY Times; Ferruz, N, Schmidt, S, Höcker, B., ProtGPT2 is a deep unsupervised language model for protein design (2022) Nat Commun, 13 (1), p. 4348; Lin, Z, Akin, H, Rao, R, Hie, B, Zhu, Z, Lu, W, Smetanin, N, Shmueli, Y, Evolutionary-scale prediction of atomic-level protein structure with a language model (2023) Science, 379 (6637), pp. 1123-1130; Madani, A, Krause, B, Greene, ER, Subramanian, S, Mohr, BP, Holton, JM, Olmos, JL, Socher, R, Large language models generate functional protein sequences across diverse families (2023) Nat Biotechnol; Newby, ML, Fogarty, CA, Allen, JD, Butler, J, Fadda, E, Crispin, M., Variations within the glycan shield of SARS-CoV-2 impact viral spike dynamics (2022) J Mol Biol, 435 (4), p. 167928; Seeberger, PH., Automated carbohydrate synthesis to drive chemical glycomics (2003) Chem Commun, (10), pp. 1115-1121; Stokel-Walker, C, Van Noorden, R., What ChatGPT and generative AI mean for science (2023) Nature, 614 (7947), pp. 214-216; Vaswani, A, Shazeer, N, Parmar, N, Uszkoreit, J, Jones, L, Gomez, AN, Kaiser, Ł, Polosukhin, I., Attention is all you need (2017) Adv Neural Inf Process Syst, p. 30; Vu, MH, Akbar, R, Robert, PA, Swiatczak, B, Sandve, GK, Greiff, V, Haug, DTT., Linguistically inspired roadmap for building biologically reliable protein language models (2023) Nat Mach Intell, 5 (5), pp. 485-496</t>
  </si>
  <si>
    <t>DOW is a final year BSc Double Honors student in Chemistry and in Mathematics and Statistics at Maynooth University. The work presented in this manuscript is part of DOW’s final year project in Chemistry. EF is an associate professor in the Department of Chemistry, affiliated to the Hamilton Institute at Maynooth University and project supervisor. EF designed the project. DOW ran all the tests on ChatGPT and reported the results. DOW and EF analyzed, discussed, and summarized the results. DOW and EF wrote the manuscript. DOW and EF gratefully acknowledge Prof David Malone from the Department of Mathematics and Statistics and Hamilton Institute at Maynooth University for insightful discussions.</t>
  </si>
  <si>
    <t>Article; carbohydrate analysis; ChatGPT; clinical evaluation; glycobiology; human; language model; medical documentation; medical information; multiple choice test; nonhuman; questionnaire; scientific literature; task performance; writing; glycomics; Glycomics; Humans</t>
  </si>
  <si>
    <t>Williams, D.O., Department of Chemistry, Maynooth University, co. Kildare, Maynooth, Ireland; Fadda, E., Department of Chemistry, Maynooth University, co. Kildare, Maynooth, Ireland, Hamilton Institute, Maynooth University, co. Kildare, Maynooth, Ireland</t>
  </si>
  <si>
    <t>58288196300;10042754800;</t>
  </si>
  <si>
    <t>Williams D.O., Fadda E.</t>
  </si>
  <si>
    <t>6 August 2023 through 10 August 2023</t>
  </si>
  <si>
    <t>29th ACM SIGKDD Conference on Knowledge Discovery and Data Mining, KDD 2023</t>
  </si>
  <si>
    <t>ACM SIGKDD;ACM SIGMOD</t>
  </si>
  <si>
    <t>Brown, T.B., Mann, B., Ryder, N., Subbiah, M., Kaplan, J., Dhariwal, P., Neelakantan, A., Askell, A., Language models are few-shot learners (2020) Proceedings of Advances in Neural Information Processing Systems (NeurIPS), 33, pp. 1877-1901; Chen, M., (2021) Evaluating Large Language Models Trained on Code, , 2021 2107. 03374; Chowdhery, A., Narang, S., Devlin, J., Bosma, M., Mishra, G., Roberts, A., Barham, P., Gehrmann, S., (2022) PaLM: Scaling language modeling with pathways, , 2022; Drori, I., Zhang, S., Shuttleworth, R., Tang, L., Lu, A., Ke, E., Liu, K., Strang, G., A Neural Network Solves, Explains, and Generates University Math Problems by Program Synthesis and Few-Shot Learning at Human Level (2022) Proceedings of the National Academy of Sciences, 119 (32). , 2022; Hendrycks, D., Burns, C., Basart, S., Zou, A., Mazeika, M., Song, D., Steinhardt, J., Measuring massive multitask language understanding (2021) Proceedings of the International Conference on Learning Representations (ICLR); Kojima, T., Shane Gu, S., Reid, M., Matsuo, Y., Iwasawa, Y., (2022) Large Language Models are Zero-Shot Reasoners, , 2022; Li, Y., Choi, D., Chung, J., Kushman, N., Schrittwieser, J., Leblond, R., Eccles, T., Dal Lago, A., (2022) Competition-level code generation with alphacode, , 2022; (2023) Mathpix Snip, , https://mathpix.com/; (2022) ChatGPT: Optimizing Language Models for Dialogue, , OpenAI 2022; Qu, F., Jia, X., Wu, Y., Asking Questions Like Educational Experts: Automatically Generating Question-Answer Pairs on Real-World Examination Data (2021) Proceedings of the 2021 Conference on Empirical Methods in Natural Language Processing, , Association for Computational Linguistics, Online and Punta Cana, Dominican Republic; Rae, J.W., Borgeaud, S., Cai, T., Millican, K., Hoffmann, J., Song, F., Aslanides, J., Young, S., (2021) Scaling language models: Methods, analysis &amp; insights from training gopher, , 2021; Le Scao, T., Fan, A., Akiki, C., Pavlick, E., Ilic, S., Hesslow, D., Castagné, R., Ifeoluwa Adelani, D., (2022) BLOOM: A 176B-Parameter Open-Access Multilingual Language Model, , 2022; Srivastava, A., Rastogi, A., Rao, A., Awal Md Shoeb, A., Abid, A., Fisch, A., Brown, A.R., Garriga-Alonso, A., (2022) Beyond the Imitation Game: Quantifying and extrapolating the capabilities of language models, , 2022; Tang, L., Ke, E., Singh, N., Feng, B., Austin, D., Verma, N., Drori, I., Solving Probability and Statistics problems by probabilistic program synthesis at human level and predicting solvability (2022) Proceedings of the International Conference on Artificial Intelligence in Education (AIED); Tran, S., Krishna, P., Pakuwal, I., Kafle, P., Singh, N., Lynch, J., Drori, I., Solving Machine Learning Problems (2021) Proceedings of the Asian Conference on Machine Learning (ACML), pp. 470-485; Wang, X., Wei, J., Schuurmans, D., Le, Q., Chi, E., Zhou, D., (2022) Self-consistency improves chain of thought reasoning in language models, , 2022; Wei, J., Wang, X., Schuurmans, D., Bosma, M., Chi, E., Le, Q., Zhou, D., (2022) Chain of thought prompting elicits reasoning in large language models, , 2022; Zhou, D., Schärli, N., Hou, L., Wei, J., Scales, N., Wang, X., Schuurmans, D., Chi, E., (2022) Least-to-Most Prompting Enables Complex Reasoning in Large Language Models, , 2022</t>
  </si>
  <si>
    <t>A final exam in machine learning at a top institution such as MIT, Harvard, or Cornell typically takes faculty days to write, and students hours to solve. We demonstrate that large language models pass machine learning finals at a human level on finals available online and automatically generate new human-quality final exam questions in seconds. Previous work has developed program synthesis and few-shot learning methods to solve university-level problem set questions in mathematics and STEM courses. In this work, we develop and compare methods that solve final exams, which differ from problem sets in several ways: the questions are longer, have multiple parts, are more complicated, and span a broader set of topics. We curate a dataset and benchmark of questions from machine learning final exams available online and code for answering these questions and generating new questions. We show how to generate new questions from other questions and course notes. For reproducibility and future research on this final exam benchmark, we use automatic checkers for multiple-choice, numeric, and questions with expression answers. A student survey comparing the quality, appropriateness, and difficulty of machine-generated questions with human-written questions shows that across multiple aspects, machine-generated questions are indistinguishable from human-generated questions and are suitable for final exams. We perform ablation studies comparing zero-shot learning with few-shot learning and chain-of-thought prompting using GPT-3, OPT, Codex, and ChatGPT across machine learning topics and find that few-shot learning methods perform best. We highlight the transformative potential of language models to streamline the writing and solution of large-scale assessments, significantly reducing the workload from human days to mere machine seconds. Our results suggest that rather than banning large language models such as ChatGPT in class, instructors should teach students to harness them by asking students meta-questions about correctness, completeness, and originality of the responses generated, encouraging critical thinking in academic studies. © 2023 Owner/Author.</t>
  </si>
  <si>
    <t>Drori, I., MIT, Columbia University, BU, Cambridge, United States; Zhang, S.J., MIT, Cambridge, United States; Shuttleworth, R., MIT, Cambridge, United States; Zhang, S., MIT, Cambridge, United States; Tyser, K., Boston University, Boston, United States; Chin, Z., Harvard University, Cambridge, United States; Lantigua, P., MIT, Columbia University, BU, Cambridge, United States; Surbehera, S., Columbia University, New York, United States; Hunter, G., Columbia University, New York, United States; Austin, D., Columbia University, New York, United States; Tang, L., Harvard University, Cambridge, United States; Hicke, Y., Cornell University, Ithaca, United States; Simhon, S., MIT, Cambridge, United States; Karnik, S., MIT, Cambridge, United States; Granberry, D., MIT, Cambridge, United States; Udell, M., Stanford University, Stanford, United States</t>
  </si>
  <si>
    <t>55941017400;57687137500;57685852500;58493470100;57997553900;57997470000;58493660200;57997553800;57997298900;57764935900;57353687000;57765375300;58493515400;57750788600;58493515500;55985937900;</t>
  </si>
  <si>
    <t>Drori I., Zhang S.J., Shuttleworth R., Zhang S., Tyser K., Chin Z., Lantigua P., Surbehera S., Hunter G., Austin D., Tang L., Hicke Y., Simhon S., Karnik S., Granberry D., Udell M.</t>
  </si>
  <si>
    <t>7 August 2023 through 11 August 2023</t>
  </si>
  <si>
    <t>19th Annual ACM International Computing Education Research Conference, ICER 2023</t>
  </si>
  <si>
    <t>ACM Special Interest Group on Computer Science Education (SIGCSE)</t>
  </si>
  <si>
    <t>Becker, B.A., Denny, P., Finnie-Ansley, J., Luxton-Reilly, A., Prather, J., Antonio Santos, E., (2022) Programming Is Hard-Or at Least It Used to Be: Educational Opportunities And Challenges of AI Code Generation, , 2022; Bommarito, J., Bommarito, M., Martin Katz, D., Katz, J., (2023) GPT as Knowledge Worker: A Zero-Shot Evaluation of (AI) CPA Capabilities, , 2023; Bommarito, I.I.M., Martin Katz, D., (2022) GPT Takes the Bar Exam, , 2022; Brown, T., Mann, B., Ryder, N., Subbiah, M., Kaplan, J.D., Dhariwal, P., Neelakantan, A., Askell, A., Language models are few-shot learners (2020) Advances in neural information processing systems, 33, pp. 1877-1901. , 2020; Bubeck, S., Chandrasekaran, V., Eldan, R., Gehrke, J., Horvitz, E., Kamar, E., Lee, P., Zhang, Y., (2023) Sparks of Artificial General Intelligence: Early experiments with GPT-4; Chen, M., Tworek, J., Jun, H., Yuan, Q., De Oliveira Pinto, H.P., Kaplan, J., Edwards, H., Zaremba, W., (2021) Evaluating Large Language Models Trained on Code, , https://doi.org/10.48550/ARXIV.2107.03374, 2021; Denny, P., Kumar, V., Giacaman, N., Conversing with Copilot: Exploring prompt engineering for solving CS1 problems using natural language (2023) Proceedings of the 54th ACM Technical Symposium on Computer Science Education, 1, pp. 1136-1142; Destefanis, G., Bartolucci, S., Ortu, M., (2023) A Preliminary Analysis on the Code Generation Capabilities of GPT-3. 5 and Bard AI Models for Java Functions, , 2023; Drori, I., Verma, N., (2021) Solving Linear Algebra by Program Synthesis, , https://doi.org/10.48550/ARXIV.2111.08171, 2021; Finnie-Ansley, J., Denny, P., Becker, B.A., Luxton-Reilly, A., Prather, J., The Robots Are Coming: Exploring the Implications of OpenAI Codex on Introductory Programming (2022) Australasian Computing Education Conference (Virtual Event, Australia) (ACE '22), pp. 10-19. , https://doi.org/10.1145/3511861.3511863, Association for Computing Machinery, New York, NY, USA; Finnie-Ansley, J., Denny, P., Luxton-Reilly, A., Antonio Santos, E., Prather, J., Becker, B.A., My AI Wants to Know if This Will Be on the Exam: Testing OpenAI's Codex on CS2 Programming Exercises (2023) Proceedings of the 25th Australasian Computing Education Conference, pp. 97-104; Gao, T., Fisch, A., Chen, D., (2021) Making Pre-trained Language Models Better Few-shot Learners; Gilson, A., Safranek, C.W., Huang, T., Socrates, V., Sze Chi, L., Taylor, R.A., Chartash, D., How Well Does ChatGPT Do When Taking the Medical Licensing Exams? The Implications of Large Language Models for Medical Education and Knowledge Assessment (2022) medRxiv, , https://doi.org/10.1101/2022.12.23.22283901; Hendrycks, D., Burns, C., Basart, S., Zou, A., Mazeika, M., Song, D., Steinhardt, J., (2020) Measuring Massive Multitask Language Understanding, , https://doi.org/10.48550/ARXIV.2009.03300, 2020; Jalil, S., Rafi, S., LaToza, T.D., Moran, K., Lam, W., (2023) ChatGPT and Software Testing Education: Promises &amp; Perils, , https://doi.org/10.48550/arXiv.2302.03287; Jiao, W., Wang, W., Tse Huang, J., Wang, X., Tu, Z., (2023) Is ChatGPT A Good Translator? Yes With GPT-4 As The Engine; Karmakar, A., Aron Prenner, J., D'Ambros, M., Robbes, R., (2022) Codex Hacks HackerRank: Memorization Issues and a Framework for Code Synthesis Evaluation, , 2022; Martin Katz, D., James Bommarito, M., Gao, S., Arredondo, P., (2023) GPT-4 Passes the Bar Exam, , Available at SSRN 4389233, 2023; Kazemitabaar, M., Chow, J., Ka To Ma, C., Ericson, B.J., Weintrop, D., Grossman, T., Studying the Effect of AI Code Generators on Supporting Novice Learners in Introductory Programming (2023) Proceedings of the 2023 CHI Conference on Human Factors in Computing Systems (Hamburg, Germany) (CHI '23), 23p. , https://doi.org/10.1145/3544548.3580919, Association for Computing Machinery, New York, NY, USA; Ervin Knuth, D., Literate programming (1984) The computer journal, 27 (2), pp. 97-111. , 1984; Kokotsaki, D., Menzies, V., Wiggins, A., Project-based learning: A review of the literature (2016) Improving schools, 19 (3), pp. 267-277. , 2016; Kung, T.H., Cheatham, M., Medinilla, A., Sillos, C., De Leon, L., Elepano, C., Madriaga, M., Maningo, J., Performance of ChatGPT on USMLE: Potential for AI-Assisted Medical Education Using Large Language Models (2022) medRxiv preprint, , https://doi.org/10.1101/2022.12.19.22283643, 2022; Lai, G., Xie, Q., Liu, H., Yang, Y., Hovy, E., (2017) Race: Large-scale reading comprehension dataset from examinations, , 2017; Leinonen, J., Denny, P., MacNeil, S., Sarsa, S., Bernstein, S., Kim, J., Tran, A., Hellas, A., (2023) Comparing Code Explanations Created by Students and Large Language Models, , https://doi.org/10.48550/arXiv.2304.03938; Leinonen, J., Hellas, A., Sarsa, S., Reeves, B., Denny, P., Prather, J., Becker, B.A., Using Large Language Models to Enhance Programming Error Messages (2023) Proceedings of the 54th ACM Technical Symposium on Computer Science Education V. 1 (Toronto ON, Canada) (SIGCSE 2023), pp. 563-569. , https://doi.org/10.1145/3545945.3569770, Association for Computing Machinery, New York, NY, USA; Li, Y., Choi, D., Chung, J., Kushman, N., Schrittwieser, J., Leblond, R., Eccles, T., Vinyals, O., Competition-level code generation with AlphaCode (2022) Science, 378 (6624), pp. 1092-1097. , https://doi.org/10.1126/science.abq1158, 2022, https://www. science. org/doi/pdf/10. 1126/science. abq1158; Liévin, V., Egeberg Hother, C., Winther, O., (2022) Can large language models reason about medical questions?, , 2022; Lu, P., Mishra, S., Xia, T., Qiu, L., Chang, K., Zhu, S., Tafjord, O., Kalyan, A., (2022) Learn to Explain: Multimodal Reasoning via Thought Chains for Science Question Answering, , https://doi.org/10.48550/ARXIV.2209.09513; MacNeil, S., Tran, A., Hellas, A., Kim, J., Sarsa, S., Denny, P., Bernstein, S., Leinonen, J., Experiences from Using Code Explanations Generated by Large Language Models in a Web Software Development E-Book (2023) Proceedings of the 54th ACM Technical Symposium on Computer Science Education V. 1 (Toronto ON, Canada) (SIGCSE 2023), pp. 931-937. , https://doi.org/10.1145/3545945.3569785, Association for Computing Machinery, New York, NY, USA; Mialon, G., Dessì, R., Lomeli, M., Nalmpantis, C., Pasunuru, R., Raileanu, R., Rozière, B., Celikyilmaz, A., (2023) Augmented Language Models: A Survey, , 2023; Mihaylov, T., Clark, P., Khot, T., Sabharwal, A., (2018) Can a suit of armor conduct electricity? A new dataset for open book question answering, , 2018; Haji Mohammadkhani, A., Kla Tantithamthavorn, C., Hemmati, H., (2022) Explainable AI for Pre-Trained Code Models: What Do They Learn? When They Do Not Work?, , 2022; Mostafazadeh, N., Chambers, N., He, X., Parikh, D., Batra, D., Vanderwende, L., Kohli, P., Allen, J., A corpus and cloze evaluation for deeper understanding of commonsense stories (2016) Proceedings of the 2016 Conference of the North American Chapter of the Association for Computational Linguistics: Human Language Technologies, pp. 839-849; Nguyen, N., Nadi, S., An Empirical Evaluation of GitHub Copilot's Code Suggestions (2022) 2022 IEEE/ACM 19th International Conference on Mining Software Repositories (MSR), pp. 1-5. , https://doi.org/10.1145/3524842.3528470; (2023) GPT-4 Technical Report, , OpenAI; Ouyang, L., Wu, J., Jiang, X., Almeida, D., Wainwright, C.L., Mishkin, P., Zhang, C., Ray, A., (2022) Training language models to follow instructions with human feedback, , 2022; Perry, N., Srivastava, M., Kumar, D., Boneh, D., (2022) Do Users Write More Insecure Code with AI Assistants?, , 2022; Piccolo, S.R., Denny, P., Luxton-Reilly, A., Payne, S., Ridge, P.G., (2023) Many bioinformatics programming tasks can be automated with ChatGPT, , 2023; Prather, J., Reeves, B.N., Denny, P., Becker, B.A., Leinonen, J., Luxton-Reilly, A., Powell, G., Antonio Santos, E., (2023) "It'sWeird That it Knows What IWant": Usability and Interactions with Copilot for Novice Programmers, , 2023; Radford, A., Narasimhan, K., Salimans, T., Sutskever, I., (2018) Improving language understanding by generative pre-training, , 2018; Radford, A., Wu, J., Child, R., Luan, D., Amodei, D., Sutskever, I., (2019) Language models are unsupervised multitask learners, , 2019; Reynolds, L., McDonell, K., (2021) Prompt Programming for Large Language Models: Beyond the Few-Shot Paradigm; Robinson, J., Michael Rytting, C., Wingate, D., (2022) Leveraging Large Language Models for Multiple Choice Question Answering, , https://doi.org/10.48550/ARXIV.2210.12353, 2022; Sarsa, S., Denny, P., Hellas, A., Leinonen, J., Automatic Generation of Programming Exercises and Code Explanations Using Large Language Models (2022) Proceedings of the 2022 ACM Conference on International Computing Education Research-Volume 1 (Lugano and Virtual Event, Switzerland) (ICER '22), pp. 27-43. , https://doi.org/10.1145/3501385.3543957, Association for Computing Machinery, New York, NY, USA; Savelka, J., Agarwal, A., Bogart, C., Sakr, M., (2023) Large Language Models (GPT) Struggle to Answer Multiple-Choice Questions about Code, , 2023; Savelka, J., Agarwal, A., Bogart, C., Song, Y., Sakr, M., Can Generative Pre-trained Transformers (GPT) Pass Assessments in Higher Education Programming Courses? (2023) Proceedings of the 28th Annual ACM Conference on Innovation and Technology in Computer Science Education; Vaswani, A., Shazeer, N., Parmar, N., Uszkoreit, J., Jones, L., Gomez, A.N., Kaiser, L., Polosukhin, I., Attention is all you need (2017) Advances in neural information processing systems, 30. , 2017; Wei, J., Wang, X., Schuurmans, D., Bosma, M., Huai Hsin Chi, E., Xia, F., Le, Q., Zhou, D., (2022) Chain of Thought Prompting Elicits Reasoning in Large Language Models, , 2022; Yang, G., Zhou, Y., Yang, W., Yue, T., Chen, X., Chen, T., (2022) How Important are Good Method Names in Neural Code Generation? A Model Robustness Perspective, , 2022; Zhang, B., Haddow, B., Birch, A., (2023) Prompting Large Language Model for Machine Translation: A Case Study, , 2023; Zhao, T.Z., Wallace, E., Feng, S., Klein, D., Singh, S., (2021) Calibrate Before Use: Improving Few-Shot Performance of Language Models; Zhou, D., Scharli, N., Hou, L., Wei, J., Scales, N., Wang, X., Schuurmans, D., Huai Hsin Chi, E., (2022) Leastto-Most Prompting Enables Complex Reasoning in Large Language Models, , 2022</t>
  </si>
  <si>
    <t>Savelka, J., Carnegie Mellon University, Pittsburgh, PA, United States; Agarwal, A., Carnegie Mellon University, Pittsburgh, PA, United States; An, M., Carnegie Mellon University, Pittsburgh, PA, United States; Bogart, C., Carnegie Mellon University, Pittsburgh, PA, United States; Sakr, M., Carnegie Mellon University, Pittsburgh, PA, United States</t>
  </si>
  <si>
    <t>54783405100;58155030600;57209644538;25649133400;57337410100;</t>
  </si>
  <si>
    <t>Savelka J., Agarwal A., An M., Bogart C., Sakr M.</t>
  </si>
  <si>
    <t>(2023) Anthropic: Introducing Claude, , https://www.anthropic.com/index/introducing-claude, Accessed: 2023-05-20; (2023) Codeium: The modern coding superpower, , https://codeium.com/, Accessed: 2023-05-20; (2023) Introducing GitHub Copilot X: Your AI pair programmer is leveling up, , https://github.com/features/preview/copilot-x, Accessed: 2023-05-20; (2023) pandas-Python Data Analysis Library, , https://pandas.pydata.org/, Accessed: 2023-03-15; (2023) ReplitLM: Guides, code and configs for the ReplitLM model family, , https://github.com/replit/ReplitLM/, Accessed: 2023-06-05; (2023) "Resistance is futile"-Borg-Wikipedia, , https://en.wikipedia.org/wiki/Borg, Accessed: 2023-06-02; (2023) Sourcegraph Cody: Read, write, and understand code 10x faster with AI, , https://about.sourcegraph.com/cody, Accessed: 2023-05-20; Desai, A., Deo, A., (2022) Introducing Amazon CodeWhisperer, the ML-powered Coding Companion | AWS Machine Learning Blog, , https://aws.amazon.com/blogs/machine-learning/introducing-amazoncodewhisperer-the-ml-powered-coding-companion/, Accessed: 2023-03-23; Patil, A., Engel Bromwich, J., (2020) How It Feels When Software Watches You Take Tests-The New York Times, , https://www.nytimes.com/2020/09/29/style/testing-schools-proctorio.html, Accessed: 2023-03-23; Auger, J., Speculative Design: Crafting the Speculation (2013) Digital Creativity, 24 (1), pp. 11-35. , 2013; Austin, J., Odena, A., Nye, M., Bosma, M., Michalewski, H., Dohan, D., Jiang, E., Le, Q., (2021) Program Synthesis with Large Language Models, , 2021, arXiv: 2108. 07732; Bargh, J.A., Chartrand, T.L., (2014) The Mind in the Middle: A Practical Guide to Priming and Automaticity Research, , 2014; Barke, S., James, M.B., Polikarpova, N., Grounded Copilot: How Programmers Interact with Code-Generating Models (2023) Proc. ACM Program. Lang., 7 (1 OOPSLA), 27p. , https://doi.org/10.1145/3586030, apr 2023; Becker, B.A., Denny, P., Finnie-Ansley, J., Luxton-Reilly, A., Prather, J., Antonio Santos, E., Programming Is Hard-Or at Least It Used to Be: Educational Opportunities and Challenges of AI Code Generation (2023) Proceedings of the 54th ACM Technical Symposium on Computer Science Education V. 1 (Toronto ON, Canada) (SIGCSE 2023), pp. 500-506. , https://doi.org/10.1145/3545945.3569759, Association for Computing Machinery, New York, NY, USA; Becker, B.A., Quille, K., 50 Years of CS1 at SIGCSE: A Review of the Evolution of Introductory Programming Education Research (2019) Proceedings of the 50th ACM Technical Symposium on Computer Science Education (Minneapolis, MN, USA) (SIGCSE '19), pp. 338-344. , https://doi.org/10.1145/3287324.3287432, Association for Computing Machinery, New York, NY, USA; Becker, B.A., Settle, A., Luxton-Reilly, A., Morrison, B.B., Laxer, C., Expanding Opportunities: Assessing and Addressing Geographic Diversity at the SIGCSE Technical Symposium (2021) Proceedings of the 52nd ACM Technical Symposium on Computer Science Education, pp. 281-287; Bender, E.M., Gebru, T., McMillan-Major, A., Shmitchell, S., On the Dangers of Stochastic Parrots: Can Language Models Be Too Big? (2021) Proceedings of the 2021 ACM Conference on Fairness, Accountability, and Transparency, pp. 610-623; Bird, C., Ford, D., Zimmermann, T., Forsgren, N., Kalliamvakou, E., Lowdermilk, T., Gazit, I., Taking Flight with Copilot: Early Insights and Opportunities of AI-Powered Pair-Programming Tools (2023) Queue, 20 (6), pp. 35-57. , https://doi.org/10.1145/3582083, Jan 2023; What Do Tools like ChatGPT Mean for Math and CS Education? (2023) Bootstrap Blog, , https://bootstrapworld.org/blog/misc/thoughts-on-chat-gpt.shtml, Accessed: 2023-03-23; Brown, T., Mann, B., Ryder, N., Subbiah, M., Kaplan, J.D., Dhariwal, P., Neelakantan, A., Amodei, D., Language Models Are Few-Shot Learners (2020) Advances in Neural Information Processing Systems, 33, pp. 1877-1901. , Curran Associates, Inc; Buolamwini, J., Gebru, T., Gender Shades: Intersectional Accuracy Disparities in Commercial Gender Classification (2018) Conference on Fairness, Accountability and Transparency. PMLR, pp. 77-91; Butterick, M., (2022) GitHub Copilot Investigation? Joseph Saveri Law Firm &amp; Matthew Butterick, , https://githubcopilotinvestigation.com/, Accessed: 2023-03-23; Chen, B., Zhang, F., Nguyen, A., Zan, D., Lin, Z., Lou, J., Chen, W., (2022) CodeT: Code Generation with Generated Tests, , 2022, arXiv: 2207. 10397; Chen, M., Tworek, J., Jun, H., Yuan, Q., De Oliveira Pinto, H.P., Kaplan, J., Edwards, H., Brockman, G., (2021) Evaluating Large Language Models Trained on Code, , 2021, arXiv: 2107. 03374; Cheng, R., Wang, R., Zimmermann, T., Ford, D., (2022) "It would work for me too": How Online Communities Shape Software Developers' Trust in AI-Powered Code Generation Tools; Chiang, W., Li, Z., Lin, Z., Sheng, Y., Wu, Z., Zhang, H., Zheng, L., Xing, E.P., (2023) Vicuna: An Open-Source Chatbot Impressing GPT-4 with 90% ChatGPT Quality, , https://lmsys.org/blog/2023-03-30-vicuna/; Chilana, P.K., Singh, R., Guo, P.J., Understanding Conversational Programmers: A Perspective from the Software Industry (2016) Proceedings of the 2016 CHI Conference on Human Factors in Computing Systems (San Jose, California, USA) (CHI '16), pp. 1462-1472. , https://doi.org/10.1145/2858036.2858323, Association for Computing Machinery, New York, NY, USA; Clement, C.B., Drain, D., Timcheck, J., Svyatkovskiy, A., Sundaresan, N., (2020) PyMT5: Multi-Mode Translation of Natural Language and Python Code with Transformers, , 2020, arXiv: 2010. 03150; Conover, M., Hayes, M., Mathur, A., Meng, X., Xie, J., Wan, J., Shah, S., Xin, R., (2023) Free Dolly: Introducing the World's First Truly Open Instruction-Tuned LLM, , https://www.databricks.com/blog/2023/04/12/dolly-first-opencommercially-viable-instruction-tuned-llm, Accessed: 2023-05-20; Corbin, J.M., Strauss, A.L., (2008) Basics of qualitative research: Techniques and procedures for developing grounded theory, , SAGE Publications, Inc; Cullen, R., Addressing the digital divide (2001) Online information review, 25 (5), pp. 311-320. , 2001; Denny, P., Kumar, V., Giacaman, N., Conversing with Copilot: Exploring Prompt Engineering for Solving CS1 Problems Using Natural Language (2023) Proceedings of the 54th ACM Technical Symposium on Computer Science Education V. 1 (Toronto ON, Canada) (SIGCSE 2023), pp. 1136-1142. , https://doi.org/10.1145/3545945.3569823, Association for Computing Machinery, New York, NY, USA; Denny, P., Sarsa, S., Hellas, A., Leinonen, J., (2022) Robosourcing Educational Resources-Leveraging Large Language Models for Learnersourcing; Dey, N., Gosal, G., Zhiming, C., Khachane, H., Marshall, W., Pathria, R., Tom, M., Hestness, J., (2023) Cerebras-GPT: Open Compute-Optimal Language Models Trained on the CerebrasWafer-Scale Cluster; Dohmke, T., (2022) GitHub Copilot Is Generally Available to All Developers, , https://github.blog/2022-06-21-github-copilot-is-generally-available-toall-developers/, Accessed: 2023-03-23; Bellard, F., (2023), https://textsynth.com/, Accessed: 2023-03-23; Feng, Z., Guo, D., Tang, D., Duan, N., Feng, X., Gong, M., Shou, L., Jiang, D., (2020) CodeBERT: A Pre-Trained Model for Programming and Natural Languages, , 2020, arXiv: 2002. 08155; Finnie-Ansley, J., Denny, P., Becker, B.A., Luxton-Reilly, A., Prather, J., The Robots Are Coming: Exploring the Implications of OpenAI Codex on Introductory Programming (2022) Proceedings of the 24th Australasian Computing Education Conference (Virtual Event, Australia) (ACE '22), pp. 10-19. , https://doi.org/10.1145/3511861.3511863, Association for Computing Machinery, New York, NY, USA; Finnie-Ansley, J., Denny, P., Luxton-Reilly, A., Antonio Santos, E., Prather, J., Becker, B.A., My AI Wants to Know If This Will Be on the Exam: Testing OpenAI's Codex on CS2 Programming Exercises (2023) Proceedings of the 25th Australasian Computing Education Conference (Melbourne, VIC, Australia) (ACE '23), pp. 97-104. , https://doi.org/10.1145/3576123.3576134, Association for Computing Machinery, New York, NY, USA; Fried, D., Aghajanyan, A., Lin, J., Wang, S., Wallace, E., Shi, F., Zhong, R., Lewis, M., (2022) Incoder: A Generative Model for Code Infilling and Synthesis, , 2022, arXiv: 2204. 05999; Furnham, A., Chu Boo, H., A Literature Review of the Anchoring Effect (2011) The journal of socio-economics, 40 (1), pp. 35-42. , 2011; Geng, X., Gudibande, A., Liu, H., Wallace, E., Abbeel, P., Levine, S., Song, D., Koala: A Dialogue Model for Academic Research (2023) Blog post, , https://bair.berkeley.edu/blog/2023/04/03/koala/; Gulwani, S., Polozov, O., Singh, R., Program Synthesis (2017) Foundations and TrendsR in Programming Languages, 4 (1-2), pp. 1-119. , 2017; Guo, P.J., Non-Native English Speakers Learning Computer Programming: Barriers, Desires, and Design Opportunities (2018) Proceedings of the 2018 CHI Conference on Human Factors in Computing Systems, pp. 1-14; Hartmann, B., Yu, L., Allison, A., Yang, Y., Klemmer, S.R., Design as Exploration: Creating Interface Alternatives through Parallel Authoring and Runtime Tuning (2008) Proceedings of the 21st Annual ACM Symposium on User Interface Software and Technology, pp. 91-100; Hoffman, J., Speculative Futures: Design Approaches to Navigate Change, Foster Resilience, and Co-Create the Cities We Need (2022) North Atlantic Books, , https://books.google.com/books?id=rdd2EAAAQBAJ; Hu, K., (2023) ChatGPT Sets Record for Fastest-Growing User Base-Analyst Note | Reuters, , https://www.reuters.com/technology/chatgpt-sets-recordfastest-growing-user-base-analyst-note-2023-02-01/, Accessed: 2023-03-23; Hubbard, A., Pedagogical content knowledge in computing education: A review of the research literature (2018) Computer Science Education, 28 (2), pp. 117-135. , https://doi.org/10.1080/08993408.2018.1509580, 2018, https://doi. org/10. 1080/08993408. 2018. 1509580; Jayagopal, D., Lubin, J., Chasins, S.E., Exploring the Learnability of Program Synthesizers by Novice Programmers (2022) Proceedings of the 35th Annual ACM Symposium on User Interface Software and Technology (Bend, OR, USA) (UIST '22), 15p. , https://doi.org/10.1145/3526113.3545659, Association for Computing Machinery, New York, NY, USA; Johnson, A., (2023) ChatGPT In Schools: Here's Where It's Banned-And How It Could Potentially Help Students, , https://www.forbes.com/sites/ariannajohnson/2023/01/18/chatgpt-inschools-heres-where-its-banned-and-how-it-could-potentially-help-students/, Accessed: 2023-03-23; Kaddoura, M., Think Pair Share: A Teaching Learning Strategy to Enhance Students' Critical Thinking (2013) Educational Research Quarterly, 36 (4), pp. 3-24. , 2013; Kalliamvakou, E., Research: quantifying GitHub Copilot's impact on developer productivity and happiness (2022) GitHub blog, , https://github.blog/2022-09-07-research-quantifying-github-copilotsimpact-on-developer-productivity-and-happiness/, Accessed: 2023-03-15; Kazemitabaar, M., Chow, J., Ka To Ma, C., Ericson, B.J., Weintrop, D., Grossman, T., Studying the effect of AI Code Generators on Supporting Novice Learners in Introductory Programming (2023) Proceedings of the 2023 CHI Conference on Human Factors in Computing Systems (CHI '23), , Association for Computing Machinery, New York, NY, USA; Ko, A.J., (2023) Large Language Models Will Change Programming. A Lot, , https://medium.com/bits-and-behavior/large-language-models-willchange-programming-a-lot-5cfe13afa46c, Accessed: 2023-03-23; Ko, A.J., (2023) Large Language Models Will Change Programming. A Little, , https://medium.com/bits-and-behavior/large-language-models-will-changeprogramming-a-little-81445778d957, Accessed: 2023-03-23; Krause-Levy, S., Salguero, A., Lim, R.S., McTavish, H., Trajkovic, J., Porter, L., Griswold, W.G., Instructor Perspectives on Prerequisite Courses in Computing (2023) Proceedings of the 54th ACM Technical Symposium on Computer Science Education V. 1 (Toronto ON, Canada) (SIGCSE 2023), pp. 277-283. , https://doi.org/10.1145/3545945.3569787, Association for Computing Machinery, New York, NY, USA; Kreps, S., Miles McCain, R., Brundage, M., All the News That's Fit to Fabricate: AI-generated Text as a Tool of Media Misinformation (2022) Journal of experimental political science, 9 (1), pp. 104-117. , 2022; Lau, S., Drosos, I., Markel, J.M., Guo, P.J., The Design Space of Computational Notebooks: An Analysis of 60 Systems in Academia and Industry (2020) 2020 IEEE Symposium on Visual Languages and Human-Centric Computing (VL/HCC). IEEE, pp. 1-11; Leinonen, J., Hellas, A., Sarsa, S., Reeves, B., Denny, P., Prather, J., Becker, B.A., Using Large Language Models to Enhance Programming Error Messages (2023) Proceedings of the 54th ACM Technical Symposium on Computer Science Education V. 1 (Toronto ON, Canada) (SIGCSE 2023), pp. 563-569. , https://doi.org/10.1145/3545945.3569770, Association for Computing Machinery, New York, NY, USA; Lewis, P., Perez, E., Piktus, A., Petroni, F., Karpukhin, V., Goyal, N., Küttler, H., Rocktäschel, T., Retrieval-Augmented Generation for Knowledge-Intensive NLP Tasks (2020) Advances in Neural Information Processing Systems, 33, pp. 9459-9474. , 2020; Li, R., Ben Allal, L., Zi, Y., Muennighoff, N., Kocetkov, D., Mou, C., Marone, M., De Vries, H., (2023) StarCoder: may the source be with you!; Li, Y., Choi, D., Chung, J., Kushman, N., Schrittwieser, J., Leblond, R., Eccles, T., Dal Lago, A., Competition-Level Code Generation with AlphaCode (2022) Science, 378 (6624), pp. 1092-1097. , 2022; Pu Liang, P., Wu, C., Morency, L., Salakhutdinov, R., Towards understanding and mitigating social biases in language models (2021) International Conference on Machine Learning. PMLR, pp. 6565-6576; Xieyang Liu, M., Sarkar, A., Negreanu, C., Zorn, B., Williams, J., Toronto, N., Gordon, A.D., "What It Wants Me To Say": Bridging the Abstraction Gap Between End-User Programmers and Code-Generating Large Language Models (2023) Proceedings of the 2023 CHI Conference on Human Factors in Computing Systems (Hamburg, Germany) (CHI '23), 31p. , https://doi.org/10.1145/3544548.3580817, Association for Computing Machinery, New York, NY, USA; MacNeil, S., Kim, J., Leinonen, J., Denny, P., Bernstein, S., Becker, B.A., Wermelinger, M., Kumar, V., The Implications of Large Language Models for CS Teachers and Students (2023) Proceedings of the 54th ACM Technical Symposium on Computer Science Education V. 2 (Toronto ON, Canada) (SIGCSE 2023), p. 1255. , https://doi.org/10.1145/3545947.3573358, Association for Computing Machinery, New York, NY, USA; MacNeil, S., Tran, A., Hellas, A., Kim, J., Sarsa, S., Denny, P., Bernstein, S., Leinonen, J., Experiences from Using Code Explanations Generated by Large Language Models in a Web Software Development E-Book (2023) Proceedings of the 54th ACM Technical Symposium on Computer Science Education V. 1 (Toronto ON, Canada) (SIGCSE 2023), pp. 931-937. , https://doi.org/10.1145/3545945.3569785, Association for Computing Machinery, New York, NY, USA; MacNeil, S., Tran, A., Leinonen, J., Denny, P., Kim, J., Hellas, A., Bernstein, S., Sarsa, S., Automatically Generating CS Learning Materials with Large Language Models (2023) Proceedings of the 54th ACM Technical Symposium on Computer Science Education V. 2 (Toronto ON, Canada) (SIGCSE 2023), p. 1176. , https://doi.org/10.1145/3545947.3569630, Association for Computing Machinery, New York, NY, USA; MacNeil, S., Tran, A., Mogil, D., Bernstein, S., Ross, E., Huang, Z., Generating Diverse Code Explanations Using the GPT-3 Large Language Model (2022) Proceedings of the 2022 ACM Conference on International Computing Education Research-Volume 2 (Lugano and Virtual Event, Switzerland) (ICER '22), pp. 37-39. , https://doi.org/10.1145/3501709.3544280, Association for Computing Machinery, New York, NY, USA; Mahatody, T., Sagar, M., Kolski, C., State of the Art on the Cognitive Walkthrough Method, Its Variants and Evolutions (2010) Intl. Journal of Human-Computer Interaction, 26 (8), pp. 741-785. , 2010; Maniatis, P., Tarlow, D., Large sequence models for software development activities (2023) Google Research Blog, , https://ai.googleblog.com/2023/05/large-sequence-models-for-software.html, Accessed: 2023-06-04; Markel, J.M., Guo, P.J., Inside the Mind of a CS Undergraduate TA: A Firsthand Account of Undergraduate Peer Tutoring in Computer Labs (2021) Proceedings of the 52nd ACM Technical Symposium on Computer Science Education (Virtual Event, USA) (SIGCSE '21), pp. 502-508. , https://doi.org/10.1145/3408877.3432533, Association for Computing Machinery, New York, NY, USA; Schaefer, M., Nadi, S., Tip, F., (2023) GitHub Next | TestPilot, , https://next.github.com/projects/testpilot, Accessed: 2023-03-23; McNutt, A.M., Wang, C., Deline, R.A., Drucker, S.M., On the Design of AI-Powered Code Assistants for Notebooks (2023) Proceedings of the 2023 CHI Conference on Human Factors in Computing Systems (Hamburg, Germany) (CHI '23), 16p. , https://doi.org/10.1145/3544548.3580940, Association for Computing Machinery, New York, NY, USA; Mehdi, Y., Reinventing Search with a New AI-powered Microsoft Bing and Edge, Your Copilot for the Web (2023), https://blogs.microsoft.com/blog/2023/02/07/reinventing-search-with-a-new-ai-powered-microsoft-bing-and-edgeyour-copilot-for-the-web/, Accessed: 2023-03-23; Miller, L.A., Natural Language Programming: Styles, Strategies, and Contrasts (1981) IBM Systems Journal, 20 (2), pp. 184-215. , 1981; Mirhosseini, S., Henley, A.Z., Parnin, C., What Is Your Biggest Pain Point? An Investigation of CS Instructor Obstacles, Workarounds, and Desires (2023) Proceedings of the 54th ACM Technical Symposium on Computer Science Education V. 1 (Toronto ON, Canada) (SIGCSE 2023), pp. 291-297. , https://doi.org/10.1145/3545945.3569816, Association for Computing Machinery, New York, NY, USA; Mirowski, P., Mathewson, K.W., Pittman, J., Evans, R., Co-Writing Screenplays and Theatre Scripts with Language Models: Evaluation by Industry Professionals (2023) Proceedings of the 2023 CHI Conference on Human Factors in Computing Systems (Hamburg, Germany) (CHI '23), 34p. , https://doi.org/10.1145/3544548.3581225, Association for Computing Machinery, New York, NY, USA; Murali, V., Maddila, C., Ahmad, I., Bolin, M., Cheng, D., Ghorbani, N., Fernandez, R., Nagappan, N., (2023) CodeCompose: A Large-Scale Industrial Deployment of AI-assisted Code Authoring; Nijkamp, E., Hayashi, H., Xiong, C., Savarese, S., Zhou, Y., (2023) CodeGen2: Lessons for Training LLMs on Programming and Natural Languages; Nijkamp, E., Pang, B., Hayashi, H., Tu, L., Wang, H., Zhou, Y., Savarese, S., Xiong, C., (2023) CodeGen: An Open Large Language Model for Code with Multi-Turn Program Synthesis; (2022) Educator Considerations for ChatGPT, , https://platform.openai.com, Accessed: 2023-03-23; (2022) Introducing ChatGPT, , https://openai.com/blog/chatgpt, Accessed: 2023-03-23; (2023) OpenAI, , https://arxiv.org/abs/2303.08774v2, GPT-4 Technical Report; (2023) OpenAI Playground, , https://platform.openai.com, Accessed: 2023-03-23; Ouyang, L., Wu, J., Jiang, X., Almeida, D., Wainwright, C.L., Mishkin, P., Zhang, C., Lowe, R., (2022) Training Language Models to Follow Instructions with Human Feedback, , https://doi.org/10.48550/arXiv.2203.02155; Pearce, H., Ahmad, B., Tan, B., Dolan-Gavitt, B., Karri, R., Asleep at the Keyboard? Assessing the Security of Github Copilot's Code Contributions (2022) 2022 IEEE Symposium on Security and Privacy (SP). IEEE, pp. 754-768; Peng, S., Kalliamvakou, E., Cihon, P., Demirer, M., (2023) The Impact of AI on Developer Productivity: Evidence from GitHub Copilot; Perkins, D.N., Martin, F., Fragile Knowledge and Neglected Strategies in Novice Programmers (1986) Papers Presented at the First Workshop on Empirical Studies of Programmers on Empirical Studies of Programmers, pp. 213-229; Perrigo, B., (2023) Exclusive: The $2 Per Hour Workers Who Made ChatGPT Safer, , https://time.com/6247678/openai-chatgpt-kenya-workers/, Accessed: 2023-03-23; Perry, C., Basu Mallick, S., (2023) AI-powered coding, free of charge with Colab: Google Colab will soon introduce AI coding features using Google's most advanced family of code models, Codey, , https://blog.google/technology/developers/google-colab-ai-coding-features/, Accessed: 2023-05-20; Pichai, S., (2023) An Important next Step on Our AI Journey, , https://blog.google/technology/ai/bard-google-ai-search-updates/, Accessed: 2023-03-23; Prather, J., Reeves, B.N., Denny, P., Becker, B.A., Leinonen, J., Luxton-Reilly, A., Powell, G., Antonio Santos, E., "It'sWeird That it Knows What IWant": Usability and Interactions with Copilot for Novice Programmers (2023) ACM Transactions on Computer-Human Interaction (TOCHI), , 2023; Albergotti, R., (2023) Startup Replit Launches a ChatGPT-like Bot for Coders, , https://www.semafor.com/article/02/15/2023/startup-replit-launchesa-chatgpt-like-bot-for-coders, Accessed: 2023-03-23; Rosenkilde, J., (2023) How GitHub Copilot is getting better at understanding your code, , https://github.blog/2023-05-17-how-github-copilot-is-gettingbetter-at-understanding-your-code/, Accessed: 2023-05-20; Ross, S.I., Martinez, F., Houde, S., Muller, M., Weisz, J.D., (2023) The Programmer's Assistant: Conversational Interaction with a Large Language Model for Software Development (IUI '23), , Association for Computing Machinery, New York, NY, USA; Sarkar, A., Gordon, A.D., Negreanu, C., Poelitz, C., Srinivasa Ragavan, S., Zorn, B., What is it like to program with artificial intelligence? (2022) Proceedings of the 33rd Annual Conference of the Psychology of Programming Interest Group (PPIG 2022); Sarsa, S., Denny, P., Hellas, A., Leinonen, J., Automatic Generation of Programming Exercises and Code Explanations Using Large Language Models (2022) Proceedings of the 2022 ACM Conference on International Computing Education Research-Volume 1 (Lugano and Virtual Event, Switzerland) (ICER '22), pp. 27-43. , https://doi.org/10.1145/3501385.3543957, Association for Computing Machinery, New York, NY, USA; Seppälä, O., Ihantola, P., Isohanni, E., Sorva, J., Vihavainen, A., Do We Know How Difficult the Rainfall Problem Is? (2015) Proceedings of the 15th Koli Calling Conference on Computing Education Research (Koli, Finland) (Koli Calling '15), pp. 87-96. , https://doi.org/10.1145/2828959.2828963, Association for Computing Machinery, New York, NY, USA; Steele, G., (2022) ChatGPT passes the 2022 AP Computer Science A free response section, , https://gist.github.com/Gaelan/cf5ae4a1e9d8d64cb0b732cf3a38e04a, Accessed: 2023-03-15; Strubell, E., Ganesh, A., McCallum, A., (2019) Energy and Policy Considerations for Deep Learning in NLP, , 2019, arXiv: 1906. 02243; Sun, J., Vera Liao, Q., Muller, M., Agarwal, M., Houde, S., Talamadupula, K., Weisz, J.D., Investigating Explainability of Generative AI for Code through Scenario-Based Design (2022) 27th International Conference on Intelligent User Interfaces (Helsinki, Finland) (IUI '22), pp. 212-228. , https://doi.org/10.1145/3490099.3511119, Association for Computing Machinery, New York, NY, USA; Taori, R., Gulrajani, I., Zhang, T., Dubois, Y., Li, X., Guestrin, C., Liang, P., Hashimoto, T.B., (2023) Alpaca: A Strong, Replicable Instruction-Following Model, , https://crfm.stanford.edu/2023/03/13/alpaca.html; Touvron, H., Lavril, T., Izacard, G., Martinet, X., Lachaux, M., Lacroix, T., Rozière, B., Lample, G., (2023) LLaMA: Open and Efficient Foundation Language Models; Vahid, F., Areizaga, L., Pang, A., (2023) ChatGPT and Cheat Detection in CS1 Using a Program Autograding System, , https://www.zybooks.com/research-items/chatgpt-and-cheat-detectionin-cs1-using-a-program-autograding-system/, Accessed: 2023-03-15; Vaithilingam, P., Glassman, E.L., Groenwegen, P., Gulwani, S., Henley, A.Z., Malpani, R., Pugh, D., Yim, A., Towards More Effective AI-Assisted Programming: A Systematic Design Exploration to Improve Visual Studio Intelli-Code's User Experience (2023) Proceedings of the IEEE/ACM International Conference on Software Engineering: Software Engineering in Practice (ICSE-SEIP '23), , Association for Computing Machinery, New York, NY, USA; Vaithilingam, P., Zhang, T., Glassman, E.L., Expectation vs. Experience: Evaluating the Usability of Code Generation Tools Powered by Large Language Models (2022) Extended Abstracts of the 2022 CHI Conference on Human Factors in Computing Systems (New Orleans, LA, USA) (CHI EA '22), 7p. , https://doi.org/10.1145/3491101.3519665, Association for Computing Machinery, New York, NY, USA; Valstar, S., Krause-Levy, S., Macedo, A., Griswold, W.G., Porter, L., Faculty Views on the Goals of an Undergraduate CS Education and the Academia-Industry Gap (2020) Proceedings of the 51st ACM Technical Symposium on Computer Science Education (Portland, OR, USA) (SIGCSE '20), pp. 577-583. , https://doi.org/10.1145/3328778.3366834, Association for Computing Machinery, New York, NY, USA; Valstar, S., Sih, C., Krause-Levy, S., Porter, L., Griswold, W.G., A Quantitative Study of Faculty Views on the Goals of an Undergraduate CS Program and Preparing Students for Industry (2020) Proceedings of the 2020 ACM Conference on International Computing Education Research (Virtual Event, New Zealand) (ICER '20), pp. 113-123. , https://doi.org/10.1145/3372782.3406277, Association for Computing Machinery, New York, NY, USA; Wang, A.Y., Mitts, R., Guo, P.J., Chilana, P.K., Mismatch of Expectations: How Modern Learning Resources Fail Conversational Programmers (2018) Proceedings of the 2018 CHI Conference on Human Factors in Computing Systems (Montreal QC, Canada) (CHI '18), pp. 1-13. , https://doi.org/10.1145/3173574.3174085, Association for Computing Machinery, New York, NY, USA; Weiss, D., (2022) Announcing Our Next-generation AI Models, , https://www.tabnine.com/blog/announcing-tabnine-next-generation/, Accessed: 2023-03-23; Wermelinger, M., Using GitHub Copilot to Solve Simple Programming Problems (2023) Proceedings of the 54th ACM Technical Symposium on Computer Science Education V. 1 (Toronto ON, Canada) (SIGCSE 2023), pp. 172-178. , https://doi.org/10.1145/3545945.3569830, Association for Computing Machinery, New York, NY, USA; White, J., Fu, Q., Hays, S., Sandborn, M., Olea, C., Gilbert, H., Elnashar, A., Schmidt, D.C., (2023) A Prompt Pattern Catalog to Enhance Prompt Engineering with ChatGPT; Willison, S., (2022) Writing Tests with Copilot, , https://til.simonwillison.net/til/til/gpt3_writing-test-with-copilot.md, Accessed: 2023-03-23; Xiang, C., (2023) OpenAI Is Now Everything It Promised Not to Be: Corporate, Closed-Source, and For-Profit, , https://www.vice.com/en/article/5d3naz/openaiis-now-everything-it-promised-not-to-be-corporate-closed-source-and-forprofit, Accessed: 2023-03-15; Zamfirescu-Pereira, J.D., Wong, R., Hartmann, B., Yang, Q., Why Johnny Can't Prompt: How Non-AI Experts Try (and Fail) to Design LLM Prompts (2023) Proceedings of the 2023 CHI Conference on Human Factors in Computing Systems, , https://doi.org/10.1145/3544548.3581388; Zelikman, E., Huang, Q., Poesia, G., Goodman, N.D., Haber, N., (2022) Parsel: A Unified Natural Language Framework for Algorithmic Reasoning, , 2022</t>
  </si>
  <si>
    <t>National Science Foundation, NSF: IIS-1845900</t>
  </si>
  <si>
    <t>Lau, S., University of California San Diego, La JollaCA, United States; Guo, P., University of California San Diego, La JollaCA, United States</t>
  </si>
  <si>
    <t>University of California San Diego, La JollaCA, United States</t>
  </si>
  <si>
    <t>57209780432;16238467300;</t>
  </si>
  <si>
    <t>Lau S., Guo P.</t>
  </si>
  <si>
    <t>Bauer, E.; School of Social Sciences and Technology, Arcisstr. 21, Germany; email: eli.bauer@tum.de
Greisel, M.; Faculty for Philosophy and Social Sciences, Universitätsstr. 10, Germany; email: martin.greisel@uni-a.de</t>
  </si>
  <si>
    <t xml:space="preserve"> arXiv preprint"</t>
  </si>
  <si>
    <t xml:space="preserve"> https://doi.org/10.48550/arXiv.1904.09675</t>
  </si>
  <si>
    <t xml:space="preserve"> (2020) BERTScore: Evaluating text generation with BERT. International Conference on Learning Representations</t>
  </si>
  <si>
    <t xml:space="preserve"> Artzi</t>
  </si>
  <si>
    <t xml:space="preserve"> K.Q.</t>
  </si>
  <si>
    <t xml:space="preserve"> Weinberger</t>
  </si>
  <si>
    <t xml:space="preserve"> F.</t>
  </si>
  <si>
    <t xml:space="preserve"> Wu</t>
  </si>
  <si>
    <t xml:space="preserve"> V.</t>
  </si>
  <si>
    <t xml:space="preserve"> Kishore</t>
  </si>
  <si>
    <t xml:space="preserve"> T.</t>
  </si>
  <si>
    <t xml:space="preserve"> Association for Computational Linguistics; Zhang</t>
  </si>
  <si>
    <t xml:space="preserve"> . Online.</t>
  </si>
  <si>
    <t xml:space="preserve"> https://aclanthology.org/2021.bea-1.9</t>
  </si>
  <si>
    <t xml:space="preserve"> pp. 85-96. </t>
  </si>
  <si>
    <t xml:space="preserve"> Essay quality signals as weak supervision for source-based essay scoring (2021) Proceedings of the 16th Workshop on Innovative Use of NLP for Building Educational Applications</t>
  </si>
  <si>
    <t xml:space="preserve"> Litman</t>
  </si>
  <si>
    <t xml:space="preserve"> Canada.</t>
  </si>
  <si>
    <t xml:space="preserve"> . Vancouver</t>
  </si>
  <si>
    <t xml:space="preserve"> https://doi.org/10.18653/v1/P17-1144</t>
  </si>
  <si>
    <t xml:space="preserve"> pp. 1568-1578. </t>
  </si>
  <si>
    <t xml:space="preserve"> A corpus of annotated revisions for studying argumentative writing (2017) Proceedings of the 55th Annual Meeting of the Association for Computational Linguistics</t>
  </si>
  <si>
    <t xml:space="preserve"> R.</t>
  </si>
  <si>
    <t xml:space="preserve"> Hwa</t>
  </si>
  <si>
    <t xml:space="preserve"> H.B.</t>
  </si>
  <si>
    <t xml:space="preserve"> Hashemi</t>
  </si>
  <si>
    <t xml:space="preserve"> Denmark.</t>
  </si>
  <si>
    <t xml:space="preserve"> . Copenhagen</t>
  </si>
  <si>
    <t xml:space="preserve"> https://doi.org/10.18653/v1/D17-1213</t>
  </si>
  <si>
    <t xml:space="preserve"> pp. 2000-2010. </t>
  </si>
  <si>
    <t xml:space="preserve"> Identifying semantic edit intentions from revisions in Wikipedia (2017) Proceedings of the 2017 Conference on Empirical Methods in Natural Language Processing</t>
  </si>
  <si>
    <t xml:space="preserve"> E.</t>
  </si>
  <si>
    <t xml:space="preserve"> Hovy</t>
  </si>
  <si>
    <t xml:space="preserve"> Kraut</t>
  </si>
  <si>
    <t xml:space="preserve"> Halfaker</t>
  </si>
  <si>
    <t xml:space="preserve"> https://doi.org/10.1016/j.cedpsych.2020.101897; Yang</t>
  </si>
  <si>
    <t xml:space="preserve"> do students listen? The central role of feedback quality and feedback frequency in determining uptake of feedback (2020) Contemporary Educational Psychology</t>
  </si>
  <si>
    <t xml:space="preserve"> When peers agree</t>
  </si>
  <si>
    <t xml:space="preserve"> C.D.</t>
  </si>
  <si>
    <t xml:space="preserve"> Schunn</t>
  </si>
  <si>
    <t xml:space="preserve"> https://doi.org/10.1007/s10212-017-0348-7; Wu</t>
  </si>
  <si>
    <t xml:space="preserve"> pp. 165-184. </t>
  </si>
  <si>
    <t xml:space="preserve"> 33 (1)</t>
  </si>
  <si>
    <t xml:space="preserve"> Leveraging the potential of peer feedback in an academic writing activity through sense-making support (2018) European Journal of Psychology of Education</t>
  </si>
  <si>
    <t xml:space="preserve"> N.</t>
  </si>
  <si>
    <t xml:space="preserve"> Rummel</t>
  </si>
  <si>
    <t xml:space="preserve"> Funk</t>
  </si>
  <si>
    <t>-main.340/; Wichmann</t>
  </si>
  <si>
    <t>Aben, J.E., Dingyloudi, F., Timmermans, A.C., Strijbos, J.W., Embracing errors for learning: Intrapersonal and interpersonal factors in feedback provision and processing in dyadic interactions (2019) The impact of feedback in higher education, pp. 107-125. , https://doi.org/10.1007/978-3-030-25112-3_7, M. Henderson, R. Ajjawi, D. Boud, E. Molloy, (Eds.),, Palgrave Macmillan; Aben, J.E.J., Timmermans, A.C., Dingyloudi, F., Lara, M.M., Strijbos, J.-W., What influences students' peer-feedback uptake? Relations between error tolerance, feedback tolerance, writing self-efficacy, perceived language skills and peer-feedback processing (2022) Learning and Individual Differences, 97. , https://doi.org/10.1016/j.lindif.2022.102175; Afrin, T., Litman, D., Annotation and classification of sentence-level revision improvement (2018) Proceedings of the Thirteenth Workshop on Innovative Use of NLP for Building Educational Applications, pp. 240-246. , https://doi.org/10.18653/v1/W18-0528, . New Orleans, LA., Association for Computational Linguistics; Afrin, T., Wang, E., Litman, D., Matsumura, L.C., Correnti, R., Annotation and classification of evidence and reasoning revisions in argumentative writing (2020) Proceedings of the Fifteenth Workshop on Innovative Use of NLP for Building Educational Applications, pp. 75-84. , https://doi.org/10.18653/v1/2020.bea-1.7, . Seattle, WA, Online., Association for Computational Linguistics; Agarwal, A., Xie, B., Vovsha, I., Rambow, O., Passonneau, R.J., Sentiment analysis of Twitter data (2011) Proceedings of the Workshop on Language in Social Media, pp. 30-38. , https://aclanthology.org/W11-0705.pdf, . Portland, OR., Association for Computational Linguistics; Alemdag, E., Yildirim, Z., Effectiveness of online regulation scaffolds on peer feedback provision and uptake: A mixed methods study (2022) Computers &amp; Education, 188. , https://doi.org/10.1016/j.compedu.2022.104574; Alqassab, M., Strijbos, J.W., Ufer, S., The impact of peer solution quality on peer-feedback provision on geometry proofs: Evidence from eye-movement analysis (2018) Learning and Instruction, 58, pp. 182-192. , https://doi.org/10.1016/j.learninstruc.2018.07.003; Alqassab, M., Strijbos, J.W., Ufer, S., Training peer-feedback skills on geometric construction tasks: Role of domain knowledge and peer-feedback levels (2018) European Journal of Psychology of Education, 33 (1), pp. 11-30. , https://doi.org/10.1007/s10212-017-0342-0; Anderson, N.J., Student involvement in assessment: Healthy self-assessment and effective peer assessment (2012) The Cambridge guide to second language assessment, pp. 187-197. , C. Coombe, P. Davidson, B. O'Sullivan, S. Stoynoff, (Eds.),, Cambridge University Press; Bannert, M., Mengelkamp, C., Scaffolding hypermedia learning through metacognitive prompts (2013) International handbook of metacognition and learning technologies, , https://doi.org/10.1007/978-1-4419-5546-3_12, R. Azevedo, &amp;, V. Aleven, (Eds.),, Springer; Bauer, E., Fischer, F., Kiesewetter, J., Shaffer, D.W., Fischer, M.R., Zottmann, J.M., Sailer, M., Diagnostic activities and diagnostic practices in medical education and teacher education: An interdisciplinary comparison (2020) Frontiers in Psychology, 11. , https://doi.org/10.3389/fpsyg.2020.562665; Belland, B.R., Scaffolding: Definition, current debates, and future directions (2014) Handbook of research on educational communications and technology, pp. 505-518. , https://doi.org/10.1007/978-1-4614-3185-5_39, J. Spector, M. Merrill, J. Elen, M. Bishop, (Eds.),, Springer; Bender, E.M., Friedman, B., Data statements for natural language processing: Toward mitigating system bias and enabling better science (2018) Transactions of the Association for Computational Linguistics, 6, pp. 587-604. , https://doi.org/10.1162/tacl_a_00041; Berndt, M., Strijbos, J.W., Fischer, F., Effects of written peer-feedback content and sender's competence on perceptions, performance, and mindful cognitive processing (2018) European Journal of Psychology of Education, 33 (1), pp. 31-49. , https://doi.org/10.1007/s10212-017-0343-z; Berndt, M., Strijbos, J.W., Fischer, F., Impact of sender and peer-feedback characteristics on performance, cognitive load, and mindful cognitive processing (2022) Studies in Educational Evaluation, 75. , https://doi.org/10.1016/j.stueduc.2022.101197; Blömeke, S., Gustafsson, J.-E., Shavelson, R.J., Beyond dichotomies: Competence viewed as a continuum (2015) Zeitschrift für Psychologie, 223, pp. 3-13. , https://doi.org/10.1027/2151-2604/a000194; Bolzer, M., Strijbos, J.W., Fischer, F., Inferring mindful cognitive-processing of peer-feedback via eye-tracking: Role of feedback-characteristics, fixation-durations and transitions (2015) Journal of Computer Assisted Learning, 31 (5), pp. 422-434. , https://doi.org/10.1111/jcal.12091; Bowman, S.R., Angeli, G., Potts, C., Manning, C.D., A large annotated corpus for learning natural language inference (2015) Proceedings of the 2015 Conference on Empirical Methods in Natural Language Processing, pp. 632-642. , https://doi.org/10.48550/arXiv.1508.05326, . Lisbon, Portugal., Association for Computational Linguistics; Brewer, S., Klein, J.D., Type of positive interdependence and affiliation motive in an asynchronous, collaborative learning environment (2006) Educational Technology Research and Development, 54 (4), pp. 331-354. , https://doi.org/10.1007/s11423-006-9603-3; Brown, T., Mann, B., Ryder, N., Subbiah, M., Kaplan, J., Dhariwal, P., Neelakantan, A., Amodei, D., Language models are few-shot learners (2020) Advances in neural information processing systems, pp. 1877-1901. , https://doi.org/10.18653/v1/2021.mrl-1.1, Curran Associates; Burstein, J., The E-rater® scoring engine: Automated essay scoring with natural language processing (2003) Automated essay scoring: A cross-disciplinary perspective, pp. 113-121. , https://doi.org/10.4324/9781410606860, M. D. Shermis, &amp;, J. C. Burstein, (Eds.),, Routledge; Burstein, J., Kukich, K., Wolff, S., Lu, C., Chodorow, M., Braden-Harder, L., Harris, M.D., (1998) Automated scoring using a hybrid feature identification technique, 1. , https://aclanthology.org/C98-1032, COLING 1998 The 17th International Conference on Computational Linguistics; Butler, D.L., Winne, P.H., Feedback and self-regulated learning: A theoretical synthesis (1995) Review of Educational Research, 65 (3), pp. 245-281. , https://doi.org/10.3102/00346543065003245; Caciularu, A., Cohan, A., Beltagy, I., Peters, M.E., Cattan, A., Dagan, I., CDLM: Cross-document language modeling (2021) Findings of the Association for Computational Linguistics: EMNLP 2021, pp. 2648-2662. , https://doi.org/10.18653/v1/2021.findings-emnlp.225, . Punta Cana, Dominican Republic., Association for Computational Linguistics; Cheng, L., Bing, L., Yu, Q., Lu, W., Si, L., APE: Argument pair extraction from peer review and rebuttal via multi-task learning (2020) Proceedings of the 2020 Conference on Empirical Methods in Natural Language Processing, pp. 7000-7011. , https://doi.org/10.18653/v1/2020.emnlp-main.569, . Online., Association for Computational Linguistics; Cho, K., MacArthur, C., Student revision with peer and expert reviewing (2010) Learning and Instruction, 20 (4), pp. 328-338. , https://doi.org/10.1016/j.learninstruc.2009.08.006; Cho, K., Schunn, C.D., Scaffolded writing and rewriting in the discipline: A web-based reciprocal peer review system (2007) Computers &amp; Education, 48 (3), pp. 409-426. , https://doi.org/10.1016/j.compedu.2005.02.004; Cho, Y.H., Cho, K., Peer reviewers learn from giving comments (2011) Instructional Science, 39 (5), pp. 629-643. , https://doi.org/10.1007/s11251-010-9146-1; Chronopoulou, A., Peters, M.E., Dodge, J., Efficient hierarchical domain adaptation for pretrained language models (2022) Proceedings of the 2022 Conference of the North American Chapter of the Association for Computational Linguistics: Human Language Technologies, pp. 1336-1351. , https://doi.org/10.18653/v1/2022.naacl-main.96, . Seattle, WA., Association for Computational Linguistics; Dasgupta, T., Naskar, A., Dey, L., Saha, R., Augmenting textual qualitative features in deep convolution recurrent neural network for automatic essay scoring (2018) Proceedings of the 5th Workshop on Natural Language Processing Techniques for Educational Applications, pp. 93-102. , https://doi.org/10.18653/v1/W18-3713, July); Dasigi, P., Lo, K., Beltagy, I., Cohan, A., Smith, N.A., Gardner, M., A dataset of information-seeking questions and answers anchored in research papers (2021) Proceedings of the 2021 Conference of the North American Chapter of the Association for Computational Linguistics: Human Language Technologies, pp. 4599-4610. , https://aclanthology.org/2021.naacl-main.365.pdf, . Online., Association for Computational Linguistics; De Wever, B., Van Keer, H., Schellens, T., Valcke, M., Assessing collaboration in a wiki: The reliability of university students' peer assessment (2011) The Internet and Higher Education, 14 (4), pp. 201-206. , https://doi.org/10.1016/j.iheduc.2011.07.003; Deutsch, T., Jasbi, M., Shieber, S., Linguistic features for readability assessment (2020) Proceedings of the Fifteenth Workshop on Innovative Use of NLP for Building Educational Applications, pp. 1-17. , https://doi.org/10.18653/v1/2020.bea-1.1, . Seattle, WA, Online., Association for Computational Linguistics; Devlin, J., Chang, M.W., Lee, K., Toutanova, K., BERT: Pre-training of deep bidirectional transformers for language understanding (2019) Proceedings of the 2019 Conference of the North American Chapter of the Association for Computational Linguistics: Human Language Technologies, pp. 4171-4186. , https://doi.org/10.18653/v1/N19-1423, . Minneapolis, MN., Association for Computational Linguistics; Double, K.S., McGrane, J.A., Hopfenbeck, T.N., The impact of peer assessment on academic performance: A meta-analysis of control group studies (2020) Educational Psychology Review, 32 (2), pp. 481-509. , https://doi.org/10.1007/s10648-019-09510-3; Dycke, N., Kuznetsov, I., Gurevych, I., Yes-yes-yes: Proactive data collection for ACL rolling review and beyond (2022) Findings of the Association for Computational Linguistics: EMNLP 2022, pp. 300-318. , https://aclanthology.org/2022.findings-emnlp.23.pdf, . Abu Dhabi, United Arab Emirates., Association for Computational Linguistics; Dycke, N., Kuznetsov, I., Gurevych, I., (2023) NLPeer: A unified resource for the computational study of peer review, , https://doi.org/10.48550/arXiv.2211.06651, arXiv Preprints; Fabbri, A.R., Li, I., She, T., Li, S., Radev, D.R., Multi-news: A large-scale multi-document summarization dataset and abstractive hierarchical model (2019) Proceedings of the 57th Annual Meeting of the Association for Computational Linguistics, pp. 1074-1084. , https://doi.org/10.48550/arXiv.1906.01749, . Florence, Italy., Association for Computational Linguistics; Fischer, F., Bauer, E., Seidel, T., Schmidmaier, R., Radkowitsch, A., Neuhaus, B.J., Hofer, S.I., Fischer, M.R., Representational scaffolding in digital simulations—Learning professional practices in higher education (2022) Information and Learning Sciences, 123 (11-12), pp. 645-665. , https://doi.org/10.1108/ILS-06-2022-0076; Fischer, F., Kollar, I., Ufer, S., Sodian, B., Hussmann, H., Pekrun, R., Neuhaus, B., Eberle, J., Scientific reasoning and argumentation: Advancing an interdisciplinary research agenda in education (2014) Frontline Learning Research, 2 (3), pp. 28-45. , https://doi.org/10.14786/flr.v2i2.96; Fischer, G., User modeling in human–computer interaction (2001) User Modeling and User-Adapted Interaction, 11 (1), pp. 65-86. , https://doi.org/10.1023/A:1011145532042; Fischer, G., Wolf, K.D., What can residential, research-based universities learn about their core competencies from MOOCs (massive open online courses)? (2015) Teaching is touching the future. Academic teaching within and across disciplines, pp. 65-75. , H. Schelhowe, M. Schaumburg, J. Jasper, (Eds.),, UniversitätsVerlagWebler; Gielen, M., De Wever, B., Structuring the peer assessment process: A multilevel approach for the impact on product improvement and peer feedback quality (2015) Journal of Computer Assisted Learning, 31 (5), pp. 435-449. , https://doi.org/10.1111/jcal.12096; Greene, J.A., Azevedo, R., A macro-level analysis of SRL processes and their relations to the acquisition of a sophisticated mental model of a complex system (2009) Contemporary Educational Psychology, 34 (1), pp. 18-29. , https://doi.org/10.1016/j.cedpsych.2008.05.006; Greisel, M., Spang, L., Fett, K., Melzner, N., Dresel, M., Kollar, I., “Houston, we have a problem!” Homogeneous problem perception, and immediacy and intensity of strategy use in online collaborative learning (2021) Proceedings of the 14th International Conference on Computer-Supported Collaborative Learning—CSCL 2021, pp. 99-106. , https://repository.isls.org//handle/1/7365, C. E. Hmelo-Silver, B. De Wever, J. Oshima, (Eds.),, International Society of the Learning Sciences; Große, C.S., Renkl, A., Finding and fixing errors in worked examples: Can this foster learning outcomes? (2007) Learning and Instruction, 17 (6), pp. 612-634. , https://doi.org/10.1016/j.learninstruc.2007.09.008; Hattie, J., (2008) Visible learning: A synthesis of over 800 meta-analyses relating to achievement, , https://doi.org/10.4324/9780203887332, Routledge; Hattie, J., Timperley, H., The power of feedback (2007) Review of Educational Research, 77 (1), pp. 81-112. , https://doi.org/10.3102/003465430298487; Heitzmann, N., Opitz, A., Stadler, M., Sommerhoff, D., Fink, M.C., Obersteiner, A., Schmidmaier, R., Fischer, F., Cross-disciplinary research on learning and instruction—Coming to terms (2021) Frontiers in Psychology, 1539. , https://doi.org/10.3389/fpsyg.2021.562658; Hetmanek, A., Engelmann, K., Opitz, A., Fischer, F., Beyond intelligence and domain knowledge: Scientific reasoning and argumentation as a set of cross-domain skills (2018) Scientific reasoning and argumentation: The roles of domain-specific and domain-general knowledge, pp. 203-226. , https://doi.org/10.4324/9780203731826, F. Fischer, A. C. Clark, K. Engelmann, J. Osborne, (Eds.),, Routledge; Hornstein, J., Greisel, M., Ott, J., Weidenbacher, A., Kollar, I., Promoting evidence-informed reasoning in student teachers through peer feedback (2023) 20th Biennial EARLI Conference Thessaloniki, , [Paper presentation]. In, Greece; Hua, X., Nikolov, M., Badugu, N., Wang, L., Argument mining for understanding peer reviews (2019) Proceedings of the 2019 Conference of the North American Chapter of the Association for Computational Linguistics: Human Language Technologies, pp. 2131-2137. , https://doi.org/10.18653/v1/N19-1219, . Minneapolis, MN., Association for Computational Linguistics; Huisman, B., Saab, N., van Driel, J., van den Broek, P., Peer feedback on academic writing: Undergraduate students' peer feedback role, peer feedback perceptions and essay performance (2018) Assessment &amp; Evaluation in Higher Education, 43 (6), pp. 955-968. , https://doi.org/10.1080/02602938.2018.1424318; Huisman, B., Saab, N., Van Driel, J., Van Den Broek, P., A questionnaire to assess students' beliefs about peer-feedback (2020) Innovations in Education and Teaching International, 57 (3), pp. 328-338. , https://doi.org/10.1080/14703297.2019.1630294; Kalyuga, S., Expertise reversal effect and its implications for learner-tailored instruction (2007) Educational Psychology Review, 19 (4), pp. 509-539. , https://doi.org/10.1007/s10648-007-9054-3; Kasneci, E., Seßler, K., Küchemann, S., Bannert, M., Dementieva, D., Fischer, F., Gasser, U., Kasneci, G., ChatGPT for good? On opportunities and challenges of large language models for education (2023) Learning and Individual Differences, 103. , https://doi.org/10.1016/j.lindif.2023.102274; Kaufman, J.H., Schunn, C.D., Students' perceptions about peer assessment for writing: Their origin and impact on revision work (2011) Instructional Science, 39 (3), pp. 387-406. , https://doi.org/10.1007/s11251-010-9133-6; Ke, Z., Ng, V., Automated essay scoring: A survey of the state of the art (2019) Proceedings of IJCAI-19, pp. 6300-6308. , https://www.ijcai.org/proceedings/2019/0879.pdf; Kennard, N., O'Gorman, T., Das, R., Sharma, A., Bagchi, C., Clinton, M., Yelugam, P.K., McCallum, A., DISAPERE: A dataset for discourse structure in peer review discussions (2022) Proceedings of the 2022 Conference of the North American Chapter of the Association for Computational Linguistics: Human Language Technologies, pp. 1234-1249. , https://doi.org/10.18653/v1/2022.naacl-main.89, . Seattle, WA., Association for Computational Linguistics; Koivuniemi, M., Panadero, E., Malmberg, J., Järvelä, S., Higher education students' learning challenges and regulatory skills in different learning situations/Desafíos de aprendizaje y habilidades de regulación en distintas situaciones de aprendizaje en estudiantes de educación superior (2017) Infancia y Aprendizaje, 40 (1), pp. 19-55. , https://doi.org/10.1080/02103702.2016.1272874; Kucirkova, N., Gerard, L., Linn, M.C., Designing personalised instruction: A research and design framework (2021) British Journal of Educational Technology, 52 (5), pp. 1839-1861. , https://doi.org/10.1111/bjet.13119; Kuznetsov, I., Buchmann, J., Eichler, M., Gurevych, I., Revise and resubmit: An intertextual model of text-based collaboration in peer review (2022) Computational Linguistics, 48 (4), pp. 1-38. , https://doi.org/10.1162/coli_a_00455; Li, H., Xiong, Y., Hunter, C.V., Guo, X., Tywoniw, R., Does peer assessment promote student learning? A meta-analysis (2020) Assessment &amp; Evaluation in Higher Education, 45 (2), pp. 193-211. , https://doi.org/10.1080/02602938.2019.1620679; Lin, J.W., Tsai, C.W., The impact of an online project-based learning environment with group awareness support on students with different self-regulation levels: An extended-period experiment (2016) Computers &amp; Education, 99, pp. 28-38. , https://doi.org/10.1016/j.compedu.2016.04.005; Linn, M.C., Eylon, B.-S., Davis, E.A., The knowledge integration perspective on learning (2013) Internet environments for science education, pp. 29-46. , https://doi.org/10.4324/9781410610393, M. C. Linn, E. A. Davis, P. Bell, (Eds.),, Routledge; Lippi, M., Torroni, P., Argumentation mining: State of the art and emerging trends (2016) ACM Transactions on Internet Technology (TOIT), 16 (2), pp. 1-25. , https://doi.org/10.1145/2850417; Liu, L., Hao, J., von Davier, A.A., Kyllonen, P., Zapata-Rivera, J., A tough nut to crack: Measuring collaborative problem solving (2016) Handbook of research on technology tools for real-world skill development, pp. 344-359. , https://doi.org/10.4018/978-1-4666-9441-5.ch013, Y. Rosen, S. Ferrara, M. Mosharraf, (Eds.),, IGI Global; Logan, R.L., IV, Passos, A., Singh, S., Chang, M.W., FRUIT: Faithfully reflecting updated information in text (2022) Proceedings of the 2022 Conference of the North American Chapter of the Association for Computational Linguistics: Human Language Technologies, pp. 3670-3686. , https://doi.org/10.18653/v1/2022.naacl-main.269, . Seattle, WA., Association for Computational Linguistics; Lugini, L., Litman, D., Predicting specificity in classroom discussion (2017) Proceedings of the 12th Workshop on Innovative Use of NLP for Building Educational Applications, pp. 52-61. , https://doi.org/10.18653/v1/W17-5006, . Copenhagen, Denmark., Association for Computational Linguistics; Lugini, L., Litman, D., Contextual argument component classification for class discussions (2020) Proceedings of the 28th International Conference on Computational Linguistics, pp. 1475-1480. , https://doi.org/10.18653/v1/2020.coling-main.128, . Barcelona, Spain., International Committee on Computational Linguistics; Lundstrom, K., Baker, W., To give is better than to receive: The benefits of peer review to the reviewer's own writing (2009) Journal of Second Language Writing, 18, pp. 30-43. , https://doi.org/10.1016/j.jslw.2008.06.002; Maynez, J., Narayan, S., Bohnet, B., McDonald, R., On faithfulness and factuality in abstractive summarization (2020) Proceedings of the 58th Annual Meeting of the Association for Computational Linguistics, pp. 1906-1919. , https://aclanthology.org/2020.acl-main.173.pdf, . Online., Association for Computational Linguistics; Michel, C., Lavoué, E., George, S., Ji, M., Supporting awareness and self-regulation in project-based learning through personalized dashboards (2017) International Journal of Technology Enhanced Learning, 9 (2-3), pp. 204-226. , https://doi.org/10.1504/IJTEL.2017.084500; Mohammad, S., Ethics sheets for AI tasks (2022) Proceedings of the 60th Annual Meeting of the Association for Computational Linguistics, pp. 8368-8379. , https://doi.org/10.18653/v1/2022.acl-long.573, . Dublin, Ireland., Association for Computational Linguistics; Narciss, S., Feedback strategies for interactive learning tasks (2008) Handbook of research on educational communications and technology, pp. 125-144. , https://doi.org/10.4324/9780203880869, D. Jonassen, M. J. Spector, M. Driscoll, M. D. Merrill, J. van Merrienboer, M. P. Driscoll, (Eds.),, 3rd ed., Routledge; Narciss, S., Sosnovsky, S., Schnaubert, L., Andrès, E., Eichelmann, A., Goguadze, G., Melis, E., Exploring feedback and student characteristics relevant for personalizing feedback strategies (2014) Computers &amp; Education, 71, pp. 56-76. , https://doi.org/10.1016/j.compedu.2013.09.011; Newman-Griffis, D., Lehman, J.F., Rosé, C., Hochheiser, H., Translational NLP: A new paradigm and general principles for natural language processing research (2021) Proceedings of the 2021 Conference of the North American Chapter of the Association for Computational Linguistics: Human Language Technologies, pp. 4125-4138. , https://doi.org/10.18653/v1/2021.naacl-main.325, . Online., Association for Computational Linguistics; Nguyen, H., Xiong, W., Litman, D., Instant feedback for increasing the presence of solutions in peer reviews (2016) Proceedings of the 2016 Conference of the North American Chapter of the Association for Computational Linguistics: Demonstrations, pp. 6-10. , https://aclanthology.org/N16-3002.pdf, . San Diego, CA., Association for Computational Linguistics; Nicol, D., The power of internal feedback: Exploiting natural comparison processes (2021) Assessment &amp; Evaluation in Higher Education, 46 (5), pp. 756-778. , https://doi.org/10.1080/02602938.2020.1823314; Nicol, D., Thomson, A., Breslin, C., Rethinking feedback practices in higher education: A peer review perspective (2014) Assessment &amp; Evaluation in Higher Education, 39 (1), pp. 102-122. , https://doi.org/10.1080/02602938.2013.795518; Ninaus, M., Sailer, M., Closing the loop—The human role in artificial intelligence for education (2022) Frontiers in Psychology, 13. , https://doi.org/10.3389/fpsyg.2022.956798, Article 956798; (2023) GPT-4 Technical Report, , https://arxiv.org/abs/2303.08774, arXiv Preprints; Page, E.B., The use of the computer in analyzing student essays (1968) International Review of Education, 14 (2), pp. 210-225. , https://www.jstor.org/stable/3442515; Panadero, E., Is it safe? Social, interpersonal, and human effects of peer assessment (2016) Handbook of human and social conditions in assessment, pp. 247-266. , https://doi.org/10.4324/9781315749136, G. Brown, &amp;, L. Harris, (Eds.),, Routledge; Panadero, E., Lipnevich, A.A., A review of feedback models and typologies: Towards an integrative model of feedback elements (2022) Educational Research Review, 35. , https://doi.org/10.1016/j.edurev.2021.100416; Patchan, M.M., Hawk, B., Stevens, C.A., Schunn, C.D., The effects of skill diversity on commenting and revisions (2013) Instructional Science, 41 (2), pp. 381-405. , https://doi.org/10.1007/s11251-012-9236-3; Patchan, M.M., Schunn, C.D., Understanding the benefits of providing peer feedback: How students respond to peers' texts of varying quality (2015) Instructional Science, 43 (5), pp. 591-614. , https://doi.org/10.1007/s11251-015-9353-x; Patchan, M.M., Schunn, C.D., Clark, R.J., Accountability in peer assessment: Examining the effects of reviewing grades on peer ratings and peer feedback (2018) Studies in Higher Education, 43 (12), pp. 2263-2278. , https://doi.org/10.1080/03075079.2017.1320374; Patchan, M.M., Schunn, C.D., Correnti, R.J., The nature of feedback: How peer feedback features affect students' implementation rate and quality of revisions (2016) Journal of Educational Psychology, 108 (8), pp. 1098-1120. , https://doi.org/10.1037/edu0000103; Peters, O., Körndle, H., Narciss, S., Effects of a formative assessment script on how vocational students generate formative feedback to a peer's or their own performance (2018) European Journal of Psychology of Education, 33 (1), pp. 117-143. , https://doi.org/10.1007/s10212-017-0344-y; Pfeiffer, J., Meyer, C.M., Schulz, C., Kiesewetter, J., Zottmann, J., Sailer, M., Bauer, E., Gurevych, I., Famulus: Interactive annotation and feedback generation for teaching diagnostic reasoning (2019) The 2019 Conference on Empirical Methods in Natural Language Processing and the 9th International Joint Conference on Natural Language Processing—Proceedings of system demonstrations: Emnlp-IJCNLP 2019, pp. 73-78. , https://aclanthology.org/D19-3013.pdf, S. Padó, (Ed.),, Association for Computational Linguistics (ACL); Pfeiffer, J., Vulić, I., Gurevych, I., Ruder, S., MAD-X: An adapter-based framework for multi-task cross-lingual transfer (2020) Proceedings of the 2020 Conference on Empirical Methods in Natural Language Processing, pp. 7654-7673. , https://doi.org/10.48550/arXiv.2005.00052, . Online., Association for Computational Linguistics; Plass, J.L., Pawar, S., Toward a taxonomy of adaptivity for learning (2020) Journal of Research on Technology in Education, 52 (3), pp. 275-300. , https://doi.org/10.1080/15391523.2020.1719943; Quintana, C., Reiser, B.J., Davis, E.A., Krajcik, J., Fretz, E., Duncan, R.G., Kyza, E., Soloway, E., A scaffolding design framework for software to support science inquiry (2004) Journal of the Learning Sciences, 13 (3), pp. 337-386. , https://doi.org/10.1207/s15327809jls1303_4; Raković, M., Bernacki, M.L., Greene, J.A., Plumley, R.D., Hogan, K.A., Gates, K.M., Panter, A.T., Examining the critical role of evaluation and adaptation in self-regulated learning (2022) Contemporary Educational Psychology, 68. , https://doi.org/10.1016/j.cedpsych.2021.102027; Rapanta, C., Walton, D., The use of argument maps as an assessment tool in higher education (2016) International Journal of Educational Research, 79, pp. 211-221. , https://doi.org/10.1016/j.ijer.2016.03.002; Reimers, N., Gurevych, I., Sentence-BERT: Sentence embeddings using Siamese BERT-networks (2019) Proceedings of the 2019 Conference on Empirical Methods in Natural Language Processing and the 9th International Joint Conference on Natural Language Processing, pp. 3982-3992. , https://doi.org/10.48550/arXiv.1908.10084, . Hong Kong, China., Association for Computational Linguistics; Rogers, A., Baldwin, T., Leins, K., ‘Just what do you think you're doing, Dave?’ A checklist for responsible data use in NLP (2021) Findings of the Association for Computational Linguistics: EMNLP 2021, pp. 4821-4833. , https://doi.org/10.48550/arXiv.2109.06598, . Punta Cana, Dominican Republic., Association for Computational Linguistics; Rotsaert, T., Panadero, E., Schellens, T., Raes, A., “Now you know what you're doing right and wrong!” Peer feedback quality in synchronous peer assessment in secondary education (2018) European Journal of Psychology of Education, 33 (2), pp. 255-275. , https://doi.org/10.1007/s10212-017-0329-x; Rouet, J.-F., Britt, M.A., Relevance processes in multiple document comprehension (2011) Text relevance and learning from text, pp. 19-52. , M. T. McCrudden, J. P. Magliano, G. Schraw, (Eds.),, IAP Information Age Publishing; Sailer, M., Bauer, E., Hofmann, R., Kiesewetter, J., Glas, J., Gurevych, I., Fischer, F., Adaptive feedback from artificial neural networks facilitates pre-service teachers' diagnostic reasoning in simulation-based learning (2023) Learning and Instruction, 83. , https://doi.org/10.1016/j.learninstruc.2022.101620; Sailer, M., Schultz-Pernice, F., Fischer, F., Contextual facilitators for learning activities involving technology in higher education: The C♭-model (2021) Computers in Human Behavior, 121. , https://doi.org/10.1016/j.chb.2021.106794; Schick, T., Dwivedi-Yu, J., Jiang, Z., Petroni, F., Lewis, P., Izacard, G., You, Q., Riedel, S., (2022) PEER: A collaborative language model, , https://doi.org/10.48550/arXiv.2208.11663, arXiv Preprints; Schulz, C., Meyer, C.M., Gurevych, I., Challenges in the automatic analysis of students' Ddiagnostic reasoning (2019) The 57th Annual Meeting of the Association for Computational Linguistics—Proceedings of the Conference, pp. 6974-6981. , https://doi.org/10.1609/aaai.v33i01.33016974, A. Korhonen, D. Traum, L. Màrquez, (Eds.),,). Florence, Italy., Association for Computational Linguistics; Strijbos, J.-W., Pat-El, R., Narciss, S., Structural validity and invariance of the feedback perceptions questionnaire (2021) Studies in Educational Evaluation, 68. , https://doi.org/10.1016/j.stueduc.2021.100980; Tabak, I., Kyza, E.A., Research on scaffolding in the learning sciences: A methodological perspective (2018) International handbook of the learning sciences, pp. 191-200. , https://doi.org/10.4324/9781315617572, F. Fischer, C. E. Hmelo-Silver, S. R. Goldman, P. Reimann, (Eds.),, Routledge; Tenney, I., Wexler, J., Bastings, J., Bolukbasi, T., Coenen, A., Gehrmann, S., Jiang, E., Yuan, A., The language interpretability tool: Extensible, interactive visualizations and analysis for NLP models (2020) Proceedings of the 2020 Conference on Empirical Methods in Natural Language Processing: System Demonstrations, pp. 107-118. , https://doi.org/10.18653/v1/2020.emnlp-demos.15, . Online., Association for Computational Linguistics; Tetzlaff, L., Schmiedek, F., Brod, G., Developing personalized education: A dynamic framework (2021) Educational Psychology Review, 33 (3), pp. 863-882. , https://doi.org/10.1007/s10648-020-09570-w; Tsovaltzi, D., McLaren, B.M., Melis, E., Meyer, A.K., Erroneous examples: Effects on learning fractions in a web-based setting (2012) International Journal of Technology Enhanced Learning, 4 (3-4), pp. 191-230. , https://doi.org/10.1504/IJTEL.2012.051583; Utama, P.A., Moosavi, N.S., Gurevych, I., Towards debiasing NLU models from unknown biases (2020) Proceedings of the 2020 Conference on Empirical Methods in Natural Language Processing, pp. 7597-7610. , https://doi.org/10.18653/v1/2020.emnlp-main.613, . Online., Association for Computational Linguistics; Van Merriënboer, J.J., Kirschner, P.A., 4C/ID in the context of instructional design and the learning sciences (2018) International handbook of the learning sciences, pp. 169-179. , https://doi.org/10.4324/9781315617572, F. Fischer, C. E. Hmelo-Silver, S. R. Goldman, P. Reimann, (Eds.),, Routledge; Voet, M., Gielen, M., Boelens, R., De Wever, B., Using feedback requests to actively involve assessees in peer assessment: Effects on the assessor's feedback content and assessee's agreement with feedback (2018) European Journal of Psychology of Education, 33 (1), pp. 145-164. , https://doi.org/10.1007/s10212-017-0345-x; Vogel, F., Kollar, I., Fischer, F., Reiss, K., Ufer, S., Adaptable scaffolding of mathematical argumentation skills: The role of self-regulation when scaffolded with CSCL scripts and heuristic worked examples (2022) International Journal of Computer-Supported Collaborative Learning, 17, pp. 39-64. , https://doi.org/10.1007/s11412-022-09363-z; Wambsganss, T., Niklaus, C., Cetto, M., Söllner, M., Handschuh, S., Leimeister, J.M., AL: An adaptive learning support system for argumentation skills (2020) Proceedings of the 2020 CHI Conference on Human Factors in Computing Systems, pp. 1-14. , https://doi.org/10.1145/3313831.3376732; Wang, X., Kollar, I., Stegmann, K., Adaptable scripting to foster regulation processes and skills in computer-supported collaborative learning (2017) International Journal of Computer-Supported Collaborative Learning, 12, pp. 153-172. , https://doi.org/10.1007/s11412-017-9254-x; Wang, Y., Mishra, S., Alipoormolabashi, P., Kordi, Y., Mirzaei, A., Arunkumar, A., Ashok, A., Khashabi, D., Super-natural instructions: Generalization via declarative instructions on 1600+ nlp tasks (2022) Proceedings of the 2022 Conference on Empirical Methods in Natural Language Processing, pp. 5085-5109. , https://aclanthology.org/2022.emnl</t>
  </si>
  <si>
    <t>This research was supported by the German Federal Ministry of Research and Education (FAMULUS‐Project 16DHL1040), Deutsche Forschungsgemeinschaft (DFG FOR 2385) and Stiftung Innovation in der Hochschullehre (FMM120‐2020). Open Access funding enabled and organized by Projekt DEAL.</t>
  </si>
  <si>
    <t>FMM120‐2020; Deutsche Forschungsgemeinschaft, DFG: FOR 2385; Bundesministerium für Bildung und Forschung, BMBF: 16DHL1040</t>
  </si>
  <si>
    <t>Bauer, E., Department of Psychology, Ludwig-Maximilians-Universität München, Munich, Germany, School of Social Sciences and Technology, Technical University of Munich, Munich, Germany; Greisel, M., Faculty for Philosophy and Social Sciences, University of Augsburg, Augsburg, Germany; Kuznetsov, I., Ubiquitous Knowledge Processing Lab, Department of Computer Science and Hessian Center for AI (hessian.AI), Technical University of Darmstadt, Darmstadt, Germany; Berndt, M., Institute of Medical Education, University Hospital of LMU Munich, Munich, Germany; Kollar, I., Faculty for Philosophy and Social Sciences, University of Augsburg, Augsburg, Germany; Dresel, M., Faculty for Philosophy and Social Sciences, University of Augsburg, Augsburg, Germany; Fischer, M.R., Institute of Medical Education, University Hospital of LMU Munich, Munich, Germany; Fischer, F., Department of Psychology, Ludwig-Maximilians-Universität München, Munich, Germany</t>
  </si>
  <si>
    <t>57205740095;57203971292;57022189200;57195348036;18037592100;9248599200;7402920954;35760191600;</t>
  </si>
  <si>
    <t>Bauer E., Greisel M., Kuznetsov I., Berndt M., Kollar I., Dresel M., Fischer M.R., Fischer F.</t>
  </si>
  <si>
    <t>Chervenak, J.; Albert Einstein College of Medicine/Montefiore's Institute for Reproductive Medicine, 141 S Central Ave, United States; email: joseph.chervenak@gmail.com</t>
  </si>
  <si>
    <t>Pallen, M., Introducing the Internet (1995) BMJ, 311, pp. 1422-1424; Huang, J.Y.J., Discepola, F., Al-Fozan, H., Tulandi, T., Quality of fertility clinic websites (2005) Fertil Steril, 83, pp. 538-544; Google Search Results for “Infertility” and “Fertility” http://www.google.com, Available at: (Accessed 20 February 2023); Sun, Y., Zhang, Y., Gwizdka, J., Trace, C.B., Consumer evaluation of the quality of online health information: systematic literature review of relevant criteria and indicators (2019) J Med Internet Res, 21; Kong, W., Song, S., Zhao, Y.C., Zhu, Q., Sha, L., tiktok as a health information source: assessment of the quality of information in diabetes-related videos (2021) J Med Internet Res, 23; Russell, S.J., Norvig, P., Artificial intelligence: a modern approach (2021), 4th ed. Pearson; Open AI [Internet] https://openai.com/, Available at: (Accessed 20 February 2023); Dale, R., GPT-3: What's it good for? (2021) Nat Lang Eng, 27, pp. 113-118; The Algorithm That Could Take Us Inside Shakespeare's Mind. New York Times https://www.nytimes.com/2021/11/24/books/review/shakespeare-cohere-natural-language-processing.html, Available at: (Accessed 20 February 2023); ChatGPT can tell jokes, even write articles. But Only Humans Can Detect its Fluent Bullshit https://www.theguardian.com/commentisfree/2022/dec/11/chatgpt-is-a-marvel-but-its-ability-to-lie-convincingly-is-its-greatest-danger-to-humankind, Available at: (Accessed 20 February 2023); Tingiris, S., Exploring GPT-3: an unofficial first look at the general-purpose language processing API from OpenAI (2021), Packt Publishing Birmingham; ChatGPT is the fastest growing app of all time https://mashable.com/article/chatgpt-fastest-growing, Available at: (Accessed 20 February 2023); ChatGPT sets record for fastest-growing user base https://www.reuters.com/technology/chatgpt-sets-record-fastest-growing-user-base-analyst-note-2023-02-01/#:∼:text=Feb%201%20(Reuters)%20%2D%20ChatGPT,a%20UBS%20study%20on%20Wednesday, Available at: (Accessed 20 February 2023); van Dis, E.A.M., Bollen, J., Zuidema, W., van Rooij, R., Bockting, C.L., ChatGPT: five priorities for research (2023) Nature, 614, pp. 224-226; Duong, D., Solomon, B.D., Analysis of large-language model versus human performance for genetics questions (2023) medRxiv, p. 2023. , 01.27.23285115; Biswas, S., ChatGPT and the future of medical writing (2023) Radiology, 307; Stokel-Walker, C., AI bot ChatGPT writes smart essays - should professors worry? (2022) Nature; Patel, S.B., Lam, K., Liebrenz, M., ChatGPT: friend or foe (2023) Lancet Digit Health, 5; Bang, Y., Cahyawijaya, S., Lee, N., Dai, W., Su, D., Wilie, B., (2023), A Multitask, Multilingual, Multimodal Evaluation of ChatGPT on Reasoning, Hallucination, and Interactivity. arXiv preprint arXiv:230204023; Ji, Z., Lee, N., Frieske, R., Yu, T., Su, D., Xu, Y., Survey of hallucination in natural language generation (2023) ACM Comput Surv, 55, pp. 1-38; Got it AI creates truth checker for chat gpt hallucinations https://venturebeat.com/ai/got-it-ai-creates-truth-checker-for-chatgpt-hallucinations/, Available at: (Accessed 20 February 2023); Shen, Y., Heacock, L., Elias, J., Hentel, K.D., Reig, B., Shih, G., ChatGPT and other large language models are double-edged swords (2023) Radiology, 307; Infertility FAQ's https://www.cdc.gov/reproductivehealth/infertility/index.htm, Available at: (Accessed 20 February 2023); TextBlob: simplified language processing https://pypi.org/project/textblob/0.9.0/, Available at: (Accessed 20 February 2023); Waudby-Smith, I.E.R., Tran, N., Dubin, J.A., Lee, J., Sentiment in nursing notes as an indicator of out-of-hospital mortality in intensive care patients (2018) PLOS ONE, 13; Liu, Z., Yang, Y., Song, H., Luo, J., A prediction model with measured sentiment scores for the risk of in-hospital mortality in acute pancreatitis: a retrospective cohort study (2022) Ann Transl Med, 10, p. 676; Kumar, V., Bajpai, R., Roy, R.B., Clinical notes mining for post discharge mortality prediction (2022) IETE Tech Rev, 39, pp. 953-959; Gao, Q., Wang, D., Sun, P., Luan, X., Wang, W., Sentiment analysis based on the nursing notes on in-hospital 28-day mortality of sepsis patients utilizing the MIMIC-III database (2021) Comput Math Methods Med, 2021; Denecke, K., Reichenpfader, D., Sentiment analysis of clinical narratives: a scoping review (2023) J Biomed Inform, 140; Loria, S., Keen, P., Honnibal, M., Yankovsky, R., Karesh, D., Dempsey, E., Textblob: simplified text processing, Second (2014) TextBlob Simpl. Text Process, 3, p. 2014; Hutto, C., VADER, G.E., A parsimonious rule-based model for sentiment analysis of social media text (2014) Proceedings of the international AAAI conference on web and social media, 8 (1), pp. 216-225; Microsoft. Documentation: text sentiment analysis https://learn.microsoft.com/en-us/archive/msdn-magazine/2018/may/artificially-intelligent-text-sentiment-analysis, Available at: (Accessed 20 February 2023); Bunting, L., Tsibulsky, I., Boivin, J., Fertility knowledge and beliefs about fertility treatment: findings from the International Fertility Decision-making Study (2013) Hum Reprod, 28, pp. 385-397; Kudesia, R., Chernyak, E., McAvey, B., Low fertility awareness in United States reproductive-aged women and medical trainees: creation and validation of the Fertility &amp; Infertility Treatment Knowledge Score (FIT-KS) (2017) Fertil Steril, 108, pp. 711-717; https://www.asrm.org/news-and-publications/practice-committee-documents/, Available at: (Accessed 20 February 2023); Optimizing natural fertility: a committee opinion (2022) Fertil Steril, 117, pp. 53-63; What is ChatGPT, DALL-E, and generative AI? https://www.mckinsey.com/featured-insights/mckinsey-explainers/what-is-generative-ai, Available at: (Accessed 20 February 2023); Agrawal, A., Gans, J., Goldfarb, A., Power and prediction: the disruptive economics of artificial intelligence (2022), Harvard Business Review Press Boston; Bishop, L., A computer wrote this paper: what ChatGPT means for education, research, and writing (2023) SSRN Electron J; Frosio, G., The artificial creatives: the rise of combinatorial creativity from dall-E to GPT-3 (2023), SSRN Electron J; (2023), Kortemeyer G Could Artif-Intell Agent Pass Introductory Phys Course?; Zaninovic, N., Rosenwaks, Z., Artificial intelligence in human in vitro fertilization and embryology (2020) Fertil Steril, 114, pp. 914-920; Kung, T.H., Cheatham, M., Medenilla, A., Sillos, C., De Leon, L., Elepaño, C., Performance of ChatGPT on USMLE: potential for AI-assisted medical education using large language models (2023) PLOS Digit Health, 2; Tech leaders warn that ChatGPT bots can make mistakes https://fortune.com/2023/02/13/tech-leaders-google-search-chief-prabhakar-raghavan-apple-cofounder-steve-wozniak-chatgpt-chatbots-keep-making-errors/, Available at: (Accessed 20 February 2023); Breckons, M., Jones, R., Morris, J., Richardson, J., What do evaluation instruments tell us about the quality of complementary medicine information on the internet? (2008) J Med Internet Res, 10, p. e3; Sarraju, A., Bruemmer, D., Van Iterson, E., Cho, L., Rodriguez, F., Laffin, L., Appropriateness of cardiovascular disease prevention recommendations obtained from a popular online chat-based artificial intelligence model (2023) JAMA, 329, pp. 842-844; Geller, T., Overcoming the uncanny valley (2008) IEEE Comput Graph Appl, 28, pp. 11-17; ChatGPT &amp; You: Language Generation's Uncanny Valley https://medium.com/geekculture/chatgpt-you-language-generations-uncanny-valley-a91684325b0a, Available at: (Accessed 20 February 2023); UpToDate https://www.wolterskluwer.com/en/solutions/uptodate, Available at: (Accessed 20 February 2023); Google AI updates: bard and new AI features in Search https://blog.google/technology/ai/bard-google-ai-search-updates/, Available at: (Accessed 20 February 2023); Microsoft's bing chatbot offers some puzzling and inaccurate responses https://www.nytimes.com/2023/02/15/technology/microsoft-bing-chatbot-problems.html, Available at: (Accessed 20 February 2023); Open, A.I., Releases GPT-4 AI that it claims is state of the art https://techcrunch.com/2023/03/14/openai-releases-gpt-4-ai-that-it-claims-is-state-of-the-art/, Available at: (Accessed 20 February 2023); Swain, J., VerMilyea, M.T., Meseguer, M., Ezcurra, D., AI in the treatment of fertility: key considerations (2020) J Assist Reprod Genet, 37, pp. 2817-2824; Babel, A., Taneja, R., Mondello Malvestiti, F., Monaco, A., Donde, S., Artificial intelligence solutions to increase medication adherence in patients with non-communicable diseases (2021) Front Digit Health, 3; Tan, S.S.-L., Goonawardene, N., internet health information seeking and the patient-physician relationship: a systematic review (2017) J Med Internet Res, 19, p. e9; Schwartz, L.M., Woloshin, S., Medical marketing in the United States, 1997-2016 (2019) JAMA, 321, pp. 80-96</t>
  </si>
  <si>
    <t>adult; Article; artificial intelligence; clinical article; controlled study; counseling; disease control; female; fertility; gamete intrafallopian transfer; human; infertility therapy; language ability; machine learning; male; medical informatics; multiple choice test; natural language processing; outcome assessment; reproduction; sentiment analysis; university hospital; counseling; fertility; infertility; language; Artificial Intelligence; Counseling; Fertility; Humans; Infertility; Language</t>
  </si>
  <si>
    <t>Chervenak, J., Albert Einstein College of Medicine/Montefiore's Institute for Reproductive Medicine and Health, Hartsdale, New York, United States; Lieman, H., Albert Einstein College of Medicine/Montefiore's Institute for Reproductive Medicine and Health, Hartsdale, New York, United States; Blanco-Breindel, M., Albert Einstein College of Medicine/Montefiore's Institute for Reproductive Medicine and Health, Hartsdale, New York, United States; Jindal, S., Albert Einstein College of Medicine/Montefiore's Institute for Reproductive Medicine and Health, Hartsdale, New York, United States</t>
  </si>
  <si>
    <t>57220346260;6507275170;58479740800;55432383700;</t>
  </si>
  <si>
    <t>Chervenak J., Lieman H., Blanco-Breindel M., Jindal S.</t>
  </si>
  <si>
    <t>2-s2.0-85168382233</t>
  </si>
  <si>
    <t>Acad. Med.</t>
  </si>
  <si>
    <t>ACMEE</t>
  </si>
  <si>
    <t>Wolters Kluwer Health</t>
  </si>
  <si>
    <t>Hashimoto, D.A.3400 Spruce St., 4 Silverstein Pavilion, United States; email: daniel.hashimoto@pennmedicine.upenn.edu</t>
  </si>
  <si>
    <t>2022 FACTS: Applicants and Matriculants Data., , https://www.aamc.org/data-reports/students-residents/data/2022-facts-applicants-and-matriculants-data, Association of American Medical Colleges. Accessed June 16, 2023; U.S. Medical School Total Applicants, 2002-2017. 2017 Applicant and Matriculant Data Tables, , https://www.aamc.org/system/files/d/1/5-2017_applicant_and_matriculant_data_tables.pdf, Association of American Medical Colleges. Published December 2017. Accessed June 16, 2023; Williams, C., Perez, M.A., Vapiwala, N., Shea, J.A., The impact of socioeconomic factors on medical school acceptance rates. (2021) Acad Med, 96 (11 suppl), pp. S219-S220; Hashimoto, D.A., Rosman, G., Meireles, O.R., (2021) Artificial Intelligence in Surgery: Understanding the Role of AI in Surgical Practice, , eds. New York, NY: McGraw-Hill Education; Bellman, R., (1978) An Introduction to Artificial Intelligence: Can Computers Think?, , San Francisco, CA: Thomson Course Technology; Shortliffe, E.H., Axline, S.G., Buchanan, B.G., Merigan, T.C., Cohen, S.N., An artificial intelligence program to advise physicians regarding antimicrobial therapy. (1973) Comput Biomed Res, 6, pp. 544-560; Miller, R.A., Pople, H.E., Jr., Myers, J.D., Internist-I, an experimental computer-based diagnostic consultant for general internal medicine. (1982) N Engl J Med, 307, pp. 468-476; Mascagni, P., Alapatt, D., Sestini, L., Computer vision in surgery: From potential to clinical value. (2022) NPJ Digit Med, 5, p. 163; Cohen, T.A., Patel, V.L., Shortliffe, E.H., (2022) Intelligent Systems in Medicine and Health: The Role of AI, , eds. Cham, Switzerland: Springer Cham; Zadeh, L.A., Fuzzy sets. (1965) Inf Control, 8, pp. 338-353; Krizhevsky, A., Sutskever, I., Hinton, G.E., Pereira, F., Burges, C.J.C., Bottou, L., Weinberger, K.Q., ImageNet classification with deep convolutional neural networks. (2012) Advances in Neural Information Processing Systems, 25, pp. 1097-1105; Devlin, J., Chang, M.W., Lee, K., Toutanova, K., BERT: Pre-training of Deep Bidirectional Transformers for Language Understanding [Preprint Posted Online October 10, 2018]., , arXiv [csCL]. doi:10.48550/arXiv.1810.04805; Radford, A., Narasimhan, K., Salimans, T., Sutskever, I., Improving Language Understanding by Generative Pre-Training., , https://s3-us-west-2.amazonaws.com/openai-assets/research-covers/language-unsupervised/language_understanding_paper.pdf, OpenAI.com, Published 2018. Accessed June 16, 2023; Stiennon, N., Ouyang, L., Wu, J., Larochelle, H., Ranzato, M., Hadsell, R., Balcan, M.F., Lin, H., Learning to summarize with human feedback. (2020) Advances in Neural Information Processing Systems, 33, pp. 3008-3021; Ji, Z., Lee, N., Frieske, R., Survey of hallucination in natural language generation. (2023) ACM Comput Surv, 55, pp. 1-38; OpenAI,. GPT-4 Technical Report [Preprint Posted Online March 15, 2023]. ArXiv [CsCL]., , doi:10.48550/arXiv.2303.08774; Ayers, J.W., Poliak, A., Dredze, M., Comparing physician and artificial intelligence chatbot responses to patient questions posted to a public social media forum. (2023) JAMA Intern Med, 183, pp. 589-596; Conrad, S.S., Addams, A.N., Young, G.H., Holistic review in medical school admissions and selection: A strategic, mission-driven response to shifting societal needs. (2016) Acad Med, 91, pp. 1472-1474; Holistic Review., , https://www.aamc.org/services/member-capacity-building/holistic-review, Association of American Medical Colleges. Accessed June 9, 2023; The Parts of Your Medical School Application., , https://students-residents.aamc.org/real-stories-demonstrating-core-competencies/parts-your-medical-school-application, Association of American Medical Colleges. Accessed June 9, 2023; Kirchner, J.H., Ahmad, L., Aaronson, S., Leike, J., New AI Classifier for Indicating AI-written Text., , https://openai.com/blog/new-ai-classifier-for-indicating-ai-written-text, Open AI. Published January 31, 2023. Accessed June 9, 2023; Tools such as ChatGPT threaten transparent science; Here are our ground rules for their use. (2023) Nature, 613, p. 612; Defining the Role of Authors and Contributors., , https://www.icmje.org/recommendations/browse/roles-and-responsibilities/defining-the-role-of-authors-and-contributors.html, International Committee of Medical Journal Editors. Accessed June 9, 2023; Devilbiss, M.B., Roberts, L.W., Artificial intelligence tools in scholarly publishing: Guidance for Academic Medicine authors. (2023) Acad Med, 98, pp. 865-866; Application and Acceptance Protocols for Applicants., , https://students-residents.aamc.org/applying-medical-school-amcas/application-and-acceptance-protocols-applicants, Association of American Medical Colleges. Accessed June 9, 2023; Mollick, E.R., Mollick, L., Using AI to Implement Effective Teaching Strategies in Classrooms: Five Strategies, Including Prompts [Published Online Ahead of Print March 24, 2023].; Russell, R.G., Lovett Novak, L., Patel, M., Competencies for the use of artificial intelligence-based tools by health care professionals. (2023) Acad Med, 98, pp. 348-356</t>
  </si>
  <si>
    <t>artificial intelligence; curriculum; human; medical education; medical school; university; Artificial Intelligence; Curriculum; Education, Medical; Faculty; Humans; Schools, Medical</t>
  </si>
  <si>
    <t>Advances in artificial intelligence (AI) have been changing the landscape in daily life and the practice of medicine. As these tools have evolved to become consumer-friendly, AI has become more accessible to many individuals, including applicants to medical school. With the rise of AI models capable of generating complex passages of text, questions have arisen regarding the appropriateness of using such tools to assist in the preparation of medical school applications. In this commentary, the authors offer a brief history of AI tools in medicine and describe large language models, a form of AI capable of generating natural language text passages. They question whether AI assistance should be considered inappropriate in preparing applications and compare it with the assistance some applicants receive from family, physician friends, or consultants. They call for clearer guidelines on what forms of assistance - human and technological - are permitted in the preparation of medical school applications. They recommend that medical schools steer away from blanket bans on AI tools in medical education and instead consider mechanisms for knowledge sharing about AI between students and faculty members, incorporation of AI tools into assignments, and the development of curricula to teach the use of AI tools as a competency. © 2023 Lippincott Williams and Wilkins. All rights reserved.</t>
  </si>
  <si>
    <t>Hashimoto, D.A., General Robotics, Automation, Sensing, and Perception Laboratory, University of Pennsylvania, Philadelphia, PA, United States; Johnson, K.B., Pediatrics Biomedical Informatics and Science Communication, University of Pennsylvania, Philadelphia, PA, United States</t>
  </si>
  <si>
    <t>General Robotics, Automation, Sensing, and Perception Laboratory, University of Pennsylvania, Philadelphia, PA, United States; Pediatrics Biomedical Informatics and Science Communication, University of Pennsylvania, Philadelphia, PA, United States</t>
  </si>
  <si>
    <t>https://www.scopus.com/inward/record.uri?eid=2-s2.0-85168382233&amp;doi=10.1097%2fACM.0000000000005309&amp;partnerID=40&amp;md5=fcab68072a980f2c6d32f36c6d0784f4</t>
  </si>
  <si>
    <t>10.1097/ACM.0000000000005309</t>
  </si>
  <si>
    <t>Academic Medicine</t>
  </si>
  <si>
    <t>The Use of Artificial Intelligence Tools to Prepare Medical School Applications</t>
  </si>
  <si>
    <t>55029426400;8744561900;</t>
  </si>
  <si>
    <t>Hashimoto D.A., Johnson K.B.</t>
  </si>
  <si>
    <t>Akiba, D.; School of Education, United States; email: dakiba@qc.cuny.edu</t>
  </si>
  <si>
    <t>https://chat.openai.com, Available online; Stojanov, A., Learning with ChatGPT 3.5 as a More Knowledgeable Other: An Autoethnographic Study (2023) Int. J. Educ. Technol. High. Educ, 20, p. 35; Anders, B.A., Is Using ChatGPT Cheating, Plagiarism, Both, Neither, or Forward Thinking? (2023) Patterns, 4, p. 100694. , 36960444; Chan, Z.C.Y., Chan, H.Y., Chow, H.C.J., Choy, S.N., Ng, K.Y., Wong, K.Y., Yu, P.K., Academic Advising in Undergraduate Education: A Systematic Review (2019) Nurse Educ. Today, 75, pp. 58-74. , 30731405; Johnson, R.M., Strayhorn, T.L., Travers, C.S., Examining the Academic Advising Experiences of Black Males at an Urban University: An Exploratory Case Study (2023) Urban Educ, 58, pp. 774-800; Juhi, A., Pipil, N., Santra, S., Mondal, S., Behera, J.K., Mondal, H., The Capability of ChatGPT in Predicting and Explaining Common Drug-Drug Interactions (2023) Cureus, 15, p. e36272; Kulkarni, P.A., Singh, H., Artificial Intelligence in Clinical Diagnosis: Opportunities, Challenges, and Hype (2023) JAMA, 330, p. 317; Van Der Niet, A.G., Bleakley, A., Where Medical Education Meets Artificial Intelligence: ‘Does Technology Care?’ (2021) Med. Educ, 55, pp. 30-36; Kraft, S.A., Centering Patients’ Voices in Artificial Intelligence–Based Telemedicine (2023) Am. J. Public Health, 113, pp. 470-471; Xie, Y., Seth, I., Hunter-Smith, D.J., Rozen, W.M., Ross, R., Lee, M., Aesthetic Surgery Advice and Counseling from Artificial Intelligence: A Rhinoplasty Consultation with ChatGPT (2023) Aesth. Plast. Surg; Shryock, T., AI Special Report: What Patients and Doctors Really Think about AI in Health Care (2023) Med. Econ, 100, pp. 14-15; Meissner, F., Garza, C., Rapid Construction of an Explanatory Decision Analytical Model of Treating Severe Depression during Pregnancy with SSRI Psychopharmacological Therapy by the Use of ChatGPT (2023) J. Psychosom. Res, 169, p. 111286; Ajevski, M., Barker, K., Gilbert, A., Hardie, L., Ryan, F., ChatGPT and the Future of Legal Education and Practice (2023) Law Teach; Choi, J.H., Schwarcz, D.B., AI Assistance in Legal Analysis: An Empirical Study, , https://ssrn.com/abstract=4539836, Minnesota Legal Studies Research Paper No. 23-22, Available online; Goltz, N., Dondoli, G., A Note on Science, Legal Research and Artificial Intelligence (2019) Inf. Commun. Technol. Law, 28, pp. 239-251; Weiser, B., Schweber, N., The ChatGPT Lawyer Explains Himself (2023) New York Times, , 8, June; Crompton, H., Burke, D., Artificial Intelligence in Higher Education: The State of the Field (2023) Int. J. Educ. Technol. High. Educ, 20, p. 22; Zawacki-Richter, O., Marín, V.I., Bond, M., Gouverneur, F., Systematic Review of Research on Artificial Intelligence Applications in Higher Education—Where Are the Educators? (2019) Int. J. Educ. Technol. High. Educ, 16, p. 39; Dien, J., Editorial: Generative Artificial Intelligence as a Plagiarism Problem (2023) Biol. Psychol, 181, p. 108621; Gill, S.S., Xu, M., Patros, P., Wu, H., Kaur, R., Kaur, K., Fuller, S., Parlikad, A.K., Transformative Effects of ChatGPT on Modern Education: Emerging Era of AI Chatbots (2024) Internet Things Cyber-Phys. Syst, 4, pp. 19-23; McCarthy, C., ChatGPT Use Could Change Views on Academic Misconduct (2023) Recru. Retain. Adult Learn, 25, pp. 6-7; Barrot, J.S., Using ChatGPT for Second Language Writing: Pitfalls and Potentials (2023) Assess. Writ, 57, p. 100745; Dashti, M., Londono, J., Ghasemi, S., Moghaddasi, N., How Much Can We Rely on Artificial Intelligence Chatbots Such as the ChatGPT Software Program to Assist with Scientific Writing? (2023) J. Prosthet. Dent, , S0022391323003712; Rospigliosi, P., ‘Asher’ Artificial Intelligence in Teaching and Learning: What Questions Should We Ask of ChatGPT? (2023) Interact. Learn. Environ, 31, pp. 1-3; Blau, G., Williams, W., Jarrell, S., Nash, D., Exploring Common Correlates of Business Undergraduate Satisfaction with Their Degree Program versus Expected Employment (2019) J. Educ. Bus, 94, pp. 31-39; Vianden, J., Barlow, P.J., Strengthen the Bond: Relationships between Academic Advising Quality and Undergraduate Student Loyalty (2015) NACADA J, 35, pp. 15-27; (2018) Embrace AI to Solve Campus Problems in New Ways, , https://eab.com/insights/blogs/it/embrace-ai-to-solve-old-campus-problems-in-new-ways, Available online; Apriceno, M., Levy, S.R., London, B., Mentorship during College Transition Predicts Academic Self-Efficacy and Sense of Belonging Among STEM Students (2020) J. Coll. Stud. Dev, 61, pp. 643-648; Young-Jones, A.D., Burt, T.D., Dixon, S., Hawthorne, M.J., Academic Advising: Does It Really Impact Student Success? (2013) Qual. Assur. Educ, 21, pp. 7-19; Lo, C.K., What Is the Impact of ChatGPT on Education? A Rapid Review of the Literature (2023) Educ. Sci, 13; Ford, J.R., Matthews, D.Y., Woodard, D.M., Kepple, C.R., Not Every Advisor Is for Me, but Some Are”: Black Men’s Academic Advising Experiences during COVID-19 (2023) Educ. Sci, 13; Harris, T.A., Prescriptive vs. Developmental: Academic Advising at a Historically Black University in South Carolina (2018) NACADA J, 38, pp. 36-46; Akter, S., Hossain, M.A., Sajib, S., Sultana, S., Rahman, M., Vrontis, D., McCarthy, G., A Framework for AI-Powered Service Innovation Capability: Review and Agenda for Future Research (2023) Technovation, 125, p. 102768; Jensen, B., Thompson, G.A., Equity in Teaching Academic Language—An Interdisciplinary Approach (2020) Theory Pract, 59, pp. 1-7; Gupta, M., Akiri, C., Aryal, K., Parker, E., Praharaj, L., From ChatGPT to ThreatGPT: Impact of Generative AI in Cybersecurity and Privacy (2023) IEEE Access, 11, pp. 80218-80245; Sajjadi, N.B., Shepard, S., Ottwell, R., Murray, K., Chronister, J., Hartwell, M., Vassar, M., Examining the Public’s Most Frequently Asked Questions Regarding COVID-19 Vaccines Using Search Engine Analytics in the United States: Observational Study (2021) JMIR Infodemiol, 1, p. e28740; Dahlkemper, M.N., Lahme, S.Z., Klein, P., How Do Physics Students Evaluate Artificial Intelligence Responses on Comprehension Questions? A Study on the Perceived Scientific Accuracy and Linguistic Quality of ChatGPT (2023) Phys. Rev. Phys. Educ. Res, 19, p. 010142; Engelbutzeder, P., Randell, D., Landwehr, M., Aal, K., Stevens, G., Wulf, V., From Surplus and Scarcity towards Abundance: Understanding the Use of ICT in Food Resource Sharing Practices: “Give a Man a Fish, and You Feed Him for a Day; Teach a Man to Fish, and You Feed Him for a Lifetime.”—Lao Tsu (2023) ACM Trans. Comput.-Hum. Interact, p. 589957; Chodock, T., Library Instruction and Academic Success: The Impact of Student Engagement at a Community College (2018) Academic Libraries for Commuter Students: Research-Based Strategies, pp. 117-138. , Regalado M., Smale M.A., (eds), ALA Editions, Chicago, IL, USA; Pulikowski, A., Matysek, A., Searching for LIS Scholarly Publications: A Comparison of Search Results from Google, Google Scholar, EDS, and LISA (2021) J. Acad. Librariansh, 47, p. 102417</t>
  </si>
  <si>
    <t>This research was funded by the Robin Hood Foundation (Grant Number A1N-5A000000IYl2QAA) and additional funding from the City University of New York’s Computing Integrated Teacher Education (CITE) Initiative.</t>
  </si>
  <si>
    <t>City University of New York, CUNY; Robin Hood Foundation: A1N-5A000000IYl2QAA</t>
  </si>
  <si>
    <t>Akiba, D., School of Education, Queens College, Graduate Center of the City University of New York, New York, NY  10016, United States; Fraboni, M.C., School of Education, Queens College, Graduate Center of the City University of New York, New York, NY  10016, United States</t>
  </si>
  <si>
    <t>School of Education, Queens College, Graduate Center of the City University of New York, New York, NY  10016, United States</t>
  </si>
  <si>
    <t>57028183300;55646497800;</t>
  </si>
  <si>
    <t>Akiba D., Fraboni M.C.</t>
  </si>
  <si>
    <t>2-s2.0-85172226273</t>
  </si>
  <si>
    <t>NATUA</t>
  </si>
  <si>
    <t>tosylarginine methyl ester, 901-47-3; Tosylarginine Methyl Ester</t>
  </si>
  <si>
    <t>access to information; artificial intelligence; diagnostic procedure; Editorial; English (language); human; large language model; machine learning; peer review; protein folding; publication; scientist; student; university; tosylarginine methyl ester; Tosylarginine Methyl Ester</t>
  </si>
  <si>
    <t>Authorship; Computer science; Education; Machine learning</t>
  </si>
  <si>
    <t>https://www.scopus.com/inward/record.uri?eid=2-s2.0-85172226273&amp;doi=10.1038%2fd41586-023-02988-6&amp;partnerID=40&amp;md5=20b5c1f030d29a40be4e08907b26c80d</t>
  </si>
  <si>
    <t>10.1038/d41586-023-02988-6</t>
  </si>
  <si>
    <t>AI will transform science — now researchers must tame it</t>
  </si>
  <si>
    <t>Dergaa, I.; Primary Health Care Corporation (PHCC)Qatar; email: Phd.dergaa@gmail.com</t>
  </si>
  <si>
    <t>Schulz, R, Langen, G, Prill, R, Reporting and transparent research practices in sports medicine and orthopaedic clinical trials: a meta-research study (2022) BMJ Open, 12 (8), p. e059347; Buttner, F, Toomey, E, McClean, S, Are questionable research practices facilitating new discoveries in sport and exercise medicine? The proportion of supported hypotheses is implausibly high (2020) Br J Sports Med, 54 (22), pp. 1365-1371; Sainani, K, Chamari, K., Wish list for improving the quality of statistics in sport science (2022) Int J Sports Physiol Perform, 17 (5), pp. 673-674; Borg, DN, Barnett, AG, Caldwell, AR, White, NM, Stewart, IB., The bias for statistical significance in sport and exercise medicine (2023) J Sci Med Sport, 26 (3), pp. 164-168; Mesquida, C, Murphy, J, Lakens, D, Replication concerns in sports and exercise science: a narrative review of selected methodological issues in the field (2022) R Soc Open Sci, 9 (12), p. 220946; Abt, G, Boreham, C, Davison, G, Power, precision, and sample size estimation in sport and exercise science research (2020) J Sports Sci, 38 (17), pp. 1933-1935; Twomey, R, Yingling, V, Warne, J, The nature of our literature: A registered report on the positive result rate and reporting practices in kinesiology (2021) Commun Kinesiol, 1 (3), p. 43; Bacchetti, P, Leung, JM., Sample size calculations in clinical research (2002) Anesthesiology, 97 (4), pp. 1028-1029. , author reply 1029–1032; Dergaa, I, Chamari, K, Zmijewski, P, From human writing to artificial intelligence generated text: examining the prospects and potential threats of ChatGPT in academic writing (2023) Biol Sport, 40 (2), pp. 615-622; Hartard, M, Seiler, A, Spitzenpfeil, P, Sex-specific response to whole-body vibration training: a randomized controlled trial (2022) Biol Sport, 39 (1), pp. 207-217; Washif, J, Pyne, DB, Sandbakk, Ø, Ramadan intermittent fasting induces poorer training practices during the COVID-19 lockdown: a global cross-sectional study with 5529 athletes from 110 countries (2022) Biol Sport, 39 (4), pp. 1103-1115; Kosack, MH, Staiano, W, Folino, R, The acute effect of mental fatigue on badminton performance in elite players (2020) Int J Sports Physiol Perform, 15 (5), pp. 632-638; Hammami, M, Gaamouri, N, Aloui, G, Shephard, RJ, Chelly, MS., Effects of combined plyometric and short sprint with change-of-direction training on athletic performance of male U15 handball players (2019) J Strength Cond Res, 33 (3), pp. 662-675</t>
  </si>
  <si>
    <t>exercise; human; methodology; randomized controlled trial (topic); reproducibility; sport; sports medicine; Exercise; Humans; Randomized Controlled Trials as Topic; Reproducibility of Results; Research Design; Sports; Sports Medicine</t>
  </si>
  <si>
    <t>Methnani, J., Faculty of Medicine of Sousse, University of Sousse, Sousse, Tunisia, High Institute of Sport and Physical Education, Ksar said University of Manouba, Ksar-said, Tunisia; Latiri, I., Farhat HACHED Hospital, University of Sousse, Sousse, Tunisia; Dergaa, I., Primary Health Care Corporation (PHCC), Doha, Qatar, Aspetar, Orthopedic and Sports Medicine Hospital, FIFA Medical Center of Excellence, Doha, Qatar, Research Unit Physical Activity, Sport, and Health, UR18JS01, National Observatory of Sport, Tunis, Tunisia; Chamari, K., High Institute of Sport and Physical Education, University of Sfax, Sfax, Tunisia; Saad, H.B., High Institute of Sport and Physical Education, Ksar said University of Manouba, Ksar-said, Tunisia, Service of Physiology and Functional Explorations, Farhat HACHED Hospital, University of Sousse, Sousse, Tunisia</t>
  </si>
  <si>
    <t>57372591500;6508068840;57210321130;6602474344;57218690236;</t>
  </si>
  <si>
    <t>Methnani J., Latiri I., Dergaa I., Chamari K., Saad H.B.</t>
  </si>
  <si>
    <t>Hosseini, M.; Department of Preventive Medicine, United States; email: mohammad.hosseini@northwestern.edu</t>
  </si>
  <si>
    <t>Yang, M., New York City schools ban AI chatbot that writes essays and answers prompts (2023) The Guardian, , https://www.theguardian.com/us-news/2023/jan/06/new-york-city-schools-ban-ai-chatbot-chatgpt, [Internet]. Jan 6 [cited 2023 Mar 27]; Mollick, E., All my classes suddenly became AI classes [Internet] (2023) One Useful Thing, , https://oneusefulthing.substack.com/p/all-my-classes-suddenly-became-ai, [cited 2023 Mar 27]; Kung, TH, Cheatham, M, Medenilla, A, Sillos, C, Leon, LD, Elepaño, C, Performance of ChatGPT on USMLE: Potential for AI-assisted medical education using large language models (2023) PLOS Digit Health, 2 (2), p. e0000198. , https://doi.org/10.1371/journal.pdig.0000198, Feb 9; PMID: 36812645; Qadir, J., Engineering Education in the Era of ChatGPT: Promise and Pitfalls of Generative AI for Education (2023) 2023 IEEE Global Engineering Education Conference (EDUCON), pp. 1-9; Baidoo-Anu, D, Owusu Ansah, L., (2023) Education in the Era of Generative Artificial Intelligence (AI): Understanding the Potential Benefits of ChatGPT in Promoting Teaching and Learning [Internet], , https://papers.ssrn.com/abstract=4337484, Rochester, NY; [cited 2023 Jun 27]; Kasneci, E, Sessler, K, Küchemann, S, Bannert, M, Dementieva, D, Fischer, F, ChatGPT for good? On opportunities and challenges of large language models for education (2023) Learn Individ Differ, 103, p. 102274. , Apr 1; Choi, JH, Hickman, KE, Monahan, A, Schwarcz, D., (2023) ChatGPT Goes to Law School [Internet], , https://papers.ssrn.com/abstract=4335905, Rochester, NY; [cited 2023 Jun 27]; Hamid, RD, Schisgall, EJ, CS50 Will Integrate Artificial Intelligence Into Course Instruction | News | The Harvard Crimson (2023), https://www.thecrimson.com/article/2023/6/21/cs50-artificial-intelligence/, Crimson Staff Writers. The Harvard Crimson [Internet]. Jun 21 [cited 2023 Jul 5]; Hosseini, M, Bouter, LM, Holmes, K., Moving slowly and fixing things–We should not rush headlong into using generative AI in classrooms [Internet] (2023) Impact of Social Sciences, , https://blogs.lse.ac.uk/impactofsocialsciences/2023/03/01/moving-slowly-and-fixing-thingswe-should-not-rush-headlong-into-using-generative-ai-in-classrooms/, [cited 2023 Mar 27]; Mhlanga, D., (2023) Open AI in Education, the Responsible and Ethical Use of ChatGPT Towards Lifelong Learning [Internet], , https://papers.ssrn.com/abstract=4354422, Rochester, NY; [cited 2023 Jul 5]; İpek, ZH, Gözüm, AİC, Papadakis, S, Kallogiannakis, M., Educational Applications of the ChatGPT AI System: A Systematic Review Research (2023) Educ Process Int J, , https://www.edupij.com/index/arsiv/59/305/educational-applications-of-the-chatgpt-aisystem-a-systematic-review-research, [İnternet]. Jun 11 [cited 2023 Jul 16]; Lo, CK., What Is the Impact of ChatGPT on Education? A Rapid Review of the Literature (2023) Educ Sci, 13 (4), p. 410. , Apr; Bohr, A, Memarzadeh, K., The rise of artificial intelligence in healthcare applications (2020) Artif Intell Healthc, pp. 25-60; (2023), https://www.doximity.com/docs-gpt, [cited 2023 Mar 30]. Docs GPT; Nov, O, Singh, N, Mann, DM., (2023) Putting ChatGPT’s Medical Advice to the (Turing) Test [Internet], , https://www.medrxiv.org/content/10.1101/2023.01.23.23284735v2, medRxiv; [cited 2023 Mar 27]. 2023.01.23.23284735; Benoit, JRA., (2023) ChatGPT for Clinical Vignette Generation, Revision, and Evaluation, , https://www.medrxiv.org/content/10.1101/2023.02.04.23285478v1, [Internet]. medRxiv; [cited 2023 Mar 27]. 2023.02.04.23285478; Jeblick, K, Schachtner, B, Dexl, J, Mittermeier, A, Stüber, AT, Topalis, J, (2022) ChatGPT Makes Medicine Easy to Swallow: An Exploratory Case Study on Simplified Radiology Reports, , http://arxiv.org/abs/2212.14882, [Internet]. arXiv; [cited 2023 Mar 27]; Fox, A., (2023) Healthcare IT News, , https://www.healthcareitnews.com/news/ehr-vendors-demo-gpt-himss23, [cited 2023 Jul 16]. EHR vendors demo new GPT features at HIMSS23; Dave, T, Athaluri, SA, Singh, S., ChatGPT in medicine: an overview of its applications, advantages, limitations, future prospects, and ethical considerations (2023) Front Artif Intell, 6, p. 1169595. , https://doi.org/10.3389/frai.2023.1169595, PMID: 37215063; Temsah, O, Khan, SA, Chaiah, Y, Senjab, A, Alhasan, K, Jamal, A, Overview of Early ChatGPT’s Presence in Medical Literature: Insights From a Hybrid Literature Review by ChatGPT and Human Experts (2023) Cureus, 15 (4), p. e37281. , https://doi.org/10.7759/cureus.37281, Apr; PMID: 37038381; Sallam, M., ChatGPT Utility in Healthcare Education, Research, and Practice: Systematic Review on the Promising Perspectives and Valid Concerns (2023) Healthcare, 11 (6), p. 887. , https://doi.org/10.3390/healthcare11060887, Jan; PMID: 36981544; Cabanac, G, Labbé, C, Magazinov, A., Tortured phrases: A dubious writing style emerging in science (2021) Evidence of critical issues affecting established journals, , http://arxiv.org/abs/2107.06751, [Internet]. arXiv; [cited 2022 Aug 26]; Cabanac, G, Labbé, C., Prevalence of nonsensical algorithmically generated papers in the scientific literature (2021) J Assoc Inf Sci Technol, 72 (12), pp. 1461-1476; Gao, CA, Howard, FM, Markov, NS, Dyer, EC, Ramesh, S, Luo, Y, Comparing scientific abstracts generated by ChatGPT to real abstracts with detectors and blinded human reviewers (2023) Npj Digit Med, 6 (1), pp. 1-5. , Apr 26; Flanagan, T, Ashmore, R, Banks, D, MacInnes, D., The Delphi method: methodological issues arising from a study examining factors influencing the publication or non-publication of mental health nursing research (2016) Ment Health Rev J, 21 (2), pp. 85-94; Zielinski, C, Winker, M, Aggarwal, R, Ferris, L, Heinemann, M, Lapeña Florencio, M, (2023) Chatbots, ChatGPT, and Scholarly Manuscripts: WAME Recommendations on ChatGPT and Chatbots in Relation to Scholarly Publications, , https://wame.org/page3.php?id=106, [Internet]; Hosseini, M, Rasmussen, LM, Resnik, DB., Using AI to write scholarly publications (2023) Account Res, pp. 1-9. , https://doi.org/10.1080/08989621.2023.2168535, Jan 25; 0 PMID: 36697395; Hosseini, M, Resnik, DB, Holmes, K., The ethics of disclosing the use of artificial intelligence tools in writing scholarly manuscripts (2023) Res Ethics, , Jun 15;17470161231180448; Conroy, G., Scientists used ChatGPT to generate an entire paper from scratch—but is it any good? (2023) Nature, , https://www.nature.com/articles/d41586-023-02218-z, [Internet]. Jul 7 [cited 2023 Jul 8]; https://doi.org/10.1038/d41586-023-02218-z PMID: 37419951; Hosseini, M, Horbach, SPJM., Fighting reviewer fatigue or amplifying bias? Considerations and recommendations for use of ChatGPT and other large language models in scholarly peer review (2023) Res Integr Peer Rev, 8 (1), p. 4. , https://doi.org/10.1186/s41073-023-00133-5, May 18; PMID: 37198671; Mojadeddi, ZM, Rosenberg, J., The impact of AI and ChatGPT on research reporting (2023) N Z Med J, 136 (1575), pp. 60-64. , May 12; PMID: 37167941; Athaluri, SA, Manthena, SV, Kesapragada, VSRKM, Yarlagadda, V, Dave, T, Duddumpudi, RTS., Exploring the Boundaries of Reality: Investigating the Phenomenon of Artificial Intelligence Hallucination in Scientific Writing Through ChatGPT References (2023) Cureus, 15 (4), p. e37432. , https://doi.org/10.7759/cureus.37432, Apr; PMID: 37182055; (2023), https://chat.openai.com, OpenAI. ChatGPT [Internet]. [cited 2023 Jul 16]; Pollard, TJ, Johnson, AEW, Raffa, JD, Mark, RG., tableone: An open source Python package for producing summary statistics for research papers (2018) JAMIA Open, 1 (1), pp. 26-31. , https://doi.org/10.1093/jamiaopen/ooy012, May 23; PMID: 31984317; (2022), https://github.com/nmalkin/plot-likert, [cited 2023 Mar 30]. nmalkin/plot-likert at stable; Thomas, DR., A General Inductive Approach for Analyzing Qualitative Evaluation Data (2006) Am J Eval, 27 (2), pp. 237-246. , Jun 1; Roberts, B., I tested how well ChatGPT can pull data out of messy PDFs (and here’s a script so you can too) [Internet] (2023) SOURCE, , https://source.opennews.org/articles/testing-pdf-data-extraction-chatgpt/, [cited 2023 Mar 27]; Muoio, D., (2021) Fierce Healthcare, , https://www.fiercehealthcare.com/tech/epics-widely-used-sepsis-prediction-model-falls-short-among-michigan-medicine-patients, [cited 2023 Mar 27]. Epic’s widely used sepsis prediction model falls short among Michigan Medicine patients; Wong, A, Otles, E, Donnelly, JP, Krumm, A, McCullough, J, DeTroyer-Cooley, O, External Validation of a Widely Implemented Proprietary Sepsis Prediction Model in Hospitalized Patients (2021) JAMA Intern Med, 181 (8), pp. 1065-1070. , https://doi.org/10.1001/jamainternmed.2021.2626, Aug 1; PMID: 34152373; Davies, J., (2023) Word Cloud Generator, , https://www.jasondavies.com/wordcloud/, [Internet]. [cited 2023 Jul 18]</t>
  </si>
  <si>
    <t>adoption; adult; article; ChatGPT; education; exploratory research; female; human; human experiment; major clinical study; male; perception; qualitative analysis; quantitative analysis; uncertainty; educational status; health care facility; inclusive education; probability; university; Educational Status; Faculty; Health Facilities; Humans; Mainstreaming, Education; Probability</t>
  </si>
  <si>
    <t>Hosseini, M., Department of Preventive Medicine, Northwestern University Feinberg School of Medicine, Chicago, IL, United States; Gao, C.A., Division of Pulmonary and Critical Care, Department of Medicine, Northwestern University Feinberg School of Medicine, Chicago, IL, United States; Liebovitz, D.M., Divisions of General Internal Medicine and Health and Biomedical Informatics, Department of Medicine, Northwestern University Feinberg School of Medicine, Chicago, IL, United States, Center for Medical Education in Digital Health and Data Science, Northwestern University Feinberg School of Medicine, Chicago, IL, United States; Carvalho, A.M., Division of Infectious Diseases, Department of Medicine, Northwestern University Feinberg School of Medicine, Chicago, IL, United States, Center for Pathogen Genomics &amp; Microbial Evolution, Northwestern University Feinberg School of Medicine, Chicago, IL, United States; Ahmad, F.S., Department of Preventive Medicine, Northwestern University Feinberg School of Medicine, Chicago, IL, United States, Division of Cardiology, Department of Medicine, Northwestern University Feinberg School of Medicine, Chicago, IL, United States, Bluhm Cardiovascular Center for Artificial Intelligence, Northwestern Medicine, Northwestern University Feinberg School of Medicine, Chicago, IL, United States; Luo, Y., Department of Preventive Medicine, Northwestern University Feinberg School of Medicine, Chicago, IL, United States; MacDonald, N., Institute for Artificial Intelligence in Medicine, Northwestern University Feinberg School of Medicine, Chicago, IL, United States; Holmes, K.L., Department of Preventive Medicine, Northwestern University Feinberg School of Medicine, Chicago, IL, United States, Institute for Artificial Intelligence in Medicine, Northwestern University Feinberg School of Medicine, Chicago, IL, United States, Galter Health Sciences Library and Learning Center, Northwestern University Feinberg School of Medicine, Chicago, IL, United States; Kho, A., Divisions of General Internal Medicine and Health and Biomedical Informatics, Department of Medicine, Northwestern University Feinberg School of Medicine, Chicago, IL, United States, Institute for Artificial Intelligence in Medicine, Northwestern University Feinberg School of Medicine, Chicago, IL, United States</t>
  </si>
  <si>
    <t>57214013066;57221258061;16064050400;58291275100;54392524600;55712619800;58290702700;7201657714;16230386100;</t>
  </si>
  <si>
    <t>Hosseini M., Gao C.A., Liebovitz D.M., Carvalho A.M., Ahmad F.S., Luo Y., MacDonald N., Holmes K.L., Kho A.</t>
  </si>
  <si>
    <t>Fan, L.; University of MichiganUnited States; email: lizhouf@umich.edu</t>
  </si>
  <si>
    <t>Auer, S., Kasprzik, A., (2018) Towards a Knowledge Graph for Science, , Gottfried Wilhelm Leibniz Universität Hannover; Brickley, D., Burgess, M., Noy, N., Google Dataset Search: Building a Search Engine for Datasets in an Open Web Ecosystem (2019) The World Wide Web Conference on-WWW, 19, pp. 1365-1375. , San Francisco, CA, USA, ACM Press; Corrall, S., Kennan, M.A., Afzal, W., Bibliometrics and Research Data Management Services: Emerging Trends in Library Support for Research (2013) Library Trends, 61 (3), pp. 636-674; Day, M.-Y., Shaw, S.-R., AI Customer Service System with Pre-Trained Language and Response Ranking Models for University Admissions (2021) 2021 IEEE 22nd International Conference on Information Reuse and Integration for Data Science (IRI), pp. 395-401; Djebbar, E.I., Belalem, G., Tasks Scheduling and Resource Allocation for High Data Management in Scientific Cloud Computing Environment (2016) Mobile, Secure, and Programmable Networking, pp. 16-27. , Springer International Publishing; Eloundou, T., Manning, S., Mishkin, P., Rock, D., (2023) “GPTs Are GPTs: An Early Look at the Labor Market Impact Potential of Large Language Models.” arXiv [econ.GN]. arXiv, , http://arxiv.org/abs/2303.10130; Fan, L., Li, L., Ma, Z., Lee, S., Yu, H., Hemphill, L., (2023) “A Bibliometric Review of Large Language Models Research from 2017 to 2023.” arXiv [cs.DL]. arXiv, , http://arxiv.org/abs/2304.02020; Fan, L., Lafia, S., Bleckley, D., Moss, E., Thomer, A., (2022) “Librarian-in-the-Loop: A Natural Language Processing Paradigm for Detecting Informal Mentions of Research Data in Academic Literature.” arXiv Preprint arXiv, , https://arxiv.org/abs/2203.05112; https://www.icpsr.umich.edu/web/pages/ICPSR/index.html, ” Accessed April 10, 2023; Gregory, K., Groth, P., Scharnhorst, A., Wyatt, S., (2020) Lost or Found? Discovering Data Needed for Research, , Harvard Data Science Review; Harmouche, R., Lochbihler, A., Thibault, F., De Luca, G., Proulx, C., Hovdebo, J.L., A Virtual Assistant for Cybersickness Care (2020) 2020 IEEE 33rd International Symposium on Computer-Based Medical Systems (CBMS), pp. 384-387; (2023) “Data-Related Publications.” 2023, , https://www.icpsr.umich.edu/web/pages/ICPSR/citations/; Klose, C., (2023) Streamlit-Agraph (version 0.0.45), , https://github.com/ChrisDelClea/streamlit-agraph; Koesten, L., Gregory, K., Groth, P., Simperl, E., Talking Datasets – Understanding Data Sensemaking Behaviours (2021) International Journal of Human-Computer Studies, 146; Krippendorff, K., (2018) Content Analysis: An Introduction to Its Methodology, , SAGE Publications; Lafia, S., Fan, L., Thomer, A., Hemphill, L., Subdivisions and Crossroads: Identifying Hidden Community Structures in a Data Archive's Citation Network (2022) Quantitative Science Studies, 3 (3), pp. 694-714; Lafia, S., Million, A.J., Hemphill, L., Direct, Orienting, and Scenic Paths: How Users Navigate Search in a Research Data Archive (2023) In Proceedings of the ACM on Human Information Interaction and Retrieval (CHIIR); Levenstein, M.C., Lyle, J.A., Data: Sharing Is Caring (2018) Advances in Methods and Practices in Psychological Science, 1 (1), pp. 95-103; Manghi, P., Mannocci, A., Osborne, F., Sacharidis, D., Salatino, A., Vergoulis, T., New Trends in Scientific Knowledge Graphs and Research Impact Assessment (2021) Quantitative Science Studies, 2 (4), pp. 1296-1300; Meloni, A., Angioni, S., Salatino, A., Osborne, F., Recupero, D.R., Motta, E., (2021) “AIDA-Bot: A Conversational Agent to Explore Scholarly Knowledge Graphs.”; Mooney, H., Citing Data Sources in the Social Sciences: Do Authors Do It? (2011) Learned Publishing: Journal of the Association of Learned and Professional Society Publishers, 24 (2), pp. 99-108; (2023) 2023 NIH Data Management and Sharing Policy, , https://oir.nih.gov/sourcebook/intramural-program-oversight/intramural-data-sharing/2023-nih-data-management-sharing-policy, National Institutes of Health, January 25, 2023; Open Data at NSF, , https://www.nsf.gov/data/, Accessed March 23, 2023; “NEO4J GRAPH DATA PLATFORM | Blazing-Fast Graph, Petabyte Scale.” Neo4j, , https://neo4j.com/, Accessed April 10, 2023; (2020) “OpenAI API.” OpenAI, , https://openai.com/blog/openai-api, September 18, 2020; “GPT-3.5.” OpenAI, , https://platform.openai.com/docs/models/gpt-3-5, Accessed April 10, 2023; Papenmeier, A., Krämer, T., Friedrich, T., Hienert, D., Kern, D., Genuine Information Needs of Social Scientists Looking for Data (2021) Proceedings of the Association for Information Science and Technology, 58 (1), pp. 292-302; Pienta, A.M., Akmon, D., Noble, J., Hoelter, L., Jekielek, S., A Data-Driven Approach to Appraisal and Selection at a Domain Data Repository (2018) International Journal of Digital Curation, 12 (2), pp. 362-375. , https://doi.org/10.2218/ijdc.v12i2.500; Shen, Y., Heacock, L., Elias, J., Hentel, K.D., Reig, B., Shih, G., Moy, L., ChatGPT and Other Large Language Models Are Double-Edged Swords (2023) Radiology, p. 230163. , January; A Faster Way to Build and Share Data Apps Streamlit, , https://streamlit.io/, Accessed April 10, 2023; Verma, S., Bhatia, R., Harit, S., Batish, S., Scholarly Knowledge Graphs through Structuring Scholarly Communication: A Review (2023) COMPLEX &amp; INTELLIGENT SYSTEMS, 9, pp. 1059-1095. , https://doi.org/10.1007/s40747-022-00806-6; York, J., (2022) Seeking Equilibrium in Data Reuse: A Study of Knowledge Satisficing, , University of Michigan; Yu, S., Chen, Y., Zaidi, H., AVA: A Financial Service Chatbot Based on Deep Bidirectional Transformers (2021) Frontiers in Applied Mathematics and Statistics, 7. , https://doi.org/10.3389/fams.2021.604842; Zhao, W.X., Zhou, K., Li, J., Tang, T., Wang, X., Hou, Y., (2023) “A Survey of Large Language Models.” arXiv [cs.CL]. arXiv, , http://arxiv.org/abs/2303.18223</t>
  </si>
  <si>
    <t>This material is based upon work supported by the National Science Foundation under grant 2121789.</t>
  </si>
  <si>
    <t>National Science Foundation, NSF: 2121789</t>
  </si>
  <si>
    <t>Data users need relevant context and research expertise to effectively search for and identify relevant datasets. Leading data providers, such as the Inter-university Consortium for Political and Social Research (ICPSR), offer standardized metadata and search tools to support data search. Metadata standards emphasize the machine-readability of data and its documentation. There are opportunities to enhance dataset search by improving users' ability to learn about, and make sense of, information about data. Prior research has shown that context and expertise are two main barriers users face in effectively searching for, evaluating, and deciding whether to reuse data. In this paper, we propose a novel chatbot-based search system, DataChat, that leverages a graph database and a large language model to provide novel ways for users to interact with and search for research data. DataChat complements data archives' and institutional repositories' ongoing efforts to curate, preserve, and share research data for reuse by making it easier for users to explore and learn about available research data. 86th Annual Meeting of the Association for Information Science &amp; Technology | Oct. 27 – 31, 2023 | London, United Kingdom. Author(s) retain copyright, but ASIS&amp;T receives an exclusive publication license.</t>
  </si>
  <si>
    <t>Fan, L., University of Michigan, United States; Lafia, S., University of Michigan, United States; Li, L., University of Michigan, United States; Yang, F., University of Michigan, United States; Hemphill, L., University of Michigan, United States</t>
  </si>
  <si>
    <t>57549267200;57190124857;57218382490;58344987800;35772520500;</t>
  </si>
  <si>
    <t>Fan L., Lafia S., Li L., Yang F., Hemphill L.</t>
  </si>
  <si>
    <t>Marche, S., The college essay is dead: Nobody is prepared for how AI will transform academia (2022) The Atlantic Monthly, , https://www.theatlantic.com/technology/archive/2022/12/chatgpt-ai-writing-college-student-essays/672371/, (6 December), last accessed 13 May 2023; Productive teaching tool or innovative cheating (2023) Study.com, , https://study.com/resources/perceptions-of-chatgpt-in-schools, last accessed 13 May 2023; Heller, N., The end of the English major (2023) The New Yorker, , https://www.newyorker.com/magazine/2023/03/06/the-end-of-the-english-major, (27 February), last accessed 13 May 2023; Yao, Y., Humanities and the “Battle of the University (2022) The Crimson, , https://www.thecrimson.com/article/2022/3/3/humanities-scrut/, (3 March), last accessed 13 May 2023; Hulick, K., How ChatGPT and similar AI will disrupt education (2023) ScienceNews.org, , https://www.sciencenews.org/article/chatgpt-ai-artificial-intelligence-education-cheating-accuracy, (12 April), last accessed 13 May 2023; Schmidt, B., The humanities are in Crisis (2018) The Atlantic Monthly, , https://www.theatlantic.com/ideas/archive/2018/08/the-humanities-face-a-crisisof-confidence/567565/, (23 August), last accessed 13 May 2023; We have been following the ‘shift to STEM’ over many years and have an informal compilation of statistics, , https://twitter.com/jonchun2000/status/1567730546343542784; Lai, Y., Li, C., Wang, Y., Zhang, T., Zhong, R., Zettlemoyer, L., Yih, S., Yu, T., (2022) DS-1000: A natural and reliable benchmark for data science code generation, , ArXiv abs/2211.11501 (18 November); Your AI pair programmer Copilot, , https://github.com/features/copilot, Copilot, Github.com (webpage), last accessed 13 May 2023; Peng, S., Kalliamvakou, E., Cihon, P., Demirer, M., (2023) The impact of AI on developer productivity: Evidence from GitHub Copilot, , ArXiv abs/2302.06590 (13 February); Goldin, C. D., Katz, L. F., The race between education and technology: The evolution of U.S. educational wage differentials, 1890 to 2005 (2007) Labor: Human Capital eJournal; Olejarz, J. M., Liberal arts in the data age (2017) Harvard Business Review, , https://hbr.org/2017/07/liberal-arts-in-the-data-age, (July–August), last accessed 13 May 2023; Lowrey, A., How ChatGPT will destabilize white-collar work (2023) The Atlantic Monthly, , https://www.theatlantic.com/ideas/archive/2023/01/chatgpt-ai-economy-automation-jobs/672767/, (20 January), last accessed 13 May 2023; Hatzius, J., Briggs, J., Kodnani, D., Pierdomenico, G., The potentially large effects of artificial intelligence on economic growth (Briggs/Kodnami) (2023) Goldman Sachs Economic Research, , https://www.key4biz.it/wp-content/uploads/2023/03/Global-Economics-Analyst_-The-Potentially-Large-Effects-of-Artificial-Intelligence-on-Economic-Growth-Briggs_Kodnani.pdf, (26 March), last accessed 13 May 2023; Eloundou, T., Manning, S., Mishkin, P., Rock, D., (2023) GPTs are GPTs: An early look at the labor market impact potential of large language models, , ArXiv abs/2303.10130 (17 March), n; Roose, K., An A.I.-generated picture won an art prize: Artists aren’t happy (2022) The New York Times, , https://www.nytimes.com/2022/09/02/technology/ai-artificial-intelligence-artists.html, (2 September), last accessed 13 May 2023; Sevillano, E. G., Photo competition winner who used AI-generated image: “I want to open a discussion (2023) El Pais, , https://english.elpais.com/culture/2023-04-21/photo-competition-winner-who-used-ai-generated-image-i-want-to-open-a-discussion.html, (21 April), last accessed 13 May 2023; Kinsella, E., The first AI-generated portrait ever sold at auction shatters expectations, fetching $432,500 – 43 times its estimate (2018), https://news.artnet.com/market/first-ever-artificial-intelligence-portrait-painting-sells-at-christies-1379902, Artnet.com (25 October), last accessed 13 May 2023; Turnitin announces AI writing detector and AI writing resource center for educators, , https://www.turnitin.com/press/turnitin-announces-ai-writing-detector-and-ai-writing-resource-center-for-educators, TurnItIn.com (13 February 2023), last accessed 13 May 2023; Escalante-De Mattei, S., Artists are suing artificial intelligence companies and the lawsuit could upend legal precedents around art (2023), https://www.artnews.com/art-in-america/features/midjourney-ai-art-image-generators-lawsuit-1234665579/, ArtNews.com (5 May), last accessed 13 May 2023; Köchling, A., Riazy, S., Wehner, M. C., Simbeck, K., Highly accurate, but still discriminatory (2020) Business &amp; Information Systems Engineering, 63, pp. 39-54; Reddy, G. D., Saxena, S., Tinggi, E. S., Isabels, K. R., Rathnakar, G., Turar, U., Utilization of AI for streamlining and optimizing credit decision process and security access loan risks in the banking sector (2022) 4th International Conference on Inventive Research in Computing Applications (ICIRCA), pp. 1165-1171; Berk, R. A., Artificial intelligence, predictive policing, and risk assessment for law enforcement (2021) Annual Review of Criminology, 4. , (January); Khan, F. A., Stoyanovich, J., The unbearable weight of massive privilege: Revisiting bias-variance trade-offs in the context of fair prediction, , ArXiv abs/2302.08704 (17 February 2023), n; Liu, M., Kamper-DeMarco, K. E., Zhang, J., Xiao, J., Dong, D., Xue, P., Time spent on social media and risk of depression in adolescents: A dose-response meta-analysis (2022) International Journal of Environmental Research and Public Health, 19 (9), p. 5164; Goldenberg, A., Willer, R., Amplification of emotion on social media (2023) Nature Human Behaviour, 7, pp. 845-846. , 1038/s41562-023-01604-x; Sanger, D., The next fear on A.I.: Hollywood’s killer robots become the military’s tools (2023) The New York Times, , https://www.nytimes.com/2023/05/05/us/politics/ai-military-war-nuclear-weapons-russia-china.html, (5 May), last accessed 13 May 2023; Hartikainen, M., Väänänen, K., Lehtiö, A., Ala-Luopa, S., and Olsson, T., Human-centered AI design in reality: A study of developer companies’ practices (2022) Nordic Human–Computer Interaction Conference; Oxford and AI, , www.research.ox.ac.uk, (2018), https://www. research.ox.ac.uk/area/ai, last accessed 13 May 2023; A. Adams, ‘Stanford University launches the Institute for Human-Centered Artificial Intelligence Stanford News (18 March 2019), https://news.stanford.edu/2019/03/18/stanford_university_launches_human-centered_ ai last accessed 13 May 2023; Colby College, ‘Colby becomes first liberal arts college to establish major academic program in artificial intelligence Colby News (29 January 2021), https://news.colby.edu/story/colby-becomes-first-liberal-arts-college-to-establish-major-academic-program-in-artificial-intelligence last accessed 13 May 2023; University of Florida, ‘Building an AI university ufl.edu (2023), https://ai.ufl.edu last accessed 13 May 2023; Santariano, A., Metz, C., Using A.I. to detect breast cancer that doctors miss (2023) The New York Times, , https://www.nytimes.com/2023/03/05/technology/artificial-intelligence-breast-cancer-detection.html, (5 March), last accessed 13 May 2023; Jumper, J., Highly accurate protein structure prediction with AlphaFold (2021) NATURE, , (12 May); Yang, X., Zhou, P., Wealth inequality and social mobility: A simulation-based modeling approach (2022) Journal of Economic Behavior &amp; Organization, 196, pp. 207-229; Kantor, J., Harvard Business School case study: Gender equality (2013) The New York Times, , https://www.nytimes.com/interactive/2014/02/27/education/harvard-tenure-pipeline.html, (7 September), last accessed 13 May 2023; Elkins, K., The shapes of stories: Sentiment analysis for narrative (2022) Elements in Digital Literary Studies, , (Cambridge); Gimbel, B., Chun, J., Elkins, K., Quantifying polarization around election denial: Measuring public sentiment changes in the 2022 midterms (2022) Kenyon College Integrated Program for Humane Studies (IPHS), , https://digital.kenyon.edu/dh_iphs_prog/66/, last accessed 13 May 2023; Sutton, R., (2017) The Bitter Lesson (blog), , http://www.incompleteideas.net/IncIdeas/BitterLesson.html, (13 March), last accessed 13 May 2023; Gershgorn, D., The data that transformed AI research – and possibly the world (2017) Quartz, , https://qz.com/1034972/the-data-that-changed-the-direction-of-ai-research-and-possibly-the-world, (26 July), last accessed 13 May 2023; Browse state-of-the-art models (2023) Paperswithcode.com, , https://paperswithcode.com/sota, last accessed 13 May 2023; Open, AI, (2023) GPT-4 technical report, , ArXiv abs/2303.08774 (15 March); Bang, Y., Cahyawijaya, S., Lee, N., Dai, W., Su, D., Wilie, B., Lovenia, H., Fung, P., (2023) A multitask, multilingual, multimodal evaluation of ChatGPT on reasoning, Hallucination, and interactivity, , ArXiv abs/2302.04023 (8 February), n; Kosinski, M., (2023) Theory of mind may have spontaneously emerged in large language models, , ArXiv abs/2302.02083 (4 February), n; (2022) What are Industry 4.0, the Fourth Industrial Revolution, and 4IR?, , https://www.mckinsey.com/featured-insights/mckinsey-explainers/what-are-industry-4-0-the-fourth-industrial-revolution-and-4ir, McKinsey.com (17 August), last accessed 13 May 2023; Ziatdinov, R., Will 5th industrial revolution shape the future of humanity? (2023) Korea Times, , https://www.koreatimes.co.kr/www/nation/2023/04/113_349531.html, (8 May), last accessed 13 May 2023; Connor, J., OpenAI’s ChatGPT is costing the company a shocking amount of money (2023), https://www.tweaktown.com/news/91375/openais-chatgpt-is-costing-the-company-shocking-amount-of-money/index.html, Tweaktown.com (8 May), last accessed 13 May 2023; Mollman, S., OpenAI challenger that will take on ChatGPT while focusing on A.I. safety (2023) FORTUNE, , https://fortune.com/2023/02/04/google-invests-300m-anthropic-openai-rival-making-chatgpt-challenger-claude-ai-chatbot-battle/, (4 February), last accessed 13 May 2023; Henshall, W., How politics and business are driving the AI arms race with China (2023) TheBulletin.org, , https://thebulletin.org/2023/05/how-politics-and-business-are-driving-the-ai-arms-race-with-china/, (12 May), last accessed 13 May 2023; Metz, C., The ChatGPT king isn’t worried, but he knows you might be (2023) The New York Times, , https://www.nytimes.com/2023/03/31/technology/sam-altman-open-ai-chatgpt.html, (1 March), last accessed 13 May 2023; Rotman, D, How to solve AI’s inequality problem (2022) MIT Technology Review, , https://www.technologyreview.com/2022/04/19/1049378/ai-inequality-problem/, (19 April), last accessed 13 May 2023; Gill, I., (2020) Brooking Institute, , https://www.brookings.edu/blog/future-development/2020/01/17/whoever-leads-in-artificial-intelligence-in-2030-will-rule-the-world-until-2100/, Whoever leads in artificial intelligence in 2030 will rule the world until 2100 (17 January), last accessed 13 May 2023; Toner, H., Haluza, Z., Luo, Y., Dan, D., Sheehan, M., Huang, S., Chen, K., Meinhardt, C., (2023) How will China’s generative AI regulations shape the future? A DigiChina forum, , https://digichina.stanford.edu/work/how-will-chinas-generative-ai-regulations-shape-the-future-a-digichina-forum/, (19 April), last accessed 13 May 2023; (2023) A European approach to artificial intelligence, , https://digital-strategy.ec.europa.eu/en/policies/european-approach-artificial-intelligence, ec.europa.eu last accessed 13 May 2023; Engler, A., The EU and U.S diverge on AI regulation: A transatlantic comparison and steps to alignment (2023) Brookings Institute, , https://www.brookings.edu/research/the-eu-and-us-diverge-on-ai-regulation-a-transatlantic-comparison-and-steps-to-alignment, (25 April), last accessed 13 May 2023; Datta, T., Dickerson, J. P., (2023) Who’s thinking? A push for human-centered evaluation of LLMs using the XAI playbook, , ArXiv abs/2303.06223 (10 March), n; Industrial artificial intelligence (AI) market size zooming to reach whopping USD 58.3 billion with the CAGR of 52.46% by 2029, , https://www.globenewswire.com/en/news-release/2023/03/15/2627937/0/en/Industrial-Artificial-Intelligence-AI-Market-Size-Zooming-to-Reach-Whopping-USD-58-3-Billion-With-the-CAGR-of-52-46-by-2029-BlueWeave-Consulting.html, GlobalNewsWire.com (15 March 2023), last accessed 13 May 2023; Ryo, M., Explainable artificial intelligence and interpretable machine learning for agricultural data analysis (2022) SSRN Electronic Journal; Karger, G., AI-generated images: The first lawsuit (2023) Columbia Science &amp; Technology Law Review (blog), , https://journals.library.columbia.edu/index.php/stlr/blog/view/479, (25 January), last accessed 13 May 2023; Dhariwal, P., Nichol, A., Chu, C., Chen, M., (2022) Hierarchical text-conditional image generation with CLIP Latents, , A.; ArXiv, abs/2204.06125 (13 April); Dayma, B., Patil, S., Cuenca, P., Saifullah, K., Abraham, T., Luke, P., Ghosh, R., DALL-E Mini explained (2022) wandb.ai (blog), , https://wandb.ai/dalle-mini/dalle-mini/reports/DALL-E-Mini-Explained-Vmlldzo4NjIxODA, R., (4 July), last accessed 13 May 2023; Images, Getty, Getty Images (US) Inc. v Stability AI Inc https://fingfx.thomsonreuters.com/gfx/legaldocs/byvrlkmwnve/GETTY%20IMAGES%20AI%20LAWSUIT%20complaint.pdf, Thomasreuters.com (23 February 2023), last accessed 13 May 2023; Edwards, B., Shutterstock partners with OpenAI to sell AI-generated artwork compensate artists (2022) Arstechnica.com, , https://arstechnica.com/information-technology/2022/10/shutterstock-partners-with-openai-to-sell-ai-generated-artwork-compensate-artists/, (25 October), last accessed 13 May 2023; Ford, B., IBM to pause hiring for jobs that AI could do Bloomberg.com, , https://www.bloomberg.com/news/articles/2023-05-01/ibm-to-pause-hiring-for-back-office-jobs-that-ai-could-kill-xj4y7vzkg, (1 May 2023), last accessed 13 May 2023; Merchant, B., Column: Your boss wants AI to replace you: The writers’ strike shows how to fight back (2023) The Los Angeles Times, , https://www.latimes.com/business/technology/story/2023-05-11/column-the-writers-strike-is-only-the-beginning-a-rebellion-against-ai-is-underway, (11 May), last accessed 13 May 2023; Grant, D., Artists and visual media company sue AI image generator for copyright breach (2023), https://www.theartnewspaper.com/2023/02/15/artists-and-visual-media-company-sue-ai-image-generator-for-copyright-breach, TheArtNewspaper.com (15 February), last accessed 13 May 2023; Ray, T., AI could have 20% chance of sentience in 10 years, says philosopher David Chalmers https://www.zdnet.com/article/ai-could-have-20-percent-chance-of-sentience-in-10-years-says-philosopher-david-chalmers/, ZDNet.com (1 December 2022), last accessed 13 May 2023; Kissinger, H., Schmidt, E., Huttenlocher, D., ChatGPT heralds an intellectual revolution (2023) The Wall Street Journal, , https://www.wsj.com/articles/chatgpt-heralds-an-intellectual-revolution-enlightenment-artificial-intelligence-homo-technicus-technology-cognition-morality-philosophy-774331c6, (24 February), last accessed 13 May 2023; Prakash, P., Alphabet CEO Sundar Pichai says that A.I. could be “more profound” than both fire and electricity – but he’s been saying the same thing for years (2023) Fortune, , https://fortune.com/2023/04/17/sundar-pichai-a-i-more-profound-than-fire-electricity/, (17 April), last accessed 13 May 2023; Putnam, H., The meaning of “meaning (1975) Language, Mind, and Knowledge, 7. , https://conservancy.umn.edu/handle/11299/185225, last accessed 13 May 2023; Johnson, S., Kurt Vonnegut on the 8 “shapes” of stories (2022), https://bigthink.com/high-culture/vonnegut-shapes/, BigThink.com (13 June), last accessed 13 May 2023; Reagan, A. J., Mitchell, L., Kiley, D., Danforth, C. M., Dodds, P. S., The emotional arcs of stories are dominated by six basic shapes (2016) EPJ Data Science, 5, pp. 1-12. , M. L. Jockers, ‘Extracts sentiment and sentiment-derived plot arcs from text rdrr.io (2015), https://rdrr.io/cran/syuzhet last accessed 13 May 2023; Morrissey, E., Chun, J., Elkins, K., Topic modeling analysis of Supreme Court opinions focusing on privacy rights in the context of abortion law (2019) Kenyon College Integrated Program for Humane Studies (IPHS), , https://digital.kenyon.edu/dh_iphs_ai/11/, last accessed 13 May 2023; Kanter, D., Chun, J., Elkins, K., Meditations in an emergency: A regional analysis of the relationship between union membership and minimum wage in an age of labor decline Kenyon College Integrated Program for Humane Studies (IPHS), , https://digital.kenyon.edu/dh_iphs_prog/28/, last accessed 13 May 2023; De Silva, C., Chun, J., Elkins, K., How Did Sri Lankan protestors end up in the president’s pool? Understanding the evolution of an occupy-style protest: A story of economic turmoil, declining social sentiment and resulting political change (2022) Kenyon College Integrated Program for Humane Studies (IPHS), , https://digital.kenyon.edu/dh_iphs_prog/59/, last accessed 13 May 2023; Rosenfeld, R., Chun, J., Elkins, K., The second meaning: Uncovering the linguistic interpretation of Simone de Beauvoir’s The Second Sex (2022) Kenyon College Integrated Program for Humane Studies (IPHS), , https://digital.kenyon.edu/dh_iphs_prog/52/, last accessed 13 May 2023; Gow, A., Chun, J., Elkins, K., Blood in the water: Storytelling and sentiment analysis in ABC’s Shark Tank (2021) Kenyon College Integrated Program for Humane Studies (IPHS), , https://digital.kenyon.edu/dh_iphs_ss/4/, last accessed 13 May 2023; Pfeiffer, F., Chun, J., Elkins, K., Black box Karl Marx: What do large language models have to say about Das Kapital? A comparison of GPT-2 and GPT-3 outputs (2022), https://digital.kenyon.edu/dh_iphs_ai/32/, Kenyon College Integrated Program for Humane Studies (IPHS) last accessed 13 May 2023; K. Case, J. Chun and K. Elkins, ‘GPT-2 AI poetry generation: Writing like Donne, Kenyon Digital Humanities Kenyon Digital Humanities (2020), https://digital.kenyon.edu/dh_iphs_prog/17 last accessed 13 May 2023; Melonio, P., Chun, J., Elkins, K., TikTok’s non-inclusive beauty algorithm and why we should care (2020) Kenyon College Integrated Program for Humane Studies (IPHS), , https://digital.kenyon.edu/dh_iphs_prog/22/, last accessed 13 May 2023; Noorily, J., Chun, J., Elkins, K., AI reads Playboy (but not for the articles): Revealing cover trends with deep neural networks (2022) Kenyon College Integrated Program for Humane Studies (IPHS), , https://digital.kenyon.edu/dh_iphs_ss/17/, last accessed 13 May 2023; Turner, D., Chun, J., Elkins, K., When AI meet screenwriting: Can AI generate beat sheets and storyboards? (2022) Kenyon College Integrated Program for Humane Studies (IPHS), , https://digital.kenyon.edu/dh_iphs_ss/18/, last accessed 13 May 2023; Osnos, E., Facebook and the age of manipulation (2015) Proceedings of the National Academy of Sciences, p. e4512. , https://www.newyorker.com/news/daily-comment/facebook-and-the-age-of-manipulation, The New Yorker (15 November 20218), last accessed 13 May 2023; R. Epstein and R. Robertson, ‘The search engine manipulation effect (SEME) and its possible impact on the outcomes of elections 112.33 –e4521; Whang, O., A.I. is getting better at mind-reading (2023) The New York Times, , https://www.nytimes.com/2023/05/01/science/ai-speech-language.html, (1 May), last accessed 13 May 2023; Thompson, N., When tech knows you better than you know yourself (2018) Wired, , https://www.wired.com/story/artificial-intelligence-yuval-noah-harari-tristan-harris/, (4 October), last accessed 13 May 2023; Harari, Y. N., (2018) 21 lessons for the 21st century, , (New York); Bowman, S., (2023) Eight things to know about large language models, , ArXiv abs/2304.00612 (2 April) n; https://programminghumanity.wordpress.com/syllabus/; Tables 322.40 and 322.50 – Bachelor’s degrees conferred to females and males by postsecondary institutions, by race/ethnicity and field of study (2020–2021), , https://nces.ed.gov/programs/digest/2022menu_tables.asp, National Center for Education Statistics. last accessed 13 May 2023; College, Kenyon, Digital Kenyon: Digital Humanities Archive (2023) Kenyon College Integrated Program for Humane Studies (IPHS), , https://digital.kenyon.edu/dh/, last accessed 13 May 2023; These statistics are based upon web analytics of our digital humanities research archive hosted by bepress.com, , https://github.com/jon-chun-kenyon-ai-digital-humanities, Key figures can be viewed at; Chun, J., Elkins, K., Programming humanity (2023) Kenyon College Integrated Program for Humane Studies (IPHS), , https://programminghumanity.wordpress.com/readings-2/, last accessed 13 May 2023; Chun, J., (2021) SentimentArcs: A novel method for self-supervised sentiment analysis of time series shows SOTA transformers can struggle finding narrative arcs, , ArXiv abs/2110.09454 (18 October); (2023) NetworkX: Network analysis in Python, , https://networkx.org/, NetworkX Developers, Networkx.com last accessed 13 May 2023; Case, JN., The evolution of trust (2017) Ncase.me, , https://ncase.me/trust/, from last accessed 13 May 2023; Chun, J., Elkins, K., Digital humanities at Kenyon Kenyon College Integrated Program for Humane Studies (IPHS), , https://www.kenyon.edu/digital-humanities/courses/, (2023), last accessed 13 May 2023; 2018 CMU started its undergraduate AI degree, , In 2021 Oregon State University started an interdisciplinary MS/PhD 2021 the Mohamed bin Zayed University of Artificial Intelligence (MBZUAI) accepted its first students. These are all STEM-based and not humanities-focused; Christian, B. R., The alignment problem: Machine learning and human values (2021) Perspectives on Science and Christian Faith, , (New York), n; Wexler, J., Pushkarna, M., Bolukbasi, T, Wattenberg, M., Viégas, F. B., Wilson, J., The What-If Tool: Interactive probing of machine learning models (2019) IEEE Transactions on Visualization and Computer Graphics, 26, pp. 56-65; Silver, D., Schrittwieser, J., Simonyan, K., Antonoglou, I., Huang, A., Guez, A., Hubert, T., Hassabis, D., Mastering the game of Go without human knowledge (2017) Nature, 550, pp. 354-359; Brown, N., Sandholm, T., Superhuman AI for heads-up no-limit poker: Libratus beats top professionals (2018) Science, 359 (26), pp. 418-424. , (January); Meta, AI, CICERO: An AI agent that negotiates, persuades, and cooperates with people (2022) Facebook Blog, , https://ai.facebook.com/blog/cicero-ai-negotiates-persuades-and-cooperates-with-people/, (22 November), last accessed 13 May 2023; Open, AI, GPT-4 technical report, , https://ai.google/static/documents/palm2techreport.pdf, ArXiv abs/2303.08774 (15 March 2023), n.p.; Google, ‘PaLM 2 technical report AI.Google (2023), last accessed 13 May 2023; Elkins, K., Chun, J., Can GPT-3 pass a writer’s Turing Test? (2020) Journal of Cultural Analytics, , https://culturalanalytics.org/article/17212-can-gpt-3-pass-a-writer-s-turing-test, (14 September), last accessed 13 May 2023; D’Agostino, S., Colleges race to hire and build amid AI “gold rush (2023) Insider Higher Ed, , https://www.insidehighered.com/news/tech-innovation/artificial-intelligence/2023/05/19/colleges-race-hire-and-build-amid-ai-gold, (19 May), last accessed 27 July 2023; (2022) 2022 expert survey on progress in AI, , https://aiimpacts.org/2022-expert-survey-on-progress-in-ai/, AI Impacts, AIImpacts.org (3 August), last accessed 7 May 2023; (2023) Pause giant AI experiments: An open letter, , https://futureoflife.org/open-letter/pause-giant-ai-experiments/, FutureofLie.org (22 March), last accessed 13 May 2023</t>
  </si>
  <si>
    <t>Chun, J.; Elkins, K.</t>
  </si>
  <si>
    <t>57219499833;37095285100;</t>
  </si>
  <si>
    <t>Chun J., Elkins K.</t>
  </si>
  <si>
    <t>Aleksic, D., Cerne, M., Dysvik, A., Skerlavaj, M., Preference for creativity, perceived clear outcome goals, work enjoyment, and creative performance (2016) European Journal of Work and Organizational Psychology, 25 (3), pp. 363-383. , https://doi.org/10.1080/1359432X.2015.1077809; Argondizzo, C., Creativity and innovation in language education (2012), https://doi.org/10.3726/978-3-0351-0431-8, Peter Lang; Artola, T., Barraca, J., Mosteiro, P., Ancillo, I., Poveda, B., Sánchez, N., (2012) PIC-A. Prueba de Imaginación Creativa para Adultos, , https://bit.ly/3O3GEtn, TEA Ediciones; Boden, M.A., (2004) The creative mind: Myths and mechanisms, , https://doi.org/10.4324/9780203508527, Routledge; Boden, M.A., (2018) Artificial Intelligence: A very short introduction, , https://doi.org/10.1093/actrade/9780199602919.001.0001, Oxford; Bonami, B., Piazentini, L., Dala-Possa, A., Education, big data and artificial intelligence: Mixed methods in digital platforms. [Educación, Big Data e Inteligencia Artificial: Metodologías mixtas en plataformas digitales (2020) Comunicar, 65, pp. 43-52. , https://doi.org/10.3916/C65-2020-04; (2021) Una Europa adaptada a la era digital: la comisión propone nuevas normas y medidas para favorecer la excelencia y la confianza en la inteligencia artificial, , https://bit.ly/3xWJvez, (Ed) Comisión Europea; Csikszentmihalyi, M., Creatividad: El fluir y la psicología del descubrimiento y la invención (1998) Paidós, , https://bit.ly/3pyqoqi; Donolo, D., Elisondo, R., Creatividad para todos. Consideraciones sobre un grupo particular (2007) Anales de Psicología, 23 (1), pp. 148-151. , https://doi.org/10.6018/analesps; (2023) Edelvives se convierte en la primera editorial en integrar ChatGPT en su plataforma educativa, , http://bit.ly/3HN2rSu, (Ed); Else, H., Abstracts written by ChatGPT fool scientists (2023) Nature, (7944), pp. 423-423. , https://doi.org/10.1038/d41586-023-00056-7; Flores-Vivar, J.M., García-Peñalvo, F.J., Reflexiones sobre la ética, potencialidades y retos de la Inteligencia Artificial en el marco de la Educación de Calidad (ODS4). [Reflections on the ethics, potential, and challenges of artificial intelligence in the framework of quality education (SDG4)] (2023) Comunicar, 74, pp. 37-47. , https://doi.org/10.3916/C74-2023-03; Fyfe, P., How to cheat on your final paper: Assigning AI for student writing (2022) AI &amp; Society, , https://doi.org/10.1007/s00146-022-01397-z; Gade, R., (2023) Become a published author using ChatGPT, , PUBLISHER S21598; Goleman, D., Kaufman, P., Ray, M., (2016) El espíritu creativo, , https://bit.ly/44WZpoD, Ediciones B; Guilford, J.P., Creativity (1950) American Psychologist, 5 (9), pp. 444-454. , https://doi.org/10.1037/h0063487; Gutiérrez-Fandiño, A., Armengol-Estapé, J., Pàmies, M., Llop-Palao, J., Silveira-Ocampo, J., Carrino, C.P., González-Aguirre, A., Villegas, M., MarIA: Spanish Language Models (2022) Procesamiento del Lenguaje Natural, 68, pp. 39-60. , https://doi.org/10.26342/2022-68-3; Holmes, W., Bialik, M., Fadel, C., Artificial intelligence in education. Promises and implications for teaching and learning (2019), https://doi.org/10.1007/978-3-319-60013-0_107-1, Center for Curriculum Redesign; Hora, S., Badura, K.L., Lemoine, G.J., Grijalva, E., A meta-analytic examination of the gender difference in creative performance (2022) Journal of Applied Psychology, 107 (11), pp. 1926-1950. , https://doi.org/10.1037/apl0000999; Hutson, M., Could AI help you to write your next paper? (2022) Nature, 611, pp. 192-193. , https://doi.org/10.1038/d41586-022-03479-w; (2022) IA y educación: Orientaciones para los responsables de la elaboración de políticas, , https://bit.ly/3meypiA, (Ed) Ministerio de Educación y Formación Profesional; Lee, A., (2023) What are large language models used for? NVIDIA, , http://bit.ly/3KHkFH3; Miller, A.I., (2019) The artist in the machine. The world of AI-powered creativity, , https://doi.org/10.7551/mitpress/11585.001.0001, The MIT Press; Montero, L., (2023) ¿Somos un cerebro flotando en una cubeta? [Fallo de sistema, Radio 3], , https://bit.ly/3m1agf0; Munari, B., (2018) Fantasía. Invención, creatividad e imaginación en las comunicaciones visuales, , https://bit.ly/3LVYf3P, Gustavo Gili; (2019) PISA 2021 Creative thinking framework (third draft), , https://doi.org/https://bit.ly/3IXBdt6, (Ed); (2021) OECD Digital Education Outlook 2021: Pushing the frontiers with artificial intelligence, blockchain and robots, , https://doi.org/10.1787/589b283f-en, (Ed); Oconnor, S., Chatgpt, Open artificial intelligence platforms in nursing education: Tools for academic progress or abuse? (2023) Nurse Education in Practice, 66, pp. 103537-103537. , https://doi.org/10.1016/j.nepr.2022.103537; Open, AI, (2023) Classifier, , http://bit.ly/3KHD4nd, (Ed); Peirón, F., Nueva York prohíbe el ChatGPT en sus escuelas (2023), http://bit.ly/41wFCe0, La Vanguardia; Proyecto Lengua Española e Inteligencia Artificial (LEIA), , https://bit.ly/3SFIj92, Real Academia Española-RAE-(s.f); Renbarger, M., Esta emprendedora ha usado ChatGPT para escribir un libro infantil en 2 horas: quiere demostrar que la IA generativa puede ser una poderosa herramienta de aprendizaje (2023) Business Insider, , http://bit.ly/3J0Jcpv; Rodrigo-Martín, I., Rodrigo-Martín, L., Pérez-García, A., La creatividad como herramienta para comprender la educación: El papel de la creatividad como catalizador de la transformación de la educación (2022) Visual Culture Review, 9 (3), pp. 1-12. , https://doi.org/10.37467/revvisual.v9.3533; Sadin, E., (2018) La inteligencia artificial o el desafío del siglo, , https://bit.ly/3MiBQzg; Sánchez, A., El chat GPT obliga a repensar los exámenes y las prácticas en las aulas murcianas (2023) La Opinión, , http://bit.ly/3ZnoBkv; Selwyn, N., Rivera-Vargas, P., Passeron, E., Miño-Puigcercós, R., ¿Por qué no todo es (ni debe ser) digital? Interrogantes para pensar sobre digitalización, datificación e inteligencia artificial en educación (2022) Educar con sentido transformador en la universidad, pp. 137-148. , https://doi.org/10.31235/osf.io/vx4zr, P. Rivera-Vargas, R. Miño-Puigcercós, &amp; E. Passeron (Eds), Octaedro; Sternberg, R.J., (1999) Handbook of creativity, , https://bit.ly/3nUDtd2, Cambridge University Press; Sun, Z., Anbarasan, M., Kumar, D.P., Design of online intelligent English teaching platform based on artificial intelligence techniques (2021) Computational Intelligence, 37 (3), pp. 1166-1180. , https://doi.org/10.1111/coin.12351; Turing, A.M., Computing Machinery and Intelligence (1950) Mind, pp. 433-460. , https://doi.org/10.1093/mind/LIX.236.433; (2019) International conference on Artificial intelligence and Education, Planning education in the AI Era: Lead the leap: Final report, , https://bit.ly/3kEhqpb, (Ed); (2021) International Forum on AI and the Futures of Education, developing competencies for the AI Era, , http://bit.ly/3VKXAac, (Ed) UNESCO; (2022) Recomendación sobre la ética de la inteligencia artificial, , https://bit.ly/3KBvPx8, (Ed) (a); (2022) K-12 AI curricula: A mapping of government-endorsed AI curricula, , https://bit.ly/3B6f6xi, (Ed) (b); Teaching AI for K-12, , https://bit.ly/3KHI6A7, (Ed) (s.f); (2022) Código de Buenas Prácticas en Investigación de la Universidad de Murcia, , http://bit.ly/3M1tlZb, (Ed); Vaswani, A., Shazeer, N., Parmar, N., Uszkoreit, J., Jones, L., Gomez, A.N., Kaiser, L., Polosukhin, I., Attention is all you need. Advances in neural information processing systems (2017) Advances in neural information processing systems, 30. , http://bit.ly/3kx6F89; Vázquez, D., Lo quieran los profesores o no, ChatGPT ya está aquí: Por qué muchos creen que hay que adoptar la IA en lugar de rechazarla (2023) Business Insider, , http://bit.ly/3IxlsI1; Ward, M., Victorian fictions of computational creativity (2020) AI Narratives: A history of imaginative thinking about intelligent machines, pp. 144-164. , https://doi.org/10.1093/oso/9780198846666.001.0001, Oxford University Press; Yanhua, Z., The application of artificial intelligence in foreign language teaching (2020) 2020 International Conference on Artificial Intelligence and Education (ICAIE, , https://doi.org/10.1109/ICAIE50891.2020.00017</t>
  </si>
  <si>
    <t>El estudio se ha realizado en el marco del proyecto de I+D+i «Creatividad verbal como dominio: diseño, validación y aplicación de una prueba fundamentada en la comprensión de textos» (PID2020-113731GB-I00), financiado por MCIN/AEI/10.13039/501100011033. Modalidades «Retos Investigación» y Generación de Conocimiento» (sin financiación FEDER). Grupo de Investigación Interdisciplinar: Psicología Educativa y Didáctica de la Lengua, la Literatura y las Artes (E042-08, Universidad de Murcia).</t>
  </si>
  <si>
    <t>E042-08; Federación Española de Enfermedades Raras, FEDER; Secretaría de Estado de Investigacion, Desarrollo e Innovacion, I+D+i: MCIN/AEI/10.13039/501100011033, PID2020-113731GB-I00; Universidad de Murcia</t>
  </si>
  <si>
    <t>de Vicente-Yagüe-Jara, M.-I., Departamento de Didáctica de la Lengua y la Literatura, Universidad de Murcia, Spain; López-Martínez, O., Departamento de Psicología Evolutiva y de la Educación, Universidad de Murcia, Spain; Navarro-Navarro, V., Departamento de Historia del Arte-Bellas Artes, Universidad de Salamanca, Spain; Cuéllar-Santiago, F., Departamento de Arte, Universidad Miguel Hernández de Elche, Spain</t>
  </si>
  <si>
    <t>Writing, creativity, and artificial intelligence. ChatGPT in the university context [Escritura, creatividad e inteligencia artificial. ChatGPT en el contexto universitario]</t>
  </si>
  <si>
    <t>56217672100;6504611387;58763495200;58303764300;</t>
  </si>
  <si>
    <t>de Vicente-Yagüe-Jara M.-I., López-Martínez O., Navarro-Navarro V., Cuéllar-Santiago F.</t>
  </si>
  <si>
    <t>2-s2.0-85180497024</t>
  </si>
  <si>
    <t>Intell. Syst. Account. Finance Manag.</t>
  </si>
  <si>
    <t>O'Leary, D.E.; University of Southern CaliforniaUnited States; email: oleary@usc.edu</t>
  </si>
  <si>
    <t>Davis, J., (2022) Will AI write your thesis, , https://blogs.whitman.edu/countingfromzero/2022/08/31/will-ai-write-your-thesis/#:~:text=An%20AI%20might%20write%20a,%27t%20(yet)%20do; Dwivedi, Y.K., Kshetri, N., Hughes, L., Slade, E.L., Jeyaraj, A., Kar, A.K., Baabdullah, A.M., Albanna, H., “So what if ChatGPT wrote it?” Multidisciplinary perspectives on opportunities, challenges and implications of generative conversational AI for research, practice and policy (2023) International Journal of Information Management, 71. , https://doi.org/10.1016/j.ijinfomgt.2023.102642; Gallegos, D., (2023) Should AI write doctoral dissertations? 2023, WSJ readers weigh in, , https://www.msn.com/en-us/news/us/should-ai-write-doctoral-dissertations-wsj-readers-weigh-in/ar-AA1iI3oH; Kaebnick, G.E., Magnus, D.C., Kao, A., Hosseini, M., Resnik, D., Dubljević, V., Rentmeester, C., McMillan, J., Editors' statement on the responsible use of generative AI technologies in scholarly journal publishing (2023) Ethics &amp; Human Research, 45 (5), pp. 39-43. , https://doi.org/10.1002/eahr.500182; Kruger, J., Dunning, D., Unskilled and unaware of it: How difficulties in recognizing one's own incompetence lead to inflated self-assessments (1999) Journal of Personality and Social Psychology, 77 (6), pp. 1121-1134. , https://doi.org/10.1037/0022-3514.77.6.1121; O'Leary, D.E., Gartner's hype cycle and information system research issues (2008) International Journal of Accounting Information Systems, 9 (4), pp. 240-252. , https://doi.org/10.1016/j.accinf.2008.09.001; O'Leary, D.E., The impact of Gartner's maturity curve, adoption curve, strategic technologies on information systems research, with applications to artificial intelligence, ERP, BPM, and RFID (2009) Journal of Emerging Technologies in Accounting, 6 (1), pp. 45-66. , https://doi.org/10.2308/jeta.2009.6.1.45; O'Leary, D.E., GOOGLE'S Duplex: Pretending to be human (2019) Intelligent Systems in Accounting, Finance and Management, 26 (1), pp. 46-53. , https://doi.org/10.1002/isaf.1443; O'Leary, D.E., Massive data language models and conversational artificial intelligence: Emerging issues (2022) Intelligent Systems in Accounting, Finance and Management, 29 (3), pp. 182-198. , https://doi.org/10.1002/isaf.1522; O'Leary, D.E., An analysis of three chatbots: BlenderBot, ChatGPT and LaMDA (2023) Intelligent Systems in Accounting, Finance and Management, 30 (1), pp. 41-54. , https://doi.org/10.1002/isaf.1531; O'Leary, D.E., An analysis of Watson vs. BARD vs. ChatGPT: The Jeopardy! Challenge (2023) AI Magazine, 44 (3), pp. 282-295. , https://doi.org/10.1002/aaai.12118; Paulus, P.B., Kenworthy, J.B., (2019) Effective brainstorming. The Oxford handbook of group creativity and innovation, pp. 287-386. , https://doi.org/10.1093/oxfordhb/9780190648077.001.0001, Oxford University Press; Pennebaker, J., Booth, R., Boyd, R., Francis, M., (2015) Linguistic inquiry and word count: LIWC2015, , The University of Texas at Austin; Pennebaker, J.W., Boyd, R.L., Jordan, K., Blackburn, K., (2015) The development and psychometric properties of LIWC2015, , The University of Texas at Austin; Wood, D.A., Achhpilia, M.P., Adams, M.T., Aghazadeh, S., Akinyele, K., Akpan, M., Allee, K.D., Arity, V., The ChatGPT artificial intelligence chatbot: How well does it answer accounting assessment questions (2023) Issues in Accounting Education, 38 (4), pp. 81-108. , https://doi.org/10.2308/ISSUES-2023-013</t>
  </si>
  <si>
    <t>ChatGPT; dissertations; Dunning–Kruger effect; education; graduate students; LIWC; theses</t>
  </si>
  <si>
    <t>There has been substantial discussion aimed at investigating the extent to which academic researchers can or should “use” large language models, such as ChatGPT and Bard, in their research papers. However, there seems to have been limited attention given to the extent to which students can use these tools for the development of theses, proposals and dissertations. This paper pushes the arguments from focusing on academic researchers, journal papers, and technical meetings to considering those theses and dissertations, raising several questions and concerns. Ultimately, university policies need to address these issues, but if publisher and editor responses and alternative business uses are a signal of that direction, consensus may be difficult to achieve. © 2023 The Author. Intelligent Systems in Accounting, Finance and Management published by John Wiley &amp; Sons Ltd.</t>
  </si>
  <si>
    <t>O'Leary, D.E., University of Southern California, Los Angeles, CA, United States</t>
  </si>
  <si>
    <t>University of Southern California, Los Angeles, CA, United States</t>
  </si>
  <si>
    <t>https://www.scopus.com/inward/record.uri?eid=2-s2.0-85180497024&amp;doi=10.1002%2fisaf.1547&amp;partnerID=40&amp;md5=494964c5960c0f0950f2be4bfc197497</t>
  </si>
  <si>
    <t>10.1002/isaf.1547</t>
  </si>
  <si>
    <t>Intelligent Systems in Accounting, Finance and Management</t>
  </si>
  <si>
    <t>Using large language models to write theses and dissertations</t>
  </si>
  <si>
    <t>57211485631;</t>
  </si>
  <si>
    <t>O'Leary D.E.</t>
  </si>
  <si>
    <t>14 October 2023 through 18 October 2023</t>
  </si>
  <si>
    <t>26th ACM Conference on Computer-Supported Cooperative Work and Social Computing, CSCW 2023</t>
  </si>
  <si>
    <t>ACM SIGCHI;Google;Rutgers School of Communication and Information;Underwood Institute</t>
  </si>
  <si>
    <t>Ames M.Fussell S.Gilbert E.Liao V.Ma X.Page X.Rouncefield M.Singh V.Wisniewski P.</t>
  </si>
  <si>
    <t>Ambrose, S.A., Bridges, M.W., Lovett, M.C., DiPietro, M., Norman, M.K., (2010) How Learning Works: Seven Research-Based Principles for Smart Teaching, pp. 188-216. , https://ebookcentral.proquest.com/lib/nyulibrary-ebooks/detail.action.docID=529947#, Wiley, San Francisco, CA; Andrianatos, K., Barriers to reading in higher education: Rethinking reading support (2019) Reading &amp; Writing, 10 (1), p. 9. , https://doi.org/10.4102/rw.v10i1.241, 2019; Anwar, I., Sailuddin, S., Academic Reading Difficulties in Higher Education (2022) Journal of Languages and Language Teaching, 10 (2), pp. 309-314. , https://doi.org/10.33394/jollt.v10i2.4849, 2022; (2017) VALUE Report 2017, , https://www.aacu.org/publication/on-solid-ground-value-report-2017, Association of American Colleges and Universities (AACU), Accessed: 2023-04-18; Azmuddin, R., Fariza, N., Hamat, A., Facilitating Online Reading Comprehension in Enhanced Learning Environment Using Digital Annotation Tools (2020) IAFOR Journal of Education, 8, pp. 7-27. , https://doi.org/10.22492/ije.8.2.01, 07 2020; Bursali, H., Yilmaz, R.M., Effect of augmented reality applications on secondary school students' reading comprehension and learning permanency (2019) Computers in Human Behavior, 95, pp. 126-135. , https://doi.org/10.1016/j.chb.2019.01.035, 2019; Desa, G., Howard, P.J., Gorzycki, M., Allen, D.D., Essential but Invisible: Collegiate Academic Reading Explored from the Faculty Perspective (2020) College Teaching, 68 (3), pp. 126-137. , https://doi.org/10.1080/87567555.2020.1766406arxivhttps://doi.org/10.1080/87567555.2020.1766406, 2020; Ebadi, S., Ashrafabadi, F., An exploration into the impact of augmented reality on EFL learners' Reading comprehension (2022) Education and Information Technologies, 27. , https://doi.org/10.1007/s10639-022-11021-8, 04 2022; Gorzycki, M., Howard, P., Allen, D., Desa, G., Rosegard, E., An Exploration of Academic Reading Proficiency at the University Level: A Cross-Sectional Study of 848 Undergraduates (2016) Literacy Research and Instruction, 55 (2), pp. 142-162. , https://doi.org/10.1080/19388071.2015.1133738arxivhttps://doi.org/10.1080/19388071.2015.1133738, 2016; Head, A., Lo, K., Kang, D., Fok, R., Skjonsberg, S., Weld, D.S., Hearst, M.A., Augmenting Scientific Papers with Just-in-Time, Position-Sensitive Definitions of Terms and Symbols (2021) Proceedings of the 2021 CHI Conference on Human Factors in Computing Systems (Yokohama, Japan) (CHI '21), p. 18. , https://doi.org/10.1145/3411764.3445648, Association for Computing Machinery, New York, NY, USA; Howard, P.J., Gorzycki, M., Desa, G., Allen, D.D., Academic Reading: Comparing Students' and Faculty Perceptions of Its Value, Practice, and Pedagogy (2018) Journal of College Reading and Learning, 48 (3), pp. 189-209. , https://doi.org/10.1080/10790195.2018.1472942arxivhttps://doi.org/10.1080/10790195.2018.1472942, 2018; Huisinga, L.A., (2017) Augmented Reality Reading Support in Higher Education: Exploring Effects on Perceived Motivation and Confidence in Comprehension for Struggling Readers in Higher Education, , https://doi.org/10.31274/etd-180810-5151, Ph.D. Dissertation. Iowa State University; Kerr, M.M., Frese, K.M., Reading to Learn or Learning to Read (2017) Engaging College Students in Course Readings. College Teaching, 65 (1), pp. 28-31. , https://doi.org/10.1080/87567555.2016.1222577arxivhttps://doi.org/10.1080/87567555.2016.1222577, 2017; Lei, S.A., Rhinehart, P.J., Howard, H.A., Cho, J.K., Strategies for improving reading comprehension among college students (2010) Reading Improvement, 47 (1), pp. 30-42. , 2010; Lu, X., Fan, S., Houghton, J., Wang, L., Wang, X., ReadingQuizMaker: A Human-NLP Collaborative System That Supports Instructors to Design High-Quality Reading Quiz Questions (2023) Proceedings of the 2023 CHI Conference on Human Factors in Computing Systems (Hamburg, Germany) (CHI '23), p. 18. , https://doi.org/10.1145/3544548.3580957, Association for Computing Machinery, New York, NY, USA; Manarin, K., Carey, M., Rathburn, M., Ryland, G., Hutchings, P., (2015) Critical Reading for Academic Purposes, pp. 47-64. , http://www.jstor.org/stable/j.ctt18crz3s.9, Indiana University Press, Bloomington, IN; (2023) OpenAI API, Documentation and Overview of Available Models, , https://platform.openai.com/docs/models/overview, Accessed: 2023-04-18; Perin, D., Literacy Skills Among Academically Underprepared Students (2013) Community College Review, 41 (2), pp. 118-136. , https://doi.org/10.1177/0091552113484057arxivhttps://doi.org/10.1177/0091552113484057, 2013; Phakiti, A., Li, L., General Academic Difficulties and Reading and Writing Difficulties among Asian ESL Postgraduate Students in TESOL at an Australian University (2011) RELC Journal, 42 (3), pp. 227-264. , https://doi.org/10.1177/0033688211421417arxivhttps://doi.org/10.1177/0033688211421417, 2011; Rachatasumrit, N., Bragg, J., Zhang, A.X., Weld, D.S., CiteRead: Integrating Localized Citation Contexts into Scientific Paper Reading (2022) 27th International Conference on Intelligent User Interfaces (Helsinki, Finland) (IUI '22), pp. 707-719. , https://doi.org/10.1145/3490099.3511162, Association for Computing Machinery, New York, NY, USA</t>
  </si>
  <si>
    <t>This work was partially supported by the NYUAD Center for Interacting Urban Networks (CITIES), funded by Tamkeen under the NYUAD Research Institute Award CG001.</t>
  </si>
  <si>
    <t>Research Institute Centers, New York University Abu Dhabi: CG001</t>
  </si>
  <si>
    <t>Richards Maldonado, L., New York University Abu Dhabi, Abu Dhabi, United Arab Emirates; Abouzied, A., New York University Abu Dhabi, Abu Dhabi, United Arab Emirates; Gleason, N.W., New York University Abu Dhabi, Abu Dhabi, United Arab Emirates</t>
  </si>
  <si>
    <t>58687019700;14832214000;57204069130;</t>
  </si>
  <si>
    <t>Richards Maldonado L., Abouzied A., Gleason N.W.</t>
  </si>
  <si>
    <t>2-s2.0-85174751249</t>
  </si>
  <si>
    <t>JAMA</t>
  </si>
  <si>
    <t>JAMAA</t>
  </si>
  <si>
    <t>hemoglobin A1c, 62572-11-6</t>
  </si>
  <si>
    <t>hemoglobin A1c; abdominal radiography; American; artificial intelligence; blood sampling; California; cancer diagnosis; career mobility; ChatGPT; chronic disease; clinical medicine; clinical outcome; computer assisted tomography; computer model; computer simulation; diabetes mellitus; diagnostic procedure; doctor patient relationship; economic aspect; electric vehicle; family support; general practitioner; gross national product; health care management; health care personnel; health care system; health insurance; hospital readmission; human; human rights; intensive care unit; internet access; interview; large language model; leadership; machine learning; medical informatics; medical practice; medical school; natural language processing; Note; pandemic; patient transport; personalized medicine; predictive value; professional burnout; publication; skill; traffic and transport; university hospital; disease management; Disease Management</t>
  </si>
  <si>
    <t>Voelker, R.</t>
  </si>
  <si>
    <t>https://www.scopus.com/inward/record.uri?eid=2-s2.0-85174751249&amp;doi=10.1001%2fjama.2023.19180&amp;partnerID=40&amp;md5=23d53c1b5c5ea2b7e4efb48cb02b3ad4</t>
  </si>
  <si>
    <t>10.1001/jama.2023.19180</t>
  </si>
  <si>
    <t>The Promise and Pitfalls of AI in the Complex World of Diagnosis, Treatment, and Disease Management</t>
  </si>
  <si>
    <t>26221960700;</t>
  </si>
  <si>
    <t>Voelker R.</t>
  </si>
  <si>
    <t>25 October 2023</t>
  </si>
  <si>
    <t>2023 ACM SIGPLAN International Symposium on SPLASH-E, SPLASH-E 2023</t>
  </si>
  <si>
    <t>ACM SIGAda;ACM SIGPLAN</t>
  </si>
  <si>
    <t>Feldman M.Q.Hilton M.</t>
  </si>
  <si>
    <t>Akinobu, Y., Obara, M., Kajiura, T., Takano, S., Tamura, M., Tomioka, M., Kuramitsu, K., Is Neural Machine Translation Approach Accurate Enough for Coding Assistance (2021) Proceedings of the 1st ACM SIGPLAN International Workshop on beyond Code: No Code (Chicago, IL, USA) (BCNC 2021), pp. 23-28. , https://doi.org/10.1145/3486949.3486966, Association for Computing Machinery, New York, NY, USA; Brown, T., Mann, B., Ryder, N., Subbiah, M., Kaplan, J.D., Dhariwal, P., Neelakantan, A., Amodei, D., Language Models are Few-Shot Learners (2020) Advances in Neural Information Processing Systems, 33, pp. 1877-1901. , https://proceedings.neurips.cc/paper-files/paper/2020/file/1457c0d6bfcb4967418bfb8ac142f64a-Paper.pdf, H. Larochelle, M. Ranzato, R. Hadsell, M.F. Balcan, and H. Lin Eds. Curran Associates, Inc; Cassel, L., Goelman, D., Posner, M., Dicheva, D., Dichev, C., Data Science for All: A Tale of Two Cities (2017) Proceedings of the 2017 ACM Conference on Innovation and Technology in Computer Science Education (Bologna, Italy) (ITiCSE 17), 382. , https://doi.org/10.1145/3059009.3073000, Association for Computing Machinery, New York, NY, USA; Chen, M., Tworek, J., Jun, H., Yuan, Q., De Oliveira Pinto, H.P., Kaplan, J., Edwards, H., Zaremba, W., (2021) Evaluating Large Language Models Trained on Code, , 2021). arXiv 2107.03374 [cs.LG]; Finnie-Ansley, J., Denny, P., Becker, B.A., Luxton-Reilly, A., Prather, J., The Robots Are Coming: Exploring the Implications of OpenAI Codex on Introductory Programming (2022) Proceedings of the 24th Australasian Computing Education Conference (Virtual Event, Australia) (ACE 22), pp. 10-19. , https://doi.org/10.1145/3511861.3511863, Association for Computing Machinery, New York, NY, USA; Hellas, A., Leinonen, J., Sarsa, S., Koutcheme, C., Kujanpää, L., Sorva, J., (2023) Exploring the Responses of Large Language Models to Beginner Programmers Help Requests; Ji, Z., Lee, N., Frieske, R., Yu, T., Su, D., Xu, Y., Ishii, E., Fung, P., Survey of Hallucination in Natural Language Generation (2023) ACM Comput. Surv, 55 (12), p. 38. , https://doi.org/10.1145/3571730, Article 248 mar 2023; Joyner, D.A., ChatGPT in Education: Partner or Pariah (2023) XRDS, 29 (3), pp. 48-51. , https://doi.org/10.1145/3589651, apr 2023; Kazemitabaar, M., Chow, J., Ka, C., Ma, T., Ericson, B.J., Weintrop, D., Grossman, T., Studying the Effect of AI Code Generators on Supporting Novice Learners in Introductory Programming (2023) Proceedings of the 2023 CHI Conference on Human Factors in Computing Systems (Hamburg, Germany) (CHI 23), p. 23. , https://doi.org/10.1145/3544548.3580919, Association for Computing Machinery, New York, NY, USA, Article 455; Kölling, M., Brown, N.C.C., Hamza, H., McCall, D., Stride in BlueJ-Computing for All in an Educational IDE (2019) Proceedings of the 50th ACM Technical Symposium on Computer Science Education (Minneapolis, MN, USA) (SIGCSE 19), pp. 63-69. , https://doi.org/10.1145/3287324.3287462, Association for Computing Machinery, New York, NY, USA; Macneil, S., Tran, A., Mogil, D., Bernstein, S., Ross, E., Huang, Z., Generating Diverse Code Explanations Using the GPT-3 Large Language Model (2022) Proceedings of the 2022 ACM Conference on International Computing Education Research, 2, pp. 37-39. , https://doi.org/10.1145/3501709.3544280, (Lugano and Virtual Event, Switzerland) (ICER 22). Association for Computing Machinery, New York, NY, USA; Midgley, C., Ryan, A., Pintrich, P., Avoiding Seeking Help in the Classroom: Who and Why (2001) Educational Psychology Review, 13 (6). , https://doi.org/10.1023/A1009013420053, 2001; Obara, M., Akinobu, Y., Kajiura, T., Takano, S., Kuramitsu, K., A Preliminary Report on Novice Programming with Natural Language Translation (2022) IFIP WCCE 2022: World Conference on Computers in Education; Ouyang, L., Wu, J., Jiang, X., Almeida, D., Wainwright, C.L., Mishkin, P., Zhang, C., Lowe, R., (2022) Training Language Models to Follow Instructions with Human Feedback, , arXiv 2203.02155 [cs.CL]; Raffel, C., Shazeer, N., Roberts, A., Lee, K., Narang, S., Matena, M., Zhou, Y., Liu, P.J., Exploring the Limits of Transfer Learning with a Unified Text-To-Text Transformer (2020) J. Mach. Learn. Res, 21, pp. 1401-14067. , http://jmlr.org/papers/v21/20-074.html, 2020; Seamark, D., Gabriel, L., Barriers to support: A qualitative exploration into the help-seeking and avoidance factors of young adults (2018) British Journal of Guidance &amp; Counselling, 1 (46), pp. 120-131. , https://doi.org/10.1080/03069885.2016.1213372, 2018; Vaithilingam, P., Zhang, T., Glassman, E.L., Expectation vs. Experience: Evaluating the Usability of Code Generation Tools Powered by Large Language Models (2022) Extended Abstracts of the 2022 CHI Conference on Human Factors in Computing Systems, p. 7. , https://doi.org/10.1145/3491101.3519665, (New Orleans, LA, USA) (CHI EA 22). Association for Computing Machinery, New York, NY, USA, Article 332; Vanlehn, K., The Behavior of Tutoring Systems (2006) Int. J. Artif. Intell. Ed, 3 (16), pp. 227-265. , aug 2006; Vaswani, A., Shazeer, N., Parmar, N., Uszkoreit, J., Jones, L., Gomez, A.N., Kaiser, L., Polosukhin, I., Attention is All You Need (2017) Proceedings of the 31st International Conference on Neural Information Processing Systems (Long Beach, California, USA) (NIPS 17), pp. 6000-6010. , Curran Associates Inc., Red Hook, NY, USA; Wei, J., Wang, X., Schuurmans, D., Bosma, M., Huai, E.D., Chi, H., Xia, F., Zhou, D., (2022) Chain of Thought Prompting Elicits Reasoning in Large Language Models, , https://api.semanticscholar.org/CorpusID246411621, ArXiv abs/2201.11903 2022</t>
  </si>
  <si>
    <t>This work was supported by JSPS KAKENHI Grant Number 23K11374.</t>
  </si>
  <si>
    <t>Japan Society for the Promotion of Science, JSPS: 23K11374</t>
  </si>
  <si>
    <t>Kuramitsu, K., Japan Womens University, Tokyo, Japan; Obara, Y., Japan Womens University, Tokyo, Japan; Sato, M., Japan Womens University, Tokyo, Japan; Obara, M., Japan Womens University, Tokyo, Japan</t>
  </si>
  <si>
    <t>6603910588;58735209200;58123946100;57338213700;</t>
  </si>
  <si>
    <t>Kuramitsu K., Obara Y., Sato M., Obara M.</t>
  </si>
  <si>
    <t>2-s2.0-85186876344</t>
  </si>
  <si>
    <t>Tour. Manag. Stud</t>
  </si>
  <si>
    <t>University of Algarve</t>
  </si>
  <si>
    <t>Ülkü, A.; School of Tourism and Hotel Management, Turkey; email: abdullahulku@harran.edu.tr</t>
  </si>
  <si>
    <t>Ababneh, K. I., Ahmed, K., Dedousis, E., Predictors of cheating in online exams among business students during the Covid pandemic: Testing the theory of planned behavior (2022) The International Journal of Management Education, 20 (3), p. 100713. , https://doi.org/10.1016/j.ijme.2022.100713; Adzima, K., Examining online cheating in higher education using traditional classroom cheating as a guide (2021) Electronic Journal of E-Learning, 18 (6). , https://doi.org/10.34190/JEL.18.6.002; Agasisti, T., Soncin, M., Higher education in troubled times: On the impact of Covid-19 in Italy (2021) Studies in Higher Education, 46 (1), pp. 86-95. , https://doi.org/10.1080/03075079.2020.1859689; AlAfnan, M. A., Dishari, S., Jovic, M., Lomidze, K., Chatgpt as an educational tool: opportunities, challenges, and recommendations for communication, business writing, and composition courses (2023) Journal of Artificial Intelligence and Technology, 3, pp. 60-68. , https://doi.org/10.37965/jait.2023.0184; Ali, K., Barhom, N., Marino, F. T., Duggal, M., The thrills and chills of chatgpt: ımplications for assessments in undergraduate dental education [Preprint] (2023) MEDICINE &amp; PHARMACOLOGY, , https://doi.org/10.20944/preprints202302.0513.v1; Atlas, S., (2023) Chatgpt for higher education and professional development: a guide to conversational AI, , https://digitalcommons.uri.edu/cba_facpubs/548, University of Rhode Island DigitalCommons@URI; Barrientos, A., Cuadros, M., Alba, J., Cruz, A. S., Implementation of a remote system for the supervision of online exams through the use of cameras with artificial intelligence (2021) 2021 IEEE Engineering International Research Conference (EIRCON), pp. 1-4. , https://doi.org/10.1109/EIRCON52903.2021.9613352, (October 27-29); Barrot, J. S., Using ChatGPT for second language writing: Pitfalls and potentials (2023) Assessing Writing, 57, p. 100745. , https://doi.org/10.1016/j.asw.2023.100745; Benvenuti, M., Cangelosi, A., Weinberger, A., Mazzoni, E., Benassi, M., Barbaresi, M., Orsoni, M., Artificial intelligence and human behavioral development: A perspective on new skills and competences acquisition for the educational context (2023) Computers in Human Behavior, p. 107903. , https://doi.org/10.1016/j.chb.2023.107903; Bernabei, M., Colabianchi, S., Falegnami, A., Costantino, F., Students’ use of large language models in engineering education: A case study on technology acceptance, perceptions, efficacy, and detection chances (2023) Computers and Education: Artificial Intelligence, p. 100172. , https://doi.org/10.1016/j.caeai.2023.100172; Carvalho, L., Martinez-Maldonado, R., Tsai, Y.-S., Markauskaite, L., De Laat, M., How can we design for learning in an AI world? (2022) Computers and Education: Artificial Intelligence, 3, p. 100053. , https://doi.org/10.1016/j.caeai.2022.100053; Chirumamilla, A., Sindre, G., (2019) Mitigation of cheating in online exams: Strengths and limitations, , https://doi.org/10.4018/978-1-5225-7724-9, (A. S. Kumar, Ed). IGI Global; Choi, J. H., Hickman, K. E., Monahan, A., Schwarcz, D. B., ChatGPT goes to law school (2023) SSRN Electronic Journal, , https://doi.org/10.2139/ssrn.4335905; Coghlan, S., Miller, T., Paterson, J., (2020) Good proctor or “Big Brother”? AI ethics and online exam supervision technologies, , https://arxiv.org/abs/2011.07647; Comas-Forgas, R., Lancaster, T., Calvo-Sastre, A., Sureda-Negre, J., Exam cheating and academic integrity breaches during the COVID-19 pandemic: An analysis of internet search activity in Spain (2021) Heliyon, 7 (10), p. e08233. , https://doi.org/10.1016/j.heliyon.2021.e08233; Cotton, D. R. E., Cotton, P. A., Shipway, J. R., Chatting and cheating: Ensuring academic integrity in the era of ChatGPT (2023) Innovations in Education and Teaching International, pp. 1-12. , https://doi.org/10.1080/14703297.2023.2190148; Crawford, J., Cowling, M., Allen, K.-A., Leadership is needed for ethical ChatGPT: Character, assessment, and learning using artificial intelligence (AI) (2023) Journal of University Teaching and Learning Practice, 20 (3). , https://doi.org/10.53761/1.20.3.02, Central Queensland University, Australia Monash University, Australia; Currie, G. M., Academic integrity and artificial intelligence: Is ChatGPT hype, hero or heresy? (2023) Seminars in Nuclear Medicine, 53 (5), pp. 719-730. , https://doi.org/10.1053/j.semnuclmed.2023.04.008; David, A., Mihai, D., Mihailescu, M.-E., Carabas, M., Tapus, N., Scalability through distributed deployment for moodle learning management system (2022) Procedia Computer Science, 214, pp. 34-41. , https://doi.org/10.1016/j.procs.2022.11.145; Dendir, S., Maxwell, R. S., Cheating in online courses: Evidence from online proctoring (2020) Computers in Human Behavior Reports, 2, p. 100033. , https://doi.org/10.1016/j.chbr.2020.100033; Dias, J., Kamdi, D., Gharat, N., Chudhari, P., Chatbot for Government Examination using AI (2019) Journal of Engineering, 9 (4), pp. 58-62; Duhaim, A. M., Al-mamory, S. O., Mahdi, M. S., Cheating detection in online exams during Covid-19 pandemic using data mining techniques (2022) Webology, 19 (1), pp. 341-366. , https://doi.org/10.14704/WEB/V19I1/WEB19026; Eke, D. O., ChatGPT and the rise of generative AI: Threat to academic integrity? (2023) Journal of Responsible Technology, 13, p. 100060. , https://doi.org/10.1016/j.jrt.2023.100060; Elbanna, S., Armstrong, L., Exploring the integration of ChatGPT in education: Adapting for the future (2023) Management &amp; Sustainability: An Arab Review, , https://doi.org/10.1108/MSAR-03-2023-0016; Essel, H. B., Vlachopoulos, D., Tachie-Menson, A., Johnson, E. E., Baah, P. K., The impact of a virtual teaching assistant (chatbot) on students’ learning in Ghanaian higher education (2022) International Journal of Educational Technology in Higher Education, 19 (1), p. 57. , https://doi.org/10.1186/s41239-022-00362-6; Farrokhnia, M., Banihashem, S. K., Noroozi, O., Wals, A., A SWOT analysis of ChatGPT: Implications for educational practice and research (2023) Innovations in Education and Teaching International, pp. 1-15. , https://doi.org/10.1080/14703297.2023.2195846; Geerling, W., Mateer, G. D., Wooten, J., Damodaran, N., ChatGPT has Mastered the Principles of Economics: Now What? (2023) SSRN Electronic Journal, , https://doi.org/10.2139/ssrn.4356034; Gerashchenko, I. P., Kovalev, V. A., Formation of educational ecosystems through the digital transformation of the educational environment (2021) SHS Web of Conferences, 121, p. 03004. , https://doi.org/10.1051/shsconf/202112103004; Gilson, A., Safranek, C., Huang, T., Socrates, V., Chi, L., Taylor, R. A., Chartash, D., How Does ChatGPT Perform on the Medical LicensingExams?Theımplicationsoflargelanguagemodelsformedical education and knowledge assessment [Preprint] (2022), https://doi.org/10.1101/2022.12.23.22283901, Medical Education; Göktaş, L. S., ChatGPT uzaktan eğitim sınavlarında başarılı olabilir mi turizm alanında doğruluk ve doğrulama üzerine bir araştırma (Can ChatGPT succeed in distance education exams a research on accuracy and verification in tourism) (2023) Journal of Tourism and Gastronomy Studies, 2. , https://doi.org/10.21325/jotags.2023.1224; Hashim, H., Application of technology in the digital era education (2018) International Journal of Research in Counseling and Education, 1 (2). , https://doi.org/10.24036/002za0002; Hill, B., Taking the help or going alone: ChatGPT and class assignments (2023) SSRN Electronic Journal, , https://doi.org/10.2139/ssrn.4465833; Holden, O. L., Norris, M. E., Kuhlmeier, V. A., Academic ıntegrity in online assessment: A research review (2021) Frontiers in Education, 6, p. 639814. , https://doi.org/10.3389/feduc.2021.639814; Hwang, A., Online and Hybrid Learning (2018) Journal of Management Education, 42 (4), pp. 557-563. , https://doi.org/10.1177/1052562918777550; Ilynykh, S., (2021) Online education: Trends and risks of digital technologies: VIII International Scientific and Practical Conference “Current problems of social and labour relations” (ISPC-CPSLR 2020), , https://doi.org/10.2991/assehr.k.210322.126, Makhachkala, Russia Federation; Jungherr, A., Using ChatGPT and Other Large Language Model (LLM) applications for academic paper assignments [Preprint] (2023), https://doi.org/10.31235/osf.io/d84q6, SocArXiv; King, D. L., Case, C. J., E-Cheating: Incidence and trends among college students (2014) Issues In Information Systems, 15 (1). , https://doi.org/10.48009/1_iis_2014_20-27; Klijn, F., Mdaghri Alaoui, M., Vorsatz, M., Academic integrity in on-line exams: Evidence from a randomized field experiment (2022) Journal of Economic Psychology, 93, p. 102555. , https://doi.org/10.1016/j.joep.2022.102555; Kung, T. H., Cheatham, M., Medenilla, A., Sillos, C., De Leon, L., Elepaño, C., Madriaga, M., Tseng, V., Performance of ChatGPT on USMLE: Potential for AI-assisted medical education using large language models (2023) PLOS Digital Health, 2 (2), p. e0000198. , https://doi.org/10.1371/journal.pdig.0000198; Lanier, M. M., Academic integrity and distance learning (2006) Journal of Criminal Justice Education, 17 (2), pp. 244-261. , https://doi.org/10.1080/10511250600866166; Latifah, R., Budiyanto, C. W., Saputro, H., Digital transformation readiness in education: A review (2022) International Journal of Information and Education Technology, 12 (8), pp. 809-815. , https://doi.org/10.18178/ijiet.2022.12.8.1688; Lin, J. C., Younessi, D. N., Kurapati, S. S., Tang, O. Y., Scott, I. U., Comparison of GPT-3.5, GPT-4, and human user performance on a practice ophthalmology written examination (2023) Eye, , https://doi.org/10.1038/s41433-023-02564-2; Maslov, I., Nikou, S., Hansen, P., Exploring user experience of learning management system (2021) The International Journal of Information and Learning Technology, 38 (4), pp. 344-363. , https://doi.org/10.1108/IJILT-03-2021-0046; Mellieon, H. I., Robinson, P. A., The New norm: Faculty Perceptions of condensed online learning (2021) American Journal of Distance Education, 35 (3), pp. 170-183. , https://doi.org/10.1080/08923647.2020.1847626; Misra, D. P., Chandwar, K., ChatGPT, artificial intelligence and scientific writing: What authors, peer reviewers and editors should know (2023) Journal of the Royal College of Physicians of Edinburgh, 53 (2), pp. 90-93. , https://doi.org/10.1177/14782715231181023; Montenegro-Rueda, M., Luque-de La Rosa, A., Sarasola Sánchez-Serrano, J. L., Fernández-Cerero, J., Assessment in higher education during the Covıd-19 pandemic: A systematic review (2021) Sustainability, 13 (19), p. 10509. , https://doi.org/10.3390/su131910509; Naidu, K., Sevnarayan, K., ChatGPT: An ever-increasing encroachment of artificial intelligence in online assessment in distance education (2023) Online Journal of Communication and Media Technologies, 13 (3), p. e202336. , https://doi.org/10.30935/ojcmt/13291; Newton, P. M., Xiromeriti, M., ChatGPT Performance on MCQ Exams in Higher Education (2023) A Pragmatic Scoping Review, , https://doi.org/10.35542/osf.io/sytu3, [Preprint]; Nguyen, X.-A., Nguyen, S.-N., Nguyen, T.-T.-T., Luong, D.-H., Tran, T.G., Exploring Some academic dishonesty in remote online exams of vietnamese high school students in context of the Covid-19 pandemic (2022) Asian Journal of Education and Social Studies, pp. 13-26. , https://doi.org/10.9734/ajess/2022/v33i130782; Nieuwoudt, J. E., Investigating synchronous and asynchronous class attendance as predictors of academic success in online education (2020) Australasian Journal of Educational Technology, 36 (3), pp. 15-25. , https://doi.org/10.14742/ajet.5137; Noorbehbahani, F., Mohammadi, A., Aminazadeh, M., A systematic review of research on cheating in online exams from 2010 to 2021 (2022) Education and Information Technologies, 27 (6), pp. 8413-8460. , https://doi.org/10.1007/s10639-022-10927-7; Oravec, J. A., Artificial intelligence implications for academic cheating: expanding the dimensions of responsible human-AI collaboration with Chatgpt and Bard (2023) Jl. of Interactive Learning Research, 34 (2); Paul, R., The state of critical thinking today (2005) New Directions for Community Colleges, 2005 (130), pp. 27-38. , https://doi.org/10.1002/cc.193; Paul, R., Elder, L., Critical thinking: Intellectual standards essential to reasoning well within every domain of human thought, Part Two (2013) Journal of Developmental Ed Ucation, 37 (1); Perera, P., Lankathilaka, M., AI in higher education: A literature review of chatgpt and guidelines for responsible implementation (2023) International Journal of Research and Innovation in Social Science, VII, pp. 306-314. , https://doi.org/10.47772/IJRISS.2023.7623, (VI); Pérez, J. Q., Daradoumis, T., Puig, J. M. M., Rediscovering the use of chatbots in education: A systematic literature review (2020) Computer Applications in Engineering Education, 28 (6), pp. 1549-1565. , https://doi.org/10.1002/cae.22326; Petrolo, D., Fakhar Manesh, M., Palumbo, R., Unpacking business, management, and entrepreneurship education online: Insights from a hybrid literature review (2023) The International Journal of Management Education, 21 (2), p. 100812. , https://doi.org/10.1016/j.ijme.2023.100812; Putra, F. W., Rangka, I. B., Aminah, S., Aditama, M. H. R., ChatGPT in the higher education environment: Perspectives from the theory of high order thinking skills (2023) Journal of Public Health, , https://doi.org/10.1093/pubmed/fdad120; Rahm, L., Educational imaginaries: Governance at the intersection of technology and education (2023) Journal of Education Policy, 38 (1), pp. 46-68. , https://doi.org/10.1080/02680939.2021.1970233; Skavronskaya, L., Hadinejad, A., Cotterell, D., Reversing the threat of artificial intelligence to opportunity: A discussion of ChatGPT in tourism education (2023) Journal of Teaching in Travel &amp; Tourism, 23 (2), pp. 253-258. , https://doi.org/10.1080/15313220.2023.2196658, (Hana); Smutny, P., Schreiberova, P., Chatbots for learning: A review of educational chatbots for the Facebook Messenger (2020) Computers &amp; Education, 151, p. 103862. , https://doi.org/10.1016/j.compedu.2020.103862; Susnjak, T., (2022) ChatGPT: The End of Online Exam Integrity?, , http://arxiv.org/abs/2212.09292; Swiecki, Z., Khosravi, H., Chen, G., Martinez-Maldonado, R., Lodge, J. M., Milligan, S., Selwyn, N., Gašević, D., Assessment in the age of artificial intelligence (2022) Computers and Education: Artificial Intelligence, 3, p. 100075. , https://doi.org/10.1016/j.caeai.2022.100075; Tsai, M.-L., Ong, C. W., Chen, C.-L., Exploring the use of large language models (LLMs) in chemical engineering education: Building core course problem models with Chat-GPT (2023) Education for Chemical Engineers, 44, pp. 71-95. , https://doi.org/10.1016/j.ece.2023.05.001; Ventayen, R. J. M., ChatGPT by OpenAI: Students’ viewpoint on cheating using Artificial Intelligence-Based application (2023) SSRN Electronic Journal, , https://doi.org/10.2139/ssrn.4361548; Von Grunigen, D., Souza, F. B., Pradarelli, B., Magid, A., Cieliebak, M., Best practices in e-assessments with a special focus on cheating prevention (2018) 2018 IEEE Global Engineering Education Conference (EDUCON), pp. 893-899. , https://doi.org/10.1109/EDUCON.2018.8363325, De Azevedo E; Wagner, G., Lukyanenko, R., Paré, G., Artificial intelligence and the conduct of literature reviews (2022) Journal of Information Technology, 37 (2), pp. 209-226. , https://doi.org/10.1177/02683962211048201; Watson, G. R., Sottile, J., (2010) Cheating in the digital age: do students cheat more in online courses?, , https://mds.marshall.edu/cgi/viewcontent.cgi?article=1000&amp;context=eft_faculty; (2020) White paper: Academic integrity in the age of online learning, , https://www.wiley.com/enus/network/education/instructors/teaching-strategies/academicintegrity-in-the-age-of-online-learning-3; Xie, X., Siau, K., Nah, F. F.-H., COVID-19 pandemic – online education in the new normal and the next normal (2020) Journal of Information Technology Case and Application Research, 22 (3), pp. 175-187. , https://doi.org/10.1080/15228053.2020.1824884; Yau, C., Chan, K., (2023) University of Hong Kong temporarily bans students from using ChatGPT, other AI-based tools for coursework, , https://www.scmp.com/news/hongkong/education/article/3210650/university-hong-kong-temporarilybans-students-using-chatgpt-other-ai-based-tools-coursework, (February 17); Yorkovsky, Y., Levenberg, I., Distance learning in science and mathematics—Advantages and disadvantages based on pre-service teachers’ experience (2022) Teaching and Teacher Education, 120, p. 103883. , https://doi.org/10.1016/j.tate.2022.103883; Zaitsu, W., Jin, M., (2023) Distinguishing ChatGPT(-3.5, -4)-generated and human-written papers through Japanese stylometric analysis, , https://arxiv.org/abs/2306.01761</t>
  </si>
  <si>
    <t>Artificial Intelligence; ChatGPT; Exams; Integrity; Large Language Models (LLM); Tourism Education</t>
  </si>
  <si>
    <t>There is an increasing concern regarding the potential misuse of ChatGPT-4 in compromising the integrity of examinations and assignments. This study aims to examine the capabilities of ChatGPT-4 in critical thinking abilities, whether it poses a threat to examinations and assignments in higher education, and create a discussion agenda on this issue. ChatGPT-4 was asked to generate, answer, and criticize questions in tourism marketing, tourism management, tourism economics, tourist guidance, and gastronomy. The answers were evaluated according to universal critical thinking standards. The findings obtained from this study showed that ChatGPT-4 had commendable competence in several critical thinking standards and could produce human-like texts. However, there are certain domains that might be improved to comply more effectively with the expectations and norms of academia. Educators were recommended to use comprehensive approaches that combine technological and educational techniques to address the issue of cheating enabled by tools, such as ChatGPT-4, during assessment and exam processes. © 2023 University of Algarve. All rights reserved.</t>
  </si>
  <si>
    <t>Ülkü, A., School of Tourism and Hotel Management, Harran University, Department of Tourism Guidance, Turkey</t>
  </si>
  <si>
    <t>School of Tourism and Hotel Management, Harran University, Department of Tourism Guidance, Turkey</t>
  </si>
  <si>
    <t>https://www.scopus.com/inward/record.uri?eid=2-s2.0-85186876344&amp;doi=10.18089%2ftms.2023.190402&amp;partnerID=40&amp;md5=8dcf00ea2dbb4ed79b74d94f470bd0dd</t>
  </si>
  <si>
    <t>Tourism and Management Studies</t>
  </si>
  <si>
    <t>Artificial intelligence-based large language models and integrity of exams and assignments in higher education: the case of tourism courses [Inteligência artificial baseada em modelos de linguagem de grande escala e integridade de provas e trabalhos no ensino superior: o caso dos cursos de turismo]</t>
  </si>
  <si>
    <t>58922933600;</t>
  </si>
  <si>
    <t>Ülkü A.</t>
  </si>
  <si>
    <t>Makinodan, M.; Department of Psychiatry, Japan; email: mmm@naramed-u.ac.jp
Aramaki, E.; Graduate School of Science and Technology, Japan; email: aramaki@is.naist.jp</t>
  </si>
  <si>
    <t>Squires, M., Tao, X., Elangovan, S., Deep learning and machine learning in psychiatry: A survey of current progress in depression detection, diagnosis and treatment (2023) Brain Inform., 10, p. 10; Shiba, K., Daoud, A., Kino, S., Nishi, D., Kondo, K., Kawachi, I., Uncovering heterogeneous associations of disaster-related traumatic experiences with subsequent mental health problems: A machine learning approach (2022) Psychiatry Clin. Neurosci., 76, pp. 97-105; Ophir, Y., Tikochinski, R., Asterhan, C.S.C., Sisso, I., Reichart, R., Deep neural networks detect suicide risk from textual Facebook posts (2020) Sci. Rep., 10, p. 16685; Wang, N., Luo, F., Shivtare, Y., Learning models for suicide prediction from social media posts (2021) Proceedings of the Seventh Workshop on Computational Linguistics and Clinical Psychology, pp. 87-92. , Association for Computational Linguistics; Tomasik, J., Han, S.Y.S., Barton-Owen, G., A machine learning algorithm to differentiate bipolar disorder from major depressive disorder using an online mental health questionnaire and blood biomarker data (2021) Transl. Psychiatry, 11, p. 41; Horigome, T., Hino, K., Toyoshiba, H., Identifying neurocognitive disorder using vector representation of free conversation (2022) Sci. Rep., 12, p. 12461; Garriga, R., Mas, J., Abraha, S., Machine learning model to predict mental health crises from electronic health records (2022) Nat. Med., 28, pp. 1240-1248; Rumshisky, A., Ghassemi, M., Naumann, T., Predicting early psychiatric readmission with natural language processing of narrative discharge summaries (2016) Transl. Psychiatry, 6; Cearns, M., Hahn, T., Baune, B.T., Recommendations and future directions for supervised machine learning in psychiatry (2019) Transl. Psychiatry, 9, p. 271; (2019) The International Classification of Diseases. 10th revision, , https://icd.who.int/browse10/2019/en#, Accessed 2023/3/10, World Health Organization; (2013) Diagnostic and Statistical Manual of Mental Disorders, , 5th edn, American Psychiatric Association, Arlington; Dai, H.J., Su, C.H., Lee, Y.Q., Deep learning-based natural language processing for screening psychiatric patients (2020) Front. Psych., 11, p. 533949; Kawazoe, Y., Shibata, D., Shinohara, E., Aramaki, E., Ohe, K., A clinical specific BERT developed using a huge Japanese clinical text corpus (2021) PLoS One, 16; Devlin, J., Chang, M.-W., Lee, K., Toutanova, K., Bert: Pre-training of deep bidirectional transformers for language understanding (2019) Proceedings of the 2019 Conference of the North American Chapter of the Association for Computational Linguistics: Human Language Technologies, 1, pp. 4171-4186. , Association for Computational Linguistics, Minneapolis, Minnesota; MeCab, T.K., Yet another part-of-speech and morphological analyzer, , https://github.com/taku910/mecab, Accessed March 21 2023; Ito, K., Nagai, H., Okahisa, T., J-medic: A Japanese disease name dictionary based on real clinical usage (2018) Proceedings of the 11th International Conference on Language Resources and Evaluation, pp. 2365-2369. , http://sociocom.jp/~data/2018-manbyo, European Language Resources Association (ELRA), Miyazaki, Japan, Accessed March 21 2023; Sato, T., Hashimoto, T., Okumura, M., Implementation of a word segmentation dictionary called mecab-ipadic-NEologd and study on how to use it effectively for information retrieval: NLP2017-B6–1 (2017) Proceedings of the Twenty-Three Annual Meeting of the Association for Natural Language Processing, , The Association for Natural Language Processing, Tsukuba, Japan; Weichen, S., Lihua, X., Tianhong, Z., Peripheral transcriptome of clinical high-risk psychosis reflects symptom alteration and helps prognosis prediction (2022) Psychiatry Clin. Neurosci., 76, pp. 268-270; Croskerry, P., The importance of cognitive errors in diagnosis and strategies to minimize them (2003) Acad. Med., 78, pp. 775-780; Li, J., Fong, S., Mohammed, S., Fiaidhi, J., Improving the classification performance of biological imbalanced datasets by swarm optimization algorithms (2016) J. Supercomput., 72, pp. 3708-3728; Krawczyk, B., Learning from imbalanced data: Open challenges and future directions (2016) Prog. Artif. Intell., 5, pp. 221-232; Madabushi, H.T., Kochkina, E., Castelle, M., Cost-sensitive BERT for generalisable sentence classification with imbalanced data (2019) Proceedings of the Second Workshop on Natural Language Processing for Internet Freedom: Censorship, Disinformation, and Propaganda, pp. 125-134. , ACL, Hong Kong, China, c; Kundu, S., AI in medicine must be explainable (2021) Nat. Med., 27, p. 1328; Jain, S., Wallace, B.C., Attention is not explanation (2019) Proceedings of the 2019 Conference of the North American Chapter of the Association for Computational Linguistics: Human Language Technologies, Volume 1 (Long and Short Papers), pp. 3543-3556. , ACL, Minneapolis, Minnesota; Soenksen, L.R., Ma, Y., Zeng, C., Integrated multimodal artificial intelligence framework for healthcare applications (2022) NPJ Digit. Med., 5, p. 149</t>
  </si>
  <si>
    <t>AMED-PRIME (grant number 21gm6310015h0002 to M.M.), AMED-CREST (grant number 22gm1510009h0001 to M.M.), AMED (grant number 21wm04250XXs0101 to M.M.), AMED (grant number 21uk1024002h0002 to M.M.).</t>
  </si>
  <si>
    <t>Japan Agency for Medical Research and Development, AMED: 21uk1024002h0002, 21wm04250XXs0101; Core Research for Evolutional Science and Technology, CREST: 22gm1510009h0001</t>
  </si>
  <si>
    <t>adolescent; adult; Article; attention deficit hyperactivity disorder; autism; behavior disorder; clinical practice; comparative study; controlled study; data extraction; delusional disorder; dementia; diagnostic accuracy; diagnostic test accuracy study; eating disorder; electronic medical record; emotional disorder; female; history of present illness; hospital discharge; human; ICD-10; Japan; large language model; major clinical study; male; medical care; medical history; mental deficiency; mental disease; middle aged; mood disorder; natural language processing; neurosis; physiological stress; prediction; probability; psychiatrist; resident; sample size; schizophrenia; schizotypal personality disorder; somatoform disorder; university hospital; work experience; hospital; International Classification of Diseases; mental disease; procedures; psychiatry; Hospitals; Humans; International Classification of Diseases; Mental Disorders; Patient Discharge; Psychiatry</t>
  </si>
  <si>
    <t>Otsuka, N., Department of Psychiatry, Nara Medical University, Kashihara, Japan; Kawanishi, Y., Department of Psychiatry, Nara Medical University, Kashihara, Japan; Doi, F., Department of Psychiatry, Nara Medical University, Kashihara, Japan; Takeda, T., Department of Psychiatry, Nara Medical University, Kashihara, Japan; Okumura, K., Department of Psychiatry, Nara Medical University, Kashihara, Japan; Yamauchi, T., Department of Psychiatry, Nara Medical University, Kashihara, Japan; Yada, S., Graduate School of Science and Technology, Nara Institute of Science and Technology, Ikoma, Japan; Wakamiya, S., Graduate School of Science and Technology, Nara Institute of Science and Technology, Ikoma, Japan; Aramaki, E., Graduate School of Science and Technology, Nara Institute of Science and Technology, Ikoma, Japan; Makinodan, M., Department of Psychiatry, Nara Medical University, Kashihara, Japan</t>
  </si>
  <si>
    <t>58571919800;58571656300;58571656400;58571143800;57217272711;23391383600;57219665421;35281103600;57203225161;23389551800;</t>
  </si>
  <si>
    <t>Otsuka N., Kawanishi Y., Doi F., Takeda T., Okumura K., Yamauchi T., Yada S., Wakamiya S., Aramaki E., Makinodan M.</t>
  </si>
  <si>
    <t>Abramson, A., How to use ChatGPT as a learning tool (2023) Monitor on Psychology, 54 (4). , https://www.apa.org/monitor/2023/06/chatgpt-learning-tool, (April 7); Akgun, S., Greenhow, C., Artificial intelligence in education: Addressing ethical challenges in K-12 settings (2022) AI and Ethics (Online), 2 (3), pp. 431-440. , https://doi.org/10.1007/s43681-021-00096-7; Anderson, L. W., Krathwohl, D. R., Bloom, B. S., (2001) A taxonomy for learning, teaching, and assessing: A revision of Bloom's Taxonomy of educational objectives, , Longman; Bender, E.M., Gebru, T., McMillan-Major, A., Shmitchell, S., On the dangers of stochastic parrots: Can language models be too big? (2021) 2021 ACM Conference on Fairness, Accountability, and Transparency (FAccT '21), pp. 610-623. , https://doi.org/10.1145/3442188.3445922, New York; Chan, C.K.Y., Hu, W., Students' voices on generative AI: perceptions, benefits, and challenges in higher education (2023) International Journal of Educational Technology, 20, pp. 1-18. , https://doi.org/10.1186/s41239-023-00411-8; D'Agostino, S., AI has a language diversity problem (2023), https://www.insidehighered.com/news/tech-innovation/artificial-intelligence/2023/07/10/ai-has-language-diversity-problem, (July 10). Inside Higher Ed; Dalalah, D., Dalalah, O. M. A., The false positives and false negatives of generative AI detection tools in education and academic research: The case of ChatGPT (2023) The International Journal of Management Education, 21 (2), pp. 1-13. , https://doi.org/10.1016/j.ijme.2023.100822; dos Santos, A.E., Olesova, L., Vicentini, C., de Oliveira, L.C., ChatGPT in ELT:Writing affordances and activities (2023), http://newsmanager.commpartners.com/tesolc/print/2023-05-01/2.html, TESOL Connections; Eke, D.O., ChatGPT and the rise of generative AI: Threat to academic integrity? (2023) Journal of Responsible Technology, 13, pp. 1-4. , https://doi.org/10.1016/j.jrt.2023.100060; Farrell, T. S.C., Reflecting on teacher-student relations in TESOL (2015) ELT Journal, 69 (1), pp. 26-34. , https://doi.org/10.1093/elt/ccu033; Farrokhnia, M., Banihashem, S. K., Noroozi, O., Wals, A., A SWOT analysis of ChatGPT: Implications for educational practice and research (2023) Innovations in Education and Teaching International, pp. 1-15. , https://doi.org/10.1080/14703297.2023.2195846; Finley, T., Six ways to use ChatGPT to save time (2023) Edutopia, , https://www.edutopia.org/article/6-ways-chatgpt-save-teachers-time/, (March 13); García-Peñalvo, F.J., The perception of Artificial Intelligence in educational contexts after the launch of ChatGPT: Disruption or panic? (2023) Education in the Knowledge Society, 24, pp. 1-9. , https://doi.org/10.14201/eks.31279; Hamilton, P., Chatbot cheating threat is real, but manageable (2023) The Maroon, , https://loyolamaroon.com/10037804/news/chatbot-cheating-threat-is-real-but-manageable/, (February 16); Heaven, W. D., ChatGPT is going to change education, not destroy it (2023) MITTechnology Review, , https://www.technologyreview.com/2023/04/06/1071059/-chatgpt-change-not-destroy-education-openai/, (April 7); Herft, A., (2023) A teacher's prompt guide to ChatGPT, , https://www.herfteducator.com/; Hié, A., ChatGPT in higher education or the fear of a revolution in the making (2023), https://www.governancenow.com/views/columns/chatgpt-in-higher-education-or-the-fear-of-a-revolution-in-the-making, (April 6). Governance Now; Holmes, W., Tuomi, I., State of the art and practice in AI in education (2022) European Journal of Education, 57 (4), pp. 542-570. , https://doi.org/10.1111/ejed.12533; Honigsfeld, A., Dove, M.G., (2023) 5 collaborative teaching practices for teacher learning: TESOL: International Association, , https://www.tesol.org/blog/posts/5-collaborative-teaching-practices-for-teacher-learning/, (March 17). TESOL; Bringing AI to school: Tips for school leaders, , https://www.iste.org/areas-of-focus/AI-in-education, (n.d); Kim, S, Shim, J., Shim, J., A study on the utilization of OpenAI ChatGPT as a second language learning tool (2023) Journal of Multimedia Information Systems, 10 (1), pp. 79-88. , https://doi.org/10.33851/JMIS.2023.10.1.79; Koehler, J., Cognitively charged learning for the 21st Century (2023) Psychology Today, , https://www.psychologytoday.com/us/blog/beyond-schoolwalls/-202304/cognitively-charged-learning-for-the-21st-century, (April 1); Kohnke, L., Moorhouse, B.L., Zou, D., ChatGPT for language learning and teaching (2023) RELC Journal, pp. 1-14. , https://doi.org/10.1177/003368822311628; Kostka, I., Maliborska, V., Reflection on using Turnitin to provide feedback on L2 writers' texts (2016) The Electronic Journal for English as a Second Language, 20 (2), pp. 1-22. , https://tesl-ej.org/wordpress/issues/volume20/ej78/ej78int/; Lang, J. M., Advice: How to create compelling writing assignments in a ChatGPT age (2023) The Chronicle of Higher Education, , https://www.chronicle.com/article/how-to-create-compelling-writing-assignments-in-a-chatgpt-age, (April 27); Lave, J., Wenger, E., (1991) Situated learning: Legitimate peripheral participation, , Cambridge University Press; Lee, N., Mikesell, L., Joaquin, A. D., Mates, A., Schumann, J., The interactional instinct: The evolution and acquisition of language. Oxford University Press.Lo, C. K. (2023). What is the impact of ChatGPT on education? A rapid review of the literature (2009) Education Sciences, 13 (410), pp. 1-15. , https://doi.org/10.3390/educsci13040410; Lodge, J. M., (2023) Cheating with generative AI: Shifting focus from means and opportunity to motive [LinkedIn page] LinkedIn, , https://www.linkedin.com/pulse/cheating-generative-ai-shifting-focus-from-means-motive-lodge/, (May 21); McAdoo, T., (2023) How to cite ChatGPT, , https://apastyle.apa.org/blog/how-to-cite-chatgpt, (April 7). American Psychological Association; McMinn, S., (2023) Adapt and evolve rather than detect and ban, , https://www.linkedin.com/pulse/adapt-evolve-rather-than-detect-ban-sean-mcminn, (May 14). [LinkedIn page] LinkedIn; Maslej, N., Fattorini, L., Brynjolfsson, E., Etchemendy, J., Ligett, K., Lyons, T., Manyika, J., Perrault, R., (2023) The AI index 2023 annual report, , https://aiindex.stanford.edu/wp-content/uploads/2023/04/HAI_AI-Index-Report_2023-pdf, Stanford University Institute for Human-Centered AI; Mitchell, M., (2019) Artificial intelligence: A guide for thinking humans, , Farrar, Straus, and Giroux; (2023) Overview of the issues, statement of principles, and recommendations, , https://hcommons.org/app/uploads/sites/1003160/2023/07/MLA-CCCC-Joint-Task-Force-on-Writing-and-AI-Working-Paper-1.pdf; Pasquale, F., (2020) New laws of robotics, , Harvard University Press; Paiz, J.M., Kostka, I., Deciphering AI speak: A primer for English language educators (2023), http://newsmanager.commpartners.com/tesolc/issues/2023-08-01/2.html, (August 1). TESOL Connections; Reed, B., Programs to detect AI discriminate against non-native English speakers, shows study (2023) The Guardian, , https://tinyurl.com/EJ107int-Guardian-Reed, (July 10); Rudolph, J., Tan, S., Tan, S., ChatGPT: Bullshit spewer or the end of traditional assessments in higher education? Journal of Applied Teaching &amp; Learning, 6 (1), pp. 342-362. , https://doi.org/10.37074/jalt.2023.6.1.9, (20 23); Schroeder, R., Productively and painlessly integrating Gen AI into your fall classes (2023), https://www.insidehighered.com/opinion/blogs/online-trending-now/2023/07/19/productively-and-painlessly-integrating-ai-classes, (July 19). Inside Higher Ed; Shapiro, S., Farrelly, R., Tomaš, Z., (2023) Fostering international student success in higher education, , (2nd ed). TESOL Press; Sims, A., ChatGPT and the future of university assessment (2023), https://www.timeshighereducation.com/campus/chatgpt-and-future-university-assessment, (March 9). Times Higher Education; Skrabut, S., (2023) 80 ways to use ChatGPT in the classroom: Using AI to enhance teaching and learning, , Independent; Stening, T., (2023) 'We are a center of experimentation and innovation.' President Joseph E. Aoun addresses buzz around generative AI. Northeastern Global News, , https://news.northeastern.edu/2023/04/25/artificial-intelligence-development-innovation-safety/, (April 25); Stewart, J., Noam Chomsky says ChatGPT is a form of "high-tech plagiarism" (2023) My Modern Met, , https://mymodernmet.com/noam-chomsky-chat-gpt/#:-:text=ChatGPT%20is%20basically%20high%2Dtech,to%20avoid%20doing%20-the%20work, (February 17); Sullivan, M., Kelly, A., McLaughlan, P., ChatGPT in higher education: Considerations for academic integrity and learning (2023) Journal of Applied Learning and Teaching, 6 (1), pp. 31-40. , https://doi.org/10.37074/jalt.2023.6.1.17; Supiano, B., Will ChatGPT change how professors assess learning? (2023) The Chronicle of Higher Education, , https://www.chronicle.com/article/will-chatgpt-change-how-professors-assess-learning, (April 5); Teng, F., Scientific writing, reviewing, and editing for open-access TESOL journals: The role of ChatGPT (2023) International Journal of TESOL Studies, 5, pp. 87-91; Tlili, A., Shehata, B., Adarkwah, M.A., Bozkurt, A., Hickey, D.T., Huang, R., Agyemang, B., What is the devil is my guardian angel: ChatGPT as a case study of using chatbots in education (2023) Smart Learning Environments, 10, pp. 1-24. , https://doi.org/10.1186/s40561-023-00237-x; Torres, J. T., Mayo, C. E. P., AI Eroding AI? A new era for artificial intelligence and academic integrity (2023) Faculty Focus, , https://www.facultyfocus.com/articles/teaching-with-technology-articles/ai-eroding-ai-a-new-era-for-artificial-intelligence-and-academic-integrity/, (July 10); (2023) ChatGPT and artificial intelligence in higher education: Quick start guide, , https://unesdoc.unesco.org/ark:/48223/pf0000385146; (2023) Artificial intelligence and future of teaching and learning: Insights and recommendations, , https://www2.ed.gov/documents/ai-report/ai-report.pdf, U.S. Department of Education, Office of Educational Technology; Valverde-Berrocoso, J., Gonzalez-Fernandez, A., Acevedo-Borrega, J., Disinformation and multiliteracy: A systematic review of the literature (2022) Comunicar, 30 (70), pp. 97-110. , https://doi.org/10.3916/C70-2022-08; Warner, B., (2023) 4 ways to use AI to build laser-focused custom content for your students, , https://www.tesol.org/blog/posts/4-ways-to-use-ai-to-build-laser-focused-custom-content-for-your-students/, (22 February). TESOL International Association; Weissman, J., ChatGPT is a plague upon education (opinion) (2023), https://www.insidehighered.com/views/2023/02/09/chatgpt-plague-upon-education-opinion, (February 8). Inside Higher Ed; Wenger, E. C., Snyder, W. M., Communities of practice: The organizational frontier (2000) Harvard Business Review, 78 (1), pp. 139-145; Yan, D., Impact of ChatGPT on learners in a L2 writing practicum: An exploratory investigation (2023) Education and Information Technologies, pp. 1-25. , https://doi.org/10.1007/s10639-023-11742-4; Zhai, X., ChatGPT user experience: Implications for education (2022) SSRN Electronic Journal, , https://doi.org/10.2139/ssrn.4312418</t>
  </si>
  <si>
    <t>Kostka, I., Northeastern University, United States; Toncelli, R., Northeastern University, United States</t>
  </si>
  <si>
    <t>57003533400;58609182700;</t>
  </si>
  <si>
    <t>Kostka I., Toncelli R.</t>
  </si>
  <si>
    <t>Huemann, Z.; Department of Radiology, 1111 Highland Ave, United States; email: zhuemann@wisc.edu</t>
  </si>
  <si>
    <t>Smit, A, Jain, S, Rajpurkar, P, Pareek, A, Ng, AY, Lungren, MP., CheXbert: combining automatic labelers and expert annotations for accurate radiology report labeling using BERT, , https://arxiv.org/abs/2004.09167, arXiv 2004.09167 [preprint] Posted April 20, 2020. Accessed August 12, 2022; Tejani, AS, Ng, YS, Xi, Y, Fielding, JR, Browning, TG, Rayan, JC., Performance of multiple pretrained BERT models to automate and accelerate data annotation for large datasets (2022) Radiol Artif Intell, 4 (4), p. e220007; Fink, MA, Kades, K, Bischoff, A, Deep learning-based assessment of oncologic outcomes from natural language processing of structured radiology reports (2022) Radiol Artif Intell, 4 (5), p. e220055; Yan, A, McAuley, J, Lu, X, RadBERT: adapting transformer-based language models to radiology (2022) Radiol Artif Intell, 4 (4), p. e210258; Yan, A, He, Z, Lu, X, Weakly supervised contrastive learning for chest x-ray report generation, , https://arxiv.org/abs/2109.12242, arXiv 2109.12242 [preprint] Posted September 25, 2021. Accessed August 12, 2022; Sorin, V, Barash, Y, Konen, E, Klang, E., Deep learning for natural language processing in radiology-fundamentals and a systematic review (2020) J Am Coll Radiol, 17 (5), pp. 639-648; Huang, K, Singh, A, Chen, S, Clinical XLNet: Modeling Sequential Clinical Notes and Predicting Prolonged Mechanical Ventilation (2020) Proceedings of the 3rd Clinical Natural Language Processing Workshop, pp. 94-100. , https://www.aclweb.org/anthology/2020.clinicalnlp-1.11, pages Online: Association for Computational Linguistics. Published 2020. Accessed March 10, 2023; Yuan, H, Yuan, Z, Gan, R, Zhang, J, Xie, Y, Yu, S., BioBART: Pretraining and Evaluation of A Biomedical Generative Language Model (2022) Proceedings of the 21st Workshop on Biomedical Language Processing, pp. 97-109. , https://aclanthol-ogy.org/2022.bionlp-1.9, Dublin, Ireland: Association for Computational Linguistics, Published 2022. Accessed March 10, 2023; Devlin, J, Chang, MW, Lee, K, Toutanova, K., BERT: pre-training of deep bidirectional transformers for language understanding, , https://arxiv.org/abs/1810.04805, arXiv.1810.04805 [preprint] Posted October 11, 2018. Accessed January 5, 2022; Gururangan, S, Marasović, A, Swayamdipta, S, Don’t stop pretraining: adapt language models to domains and tasks, , https://arxiv.org/abs/2004.10964, arXiv 2004.10964 [preprint] Posted April 23, 2020. Accessed March 7, 2023; Lee, J, Yoon, W, Kim, S, BioBERT: a pre-trained biomedical language representation model for biomedical text mining (2020) Bioinformatics, 36 (4), pp. 1234-1240; Chaudhari, GR, Liu, T, Chen, TL, Application of a domain-specific BERT for detection of speech recognition errors in radiology reports (2022) Radiol Artif Intell, 4 (4), p. e210185; Khare, Y, Bagal, V, Mathew, M, Devi, A, Priyakumar, UD, Jawahar, C., MMBERT: Multimodal BERT Pretraining for Improved Medical VQA (2021) 2021 IEEE 18th International Symposium on Biomedical Imaging (ISBI), pp. 1033-1036; Zheng, C, Sun, BC, Wu, YL, Automated abstraction of myocardial perfusion imaging reports using natural language processing (2022) J Nucl Cardiol, 29 (3), pp. 1178-1187; Bradshaw, T, Cho, S., Evaluation of large language models in natural language processing of PET/CT free-text reports (2021) J Nucl Med, 62, p. 1188. , https://jnm.snmjournals.org/content/62/supplement_1/1188, (supplement 1); Aryanto, KYE, Broekema, A, Oudkerk, M, van Ooijen, PMA., Implementation of an anonymisation tool for clinical trials using a clinical trial processor integrated with an existing trial patient data information system (2012) Eur Radiol, 22 (1), pp. 144-151; Gallamini, A, Barrington, SF, Biggi, A, The predictive role of interim positron emission tomography for Hodgkin lymphoma treatment outcome is confirmed using the interpretation criteria of the Deauville five-point scale (2014) Haematologica, 99 (6), pp. 1107-1113; Alsentzer, E, Murphy, JR, Boag, W, Publicly available clinical BERT embeddings, , https://arxiv.org/abs/1904.03323, arXiv 1904.03323 [preprint] Posted April 6, 2019. Accessed January 5, 2022; Johnson, AEW, Pollard, TJ, Shen, L, MIMIC-III, a freely accessible critical care database (2016) Sci Data, 3 (1), p. 160035; Liu, Y, Ott, M, Goyal, N, RoBERTa: A robustly optimized BERT pretraining approach, , https://arxiv.org/abs/1907.11692, arXiv 1907.11692 [preprint] Posted July 26, 2019. Accessed January 26, 2022; Vijayarani, DS, Ilamathi, J., Preprocessing techniques for text mining-an overview (2015) Int J Comput Sci Commun Netw, 5 (1), pp. 7-16; Wolf, T, Debut, L, Sanh, V, Transformers: State-of-the-Art Natural Language Processing Proceedings of the 2020 Conference on Empirical Methods in Natural Language Processing: System Demonstrations, pp. 38-45. , https://www.aclweb.org/anthol-ogy/2020.emnlp-demos.6, pages Online: Association for Computational Linguistics. Published 2020. Accessed September 19, 2022; Dosovitskiy, A, Beyer, L, Kolesnikov, A, An image is worth 16x16 words: transformers for image recognition at scale, , https://arxiv.org/abs/2010.11929, arXiv 2010.11929 [preprint] Posted October 22, 2020. Accessed June 3, 2022; Tan, M, Le, QV., (2019) EfficientNet: rethinking model scaling for convolutional neural networks, , https://arxiv.org/abs/1905.11946, arXiv.1905.11946 [preprint] Posted May 28, Accessed August 12, 2022; Ridnik, T, Ben-Baruch, E, Noy, A, Zelnik-Manor, L., ImageNet-21K pretraining for the masses, , https://arxiv.org/abs/2104.10972, arXiv.2104.10972 [preprint] Posted April 22, 2021. Accessed August 24, 2022; Virtanen, P, Gommers, R, Oliphant, TE, SciPy 1.0: fundamental algo-rithms for scientific computing in Python (2020) Nat Methods, 17 (3), pp. 261-272. , [Published correction Nat Methods 2020;17(3):352]; Kluge, R, Chavdarova, L, Hoffmann, M, Inter-reader reliability of early FDG-PET/CT response assessment using the Deauville scale after 2 cycles of intensive chemotherapy (OEPA) in Hodgkin’s lymphoma (2016) PLoS One, 11 (3), p. e0149072; Girum, KB, Rebaud, L, Cottereau, AS, 18F-FDG PET maximum-intensity projections and artificial intelligence: a win-win combination to easily measure prognostic biomarkers in DLBCL patients (2022) J Nucl Med, 63 (12), pp. 1925-1932</t>
  </si>
  <si>
    <t>Supported by GE HealthCare.</t>
  </si>
  <si>
    <t>GE Healthcare</t>
  </si>
  <si>
    <t>fluorodeoxyglucose f 18, 63503-12-8</t>
  </si>
  <si>
    <t>Huemann, Z., Department of Radiology, University of Wisconsin–Madison, 1111 Highland Ave, Madison, WI  53705, United States; Lee, C., Department of Radiology, University of Wisconsin–Madison, 1111 Highland Ave, Madison, WI  53705, United States; Hu, J., Department of Biostatistics, University of Wisconsin–Madison, 1111 Highland Ave, Madison, WI  53705, United States, Department of Computer Science, University of Wisconsin–Madison, 1111 Highland Ave, Madison, WI  53705, United States; Cho, S.Y., Department of Radiology, University of Wisconsin–Madison, 1111 Highland Ave, Madison, WI  53705, United States, University of Wisconsin Carbone Cancer Center, Madison, WI, United States; Bradshaw, T.J., Department of Radiology, University of Wisconsin–Madison, 1111 Highland Ave, Madison, WI  53705, United States</t>
  </si>
  <si>
    <t>Department of Radiology, University of Wisconsin–Madison, 1111 Highland Ave, Madison, WI  53705, United States; Department of Biostatistics, University of Wisconsin–Madison, 1111 Highland Ave, Madison, WI  53705, United States; Department of Computer Science, University of Wisconsin–Madison, 1111 Highland Ave, Madison, WI  53705, United States; University of Wisconsin Carbone Cancer Center, Madison, WI, United States</t>
  </si>
  <si>
    <t>58143960500;58146677700;56401281200;14014087600;55987286000;</t>
  </si>
  <si>
    <t>Huemann Z., Lee C., Hu J., Cho S.Y., Bradshaw T.J.</t>
  </si>
  <si>
    <t>12 November 2023 through 17 November 2023</t>
  </si>
  <si>
    <t>2023 International Conference on High Performance Computing, Network, Storage, and Analysis, SC Workshops 2023</t>
  </si>
  <si>
    <t>ACM's Special Interest Group on High Performance Computing (SIGHPC);Association for Computing Machinery;IEEE�s Technical Committee on High Performance Computing (TCHPC);Institute of Electrical and Electronics Engineers (IEEE) Computer Society</t>
  </si>
  <si>
    <t>Falcon-40B: An open large language model with state-of-the-art performance (2023) Technical Report; Abid, A., Abdalla, A., Abid, A., Khan, D., Alfozan, A., Zou, J., (2019) Gradio: Hassle-Free Sharing and Testing of ML Models in the Wild, , https://doi.org/10.48550/arXiv.1906.02569; (2023) Sol, , https://github.com/jackfrost1411/HUST23-SC23-LLMs, ASU. https: //github. com/jackfrost1411/HUST23-SC23-LLMs; Jennewein, D.M., Lee, J., Kurtz, C., Dizon, W., Shaeffer, I., Chapman, A., Chiquete, A., Yalim, J., The Sol Supercomputer at Arizona State University (2023) Practice and Experience in Advanced Research Computing (Portland, OR, USA) (PEARC '23), 6p. , https://doi.org/10.1145/3569951.3597573, Association for Computing Machinery, New York, NY, USA; Jumper, J.M., Evans, R., Pritzel, A., Green, T., Figurnov, M., Ronneberger, O., Tunyasuvunakool, K., Hassabis, D., Highly accurate protein structure prediction with AlphaFold (2021) Nature, 596, pp. 583-589. , 2021; Mahan, D., Carlow, R., Castricato, L., Cooper, N., Laforte, C., Stable Beluga models, , https://huggingface.co/stabilityai/StableBeluga2huggingface.co/stabilityai/StableBeluga2; (2023), https://github.com/mamba-org/mamba, Mamba Org. https: //github. com/mamba-org/mamba; (2023) Introducing MPT-30B: Raising the bar for open-source foundation models, , www.mosaicml.com/blog/mpt-30b, MosaicML NLP Team; Touvron, H., Martin, L., Stone, K., Albert, P., Almahairi, A., Babaei, Y., Bashlykov, N., Scialom, T., (2023) Llama 2: Open Foundation and Fine-Tuned Chat Models, , 2023 [cs. CL]</t>
  </si>
  <si>
    <t>Shah, D., Arizona State University, Tempe, AZ, United States; Speyer, G., Arizona State University, Tempe, AZ, United States; Yalim, J., Arizona State University, Tempe, AZ, United States</t>
  </si>
  <si>
    <t>58464986600;6603330539;57190670856;</t>
  </si>
  <si>
    <t>Shah D., Speyer G., Yalim J.</t>
  </si>
  <si>
    <t>2-s2.0-85158995373</t>
  </si>
  <si>
    <t>Eye</t>
  </si>
  <si>
    <t>EYEEE</t>
  </si>
  <si>
    <t>0950222X</t>
  </si>
  <si>
    <t>Springer Nature</t>
  </si>
  <si>
    <t>Tzoumas, N.; Sunderland Eye InfirmaryUnited Kingdom; email: nik.tzoumas@ncl.ac.uk</t>
  </si>
  <si>
    <t>Jiang, X., Xie, M., Ma, L., Dong, L., Li, D., International publication trends in the application of artificial intelligence in ophthalmology research: An updated bibliometric analysis (2023) Ann Transl Med, 11, p. 219. , PID: 37007552; Moor, M., Banerjee, O., Abad, Z.S.H., Krumholz, H.M., Leskovec, J., Topol, E.J., Foundation models for generalist medical artificial intelligence (2023) Nature, 616, pp. 259-265. , COI: 1:CAS:528:DC%2BB3sXns1yqu70%3D, PID: 37045921; https://openai.com/blog/chatgpt, Mar 13 version) [Large language model] Available at:, [Accessed April 13, 2023]; Available At, , https://bard.google.com/, [Accessed April 13, 2023]; Available At, , https://www.bing.com/new, [Accessed April 13, 2023]; Sallam, M., ChatGPT utility in healthcare education, research, and practice: Systematic review on the promising perspectives and valid concerns (2023) Healthc (Basel, Switz), 11, p. 887; Kung, T.H., Cheatham, M., Medenilla, A., Sillos, C., De Leon, L., Elepaño, C., Performance of ChatGPT on USMLE: Potential for AI-assisted medical education using large language models (2023) PLOS Digit Heal, 2; Part 1 FRCOphth Sample MCQs (2016) The Royal College of Ophthalmologists, , https://www.rcophth.ac.uk/wp-content/uploads/2022/01/Part-1-FRCOphth-Sample-MCQs.pdf, Available at, Accessed April 13, 2023; (2016) Part 2 Frcophth Written Sample Mcqs., , https://www.rcophth.ac.uk/wp-content/uploads/2022/01/Part-2-FRCOphth-Written-Sample-MCQs-20160524.pdf, Available at:, Accessed April 13, 2023]; Turner, M., Budzynski, D., Smith, B., (2020) Examination Report Part 1 Fellowship of the Royal College of Ophthalmologists (FRCOphth) Examination, , https://www.rcophth.ac.uk/wp-content/uploads/2021/12/Part-2-Written-Report-July-2021.pdf; Budzynski, D., Turnerexamination Report, M.B., (2021) And Part 2 Fellowship of the Royal College of Ophthalmologists (FRCOphth) written examination, , https://www.rcophth.ac.uk/wp-content/uploads/2020/10/Part-1-FRCOphth-Exam-Report_Jan2020.docx; Singhal, K., Azizi, S., Tu, T., Mahdavi, S.S., Wei, J., Chung, H.W., (2022) . Large Language Models Encode Clinical Knowledge., , https://arxiv.org/abs/2212.13138, Preprint at</t>
  </si>
  <si>
    <t>NT is supported by a National Institute for Health and Care Research (NIHR) Academic Clinical Fellowship (ACF-2021-01-008).</t>
  </si>
  <si>
    <t>National Institute for Health and Care Research, NIHR: ACF-2021-01-008</t>
  </si>
  <si>
    <t>accuracy; artificial intelligence; artificial intelligence chatbot; clinical decision making; clinical practice; comparative study; curriculum; deep learning; e-learning; human; large language model; medical education; medical examination; multiple choice test; Note; open access; ophthalmologist; ophthalmology; medical education; ophthalmology; Fellowships and Scholarships; Humans; Ophthalmologists; Ophthalmology</t>
  </si>
  <si>
    <t>Raimondi, R., Sunderland Eye Infirmary, Sunderland, United Kingdom; Tzoumas, N., Sunderland Eye Infirmary, Sunderland, United Kingdom, Biosciences Institute, Newcastle University, Newcastle upon Tyne, United Kingdom; Salisbury, T., Department of Ophthalmology, The James Cook University Hospital, Middlesbrough, United Kingdom; Di Simplicio, S., Newcastle Eye Centre, Royal Victoria Infirmary, Newcastle upon Tyne, United Kingdom; Romano, M.R., Department of Biomedical Science, Humanitas University, Milan, Italy; Bommireddy, T., Newcastle Eye Centre, Royal Victoria Infirmary, Newcastle upon Tyne, United Kingdom; Chawla, H., Newcastle Eye Centre, Royal Victoria Infirmary, Newcastle upon Tyne, United Kingdom; Chen, Y., Sunderland Eye Infirmary, Sunderland, United Kingdom; Connolly, S., Newcastle Eye Centre, Royal Victoria Infirmary, Newcastle upon Tyne, United Kingdom; El Omda, S., Biosciences Institute, Newcastle University, Newcastle upon Tyne, United Kingdom; Gough, M., Biosciences Institute, Newcastle University, Newcastle upon Tyne, United Kingdom; Kishikova, L., Newcastle Eye Centre, Royal Victoria Infirmary, Newcastle upon Tyne, United Kingdom; McNally, T., Newcastle Eye Centre, Royal Victoria Infirmary, Newcastle upon Tyne, United Kingdom; Sadiq, S.N., Sunderland Eye Infirmary, Sunderland, United Kingdom; Simpson, S., Cumberland Infirmary, Carlisle, United Kingdom; Teh, B.L., Newcastle Eye Centre, Royal Victoria Infirmary, Newcastle upon Tyne, United Kingdom; Toh, S., Biosciences Institute, Newcastle University, Newcastle upon Tyne, United Kingdom; Vohra, V., Sunderland Eye Infirmary, Sunderland, United Kingdom; Al-Zubaidy, M., Newcastle Eye Centre, Royal Victoria Infirmary, Newcastle upon Tyne, United Kingdom</t>
  </si>
  <si>
    <t>Sunderland Eye Infirmary, Sunderland, United Kingdom; Biosciences Institute, Newcastle University, Newcastle upon Tyne, United Kingdom; Department of Ophthalmology, The James Cook University Hospital, Middlesbrough, United Kingdom; Newcastle Eye Centre, Royal Victoria Infirmary, Newcastle upon Tyne, United Kingdom; Department of Biomedical Science, Humanitas University, Milan, Italy; Cumberland Infirmary, Carlisle, United Kingdom</t>
  </si>
  <si>
    <t>https://www.scopus.com/inward/record.uri?eid=2-s2.0-85158995373&amp;doi=10.1038%2fs41433-023-02563-3&amp;partnerID=40&amp;md5=ab44c906df2222bda0021cfb2acc08f9</t>
  </si>
  <si>
    <t>10.1038/s41433-023-02563-3</t>
  </si>
  <si>
    <t>Eye (Basingstoke)</t>
  </si>
  <si>
    <t>Comparative analysis of large language models in the Royal College of Ophthalmologists fellowship exams</t>
  </si>
  <si>
    <t>57216556710;57193318523;57873746900;14050900000;35249070500;57151239500;35884494800;57217492897;58243958800;58243468300;57193274722;36802169400;58244278300;57193267014;57915144100;57193337529;57219224342;56402998200;57210697357;</t>
  </si>
  <si>
    <t>Raimondi R., Tzoumas N., Salisbury T., Di Simplicio S., Romano M.R., Bommireddy T., Chawla H., Chen Y., Connolly S., El Omda S., Gough M., Kishikova L., McNally T., Sadiq S.N., Simpson S., Teh B.L., Toh S., Vohra V., Al-Zubaidy M.</t>
  </si>
  <si>
    <t>Calafato, R.; Department of Languages and Literature Studies, Grønland, Norway; email: Raees.Calafato@usn.no</t>
  </si>
  <si>
    <t>Adnan, M.A., Mohamad, S., Language learning strategies and self-efficacy belief in Arabic language learning: A Malaysian context (2011) ASEAN Journal of Teaching &amp; Learning in Higher Education, 3 (2), pp. 48-59; Alkhateeb, H.M., Reading anxiety, classroom anxiety, language motivation, reader self-perception, and Arabic achievement of Arab-American students learning Arabic as a second language (2014) Psychological Reports, 115 (3), pp. 918-931; Altschuler, G.C., Wippman, D., Remaining monolingual is a surefire way for America to fall behind (2022) The Hill, , https://thehill.com/opinion/education/3488666-remaining-monolingual-is-a-surefire-way-for-america-to-fall-behind/, Retrieved from; Bandura, A., Schunk, D.H., Cultivating competence, self-efficacy, and intrinsic interest through proximal self-motivation (1981) Journal of Personality and Social Psychology, 41 (3), pp. 586-598; Boo, Z., Dörnyei, Z., Ryan, S., L2 motivation research 2005–2014: Understanding a publication surge and a changing landscape (2015) System, 55, pp. 145-157; Calafato, R., Tang, F., The status of Arabic, superdiversity, and language learning motivation among non-Arab expats in the Gulf (2019) Lingua, 219, pp. 24-38. , &amp;; Calafato, R., Learning Arabic in Scandinavia: Motivation, metacognition, and autonomy (2020) Lingua, 246; Calafato, R., I'm a salesman and my client is China”: Language learning motivation, multicultural attitudes, and multilingualism among university students in Kazakhstan and Uzbekistan (2021) System, 103. , (, a; Calafato, R., I feel like it’s giving me a lot as a language teacher to be a learner myself”: Factors affecting the implementation of a multilingual pedagogy as reported by teachers of diverse languages (2021) Studies in Second Language Learning and Teaching, 11 (4), pp. 579-606. , (, b; Calafato, R., Multilingual teacher identity in the Emirates: Implications for language policy and education (2022) Linguistic Identities in the Arab Gulf States: Waves of Change, pp. 198-214. , S. Hopkyns &amp; W. Zoghbor, Routledge; Castro, E., Complex adaptive systems, language advising, and motivation: A longitudinal case study with a Brazilian student of English (2018) System, 74, pp. 138-148; (2020) Common European framework of reference for languages: Learning, teaching, assessment, , https://rm.coe.int/common-european-framework-of-reference-for-languages-learning-teaching/16809ea0d4, Council of Europe Publishing. Retrieved from; Csizér, K., Albert, Á., Piniel, K., The interrelationship of language learning autonomy, self-efficacy, motivation and emotions: The investigation of Hungarian secondary school students (2021) Investigating individual learner differences in second language learning, pp. 1-21. , Pawlak M, (ed), Springer; Dewaele, J.M., Proietti Ergün, A.L., How different are the relations between enjoyment, anxiety, attitudes/motivation and course marks in pupils’ Italian and English as foreign languages? (2020) Journal of the European Second Language Association, 4 (1), pp. 45-57; Eltahir, M., Alsalhi, N.R., Al Qatawneh, S., AlQudah, H.A., Jaradat, M., The impact of game-based learning (GBL) on students’ motivation, engagement and academic performance on an Arabic language grammar course in higher education (2021) Education and Information Technologies, 26 (3), pp. 3251-3278; Griffiths, C., (2013) The strategy factor in successful language learning, , Multilingual Matters; Griffiths, C., Language learning strategies: Is the baby still in the bathwater? (2020) Applied Linguistics, 41 (4), pp. 607-611; Henry, A., Davydenko, S., Dörnyei, Z., The anatomy of directed motivational currents: Exploring intense and enduring periods of L2 motivation (2015) The Modern Language Journal, 99 (2), pp. 329-345; Henry, A., Thorsen, C., The ideal multilingual self: Validity, influences on motivation, and role in a multilingual education (2018) International Journal of Multilingualism, 15 (4), pp. 349-364; Hiver, P., Al-Hoorie, A.H., Evans, R., Complex dynamic systems theory in language learning: A scoping review of 25 years of research (2021) Studies in Second Language Acquisition; Hsiao, T.Y., Oxford, R.L., Comparing theories of language learning strategies: A confirmatory factor analysis (2002) The Modern Language Journal, 86 (3), pp. 368-383; Husseinali, G., Who is studying Arabic and why? A survey of Arabic students’ orientations at a major university (2006) Foreign Language Annals, 39 (3), pp. 395-412; Jessner, U., A DST model of multilingualism and the role of metalinguistic awareness (2008) The Modern Language Journal, 92 (2), pp. 270-283; Lanvers, U., Contradictory others and the habitus of languages: Surveying the L2 motivation landscape in the United Kingdom (2017) The Modern Language Journal, 101 (3), pp. 517-532; Larsen-Freeman, D., Complex, dynamic systems: A new transdisciplinary theme for applied linguistics? (2012) Language Teaching, 45 (2), pp. 202-214; Li, J., Zheng, Y., Enacting multilingual entrepreneurship: an ethnography of Myanmar university students learning Chinese as an international language (2021) International Journal of Multilingualism; Mahmoodi, M.H., Yousefi, M., Second language motivation research 2010–2019: A synthetic exploration (2022) The Language Learning Journal, 50 (3), pp. 273-296; Nitta, R., Understanding motivational evolution in the EFL classroom: A longitudinal study from a dynamic systems perspective (2013) Language learning motivation in Japan, pp. 268-290. , Apple MT, Silva DD, Fellner T, (eds), Multilingual Matters; O'Malley, J.M., Chamot, A.U., Stewner-Manzanares, G., Kupper, L., Russo, R.P., Learning strategies used by beginning and intermediate ESL students (1985) Language Learning, 35 (1), pp. 21-46; Oxford, R., (1990) Language learning strategies: What every teacher should know, , Heinle &amp; Heinle; Oxford, R., (2011) Teaching and researching language learning strategies, , Pearson Education; Oxford, R., Crookall, D., Research on language learning strategies: Methods, findings, and instructional issues (1989) The Modern Language Journal, 73 (4), pp. 404-419; Papi, M., Hiver, P., Language learning motivation as a complex dynamic system: A global perspective of truth, control, and value (2020) The Modern Language Journal, 104 (1), pp. 209-232; Pekrun, R., The control-value theory of achievement emotions: Assumptions, corollaries, and implications for educational research and practice (2006) Educational Psychology Review, 18 (4), pp. 315-341; Piniel, K., Csizér, K., Changes in motivation, anxiety and self-efficacy during the course of an academic seminar (2015) Motivational dynamics in language learning, pp. 164-194. , Dörnyei Z, Maclntyre P, Henry A, (eds), Multilingual Matters; Ramirez-Arellano, A., Acosta-Gonzaga, E., Bory-Reyes, J., Hernández-Simón, L.M., Factors affecting student learning performance: A causal model in higher blended education (2018) Journal of Computer Assisted Learning, 34 (6), pp. 807-815; Reeve, J., Lee, W., A neuroscientific perspective on basic psychological needs (2019) Journal of Personality, 87 (1), pp. 102-114; Ringbom, H., (2007) Cross-linguistic similarity in foreign language learning, , Multilingual Matters; Roberts, J., Martin, M., GCSEs: Modern foreign languages in ‘vicious circle’ of decline (2022) Times Educational Supplement, , https://www.tes.com/magazine/news/secondary/gcses-modern-foreign-languages-vicious-circle-decline, Retrieved from; Schmidt, R., Watanabe, Y., Motivation, strategy use and pedagogical preferences (2001) Motivation and second language acquisition, pp. 313-352. , Dörnyei Z, Schmidt R, (eds), University of Hawaii; Tai, K.W.H., Zhao, Y.V., Success factors for English as a second language university students’ attainment in academic English language proficiency: Exploring the roles of secondary school medium-of-instruction, motivation and language learning strategies (2022) Applied Linguistics Review; Tang, F., Calafato, R., Multilingual, bilingual, and monolingual Arabic teachers’ development of learner self‐regulation and language awareness in the Emirates (2021) Foreign Language Annals, 54 (1), pp. 233-254. , &amp;; Teng, M.F., Wang, C., Wu, J.G., Metacognitive Strategies, Language Learning motivation, self-efficacy belief, and English achievement during remote learning: A structural equation modelling approach (2021) RELC Journal; Ushioda, E., A person-in-context relational view of emergent motivation, self and identity (2009) Motivation, language identity and the L2 self, pp. 215-228. , Dörnyei Z, Ushioda E, (eds), Multilingual Matters; Ushioda, E., (2020) Language learning motivation, , Oxford University Press; Valsiner, J., (2007) Culture in minds and societies, , Sage; Verspoor, M., de Bot, K., Lowie, W., (2011) A dynamic approach to second language development: Methods and techniques, , (eds), John Benjamins; Wang, T., Liu, Y., Dynamic L3 selves: A longitudinal study of five university L3 learners’ motivational trajectories in China (2020) The Language Learning Journal, 48 (2), pp. 201-212; Woodrow, L., The challenge of measuring language learning strategies (2005) Foreign Language Annals, 38 (1), pp. 90-98; Yaghoubinejad, H., Zarrinabadi, N., Ketabi, S., Fluctuations in foreign language motivation: An investigation into Iranian learners’ motivational change over time (2017) Current Psychology, 36 (4), pp. 781-790; Yang, G., Badri, M., Al Rashedi, A., Almazroui, K., The role of reading motivation, self-efficacy, and home influence in students’ literacy achievement: A preliminary examination of fourth graders in Abu Dhabi (2018) Large-Scale Assessments in Education, 6, p. 10; Yang, N.D., The relationship between EFL learners' beliefs and learning strategy use (1999) System, 27 (4), pp. 515-535; Yashima, T., Arano, K., Understanding EFL learners’ motivational dynamics: A three-level model from a dynamic systems and sociocultural perspective (2015) Motivational dynamics in language learning, pp. 285-314. , Dörnyei Z, MacIntyre PD, Henry A, (eds), Multilingual Matters; Yu, B., The predicting roles of approaches to learning, L2 learning motivation, L2 learning strategies and L2 proficiency for learning outcomes: A comparison between Mainland and Hong Kong Chinese students (2019) Educational Studies, 45 (4), pp. 520-532; Yusri, G., Rahimi, N.M., Shah, P.M., Wah, W.H., Cognitive and metacognitive learning strategies among Arabic language students (2013) Interactive Learning Environments, 21 (3), pp. 290-300; Zhang, L.J., Xiao, Y., Language learning strategies, motivation and EFL proficiency: A study of Chinese tertiary-level non-English majors (2006) Asian Englishes, 9 (2), pp. 20-47; Zheng, Y., Lu, X., Ren, W., Profiling Chinese university students’ motivation to learn multiple languages (2019) Journal of Multilingual and Multicultural Development, 40 (7), pp. 590-604</t>
  </si>
  <si>
    <t>Calafato, R., Department of Languages and Literature Studies, Faculty of Humanities, Sports, and Educational Science, University of South-Eastern Norway, Grønland, Drammen, 58 3045, Norway</t>
  </si>
  <si>
    <t>Rahwan, T.; Division of Science, United Arab Emirates; email: talal.rahwan@nyu.edu
Zaki, Y.; Division of Science, United Arab Emirates; email: yasir.zaki@nyu.edu</t>
  </si>
  <si>
    <t>Larsen, B., Generative, A.I., A Game-Changer Society Needs to Be Ready For, , https://www.weforum.org/agenda/2023/01/davos23-generative-ai-a-game-changer-industries-and-society-code-developers/; Ramesh, A., Dhariwal, P., Nichol, A., Chu, C., Chen, M., (2022) Hierarchical Text-Conditional Image Generation with Clip Latents; Mostaque, E., (2022) Stable Diffusion Public Release, , https://stability.ai/blog/stable-diffusion-public-release; Music, A., AI Music Composition Tools for Content Creators, , https://www.ampermusic.com/; Plaugic, L., (2017) Musician Taryn Southern on composing her new album entirely with AI, , https://www.theverge.com/2017/8/27/16197196/taryn-southern-album-artificial-intelligence-interview; Sample, I., (2023), https://www.theguardian.com/technology/2023/jan/13/chatgpt-explainer-what-can-artificial-intelligence-chatbot-do-ai, ChatGPT: What can the extraordinary artificial intelligence chatbot do?; Watkins, M.D., (2022) ’A Revolution in productivity’: What Chatgpt Could Mean for Business, , https://www.imd.org/ibyimd/technology/a-revolution-in-productivity-what-chatgpt-could-mean-for-business/; Mollman, S., (2022), https://finance.yahoo.com/news/chatgpt-gained-1-million-followers-224523258.html, ChatGPT gained 1 million users in under a week. Here’s why the AI chatbot is primed to disrupt search as we know it; Vincent, J., (2022) The scary truth about AI copyright is nobody knows what will happen next, , https://www.theverge.com/23444685/generative-ai-copyright-infringement-legal-fair-use-training-data; Vincent, J., (2023) AI art tools Stable Diffusion and Midjourney targeted with copyright lawsuit, , https://www.theverge.com/2023/1/16/23557098/generative-ai-art-copyright-legal-lawsuit-stable-diffusion-midjourney-deviantart; Korn, J., (2023) Getty Images suing the makers of popular AI art tool for allegedly stealing photos, , https://edition.cnn.com/2023/01/17/tech/getty-images-stability-ai-lawsuit/index.html; Shen-Berro, J., (2023) New York City Schools Blocked Chatgpt. Here’s What Other Large Districts are Doing, , https://www.chalkbeat.org/2023/1/6/23543039/chatgpt-school-districts-ban-block-artificial-intelligence-open-ai; Cassidy, C., (2023) Australian Universities to Return to ‘pen and paper’ Exams after Students Caught Using AI to Write Essays, , https://www.theguardian.com/australia-news/2023/jan/10/universities-to-return-to-pen-and-paper-exams-after-students-caught-using-ai-to-write-essays; Huang, K., (2023) Alarmed by A.I. Chatbots, Universities Start Revamping How they Teach, , https://www.nytimes.com/2023/01/16/technology/chatgpt-artificial-intelligence-universities.html; Vincent, J., (2023) Top AI Conference Bans Use of Chatgpt and AI Language Tools to Write Academic Papers, , https://www.theverge.com/2023/1/5/23540291/chatgpt-ai-writing-tool-banned-writing-academic-icml-paper; (2023) Tools such as ChatGPT threaten transparent science; here are our ground rules for their use, , https://www.nature.com/articles/d41586-023-00191-1; Else, H., Abstracts written by ChatGPT fool scientists (2023) Nature, 613, p. 423. , COI: 1:CAS:528:DC%2BB3sXhslKlsL4%3D, PID: 36635510; Lipman, J., Distler, R., (2023) Schools shouldn’t Ban Access to Chatgpt, , https://time.com/6246574/schools-shouldnt-ban-access-to-chatgpt/; Roose, K., (2023) Don’t Ban Chatgpt in Schools. Teach with It, , https://www.nytimes.com/2023/01/12/technology/chatgpt-schools-teachers.html; Gilson, A.E.A., How well does ChatGPT do when taking the medical licensing exams? (2022) The Implications of Large Language Models for Medical Education and Knowledge Assessment. Medrxiv, pp. 2022-2112; Kung, T.H., Performance of ChatGPT on USMLE: Potential for AI-assisted medical education using large language models (2023) PLoS Digital Health, 2. , PID: 36812645; Sallam, M., ChatGPT utility in healthcare education, research, and practice: systematic review on the promising perspectives and valid concerns (2023) Healthcare, 11, p. 887. , PID: 36981544; Fijačko, N., Gosak, L., Štiglic, G., Picard, C.T., Douma, M.J., Can ChatGPT pass the life support exams without entering the American heart association course? (2023) Resuscitation, 185; Ibrahim, H., Asim, R., Zaffar, F., Rahwan, T., Zaki, Y., Rethinking homework in the age of artificial intelligence (2023) IEEE Intell. Syst., 38, pp. 24-27; Macneil, S., Generating diverse code explanations using the GPT-3 large language model (2022) Proceedings of the 2022 ACM Conference on International Computing Education Research, pp. 37-39; Qureshi, B., (2023) . Exploring the use of chatgpt as a tool for learning and assessment in undergraduate computer science curriculum: Opportunities and challenges, , . arXiv preprint arXiv:2304.11214; Choi, J.H., Hickman, K.E., Monahan, A., Schwarcz, D., (2023) ChatGPT goes to law school, , Available at SSRN; Hargreaves, S., (2023) ‘Words Are Flowing Out Like Endless Rain Into a Paper Cup’: ChatGPT &amp; Law School Assessments, , . The Chinese University of Hong Kong Faculty of Law Research Paper; Cribben, I., Zeinali, Y., The benefits and limitations of ChatGPT in business education and research: A focus on management science, operations management and data analytics (2023) Operations Management and Data Analytics (March, 29, p. 2023; Pavlik, J.V., Collaborating with ChatGPT: Considering the implications of generative artificial intelligence for journalism and media education (2023) J. Mass Commun. Educat., 78, pp. 84-93; Ji, H., Han, I., Ko, Y., A systematic review of conversational AI in language education: Focusing on the collaboration with human teachers (2023) J. Res. Technol. Educ., 55, pp. 48-63; Hong, W.C.H., The impact of ChatGPT on foreign language teaching and learning: Opportunities in education and research (2023) J. Educat. Technol. Innovat., 5; Pursnani, V., Sermet, Y., Demir, I., (2023) Performance of ChatGPT on the US fundamentals of engineering exam: Comprehensive assessment of proficiency and potential implications for professional environmental engineering practice; Krathwohl, D.R., A revision of Bloom’s taxonomy: An overview (2002) Theory Pract., 41, pp. 212-218; https://gptzero.me/, GPTZero: Humans deserve the truth, Accessed: 2023-02-03; https://platform.openai.com/ai-text-classifier, OpenAI; https://quillbot.com/, QuillBot’s AI-powered paraphrasing tool will enhance your writing, Accessed: 2023-02-03; Wilson, L.O., (2016) Anderson and Krathwohl Bloom’s Taxonomy Revised Understanding the New Version of Bloom’s Taxonomy, pp. 1-8. , The Second Principle; Harding, T.S., Passow, H.J., Carpenter, D.D., Finelli, C.J., An examination of the relationship between academic dishonesty and professional behavior (2003) 33Rd Annual Frontiers in Education, 2003, 3, pp. S2A-6. , FIE 2003, IEEE; Nonis, S., Swift, C.O., An examination of the relationship between academic dishonesty and workplace dishonesty: A multicampus investigation (2001) J. Educ. Bus., 77, pp. 69-77; Cialdini, R.B., Reno, R.R., Kallgren, C.A., A focus theory of normative conduct: Recycling the concept of norms to reduce littering in public places (1990) J. Pers. Soc. Psychol., 58, p. 1015; Bicchieri, C., Norms, preferences, and conditional behavior (2010) Polit. Philos. Econ., 9, pp. 297-313; Bicchieri, C., (2005) The grammar of society: The nature and dynamics of social norms, , Cambridge University Press, Cambridge; Schwartz, E.H., (2022) Chatgpt Banned on Chinese Social Media App Wechat, , https://voicebot.ai/2022/12/28/chatgpt-banned-on-chinese-social-media-app-wechat/; Johnson, D.D., Johnson, B., Farenga, S.J., Ness, D., (2008) Stop High-Stakes Testing: An Appeal to America’s Conscience, , Rowman &amp; Littlefield; Kittelsen Røberg, K.I., Helland, H., Do grades in higher education matter for labour market rewards? A multilevel analysis of all Norwegian graduates in the period 1990–2006 (2017) J. Educ. Work, 30, pp. 383-402; (2023), https://bard.google.com/; (2023) Huggingface (, , https://huggingface.co/chat/; (2023), https://www.deepmind.com/blog/building-safer-dialogue-agents, DeepMind (,); (2023), https://falconllm.tii.ae/, TII; (2023), https://openai.com/research/gpt-4, OpenAI; Lo, C.K., What is the impact of ChatGPT on education? A rapid review of the literature (2023) Educat. Sci., 13, p. 410; Mollick, E.R., Mollick, L., New modes of learning enabled by ai chatbots: Three methods and assignments (2022) Available at SSRN; Mollick, E., Mollick, L., (2023) Assigning AI: Seven Approaches for Students, with Prompts. Arxiv Preprint Arxiv, 2306, p. 10052; Mollick, E.R., Mollick, L., Using AI to implement effective teaching strategies in classrooms: Five strategies, including prompts (2023) Including Prompts (March 17, 2023); Bentley, F.R., Daskalova, N., White, B., Comparing the reliability of Amazon Mechanical Turk and Survey Monkey to traditional market research surveys (2017) In Conf. Hum. Factors Comput. Syst. - Proc., pp. 1092-1099; Mielke, J., Vermaßen, H., Ellenbeck, S., Ideals, practices, and future prospects of stakeholder involvement in sustainability science (2017) Proc. Natl. Acad. Sci. U.S.A., 114, pp. E10648-E10657. , COI: 1:CAS:528:DC%2BC2sXhvVegur%2FO, PID: 29162698; Parsa, S., Obstacles to integrated pest management adoption in developing countries (2014) Proc. Natl. Acad. Sci. U.S.A., 111, pp. 3889-3894. , COI: 1:CAS:528:DC%2BC2cXjtl2isbo%3D, PID: 24567400; Evans, R.R., Developing valid and reliable online survey instruments using commercial software programs (2009) J. Consum. Health Internet, 13, pp. 42-52; Péloquin, K., Lafontaine, M.-F., Measuring empathy in couples: Validity and reliability of the interpersonal reactivity index for couples (2010) J. Pers. Assess., 92, pp. 146-157. , PID: 20155564; Bicchieri, C., (2016) Norms in the Wild, , Oxford University Press, Oxford</t>
  </si>
  <si>
    <t>article; artificial intelligence; classifier; consensus; controlled study; human; human experiment; perception; plagiarism; interpersonal communication; perception; school; university; Artificial Intelligence; Communication; Humans; Perception; Schools; Universities</t>
  </si>
  <si>
    <t>Ibrahim, H., Division of Science, New York University Abu Dhabi, Abu Dhabi, United Arab Emirates; Liu, F., Division of Science, New York University Abu Dhabi, Abu Dhabi, United Arab Emirates; Asim, R., Division of Science, New York University Abu Dhabi, Abu Dhabi, United Arab Emirates; Battu, B., Division of Science, New York University Abu Dhabi, Abu Dhabi, United Arab Emirates; Benabderrahmane, S., Division of Science, New York University Abu Dhabi, Abu Dhabi, United Arab Emirates; Alhafni, B., Division of Science, New York University Abu Dhabi, Abu Dhabi, United Arab Emirates; Adnan, W., Division of Social Science, New York University Abu Dhabi, Abu Dhabi, United Arab Emirates; Alhanai, T., Division of Engineering, New York University Abu Dhabi, Abu Dhabi, United Arab Emirates; AlShebli, B., Division of Social Science, New York University Abu Dhabi, Abu Dhabi, United Arab Emirates; Baghdadi, R., Division of Science, New York University Abu Dhabi, Abu Dhabi, United Arab Emirates; Bélanger, J.J., Division of Science, New York University Abu Dhabi, Abu Dhabi, United Arab Emirates; Beretta, E., Division of Science, New York University Abu Dhabi, Abu Dhabi, United Arab Emirates; Celik, K., Division of Engineering, New York University Abu Dhabi, Abu Dhabi, United Arab Emirates; Chaqfeh, M., Division of Science, New York University Abu Dhabi, Abu Dhabi, United Arab Emirates; Daqaq, M.F., Division of Engineering, New York University Abu Dhabi, Abu Dhabi, United Arab Emirates; Bernoussi, Z.E., Division of Social Science, New York University Abu Dhabi, Abu Dhabi, United Arab Emirates; Fougnie, D., Division of Science, New York University Abu Dhabi, Abu Dhabi, United Arab Emirates; Garcia de Soto, B., Division of Engineering, New York University Abu Dhabi, Abu Dhabi, United Arab Emirates; Gandolfi, A., Division of Science, New York University Abu Dhabi, Abu Dhabi, United Arab Emirates; Gyorgy, A., Division of Engineering, New York University Abu Dhabi, Abu Dhabi, United Arab Emirates; Habash, N., Division of Science, New York University Abu Dhabi, Abu Dhabi, United Arab Emirates; Harris, J.A., Division of Social Science, New York University Abu Dhabi, Abu Dhabi, United Arab Emirates; Kaufman, A., Division of Social Science, New York University Abu Dhabi, Abu Dhabi, United Arab Emirates; Kirousis, L., Division of Science, New York University Abu Dhabi, Abu Dhabi, United Arab Emirates; Kocak, K., Division of Social Science, New York University Abu Dhabi, Abu Dhabi, United Arab Emirates; Lee, K., Division of Social Science, New York University Abu Dhabi, Abu Dhabi, United Arab Emirates; Lee, S.S., Division of Social Science, New York University Abu Dhabi, Abu Dhabi, United Arab Emirates; Malik, S., Division of Social Science, New York University Abu Dhabi, Abu Dhabi, United Arab Emirates; Maniatakos, M., Division of Engineering, New York University Abu Dhabi, Abu Dhabi, United Arab Emirates; Melcher, D., Division of Science, New York University Abu Dhabi, Abu Dhabi, United Arab Emirates; Mourad, A., Division of Science, New York University Abu Dhabi, Abu Dhabi, United Arab Emirates; Park, M., Division of Social Science, New York University Abu Dhabi, Abu Dhabi, United Arab Emirates; Rasras, M., Division of Engineering, New York University Abu Dhabi, Abu Dhabi, United Arab Emirates; Reuben, A., Division of Social Science, New York University Abu Dhabi, Abu Dhabi, United Arab Emirates; Zantout, D., Division of Social Science, New York University Abu Dhabi, Abu Dhabi, United Arab Emirates; Gleason, N.W., Division of Social Science, New York University Abu Dhabi, Abu Dhabi, United Arab Emirates; Makovi, K., Division of Social Science, New York University Abu Dhabi, Abu Dhabi, United Arab Emirates; Rahwan, T., Division of Science, New York University Abu Dhabi, Abu Dhabi, United Arab Emirates; Zaki, Y., Division of Science, New York University Abu Dhabi, Abu Dhabi, United Arab Emirates</t>
  </si>
  <si>
    <t>58159143100;58065389600;57873139600;23134308000;36717391200;57219545882;56596515800;36162805500;14028095000;26422017200;55184651600;7006247555;55956733500;36195637700;6507760023;58315897300;11142067700;57219474603;16419630300;57189179404;6602991728;57218123971;56567442600;7003722524;57204896528;56047364600;58126665000;56289157100;25028012800;55044707800;9275987400;55634650800;6701777382;56673855300;57057817300;57204069130;55252846700;10239828100;25925596000;</t>
  </si>
  <si>
    <t>Ibrahim H., Liu F., Asim R., Battu B., Benabderrahmane S., Alhafni B., Adnan W., Alhanai T., AlShebli B., Baghdadi R., Bélanger J.J., Beretta E., Celik K., Chaqfeh M., Daqaq M.F., Bernoussi Z.E., Fougnie D., Garcia de Soto B., Gandolfi A., Gyorgy A., Habash N., Harris J.A., Kaufman A., Kirousis L., Kocak K., Lee K., Lee S.S., Malik S., Maniatakos M., Melcher D., Mourad A., Park M., Rasras M., Reuben A., Zantout D., Gleason N.W., Makovi K., Rahwan T., Zaki Y.</t>
  </si>
  <si>
    <t>Escalante, J.; Faculty of Education and Social Work, 55-220 Kulanui Street, United States; email: Juan.escalante@byuh.edu</t>
  </si>
  <si>
    <t>Abd-Elaal, E.-S., Gamage, S., Mills, J., Assisting academics to identify computer generated writing (2022) European Journal of Engineering Education; (2023) Gpt-4: A review on advancements and opportunities in natural language processing, , https://doi.org/10.48550/arXiv.2305.03195, [preprint in arXiv]; Behizadeh, N., Engelhard, G., Jr., Historical view of the influences of measurement and writing theories on the practice of writing assessment in the United States (2011) Assessing Writing, 16 (3), pp. 189-211; Chiu, T.K.F., Xia, Q., Zhou, X., Chai, C.S., Cheng, M., Systematic literature review on opportunities, challenges, and future research recommendations of artificial intelligence in education (2023) Computers and Education Artificial Intelligence; Dai, W., Lin, J., Jin, F., Li, T., Tsai, Y.-S., Gašević, D., Chen, G., Can large language models provide feedback to student? (2023) A Case Study on Chatgpt, , https://doi.org/10.35542/osf.io/hcgzj, Preprint from EdArXiv]; Davis, F.D., Perceived usefulness, perceived ease of use, and user acceptance of information technology (1989) MIS Quarterly, pp. 319-340; Derner, E., Batistič, K., (2023) Beyond the safeguards: Exploring the security risks of ChatGPT. [preprint in arXiv], , https://doi.org/10.48550/arXiv.2305.08005; Elkins, K., Chun, J., Can GPT-3 pass a writer’s Turing Test (2020) Journal of Cultural Analytics.; Elliot, N., Klobucar, A., Automated essay evaluation and the teaching of writing (2013), D. Shermis, J. Burstein, Routledge; Farrokhnia, M., Banihashem, S.K., Norooz, O., Wals, A., A SWOT analysis of ChatGPT: Implications for educational practice and research (2023) Innovations in Education and Teaching International; Fitria, T.N., Grammarly as AI-powered English writing asssistant: Students' alternative for writing English (2019) Metathesis, 5 (1), pp. 65-78; Florio, S., Clark, C.M., The functions of writing in an elementary classroom (1982) Research in the Teaching of English, 16 (2), pp. 115-130; Fütterer, T., Fischer, C., Alekseeva, A., Chen, X., Tate, T., Warschauer, M., Gerjets, P., ChatGPT in education: Global reactions to AI innovations (2023) Research Square.; Godwin-Jones, R., Partnering with AI: Intelligent writing assistance and instructed language learning (2022) Language Learning Technology, 26 (2), pp. 5-24; Grove, W.M., Zald, D.H., Lebow, B.S., Snitz, B.E., Nelson, C., Clinical versus mechanical prediction: A meta-analysis (2000) Psychological Assessment; Herbold, S., Hautli-Janisz, A., Heuer, U., Kikteva, Z., Trautsch, A., (2023) AI, write an essay for me: A large-scale comparison of human-written versus ChatGPT-generated essays. [preprint in ArXiv], , https://doi.org/10.48550/arXiv.2304.14276; Huawei, S., Aryadoust, V., A systematic review of automated writing evaluation systems (2023) Education and Information Technologies, 28, pp. 771-795; Ingley, S.J., Pack, A., Leveraging AI tools to develop the writer rather than the writing (2019) Trends in Ecology Evolution, 38 (9), pp. 785-787; John-Steiner, V., Mahn, H., Sociocultural approaches to learning and development: A Vygotskian framework (1996) Educational Psychologist, 31 (3-4), pp. 191-206; Koltovskaia, S., Student engagement with automated written corrective feedback (AWCF) provided by Grammarly: A multiple case study (2020) Assessing Writing; Krashen, S.D., (1982) Principles and practice in second language acquisition, , Pergamon Press Inc; Krishna, K., Song, Y., Karpinska, M., Wieting, J., Iyyer, M., (2023) Paraphrasing evades detectors of AI-generated text, but retrieval is an effective defense. [preprint in ArXiv], , https://doi.org/10.48550/arXiv.2303.13408; Kumar, R., Faculty members’ use of artificial intelligence to grade student papers: A case of implications (2023) International Journal for Educational Integrity; Lampropoulos, G., Ferdig, R.E., Kaplan-Rakowski, R., A social media data analysis of general and educational use of ChatGPT: Understanding emotional educators (2023) SSRN; Leike, J., Sutskever, I., Introducing superalignment (2023) Openai, , https://openai.com/blog/introducing-superalignment#fn-A; Mizumoto, A., Eguchi, M., Exploring the potential of using an AI language model for automated essay scoring (2023) Research Methods in Applied Linguistics; (2023) GPT-4 System Card, , https://cdn.openai.com/papers/gpt-4-system-card.pdf; (2023) GPT-4 Technical Report, , https://cdn.openai.com/papers/gpt-4.pdf; Roscoe, R.D., Wilson, J., Johnson, A.C., Mayra, C.R., Presentation, expectations, and experience: Sources of student perceptions of automated writing evaluation (2017) Computers in Human Behavior, 70, pp. 207-221; Shermis, M.D., Burstein, J., Bursky, S.A., Introduction to automated essay evaluation (2013) The handbook of automated essay evaluation: Current applications and new directions, , Shermis MD, Burstein J, (eds), Routledge; Strobelt, H., Webson, A., Sanh, V., Hoover, B., Beyer, J., Pfister, H., Rush, A.M., Interactive and visual prompt engineering for ad-hoc task adaption with large language models (2023) IEEE Transactions on Visualization and Computer Graphics, 29 (1), pp. 1146-1156; Suleyman, M., My new Turing test would see if AI can make $1 million (2023) MIT Technology Review, , https://www.technologyreview.com/2023/07/14/1076296/mustafa-suleyman-my-new-turing-test-would-see-if-ai-can-make-1-million/; Sullivan, M., Kelly, A., McLaughlan, P., ChatGPT in higher education: Considerations for academic integrity and student learning (2023) Journal of Applied Learning &amp; Teaching.; Tate, T.P., Doroudi, S., Ritchie, D., Xu, Y., Uci, M.W., (2023) Educational research and AI-generated writing: Confronting the coming Tsunami, , https://doi.org/10.35542/osf.io/4mec3, [preprint in EdArXiv]; Tseng, W., Warschauer, M., AI-writing tools in education: If you can’t beat them, join them (2023) Journal of China Computer-Assisted Language Learning; Urlaub, P., Dessein, E., From disrupted classrooms to human-machine collaboration? The pocket calculator, Google Translate, and the future of language education (2022) L2 Journal, 14 (1), pp. 45-59; Weigle, S.C., English as a second language writing and automated essay evaluation (2013) The handbook of automated essay evaluation: Current applications and new directions, , Shermis MD, Burstein J, (eds), Routledge; Yang, M., New York City schools ban AI chatbot that writes essays and answers prompts (2023) The Guardian, , https://www.theguardian.com/us-news/2023/jan/06/new-york-city-schools-ban-ai-chatbot-chatgpt; Yeo, M.A., Academic integrity in the age of artificial intelligence (AI) authoring apps (2023) TESOL Journal; Zhou, Y., Muresanu, A.I., Han, Z., Paster, K., Pitis, S., Chan, H., Ba, J., Large language models are human-level prompt engineers (2023) International Conference on Learning Representations, p. 2023; Zhu, C., Sun, M., Luo, J., Li, T., Wang, M., How to harness the potential of ChatGPT in education? (2023) Knowledge Management &amp; E-Learning, 15 (2), pp. 133-152. , https://doi.org/10.34105/j.kmel.2023.15.008</t>
  </si>
  <si>
    <t>Escalante, J., Faculty of Education and Social Work, Brigham Young University-Hawaii, 55-220 Kulanui Street, Laie, HI  96762, United States; Pack, A., Faculty of Education and Social Work, Brigham Young University-Hawaii, 55-220 Kulanui Street, Laie, HI  96762, United States; Barrett, A., College of Education, Florida State University, Stone Building, 114 West Call Street, Tallahassee, FL  32306, United States</t>
  </si>
  <si>
    <t>Faculty of Education and Social Work, Brigham Young University-Hawaii, 55-220 Kulanui Street, Laie, HI  96762, United States; College of Education, Florida State University, Stone Building, 114 West Call Street, Tallahassee, FL  32306, United States</t>
  </si>
  <si>
    <t>58563333800;57215049333;57215046629;</t>
  </si>
  <si>
    <t>Escalante J., Pack A., Barrett A.</t>
  </si>
  <si>
    <t>Barrett, A.; College of Education, Stone Building, 114 West Call Street, United States; email: abarrett3@fsu.edu</t>
  </si>
  <si>
    <t>Carlson, M., Pack, A., Escalante, J., Utilizing OpenAI’s GPT-4 for written feedback (2023) TESOL Journal; Baker, R.S., Hawn, A., Algorithmic bias in education (2021) International Journal of Artificial Intelligence in Education, 32, pp. 1052-1092; Bland, J., Altman, D., Statistics notes: Cronbach's alpha (1997) BMJ, 314, p. 275; Bonner, E., Lege, R., Frazier, E., Large language model-based artificial intelligence in the language classroom: Practical ideas for teaching (2023) Teaching English with Technology, 23 (1), pp. 23-41; Bridgeman, B., Trapani, C., Attali, Y., Comparison of human and machine scoring of essays: Differences by gender, ethnicity, and country (2012) Applied Measurement in Education, 25 (1), pp. 27-40; Chan, C.Y.K., (2023) A comprehensive AI policy education framework for university teaching and learning, , https://doi.org/10.48550/arXiv.2305.00280, [preprint in arXiv]; Chiu, T.K.F., Xia, Q., Zhou, X., Chai, C.S., Cheng, M., Systematic literature review on opportunities, challenges, and future research recommendations of artificial intelligence in education (2023) Computers and Education: Artificial Intelligence, 4; Chomsky, N., Linguistics and cognitive science: Problems and mysteries (1991) The Chomskyan Turn, pp. 26-53. , Aka Kasher, Blackwell; (2011) National Framework for success in postsecondary writing. Council of Writing Program Administrators, the National Council of Teachers of English, and the National Writing Project, , http://wpacouncil.org/files/framework-for-success-postsecondarywriting.pdf; Dehouche, N., Plagiarism in the age of massive generative pre-trained transformers (GPT-3) (2021) Ethics in Science and Environmental Politics, 21, pp. 17-23; Ely, J.J., Henderson, L., Wachsman, Y., Testing the effectiveness of the university honor code (2013) Academy of Educational Leadership Journal, 17 (4), pp. 95-104; Evering, L.C., Moorman, G., Rethinking plagiarism in the digital age (2012) Journal of Adolescent &amp; Adult Literacy, 56 (1), pp. 35-44; Fan, N., Exploring the effects of automated written corrective feedback on EFL students’ writing quality: A mixed-methods study (2023) SAGE Open; Farrokhnia, M., Banihashem, S.K., Norooz, O.I., Wals, A., A SWOT analysis of ChatGPT: Implications for educational practice and research (2023) Innovations in Education and Teaching International; Fitria, T.N., Grammarly” as AI-powered English writing assistant: Students’ alternative for English writing (2021) Metathesis Journal of English Language LIterature and Teaching, 5 (1), pp. 65-78; Gardner, J., O’Leary, M., Yuan, L., Artificial intelligence in educational assessment: ‘Breakthrough? Or buncombe and ballyhoo?’ (2020) Journal of Computer Assisted Learning, 37, pp. 1207-1216; Godwin-Jones, R., Partnering with AI: Intelligent writing assistance and instructed language learning (2022) Language Learning &amp; Technology, 26 (2), pp. 5-24; Graham, M., De Sabbata, S., Zook, M.A., Towards a study of information geographies: (im)mutable augmentations and a mapping of the geographies of information (2015) Geography and Environment, 2 (1), pp. 88-105; Graham, S., Changing how writing is taught (2019) Review of Research in Education, 43 (1), pp. 277-303; Graham, S., Kiuhara, S.A., MacKay, M., The effects of writing on learning in science, social studies, and mathematics: A meta-analysis (2020) Review of Educational Research, 90 (2), pp. 179-226; Hockley, N., Automated writing evaluation (2018) ELT Journal, 73 (1), pp. 82-88; Hu, K., ChatGPT sets record for fastest-growing user base—Analyst note (2023) Reuters, , https://www.reuters.com/technology/chatgpt-sets-record-fastest-growing-user-base-analyst-note-2023-02-01/; Huawei, S., Aryadoust, V., A systematic review of automated writing evaluation systems (2023) Education and Information Technologies, 28, pp. 771-795; Ingley, S.J., Pack, A., Leveraging AI tools to develop the writer rather than the writing (2023) Trends in Ecology &amp; Evolution, 38 (9), pp. 785-787; Jackson, M.C., Artificial intelligence and algorithmic bias: The issue with technology reflecting history and humans (2021) Journal of Business &amp; Technology Law, 16 (2), pp. 299-316; Kasneci, E., Sessler, K., Kuchemann, S., Bannert, M., Dementieva, D., Fischer, F., Grasser, U., Kasneci, G., ChatGPT for good? On opportunity and challenges of large language models for education (2023) Learning and Individual Differences; Kaplan, A., Haenlein, M., Siri, Siri, in my hand: Who’s the fairest in the land? On the interpretations, illustrations, and implications of artificial intelligence (2018) Business Horizons, 62 (1), pp. 15-25; Konheim-Kalkstein, Y.L., Stellmack, M.A., Shilkey, M.L., Comparison of honor code and non-honor code classrooms at non-honor code university (2008) Journal of College and Character; Kumar, R., Faculty members’ use of artificial intelligence to grade student papers: a case of implications (2023) International Journal for Educational Integrity; Lampropoulos, G., Ferdig, R.E., Kaplan-Rakowski, R., A social media data analysis of general and educational use of ChatGPT: Understanding emotional educators (2023) SSRN; Lo, C.K., What is the impact of ChatGPT on Education? A rapid review of the literature (2023) Education Science; (2013) NCTE Position Statement on Machine Scoring, , https://ncte.org/statement/machine_scoring/; O’Neill, R., Russell, A., Stop! Grammar time: University students’ perceptions of the automated feedback program Grammarly (2019) Australasian Journal of Educational Technology, 35 (1), pp. 42-56; (2023) Terms of Use, , https://openai.com/policies/terms-of-use; Pack, A., Maloney, J., Using generative artificial intelligence for language education research: Insights from using OpenAI’s ChatGPT (2023) TESOL Quarterly; Pack, A., Maloney, J., Potential affordances of generative AI in language education: Demonstrations and an evaluative framework (2023) Teaching English with Technology, 23 (2), pp. 4-24; Pennycook, A., Borrowing others’ words: Text, ownership, memory, and plagiarism (1996) TESOL Quarterly, 30 (2), pp. 201-230; Sadeghi, R., The attitude of scholars has not changed towards plagiarism since the medieval period: Definition of plagiarism according to Shams-e-Qays, thirteenth-century Persian literary scientist (2019) Research Ethics, 15 (2), pp. 1-3; Seow, A., The writing process and process writing (2002) Methodology in language teaching: An anthology of current practice, pp. 315-320. , Richards JC, Renandya WA, (eds), Cambridge University Press; Sullivan, M., Kelly, A., McLaughlan, P., ChatGPT in higher education: Considerations for academic integrity and student learning (2023) Journal of Applied Learning &amp; Teaching.; Sutherland-Smith, W., Pandora’s box: Academic perceptions of student plagiarism in writing (2005) Journal of English for Academic Purposes, 4, pp. 83-95; Tatum, H.E., Honor codes and academic integrity: Three decades of research (2022) Journal of College and Character, 23 (1), pp. 32-47; Tseng, W., Warschauer, M., AI-writing tools in education: If you can’t beat them, join them (2023) Journal of China Computer-Assisted Language Learning; Urlaub, P., Dessein, E., From disrupted classrooms to human-machine collaboration? The pocket calculator, Google Translate, and the future of language education (2022) L2 Journal, 14 (1), pp. 45-59; Wang, Z., Han, F., The effects of teacher feedback and automated feedback on cognitive and psychological aspects of foreign language writing: A mixed-methods research (2022) Frontiers in Psychology; Weigle, S.C., English as a second language writing and automated essay evaluation (2013) The handbook of automated essay evaluation: Current applications and new directions, , Shermis MD, Burstein J, (eds), Routledge; Yang, M., New York City schools ban AI chatbot that writes essays and answers prompts (2023) The Guardian, , https://www.theguardian.com/us-news/2023/jan/06/new-york-city-schools-ban-ai-chatbot-chatgpt; Yeo, M.A., Academic integrity in the age of artificial intelligence (AI) authoring apps (2023) TESOL Journal; Yeo, S., First-year university science and engineering students’ understanding of plagiarism (2007) Higher Education Research &amp; Development, 26 (2), pp. 199-216; Yeo, S., Chien, R., Evaluation of a process and proforma for making consistent decisions about the seriousness of plagiarism incidents (2007) Quality in Higher Education, 13 (2), pp. 187-204; Yu, H., Guo, Y., Generative artificial intelligence empowers educational reform: Current status, issues, and prospects (2023) Frontiers in Education, 8, p. 1183162; Zhang, Z.V., Engaging with automated writing evaluation (AWE) feedback on L2 writing: Student perceptions and revisions (2020) Assessing Writing</t>
  </si>
  <si>
    <t>Barrett, A., College of Education, Florida State University, Stone Building, 114 West Call Street, Tallahassee, FL  32306, United States; Pack, A., Faculty of Education and Social Work, Brigham Young University-Hawaii, 55-220 Kulanui Street, Laie, HI  96762, United States</t>
  </si>
  <si>
    <t>College of Education, Florida State University, Stone Building, 114 West Call Street, Tallahassee, FL  32306, United States; Faculty of Education and Social Work, Brigham Young University-Hawaii, 55-220 Kulanui Street, Laie, HI  96762, United States</t>
  </si>
  <si>
    <t>57215046629;57215049333;</t>
  </si>
  <si>
    <t>Barrett A., Pack A.</t>
  </si>
  <si>
    <t>Wu, Y.; Department of Health Outcomes and Biomedical Informatics, United States; email: yonghui.wu@ufl.edu</t>
  </si>
  <si>
    <t>Introducing Chatgpt, , https://openai.com/blog/chatgpt; Lee, P., Bubeck, S., Petro, J., Benefits, limits, and risks of GPT-4 as an AI chatbot for medicine (2023) N. Engl. J. Med., 388, pp. 1233-1239. , PID: 36988602; Patel, S.B., Lam, K., ChatGPT: the future of discharge summaries? (2023) Lancet Digit Health, 5, pp. e107-e108. , COI: 1:CAS:528:DC%2BB3sXislyitLg%3D, PID: 36754724; Ali, S.R., Dobbs, T.D., Hutchings, H.A., Whitaker, I.S., Using ChatGPT to write patient clinic letters (2023) Lancet Digit Health, 5, pp. e179-e181. , COI: 1:CAS:528:DC%2BB3sXkslyru7o%3D, PID: 36894409; Hirosawa, T., Diagnostic accuracy of differential-diagnosis lists generated by generative pretrained transformer 3 chatbot for clinical vignettes with common chief complaints: a pilot study (2023) Int. J. Environ. Res. Public Health, 20, p. 3378; The Exciting Potential for ChatGPT in Obstetrics and Gynecology (2023) Am. J. Obstet. Gynecol., , https://doi.org/10.1016/j.ajog.2023.03.009; Cascella, M., Montomoli, J., Bellini, V., Bignami, E., Evaluating the feasibility of ChatGPT in healthcare: an analysis of multiple clinical and research scenarios (2023) J. Med. Syst., 47. , PID: 36869927; Azamfirei, R., Kudchadkar, S.R., Fackler, J., Large language models and the perils of their hallucinations (2023) Crit. Care, 27, p. 120. , PID: 36945051; Straw, I., Callison-Burch, C., Artificial Intelligence in mental health and the biases of language based models (2020) PLoS One, 15. , COI: 1:CAS:528:DC%2BB3cXis1yrsbfK, PID: 33332380; Li, H., Ethics of large language models in medicine and medical research (2023) . Lancet Digital Health, , https://doi.org/10.1016/S2589-7500(23)00083-3; Kojima, T., Gu, S.S., Reid, M., Matsuo, Y., Iwasawa, Y., Large Language Models are Zero-Shot Reasoners (2022) Adv. Neural Inf. Process. Syst, 35, pp. 22199-22213; Bommasani, R., (2021) On the Opportunities and Risks of Foundation Models. Arxiv Preprint Arxiv, 2108, p. 07258; Brown, T., Mann, B., Ryder, N., Language models are few-shot learners (2020) Adv. Neural Inf. Process. Syst., 33, pp. 1877-1901; Liu, P., Pre-train, prompt, and predict: a systematic survey of prompting methods in natural language processing (2023) ACM Comput. Surv., 55, pp. 1-35. , COI: 1:CAS:528:DC%2BB3sXit1eiu7%2FK; Yang, X., A large language model for electronic health records (2022) NPJ Digit. Med., 5, p. 194. , PID: 36572766; Gao, L., (2020) The Pile: An 800GB Dataset of Diverse Text for Language Modeling. Arxiv, 2101, p. 00027; Floridi, L., Chiriatti, M., GPT-3: its nature, scope, limits, and consequences (2020) Minds Mach., 30, pp. 681-694; Luo, R., (2022) BioGPT: Generative pre-trained transformer for biomedical text generation and mining. Brief. Bioinform, 23, p. bbac409; Devlin, J., Chang, M.-W., Lee, K., Toutanova, K., BERT: Pre-training of deep bidirectional transformers for language understanding (2019) In Proceedings of the 2019 Conference of the North American Chapter of the Association for Computational Linguistics: Human Language Technologies, 1 (Long and Short Papers), pp. 4171-4186. , https://doi.org/10.18653/v1/N19-1423, (Association for Computational Linguistics; Mohammed, M., Khan, M.B., Bashier, E.B.M., (2016) Machine Learning, , &amp;, (, CRC Press,)., https://doi.org/10.1201/9781315371658; Wornow, M., The shaky foundations of large language models and foundation models for electronic health records (2023) NPJ Digit Med., 6, p. 135. , PID: 37516790; Johnson, A.E.W., MIMIC-III, a freely accessible critical care database (2016) Sci. Data, 3. , COI: 1:CAS:528:DC%2BC28Xos1Wnu74%3D, PID: 27219127; Searle, T., Ibrahim, Z., Teo, J., Dobson, R., Estimating redundancy in clinical text (2021) J. Biomed. Inform., 124, p. 103938. , PID: 34695581; Li, J., Are synthetic clinical notes useful for real natural language processing tasks: a case study on clinical entity recognition (2021) J. Am. Med. Inform. Assoc., 28, pp. 2193-2201. , PID: 34272955; Huguet Cabot, P.-L., Navigli, R., REBEL: Relation extraction by end-to-end language generation (2021) In Findings of the Association for Computational Linguistics: EMNLP, pp. 2370-2381. , https://doi.org/10.18653/v1/2021.findings-emnlp.204, (Association for Computational Linguistics; Peng, C., Clinical concept and relation extraction using prompt-based machine reading comprehension (2023) J. Am. Med. Inform. Assoc., , https://doi.org/10.1093/jamia/ocad107; Gaffney, A., Medical documentation burden among US office-based physicians in 2019: a national study (2022) JAMA Intern. Med., 182, pp. 564-566. , PID: 35344006; Downing, N.L., Bates, D.W., Longhurst, C.A., Physician burnout in the electronic health record era: are we ignoring the real cause? (2018) Ann. Intern. Med., 169, p. 50. , PID: 29801050; Kroth, P.J., Association of electronic health record design and use factors with clinician stress and burnout (2019) JAMA Netw. Open, 2. , PID: 31418810; Diaz, N., Epic to Use Microsoft’s GPT-4 in Ehrs., , https://www.beckershospitalreview.com/ehrs/epic-to-use-microsofts-open-ai-in-ehrs.html; Trang, B., We’re Getting Much More aggressive’: Microsoft’s Nuance Adds GPT-4 AI to Its Medical Note-Taking Tool., , https://www.statnews.com/2023/03/20/microsoft-nuance-gpt4-dax-chatgpt/; Jiang, L.Y., Health system-scale language models are all-purpose prediction engines (2023) Nature, 619, pp. 357-362. , COI: 1:CAS:528:DC%2BB3sXhtFOksr%2FP, PID: 37286606; An opinion on ChatGPT in health care-written by humans only (2023) J. Nucl. Med., , https://doi.org/10.2967/jnumed.123.265687; Ouyang, L., Training language models to follow instructions with human feedback (2022) Arxiv [Cs.Cl]; Ray, S., Samsung bans ChatGPT among employees after sensitive code leak (2023) Forbes Magazine; Caliskan, A., Bryson, J.J., Narayanan, A., Semantics derived automatically from language corpora contain human-like biases (2017) Science, 356, pp. 183-186. , COI: 1:CAS:528:DC%2BC2sXlvVems78%3D, PID: 28408601; Artificial Intelligence and Machine Learning in Software as a Medical Device U.S. Food and Drug Administration, , https://www.fda.gov/medical-devices/software-medical-device-samd/artificial-intelligence-and-machine-learning-software-medical-device; Yang, X., A study of deep learning methods for de-identification of clinical notes in cross-institute settings (2019) BMC Med. Inform. Decis. Mak., 19. , PID: 31801524; Levine, Y., Wies, N., Sharir, O., Bata, H., Shashua, A., (2020) The Depth-To-Width Interplay in Self-Attention. Arxiv [Cs.Lg]; Shoeybi, M., Megatron-LM: Training multi-billion parameter language models using model parallelism (2019) Arxiv [Cs.Cl]; Li, X.L., Liang, P., Prefix-tuning: Optimizing continuous prompts for generation (2021) In Proceedings of the 59Th Annual Meeting of the Association for Computational Linguistics and the 11Th International Joint Conference on Natural Language Processing, 1 (Long Papers), pp. 4582-4597. , https://doi.org/10.18653/v1/2021.acl-long.353, (Association for Computational Linguistics; Liu, P., Yuan, W., Fu, J., Jiang, Z., Hayashi, H., Neubig, G., Pre-train, prompt, and predict: A systematic survey of prompting methods in natural language processing (2023) ACM Computing Surveys., 59, pp. 1-35; Radford, A., Wu, J., Child, R., Luan, D., Amodei, D., Language models are unsupervised multitask learners (2019) Openai, p. 1; The ddi corpus: An annotated corpus with pharmacological sub-stances and drug-drug interactions (2013) J. Biomed. Inform., 46, pp. 914-920; Li, J., BioCreative V CDR task corpus: a resource for chemical disease relation extraction (2016) Database (Oxf.), 2016, p. baw068; Hou, Y., Discovering drug–target interaction knowledge from biomedical literature (2022) Bioinformatics, 38, pp. 5100-5107. , COI: 1:CAS:528:DC%2BB3sXpt1Cjsbs%3D, PID: 36205562; Jin, Q., Dhingra, B., Liu, Z., Cohen, W., Lu, X., PubMedQA: A dataset for biomedical research question answering (2019) In Proceedings of the 2019 Conference on Empirical Methods in Natural Language Processing and the 9Th International Joint Conference on Natural Language Processing (EMNLP-IJCNLP) (Association for Computational Linguistics, , https://doi.org/10.18653/v1/d19-1259; Singhal, K., Large language models encode clinical knowledge (2022) Arxiv [Cs.Cl]; Jin, D., What disease does this patient have? A large-scale open domain question answering dataset from medical exams (2021) NATO Adv. Sci. Inst. E Appl. Sci., 11, p. 6421. , COI: 1:CAS:528:DC%2BB3MXitV2ru7vE; Nemo: Nemo: A Toolkit for Conversational AI, , NVIDIA GitHub); Holtzman, A., Buys, J., Forbes, M., Choi, Y., (2019), The curious case of neural text degeneration. arXiv preprint arXiv:1904.09751; (2018) Neural Text Generation in Stories Using Entity Representations as Context., 1 (Long Papers), pp. 2250-2260. , https://doi.org/10.18653/v1/N18-1204, (Association for Computational Linguistics; Celikyilmaz, A., Clark, E., Gao, J., Evaluation of text generation: A survey (2020) . Arxiv Preprint Arxiv, 2006, p. 14799; Holtzman, A., Buys, J., Du, L., Forbes, M., Choi, Y., The curious case of neural text degeneration (2019) . Arxiv Preprint Arxiv, 1904, p. 09751; Huang, K., Altosaar, J., Ranganath, R., ClinicalBERT: Modeling clinical notes and predicting hospital readmission (2019) Arxiv Preprint Arxiv, 1904, p. 05342; Wongpakaran, N., Wongpakaran, T., Wedding, D., Gwet, K.L., A comparison of Cohen’s Kappa and Gwet’s AC1 when calculating inter-rater reliability coefficients: a study conducted with personality disorder samples (2013) BMC Med. Res. Methodol., 13. , PID: 23627889</t>
  </si>
  <si>
    <t>This study was partially supported by a Patient-Centered Outcomes Research Institute® (PCORI®) Award (ME-2018C3-14754), a grant from the National Cancer Institute, 1R01CA246418, grants from the National Institute on Aging, NIA R56AG069880 and 1R01AG080624, and the Cancer Informatics and eHealth core jointly supported by the UF Health Cancer Center and the UF Clinical and Translational Science Institute. The content is solely the responsibility of the authors and does not necessarily represent the official views of the funding institutions. We would like to thank the UF Research Computing team, led by Dr. Erik Deumens, for providing computing power through UF HiperGator-AI cluster.</t>
  </si>
  <si>
    <t>National Institute on Aging, NIA: 1R01AG080624, R56AG069880; National Cancer Institute, NCI: 1R01CA246418; Patient-Centered Outcomes Research Institute, PCORI: ME-2018C3-14754; University of Florida, UF; Clinical and Translational Science Institute, University of Florida, CTSI; Cancer Center, University of Florida Health, UFHCC</t>
  </si>
  <si>
    <t>Computational linguistics; Health care; 'current; Language model; Language processing; Medical research; Medical use; Natural languages; Processing model; Real-world; Text generations; University of Florida; Natural language processing systems; Article; GatorTronGPT; health care; human; large language model; medical research; natural language processing; physician; reading</t>
  </si>
  <si>
    <t>Peng, C., Department of Health Outcomes and Biomedical Informatics, College of Medicine, University of Florida, Gainesville, FL, United States; Yang, X., Department of Health Outcomes and Biomedical Informatics, College of Medicine, University of Florida, Gainesville, FL, United States, Cancer Informatics Shared Resource, University of Florida Health Cancer Center, Gainesville, FL, United States; Chen, A., Department of Health Outcomes and Biomedical Informatics, College of Medicine, University of Florida, Gainesville, FL, United States, Cancer Informatics Shared Resource, University of Florida Health Cancer Center, Gainesville, FL, United States; Smith, K.E., NVIDIA, Santa Clara, CA, United States; PourNejatian, N., NVIDIA, Santa Clara, CA, United States; Costa, A.B., NVIDIA, Santa Clara, CA, United States; Martin, C., NVIDIA, Santa Clara, CA, United States; Flores, M.G., NVIDIA, Santa Clara, CA, United States; Zhang, Y., Research Computing, University of Florida, Gainesville, FL, United States; Magoc, T., Integrated Data Repository Research Services, University of Florida, Gainesville, FL, United States; Lipori, G., Integrated Data Repository Research Services, University of Florida, Gainesville, FL, United States, Lillian S. Wells Department of Neurosurgery, Clinical and Translational Science Institute, University of Florida, Gainesville, FL, United States; Mitchell, D.A., Lillian S. Wells Department of Neurosurgery, Clinical and Translational Science Institute, University of Florida, Gainesville, FL, United States; Ospina, N.S., Division of Endocrinology, Department of Medicine, College of Medicine, University of Florida, Gainesville, FL, United States; Ahmed, M.M., Division of Cardiovascular Medicine, Department of Medicine, College of Medicine, University of Florida, Gainesville, FL, United States; Hogan, W.R., Department of Health Outcomes and Biomedical Informatics, College of Medicine, University of Florida, Gainesville, FL, United States; Shenkman, E.A., Department of Health Outcomes and Biomedical Informatics, College of Medicine, University of Florida, Gainesville, FL, United States; Guo, Y., Department of Health Outcomes and Biomedical Informatics, College of Medicine, University of Florida, Gainesville, FL, United States, Cancer Informatics Shared Resource, University of Florida Health Cancer Center, Gainesville, FL, United States; Bian, J., Department of Health Outcomes and Biomedical Informatics, College of Medicine, University of Florida, Gainesville, FL, United States, Cancer Informatics Shared Resource, University of Florida Health Cancer Center, Gainesville, FL, United States; Wu, Y., Department of Health Outcomes and Biomedical Informatics, College of Medicine, University of Florida, Gainesville, FL, United States, Cancer Informatics Shared Resource, University of Florida Health Cancer Center, Gainesville, FL, United States</t>
  </si>
  <si>
    <t>57208232081;57203172777;58036480100;57202789948;57552654300;23484900800;57541429800;57218528816;57541429900;24768383200;56442539600;7403871864;56512338100;55463628400;7101782257;6603877456;57216597174;7103200005;55645924700;</t>
  </si>
  <si>
    <t>Peng C., Yang X., Chen A., Smith K.E., PourNejatian N., Costa A.B., Martin C., Flores M.G., Zhang Y., Magoc T., Lipori G., Mitchell D.A., Ospina N.S., Ahmed M.M., Hogan W.R., Shenkman E.A., Guo Y., Bian J., Wu Y.</t>
  </si>
  <si>
    <t>2-s2.0-85177102817</t>
  </si>
  <si>
    <t>J. Orthop. Sports Phys. Ther.</t>
  </si>
  <si>
    <t>JOSPD</t>
  </si>
  <si>
    <t>Movement Science Media</t>
  </si>
  <si>
    <t>Rossettini, G.; School of Physiotherapy, (VR), Italy; email: giacomo.rossettini@gmail.com</t>
  </si>
  <si>
    <t>Brainard, J., Journals take up arms against AI-written text (2023) Science, 379, pp. 740-741. , https://doi.org/10.1126/science.adh2762; Dave, T, Athaluri, SA, Singh, S., ChatGPT in medicine: an overview of its applications, advantages, limitations, future prospects, and ethical considerations (2023) Front Artif Intell, 6, p. 1169595. , https://doi.org/10.3389/frai.2023.1169595; Else, H., Abstracts written by ChatGPT fool scientists (2023) Nature, 613, p. 423. , https://doi.org/10.1038/d41586-023-00056-7; Kung, TH, Cheatham, M, Medenilla, A, Performance of ChatGPT on USMLE: potential for AI-assisted medical education using large language models (2023) PLOS Digit Health, 2, p. e0000198. , https://doi.org/10.1371/journal.pdig.0000198; Lee, P, Bubeck, S, Petro, J., Benefits, limits, and risks of GPT-4 as an AI chatbot for medicine (2023) N Engl J Med, 388, pp. 1233-1239. , https://doi.org/10.1056/NEJMsr2214184; Li, H, Moon, JT, Purkayastha, S, Celi, LA, Trivedi, H, Gichoya, JW., Ethics of large language models in medicine and medical research (2023) Lancet Digit Health, 5, pp. e333-e335. , https://doi.org/10.1016/S2589-7500(23)00083-3; Owens, B., How nature readers are using ChatGPT (2023) Nature, 615, p. 20. , https://doi.org/10.1038/d41586-023-00500-8; Sallam, M., ChatGPT utility in healthcare education, research, and practice: systematic review on the promising perspectives and valid concerns (2023) Healthcare (Basel), 11, p. 887. , https://doi.org/10.3390/healthcare11060887; Stokel-Walker, C., ChatGPT listed as author on research papers: many scientists disapprove (2023) Nature, 613, pp. 620-621. , https://doi.org/10.1038/d41586-023-00107-z; Tack, C., Artificial intelligence and machine learning | applications in musculoskeletal physiotherapy (2019) Musculoskelet Sci Pract, 39, pp. 164-169. , https://doi.org/10.1016/j.msksp.2018.11.012</t>
  </si>
  <si>
    <t>This Viewpoint received no funding. The authors certify that they have no affiliations with or financial involvement in any organization or entity with a direct financial interest in the subject matter or materials discussed in the article.</t>
  </si>
  <si>
    <t>artificial intelligence; human; language; Artificial Intelligence; Humans; Language</t>
  </si>
  <si>
    <t>artificial intelligence; ChatGPT; clinical reasoning; Google Bard; Microsoft Bing; musculoskeletal pain</t>
  </si>
  <si>
    <t>t SYNOPSIS: Artificial intelligence (AI), specifically large language models (LLMs), which focus on the interaction between computers and human language, can influence musculoskeletal rehabilitation management. AI chatbots (eg, ChatGPT, Microsoft Bing, and Google’s Bard) are a form of large language models designed to understand, interpret, and generate text similar to what is produced by humans. Since their release, chatbots have triggered controversy in the international scientific community, including when they have passed university exams, generated credible scientific abstracts, and shown potential for replacing humans in scientific roles. The controversies extend to the field of musculoskeletal rehabilitation. In this Viewpoint, we describe the potential applications and limitations, and recommended actions for education, clinical practice, and research when using AI chatbots for musculoskeletal rehabilitation management, aspects that may have similar implications for the broader health care community. J Orthop Sports Phys Ther 2023;53(12):728-734. Epub 14 September 2023. doi:10.2519/jospt.2023.12000 Copyright ©2023 JOSPT®, Inc.</t>
  </si>
  <si>
    <t>Rossettini, G., School of Physiotherapy, University of Verona, Verona, Italy; Cook, C., Duke Center for Excellence in Manual and Manipulative Therapy, Duke University, Durham, NC, United States, Doctor of Physical Therapy Program, Duke University, Durham, NC, United States, Department of Orthopaedics, Duke University, Durham, NC, United States; Palese, A., School of Nursing, Department of Medicine (DAME), University of Udine, Udine, Italy; Pillastrini, P., Department of Biomedical and Neuromotor Sciences-DIBINEM, Alma Mater Studiorum - Università di Bologna, Bologna, Italy, Unit of Occupational Medicine, IRCCS Azienda Ospedaliero - Universitaria di Bologna, Bologna, Italy; Turolla, A., Department of Biomedical and Neuromotor Sciences-DIBINEM, Alma Mater Studiorum - Università di Bologna, Bologna, Italy, Unit of Occupational Medicine, IRCCS Azienda Ospedaliero - Universitaria di Bologna, Bologna, Italy</t>
  </si>
  <si>
    <t>School of Physiotherapy, University of Verona, Verona, Italy; Duke Center for Excellence in Manual and Manipulative Therapy, Duke University, Durham, NC, United States; Doctor of Physical Therapy Program, Duke University, Durham, NC, United States; Department of Orthopaedics, Duke University, Durham, NC, United States; School of Nursing, Department of Medicine (DAME), University of Udine, Udine, Italy; Department of Biomedical and Neuromotor Sciences-DIBINEM, Alma Mater Studiorum - Università di Bologna, Bologna, Italy; Unit of Occupational Medicine, IRCCS Azienda Ospedaliero - Universitaria di Bologna, Bologna, Italy</t>
  </si>
  <si>
    <t>https://www.scopus.com/inward/record.uri?eid=2-s2.0-85177102817&amp;doi=10.2519%2fjospt.2023.12000&amp;partnerID=40&amp;md5=6ffa083dd9b72cf17e36554e34e3ed27</t>
  </si>
  <si>
    <t>10.2519/jospt.2023.12000</t>
  </si>
  <si>
    <t>Journal of Orthopaedic and Sports Physical Therapy</t>
  </si>
  <si>
    <t>Pros and Cons of Using Artificial Intelligence Chatbots for Musculoskeletal Rehabilitation Management</t>
  </si>
  <si>
    <t>56403252600;58700474600;56227935600;23135475300;23993111600;</t>
  </si>
  <si>
    <t>Rossettini G., Cook C., Palese A., Pillastrini P., Turolla A.</t>
  </si>
  <si>
    <t>Pagano, S.; Department of Orthopaedic Surgery, Asklepios Klinikum, Germany; email: stefano.pagano@ukr.de</t>
  </si>
  <si>
    <t>(2023) PREPRINT GPT-4 Technical report, , https://doi.org/10.48550/arXiv.2303.08774, (arXiv:2303.08774). arXiv; Eloundou, T., Manning, S., Mishkin, P., Rock, D., (2023), http://arxiv.org/abs/2303.10130, PREPRINT GPTs are GPTs: an early look at the labor market impact potential of large language models (arXiv:2303.10130). arXiv; Biswas, S.S., Role of chat GPT in public health (2023) Ann Biomed Eng, 51 (5), pp. 868-869; Sezgin, E., Sirrianni, J., Linwood, S.L., Operationalizing and implementing pretrained, large artificial intelligence linguistic models in the US health care system: outlook of generative pretrained transformer 3 (GPT-3) as a service model (2022) JMIR Med Inform, 10 (2); Cheng, K., Wu, C., Gu, S., Lu, Y., Wu, H., Li, C., WHO declares end of COVID-19 global health emergency: lessons and recommendations from the perspective of ChatGPT/GPT-4 (2023) Int J Surg (London, England); Sallam, M., ChatGPT utility in healthcare education, research, and practice: systematic review on the promising perspectives and valid concerns (2023) Healthcare (Basel, Switzerland), 11 (6), p. 887; Padash, S., Mickley, J.P., Vera-Garcia, D.V., Nugen, F., Khosravi, B., Erickson, B.J., Wyles, C.C., Taunton, M.J., An overview of machine learning in orthopedic surgery: an educational paper (2023) J Arthroplasty; Li, Z., Maimaiti, Z., Fu, J., Chen, J.Y., Xu, C., Global research landscape on artificial intelligence in arthroplasty: a bibliometric analysis (2023) Digital health, 9. , 20552076231184048; Jung, L.B., Gudera, J.A., Wiegand, T.L.T., Allmendinger, S., Dimitriadis, K., Koerte, I.K., ChatGPT passes German state examination in medicine with picture questions omitted (2023) Dtsch Arztebl Int, 120, pp. 373-374; Kung, T.H., Cheatham, M., Medenilla, A., Sillos, C., De Leon, L., Elepaño, C., Madriaga, M., Tseng, V., Performance of ChatGPT on USMLE: Potential for AI-assisted medical education using large language models (2023) PLOS Digit Health, 2 (2); Cheng, K., Li, Z., Li, C., Xie, R., Guo, Q., He, Y., Wu, H., The potential of GPT-4 as an AI-powered virtual assistant for surgeons specialized in joint arthroplasty (2023) Ann Biomed Eng, 51 (7), pp. 1366-1370; Cross, M., Smith, E., Hoy, D., Nolte, S., Ackerman, I., Fransen, M., Bridgett, L., March, L., The global burden of hip and knee osteoarthritis: estimates from the global burden of disease 2010 study (2014) Ann Rheum Dis, 73 (7), pp. 1323-1330; Kellgren, J.H., Lawrence, J.S., Radiological assessment of osteo-arthrosis (1957) Ann Rheum Dis, 16 (4), pp. 494-502; Koo, T.K., Li, M.Y., A guideline of selecting and reporting intraclass correlation coefficients for reliability research (2016) J Chiropr Med, 15 (2), pp. 155-163; McHugh, M.L., Interrater reliability: the kappa statistic (2012) Biochemia medica, 22 (3), pp. 276-282. , PID: 23092060; Rao, A., Pang, M., Kim, J., Kamineni, M., Lie, W., Prasad, A.K., Landman, A., Succi, M.D., Preprint assessing the utility of ChatGPT throughout the entire clinical workflow (2023) medRxiv; Harskamp, R.E., Clercq, D., Performance of ChatGPT as an AI-assisted decision support tool in medicine: a proof-of-concept study for interpreting symptoms and management of common cardiac conditions (AMSTELHEART-2) (2023) MedRxiv; Nastasi, A.J., Courtright, K.R., Halpern, S.D., Weissman, G.E., Does ChatGPT provide appropriate and equitable medical advice?: A vignette-based, clinical evaluation across care contexts (2023) MedRxiv; Rajjoub, R., Arroyave, J.S., Zaidat, B., Ahmed, W., Mejia, M.R., Tang, J., Kim, J.S., Cho, S.K., ChatGPT and its role in the decision-making for the diagnosis and treatment of lumbar spinal stenosis: a comparative analysis and narrative review (2023) Glob Spine J; Kaarre, J., Feldt, R., Keeling, L.E., Dadoo, S., Zsidai, B., Hughes, J.D., Samuelsson, K., Musahl, V., Exploring the potential of ChatGPT as a supplementary tool for providing orthopaedic information (2023) Knee Surg Sports Traumatol Arthrosc; Secinaro, S., Calandra, D., Secinaro, A., Muthurangu, V., Biancone, P., The role of artificial intelligence in healthcare: a structured literature review (2021) BMC Med Inform Decis Mak, 21 (1), p. 125; Davenport, T., Kalakota, R., The potential for artificial intelligence in healthcare (2019) Future Healthc J, 6 (2), pp. 94-98; Yin, J., Ngiam, K.Y., Teo, H.H., Role of artificial intelligence applications in real-life clinical practice: systematic review (2021) J Med Internet Res, 23 (4); Mika, A.P., Martin, J.R., Engstrom, S.M., Polkowski, G.G., Wilson, J.M., Assessing ChatGPT responses to common patient questions regarding total hip arthroplasty (2023) J Bone Jt Surg Am</t>
  </si>
  <si>
    <t>Universität Regensburg, UR</t>
  </si>
  <si>
    <t>adult; aged; Article; artificial intelligence; calculation; ChatGPT; clinical decision making; clinical practice; cohort analysis; conservative treatment; controlled study; diagnostic test accuracy study; female; health care; hip osteoarthritis; human; kappa statistics; knee osteoarthritis; logistic regression analysis; major clinical study; male; medical record review; observational study; orthopedic specialist; orthopedic surgeon; osteoarthritis; pain assessment; quality of life; retrospective study; sensitivity and specificity; total arthroplasty; treatment indication; university hospital; artificial intelligence; hip osteoarthritis; knee; knee osteoarthritis; Artificial Intelligence; Humans; Knee Joint; Osteoarthritis, Hip; Osteoarthritis, Knee; Quality of Life</t>
  </si>
  <si>
    <t>Pagano, S., Department of Orthopaedic Surgery, University of Regensburg, Asklepios Klinikum, Bad Abbach, Germany; Holzapfel, S., Department of Neonatology, University Children’s Hospital Regensburg, Hospital St. Hedwig of the Order of St. John, University of Regensburg, Regensburg, Germany; Kappenschneider, T., Department of Orthopaedic Surgery, University of Regensburg, Asklepios Klinikum, Bad Abbach, Germany; Meyer, M., Department of Orthopaedic Surgery, University of Regensburg, Asklepios Klinikum, Bad Abbach, Germany; Maderbacher, G., Department of Orthopaedic Surgery, University of Regensburg, Asklepios Klinikum, Bad Abbach, Germany; Grifka, J., Department of Orthopaedic Surgery, University of Regensburg, Asklepios Klinikum, Bad Abbach, Germany; Holzapfel, D.E., Department of Orthopaedic Surgery, University of Regensburg, Asklepios Klinikum, Bad Abbach, Germany</t>
  </si>
  <si>
    <t>57208445656;56278738600;57285490700;57218515506;55195367800;26643031300;55307809700;</t>
  </si>
  <si>
    <t>Pagano S., Holzapfel S., Kappenschneider T., Meyer M., Maderbacher G., Grifka J., Holzapfel D.E.</t>
  </si>
  <si>
    <t>Park, G.; Department of Journalism and Media Studies, 2915 McFie Circle, Milton Hall 158, United States; email: park@nmsu.edu</t>
  </si>
  <si>
    <t>Roose, K., How ChatGPT Kicked Off an A.I. Arms Race (2023), https://www.nytimes.com/2023/02/03/technology/chatgpt-openai-artificial-intelligence.html, New York Times; [Last accessed: June 20, 2023]; van Dis, EA, Bollen, J, Zuidema, W, ChatGPT: Five priorities for research (2023) Nature, 614, pp. 224-226; Tlili, A, Shehata, B, Adarkwah, MA, What if the devil is my guardian angel: ChatGPT as a case study of using chatbots in education (2023) Smart Learn Environ, 10 (15), pp. 1-24; Biswas, SS., Role of Chat GPT in public health (2023) Ann Biomed Eng, 51, pp. 868-869; Biswas, SS., Potential use of Chat GPT in global warming (2023) Ann Biomed Eng, 51, pp. 1126-1127; Bawden, D., Origins and Concepts of Digital Literacy (2008) Digital Literacies: Concepts, Policies and Practices, pp. 17-32. , (Lankshear C, Knobel M. eds) Peter Lang Publishing: New York, NY; Tomczyk, Ł, Potyrała, K, Włoch, A, Evaluation of the functionality of a new e-learning platform vs. previous experiences in e-learning and the self-assessment of own digital literacy (2020) Sustainability, 12 (23), p. 10219; Eshet, Y., Thinking in the Digital Era: A Revised Model for Digital Literacy (2012) Issues in Informing Science and Information Technology, pp. 267-276. , (Cohen EB. ed) Informing Science Press: Santa Rosa, CA; Ng, DTK, Leung, JKL, Chu, SKW, Conceptualizing AI literacy: An exploratory review (2021) Comput Educ Artif Intell, 2, p. 100041; Castilla, D, Botella, C, Miralles, I, Learner Motivation Through Gamification in E-Learning: A Study on Game-Based Formative Assessment in E-Learning (2022) Handbook of Research on Acquiring 21st Century Literacy Skills Through Game-Based Learning, pp. 810-831. , (Lane C. ed) IGI Global: Hershey, PA; Zan, B, Çolaklar, H, Altay, A, A study on digital literacy skills of faculty of letters students: Use of university library (2021) Int J Emerg Technol Learn, 16 (1), pp. 152-171; Abdulkareem, AK, Ramli, RM., Does digital literacy predict e-government performance? An extension of Delone and Mclean information system success model (2021) Electron Gov Int J, 17 (4), pp. 466-493; Idoughi, D, Abdelhakim, D., Developing countries e-government services evaluation identifying and testing antecedents of satisfaction Case of Algeria (2018) Int J Electron Gov Res, 14 (1), pp. 63-85; Seguí, FL, Pedro, SM, Verges, EA, An intergenerational information and communications technology learning project to improve digital skills: User satisfaction evaluation (2019) JMIR Aging, 2 (2), p. e13939; Gilster, P., (1997) Digital Literacy, , Wiley: New York, NY; Okunola, OM, Rowley, J, Johnson, F., The multi-dimensional digital divide: Perspectives from an e-government portal in Nigeria (2017) Gov Inf Q, 34 (2), pp. 329-339; Wesson, K, Boniwell, I., Flow theory-Its application to coaching psychology (2007) Int Coach Psychol Rev, 2 (1), pp. 33-43; Harmon-Jones, E, Mills, J., An Introduction to Cognitive Dissonance Theory and an Overview of Current Perspectives on the Theory (2019) Cognitive Dissonance: Reexamining a Pivotal Theory in Psychology, pp. 3-24. , (Harmon-Jones E. eds) American Psychological Association: Washington, DC; Thong, JY, Yap, CS., Information systems effectiveness: A user satisfaction approach (1996) Inf Process Manag, 32 (5), pp. 601-610; Katz, E, Blumler, JG, Gurevitch, M., Uses and gratifications research (1973) Public Opin Q, 37 (4), pp. 509-523; Ruggiero, TE., Uses and gratifications theory in the 21st century (2000) Mass Commun Soc, 3 (1), pp. 3-37; Fantone, A., The new ChatGPT model can be your philosopher, good friend and most dangerous adversary all at once (2023) J Mater Sci Res Rev, 11 (4), pp. 32-35; Bovermann, K, Weidlich, J, Bastiaens, T., Online learning readiness and attitudes towards gaming in gamified online learning—A mixed methods case study (2018) Int J Educ Technol High Educ, 15 (1), pp. 1-17; Kruglanski, AW, Jasko, K, Milyavsky, M, Cognitive consistency theory in social psychology: A paradigm reconsidered (2018) Psychol Inq, 29 (2), pp. 45-59; Gallucci, M, Perugini, M., Information seeking and reciprocity: A transformational analysis (2003) Eur J Soc Psychol, 33 (4), pp. 473-495; Brandtzaeg, PB, Følstad, A., Why People Use Chatbots (2017) INSCI 2017. Proceedings of the 4th International Conference on Internet Science, pp. 377-392. , (Kompatsiaris I, Cave J, Satsiou A, et al. eds) Springer International Publishing: Thessaloniki, Greece; Cheng, Y, Jiang, H., AI-Powered mental health chatbots: Examining users' motivations, active communicative action and engagement after mass-shooting disasters (2020) J Contingencies Crisis Manag, 28 (3), pp. 339-354; Bhattacherjee, A., Understanding information systems continuance: An expectation-confirmation model (2001) MIS Q, 25 (3), pp. 351-370; Davis, FD., Perceived usefulness, perceived ease of use, and user acceptance of information technology (1989) MIS Q, 13 (3), pp. 319-340; Kettinger, WJ, Lee, CC., Perceived service quality and user satisfaction with the information services function (1994) Decis Sci, 25 (5-6), pp. 737-766; Hayes, AF., (2013) Introduction to Mediation, Moderation, and Conditional Process Analysis: A Regression-Based Approach, , (2nd ed). The Guilford Press: New York, NY; Preacher, KJ, Hayes, AF., Asymptotic and resampling strategies for assessing and comparing indirect effects in multiple mediator models (2008) Behav Res Methods, 40 (3), pp. 879-891; Kim, SS, Son, JY., Out of dedication or constraint? A dual model of post-adoption phenomena and its empirical test in the context of online services (2009) MIS Q, 33 (1), pp. 49-70; Wang, YY, Wang, YS, Lin, HH, Developing and validating a model for assessing paid mobile learning app success (2019) Interact Learn Environ, 27 (4), pp. 458-477; Wibowo, MI, Santoso, AJ, Setyohadi, DB., Factors affecting the successful implementation of e-government on network documentation and legal information website in Riau (2018) Commun Inf Technol J, 12 (1), pp. 51-57; Guerrero, AJ, Marín-Marín, JA, Dúo-Terrón, P, Chatbots in Education: A Systematic Review of the Science Literature (2023) Artificial Intelligence in Higher Education, pp. 81-94. , (Churi Joshi S, Elhoseny M, et al. eds) Taylor &amp; Francis Group, LLC: Boca Raton, FL; Park, G, Yim, MC, Chung, J, Effect of AI chatbot empathy and identity disclosure on willingness to donate: The mediation of humanness and social presence (2022) Behav Inf Technol, 42 (12), pp. 1998-2010; Park, G, Chung, J, Lee, S., Effect of AI chatbot emotional disclosure on user satisfaction and reuse intention for mental health counseling: A serial mediation model (2023) Curr Psychol, 42, pp. 28663-28673; Park, G, Lee, S, Chung, J., Do anthropomorphic chatbots increase counseling satisfaction and reuse intention? The moderated mediation of social rapport and social anxiety (2023) Cyberpsychol Behav Soc Netw, 26 (5), pp. 375-365; Park, G, Chung, J, Lee, S., Human vs. machine-like representation in chatbot mental health counseling: The serial mediation of psychological distance and trust on compliance intention (2023) Curr Psychol, , Press; Lee, S, Park, G, Chung, J., Artificial emotions for charity collection: A serial mediation through perceived anthropomorphism and social presence (2023) Telemat Inform, 82, p. 102009</t>
  </si>
  <si>
    <t>This work was supported by the Ministry of Education of the Republic of Korea and the National Research Foundation of Korea (NRF-2021S1A5C2A02088387).</t>
  </si>
  <si>
    <t>Ministry of Education, MOE; National Research Foundation of Korea, NRF: NRF-2021S1A5C2A02088387</t>
  </si>
  <si>
    <t>artificial intelligence; female; human; language; literacy; male; motivation; student; Artificial Intelligence; Female; Humans; Language; Literacy; Male; Motivation; Students</t>
  </si>
  <si>
    <t>Lee, S., Department of Media and Communication, Sungkyunkwan University, Jongno-Gu, South Korea; Park, G., Department of Journalism and Media Studies, New Mexico State University, Las Cruces, NM, United States</t>
  </si>
  <si>
    <t>57190076052;56276519100;</t>
  </si>
  <si>
    <t>Lee S., Park G.</t>
  </si>
  <si>
    <t>Oliveira, L.; CEOS.PP, Portugal; email: lgo@eu.ipp.pt</t>
  </si>
  <si>
    <t>https://www.mckinsey.com/capabilities/quantumblack/our-insights/the-state-of-ai-in-2022-and-a-half-decade-in-review, Available online; Eloundou, T., Manning, S., Mishkin, P., Rock, D., GPTs Are GPTs: An Early Look at the Labor Market Impact Potential of Large Language Models (2023) arXiv, , 2303.10130; https://www.factmr.com/report/language-services-market, Available online; Bowker, L., Fit-for-Purpose Translation (2019) The Routledge Handbook of Translation and Technology, , Routledge, New York, NY, USA; https://www.mordorintelligence.com/industry-reports/machine-translation-market, Available online; Li, X.L., Chengze Artificial Intelligence and Translation (2023) Routledge Encyclopedia of Translation Technology, , Routledge, New York, NY, USA; Castilho, S., Moorkens, J., Gaspari, F., Calixto, I., Tinsley, J., Way, A., Is Neural Machine Translation the New State of the Art? (2017) Prague Bull. Math. Linguist, 108, pp. 109-120; Wu, Y., Schuster, M., Chen, Z., Le, Q.V., Norouzi, M., Macherey, W., Krikun, M., Macherey, K., Google’s Neural Machine Translation System: Bridging the Gap between Human and Machine Translation (2016) arXiv, , 1609.08144; Patwardhan, N., Marrone, S., Sansone, C., Transformers in the Real World: A Survey on NLP Applications (2023) Information, 14; Zoph, B., Yuret, D., May, J., Knight, K., Transfer Learning for Low-Resource Neural Machine Translation (2016) arXiv, , 1604.02201; Stahlberg, F., Neural Machine Translation: A Review (2020) J. Artif. Intell. Res, 69, pp. 343-418; Kasneci, E., Sessler, K., Küchemann, S., Bannert, M., Dementieva, D., Fischer, F., Gasser, U., Hüllermeier, E., ChatGPT for Good? On Opportunities and Challenges of Large Language Models for Education (2023) Learn. Individ. Differ, 103, p. 102274; Lee, T.K., Artificial Intelligence and Posthumanist Translation: ChatGPT versus the Translator (2023) Appl. Linguist. Rev; https://www.microsoft.com/en-us/research/project/large-scale-pretraining-for-response-generation/, Available online; https://ai.facebook.com/blog/blender-bot-2-an-open-source-chatbot-that-builds-long-term-memory-and-searches-the-internet/, Available online; https://ai.googleblog.com/2020/01/towards-conversational-agent-that-can.html, Available online; https://aws.amazon.com/pt/lex/, Available online; Kirov, V., Malamin, B., Are Translators Afraid of Artificial Intelligence? (2022) Societies, 12; López Jiménez, E.A., Ouariachi, T., An Exploration of the Impact of Artificial Intelligence (AI) and Automation for Communication Professionals (2020) J. Inf. Commun. Ethics Soc, 19, pp. 249-267; Wolf, C.T., Nwankwo, E., Interpreting AI and Its Place in Our Worlds (2019) XRDS Crossroads ACM Mag. Stud, 25, pp. 8-9; Downie, J., (2020) Interpreters vs Machines: Can Interpreters Survive in an AI-Dominated World?, , Routledge, New York, NY, USA; Larson, R.B., Controlling Social Desirability Bias (2019) Int. J. Mark. Res, 61, pp. 534-547</t>
  </si>
  <si>
    <t>This work is financed by Portuguese national funds through FCT—Fundação para a Ciência e Tecnologia, under project UIDB/05422/2020.</t>
  </si>
  <si>
    <t>Fundação para a Ciência e a Tecnologia, FCT: UIDB/05422/2020</t>
  </si>
  <si>
    <t>Tavares, C., CEOS.PP, ISCAP Polytechnic of Porto, Porto, 4465-004, Portugal; Oliveira, L., CEOS.PP, ISCAP Polytechnic of Porto, Porto, 4465-004, Portugal; Duarte, P., CEOS.PP, ISCAP Polytechnic of Porto, Porto, 4465-004, Portugal; da Silva, M.M., CEOS.PP, ISCAP Polytechnic of Porto, Porto, 4465-004, Portugal</t>
  </si>
  <si>
    <t>57361620600;57193072753;58533248600;57905129300;</t>
  </si>
  <si>
    <t>Tavares C., Oliveira L., Duarte P., da Silva M.M.</t>
  </si>
  <si>
    <t>Insuasti, J.; Systems Engineering Department, Colombia; email: insuasti@udenar.edu.co</t>
  </si>
  <si>
    <t>Zapata, C., Arango, F., Gelbukh, A., Pre-conceptual Schema: A UML Isomorphism for Automatically Obtaining UML Conceptual Schemas, Lecture Notes in Computer Science (Artificial Intelligence Bioinformatics) (2006) Res. Comput. Sci, 4293, pp. 27-37; Torres, D., Zapata-Jaramillo, C., Villavicencio, M., Representing Interoperability Between Software Systems by Using Pre-Conceptual Schemas (2022) Int. J. Electr. Eng. Inform, 14, pp. 101-127; Noreña, P., Zapata, C., Simulating Events in Requirements Engineering by Using Pre-conceptual-Schema-based Components from Scientific Software Domain Representation (2022) Adv. Syst. Sci. Appl, 21, pp. 1-15; Zapata-Tamayo, J., Zapata-Jaramillo, C., Pre-conceptual schemas: Ten Years of Lessons Learned about Software Engineering Teaching (2018) Dev. Bus. Simul. Exp. Learn, 45, pp. 250-257; Chaverra, J., Generación Automática de Prototipos Funcionales a Partir de Esquemas Preconceptuales (2011) Master’s Thesis, , Universidad Nacional de Colombia, Medellín, Colombia; Velasquez, S., Un Modelo Ejecutable para la Simulación Multi-Física de Procesos de Recobro Mejorado en Yacimientos de Petróleo Basado en Esquemas Preconceptuales (2019) Master’s Thesis, , Universidad Nacional de Colombia, Medellín, Colombia; Villota, C., Modelo de Representación de Buenas Prácticas de Cualquier área de Conocimiento Utilizando Esquemas Preconceptuales (2019) Master’s Thesis, , Universidad Nacional de Colombia, Medellín, Colombia; Cesar, L., Manso-Callejo, M., Cira, C., BERT (Bidirectional Encoder Representations from Transformers) for Missing Data Imputation in Solar Irradiance Time Series (2023) Eng. Proc, 39, p. 26; Shen, J., Ai in Education: Effective Machine Learning (2023) Doctoral Dissertation, , The Pennsylvania State University, State College, PA, USA; Palani, B., Elango, S., Viswanathan, K., CB-Fake: A multimodal deep learning framework for automatic fake news detection using capsule neural network and BERT (2022) Multimed. Tools Appl, 81, pp. 5587-5620. , 34975284; Catelli, R., Pelosi, S., Esposito, M., Lexicon-based vs. Bert-based sentiment analysis: A comparative study in Italian (2022) Electronics, 11; Doan, A., Luu, S., Improving sentiment analysis by emotion lexicon approach on Vietnamese texts Proceedings of the 2022 International Conference on Asian Language Processing, pp. 39-44. , Singapore, Shenzhen, China, 27–28 October 2022; Zhu, X., Cheng, D., Zhang, Z., Lin, S., Dai, J., An empirical study of spatial attention mechanisms in deep networks Proceedings of the IEEE/CVF International Conference on Computer Vision, pp. 6688-6697. , Seoul, Republic of Korea, 27 October–2 November 2019; Zhao, Z., Using Pre-Trained Language Models for Toxic Comment Classification (2022) Doctoral Dissertation, , University of Sheffield, Sheffield, UK; Trewhela, A., Figueroa, A., Text-based neural networks for question intent recognition (2023) Eng. Appl. Artif. Intell, 121, pp. 105-133; Choo, J., Kwon, Y., Kim, J., Jae, J., Hottung, A., Tierney, K., Gwon, Y., Simulation-guided beam search for neural combinatorial optimization (2022) Adv. Neural Inf. Process. Syst, 35, pp. 8760-8772; Graham, M., Drobnjak, I., Zhang, H., A supervised learning approach for diffusion MRI quality control with minimal training data (2018) NeuroImage, 178, pp. 668-676; Frisoni, G., Moro, G., Carbonaro, A., A survey on event extraction for natural language understanding: Riding the biomedical literature wave (2021) IEEE Access, 9, pp. 160721-160757; Beltagi, I., Lo, K., Cohan, A., SciBERT: A Pretrained Language Model for Scientific Text (2019) arXiv, , 1903.10676; Kusakin, I.K., Fedorets, O.V., Romanov, A.Y., Classification of Short Scientific Texts (2023) Sci. Tech. Inf. Proc, 50, pp. 176-183; Shen, S., Liu, J., Lin, L., Huang, Y., Zhang, L., Liu, C., Feng, Y., Wang, D., SsciBERT: A pre-trained language model for social science texts (2023) Scientometrics, 128, pp. 1241-1263; Nzungize, L., (2023) The Most Popular Huggingface Models. Medium, , https://medium.com/@nzungize.lambert/the-most-popular-huggingface-models-d67eaaea392c, Available online; Touvron, H., Lavril, T., Izacard, G., Martinet, X., Lachaux, M., Lacroix, T., Rozière, B., Azhar, F., LLaMA: Open and Efficient Foundation Language Models. Meta AI (2023) arXiv, , 2302.13971; (2023) ‘IBM Plans to Make Llama 2 Available within Its Watsonx AI and Data Platform’, PR Newswire US, 9 August, , https://newsroom.ibm.com/2023-08-09-IBM-Plans-to-Make-Llama-2-Available-within-its-Watsonx-AI-and-Data-Platform, Available online; Xiong, W., Liu, J., Molybog, I., Zhang, H., Bhargava, P., Hou, R., Martin, L., Oguz, B., Effective Long-Context Scaling of Foundation Models (2023) arXiv, , 2309.16039; Touvron, H., Martin, L., Stone, K., Albert, P., Almahairi, A., Babaei, Y., Bashlykov, N., Bhosale, S., Llama 2: Open foundation and fine-tuned chat models (2023) arXiv, , 2307.09288; Nguyen, T.T., Wilson, C., Dalins, J., Fine-tuning llama 2 large language models for detecting online sexual predatory chats and abusive texts (2023) arXiv, , 2308.14683; Pavlyshenko, B., Financial News Analytics Using Fine-Tuned Llama 2 GPT Model (2023) arXiv, , 2308.13032; Saghafian, S., (2023) Effective Generative AI: The Human-Algorithm Centaur. HKS Working Paper No. RWP23-030, , https://papers.ssrn.com/sol3/papers.cfm?abstract_id=4594780, Available online; Türkmen, H., Dikenelli, O., Eraslan, C., Çallı, M.C., Özbek, S., BioBERTurk: Exploring Turkish Biomedical Language Model Development Strategies in Low-Resource Setting (2023) J. Healthc. Inform. Res, 7, pp. 433-446; Shaghaghian, S., Feng, L., Jafarpour, B., Pogrebnyakov, N., Customizing contextualized language models for legal document reviews Proceedings of the 2020 IEEE International Conference on Big Data (Big Data), pp. 2139-2148. , Atlanta, GA, USA, 10–13 December 2020; Santy, S., Srinivasan, A., Choudhury, M., BERTologiCoMix: How does code-mixing interact with multilingual BERT? Proceedings of the Second Workshop on Domain Adaptation for NLP, pp. 111-121. , Virtual, 19 April 2021; Sun, C., Qiu, X., Xu, Y., Huang, X., How to fine-tune BERT for text classification? Proceedings of the Chinese Computational Linguistics: 18th China National Conference, CCL 2019, pp. 194-206. , Kunming, China, 18–20 October 2019; Ajagbe, M., Zhao, L., Retraining a BERT model for transfer learning in requirements engineering: A preliminary study Proceedings of the 2022 IEEE 30th International Requirements Engineering Conference (RE), pp. 309-315. , Melbourne, Australia, 15–19 August 2022; Schwartz, R., Vassilev, A., Greene, K., Perine, L., Burt, A., Hall, P., (2022) Towards a Standard for Identifying and Managing Bias in Artificial Intelligence, , NIST, Gaithersburg, MD, USA; Li, B., Qi, P., Liu, B., Di, S., Liu, J., Pei, J., Yi, J., Zhou, B., Trustworthy AI: From principles to practices (2023) ACM Comput. Surv, 55, pp. 1-46; Qiao, Y., Zhu, X., Gong, H., BERT-Kcr: Prediction of lysine crotonylation sites by a transfer learning method with pre-trained BERT models (2022) Bioinformatics, 38, pp. 648-654. , 34643684; Lawley, C., Raimondo, S., Chen, T., Brin, L., Zakharov, A., Kur, D., Hui, J., Marquis, G., Geoscience language models and their intrinsic evaluation (2022) Appl. Comput. Geosci, 14, pp. 100-119; Chaudhari, D., Pawar, A.V., Empowering Propaganda Detection in Resource-Restraint Languages: A Transformer-Based Framework for Classifying Hindi News Articles (2023) Big Data Cogn. Comput, 7; Okpala, E., Cheng, L., Mbwambo, N., Luo, F., AAEBERT: Debiasing BERT-based Hate Speech Detection Models via Adversarial Learning Proceedings of the 2022 21st IEEE International Conference on Machine Learning and Applications, pp. 1606-1612. , Nassau, Bahamas, 12–14 December 2022; Hunston, S., Systemic functional linguistics, corpus linguistics, and the ideology of science (2013) Text Talk, 33, pp. 617-640; Murakami, A., Thompson, P., Hunston, S., Vajn, D., What is this corpus about? using topic modelling to explore a specialised corpus (2017) Corpora, 12, pp. 243-277; Hunston, S., (2022) Corpora in Applied Linguistics, , Cambridge University Press, Cambridge, UK; Bonelli, E., Theoretical overview of the evolution of corpus linguistics (2010) The Routledge Handbook of Corpus Linguistics, pp. 14-28. , Routledge, London, UK; Hyland, K., Academic clusters: Text patterning in published and postgraduate writing (2008) Int. J. Appl. Linguist, 18, pp. 41-62; Tseng, H., Chen, B., Chang, T., Sung, Y., Integrating LSA-based hierarchical conceptual space and machine learning methods for leveling the readability of domain-specific texts (2019) Nat. Lang. Eng, 25, pp. 331-361; Venkatesh, V., Brown, S., Bala, H., Bridging the Qualitative-Quantitative Divide: Guidelines for Conducting Mixed Methods Research in Information Systems (2013) MIS Q, 37, pp. 21-54. , http://www.jstor.org/stable/43825936, Available online; Leitan, N., Chaffey, L., Embodied cognition, and its applications: A brief review (2014) Sensoria A J. Mind Brain Cult, 10, pp. 3-10; Pacho, T., Exploring participants’ experiences using case study (2015) Int. J. Humanit. Soc. Sci, 5, pp. 44-53</t>
  </si>
  <si>
    <t>This research was self-funded, and it received no external funding.</t>
  </si>
  <si>
    <t>Insuasti, J., Systems Engineering Department, University of Nariño, Pasto, 520001, Colombia; Roa, F., Systems Engineering Department, University of Nariño, Pasto, 520001, Colombia; Zapata-Jaramillo, C.M., Computer and Decision Science Department, Universidad Nacional de Colombia, Medellín, 050034, Colombia</t>
  </si>
  <si>
    <t>56880402700;58783224900;57218605354;</t>
  </si>
  <si>
    <t>Insuasti J., Roa F., Zapata-Jaramillo C.M.</t>
  </si>
  <si>
    <t>2-s2.0-85180310133</t>
  </si>
  <si>
    <t>2635098X</t>
  </si>
  <si>
    <t>Royal Society of Chemistry</t>
  </si>
  <si>
    <t>Back, S.; Department of Chemical and Biomolecular Engineering, South Korea; email: sback@sogang.ac.kr</t>
  </si>
  <si>
    <t>Yano, J., Gaffney, K.J., Gregoire, J., Hung, L., Ourmazd, A., Schrier, J., Sethian, J.A., Toma, F.M., (2022) Nat. Rev. Chem., 6, pp. 357-370. , 37117931; Jorner, K., Tomberg, A., Bauer, C., Sköld, C., Norrby, P.-O., (2021) Nat. Rev. Chem., 5, pp. 240-255. , 37117288; Meuwly, M., (2021) Chem. Rev., 121, pp. 10218-10239. , 34097378; Schwaller, P., Vaucher, A.C., Laplaza, R., Bunne, C., Krause, A., Corminboeuf, C., Laino, T., (2022) Wiley Interdiscip. Rev.: Comput. Mol. Sci., 12, p. e1604; Strieth-Kalthoff, F., Sandfort, F., Segler, M.H., Glorius, F., (2020) Chem. Soc. Rev., 49, pp. 6154-6168. , 32672294; Huang, B., Von Lilienfeld, O.A., (2021) Chem. Rev., 121, pp. 10001-10036. , 34387476; Poltavsky, I., Tkatchenko, A., (2021) J. Phys. Chem. Lett., 12, pp. 6551-6564. , 34242032; Zubatiuk, T., Isayev, O., (2021) Acc. Chem. Res., 54, pp. 1575-1585. , 33715355; Stach, E., DeCost, B., Kusne, A.G., Hattrick-Simpers, J., Brown, K.A., Reyes, K.G., Schrier, J., Foster, I., (2021) Matter, 4, pp. 2702-2726; Montoya, J.H., Aykol, M., Anapolsky, A., Gopal, C.B., Herring, P.K., Hummelshøj, J.S., Hung, L., Sun, S., (2022) Appl. Phys. Rev., 9, p. 11405; Hippalgaonkar, K., Li, Q., Wang, X., Fisher, J.W., III, Kirkpatrick, J., Buonassisi, T., (2023) Nat. Rev. Mater., 8, pp. 241-260; Sanchez-Lengeling, B., Aspuru-Guzik, A., (2018) Science, 361, pp. 360-365. , 30049875; Tabor, D.P., Roch, L.M., Saikin, S.K., Kreisbeck, C., Sheberla, D., Montoya, J.H., Dwaraknath, S., Tribukait, H., (2018) Nat. Rev. Mater., 3, pp. 5-20; Yao, Z., Lum, Y., Johnston, A., Mejia-Mendoza, L.M., Zhou, X., Wen, Y., Aspuru-Guzik, A., Seh, Z.W., (2023) Nat. Rev. Mater., 8, pp. 202-215. , 3627703; Pollice, R., dos Passos Gomes, G., Aldeghi, M., Hickman, R.J., Krenn, M., Lavigne, C., Lindner-D’Addario, M., Yao, Z., (2021) Acc. Chem. Res., 54, pp. 849-860. , 33528245; Yao, Z., Sánchez-Lengeling, B., Bobbitt, N.S., Bucior, B.J., Kumar, S.G.H., Collins, S.P., Burns, T., Snurr, R.Q., (2021) Nat. Mach. Intell., 3, pp. 76-86; Eyke, N.S., Koscher, B.A., Jensen, K.F., (2021) Trends Chem., 3, pp. 120-132; Grzybowski, B.A., Badowski, T., Molga, K., Szymkuć, S., (2023) Wiley Interdiscip. Rev.: Comput. Mol. Sci., 13, p. e1630; Seifrid, M., Pollice, R., Aguilar-Granda, A., Morgan Chan, Z., Hotta, K., Ser, C.T., Vestfrid, J., Aspuru-Guzik, A., (2022) Acc. Chem. Res., 55, pp. 2454-2466. , 35948428; Szymanski, N.J., Zeng, Y., Huo, H., Bartel, C.J., Kim, H., Ceder, G., (2021) Mater. Horiz., 8, pp. 2169-2198. , 3446423; Moosavi, S.M., Jablonka, K.M., Smit, B., (2020) J. Am. Chem. Soc., 142, pp. 20273-20287. , 33170678; Bennett, J.A., Abolhasani, M., (2022) Curr. Opin. Chem. Eng., 36, p. 100831; Tao, H., Wu, T., Aldeghi, M., Wu, T.C., Aspuru-Guzik, A., Kumacheva, E., (2021) Nat. Rev. Mater., 6, pp. 701-716; Bao, Z., Bufton, J., Hickman, R.J., Aspuru-Guzik, A., Bannigan, P., Allen, C., (2023) Adv. Drug Delivery Rev., p. 115108. , 37774977; Ivanenkov, Y., Zagribelnyy, B., Malyshev, A., Evteev, S., Terentiev, V., Kamya, P., Bezrukov, D., Zhavoronkov, A., (2023) ACS Med. Chem. Lett., 14, pp. 901-915. , 37465301; Ferguson, A.L., Brown, K.A., (2022) Annu. Rev. Chem. Biomol. Eng., 13, pp. 25-44. , 35236085; Häse, F., Roch, L.M., Aspuru-Guzik, A., (2019) Trends Chem., 1, pp. 282-291; Hickman, R.J., Bannigan, P., Bao, Z., Aspuru-Guzik, A., Allen, C., (2023) Matter, 6, pp. 1071-1081. , 37020832; Lo, S., Baird, S., Schrier, J., Blaiszik, B., Kalinin, S., Tran, H., Sparks, T., Aspuru-Guzik, A., (2023) ChemRxiv; Artrith, N., Butler, K.T., Coudert, F.-X., Han, S., Isayev, O., Jain, A., Walsh, A., (2021) Nat. Chem., 13, pp. 505-508. , 34059804; Vishwakarma, G., Sonpal, A., Hachmann, J., (2021) Trends Chem., 3, pp. 146-156; Radford, A., Kim, J.W., Xu, T., Brockman, G., McLeavey, C., Sutskever, I., (2022), and arXiv preprint arXiv2212.04356; https://www.lgresearch.ai/exaone, EXAONE accessed 19th Sep 2023; Moosavi, S.M., Nandy, A., Jablonka, K.M., Ongari, D., Janet, J.P., Boyd, P.G., Lee, Y., Kulik, H.J., (2020) Nat. Commun., 11, pp. 1-10. , 39652; Ramakrishnan, R., Dral, P.O., Rupp, M., Von Lilienfeld, O.A., (2014) Sci. Data, 1, pp. 1-7; Zaspel, P., Huang, B., Harbrecht, H., von Lilienfeld, O.A., (2018) J. Chem. Theory Comput., 15, pp. 1546-1559. , 30516999; Batra, R., Pilania, G., Uberuaga, B.P., Ramprasad, R., (2019) ACS Appl. Mater. Interfaces, 11, pp. 24906-24918. , 30990303; Busk, J., Jørgensen, P.B., Bhowmik, A., Schmidt, M.N., Winther, O., Vegge, T., (2021) Mach. Learn.: Sci. Technol., 3, p. 15012; Moosavi, S.M., Novotny, B.INNOAACUTE;., Ongari, D., Moubarak, E., Asgari, M., Kadioglu, INNOOUML;., Charalambous, C., Sarkisov, L., (2022) Nat. Mater., 21, pp. 1419-1425. , 36229651; Kim, S., Noh, J., Gu, G.H., Aspuru-Guzik, A., Jung, Y., (2020) ACS Cent. Sci., 6, pp. 1412-1420. , 32875082; Noh, J., Kim, J., Stein, H.S., Sanchez-Lengeling, B., Gregoire, J.M., Aspuru-Guzik, A., Jung, Y., (2019) Matter, 1, pp. 1370-1384; John, P.C.ST., Guan, Y., Kim, Y., Kim, S., Paton, R.S., (2020) Nat. Commun., 11, p. 2328. , 32393773; Uhrin, M., Huber, S.P., Yu, J., Marzari, N., Pizzi, G., (2021) Comput. Mater. Sci., 187, p. 110086; Draxl, C., Scheffler, M., (2018) MRS Bull., 43, pp. 676-682; Draxl, C., Scheffler, M., (2019) J. Phys.: Mater., 2, p. 36001; Segler, M.H., Preuss, M., Waller, M.P., (2018) Nature, 555, pp. 604-610. , 29595767; Coley, C.W., Thomas, D.A., III, Lummiss, J.A., Jaworski, J.N., Breen, C.P., Schultz, V., Hart, T., Gao, H., (2019) Science, 365, p. eaax1566. , 31395756; Schwaller, P., Laino, T., Gaudin, T., Bolgar, P., Hunter, C.A., Bekas, C., Lee, A.A., (2019) ACS Cent. Sci., 5, pp. 1572-1583. , 3784; Schwaller, P., Petraglia, R., Zullo, V., Nair, V.H., Haeuselmann, R.A., Pisoni, R., Bekas, C., Laino, T., (2020) Chem. Sci., 11, pp. 3316-3325. , 34122839; Genheden, S., Thakkar, A., Chadimová, V., Reymond, J.-L., Engkvist, O., Bjerrum, E., (2020) J. Cheminf., 12, p. 70; Chen, S., Jung, Y., (2021) JACS Au, 1, pp. 1612-1620. , 34723264; https://figshare.com/articles/dataset/Chemical_reactions_from_US_patents_1976-Sep2016_/5104873, D. Lowe Chemical reactions from US patents 1976-Sep2016 accessed 19th Sep 2023; https://www.nextmovesoftware.com/pistachio.html, J. Mayfield D. Lowe and R. Sayle Pistachio accessed 19th Sep 2023; https://www.reaxys.com, Reaxys accessed 19th Sep 2023; https://scifinder.cas.org, SciFinder accessed 19th Sep 2023; Szymkuć, S., Badowski, T., Grzybowski, B.A., (2021) Angew. Chem., 133, pp. 26430-26436; Kearnes, S.M., Maser, M.R., Wleklinski, M., Kast, A., Doyle, A.G., Dreher, S.D., Hawkins, J.M., Coley, C.W., (2021) J. Am. Chem. Soc., 143, pp. 18820-18826. , 34727496; Pesciullesi, G., Schwaller, P., Laino, T., Reymond, J.-L., (2020) Nat. Commun., 11, p. 4874. , 32978395; Seidl, P., Renz, P., Dyubankova, N., Neves, P., Verhoeven, J., Wegner, J.K., Segler, M., Klambauer, G., (2022) J. Chem. Inf. Model., 62, pp. 2111-2120. , 35034452; Kovács, D.P., McCorkindale, W., Lee, A.A., (2021) Nat. Commun., 12, p. 1695. , 33727552; Mikulak-Klucznik, B., Gołębiowska, P., Bayly, A.A., Popik, O., Klucznik, T., Szymkuć, S., Gajewska, E.P., Beker, W., (2020) Nature, 588, pp. 83-88. , 33049755; Busch, M., Wodrich, M.D., Corminboeuf, C., (2015) Chem. Sci., 6, pp. 6754-6761. , 287579; Gensch, T., dos Passos Gomes, G., Friederich, P., Peters, E., Gaudin, T., Pollice, R., Jorner, K., Sigman, M.S., (2022) J. Am. Chem. Soc., 144, pp. 1205-1217. , 35020383; Wilkinson, M.D., Dumontier, M., Aalbersberg, I.J., Appleton, G., Axton, M., Baak, A., Blomberg, N., Bourne, P.E., (2016) Sci. Data, 3, pp. 1-9; (2022) Open Research Data and Data Management Plans, , https://erc.europa.eu/sites/default/files/document/file/ERC_info_document-Open_Research_Data_and_Data_Management_Plans.pdf; https://commonchemistry.cas.org/, CAS Common Chemistry accessed 22nd July 2023; https://publish.acs.org/publish/data_guidelines, ACS Research Data Guidelines accessed 22nd July 2023; https://www.rsc.org/journals-books-databases/about-journals/digital-discovery/, Digital Discovery accessed 22nd July 2023; Schreiner, M., Bhowmik, A., Vegge, T., Busk, J., Winther, O., (2022) Sci. Data, 9, p. 779. , 36566281; Schreiner, M., Bhowmik, A., Vegge, T., Jørgensen, P.B., Winther, O., (2022) Mach. Learn.: Sci. Technol., 3, p. 45022; Jang, J., Gu, G.H., Noh, J., Kim, J., Jung, Y., (2020) J. Am. Chem. Soc., 142, pp. 18836-18843. , 33104335; Roch, L.M., Häse, F., Kreisbeck, C., Tamayo-Mendoza, T., Yunker, L.P., Hein, J.E., Aspuru-Guzik, A., (2020) PLoS One, 15. , 32298284; Roch, L.M., Häse, F., Kreisbeck, C., Tamayo-Mendoza, T., Yunker, L.P., Hein, J.E., Aspuru-Guzik, A., (2018) Sci. Robot., 3, p. eaat5559. , 141686; Sim, M., Vakili, M.G., Strieth-Kalthoff, F., Hao, H., Hickman, R., Miret, S., Pablo-García, S., Aspuru-Guzik, A., (2023) ChemRxiv; Vogler, M., Busk, J., Hajiyani, H., Jørgensen, P.B., Safaei, N., Castelli, I.E., Ramirez, F.F., Clark, S., (2023) Matter, 6, pp. 2647-2665; Moosavi, S.M., Chidambaram, A., Talirz, L., Haranczyk, M., Stylianou, K.C., Smit, B., (2019) Nat. Commun., 10, p. 539. , 307082; Jia, X., Lynch, A., Huang, Y., Danielson, M., Lang’at, I., Milder, A., Ruby, A.E., Norquist, A.J., (2019) Nature, 573, pp. 251-255. , 31511682; Skreta, M., Yoshikawa, N., Arellano-Rubach, S., Ji, Z., Kristensen, L.B., Darvish, K., Aspuru-Guzik, A., Garg, A., (2023), and arXiv preprint arXiv2303.14100; Bran, A.M., Cox, S., White, A.D., Schwaller, P., (2023), and arXiv preprint arXiv2304.05376; Boiko, D.A., MacKnight, R., Gomes, G., (2023), and arXiv preprint arXiv2304.05332; Hocky, G.M., White, A.D., (2022) Digital Discovery, 1, pp. 79-83. , 3555080; Krenn, M., Pollice, R., Guo, S.Y., Aldeghi, M., Cervera-Lierta, A., Friederich, P., dos Passos Gomes, G., Nigam, A., (2022) Nat. Rev. Phys., 4, pp. 761-769. , 3627217; Deringer, V.L., Bernstein, N., Csányi, G., Ben Mahmoud, C., Ceriotti, M., Wilson, M., Drabold, D.A., Elliott, S.R., (2021) Nature, 589, pp. 59-64. , 33408379; Han, S., Barcaro, G., Fortunelli, A., Lysgaard, S., Vegge, T., Hansen, H.A., (2022) npj Comput. Mater., 8, p. 121; Gu, G.H., Lim, J., Wan, C., Cheng, T., Pu, H., Kim, S., Noh, J., Goddard, W.A., III, (2021) J. Am. Chem. Soc., 143, pp. 5355-5363. , 33730503; Han, S., Lysgaard, S., Vegge, T., Hansen, H.A., (2023) npj Comput. Mater., 9, p. 139; Ceriotti, M., Clementi, C., Anatole von Lilienfeld, O., (2021) Chem. Rev., 121, pp. 9719-9721. , 34428897; Mikkelsen, A.E., Kristoffersen, H.H., Schiøtz, J., Vegge, T., Hansen, H.A., Jacobsen, K.W., (2022) Phys. Chem. Chem. Phys., 24, pp. 9885-9890. , 35416202; Wang, Q., Pan, J., Guo, J., Hansen, H.A., Xie, H., Jiang, L., Hua, L., Wang, P., (2021) Nat. Catal., 4, pp. 959-967; Zhang, Y., Zheng, Y., Rui, K., Hng, H.H., Hippalgaonkar, K., Xu, J., Sun, W., Huang, W., (2017) Small, 13, p. 1700661. , 28594444; Bash, D., Cai, Y., Chellappan, V., Wong, S.L., Yang, X., Kumar, P., Tan, J.D., Lim, Y.F., (2021) Adv. Funct. Mater., 31, p. 2102606; Friederich, P., Häse, F., Proppe, J., Aspuru-Guzik, A., (2021) Nat. Mater., 20, pp. 750-761. , 34045696; Musil, F., Grisafi, A., Bartók, A.P., Ortner, C., Csányi, G., Ceriotti, M., (2021) Chem. Rev., 121, pp. 9759-9815. , 34310133; Grisafi, A., Wilkins, D.M., Csányi, G., Ceriotti, M., (2018) Phys. Rev. Lett., 120, p. 36002. , 29400528; Cohen, T., Welling, M., Group Equivariant Convolutional Networks (2016) Proceedings of The 33rd International Conference on Machine Learning, , https://proceedings.mlr.press/v48/cohenc16.html; Gómez-Bombarelli, R., Aguilera-Iparraguirre, J., Hirzel, T.D., Duvenaud, D., Maclaurin, D., Blood-Forsythe, M.A., Chae, H.S., Wu, T., (2016) Nat. Mater., 15, pp. 1120-1127. , 27500805; Nagasawa, S., Al-Naamani, E., Saeki, A., (2018) J. Phys. Chem. Lett., 9, pp. 2639-2646. , 2733216; Molga, K., Gajewska, E.P., Szymkuć, S., Grzybowski, B.A., (2019) React. Chem. Eng., 4, pp. 1506-1521; Ceriotti, M., (2022) MRS Bull., 47, pp. 1045-1053; Weinreich, J., Browning, N.J., von Lilienfeld, O.A., (2021) J. Chem. Phys., 154, p. 134113. , 33832231; Schrier, J., Norquist, A.J., Buonassisi, T., Brgoch, J., (2023) J. Am. Chem. Soc., 145, pp. 21699-21716. , 37754929; Häse, F., Roch, L.M., Aspuru-Guzik, A., (2018) Chem. Sci., 9, pp. 7642-7655. , 3033525; Hickman, R., Sim, M., Pablo-García, S., Woolhouse, I., Hao, H., Bao, Z., Bannigan, P., Aspuru-Guzik, A., (2023) ChemRxiv; Taylor, C.J., Pomberger, A., Felton, K.C., Grainger, R., Barecka, M., Chamberlain, T.W., Bourne, R.A., Lapkin, A.A., (2023) Chem. Rev., 123, pp. 3089-3126. , 36820880; Fromer, J.C., Coley, C.W., (2023) Patterns, 4, p. 100678. , 3687390; Schrier, J., Norquist, A.J., Buonassisi, T., Brgoch, J., (2023) J. Am. Chem. Soc., 145, pp. 21699-21716. , 37754929; McNally, A., Prier, C.K., MacMillan, D.W., (2011) Science, 334, pp. 1114-1117. , 22116882; Busk, J., Schmidt, M., Winther, O., Vegge, T., Jørgensen, P.B., (2023) Phys. Chem. Chem. Phys., 25, pp. 25828-25837. , 37724552; Chen, S., Jung, Y., (2022) Nat. Mach. Intell., 4, pp. 772-780; Vargas, S., Zamirpour, S., Menon, S., Rothman, A., Häse, F., Tamayo-Mendoza, T., Romero, J., Aspuru-Guzik, A., (2020) J. Chem. Educ., 97, pp. 689-694; Saar, L., Liang, H., Wang, A., McDannald, A., Rodriguez, E., Takeuchi, I., Kusne, A.G., (2022) MRS Bull., 47, pp. 881-885; Sharma, A.K., (2021) J. Comput. Sci. Educ., 12, pp. 8-15. , 3107473; Thrall, E.S., Lee, S.E., Schrier, J., Zhao, Y., (2021) J. Chem. Educ., 98, pp. 3269-3276; Revignas, D., Amendola, V., (2022) J. Chem. Educ., 99, pp. 2112-2120; Lafuente, D., Cohen, B., Fiorini, G., García, A.A., Bringas, M., Morzan, E., Onna, D., (2021) J. Chem. Educ., 98, pp. 2892-2898; St James, A.G., Hand, L., Mills, T., Song, L., Brunt, A.S.J., Bergstrom Mann, P.E., Worrall, A.F., Vallance, C., (2023) J. Chem. Educ., 100, pp. 1343-1350; Cachichi, R.C., Girotto Junior, G., Galembeck, E., Schewinsky Junior, J.A.M., Ferreira Gomes, D., Simoni, J.D.A., (2020) J. Chem. Educ., 97, pp. 3667-3672; Lo, S., Baird, S., Schrier, J., Blaiszik, B., Kalinin, S., Tran, H., Sparks, T., Aspuru-Guzik, A., (2023), and DOI; Vanderplas, J., (2016) Statistics for hackers, , Portland Oregon; Abdinejad, M., Talaie, B., Qorbani, H.S., Dalili, S., (2021) J. Sci. Educ. Technol., 30, pp. 87-96; van Dinther, R., de Putter, L., Pepin, B., (2023) J. Chem. Educ., 100, pp. 1537-1546; Baird, S.G., Sparks, T.D., (2022) Matter, 5, pp. 4170-4178; Keesey, R., LeSuer, R., Schrier, J., (2022) HardwareX, 12, p. e00319. , 35677813; Gerber, L.C., Calasanz-Kaiser, A., Hyman, L., Voitiuk, K., Patil, U., Riedel-Kruse, I.H., (2017) PLoS Biol., 15. , 28323828; Li, E., Lam, A.T., Fuhrmann, T., Erikson, L., Wirth, M., Miller, M.L., Blikstein, P., Riedel-Kruse, I.H., (2022) PLoS One, 17. , 36350791; Armstrong, L.B., Rivas, M.C., Zhou, Z., Irie, L.M., Kerstiens, G.A., Robak, M.T., Douskey, M.C., Baranger, A.M., (2019) J. Chem. Educ., 96, pp. 2410-2419; Liu, Y., (2022) J. Chem. Educ., 99, pp. 2588-2596; Quam, G.N., (1940) J. Chem. Educ., 17, p. 363; Baker, R.M., Leonard, M.E., Milosavljevic, B.H., (2020) J. Chem. Educ., 97, pp. 3097-3101; Nguyen, J.G., Keuseman, K.J., Humston, J.J., (2020) J. Chem. Educ., 97, pp. 3429-3435</t>
  </si>
  <si>
    <t>The symposium organizers (YJ, AAG, and AVL) are grateful to KIST for generous financial support to organize the symposium. YJ acknowledges support from IITP Korea (No. 2021-0-01343, Artificial Intelligence Graduate School Program for Seoul National University &amp; No. 2021-0-02068, Artificial Intelligence Innovation Hub) and NRF of Korea funded by Ministry of Science and ICT (RS-2023-00283902). PS acknowledges support from the NCCR Catalysis (grant number 180544), a National Centre of Competence in Research funded by the Swiss National Science Foundation. A. A.-G. acknowledges support from the Acceleration Consortium, a Canada First Research Excellence Fund at the University of Toronto as well as Anders G. Frøseth.</t>
  </si>
  <si>
    <t>2021-0-02068; Schweizerischer Nationalfonds zur Förderung der Wissenschaftlichen Forschung, SNF; University of Toronto, U of T; Ministry of Science, ICT and Future Planning, MSIP: RS-2023-00283902; Korea Institute of Science and Technology, KIST; National Research Foundation of Korea, NRF; Institute for Information and Communications Technology Promotion, IITP: 2021-0-01343; NCCR Catalysis, NCCR: 180544</t>
  </si>
  <si>
    <t>In light of the pressing need for practical materials and molecular solutions to renewable energy and health problems, to name just two examples, one wonders how to accelerate research and development in the chemical sciences, so as to address the time it takes to bring materials from initial discovery to commercialization. Artificial intelligence (AI)-based techniques, in particular, are having a transformative and accelerating impact on many if not most, technological domains. To shed light on these questions, the authors and participants gathered in person for the ASLLA Symposium on the theme of ‘Accelerated Chemical Science with AI’ at Gangneung, Republic of Korea. We present the findings, ideas, comments, and often contentious opinions expressed during four panel discussions related to the respective general topics: ‘Data’, ‘New applications’, ‘Machine learning algorithms’, and ‘Education’. All discussions were recorded, transcribed into text using Open AI's Whisper, and summarized using LG AI Research's EXAONE LLM, followed by revision by all authors. For the broader benefit of current researchers, educators in higher education, and academic bodies such as associations, publishers, librarians, and companies, we provide chemistry-specific recommendations and summarize the resulting conclusions. © 2024 RSC.</t>
  </si>
  <si>
    <t>Back, S., Department of Chemical and Biomolecular Engineering, Institute of Emergent Materials, Sogang University, Seoul, South Korea; Aspuru-Guzik, A., Departments of Chemistry, Computer Science, University of Toronto, St. George Campus, Toronto, ON, Canada, Acceleration Consortium and Vector Institute for Artificial Intelligence, Toronto, ON  M5S 1M1, Canada; Ceriotti, M., Laboratory of Computational Science and Modeling (COSMO), École Polytechnique Fédérale de Lausanne, Lausanne, Switzerland; Gryn'ova, G., Heidelberg Institute for Theoretical Studies (HITS gGmbH), Heidelberg, 69118, Germany, Interdisciplinary Center for Scientific Computing, Heidelberg University, Heidelberg, 69120, Germany; Grzybowski, B., Center for Algorithmic and Robotized Synthesis (CARS), Institute for Basic Science (IBS), Ulsan, South Korea, Institute of Organic Chemistry, Polish Academy of Sciences, Warsaw, Poland, Department of Chemistry, Ulsan National Institute of Science and Technology, Ulsan, South Korea; Gu, G.H., Department of Energy Engineering, Korea Institute of Energy Technology (KENTECH), Naju, 58330, South Korea; Hein, J., Department of Chemistry, University of British Columbia, Vancouver, BC  V6T 1Z1, Canada; Hippalgaonkar, K., School of Materials Science and Engineering, Nanyang Technological University, 50 Nanyang Avenue, Singapore, 639798, Singapore, Institute of Materials Research and Engineering, Agency for Science Technology and Research, 2 Fusionopolis Way, 08-03, Singapore, 138634, Singapore; Hormázabal, R., LG AI Research, Seoul, South Korea; Jung, Y., Department of Chemical and Biomolecular Engineering, KAIST, Daejeon, South Korea, School of Chemical and Biological Engineering, Interdisciplinary Program in Artificial Intelligence, Seoul National University, 1 Gwanak-ro, Gwanak-gu, Seoul, 08826, South Korea; Kim, S., Department of Chemistry, Colorado State University, 1301 Center Avenue, Fort Collins, CO  80523, United States; Kim, W.Y., Department of Chemistry, KAIST, Daejeon, South Korea; Moosavi, S.M., Chemical Engineering &amp; Applied Chemistry, University of Toronto, Toronto, ON  M5S 3E5, Canada; Noh, J., Chemical Data-Driven Research Center, Korea Research Institute of Chemical Technology, Daejeon, 34114, South Korea; Park, C., LG AI Research, Seoul, South Korea; Schrier, J., Department of Chemistry, Fordham University, The BronxNY  10458, United States; Schwaller, P., Laboratory of Artificial Chemical Intelligence (LIAC), National Centre of Competence in Research (NCCR) Catalysis, École Polytechnique Fédérale de Lausanne, Lausanne, Switzerland; Tsuda, K., Graduate School of Frontier Sciences, The University of Tokyo, Chiba, Kashiwa, 277-8561, Japan, Center for Basic Research on Materials, National Institute for Materials Science, Ibaraki, Tsukuba, 305-0044, Japan, RIKEN Center for Advanced Intelligence Project, Tokyo, 103-0027, Japan; Vegge, T., Department of Energy Conversion and Storage, Technical University of Denmark, 301 Anker Engelunds vej, Kongens Lyngby, Copenhagen, 2800, Denmark; von Lilienfeld, O.A., Acceleration Consortium and Vector Institute for Artificial Intelligence, Toronto, ON  M5S 1M1, Canada, Departments of Chemistry, Materials Science and Engineering, and Physics, University of Toronto, St George Campus, Toronto, ON, Canada, Machine Learning Group, Technische Universität Berlin, Berlin Institute for the Foundations of Learning and Data, Berlin, 10587, Germany; Walsh, A., Department of Materials, Imperial College London, London, SW7 2AZ, United Kingdom, Department of Physics, Ewha Women's University, Seoul, South Korea</t>
  </si>
  <si>
    <t>Department of Chemical and Biomolecular Engineering, Institute of Emergent Materials, Sogang University, Seoul, South Korea; Departments of Chemistry, Computer Science, University of Toronto, St. George Campus, Toronto, ON, Canada; Acceleration Consortium and Vector Institute for Artificial Intelligence, Toronto, ON  M5S 1M1, Canada; Laboratory of Computational Science and Modeling (COSMO), École Polytechnique Fédérale de Lausanne, Lausanne, Switzerland; Heidelberg Institute for Theoretical Studies (HITS gGmbH), Heidelberg, 69118, Germany; Interdisciplinary Center for Scientific Computing, Heidelberg University, Heidelberg, 69120, Germany; Center for Algorithmic and Robotized Synthesis (CARS), Institute for Basic Science (IBS), Ulsan, South Korea; Institute of Organic Chemistry, Polish Academy of Sciences, Warsaw, Poland; Department of Chemistry, Ulsan National Institute of Science and Technology, Ulsan, South Korea; Department of Energy Engineering, Korea Institute of Energy Technology (KENTECH), Naju, 58330, South Korea; Department of Chemistry, University of British Columbia, Vancouver, BC  V6T 1Z1, Canada; School of Materials Science and Engineering, Nanyang Technological University, 50 Nanyang Avenue, Singapore, 639798, Singapore; Institute of Materials Research and Engineering, Agency for Science Technology and Research, 2 Fusionopolis Way, 08-03, Singapore, 138634, Singapore; LG AI Research, Seoul, South Korea; Department of Chemical and Biomolecular Engineering, KAIST, Daejeon, South Korea; School of Chemical and Biological Engineering, Interdisciplinary Program in Artificial Intelligence, Seoul National University, 1 Gwanak-ro, Gwanak-gu, Seoul, 08826, South Korea; Department of Chemistry, Colorado State University, 1301 Center Avenue, Fort Collins, CO  80523, United States; Department of Chemistry, KAIST, Daejeon, South Korea; Chemical Engineering &amp; Applied Chemistry, University of Toronto, Toronto, ON  M5S 3E5, Canada; Chemical Data-Driven Research Center, Korea Research Institute of Chemical Technology, Daejeon, 34114, South Korea; Department of Chemistry, Fordham University, The BronxNY  10458, United States; Laboratory of Artificial Chemical Intelligence (LIAC), National Centre of Competence in Research (NCCR) Catalysis, École Polytechnique Fédérale de Lausanne, Lausanne, Switzerland; Graduate School of Frontier Sciences, The University of Tokyo, Chiba, Kashiwa, 277-8561, Japan; Center for Basic Research on Materials, National Institute for Materials Science, Ibaraki, Tsukuba, 305-0044, Japan; RIKEN Center for Advanced Intelligence Project, Tokyo, 103-0027, Japan; Department of Energy Conversion and Storage, Technical University of Denmark, 301 Anker Engelunds vej, Kongens Lyngby, Copenhagen, 2800, Denmark; Departments of Chemistry, Materials Science and Engineering, and Physics, University of Toronto, St George Campus, Toronto, ON, Canada; Machine Learning Group, Technische Universität Berlin, Berlin Institute for the Foundations of Learning and Data, Berlin, 10587, Germany; Department of Materials, Imperial College London, London, SW7 2AZ, United Kingdom; Department of Physics, Ewha Women's University, Seoul, South Korea</t>
  </si>
  <si>
    <t>https://www.scopus.com/inward/record.uri?eid=2-s2.0-85180310133&amp;doi=10.1039%2fd3dd00213f&amp;partnerID=40&amp;md5=734d26d55c175b684936583cc7ab773a</t>
  </si>
  <si>
    <t>Digital Discovery</t>
  </si>
  <si>
    <t>57200678669;6507007526;23088470100;36625137300;7004632584;57226152916;7103275287;21742730500;57960037900;7402506401;55995754200;8669281200;57193955748;57190981658;58836825000;6602824045;57200552603;7202766502;7003740838;8685459200;35315151400;</t>
  </si>
  <si>
    <t>Back S., Aspuru-Guzik A., Ceriotti M., Gryn'ova G., Grzybowski B., Gu G.H., Hein J., Hippalgaonkar K., Hormázabal R., Jung Y., Kim S., Kim W.Y., Moosavi S.M., Noh J., Park C., Schrier J., Schwaller P., Tsuda K., Vegge T., von Lilienfeld O.A., Walsh A.</t>
  </si>
  <si>
    <t>Guo, Y.; Department of Chemistry, 1000 University Center Lane, United States; email: yguo1@ggc.edu</t>
  </si>
  <si>
    <t>Paul, R.W., Critical thinking: fundamental to education for a free society (1984) Educational Leadership, 42 (1), pp. 4-14; Facione, P.A., Critical thinking: what it is and why it counts (2011) Insight Assessment, 1 (1), pp. 1-23; Davies, M., A model of critical thinking in higher education (2015) Higher Education: Handbook of Theory and Research, 30, pp. 41-92; Halpern, D.F., Teaching for critical thinking: helping college students develop the skills and dispositions of a critical thinker (1999) New directions for teaching and learning, 1999 (80), pp. 69-74; Ku, K.Y., Assessing students’ critical thinking performance: urging for measurements using multi-response format (2009) Thinking skills and creativity, 4 (1), pp. 70-76; Hart, C., Da Costa, C., D’Souza, D., Kimpton, A., Ljbusic, J., Exploring higher education students’ critical thinking skills through content analysis (2021) Thinking skills and creativity, 41, p. 100877; Dunne, G., Beyond critical thinking to critical being: criticality in higher education and life (2015) International journal of educational research, 71, pp. 86-99; (2023) Framework for information literacy for higher education, , http://www.ala.org/acrl/standards/ilframework, Association of College &amp; Research Libraries . . accessed October ; American Chemical Society, (2023) Committee on professional training chemical information skills, , https://www.acs.org/content/dam/acsorg/about/governance/committees/training/acsapproved/degreeprogram/chemical-information-skills.pdf, accessed October ; López-Fernández, M.A.D.M., Gonzalez-Garcia, F., Franco-Mariscal, A.J., How can socio-scientific issues help develop critical thinking in chemistry education? A reflection on the problem of plastics (2022) J. Chem. Educ., 99 (10), pp. 3435-3442; Yang, H., How I use ChatGPT responsibly in my teaching (2023) Nature; Cooper, G., Examining science education in ChatGPT: an exploratory study of generative artificial intelligence (2023) Journal of Science Education and Technology, 32, p. 444; Wang, P., On defining artificial intelligence (2019) Journal of Artificial General Intelligence, 10 (2), pp. 1-37; Shukla Shubhendu, S., Vijay, J., Applicability of artificial intelligence in different fields of life (2013) Int. J. Sci. Eng. Res., 1 (1), pp. 28-35; Kasneci, E., Sessler, K., Kuchemann, S., Bannert, M., Dementieva, D., Fischer, F., Gasser, U., Kasneci, G., ChatGPT for good? On opportunities and challenges of large language models for education (2023) Learning and Individual Differences, 103, p. 102274; Bitzenbauer, P., ChatGPT in physics education: a pilot study on easy-to-implement activities (2023) Contemporary Educational Technology, 15 (3); Halaweh, M., ChatGPT in education: strategies for responsible implementation (2023) Cont. Ed. Technol., 15 (2); Ahuja, A.S., The impact of artificial intelligence in medicine on the future role of the physician (2019) PeerJ., 7; Hwang, G.-J., Chang, C.-Y., A review of opportunities and challenges of chatbots in education (2023) Interactive Learning Environments, 31, p. 4099; Gregorcic, B., Pendrill, A.-M., ChatGPT and the frustrated Socrates (2023) Physics Education, 58 (3), p. 35021; Wang, J., ChatGPT: a test drive (2023) American Journal of Physics, 91 (4), pp. 255-256; Floridi, L., Chiriatti, M., GPT-3: its nature, scope, limits, and consequences (2020) Mind. Mach, 30, pp. 681-694; Farrokhnia, M., Banihashem, S.K., Noroozi, O., Wals, A., A SWOT analysis of ChatGPT: implications for educational practice and research (2023) Innovations in Education and Teaching International, pp. 1-15; Lecler, A., Duron, L., Soyer, P., Revolutionizing radiology with GPT-based models: current applications, future possibilities and limitations of ChatGPT (2023) Diagnostic and Interventional Imaging, 104 (6), pp. 269-274; Sallam, M., The utility of ChatGPT as an example of large language models in healthcare education, research and practice: systematic review on the future perspectives and potential limitations (2023) Healthcare, 11 (21), p. 2819; Frazer, L., Higginbotham, H.F., Bell, T.D., Funston, A.M., It’s fundamental”: quantum dot blinking experiment to teach critical thinking (2020) J. Chem. Educ., 97 (1), pp. 244-252; Danczak, S., Thompson, C., Overton, T., ‘What does the term critical thinking mean to you?’A qualitative analysis of chemistry undergraduate, teaching staff and employers’ views of critical thinking (2017) Chemistry Education Research and Practice, 18 (3), pp. 420-434; Aloisi, C., Callaghan, A., Threats to the validity of the Collegiate Learning Assessment (CLA+) as a measure of critical thinking skills and implications for learning gain (2018) Higher Education Pedagogies, 3 (1), pp. 57-82; Gupta, T., Burke, K., Mehta, A., Greenbowe, T.J., Impact of guided-inquiry-based instruction with a writing and reflection emphasis on chemistry students’ critical thinking abilities (2015) J. Chem. Educ., 92 (1), pp. 32-38; Scriven, M., Evaluation: future tense (2001) Am. J. Eval., 22 (3), pp. 301-307; Oliver-Hoyo, M.T., Designing a written assignment to promote the use of critical thinking skills in an introductory chemistry course (2003) J. Chem. Educ., 80 (8), p. 899; Cowden, C.D., Santiago, M.F., Interdisciplinary explorations: promoting critical thinking via problem-based learning in an advanced biochemistry class (2016) J. Chem. Educ., 93 (3), pp. 464-469; Kogut, L.S., Critical thinking in general chemistry (1996) J. Chem. Educ., 73 (3), pp. 218-221; Exintaris, B., Karunaratne, N., Yuriev, E., Metacognition and critical thinking: using ChatGPT-generated responses as prompts for critique in a problem-solving workshop (SMARTCHEMPer) (2023) J. Chem. Educ., 100 (8), pp. 2972-2980; (2023) About GGC, , https://www.ggc.edu/about-ggc/, Georgia Gwinnett College. . accessed May ; (2023), https://sites.ed.gov/hispanic-initiative/hispanic-serving-institutions-hsis/, U.S. department of education . Hispanic-serving institutions HSIs. accessed May ; Georgia Gwinnett College to bolster student success (2023), https://www.ggc.edu/about-ggc/news/News/georgia-gwinnett-college-to-bolster-student-success, accessed May ; (2020) Annual estimates of the resident population for counties: April 1, 2020 to July 1, 2021 (CO-EST2021-POP), , https://www.census.gov/data/tables/time-series/demo/popest/2020s-counties-total.html, U.S. census bureau county population totals . . . accessed May 2023; Guo, Y., O’Halloran, K.P., Eaker, R.M., Anfuso, C.L., Kirberger, M., Gluick, T., Affective elements of the student experience that contribute to withdrawal rates in the general chemistry sequence: A multimethod study (2022) J. Chem. Educ., 99 (6), pp. 2217-2230; Shoufan, A., Exploring students’ perceptions of ChatGPT: thematic analysis and follow-up survey (2023) IEEE Access, 11, pp. 38805-38818; Halpern, D.F., Teaching critical thinking for transfer across domains: disposition, skills, structure training, and metacognitive monitoring (1998) Am. Psychol., 53 (4), pp. 449-455</t>
  </si>
  <si>
    <t>Guo, Y., Department of Chemistry, School of Science and Technology, Georgia Gwinnett College, 1000 University Center Lane, Lawrenceville, GA  30043, United States; Lee, D., STEM Academy, George Walton Comprehensive High School, 1590 Bill Murdock Road, Marietta, GA  30062, United States</t>
  </si>
  <si>
    <t>Department of Chemistry, School of Science and Technology, Georgia Gwinnett College, 1000 University Center Lane, Lawrenceville, GA  30043, United States; STEM Academy, George Walton Comprehensive High School, 1590 Bill Murdock Road, Marietta, GA  30062, United States</t>
  </si>
  <si>
    <t>57219006300;58205101600;</t>
  </si>
  <si>
    <t>Guo Y., Lee D.</t>
  </si>
  <si>
    <t>2-s2.0-85185405871</t>
  </si>
  <si>
    <t>15th Annual Meeting of the Forum for Information Retrieval Evaluation, FIRE 2023</t>
  </si>
  <si>
    <t>ACM SIGIR;AI4ICPS � IIT Kharagpur;Department of Higher Education - Govt. of Goa</t>
  </si>
  <si>
    <t>Ganguly D.Majumdar S.Mitra B.Gupta P.Gangopadhyay S.Majumder P.Majumder P.</t>
  </si>
  <si>
    <t>Bosu, A., Greiler, M., Bird, C., Characteristics of useful code reviews: An empirical study at microsoft (2015) Working Conference on Mining Software Repositories, pp. 146-156; Brown, T., Mann, B., Ryder, N., Subbiah, M., Kaplan, J.D., Dhariwal, P., Neelakantan, A., Askell, A., Language models are few-shot learners (2020) Advances in Neural Information Processing Systems, 33, pp. 1877-1901. , 2020; Chatterjee, N., Majumdar, S., Rani Sahoo, S., Pratim Das, P., Debugging multi-threaded applications using pin-augmented GDB (PGDB (2015) International Conference on Software Engineering Research and Practice (SERP, pp. 109-115. , Springer; Majumdar, S., Bandyopadhyay, A., Chattopadhyay, S., Pratim Das, P., Clough, P.D., Majumder, P., Overview of the IRSE track at FIRE 2022: Information Retrieval in Software Engineering (2022) Forum for Information Retrieval Evaluation; Majumdar, S., Bandyopadhyay, A., Pratim Das, P., Clough, P., Chattopadhyay, S., Majumder, P., Can we predict useful comments in source codes?-Analysis of findings from Information Retrieval in Software Engineering Track@ FIRE 2022 (2022) Proceedings of the 14th Annual Meeting of the Forum for Information Retrieval Evaluation, pp. 15-17; Majumdar, S., Bansal, A., Pratim Das, P., Clough, P.D., Datta, K., Kanti Ghosh, S., Automated evaluation of comments to aid software maintenance (2022) Journal of Software: Evolution and Process, 34 (7), p. e2463. , 2022; Majumdar, S., Chatterjee, N., Pratim Das, P., Chakrabarti, A., A mathematical framework for design discovery from multithreaded applications using neural sequence solvers (2021) Innovations in Systems and Software Engineering, 17 (3), pp. 289-307. , 2021; Majumdar, S., Chatterjee, N., Pratim Das, P., Chakrabarti, A., Dcube-NN D cube NN: Tool for Dynamic Design Discovery from Multi-threaded Applications Using Neural Sequence Models (2021) Advanced Computing and Systems for Security, 14, pp. 75-92. , 2021; Majumdar, S., Chatterjee, N., Rani Sahoo, S., Pratim Das, P., D-cube: Tool for dynamic design discovery from multi-threaded applications using pin (2016) 2016 IEEE International Conference on Software Quality, Reliability and Security (QRS). IEEE, pp. 25-32; Majumdar, S., Papdeja, S., Pratim Das, P., Kanti Ghosh, S., Smartkt: A search framework to assist program comprehension using smart knowledge transfer (2019) 2019 IEEE 19th International Conference on Software Quality, Reliability and Security (QRS). IEEE, pp. 97-108; Majumdar, S., Papdeja, S., Pratim Das, P., Kanti Ghosh, S., Comment-Mine-A Semantic Search Approach to Program Comprehension from Code Comments (2020) Advanced Computing and Systems for Security, pp. 29-42. , Springer; Majumdar, S., Varshney, A., Pratim Das, P., Clough, P.D., Chattopadhyay, S., An Effective Low-Dimensional Software Code Representation using BERT and ELMo (2022) 2022 IEEE 22nd International Conference on Software Quality, Reliability and Security (QRS). IEEE, pp. 763-774; O'Brien, M.P., (2003) Software Comprehension-a Review and Research Direction, , Technical Report Technical Report. Department of Computer Science &amp; Information Systems University of Limerick, Ireland; Masudur Rahman, M., Roy, C.K., Kula, R.G., Predicting usefulness of code review comments using textual features and developer experience (2017) International Conference on Mining Software Repositories MSR, pp. 215-226; Steidl, D., Hummel, B., Juergens, E., Quality analysis of source code comments (2013) International Conference on Program Comprehension (ICPC, pp. 83-92</t>
  </si>
  <si>
    <t>C (programming language); Computational linguistics; Large datasets; Learning systems; Machine learning; Open source software; Open systems; Syntactics; Trees (mathematics); Abstract Syntax Trees; Bert; Engineering information retrievals; GPT-2; Ground truth; Language model; Neural-networks; Scale-up; Stanford; Stanford POS tagging; Information retrieval</t>
  </si>
  <si>
    <t>Abstract syntax tree; Bert; GPT-2; Neural networks; Stanford POS Tagging</t>
  </si>
  <si>
    <t>The Software Engineering Information Retrieval (IRSE) track aims to devise solutions for the automated evaluation of code comments within a machine learning framework, with labels generated by both humans and large language models. Within this track, there is a binary classification task: discerning comments as either useful or not useful. The dataset includes 9,048 pairs of code comments and surrounding code snippets drawn from open-source C-based projects on GitHub and an additional dataset generated by teams employing large language models. In total, 17 teams representing various universities and software companies have contributed 56 experiments. These experiments were assessed through quantitative metrics, primarily the F1-Score, and qualitative evaluations based on the features developed, the supervised learning models employed, and their respective hyperparameters. It is worth noting that labels generated by large language models introduce bias into the prediction model but lead to less over-fitted results. © 2023 Owner/Author.</t>
  </si>
  <si>
    <t>Paul, S., Indian Institute of Technology, Kharagpur, India; Majumdar, S., Indian Institute of Technology, Kharagpur, India, University of Leeds, United Kingdom; Bandyopadhyay, A., Tcg Crest, Centres for Research and Education in Science and Technology, Kolkata, India; Dave, B., DA-IICT, Gandhinagar, India; Chattopadhyay, S., Jadavpur University, West Bengal, India; Das, P., Indian Institute of Technology, Kharagpur, India; Clough, P.D., University of Sheffield, Sheffield, United Kingdom, TPXimpact London, United Kingdom; Majumder, P., Tcg Crest, Centres for Research and Education in Science and Technology, Kolkata, India, DA-IICT, Gandhinagar, India</t>
  </si>
  <si>
    <t>Indian Institute of Technology, Kharagpur, India; University of Leeds, United Kingdom; Tcg Crest, Centres for Research and Education in Science and Technology, Kolkata, India; DA-IICT, Gandhinagar, India; Jadavpur University, West Bengal, India; University of Sheffield, Sheffield, United Kingdom; TPXimpact London, United Kingdom</t>
  </si>
  <si>
    <t>https://www.scopus.com/inward/record.uri?eid=2-s2.0-85185405871&amp;doi=10.1145%2f3632754.3633480&amp;partnerID=40&amp;md5=b1ead8968f59c91bf0f77668d7fb7113</t>
  </si>
  <si>
    <t>10.1145/3632754.3633480</t>
  </si>
  <si>
    <t>Efficiency of Large Language Models to scale up Ground Truth: Overview of the IRSE Track at Forum for Information Retrieval 2023</t>
  </si>
  <si>
    <t>57209225581;57191959417;57220708621;57213356053;55424776200;7403033292;8868565900;22934966500;</t>
  </si>
  <si>
    <t>Paul S., Majumdar S., Bandyopadhyay A., Dave B., Chattopadhyay S., Das P., Clough P.D., Majumder P.</t>
  </si>
  <si>
    <t>Conference code</t>
  </si>
  <si>
    <t>Conference location</t>
  </si>
  <si>
    <t>Conference date</t>
  </si>
  <si>
    <t>Conference name</t>
  </si>
  <si>
    <t>Sponsors</t>
  </si>
  <si>
    <t>References</t>
  </si>
  <si>
    <t>Funding Text 10</t>
  </si>
  <si>
    <t>Funding Text 9</t>
  </si>
  <si>
    <t>Funding Text 8</t>
  </si>
  <si>
    <t>Funding Text 7</t>
  </si>
  <si>
    <t>Funding Text 6</t>
  </si>
  <si>
    <t>Funding Text 5</t>
  </si>
  <si>
    <t>Funding Text 4</t>
  </si>
  <si>
    <t>Funding Text 3</t>
  </si>
  <si>
    <t>Funding Text 2</t>
  </si>
  <si>
    <t>Funding Text 1</t>
  </si>
  <si>
    <t>Funding Details</t>
  </si>
  <si>
    <t>Manufacturers</t>
  </si>
  <si>
    <t>Tradenames</t>
  </si>
  <si>
    <t>Chemicals/CAS</t>
  </si>
  <si>
    <t>Molecular Sequence Numbers</t>
  </si>
  <si>
    <t>Number</t>
  </si>
  <si>
    <t>ALL=("large language model*" OR "LLM") AND ALL=("higher education" OR "university" OR "college")</t>
  </si>
  <si>
    <t>ALL=("large language model*" OR "LLM") AND ALL=("higher education" OR "university" OR "college") AND ALL=("artificial intelligence" OR "AI")</t>
  </si>
  <si>
    <t>wang, yifang/KEI-3766-2024; Setsompop, Kawin/P-1464-2014; Chen, GuanYu/KGK-6328-2024; wen, Wen/KBB-1727-2024; Liu, Zhe/KEJ-5299-2024; Wen, Jing/KCL-6614-2024; chen, yue/JXW-9556-2024</t>
  </si>
  <si>
    <t>Setsompop, Kawin/0000-0003-0455-7634; Gong, Ting/0000-0002-1378-8509; Cao, Xiaozhi/0000-0001-5095-648X; Li, Zhitao/0000-0003-3462-6549; Schauman, Sophie/0000-0002-3744-2553; Grill-Spector, Kalanit/0000-0002-5404-9606; Iyer, Siddharth/0000-0002-6432-0850</t>
  </si>
  <si>
    <t>NC7C2</t>
  </si>
  <si>
    <t>2024-04-18</t>
  </si>
  <si>
    <t>Stamatopoulos, Vasileios/0000-0002-9044-796X; KAVADELLA, ARGYRO/0009-0003-0560-8373; Kaklamanos, Eleftherios G./0000-0002-0513-5110</t>
  </si>
  <si>
    <t>MAR 11</t>
  </si>
  <si>
    <t>KR8E3</t>
  </si>
  <si>
    <t>Wei, WI; Leung, CLK; Tang, A; McNeil, EB; Wong, SYS; Kwok, KO</t>
  </si>
  <si>
    <t>Wei, Wan In; Leung, Cyrus Lap Kwan; Tang, Arthur; McNeil, Edward Braddon; Wong, Samuel Yeung Shan; Kwok, Kin On</t>
  </si>
  <si>
    <t>Extracting symptoms from free-text responses using ChatGPT among COVID-19 cases in Hong Kong</t>
  </si>
  <si>
    <t>CLINICAL MICROBIOLOGY AND INFECTION</t>
  </si>
  <si>
    <t>ChatGPT; Entity recognition; Large language model; Symptom extraction; Symptom narratives; Symptom science</t>
  </si>
  <si>
    <t>Objectives: To investigate the feasibility and performance of Chat Generative Pretrained Transformer (ChatGPT) in converting symptom narratives into structured symptom labels. Methods: We extracted symptoms from 300 deidentified symptom narratives of COVID-19 patients by a computer-based matching algorithm (the standard), and prompt engineering in ChatGPT. Common symptoms were those with a prevalence &gt;10% according to the standard, and similarly less common symptoms were those with a prevalence of 2-10%. The precision of ChatGPT was compared with the standard using sensitivity and specificity with 95% exact binomial CIs (95% binCIs). In ChatGPT, we prompted without examples (zero-shot prompting) and with examples (few-shot prompting). Results: In zero-shot prompting, GPT-4 achieved high specificity (0.947 [95% binCI: 0.894-0.978]-1.000 [95% binCI: 0.965-0.988, 1.000]) for all symptoms, high sensitivity for common symptoms (0.853 [95% binCI: 0.689-0.950]-1.000 [95% binCI: 0.951-1.00 0]), and moderate sensitivity for less common symptoms (0.200 [95% binCI: 0.043-0.481]-1.000 [95% binCI: 0.590-0.815, 1.000]). Few-shot prompting increased the sensitivity and specificity. GPT-4 outperformed GPT-3.5 in response accuracy and consistent labelling. Discussion: This work substantiates ChatGPT's role as a research tool in medical fields. Its performance in converting symptom narratives to structured symptom labels was encouraging, saving time and effort in compiling the task-specific training data. It potentially accelerates free-text data compilation and synthesis in future disease outbreaks and improves the accuracy of symptom checkers. Focused prompt training addressing ambiguous descriptions impacts medical research positively. Wan In Wei, Clin Microbiol Infect 2024;30:142.e1-142.e3 (c) 2023 European Society of Clinical Microbiology and Infectious Diseases. Published by Elsevier Ltd. All rights reserved.</t>
  </si>
  <si>
    <t>[Wei, Wan In; Leung, Cyrus Lap Kwan; McNeil, Edward Braddon; Wong, Samuel Yeung Shan; Kwok, Kin On] Chinese Univ Hong Kong, JC Sch Publ Hlth &amp; Primary Care, Hong Kong, Peoples R China; [Tang, Arthur] RMIT Univ, Sch Sci Engn &amp; Technol, Dept Informat Technol, Ho Chi Minh City, Vietnam; [Kwok, Kin On] Chinese Univ Hong Kong, Stanley Ho Ctr Emerging Infect Dis, Hong Kong, Peoples R China; [Kwok, Kin On] Chinese Univ Hong Kong, Hong Kong Inst Asia Pacific Studies, Hong Kong, Peoples R China; [Kwok, Kin On] Imperial Coll London, Sch Publ Hlth, Dept Infect Dis Epidemiol, London, England</t>
  </si>
  <si>
    <t>Chinese University of Hong Kong; Royal Melbourne Institute of Technology (RMIT); Chinese University of Hong Kong; Chinese University of Hong Kong; Imperial College London</t>
  </si>
  <si>
    <t>Kwok, KO (corresponding author), Chinese Univ Hong Kong, JC Sch Publ Hlth &amp; Primary Care, Hong Kong, Peoples R China.</t>
  </si>
  <si>
    <t>k.kwok@imperial.ac.uk</t>
  </si>
  <si>
    <t>Tang, Arthur/C-8784-2009</t>
  </si>
  <si>
    <t>Tang, Arthur/0000-0002-6655-6883</t>
  </si>
  <si>
    <t>Health and Medical Research Fund [20210232, CID-CUHK-A, COVID1903008, 14112818, 17160302]; General Research Fund [24104920, 200861/Z/16/Z]; Welcome Trust Fund [INF-CUHK-1]; Group Research Scheme of The Chinese University of Hong Kong; [18170312]</t>
  </si>
  <si>
    <t>Health and Medical Research Fund; General Research Fund; Welcome Trust Fund(Wellcome Trust); Group Research Scheme of The Chinese University of Hong Kong;</t>
  </si>
  <si>
    <t>We would like to acknowledge support from the Health and Medical Research Fund (reference numbers: INF-CUHK-1, 17160302, 18170312, 20210232, CID-CUHK-A, COVID1903008) , General Research Fund (reference numbers: 14112818, 24104920) , Welcome Trust Fund (reference number: 200861/Z/16/Z) and Group Research Scheme of The Chinese University of Hong Kong. This work formed part of the doctoral thesis requirements for Wan In WEI.</t>
  </si>
  <si>
    <t>1198-743X</t>
  </si>
  <si>
    <t>1469-0691</t>
  </si>
  <si>
    <t>CLIN MICROBIOL INFEC</t>
  </si>
  <si>
    <t>Clin. Microbiol. Infect.</t>
  </si>
  <si>
    <t>10.1016/j.cmi.2023.11.002</t>
  </si>
  <si>
    <t>IG2I1</t>
  </si>
  <si>
    <t>WOS:001165106600001</t>
  </si>
  <si>
    <t>Mackay Medical College; Taipei Veterans General Hospital; National Yang Ming Chiao Tung University; Kaohsiung Medical University; Kaohsiung Medical University Hospital; Kaohsiung Medical University; Kaohsiung Medical University; Kaohsiung Municipal Siao-Gang Hospital; Chang Gung Memorial Hospital; Tri-Service General Hospital; National Defense Medical Center; National Taiwan University; National Taiwan University; National Taiwan University Hospital; National Yang Ming Chiao Tung University; National Sun Yat Sen University; Asia University Taiwan; I Shou University; E-Da Hospital; E-Da Hospital; I Shou University; National Defense Medical Center; China Medical University Taiwan; China Medical University Taiwan; China Medical University Hospital - Taiwan; China Medical University Taiwan</t>
  </si>
  <si>
    <t>Tu, Yu-Kang/C-7303-2009</t>
  </si>
  <si>
    <t>Yang, Fu-Chi/0000-0001-6831-3634; Ko, Chih-Hung/0000-0001-8034-0221; Tseng, Ping-Tao/0000-0001-5761-7800; Tsai, Shih-Jen/0000-0002-9987-022X; Bai, Ya Mei/0000-0003-3779-9074; Tu, Yu-Kang/0000-0002-2461-474X; Cheng, Shu_li/0000-0002-1523-8519</t>
  </si>
  <si>
    <t>Weber-Wulff, Debora/AAH-8568-2020; Anohina-Naumeca, Alla/W-5453-2019; Foltýnek, Tomáš/L-6448-2018</t>
  </si>
  <si>
    <t>Weber-Wulff, Debora/0000-0002-7335-6548; Anohina-Naumeca, Alla/0000-0001-7993-5842; Foltýnek, Tomáš/0000-0001-8412-5553; Guerrero-Dib, Jean/0000-0003-3150-9363; Bjelobaba, Sonja/0000-0003-2384-9624</t>
  </si>
  <si>
    <t>Armitage, RC</t>
  </si>
  <si>
    <t>Armitage, Richard C.</t>
  </si>
  <si>
    <t>Performance of Generative Pre-trained Transformer-4 (GPT-4) in Membership of the Royal College of General Practitioners (MRCGP)-style examination questions</t>
  </si>
  <si>
    <t>POSTGRADUATE MEDICAL JOURNAL</t>
  </si>
  <si>
    <t>medical education; clinical medicine; emerging technology; large language models; artificial intelligence</t>
  </si>
  <si>
    <t>[Armitage, Richard C.] Univ Nottingham, Sch Med, Acad Unit Populat &amp; Lifespan Sci, Clin Sci Bldg,Nottingham City Hosp Campus,Hucknall, Nottingham NG5 1PB, England</t>
  </si>
  <si>
    <t>Nottingham University Hospital NHS Trust; University of Nottingham</t>
  </si>
  <si>
    <t>Armitage, RC (corresponding author), Univ Nottingham, Sch Med, Acad Unit Populat &amp; Lifespan Sci, Clin Sci Bldg,Nottingham City Hosp Campus,Hucknall, Nottingham NG5 1PB, England.</t>
  </si>
  <si>
    <t>richard.armitage@nhs.net</t>
  </si>
  <si>
    <t>Armitage, Richard/0000-0003-1165-6753</t>
  </si>
  <si>
    <t>0032-5473</t>
  </si>
  <si>
    <t>1469-0756</t>
  </si>
  <si>
    <t>POSTGRAD MED J</t>
  </si>
  <si>
    <t>Postgrad. Med. J.</t>
  </si>
  <si>
    <t>MAR 18</t>
  </si>
  <si>
    <t>10.1093/postmj/qgad128</t>
  </si>
  <si>
    <t>LF0Z9</t>
  </si>
  <si>
    <t>WOS:001133640600001</t>
  </si>
  <si>
    <t>Li, Jinxu/0000-0001-7978-2129; Zou, Wenxue/0000-0002-4151-4230; Tang, Lu/0000-0002-1850-1511</t>
  </si>
  <si>
    <t>RECEPTOR 1; TRACE AMINES; TAAR1; METHAMPHETAMINE; PHARMACOLOGY; AMPHETAMINE; MECHANISMS; DISCOVERY; INSIGHTS; REVEAL</t>
  </si>
  <si>
    <t>WOS:001128871300010</t>
  </si>
  <si>
    <t>Akter, Dr. Salma/ABN-3676-2022; Akter, Dr. Salma/L-3481-2016</t>
  </si>
  <si>
    <t>Akter, Dr. Salma/0000-0003-0109-6457; Rahman, Sayed Imran Ur/0000-0001-7187-1063; Niloy, Ahnaf Chowdhury/0000-0002-1103-1385</t>
  </si>
  <si>
    <t>LO1E5</t>
  </si>
  <si>
    <t>Salami, Babatunde/IXN-3828-2023</t>
  </si>
  <si>
    <t>Salami, Babatunde/0000-0002-9175-2923; Saka, Abdullahi/0000-0002-3213-9774</t>
  </si>
  <si>
    <t>Tropek, Robert/G-6564-2014; Klomberg, Yannick G/I-3474-2016</t>
  </si>
  <si>
    <t>Tropek, Robert/0000-0001-7499-6259; Uceda Gomez, Guillermo/0000-0002-0168-3080; janecek, Stepan/0000-0003-1285-6490; Janeckova, Petra/0000-0003-2060-3020</t>
  </si>
  <si>
    <t>Sun Yat Sen University; State Key Lab Oncology South China; Sun Yat Sen University; Sun Yat Sen University</t>
  </si>
  <si>
    <t>Liu, Zhe/KEJ-5299-2024; zhong, jing/KBP-7800-2024; Zhang, Tianyi/KHV-3716-2024; YANG, DAN/KCL-5217-2024; Wang, Xinyi/KHV-4909-2024; chen, zhuo/JXX-1337-2024; li, feiyang/KHW-5210-2024; WANG, YONGJIA/KFQ-4823-2024</t>
  </si>
  <si>
    <t>Bao, Xiaoqiong/0009-0000-0631-3524; Xie, Yubin/0000-0002-3566-4849</t>
  </si>
  <si>
    <t>HC2K8</t>
  </si>
  <si>
    <t>Chen, YT; Liu, TX; Shan, Y; Zhong, SF</t>
  </si>
  <si>
    <t>Chen, Yiting; Liu, Tracy Xiao; Shan, You; Zhong, Songfa</t>
  </si>
  <si>
    <t>The emergence of economic rationality of GPT</t>
  </si>
  <si>
    <t>economic rationality; large language models; revealed preference analysis; decision-making</t>
  </si>
  <si>
    <t>REVEALED PREFERENCE; DECISION-MAKING; CONSISTENCY; BEHAVIOR; RECOMMENDATIONS; HETEROGENEITY; EDUCATION; BIASES; GARP</t>
  </si>
  <si>
    <t>As large language models (LLMs) like GPT become increasingly prevalent, it is essential that we assess their capabilities beyond language processing. This paper examines the economic rationality of GPT by instructing it to make budgetary decisions in four revealed preference theory. We find that GPT's decisions are largely rational in each domain and demonstrate higher rationality score than those of human subjects in a parallel experiment and in the literature. Moreover, the estimated preference parameters of GPT are slightly different from human subjects and exhibit a lower degree of heterogeneity. We also find that the rationality scores are robust to the degree of randomness and demographic settings such as age and gender but are sensitive to contexts based on the language frames of the choice situations. These results suggest the potential of LLMs to make good decisions and the need to further understand their capabilities, limitations, and underlying mechanisms.</t>
  </si>
  <si>
    <t>[Chen, Yiting] Lingnan Univ, Dept Econ, Hong Kong, Peoples R China; [Liu, Tracy Xiao] Tsinghua Univ, Natl Ctr Econ Res, Sch Econ &amp; Management, Dept Econ, Beijing 100084, Peoples R China; [Shan, You] Tsinghua Univ, Sch Econ &amp; Management, Dept Econ, Beijing 100084, Peoples R China; [Zhong, Songfa] Hong Kong Univ Sci &amp; Technol, Dept Econ, Hong Kong, Peoples R China; [Zhong, Songfa] Natl Univ Singapore, Dept Econ, Singapore 117570, Singapore</t>
  </si>
  <si>
    <t>Lingnan University; Tsinghua University; Tsinghua University; Hong Kong University of Science &amp; Technology; National University of Singapore</t>
  </si>
  <si>
    <t>Chen, YT (corresponding author), Lingnan Univ, Dept Econ, Hong Kong, Peoples R China.;Liu, TX (corresponding author), Tsinghua Univ, Natl Ctr Econ Res, Sch Econ &amp; Management, Dept Econ, Beijing 100084, Peoples R China.;Shan, Y (corresponding author), Tsinghua Univ, Sch Econ &amp; Management, Dept Econ, Beijing 100084, Peoples R China.;Zhong, SF (corresponding author), Hong Kong Univ Sci &amp; Technol, Dept Econ, Hong Kong, Peoples R China.;Zhong, SF (corresponding author), Natl Univ Singapore, Dept Econ, Singapore 117570, Singapore.</t>
  </si>
  <si>
    <t>yitingchen26@gmail.com; liuxiao@sem.tsinghua.edu.cn; shany19@mails.tsinghua.edu.cn; orzhongsongfa@gmail.com</t>
  </si>
  <si>
    <t>National Natural Science Foundation of China [72222005]; Tsinghua University [2022Z04W01032]; National University of Singapore; Singapore Ministry of Education</t>
  </si>
  <si>
    <t>National Natural Science Foundation of China(National Natural Science Foundation of China (NSFC)); Tsinghua University; National University of Singapore(National University of Singapore); Singapore Ministry of Education(Ministry of Education, Singapore)</t>
  </si>
  <si>
    <t>T.X.L. gratefully acknowledges financial support from National Natural Science Foundation of China (72222005) and Tsinghua University (No. 2022Z04W01032). S.Z. gratefully acknowledges financial support from the Singapore Ministry of Education (Academic Research Fund Tier 1) and the National University of Singapore (Dean's Chair Grant).</t>
  </si>
  <si>
    <t>DEC 19</t>
  </si>
  <si>
    <t>10.1073/pnas.2316205120</t>
  </si>
  <si>
    <t>HE5S2</t>
  </si>
  <si>
    <t>WOS:001157836300008</t>
  </si>
  <si>
    <t>Li, H; Zhang, RW; Lee, YC; Kraut, RE; Mohr, DC</t>
  </si>
  <si>
    <t>Li, Han; Zhang, Renwen; Lee, Yi-Chieh; Kraut, Robert E.; Mohr, David C.</t>
  </si>
  <si>
    <t>Systematic review and meta-analysis of AI-based conversational agents for promoting mental health and well-being</t>
  </si>
  <si>
    <t>EFFICACY; CHATBOT; INTERVENTIONS; MODELS; ROBOT</t>
  </si>
  <si>
    <t>Conversational artificial intelligence (AI), particularly AI-based conversational agents (CAs), is gaining traction in mental health care. Despite their growing usage, there is a scarcity of comprehensive evaluations of their impact on mental health and well-being. This systematic review and meta-analysis aims to fill this gap by synthesizing evidence on the effectiveness of AI-based CAs in improving mental health and factors influencing their effectiveness and user experience. Twelve databases were searched for experimental studies of AI-based CAs' effects on mental illnesses and psychological well-being published before May 26, 2023. Out of 7834 records, 35 eligible studies were identified for systematic review, out of which 15 randomized controlled trials were included for meta-analysis. The meta-analysis revealed that AI-based CAs significantly reduce symptoms of depression (Hedge's g 0.64 [95% CI 0.17-1.12]) and distress (Hedge's g 0.7 [95% CI 0.18-1.22]). These effects were more pronounced in CAs that are multimodal, generative AI-based, integrated with mobile/instant messaging apps, and targeting clinical/subclinical and elderly populations. However, CA-based interventions showed no significant improvement in overall psychological well-being (Hedge's g 0.32 [95% CI -0.13 to 0.78]). User experience with AI-based CAs was largely shaped by the quality of human-AI therapeutic relationships, content engagement, and effective communication. These findings underscore the potential of AI-based CAs in addressing mental health issues. Future research should investigate the underlying mechanisms of their effectiveness, assess long-term effects across various mental health outcomes, and evaluate the safe integration of large language models (LLMs) in mental health care.</t>
  </si>
  <si>
    <t>[Li, Han; Zhang, Renwen] Natl Univ Singapore, Dept Commun &amp; New Media, Singapore 117416, Singapore; [Lee, Yi-Chieh] Natl Univ Singapore, Dept Comp Sci, Singapore 117416, Singapore; [Kraut, Robert E.] Carnegie Mellon Univ, Human Comp Interact Inst, Pittsburgh, PA 15213 USA; [Mohr, David C.] Northwestern Univ, Ctr Behav Intervent Technol, Dept Prevent Med, Chicago, IL 60611 USA</t>
  </si>
  <si>
    <t>National University of Singapore; National University of Singapore; Carnegie Mellon University; Northwestern University</t>
  </si>
  <si>
    <t>Zhang, RW (corresponding author), Natl Univ Singapore, Dept Commun &amp; New Media, Singapore 117416, Singapore.</t>
  </si>
  <si>
    <t>r.zhang@nus.edu.sg</t>
  </si>
  <si>
    <t>Zhang, Renwen/0000-0002-7636-9598; Mohr, David/0000-0002-5443-7596; LI, HAN/0000-0002-9050-715X</t>
  </si>
  <si>
    <t>U.S. Department of Health &amp; Human Services | NIH | National Institute of Mental Health (NIMH) [Tier 1 A-8000877-00-00]; Singapore Ministry of Education Academic Research Fund [A-8000936-01-00]; National University of Singapore [P50 MH119029]; NIMH</t>
  </si>
  <si>
    <t>U.S. Department of Health &amp; Human Services | NIH | National Institute of Mental Health (NIMH); Singapore Ministry of Education Academic Research Fund(Ministry of Education, Singapore); National University of Singapore(National University of Singapore); NIMH(United States Department of Health &amp; Human ServicesNational Institutes of Health (NIH) - USANIH National Institute of Mental Health (NIMH))</t>
  </si>
  <si>
    <t>The present study is supported by the Singapore Ministry of Education Academic Research Fund Tier 1 A-8000877-00-00, National University of Singapore Start-up Grant A-8000936-01-00, and NIMH grant P50 MH119029. The funders of the study had no role in the study design, data collection, data analysis, data interpretation, or writing of the manuscript.</t>
  </si>
  <si>
    <t>10.1038/s41746-023-00979-5</t>
  </si>
  <si>
    <t>DD0G4</t>
  </si>
  <si>
    <t>WOS:001129970300001</t>
  </si>
  <si>
    <t>Sachan, Dr. Swati/0000-0003-0136-0553</t>
  </si>
  <si>
    <t>Puladi, B; Gsaxner, C; Kleesiek, J; Hoelzle, F; Roehrig, R; Egger, J</t>
  </si>
  <si>
    <t>Puladi, B.; Gsaxner, C.; Kleesiek, J.; Hoelzle, F.; Roehrig, R.; Egger, J.</t>
  </si>
  <si>
    <t>The impact and opportunities of large language models like ChatGPT in oral and maxillofacial surgery: a narrative review</t>
  </si>
  <si>
    <t>INTERNATIONAL JOURNAL OF ORAL AND MAXILLOFACIAL SURGERY</t>
  </si>
  <si>
    <t>ChatGPT; Artificial intelligence; Oral and Maxillofacial Surgery; Review</t>
  </si>
  <si>
    <t>Since its release at the end of 2022, the social response to ChatGPT, a large language model (LLM), has been huge, as it has revolutionized the way we communicate with computers. This review was performed to describe the technical background of LLMs and to provide a review of the current literature on LLMs in the field of oral and maxillofacial surgery (OMS). The PubMed, Scopus, and Web of Science databases were searched for LLMs and OMS. Adjacent surgical disciplines were included to cover the entire literature, and records from Google Scholar and medRxiv were added. Out of the 57 records identified, 37 were included; 31 (84%) were related to GPT-3.5, four (11%) to GPT-4, and two (5%) to both. Current research on LLMs is mainly limited to research and scientific writing, patient information/communication, and medical education. Classic OMS diseases are underrepresented. The current literature related to LLMs in OMS has a limited evidence level. There is a need to investigate the use of LLMs scientifically and systematically in the core areas of OMS. Although LLMs are likely to add value outside the operating room, the use of LLMs raises ethical and medical regulatory issues that must first be addressed.</t>
  </si>
  <si>
    <t>[Puladi, B.; Gsaxner, C.; Hoelzle, F.] Univ Hosp RWTH Aachen, Dept Oral &amp; Maxillofacial Surg, Aachen, Germany; [Puladi, B.; Gsaxner, C.; Roehrig, R.] Univ Hosp RWTH Aachen, Inst Med Informat, Aachen, Germany; [Gsaxner, C.; Egger, J.] Graz Univ Technol, Inst Comp Graph &amp; Vision, Graz, Austria; [Gsaxner, C.] Med Univ Graz, Dept Oral &amp; Maxillofacial Surg, Graz, Austria; [Kleesiek, J.; Egger, J.] Univ Hosp Essen AoR, Inst AI Med IKIM, Essen, Germany</t>
  </si>
  <si>
    <t>RWTH Aachen University; RWTH Aachen University Hospital; RWTH Aachen University; RWTH Aachen University Hospital; Graz University of Technology; Medical University of Graz</t>
  </si>
  <si>
    <t>Egger, J (corresponding author), Graz Univ Technol, Inst Comp Graph &amp; Vision, Graz, Austria.</t>
  </si>
  <si>
    <t>egger@tugraz.at</t>
  </si>
  <si>
    <t>Puladi, Behrus/AAW-9126-2021</t>
  </si>
  <si>
    <t>Puladi, Behrus/0000-0001-5909-6105; Gsaxner, Christina/0000-0002-2227-3523</t>
  </si>
  <si>
    <t>EnFaced 2.0 of the Austrian Science Fund [FWF KLI 1044]; KITE (Plattform fur KI-Translation Essen) of the REACT-EU initiative [EFRE- 0801977]; Medical Faculty of RWTH Aachen University; Advanced Research Opportunities Program (AROP) of RWTH Aachen University</t>
  </si>
  <si>
    <t>EnFaced 2.0 of the Austrian Science Fund; KITE (Plattform fur KI-Translation Essen) of the REACT-EU initiative; Medical Faculty of RWTH Aachen University; Advanced Research Opportunities Program (AROP) of RWTH Aachen University</t>
  </si>
  <si>
    <t>This research project was supported by enFaced 2.0 (FWF KLI 1044) of the Austrian Science Fund and KITE (Plattform fur KI-Translation Essen) of the REACT-EU initiative (EFRE- 0801977) . Behrus Puladi was funded by the Medical Faculty of RWTH Aachen University as part of the Clinician Scientist Program. Christina Gsaxner was funded by the Advanced Research Opportunities Program (AROP) of RWTH Aachen University.</t>
  </si>
  <si>
    <t>0901-5027</t>
  </si>
  <si>
    <t>1399-0020</t>
  </si>
  <si>
    <t>INT J ORAL MAX SURG</t>
  </si>
  <si>
    <t>Int. J. Oral Maxillofac. Surg.</t>
  </si>
  <si>
    <t>10.1016/j.ijom.2023.09.005</t>
  </si>
  <si>
    <t>Dentistry, Oral Surgery &amp; Medicine; Surgery</t>
  </si>
  <si>
    <t>EH5M9</t>
  </si>
  <si>
    <t>WOS:001138044500001</t>
  </si>
  <si>
    <t>Recker, Florian/AAT-7807-2021; Recker, Florian/ABP-4557-2022</t>
  </si>
  <si>
    <t>Wang, Chengshuo/0000-0003-0646-5135</t>
  </si>
  <si>
    <t>Westerlund, Hugo/IZP-7925-2023</t>
  </si>
  <si>
    <t>Westerlund, Hugo/0000-0002-8806-5698; Vahtera, Jussi/0000-0002-6036-061X</t>
  </si>
  <si>
    <t>De Paoli, Stefano/0000-0003-1120-4773</t>
  </si>
  <si>
    <t>Sogang University; University of Toronto; Vector Institute for Artificial Intelligence; Swiss Federal Institutes of Technology Domain; Ecole Polytechnique Federale de Lausanne; Heidelberg Institute for Theoretical Studies; Ruprecht Karls University Heidelberg; Institute for Basic Science - Korea (IBS); Polish Academy of Sciences; Institute of Organic Chemistry of the Polish Academy of Sciences; Ulsan National Institute of Science &amp; Technology (UNIST); Korea Institute of Energy Technology (KENTECH); University of British Columbia; Nanyang Technological University; Agency for Science Technology &amp; Research (A*STAR); A*STAR - Institute of Materials Research &amp; Engineering (IMRE); Korea Advanced Institute of Science &amp; Technology (KAIST); Seoul National University (SNU); Colorado State University; Korea Advanced Institute of Science &amp; Technology (KAIST); University of Toronto; Korea Research Institute of Chemical Technology (KRICT); Swiss Federal Institutes of Technology Domain; Ecole Polytechnique Federale de Lausanne; Swiss Federal Institutes of Technology Domain; Ecole Polytechnique Federale de Lausanne; University of Tokyo; National Institute for Materials Science; RIKEN; Technical University of Denmark; University of Toronto; University of Toronto; University of Toronto; Technical University of Berlin; Imperial College London; Ewha Womans University</t>
  </si>
  <si>
    <t>Vegge, Tejs/A-9419-2011; Kim, Woo Youn/C-1846-2011; Schwaller, Philippe/ABG-4328-2021; Gryn'ova, Ganna/F-5931-2012; Hippalgaonkar, Kedar/K-2196-2015; Jung, Yousung/D-1676-2010</t>
  </si>
  <si>
    <t>Vegge, Tejs/0000-0002-1484-0284; Schwaller, Philippe/0000-0003-3046-6576; Gryn'ova, Ganna/0000-0003-4229-939X; Hein, Jason/0000-0002-4345-3005; Hippalgaonkar, Kedar/0000-0002-1270-9047; Jung, Yousung/0000-0003-2615-8394</t>
  </si>
  <si>
    <t>Hackl, Veronika/0000-0002-0265-0395</t>
  </si>
  <si>
    <t>Wu, Xian/JRW-5738-2023</t>
  </si>
  <si>
    <t>Wu, Xian/0000-0003-1118-9710; you, chenyu/0000-0001-8365-7822; Liu, Fenglin/0000-0001-7715-5228; Zhu, Tingting/0000-0002-1552-5630; Zheng, Yefeng/0000-0003-2195-2847; Lu, Lei/0000-0001-9139-8955</t>
  </si>
  <si>
    <t>Chatterjee, S; Bhattacharya, M; Pal, S; Lee, SS; Chakraborty, C</t>
  </si>
  <si>
    <t>Chatterjee, Srijan; Bhattacharya, Manojit; Pal, Soumen; Lee, Sang-Soo; Chakraborty, Chiranjib</t>
  </si>
  <si>
    <t>ChatGPT and large language models in orthopedics: from education and surgery to research</t>
  </si>
  <si>
    <t>JOURNAL OF EXPERIMENTAL ORTHOPAEDICS</t>
  </si>
  <si>
    <t>Large language models; ChatGPT; Orthopedics; Concern</t>
  </si>
  <si>
    <t>ChatGPT has quickly popularized since its release in November 2022. Currently, large language models (LLMs) and ChatGPT have been applied in various domains of medical science, including in cardiology, nephrology, orthopedics, ophthalmology, gastroenterology, and radiology. Researchers are exploring the potential of LLMs and ChatGPT for clinicians and surgeons in every domain. This study discusses how ChatGPT can help orthopedic clinicians and surgeons perform various medical tasks. LLMs and ChatGPT can help the patient community by providing suggestions and diagnostic guidelines. In this study, the use of LLMs and ChatGPT to enhance and expand the field of orthopedics, including orthopedic education, surgery, and research, is explored. Present LLMs have several shortcomings, which are discussed herein. However, next-generation and future domain-specific LLMs are expected to be more potent and transform patients' quality of life.</t>
  </si>
  <si>
    <t>[Chatterjee, Srijan; Lee, Sang-Soo] Hallym Univ, Chuncheon Sacred Heart Hosp, Inst Skeletal Aging &amp; Orthoped Surg, Chuncheon Si 24252, Gangwon Do, South Korea; [Bhattacharya, Manojit] Fakir Mohan Univ, Dept Zool, Balasore 756020, Odisha, India; [Pal, Soumen] Vellore Inst Technol, Sch Mech Engn, Vellore, Tamil Nadu, India; [Chakraborty, Chiranjib] Adamas Univ, Sch Life Sci &amp; Biotechnol, Dept Biotechnol, Kolkata 700126, West Bengal, India</t>
  </si>
  <si>
    <t>Hallym University; Fakir Mohan University; Vellore Institute of Technology (VIT); VIT Vellore</t>
  </si>
  <si>
    <t>Lee, SS (corresponding author), Hallym Univ, Chuncheon Sacred Heart Hosp, Inst Skeletal Aging &amp; Orthoped Surg, Chuncheon Si 24252, Gangwon Do, South Korea.;Chakraborty, C (corresponding author), Adamas Univ, Sch Life Sci &amp; Biotechnol, Dept Biotechnol, Kolkata 700126, West Bengal, India.</t>
  </si>
  <si>
    <t>123sslee@gmail.com; drchiranjib@yahoo.com</t>
  </si>
  <si>
    <t>Bhattacharya, Manojit/A-2027-2012; Chakraborty, Chiranjib/J-4847-2013</t>
  </si>
  <si>
    <t>Bhattacharya, Manojit/0000-0001-9669-1835; Chakraborty, Chiranjib/0000-0002-3958-239X; Chatterjee, Srijan/0000-0002-8282-8324</t>
  </si>
  <si>
    <t>Hallym University Research Fund; Basic Science Research Program through the National Research Foundation of Korea (NRF) - Ministry of Education [NRF- 2020R1I1A3074575]</t>
  </si>
  <si>
    <t>Hallym University Research Fund; Basic Science Research Program through the National Research Foundation of Korea (NRF) - Ministry of Education(National Research Foundation of KoreaMinistry of Education (MOE), Republic of KoreaNational Research Council for Economics, Humanities &amp; Social Sciences, Republic of Korea)</t>
  </si>
  <si>
    <t>This study was supported by Hallym University Research Fund and by Basic Science Research Program through the National Research Foundation of Korea (NRF) funded by the Ministry of Education (NRF- 2020R1I1A3074575).</t>
  </si>
  <si>
    <t>2197-1153</t>
  </si>
  <si>
    <t>J EXP ORTHOP</t>
  </si>
  <si>
    <t>J Exp. Orthop.</t>
  </si>
  <si>
    <t>10.1186/s40634-023-00700-1</t>
  </si>
  <si>
    <t>Orthopedics; Surgery</t>
  </si>
  <si>
    <t>Z4UE4</t>
  </si>
  <si>
    <t>WOS:001112035900001</t>
  </si>
  <si>
    <t>Zapata-Jaramillo, Carlos Mario/0000-0002-0628-4097</t>
  </si>
  <si>
    <t>Lankford, Seamus/0000-0003-1693-9533</t>
  </si>
  <si>
    <t>Lynch, Christopher/ABA-1054-2020; Frydenlund, Erika/M-8151-2015</t>
  </si>
  <si>
    <t>Lynch, Christopher/0000-0002-4830-7488; Gore, Ross/0000-0003-4065-6146; Frydenlund, Erika/0000-0002-7694-7845</t>
  </si>
  <si>
    <t>Petrosanu, DM; Pîrjan, A; Tabusca, A</t>
  </si>
  <si>
    <t>Petrosanu, Dana-Mihaela; Pirjan, Alexandru; Tabusca, Alexandru</t>
  </si>
  <si>
    <t>Tracing the Influence of Large Language Models across the Most Impactful Scientific Works</t>
  </si>
  <si>
    <t>artificial intelligence (AI); machine learning (ML); large language models (LLMs); natural language processing (NLP); technological impact; interdisciplinary applications; ethical considerations; data privacy and security</t>
  </si>
  <si>
    <t>INTELLIGENCE</t>
  </si>
  <si>
    <t>In recent years, large language models (LLMs) have come into view as one of the most transformative developments in the technical domain, influencing diverse sectors ranging from natural language processing (NLP) to creative arts. Their rise signifies an unprecedented convergence of computational prowess, sophisticated algorithms, and expansive datasets, pushing the boundaries of what was once thought to be achievable. Such a profound impact mandates a thorough exploration of the LLMs' evolutionary trajectory. Consequently, this article conducts a literature review of the most impactful scientific works, using the reliable Web of Science (WoS) indexing database as a data source in order to attain a thorough and quality-assured analysis. This review identifies relevant patterns, provides research insights, traces technological growth, and anticipates potential future directions. Beyond mapping the known, this study aims to highlight uncharted areas within the LLM landscape, thereby catalyzing future research endeavors. The ultimate goal is to enhance collective understanding, encourage collaboration, and guide subsequent innovations in harnessing the potential of LLMs for societal and technological advancement.</t>
  </si>
  <si>
    <t>[Petrosanu, Dana-Mihaela] Natl Univ Sci &amp; Technol Politehn Bucharest, Dept Math Informat, Splaiul Independentei 313, Bucharest 060042, Romania; [Pirjan, Alexandru; Tabusca, Alexandru] Romanian Amer Univ, Dept Informat Stat &amp; Math, Expozitiei 1B, Bucharest 012101, Romania</t>
  </si>
  <si>
    <t>Petrosanu, DM (corresponding author), Natl Univ Sci &amp; Technol Politehn Bucharest, Dept Math Informat, Splaiul Independentei 313, Bucharest 060042, Romania.</t>
  </si>
  <si>
    <t>dana.petrosanu@upb.ro; alexandru.pirjan@rau.ro; alex.tabusca@rau.ro</t>
  </si>
  <si>
    <t>Pîrjan, Alexandru/G-3926-2015</t>
  </si>
  <si>
    <t>Pîrjan, Alexandru/0000-0002-7381-1934</t>
  </si>
  <si>
    <t>Center of Research, Consultancy and Training in Economic Informatics and Information Technology RAU-INFORTIS of the Romanian-American University</t>
  </si>
  <si>
    <t>The authors would like to express their gratitude for the logistics support received from the Center of Research, Consultancy and Training in Economic Informatics and Information Technology RAU-INFORTIS of the Romanian-American University.</t>
  </si>
  <si>
    <t>10.3390/electronics12244957</t>
  </si>
  <si>
    <t>DI6O9</t>
  </si>
  <si>
    <t>WOS:001131443900001</t>
  </si>
  <si>
    <t>Rossettini, G; Cook, C; Palese, A; Pillastrini, P; Turolla, A</t>
  </si>
  <si>
    <t>Rossettini, Giacomo; Cook, Chad; Palese, Alvisa; Pillastrini, Paolo; Turolla, Andrea</t>
  </si>
  <si>
    <t>JOURNAL OF ORTHOPAEDIC &amp; SPORTS PHYSICAL THERAPY</t>
  </si>
  <si>
    <t>SYNOPSIS: Artificial intelligence (AI), specifically large language models (LLMs), which focus on the interaction between computers and human language, can influence musculoskeletal rehabilitation management. AI chatbots (eg, ChatGPT, Microsoft Bing, and Google's Bard) are a form of large language models designed to understand, interpret, and generate text similar to what is produced by humans. Since their release, chatbots have triggered controversy in the international scientific community, including when they have passed university exams, generated credible scientific abstracts, and shown potential for replacing humans in scientific roles. The controversies extend to the field of musculoskeletal rehabilitation. In this Viewpoint, we describe the potential applications and limitations, and recommended actions for education, clinical practice, and research when using AI chatbots for musculoskeletal rehabilitation management, aspects that may have similar implications for the broader health care community.</t>
  </si>
  <si>
    <t>[Rossettini, Giacomo] Univ Verona, Sch Physiotherapy, Verona, Italy; [Cook, Chad] Duke Univ, Duke Ctr Excellence Manual &amp; Manipulat Therapy, Durham, NC USA; [Cook, Chad] Duke Univ, Doctor Phys Therapy Program, Durham, NC USA; [Cook, Chad] Duke Univ, Dept Orthopaed, Durham, NC USA; [Palese, Alvisa] Univ Udine, Sch Nursing, Dept Med DAME, Udine, Italy; [Pillastrini, Paolo; Turolla, Andrea] Univ Bologna, Dept Biomed &amp; Neuromotor Sci DIBINEM, Alma Mater Studiorum, Bologna, Italy; [Pillastrini, Paolo; Turolla, Andrea] IRCCS Azienda Osped Univ Bologna, Unit Occupat Med, Bologna, Italy</t>
  </si>
  <si>
    <t>University of Verona; Duke University; Duke University; Duke University; University of Udine; University of Bologna; IRCCS Azienda Ospedaliero-Universitaria di Bologna</t>
  </si>
  <si>
    <t>Rossettini, G (corresponding author), Univ Verona, Sch Physiotherapy, I-37131 Verona, VR, Italy.</t>
  </si>
  <si>
    <t>giacomo.rossettini@gmail.com</t>
  </si>
  <si>
    <t>Turolla, Andrea/K-7599-2016</t>
  </si>
  <si>
    <t>Turolla, Andrea/0000-0002-1609-8060</t>
  </si>
  <si>
    <t>J O S P T</t>
  </si>
  <si>
    <t>ALEXANDRIA</t>
  </si>
  <si>
    <t>1111 NORTH FAIRFAX ST, STE 100, ALEXANDRIA, VA 22314-1436 USA</t>
  </si>
  <si>
    <t>0190-6011</t>
  </si>
  <si>
    <t>1938-1344</t>
  </si>
  <si>
    <t>J ORTHOP SPORT PHYS</t>
  </si>
  <si>
    <t>Orthopedics; Rehabilitation; Sport Sciences</t>
  </si>
  <si>
    <t>IN0G5</t>
  </si>
  <si>
    <t>WOS:001166882300002</t>
  </si>
  <si>
    <t>So, Ray/KFS-3029-2024; Zhao, Jincun/ABD-8679-2021; Chan, Michael Chi Wai/C-4212-2009</t>
  </si>
  <si>
    <t>Zhao, Jincun/0000-0003-2515-5589; So, Ray/0000-0002-9576-4489; NG, KA CHUN/0000-0001-7016-3209</t>
  </si>
  <si>
    <t>Instituto Politecnico do Porto; Universidade do Porto; Centre for Organisational &amp; Social Studies of the Polytechnic Institute of Porto (CEOS.PP)</t>
  </si>
  <si>
    <t>Tavares, Célia/HKW-6691-2023; Oliveira, Luciana/B-8339-2016; Silva, Manuel/R-9753-2016</t>
  </si>
  <si>
    <t>Tavares, Célia/0000-0002-6201-8690; Oliveira, Luciana/0000-0003-2419-4332; Duarte, Pedro/0000-0002-1586-2012; Silva, Manuel/0000-0002-5966-4229</t>
  </si>
  <si>
    <t>White, Ben P/I-9712-2012; Willmott, Lindy/I-9562-2012; Del Villar, Katrine/A-7442-2019</t>
  </si>
  <si>
    <t>Willmott, Lindy/0000-0002-9750-287X; White, Ben/0000-0003-3365-939X; Del Villar, Katrine/0000-0002-5392-7622</t>
  </si>
  <si>
    <t>Farimani, Amir Barati/K-4601-2019; Barati Farimani, Amir/F-2356-2013</t>
  </si>
  <si>
    <t>Barati Farimani, Amir/0000-0002-2952-8576; Ock, Janghoon/0009-0000-0370-4212</t>
  </si>
  <si>
    <t>FEB 7</t>
  </si>
  <si>
    <t>LS5P4</t>
  </si>
  <si>
    <t>Mittelstadt, B; Wachter, S; Russell, C</t>
  </si>
  <si>
    <t>Mittelstadt, Brent; Wachter, Sandra; Russell, Chris</t>
  </si>
  <si>
    <t>To protect science, we must use LLMs as zero-shot translators</t>
  </si>
  <si>
    <t>Editorial Material</t>
  </si>
  <si>
    <t>Large language models (LLMs) do not distinguish between fact and fiction. They will return an answer to almost any prompt, yet factually incorrect responses are commonplace. To ensure our use of LLMs does not degrade science, we must use them as zero-shot translators: to convert accurate source material from one form to another.</t>
  </si>
  <si>
    <t>[Mittelstadt, Brent; Wachter, Sandra; Russell, Chris] Univ Oxford, Oxford Internet Inst, Oxford, England</t>
  </si>
  <si>
    <t>Mittelstadt, B (corresponding author), Univ Oxford, Oxford Internet Inst, Oxford, England.</t>
  </si>
  <si>
    <t>brent.mittelstadt@oii.ox.ac.uk</t>
  </si>
  <si>
    <t>Russell, Chris/0000-0003-1665-1759</t>
  </si>
  <si>
    <t>This work has been supported through research funding provided by the Wellcome Trust (grant no. 223765/Z/21/Z), Sloan Foundation (grant no. G-2021-16779), the Department of Health and Social Care, and Luminate Group to support the Trustworthiness Auditing [223765/Z/21/Z]; Wellcome Trust [G-2021-16779]; Sloan Foundation; Department of Health and Social Care; Governance of Emerging Technologies research programme at the Oxford Internet Institute, University of Oxford; Wellcome Trust [223765/Z/21/Z] Funding Source: Wellcome Trust</t>
  </si>
  <si>
    <t>This work has been supported through research funding provided by the Wellcome Trust (grant no. 223765/Z/21/Z), Sloan Foundation (grant no. G-2021-16779), the Department of Health and Social Care, and Luminate Group to support the Trustworthiness Auditing; Wellcome Trust(Wellcome Trust); Sloan Foundation(Alfred P. Sloan Foundation); Department of Health and Social Care; Governance of Emerging Technologies research programme at the Oxford Internet Institute, University of Oxford; Wellcome Trust(Wellcome Trust)</t>
  </si>
  <si>
    <t>This work has been supported through research funding provided by the Wellcome Trust (grant no. 223765/Z/21/Z), Sloan Foundation (grant no. G-2021-16779), the Department of Health and Social Care, and Luminate Group to support the Trustworthiness Auditing for AI project and Governance of Emerging Technologies research programme at the Oxford Internet Institute, University of Oxford. The funders had no role in the decision to publish or the preparation of this manuscript.</t>
  </si>
  <si>
    <t>10.1038/s41562-023-01744-0</t>
  </si>
  <si>
    <t>IX3B9</t>
  </si>
  <si>
    <t>WOS:001107579600002</t>
  </si>
  <si>
    <t>you, li/KHW-2201-2024; zhang, hao/KEJ-2291-2024; li, guo/KHU-1749-2024; Sun, Yue/KHU-8159-2024; Lu, Xin/KHW-8570-2024; li, lin/KEJ-1056-2024; Chen, Yang/KHD-8849-2024; zhang, yuanyuan/KHV-4459-2024</t>
  </si>
  <si>
    <t>Lu, Xin/0000-0001-9885-6031; Wang, Jiawen/0009-0002-9653-9061</t>
  </si>
  <si>
    <t>Zsidai, B; Hilkert, AS; Kaarre, J; Narup, E; Senorski, EH; Grassi, A; Ley, C; Longo, UG; Herbst, E; Hirschmann, MT; Kopf, S; Seil, R; Tischer, T; Samuelsson, K; Feldt, R</t>
  </si>
  <si>
    <t>Zsidai, Balint; Hilkert, Ann-Sophie; Kaarre, Janina; Narup, Eric; Senorski, Eric Hamrin; Grassi, Alberto; Ley, Christophe; Longo, Umile Giuseppe; Herbst, Elmar; Hirschmann, Michael T.; Kopf, Sebastian; Seil, Romain; Tischer, Thomas; Samuelsson, Kristian; Feldt, Robert</t>
  </si>
  <si>
    <t>ESSKA Artificial Intelligence</t>
  </si>
  <si>
    <t>A practical guide to the implementation of AI in orthopaedic research - part 1: opportunities in clinical application and overcoming existing challenges</t>
  </si>
  <si>
    <t>Artificial intelligence; AI; Machine learning; ML; Large language models; Ethics; Explainability; Decision support systems; Digital twins; Provenance; Generalizability; Learning series; Orthopaedics; Research methods</t>
  </si>
  <si>
    <t>ARTIFICIAL-INTELLIGENCE; NEURAL-NETWORKS; DEEP; MODEL</t>
  </si>
  <si>
    <t>Artificial intelligence (AI) has the potential to transform medical research by improving disease diagnosis, clinical decision-making, and outcome prediction. Despite the rapid adoption of AI and machine learning (ML) in other domains and industry, deployment in medical research and clinical practice poses several challenges due to the inherent characteristics and barriers of the healthcare sector. Therefore, researchers aiming to perform AI-intensive studies require a fundamental understanding of the key concepts, biases, and clinical safety concerns associated with the use of AI. Through the analysis of large, multimodal datasets, AI has the potential to revolutionize orthopaedic research, with new insights regarding the optimal diagnosis and management of patients affected musculoskeletal injury and disease. The article is the first in a series introducing fundamental concepts and best practices to guide healthcare professionals and researcher interested in performing AI-intensive orthopaedic research studies. The vast potential of AI in orthopaedics is illustrated through examples involving disease- or injury-specific outcome prediction, medical image analysis, clinical decision support systems and digital twin technology. Furthermore, it is essential to address the role of human involvement in training unbiased, generalizable AI models, their explainability in high-risk clinical settings and the implementation of expert oversight and clinical safety measures for failure. In conclusion, the opportunities and challenges of AI in medicine are presented to ensure the safe and ethical deployment of AI models for orthopaedic research and clinical application.Level of evidence IV</t>
  </si>
  <si>
    <t>[Zsidai, Balint; Kaarre, Janina; Narup, Eric; Senorski, Eric Hamrin; Samuelsson, Kristian] Sahlgrenska Sports Med Ctr, Gothenburg, Sweden; [Zsidai, Balint; Kaarre, Janina; Narup, Eric; Grassi, Alberto; Samuelsson, Kristian; Feldt, Robert] Univ Gothenburg, Inst Clin Sci, Sahlgrenska Acad, Dept Orthopaed, Gothenburg, Sweden; [Hilkert, Ann-Sophie] Chalmers Univ Technol, Dept Comp Sci &amp; Engn, Gothenburg, Sweden; [Hilkert, Ann-Sophie] Medfield Diagnost AB, Gothenburg, Sweden; [Kaarre, Janina] Univ Pittsburgh, UPMC Freddie Fu Sports Med Ctr, Dept Orthopaed Surg, Pittsburgh, PA USA; [Senorski, Eric Hamrin] Univ Gothenburg, Inst Neurosci &amp; Physiol, Sahlgrenska Acad, Dept Hlth &amp; Rehabil, Gothenburg, Sweden; [Senorski, Eric Hamrin] Sportrehab Sports Med Clin, Gothenburg, Sweden; [Grassi, Alberto] IRCCS Ist Ortoped Rizzoli, IIa Clin Ortoped &amp; Traumatol, Bologna, Italy; [Ley, Christophe] Univ Luxembourg, Dept Math, Esch Sur Alzette, Luxembourg; [Longo, Umile Giuseppe] Campus Biomed Univ, Dept Orthopaed &amp; Trauma Surg, Rome, Italy; [Herbst, Elmar] Univ Hosp Munster, Dept Trauma Hand &amp; Reconstruct Surg, Munster, Germany; [Hirschmann, Michael T.] Kantonsspital Baselland, Dept Orthoped Surg &amp; Traumatol, Head Knee Surg &amp; DKF Head Res, CH-4101 Basel, Switzerland; [Kopf, Sebastian] Univ Hosp Brandenburg adH, Ctr Orthopaed &amp; Traumatol, Brandenburg Med Sch Theodor Fontane, D-14770 Brandenburg, Germany; [Kopf, Sebastian] Brandenburg Med Sch Theodor Fontane, Fac Hlth Sci Brandenburg, D-14770 Brandenburg, Germany; [Seil, Romain] Ctr Hosp Luxembourg, Dept Orthopaed Surg, Luxembourg, Luxembourg; [Seil, Romain] Luxembourg Inst Hlth, Luxembourg, Luxembourg; [Tischer, Thomas] Malteser Waldkrankenhaus St Marien, Clin Orthopaed &amp; Trauma Surg, Erlangen, Germany; [Samuelsson, Kristian] Sahlgrens Univ Hosp, Dept Orthopaed, Molndal, Sweden</t>
  </si>
  <si>
    <t>University of Gothenburg; Chalmers University of Technology; Pennsylvania Commonwealth System of Higher Education (PCSHE); University of Pittsburgh; University of Gothenburg; University of Luxembourg; University Campus Bio-Medico - Rome Italy; University of Munster; Kantonsspital Baselland; Luxembourg Hospital Center; Luxembourg Institute of Health; Sahlgrenska University Hospital</t>
  </si>
  <si>
    <t>Zsidai, B (corresponding author), Sahlgrenska Sports Med Ctr, Gothenburg, Sweden.;Zsidai, B (corresponding author), Univ Gothenburg, Inst Clin Sci, Sahlgrenska Acad, Dept Orthopaed, Gothenburg, Sweden.</t>
  </si>
  <si>
    <t>balint.zsidai@gu.se</t>
  </si>
  <si>
    <t>Longo, Umile Giuseppe/K-9147-2016; Senorski, Eric Hamrin/AAA-2913-2019</t>
  </si>
  <si>
    <t>Senorski, Eric Hamrin/0000-0002-9340-0147; Zsidai, Balint/0000-0002-5697-6577</t>
  </si>
  <si>
    <t>Open access funding provided by University of Gothenburg. No funding was obtained for the current study.</t>
  </si>
  <si>
    <t>NOV 16</t>
  </si>
  <si>
    <t>10.1186/s40634-023-00683-z</t>
  </si>
  <si>
    <t>Y4HH5</t>
  </si>
  <si>
    <t>WOS:001104884500002</t>
  </si>
  <si>
    <t>Kanjilal, S</t>
  </si>
  <si>
    <t>Kanjilal, Sanjat</t>
  </si>
  <si>
    <t>Flying Into the Future With Large Language Models</t>
  </si>
  <si>
    <t>Editorial Material; Early Access</t>
  </si>
  <si>
    <t>artificial intelligence; machine learning; large language models; federal regulation; clinical practice</t>
  </si>
  <si>
    <t>[Kanjilal, Sanjat] Harvard Med Sch, Dept Populat Med, Boston, MA USA; [Kanjilal, Sanjat] Harvard Pilgrim Healthcare Inst, Boston, MA USA; [Kanjilal, Sanjat] Brigham &amp; Womens Hosp, Div Infect Dis, Boston, MA USA; [Kanjilal, Sanjat] Harvard Med Sch, 401 Pk Dr East, Boston, MA 02115 USA</t>
  </si>
  <si>
    <t>Harvard University; Harvard Medical School; Harvard Pilgrim Health Care; Harvard University; Brigham &amp; Women's Hospital; Harvard University; Harvard Medical School</t>
  </si>
  <si>
    <t>Kanjilal, S (corresponding author), Harvard Med Sch, 401 Pk Dr East, Boston, MA 02115 USA.</t>
  </si>
  <si>
    <t>skanjilal@bwh.harvard.edu</t>
  </si>
  <si>
    <t>AHRQ [K08 HS027841-03]</t>
  </si>
  <si>
    <t>AHRQ(United States Department of Health &amp; Human ServicesAgency for Healthcare Research &amp; Quality)</t>
  </si>
  <si>
    <t>S. K. is funded by AHRQ K08 HS027841-03. S. K. also reports payment or honoraria for speaking or educational events from Northeast Association of Clinical Microbiology and Infectious Disease, International Roche Infectious Diseases Symposium, COVID-19 Vaccine Development and Implementation Workshop for Virology Education, and Kaohsiung Medical University.</t>
  </si>
  <si>
    <t>2023 NOV 14</t>
  </si>
  <si>
    <t>10.1093/cid/ciad635</t>
  </si>
  <si>
    <t>Y3RS0</t>
  </si>
  <si>
    <t>WOS:001104478800001</t>
  </si>
  <si>
    <t>IQ2C8</t>
  </si>
  <si>
    <t>; Di Bucchianico, Sebastiano/AHI-8150-2022</t>
  </si>
  <si>
    <t>Martens, Patrick/0000-0002-5719-872X; Di Bucchianico, Sebastiano/0000-0002-6396-892X</t>
  </si>
  <si>
    <t>Zheng, Zhiling/HMV-3621-2023; Nguyen, Ha/AAQ-4047-2020</t>
  </si>
  <si>
    <t>Zheng, Zhiling/0000-0001-6090-2258; Chayes, Jennifer/0000-0003-4020-8618; Nguyen, Ha/0000-0002-4977-925X; Yaghi, Omar/0000-0002-5611-3325; Borgs, Christian/0000-0001-5653-0498; Rong, Zichao/0000-0002-9014-9540</t>
  </si>
  <si>
    <t>FN2H3</t>
  </si>
  <si>
    <t>Cabrera, Daniel Molina/X-4025-2019; Triguero, Isaac/AAU-3586-2021</t>
  </si>
  <si>
    <t>Cabrera, Daniel Molina/0000-0002-4175-2204; Triguero, Isaac/0000-0002-0150-0651</t>
  </si>
  <si>
    <t>Patton, Kevin/0000-0003-3219-667X; Crowther, Gregory/0000-0003-0530-9130; Sankar, Usha/0009-0005-9516-6939; Jenkins, Lekelia/0000-0002-2375-2032</t>
  </si>
  <si>
    <t>DEC 14</t>
  </si>
  <si>
    <t>Birkett, Liam/0000-0002-0696-3794; Fowler, Thomas/0009-0003-9166-1954</t>
  </si>
  <si>
    <t>Mondal, H; Dash, I; Mondal, S; Behera, JK</t>
  </si>
  <si>
    <t>Mondal, Himel; Dash, Ipsita; Mondal, Shaikat; Behera, Joshil Kumar</t>
  </si>
  <si>
    <t>ChatGPT in Answering Queries Related to Lifestyle-Related Diseases and Disorders</t>
  </si>
  <si>
    <t>public health education; patient; internet; non-communicable disease; healthcare; language model; lifestyle; education; chatgpt; artificial intelligence</t>
  </si>
  <si>
    <t>HEALTH INFORMATION</t>
  </si>
  <si>
    <t>BackgroundLifestyle-related diseases and disorders have become a significant global health burden. However, the majority of the population ignores or do not consult doctors for such disease or disorders. Artificial intelligence (AI)-based large language model (LLM) like ChatGPT (GPT3.5) is capable of generating customized queries of a user. Hence, it can act as a virtual telehealth agent. Its capability to answer lifestyle-related diseases or disorders has not been explored.ObjectiveThis study aimed to evaluate the effectiveness of ChatGPT, an LLM, in providing answers to queries related to lifestyle-related diseases or disorders.MethodsA set of 20 lifestyle-related disease or disorder cases covering a wide range of topics such as obesity, diabetes, cardiovascular health, and mental health were prepared with four questions. The case and questions were presented to ChatGPT and asked for the answers to those questions. Two physicians rated the content on a three-point Likert-like scale ranging from accurate (2), partially accurate (1), and inaccurate (0). Further, the content was rated as adequate (2), inadequate (1), and misguiding (0) for testing the applicability of the guides for patients. The readability of the text was analyzed by the Flesch-Kincaid Ease Score (FKES). ResultsAmong 20 cases, the average score of accuracy was 1.83 +/- 0.37 and guidance was 1.9 +/- 0.21. Both the scores were higher than the hypothetical median of 1.5 (p=0.004 and p&lt;0.0001, respectively). ChatGPT answered the questions with a natural tone in 11 cases and nine with a positive tone. The text was understandable for college graduates with a mean FKES of 27.8 +/- 5.74.ConclusionThe analysis of content accuracy revealed that ChatGPT provided reasonably accurate information in the majority of the cases, successfully addressing queries related to lifestyle-related diseases or disorders. Hence, initial guidance can be obtained by patients when they get little time to consult a doctor or wait for an appointment to consult a doctor for suggestions about their condition.</t>
  </si>
  <si>
    <t>[Mondal, Himel] All India Inst Med Sci, Physiol, Deoghar, India; [Dash, Ipsita] Saheed Laxman Nayak Med Coll &amp; Hosp, Biochem, Koraput, India; [Mondal, Shaikat] Raiganj Govt Med Coll &amp; Hosp, Physiol, Raiganj, India; [Behera, Joshil Kumar] Nagaland Inst Med Sci &amp; Res, Physiol, Kohima, India</t>
  </si>
  <si>
    <t>Mondal, H (corresponding author), All India Inst Med Sci, Physiol, Deoghar, India.</t>
  </si>
  <si>
    <t>NOV 5</t>
  </si>
  <si>
    <t>e48296</t>
  </si>
  <si>
    <t>10.7759/cureus.48296</t>
  </si>
  <si>
    <t>Z2VH3</t>
  </si>
  <si>
    <t>WOS:001110699100024</t>
  </si>
  <si>
    <t>Li, Z; Ma, J; Tan, Y; Guo, C; Li, X</t>
  </si>
  <si>
    <t>Li, Zheng; Ma, Jun; Tan, Yi; Guo, Cui; Li, Xiao</t>
  </si>
  <si>
    <t>Combining physical approaches with deep learning techniques for urban building energy modeling: A comprehensive review and future research prospects</t>
  </si>
  <si>
    <t>BUILDING AND ENVIRONMENT</t>
  </si>
  <si>
    <t>Physics-based urban building energy modeling; Deep learning; Data-driven; Hybrid model; AIGC; Large language model</t>
  </si>
  <si>
    <t>ARTIFICIAL NEURAL-NETWORKS; RESIDENTIAL BUILDINGS; SIMULATION; FRAMEWORK; DEMAND; RECONSTRUCTION; METHODOLOGY; PROFILES; IMAGES</t>
  </si>
  <si>
    <t>In recent times, there has been a growing interest in urban building energy modeling (UBEM), owing to its potential benefits for cities. These benefits include aiding city decision-makers in comprehending building energy demand, managing and planning urban energy supply, developing building energy efficiency measures, and analyzing urban building retrofits. The physical approach has historically been a common method for studying energy in urban buildings. Notwithstanding, with the progress of artificial intelligence, powerful deep learning techniques are increasingly being utilized to overcome some of the physical approach's limitations. Consequently, the combination of physical approaches with deep learning algorithms for UBEM research has become a popular area of study. The purpose of this paper is to present an updated review of UBEM studies from three perspectives: model preparation, model simulation, and model calibration. The principal aim of this review is to investigate and analyze the present research status, challenges, obstacles, and research gaps of deep learning techniques in physics-based UBEM. This analysis is followed by a discussion of feasible options. Finally, four distinct viewpoints are provided to explore the future research prospects of deep learning techniques and to propose technically viable pathways for each perspective.</t>
  </si>
  <si>
    <t>[Li, Zheng; Ma, Jun; Guo, Cui] Univ Hong Kong, Dept Urban Planning &amp; Design, Hong Kong, Peoples R China; [Tan, Yi] Shenzhen Univ, Key Lab Resilient Infrastructures Coastal Cities, Minist Educ, Shenzhen, Peoples R China; [Li, Xiao] Univ Hong Kong, Dept Civil Engn, Hong Kong, Peoples R China</t>
  </si>
  <si>
    <t>University of Hong Kong; Shenzhen University; University of Hong Kong</t>
  </si>
  <si>
    <t>Ma, J (corresponding author), Univ Hong Kong, Dept Urban Planning &amp; Design, Hong Kong, Peoples R China.</t>
  </si>
  <si>
    <t>junma@hku.hk</t>
  </si>
  <si>
    <t>Guo, Cui/0000-0003-0816-6534</t>
  </si>
  <si>
    <t>Early Career Scheme from the Hong Kong Research Grant Council [27202521]; Seed Fund for PI Research - Basic Research from The University of Hong Kong [2202100879]</t>
  </si>
  <si>
    <t>Early Career Scheme from the Hong Kong Research Grant Council; Seed Fund for PI Research - Basic Research from The University of Hong Kong</t>
  </si>
  <si>
    <t>This study was jointly supported by the Early Career Scheme (No. 27202521) from the Hong Kong Research Grant Council, and the Seed Fund for PI Research - Basic Research (No. 2202100879) from The University of Hong Kong. The authors wish to appreciate the anonymous reviewers for their comments to improve this paper.</t>
  </si>
  <si>
    <t>0360-1323</t>
  </si>
  <si>
    <t>1873-684X</t>
  </si>
  <si>
    <t>BUILD ENVIRON</t>
  </si>
  <si>
    <t>Build. Environ.</t>
  </si>
  <si>
    <t>10.1016/j.buildenv.2023.110960</t>
  </si>
  <si>
    <t>Construction &amp; Building Technology; Engineering, Environmental; Engineering, Civil</t>
  </si>
  <si>
    <t>Y8JK6</t>
  </si>
  <si>
    <t>WOS:001107666000001</t>
  </si>
  <si>
    <t>Royal Marsden NHS Foundation Trust; University College London Hospitals NHS Foundation Trust; University of London; University College London</t>
  </si>
  <si>
    <t>Williamson, Andrew/0000-0002-3861-4847; Paleri, Vinidh/0000-0002-7933-4585; Cheong, Ryan ChinTaw/0000-0001-7846-8699</t>
  </si>
  <si>
    <t>Cho, Y; Park, JM; Youn, S</t>
  </si>
  <si>
    <t>Cho, Yongwon; Park, Jong Mok; Youn, Seunghyun</t>
  </si>
  <si>
    <t>General Overview of Artificial Intelligence for Interstitial Cystitis in Urology</t>
  </si>
  <si>
    <t>INTERNATIONAL NEUROUROLOGY JOURNAL</t>
  </si>
  <si>
    <t>Interstitial cystitis; Diagnosis; Treatment; Convolutional neural network; Deep learning; Large language model</t>
  </si>
  <si>
    <t>INTRAVESICAL HYALURONIC-ACID; PENTOSAN POLYSULFATE SODIUM; DOUBLE-BLIND; EFFICACY; SYSTEM</t>
  </si>
  <si>
    <t>Our understanding of interstitial cystitis/bladder pain syndrome (IC/BPS) has evolved over time. The diagnosis of IC/BPS is primarily based on symptoms such as urgency, frequency, and bladder or pelvic pain. While the exact causes of IC/BPS remain unclear, it is thought to involve several factors, including abnormalities in the bladder's urothelium, mast cell degranulation within the bladder, inflammation of the bladder, and altered innervation of the bladder. Treatment options include patient education, dietary and lifestyle modifications, medications, intravesical therapy, and surgical interventions. This review article provides insights into IC/BPS, including aspects of treatment, prognosis prediction, and emerging therapeutic options. Additionally, it explores the application of deep learning for diagnosing major diseases associated with IC/BPS.</t>
  </si>
  <si>
    <t>[Cho, Yongwon] Korea Univ, Anam Hosp, Dept AI Ctr, Seoul, South Korea; [Park, Jong Mok] Chungnam Natl Univ, Sejong Hosp, Coll Med, Dept Urol, Sejong, South Korea; [Youn, Seunghyun] GRK Partners Res Ctr, Seoul, South Korea</t>
  </si>
  <si>
    <t>Korea University; Korea University Medicine (KU Medicine); Chungnam National University</t>
  </si>
  <si>
    <t>Youn, S (corresponding author), GRK Partners Res Ctr, 200 Iteawon Ro, Seoul 04405, South Korea.</t>
  </si>
  <si>
    <t>ceo@grkcon.com</t>
  </si>
  <si>
    <t>Cho, Yongwon/0000-0001-8092-5799; Youn, Seunghyun/0009-0000-6857-8229</t>
  </si>
  <si>
    <t>Chungnam National University</t>
  </si>
  <si>
    <t>This work was supported by Chungnam National University.</t>
  </si>
  <si>
    <t>KOREAN CONTINENCE SOC</t>
  </si>
  <si>
    <t>YEONGOTONG-GU</t>
  </si>
  <si>
    <t>DEPT UROLOGY, AJOU UNIV COLL MEDICINE, SAN 5 WONCHEN-DONG, YEONGOTONG-GU, SUWON 443-721, SOUTH KOREA</t>
  </si>
  <si>
    <t>2093-4777</t>
  </si>
  <si>
    <t>2093-6931</t>
  </si>
  <si>
    <t>INT NEUROUROL J</t>
  </si>
  <si>
    <t>Int. Neurourol. J.</t>
  </si>
  <si>
    <t>S64</t>
  </si>
  <si>
    <t>S72</t>
  </si>
  <si>
    <t>10.5213/inj.2346294.147</t>
  </si>
  <si>
    <t>Z3QT3</t>
  </si>
  <si>
    <t>WOS:001111259500003</t>
  </si>
  <si>
    <t>Roig, Gemma/0000-0002-6439-8076; de Curto y Diaz, J./0000-0002-8334-4719; de Zarza i Cubero, I./0000-0002-5844-7871</t>
  </si>
  <si>
    <t>Ong, Dennis Cinco/S-7835-2017</t>
  </si>
  <si>
    <t>Demszky, Dorottya/0000-0002-6759-9367; Bryan, Christopher/0000-0002-1582-4411; Hecht, Cameron/0000-0003-4842-6003; Eichstaedt, Johannes/0000-0002-3220-2972; Clapper, Mac/0000-0002-8932-6116; Ong, Desmond/0000-0002-6781-8072</t>
  </si>
  <si>
    <t>National Science Foundation [1761179, 2201928]; National Institutes of Health [R01HD084772, P2CHD042849]; William and Melinda Gates Foundation [INV-047751, INV-004519]; Jacobs Foundation; Institute for Human-Centered A.I. at Stanford University; Bill and Melinda Gates Foundation [INV-004519] Funding Source: Bill and Melinda Gates Foundation</t>
  </si>
  <si>
    <t>National Science Foundation(National Science Foundation (NSF)); National Institutes of Health(United States Department of Health &amp; Human ServicesNational Institutes of Health (NIH) - USA); William and Melinda Gates Foundation; Jacobs Foundation; Institute for Human-Centered A.I. at Stanford University; Bill and Melinda Gates Foundation(Bill &amp; Melinda Gates Foundation)</t>
  </si>
  <si>
    <t>Galvan-Alvarez, V; Gallego-Selles, A; Martinez-Canton, M; García-Gonzalez, E; Gelabert-Rebato, M; Ponce-Gonzalez, JG; Larsen, S; Morales-Alamo, D; Losa-Reyna, J; Perez-Suarez, I; Dorado, C; Perez-Valera, M; Holmberg, HC; Boushel, R; Velasco, PD; Helge, JW; Martin-Rincon, M; Calbet, JAL</t>
  </si>
  <si>
    <t>Galvan-Alvarez, Victor; Gallego-Selles, Angel; Martinez-Canton, Miriam; Garcia-Gonzalez, Eduardo; Gelabert-Rebato, Miriam; Ponce-Gonzalez, Jesus Gustavo; Larsen, Steen; Morales-Alamo, David; Losa-Reyna, Jose; Perez-Suarez, Ismael; Dorado, Cecilia; Perez-Valera, Mario; Holmberg, Hans-Christer; Boushel, Robert; Velasco, Pedro de Pablos; Helge, Jorn Wulff; Martin-Rincon, Marcos; Calbet, Jose A. L.</t>
  </si>
  <si>
    <t>Antioxidant enzymes and Nrf2/Keap1 in human skeletal muscle: Influence of age, sex, adiposity and aerobic fitness</t>
  </si>
  <si>
    <t>FREE RADICAL BIOLOGY AND MEDICINE</t>
  </si>
  <si>
    <t>Obesity; ROS; Free radicals; Aging; Nrf2; SOD; Catalase; Physical activity</t>
  </si>
  <si>
    <t>OXIDATIVE STRESS; SUPEROXIDE-DISMUTASE; EXERCISE CAPACITY; HYDROGEN-PEROXIDE; XANTHINE-OXIDASE; EXPRESSION; NRF2; ADAPTATIONS; MECHANISMS; MITOCHONDRIA</t>
  </si>
  <si>
    <t>Ageing, a sedentary lifestyle, and obesity are associated with increased oxidative stress, while regular exercise is associated with an increased antioxidant capacity in trained skeletal muscles. Whether a higher aerobic fitness is associated with increased expression of antioxidant enzymes and their regulatory factors in skeletal muscle remains unknown. Although oestrogens could promote a higher antioxidant capacity in females, it remains unknown whether a sex dimorphism exists in humans regarding the antioxidant capacity of skeletal muscle. Thus, the aim was to determine the protein expression levels of the antioxidant enzymes SOD1, SOD2, catalase and glutathione reductase (GR) and their regulatory factors Nrf2 and Keap1 in 189 volunteers (120 males and 69 females) to establish whether sex differences exist and how age, VO2max and adiposity influence these. For this purpose, vastus lateralis muscle biopsies were obtained in all participants under resting and unstressed conditions. No significant sex differences in Nrf2, Keap1, SOD1, SOD2, catalase and GR protein expression levels were observed after accounting for VO2max, age and adiposity differences. Multiple regression analysis indicates that the VO2max in mL.kg LLM-1.min-1can be predicted from the levels of SOD2, Total Nrf2 and Keap1 (R = 0.58, P &lt; 0.001), with SOD2 being the main predictor explaining 28 % of variance in VO2max, while Nrf2 and Keap1 explained each around 3 % of the variance. SOD1 protein expression increased with ageing in the whole group after accounting for differences in VO2max and body fat percentage. Overweight and obesity were associated with increased pSer40-Nrf2, pSer40-Nrf2/Total Nrf2 ratio and SOD1 protein expression levels after accounting for differences in age and VO2max. Overall, at the population level, higher aerobic fitness is associated with increased basal expression of muscle antioxidant enzymes, which may explain some of the benefits of regular exercise.</t>
  </si>
  <si>
    <t>[Galvan-Alvarez, Victor; Gallego-Selles, Angel; Martinez-Canton, Miriam; Garcia-Gonzalez, Eduardo; Gelabert-Rebato, Miriam; Ponce-Gonzalez, Jesus Gustavo; Morales-Alamo, David; Losa-Reyna, Jose; Perez-Suarez, Ismael; Dorado, Cecilia; Perez-Valera, Mario; Martin-Rincon, Marcos; Calbet, Jose A. L.] Univ Las Palmas Gran Canaria, Dept Phys Educ, Campus Univ Tafira S-N, Las Palmas Gran Canaria 35017, Spain; [Galvan-Alvarez, Victor; Gallego-Selles, Angel; Martinez-Canton, Miriam; Garcia-Gonzalez, Eduardo; Gelabert-Rebato, Miriam; Morales-Alamo, David; Perez-Suarez, Ismael; Dorado, Cecilia; Perez-Valera, Mario; Velasco, Pedro de Pablos; Martin-Rincon, Marcos; Calbet, Jose A. L.] Univ Las Palmas Gran Canaria, Res Inst Biomed &amp; Hlth Sci IUIBS, Paseo Blas Cabrera Felipe Fisico S-N, Las Palmas Gran Canaria 35017, Spain; [Larsen, Steen; Helge, Jorn Wulff] Univ Copenhagen, Ctr Hlth Ageing, Dept Biomed Sci, DK-2200 Copenhagen, Denmark; [Larsen, Steen] Med Univ Bialystok, Clin Res Ctr, Bialystok, Poland; [Holmberg, Hans-Christer] Lulea Univ Technol, Dept Hlth Sci, Lulea, Sweden; [Holmberg, Hans-Christer; Boushel, Robert; Calbet, Jose A. L.] Univ British Columbia, Fac Educ, Sch Kinesiol, Vancouver, BC, Canada; [Calbet, Jose A. L.] Norwegian Sch Sport Sci, Dept Phys Performance, POB 4014 Ulleval Stadion, N-4014 Oslo, Norway; [Velasco, Pedro de Pablos] Hosp Univ Gran Canaria Doctor Negrin, Dept Endocrinol &amp; Nutr, Las Palmas Gran Canaria, Spain; [Calbet, Jose A. L.] Campus Univ Tafira, Dept Educ Fis, Las Palmas Gran Canaria 35017, Canarias, Spain</t>
  </si>
  <si>
    <t>Universidad de Las Palmas de Gran Canaria; Universidad de Las Palmas de Gran Canaria; University of Copenhagen; Medical University of Bialystok; Lulea University of Technology; University of British Columbia; Norwegian School of Sport Sciences</t>
  </si>
  <si>
    <t>Martin-Rincon, M; Calbet, JAL (corresponding author), Univ Las Palmas Gran Canaria, Dept Phys Educ, Campus Univ Tafira S-N, Las Palmas Gran Canaria 35017, Spain.;Calbet, JAL (corresponding author), Campus Univ Tafira, Dept Educ Fis, Las Palmas Gran Canaria 35017, Canarias, Spain.</t>
  </si>
  <si>
    <t>lopezcalbet@gmail.com</t>
  </si>
  <si>
    <t>Gallego Selles, Ángel/GYJ-3418-2022; Morales-Alamo, David/D-2683-2009; Perez-Suarez, Ismael/A-1959-2016; Helge, Jørn/JAC-4428-2023; Martin-Rincon, Marcos/I-6495-2015</t>
  </si>
  <si>
    <t>Gallego Selles, Ángel/0000-0002-8068-9586; Morales-Alamo, David/0000-0001-8463-397X; Perez-Suarez, Ismael/0000-0002-7969-0061; Helge, Jørn/0000-0001-9724-5423; Martin-Rincon, Marcos/0000-0002-3685-2331; Larsen, Steen/0000-0002-5170-4337</t>
  </si>
  <si>
    <t>Ministerio de Economia y Competitividad [DEP2015-71171-R, DEP2017-86409-C2-1-P, PID2021-125354OB-C21, PI14/01509]; University of Las Palmas de Gran Canaria [ULPAPD-08/01-4]; Agencia Canaria de Investigacion, Innovacion y Sociedad de la Infomacion [ProID2017010106]; FEDER; Swedish Olympic Committee [070-4058960]; Consejo Superior de Deportes [EXP_75097]; European Union NextGenerationEU; Gobierno de Espana; Ministerio de Cultura y Deporte, Plan de Recuperacion, Transformacion y Resilencia; Cabildo de Gran Canaria [12/22]; FDCAN (Fondo de Desarrollo de Canarias)</t>
  </si>
  <si>
    <t>Ministerio de Economia y Competitividad(Spanish Government); University of Las Palmas de Gran Canaria; Agencia Canaria de Investigacion, Innovacion y Sociedad de la Infomacion; FEDER(European Union (EU)Spanish Government); Swedish Olympic Committee; Consejo Superior de Deportes; European Union NextGenerationEU(European Union (EU)); Gobierno de Espana(Spanish Government); Ministerio de Cultura y Deporte, Plan de Recuperacion, Transformacion y Resilencia; Cabildo de Gran Canaria; FDCAN (Fondo de Desarrollo de Canarias)</t>
  </si>
  <si>
    <t>This study was financed by grants from the Ministerio de Economia y Competitividad (DEP2015-71171-R; DEP2017-86409-C2-1-P; PID2021-125354OB-C21; PI14/01509) , University of Las Palmas de Gran Canaria (ULPAPD-08/01-4) , Agencia Canaria de Investigacion, Innovacion y Sociedad de la Infomacion (ProID2017010106) , FEDER, Swedish Olympic Committee (Ref: 070-4058960) , Consejo Superior de Deportes (EXP_75097) , European Union NextGenerationEU, Gobierno de Espana, Ministerio de Cultura y Deporte, Plan de Recuperacion, Transformacion y Resilencia. Authors would like to acknowledge Cabildo de Gran Canaria (grant 12/22) and FDCAN (Fondo de Desarrollo de Canarias) for the economic support to this research work. The funders had no role in study design, data collection and analysis, decision to publish or preparation of the manuscript. The technical assistance by Jose Navarro de Tuero is greatly appreciated.</t>
  </si>
  <si>
    <t>0891-5849</t>
  </si>
  <si>
    <t>1873-4596</t>
  </si>
  <si>
    <t>FREE RADICAL BIO MED</t>
  </si>
  <si>
    <t>Free Radic. Biol. Med.</t>
  </si>
  <si>
    <t>10.1016/j.freeradbiomed.2023.10.393</t>
  </si>
  <si>
    <t>Biochemistry &amp; Molecular Biology; Endocrinology &amp; Metabolism</t>
  </si>
  <si>
    <t>IG7L6</t>
  </si>
  <si>
    <t>WOS:001165240800001</t>
  </si>
  <si>
    <t>Huemann, Z; Lee, C; Hu, JJ; Cho, SY; Bradshaw, TJ</t>
  </si>
  <si>
    <t>Huemann, Zachary; Lee, Changhee; Hu, Junjie; Cho, Steve Y.; Bradshaw, Tyler J.</t>
  </si>
  <si>
    <t>RADIOLOGY-ARTIFICIAL INTELLIGENCE</t>
  </si>
  <si>
    <t>Lymphoma; PET; PET/CT; Transfer Learning; Unsupervised Learning; Convolutional Neural Network (CNN); Nuclear Medicine; Deauville; Natural Language Processing; Multimodal Learning; Artificial Intelligence; Machine Learning; Language Modeling</t>
  </si>
  <si>
    <t>Purpose: To evaluate the impact of domain adaptation on the performance of language models in predicting five-point Deauville scores on the basis of clinical fluorine 18 fluorodeoxyglucose PET/CT reports. Materials and Methods: The authors retrospectively retrieved 4542 text reports and images for fluorodeoxyglucose PET/CT lymphoma examinations from 2008 to 2018 in the University of Wisconsin-Madison institutional clinical imaging database. Of these total reports, 1664 had Deauville scores that were extracted from the reports and served as training labels. The bidirectional encoder representations from transformers (BERT) model and initialized BERT models BioClinicalBERT, RadBERT, and RoBERTa were adapted to the nuclear medicine domain by pretraining using masked language modeling. These domain-adapted models were then compared with the non-domain-adapted versions on the task of five-point Deauville score prediction. The language models were compared against vision models, multimodal vision-language models, and a nuclear medicine physician, with sevenfold Monte Carlo cross-validation. Means and SDs for accuracy are reported, with P values from paired t testing. Results: Domain adaptation improved the performance of all language models (P =.01). For example, BERT improved from 61.3% +/- 2.9 (SD) five-class accuracy to 65.7% +/- 2.2 (P =.01) following domain adaptation. Domain-adapted RoBERTa (named DA RoBERTa) performed best, achieving 77.4% +/- 3.4 five-class accuracy; this model performed similarly to its multimodal counterpart (named Multimodal DA RoBERTa) (77.2% +/- 3.2) and outperformed the best vision-only model (48.1% +/- 3.5, P &lt;= .001). A physician given the task on a subset of the data had a five-class accuracy of 66%. Conclusion: Domain adaptation improved the performance of large language models in predicting Deauville scores in PET/CT reports.</t>
  </si>
  <si>
    <t>[Huemann, Zachary; Lee, Changhee; Cho, Steve Y.; Bradshaw, Tyler J.] Univ Wisconsin, Dept Radiol, 1111 Highland Ave, Madison, WI 53705 USA; [Hu, Junjie] Univ Wisconsin, Dept Biostat, 1111 Highland Ave, Madison, WI 53705 USA; [Hu, Junjie] Univ Wisconsin, Dept Comp Sci, 1111 Highland Ave, Madison, WI 53705 USA; [Cho, Steve Y.] Univ Wisconsin, Carbone Canc Ctr, Madison, WI USA</t>
  </si>
  <si>
    <t>University of Wisconsin System; University of Wisconsin Madison; University of Wisconsin System; University of Wisconsin Madison; University of Wisconsin System; University of Wisconsin Madison; University of Wisconsin System; University of Wisconsin Madison</t>
  </si>
  <si>
    <t>Huemann, Z (corresponding author), Univ Wisconsin, Dept Radiol, 1111 Highland Ave, Madison, WI 53705 USA.</t>
  </si>
  <si>
    <t>zuemann@wisc.edu</t>
  </si>
  <si>
    <t>Hu, Junjie/HHR-9040-2022</t>
  </si>
  <si>
    <t>Hu, Junjie/0000-0002-1911-4361; , Zachary/0000-0002-1472-243X; Bradshaw, Tyler/0000-0001-9549-7002</t>
  </si>
  <si>
    <t>GE HealthCare</t>
  </si>
  <si>
    <t>GE HealthCare(General ElectricGE Healthcare)</t>
  </si>
  <si>
    <t>2638-6100</t>
  </si>
  <si>
    <t>RADIOL-ARTIF INTELL</t>
  </si>
  <si>
    <t>Radiology-Artificial Intelligence</t>
  </si>
  <si>
    <t>Computer Science, Artificial Intelligence; Radiology, Nuclear Medicine &amp; Medical Imaging</t>
  </si>
  <si>
    <t>Computer Science; Radiology, Nuclear Medicine &amp; Medical Imaging</t>
  </si>
  <si>
    <t>JI2S5</t>
  </si>
  <si>
    <t>WOS:001172477100003</t>
  </si>
  <si>
    <t>Kim, HJ; Gong, EJ; Bang, CS</t>
  </si>
  <si>
    <t>Kim, Hye-Jin; Gong, Eun-Jeong; Bang, Chang-Seok</t>
  </si>
  <si>
    <t>Application of Machine Learning Based on Structured Medical Data in Gastroenterology</t>
  </si>
  <si>
    <t>BIOMIMETICS</t>
  </si>
  <si>
    <t>machine learning; artificial intelligence; gastroenterology</t>
  </si>
  <si>
    <t>ARTIFICIAL-INTELLIGENCE; PREDICTION; MORTALITY; CANCER; MODEL</t>
  </si>
  <si>
    <t>The era of big data has led to the necessity of artificial intelligence models to effectively handle the vast amount of clinical data available. These data have become indispensable resources for machine learning. Among the artificial intelligence models, deep learning has gained prominence and is widely used for analyzing unstructured data. Despite the recent advancement in deep learning, traditional machine learning models still hold significant potential for enhancing healthcare efficiency, especially for structured data. In the field of medicine, machine learning models have been applied to predict diagnoses and prognoses for various diseases. However, the adoption of machine learning models in gastroenterology has been relatively limited compared to traditional statistical models or deep learning approaches. This narrative review provides an overview of the current status of machine learning adoption in gastroenterology and discusses future directions. Additionally, it briefly summarizes recent advances in large language models.</t>
  </si>
  <si>
    <t>[Kim, Hye-Jin; Gong, Eun-Jeong; Bang, Chang-Seok] Hallym Univ, Coll Med, Dept Internal Med, Chunchon 24253, South Korea; [Kim, Hye-Jin; Gong, Eun-Jeong; Bang, Chang-Seok] Hallym Univ, Inst Liver &amp; Digest Dis, Chunchon 24253, South Korea; [Kim, Hye-Jin; Gong, Eun-Jeong; Bang, Chang-Seok] Hallym Univ, Inst New Frontier Res, Coll Med, Chunchon 24253, South Korea</t>
  </si>
  <si>
    <t>Hallym University; Hallym University; Hallym University</t>
  </si>
  <si>
    <t>Bang, CS (corresponding author), Hallym Univ, Coll Med, Dept Internal Med, Chunchon 24253, South Korea.;Bang, CS (corresponding author), Hallym Univ, Inst Liver &amp; Digest Dis, Chunchon 24253, South Korea.;Bang, CS (corresponding author), Hallym Univ, Inst New Frontier Res, Coll Med, Chunchon 24253, South Korea.</t>
  </si>
  <si>
    <t>khyejin1027@hanmail.net; gong-eun@hanmail.net; csbang@hallym.ac.kr</t>
  </si>
  <si>
    <t>Bang, Chang Seok/0000-0003-4908-5431; Gong, Eun Jeong/0000-0003-3996-3472</t>
  </si>
  <si>
    <t>Hallym University Research Fund</t>
  </si>
  <si>
    <t>2313-7673</t>
  </si>
  <si>
    <t>BIOMIMETICS-BASEL</t>
  </si>
  <si>
    <t>Biomimetics</t>
  </si>
  <si>
    <t>10.3390/biomimetics8070512</t>
  </si>
  <si>
    <t>Engineering, Multidisciplinary; Materials Science, Biomaterials</t>
  </si>
  <si>
    <t>Engineering; Materials Science</t>
  </si>
  <si>
    <t>AJ5W2</t>
  </si>
  <si>
    <t>WOS:001118122400001</t>
  </si>
  <si>
    <t>ISAYA NELSON, AHADI/0009-0003-5249-2000; Nachev, Parashkev/0000-0002-2718-4423</t>
  </si>
  <si>
    <t>Novikova, ML; Novikov, PN</t>
  </si>
  <si>
    <t>Novikova, Marina L.; Novikov, Phillip N.</t>
  </si>
  <si>
    <t>Analyzing the potential of using large language models for languages of peoples of the Russian Federation and the CIS in the modern digital space</t>
  </si>
  <si>
    <t>FILOLOGICHESKIE NAUKI-NAUCHNYE DOKLADY VYSSHEI SHKOLY-PHILOLOGICAL SCIENCES-SCIENTIFIC ESSAYS OF HIGHER EDUCATION</t>
  </si>
  <si>
    <t>Russian</t>
  </si>
  <si>
    <t>artificial intelligence; machine learning; languages of the peoples of Russia; large language models</t>
  </si>
  <si>
    <t>In the timeframe from 2022 to 2023, the progress in the development of large language models, based on machine learning and neural network technologies, also referred to as artificial intelligence, reached an unprecedented level. This facilitated making a significant leap for the application of natural language processing algorithms to both science and everyday life. The article examines the potential and current challenges of using these technologies with respect to the languages of the peoples of the Russian Federation and the CIS in the modern digital environment. The study touches upon such areas as translation, linguistic analysis, language popularization, and development of original language online services.</t>
  </si>
  <si>
    <t>[Novikova, Marina L.] Peoples Friendship Univ Russia, Russian Language &amp; Cultural Studies Dept, Moscow, Russia; [Novikov, Phillip N.] Peoples Friendship Univ Russia, Foreign Languages Dept, Moscow, Russia</t>
  </si>
  <si>
    <t>Peoples Friendship University of Russia; Peoples Friendship University of Russia</t>
  </si>
  <si>
    <t>Novikova, ML (corresponding author), Peoples Friendship Univ Russia, Russian Language &amp; Cultural Studies Dept, Moscow, Russia.</t>
  </si>
  <si>
    <t>novikova-ml@rudn.ru; philippnovikov@gmail.com</t>
  </si>
  <si>
    <t>INOIT ALMAVEST</t>
  </si>
  <si>
    <t>UL VVEDENSKOGO, DOM 23A, STR 3, MOSCOW, 117342, RUSSIA</t>
  </si>
  <si>
    <t>2310-4287</t>
  </si>
  <si>
    <t>FILOL NAUK NAUCH DOK</t>
  </si>
  <si>
    <t>Filol. Nauk.</t>
  </si>
  <si>
    <t>10.20339/PhS.6s-23.003</t>
  </si>
  <si>
    <t>Language &amp; Linguistics</t>
  </si>
  <si>
    <t>HC4J8</t>
  </si>
  <si>
    <t>WOS:001157275300001</t>
  </si>
  <si>
    <t>Acerbi, A; Stubbersfield, JM</t>
  </si>
  <si>
    <t>Acerbi, Alberto; Stubbersfield, Joseph M.</t>
  </si>
  <si>
    <t>Large language models show human- like content biases in transmission chain experiments</t>
  </si>
  <si>
    <t>cultural evolution; large language models; ChatGPT; content biases; transmission chains</t>
  </si>
  <si>
    <t>STEREOTYPES</t>
  </si>
  <si>
    <t>As the use of large language models (LLMs) grows, it is important to examine whether they exhibit biases in their output. Research in cultural evolution, using transmission chain experiments, demonstrates that humans have biases to attend to, remember, and transmit some types of content over others. Here, in five preregistered experiments using material from previous studies with human participants, we use the same, transmission chain -like methodology, and find that the LLM ChatGPT-3 shows biases analogous to humans for content that is gender- stereotype- consistent, social, negative, threat- related, and biologically counterintuitive, over other content. The presence of these biases in LLM output suggests that such content is widespread in its training data and could have consequential downstream effects, by magnifying preexisting human tendencies for cognitively appealing and not necessarily informative, or valuable, content.</t>
  </si>
  <si>
    <t>[Acerbi, Alberto] Univ Trento, Dept Sociol &amp; Social Res, I-38122 Trento, Italy; [Stubbersfield, Joseph M.] Univ Winchester, Dept Psychol, Winchester SO22 4NR, England</t>
  </si>
  <si>
    <t>University of Trento; University of Winchester</t>
  </si>
  <si>
    <t>Acerbi, A (corresponding author), Univ Trento, Dept Sociol &amp; Social Res, I-38122 Trento, Italy.</t>
  </si>
  <si>
    <t>alberto.acerbi@unitn.it</t>
  </si>
  <si>
    <t>Stubbersfield, Joseph Michael/0000-0001-8966-4679</t>
  </si>
  <si>
    <t>University of Winchester Research and Innovation funds</t>
  </si>
  <si>
    <t>We would like to thank Fabiana Lombardi for her work as an independent coder, and two anonymous reviewers for comments and suggestions. J.M.S. received internal funding from the University of Winchester Research and Innovation funds for this research.</t>
  </si>
  <si>
    <t>OCT 31</t>
  </si>
  <si>
    <t>e2313790120</t>
  </si>
  <si>
    <t>10.1073/pnas.2313790120</t>
  </si>
  <si>
    <t>CS1C9</t>
  </si>
  <si>
    <t>WOS:001127129700010</t>
  </si>
  <si>
    <t>Chakraborty, C; Pal, S; Bhattacharya, M; Dash, S; Lee, SS</t>
  </si>
  <si>
    <t>Chakraborty, Chiranjib; Pal, Soumen; Bhattacharya, Manojit; Dash, Snehasish; Lee, Sang-Soo</t>
  </si>
  <si>
    <t>Overview of Chatbots with special emphasis on artificial intelligence-enabled ChatGPT in medical science</t>
  </si>
  <si>
    <t>FRONTIERS IN ARTIFICIAL INTELLIGENCE</t>
  </si>
  <si>
    <t>ChatGPT; Chatbot; medical use; large language models; AI</t>
  </si>
  <si>
    <t>PERFORMANCE; GPT-4</t>
  </si>
  <si>
    <t>The release of ChatGPT has initiated new thinking about AI-based Chatbot and its application and has drawn huge public attention worldwide. Researchers and doctors have started thinking about the promise and application of AI-related large language models in medicine during the past few months. Here, the comprehensive review highlighted the overview of Chatbot and ChatGPT and their current role in medicine. Firstly, the general idea of Chatbots, their evolution, architecture, and medical use are discussed. Secondly, ChatGPT is discussed with special emphasis of its application in medicine, architecture and training methods, medical diagnosis and treatment, research ethical issues, and a comparison of ChatGPT with other NLP models are illustrated. The article also discussed the limitations and prospects of ChatGPT. In the future, these large language models and ChatGPT will have immense promise in healthcare. However, more research is needed in this direction.</t>
  </si>
  <si>
    <t>[Chakraborty, Chiranjib] Adamas Univ, Sch Life Sci &amp; Biotechnol, Dept Biotechnol, Kolkata, W Bengal, India; [Pal, Soumen; Dash, Snehasish] Vellore Inst Technol, Sch Mech Engn, Vellore, Tamil Nadu, India; [Bhattacharya, Manojit] Fakir Mohan Univ, Dept Zool, Balasore, Orissa, India; [Lee, Sang-Soo] Hallym Univ, Chuncheon Sacred Heart Hosp, Inst Skeletal Aging &amp; Orthoped Surg, Chuncheon Si, Gangwon Do, South Korea</t>
  </si>
  <si>
    <t>Vellore Institute of Technology (VIT); VIT Vellore; Fakir Mohan University; Hallym University</t>
  </si>
  <si>
    <t>Chakraborty, C (corresponding author), Adamas Univ, Sch Life Sci &amp; Biotechnol, Dept Biotechnol, Kolkata, W Bengal, India.;Lee, SS (corresponding author), Hallym Univ, Chuncheon Sacred Heart Hosp, Inst Skeletal Aging &amp; Orthoped Surg, Chuncheon Si, Gangwon Do, South Korea.</t>
  </si>
  <si>
    <t>drchiranjib@yahoo.com; 123sslee@gmail.com</t>
  </si>
  <si>
    <t>Bhattacharya, Manojit/A-2027-2012</t>
  </si>
  <si>
    <t>Bhattacharya, Manojit/0000-0001-9669-1835</t>
  </si>
  <si>
    <t>This study was supported by Hallym University Research Fund and by Basic Science Research Program through the National Research Foundation of Korea (NRF) funded by the Ministry of Education (NRF-2020R1I1A3074575).; Hallym University Research Fund [NRF-2020R1I1A3074575]; Basic Science Research Program through the National Research Foundation of Korea (NRF) - Ministry of Education</t>
  </si>
  <si>
    <t>This study was supported by Hallym University Research Fund and by Basic Science Research Program through the National Research Foundation of Korea (NRF) funded by the Ministry of Education (NRF-2020R1I1A3074575).; Hallym University Research Fund; Basic Science Research Program through the National Research Foundation of Korea (NRF) - Ministry of Education(National Research Foundation of KoreaMinistry of Education (MOE), Republic of KoreaNational Research Council for Economics, Humanities &amp; Social Sciences, Republic of Korea)</t>
  </si>
  <si>
    <t>This study was supported by Hallym University Research Fund and by Basic Science Research Program through the National Research Foundation of Korea (NRF) funded by the Ministry of Education (NRF-2020R1I1A3074575).</t>
  </si>
  <si>
    <t>2624-8212</t>
  </si>
  <si>
    <t>FRONT ARTIF INTELL</t>
  </si>
  <si>
    <t>Front. Artif. Intell.</t>
  </si>
  <si>
    <t>10.3389/frai.2023.1237704</t>
  </si>
  <si>
    <t>X9NF4</t>
  </si>
  <si>
    <t>WOS:001101628500001</t>
  </si>
  <si>
    <t>Meyrowitsch, DW; Jensen, AK; Sorensen, JB; Varga, TV</t>
  </si>
  <si>
    <t>Meyrowitsch, Dan W.; Jensen, Andreas K.; Sorensen, Jane B.; Varga, Tibor V.</t>
  </si>
  <si>
    <t>AI chatbots and (mis)information in public health: impact on vulnerable communities</t>
  </si>
  <si>
    <t>FRONTIERS IN PUBLIC HEALTH</t>
  </si>
  <si>
    <t>LLM; chatbot; public health; vulnerable communities; Global South; ChatGPT; Artificial Intelligence</t>
  </si>
  <si>
    <t>[Meyrowitsch, Dan W.; Sorensen, Jane B.] Univ Copenhagen, Dept Publ Hlth, Global Hlth Sect, Copenhagen, Denmark; [Jensen, Andreas K.] Univ Copenhagen, Dept Publ Hlth, Sect Biostat, Copenhagen, Denmark; [Varga, Tibor V.] Univ Copenhagen, Dept Publ Hlth, Sect Epidemiol, Copenhagen, Denmark</t>
  </si>
  <si>
    <t>University of Copenhagen; University of Copenhagen; University of Copenhagen</t>
  </si>
  <si>
    <t>Meyrowitsch, DW (corresponding author), Univ Copenhagen, Dept Publ Hlth, Global Hlth Sect, Copenhagen, Denmark.</t>
  </si>
  <si>
    <t>dame@sund.ku.dk</t>
  </si>
  <si>
    <t>V. Varga, Tibor/0000-0002-2383-699X; Soerensen, Jane/0000-0002-1702-280X</t>
  </si>
  <si>
    <t>TVV was supported by the Data Science Investigator-Emerging 2022 grant from Novo Nordisk Foundation (NNF22OC0075284) and the Department of Public Health (University of Copenhagen). [NNF22OC0075284]; Novo Nordisk Foundation; Department of Public Health (University of Copenhagen)</t>
  </si>
  <si>
    <t>TVV was supported by the Data Science Investigator-Emerging 2022 grant from Novo Nordisk Foundation (NNF22OC0075284) and the Department of Public Health (University of Copenhagen).; Novo Nordisk Foundation(Novo Nordisk FoundationNovocure Limited); Department of Public Health (University of Copenhagen)</t>
  </si>
  <si>
    <t>TVV was supported by the Data Science Investigator-Emerging 2022 grant from Novo Nordisk Foundation (NNF22OC0075284) and the Department of Public Health (University of Copenhagen).</t>
  </si>
  <si>
    <t>2296-2565</t>
  </si>
  <si>
    <t>FRONT PUBLIC HEALTH</t>
  </si>
  <si>
    <t>Front. Public Health</t>
  </si>
  <si>
    <t>10.3389/fpubh.2023.1226776</t>
  </si>
  <si>
    <t>Y2VV1</t>
  </si>
  <si>
    <t>WOS:001103903500001</t>
  </si>
  <si>
    <t>Chaim Sheba Medical Center; Tel Aviv University; Sackler Faculty of Medicine; Chaim Sheba Medical Center; Chaim Sheba Medical Center; Chaim Sheba Medical Center; Chaim Sheba Medical Center</t>
  </si>
  <si>
    <t>Kamineni, Meghana/0000-0002-6698-5151; Pang, Michael/0000-0001-5619-9344; Rao, Arya/0000-0003-3007-4812; Kim, John/0000-0003-4252-5916</t>
  </si>
  <si>
    <t>Shanghai Jiao Tong University; Technical University of Munich; University of Munich</t>
  </si>
  <si>
    <t>Xie, RP; Edwards, KM; Wille, M; Wei, XM; Wong, SS; Zanin, M; El-Shesheny, R; Ducatez, M; Poon, LLM; Kayali, G; Webby, RJ; Dhanasekaran, V</t>
  </si>
  <si>
    <t>Xie, Ruopeng; Edwards, Kimberly M.; Wille, Michelle; Wei, Xiaoman; Wong, Sook-San; Zanin, Mark; El-Shesheny, Rabeh; Ducatez, Mariette; Poon, Leo L. M.; Kayali, Ghazi; Webby, Richard J.; Dhanasekaran, Vijaykrishna</t>
  </si>
  <si>
    <t>The episodic resurgence of highly pathogenic avian influenza H5 virus</t>
  </si>
  <si>
    <t>WILD BIRDS; SPREAD; EVOLUTION; EPIDEMIOLOGY; PERFORMANCE; INFERENCE; OUTBREAK; EUROPE</t>
  </si>
  <si>
    <t>Highly pathogenic avian influenza (HPAI) H5N1 activity has intensified globally since 2021, increasingly causing mass mortality in wild birds and poultry and incidental infections in mammals(1-3). However, the ecological and virological properties that underscore future mitigation strategies still remain unclear. Using epidemiological, spatial and genomic approaches, we demonstrate changes in the origins of resurgent HPAI H5 and reveal significant shifts in virus ecology and evolution. Outbreak data show key resurgent events in 2016-2017 and 2020-2021, contributing to the emergence and panzootic spread of H5N1 in 2021-2022. Genomic analysis reveals that the 2016-2017 epizootics originated in Asia, where HPAI H5 reservoirs are endemic. In 2020-2021, 2.3.4.4b H5N8 viruses emerged in African poultry, featuring mutations altering HA structure and receptor binding. In 2021-2022, a new H5N1 virus evolved through reassortment in wild birds in Europe, undergoing further reassortment with low-pathogenic avian influenza in wild and domestic birds during global dissemination. These results highlight a shift in the HPAI H5 epicentre beyond Asia and indicate that increasing persistence of HPAI H5 in wild birds is facilitating geographic and host range expansion, accelerating dispersion velocity and increasing reassortment potential. As earlier outbreaks of H5N1 and H5N8 were caused by more stable genomic constellations, these recent changes reflect adaptation across the domestic-bird-wild-bird interface. Elimination strategies in domestic birds therefore remain a high priority to limit future epizootics.</t>
  </si>
  <si>
    <t>[Xie, Ruopeng; Edwards, Kimberly M.; Wei, Xiaoman; Wong, Sook-San; Zanin, Mark; Poon, Leo L. M.; Dhanasekaran, Vijaykrishna] Univ Hong Kong, Sch Publ Hlth, LKS Fac Med, Hong Kong, Peoples R China; [Xie, Ruopeng; Edwards, Kimberly M.; Wei, Xiaoman; Wong, Sook-San; Poon, Leo L. M.; Dhanasekaran, Vijaykrishna] Univ Hong Kong, LKS Fac Med, HKU Pasteur Res Pole, Hong Kong, Peoples R China; [Wille, Michelle] Univ Sydney, Sydney Inst Infect Dis, Sch Med Sci, Sydney, NSW, Australia; [Wille, Michelle] Univ Melbourne, Peter Doherty Inst Infect &amp; Immun, Dept Microbiol &amp; Immunol, Melbourne, Vic, Australia; [Zanin, Mark; Poon, Leo L. M.] Hong Kong Sci &amp; Technol Pk, Ctr Immunol &amp; Infect, Hong Kong, Peoples R China; [El-Shesheny, Rabeh] Natl Res Ctr, Ctr Sci Excellence Influenza Viruses, Giza, Egypt; [Ducatez, Mariette] Univ Toulouse, Inst Natl Rech Agr Alimentat &amp; Environm, IHAP, Ecole Natl Vet Toulouse, Toulouse, France; [Kayali, Ghazi] DMCC, Human Link, Dubai, U Arab Emirates; [Webby, Richard J.] St Jude Childrens Res Hosp, Dept Infect Dis, 332 N Lauderdale St, Memphis, TN 38105 USA</t>
  </si>
  <si>
    <t>University of Hong Kong; University of Hong Kong; University of Sydney; University of Melbourne; Peter Doherty Institute; Melbourne Genomics Health Alliance; Egyptian Knowledge Bank (EKB); National Research Centre (NRC); Universite de Toulouse; Ecole Nationale Veterinaire de Toulouse; INRAE; St Jude Children's Research Hospital</t>
  </si>
  <si>
    <t>Dhanasekaran, V (corresponding author), Univ Hong Kong, Sch Publ Hlth, LKS Fac Med, Hong Kong, Peoples R China.;Dhanasekaran, V (corresponding author), Univ Hong Kong, LKS Fac Med, HKU Pasteur Res Pole, Hong Kong, Peoples R China.</t>
  </si>
  <si>
    <t>veej@hku.hk</t>
  </si>
  <si>
    <t>Dhanasekaran, Vijaykrishna/HKO-1036-2023; Edwards, Kimberly M/JLL-8496-2023; Wille, Michelle/F-4819-2013; Poon, Leo/C-4382-2009</t>
  </si>
  <si>
    <t>Dhanasekaran, Vijaykrishna/0000-0003-3293-6279; Edwards, Kimberly M/0000-0003-0944-3118; Wong, Sook-San/0000-0002-1290-191X; Wille, Michelle/0000-0002-5629-0196; Poon, Leo/0000-0002-9101-7953; Kayali, Ghazi/0000-0002-5387-1622</t>
  </si>
  <si>
    <t>National Institutes of Health [75N93021C00016]; US National Science Foundation [1911955, 2200310]</t>
  </si>
  <si>
    <t>National Institutes of Health(United States Department of Health &amp; Human ServicesNational Institutes of Health (NIH) - USA); US National Science Foundation(National Science Foundation (NSF))</t>
  </si>
  <si>
    <t>The computations were performed using research facilities offered by Information Technology Services, the University of Hong Kong. We gratefully acknowledge the staff from the originating laboratories responsible for obtaining the specimens and the submitting laboratories where the genome data were generated and shared by means of GISAID (Supplementary Data 3). We thank J.L.-H. Tsui for valuable discussions about phylogeographic analysis. The funding bodies had no role in the design of the study and collection, analysis and interpretation of data or the writing of the manuscript. Support came from National Institutes of Health contract number 75N93021C00016 and US National Science Foundation awards 1911955 and 2200310.</t>
  </si>
  <si>
    <t>10.1038/s41586-023-06631-2</t>
  </si>
  <si>
    <t>IV4S9</t>
  </si>
  <si>
    <t>WOS:001169105200017</t>
  </si>
  <si>
    <t>University of Rostock; Lomonosov Moscow State University; Zuev Institute of Atmospheric Optics, Siberian Branch of the Russian Academy of Sciences; Russian Academy of Sciences; Russian Academy of Sciences; Voevodsky Institute of Chemical Kinetics &amp; Combustion SB RAS; University of Rostock; Universite de Rouen Normandie; Centre National de la Recherche Scientifique (CNRS)</t>
  </si>
  <si>
    <t>Panchenko, Mikhail Vasilievich/E-4049-2014; Afonso, Carlos/E-9736-2011</t>
  </si>
  <si>
    <t>JAN 24</t>
  </si>
  <si>
    <t>National University of Singapore; Singapore National Eye Center; University of Cambridge; University of Cambridge; Oregon Health &amp; Science University; University of London; University College London; Moorfields Eye Hospital NHS Foundation Trust; Icahn School of Medicine at Mount Sinai; American Medical Association; University of Iowa; University of Colorado System; University of Colorado Anschutz Medical Campus; Medical College of Wisconsin; University of California System; University of California San Diego; Stanford University; Singapore National Eye Center; National University of Singapore</t>
  </si>
  <si>
    <t>Keane, Pearse/AAE-5709-2019; Thirunavukarasu, Arun/ABC-0806-2022</t>
  </si>
  <si>
    <t>Keane, Pearse/0000-0002-9239-745X; Thirunavukarasu, Arun/0000-0001-8968-4768</t>
  </si>
  <si>
    <t>Bellini-Leite, Samuel/0000-0003-0178-0267</t>
  </si>
  <si>
    <t>Agia, Christopher/KGL-4088-2024</t>
  </si>
  <si>
    <t>LM3O8</t>
  </si>
  <si>
    <t>Marian, V</t>
  </si>
  <si>
    <t>Marian, Viorica</t>
  </si>
  <si>
    <t>Studying second language acquisition in the age of large language models: Unlocking the mysteries of language and learning, A commentary on Age effects in second language acquisition: Expanding the emergentist account by Catherine L. Caldwell-Harris and Brian MacWhinney</t>
  </si>
  <si>
    <t>BRAIN AND LANGUAGE</t>
  </si>
  <si>
    <t>[Marian, Viorica] Northwestern Univ, Evanston, IL 60208 USA</t>
  </si>
  <si>
    <t>Northwestern University</t>
  </si>
  <si>
    <t>Marian, V (corresponding author), Northwestern Univ, Evanston, IL 60208 USA.</t>
  </si>
  <si>
    <t>v-marian@northwestern.edu</t>
  </si>
  <si>
    <t>Eunice Kennedy Shriver National Institute of Child Health and Human Development of the National Institutes of Health [R01HD059858]</t>
  </si>
  <si>
    <t>Eunice Kennedy Shriver National Institute of Child Health and Human Development of the National Institutes of Health(United States Department of Health &amp; Human ServicesNational Institutes of Health (NIH) - USANIH Eunice Kennedy Shriver National Institute of Child Health &amp; Human Development (NICHD))</t>
  </si>
  <si>
    <t>The preparation of this manuscript was supported in part by the Eunice Kennedy Shriver National Institute of Child Health and Human Development of the National Institutes of Health under Award Number R01HD059858. The content is solely the responsibility of the author and does not necessarily represent the official views of the National Institutes of Health. The author thanks Sirada Rochanavibhata, Ashley Chung-Fat-Yim, Matias Fernandez-Duque, Siqi Ning, and Aya Williams for comments on an earlier draft. Correspondence about this article should be addressed to Professor Viorica Marian, Department of Communication Sciences and Disorders, Northwestern University, Evanston, Illinois 60208, USA. Email: v-marian@northwestern.edu.</t>
  </si>
  <si>
    <t>0093-934X</t>
  </si>
  <si>
    <t>1090-2155</t>
  </si>
  <si>
    <t>BRAIN LANG</t>
  </si>
  <si>
    <t>Brain Lang.</t>
  </si>
  <si>
    <t>10.1016/j.bandl.2023.105338</t>
  </si>
  <si>
    <t>Audiology &amp; Speech-Language Pathology; Linguistics; Neurosciences; Psychology, Experimental</t>
  </si>
  <si>
    <t>Audiology &amp; Speech-Language Pathology; Linguistics; Neurosciences &amp; Neurology; Psychology</t>
  </si>
  <si>
    <t>IG1F2</t>
  </si>
  <si>
    <t>WOS:001165077200001</t>
  </si>
  <si>
    <t>Spirnak, JR; Antani, S</t>
  </si>
  <si>
    <t>Spirnak, Jonathan R.; Antani, Sameer</t>
  </si>
  <si>
    <t>The Need for Artificial Intelligence Curriculum in Military Medical Education</t>
  </si>
  <si>
    <t>MILITARY MEDICINE</t>
  </si>
  <si>
    <t>The success of deep-learning algorithms in analyzing complex structured and unstructured multidimensional data has caused an exponential increase in the amount of research devoted to the applications of artificial intelligence (AI) in medicine in the past decade. Public release of large language models like ChatGPT the past year has generated an unprecedented storm of excitement and rumors of machine intelligence finally reaching or even surpassing human capability in detecting meaningful signals in complex multivariate data. Such enthusiasm, however, is met with an equal degree of both skepticism and fear over the social, legal, and moral implications of such powerful technology with relatively little safeguards or regulations on its development. The question remains in medicine of how to harness the power of AI to improve patient outcomes by increasing the diagnostic accuracy and treatment precision provided by medical professionals. Military medicine, given its unique mission and resource constraints,can benefit immensely from such technology. However, reaping such benefits hinges on the ability of the rising generations of military medical professionals to understand AI algorithms and their applications. Additionally, they should strongly consider working with them as an adjunct decision-maker and view them as a colleague to access and harness relevant information as opposed to something to be feared. Ideas expressed in this commentary were formulated by a military medical student during a two-month research elective working on a multidisciplinary team of computer scientists and clinicians at the National Library of Medicine advancing the state of the art of AI in medicine. A motivation to incorporate AI in the Military Health System is provided, including examples of applications in military medicine. Rationale is then given for inclusion of AI in education starting in medical school as well as a prudent implementation of these algorithms in a clinical workflow during graduate medical education. Finally, barriers to implementation are addressed along with potential solutions. The end state is not that rising military physicians are technical experts in AI; but rather that they understand how they can leverage its rapidly evolving capabilities to prepare for a future where AI will have a significant role in clinical care. The overall goal is to develop trained clinicians that can leverage these technologies to improve the Military Health System.</t>
  </si>
  <si>
    <t>[Spirnak, Jonathan R.] USUHS, Sch Med, Bethesda, MD 20814 USA; [Antani, Sameer] NIH, Computat Hlth Res Branch, Natl Lib Med, Bethesda, MD 20892 USA</t>
  </si>
  <si>
    <t>National Institutes of Health (NIH) - USA; NIH National Library of Medicine (NLM)</t>
  </si>
  <si>
    <t>Spirnak, JR (corresponding author), USUHS, Sch Med, Bethesda, MD 20814 USA.</t>
  </si>
  <si>
    <t>Antani, Sameer/GVS-8371-2022</t>
  </si>
  <si>
    <t>Antani, Sameer/0000-0002-0040-1387</t>
  </si>
  <si>
    <t>The work of 2LT J.R.S. was made possible through the clinical electives program at the National Institutes of Health and the capstone program at the Uniformed Services University of the Health Sciences. The work of Dr. S.A. was supported by the Intramural; Intramural Research Program of the National Library of Medicine, National Institutes of Health</t>
  </si>
  <si>
    <t>The work of 2LT J.R.S. was made possible through the clinical electives program at the National Institutes of Health and the capstone program at the Uniformed Services University of the Health Sciences. The work of Dr. S.A. was supported by the Intramural Research Program of the National Library of Medicine, National Institutes of Health.</t>
  </si>
  <si>
    <t>0026-4075</t>
  </si>
  <si>
    <t>1930-613X</t>
  </si>
  <si>
    <t>MIL MED</t>
  </si>
  <si>
    <t>Milit. Med.</t>
  </si>
  <si>
    <t>2023 OCT 20</t>
  </si>
  <si>
    <t>10.1093/milmed/usad412</t>
  </si>
  <si>
    <t>W1RP9</t>
  </si>
  <si>
    <t>WOS:001089478800001</t>
  </si>
  <si>
    <t>Bangsgaard, Pernille/B-8934-2015</t>
  </si>
  <si>
    <t>Bangsgaard, Pernille/0000-0002-8517-6165; Taurozzi, Alberto John/0000-0003-0378-1626; Ramsoe, Max Emil Ermter/0000-0002-7978-4252; Le Meillour, Louise/0000-0003-0129-2781; Mackie, Meaghan/0000-0003-0763-7592</t>
  </si>
  <si>
    <t>University of Toronto; University of Toronto; Saint Michaels Hospital Toronto; University of Toronto; University of Toronto; Hospital for Sick Children (SickKids); University of Toronto; Hospital for Sick Children (SickKids); University of Toronto; University of Toronto; University of Toronto; University of Toronto; Hospital for Sick Children (SickKids); University of Toronto; Li Ka Shing Knowledge Institute; Saint Michaels Hospital Toronto</t>
  </si>
  <si>
    <t>Keane, Pearse/0000-0002-9239-745X; Thirunavukarasu, Arun/0000-0001-8968-4768; Gutierrez-Sinisterra, Laura/0000-0001-7416-2350; Elangovan, Kabilan/0000-0002-7711-7368; Ting, Daniel Shu Wei/0000-0003-2264-7174; Korot, Edward/0000-0002-5687-1564; Li, Yong/0000-0002-8949-8612</t>
  </si>
  <si>
    <t>Sorensen, Taylor/0000-0002-3251-3527; Wingate, David/0000-0003-1850-6926; Busby, Ethan/0000-0002-8931-6348; Gubler, Joshua/0000-0003-1635-8210</t>
  </si>
  <si>
    <t>Liu, Fengyuan Michael/ISS-3850-2023; Rahwan, Talal/A-2884-2017; Battu, Balaraju/T-7586-2019; Lee, Seungah Sarah/GZA-7657-2022; Celik, Kemal/AAO-1005-2021; Makovi, Kinga/GXV-5373-2022</t>
  </si>
  <si>
    <t>Battu, Balaraju/0000-0002-1455-8924; Lee, Seungah Sarah/0000-0003-4391-7049; Celik, Kemal/0000-0001-7623-0943; Benabderrahmane, Sidahmed/0000-0001-9633-810X; El Bernoussi, Zaynab/0000-0002-1663-3289</t>
  </si>
  <si>
    <t>liu, zhao/KGM-5884-2024; Meng, Mark Huasong/KCY-0601-2024; zhou, yuwei/KHD-4127-2024</t>
  </si>
  <si>
    <t>; Doo, Florence Xini/Q-6640-2018</t>
  </si>
  <si>
    <t>Elahi, Ameena/0000-0001-6938-1735; Doo, Florence Xini/0000-0001-6519-5222; Joshi, Anupam/0000-0002-8641-3193</t>
  </si>
  <si>
    <t>United States Department of Defense; United States Navy; US Navy Naval Air Systems Command; US Navy Naval Sea Systems Command</t>
  </si>
  <si>
    <t>Hosseini, Mohammad/X-6867-2019; Liebovitz, David/AAI-9398-2020; Luo, Yuan/K-5563-2016; Holmes, Kristi/A-4358-2010</t>
  </si>
  <si>
    <t>Hosseini, Mohammad/0000-0002-2385-985X; Liebovitz, David/0000-0002-2518-5940; Gao, Catherine A./0000-0001-5576-3943; Ahmad, Faraz/0000-0002-2613-2541; Kho, Abel/0000-0003-1993-5634; Luo, Yuan/0000-0003-0195-7456; Holmes, Kristi/0000-0001-8420-5254</t>
  </si>
  <si>
    <t>Tun, Hein/ACR-0815-2022; Cheng, samuel M.S./GNH-2164-2022; Peng, Ye/GSE-6446-2022; Poon, Leo/AAP-6887-2020; Tun, Hein Min/F-4150-2011; Peng, Ye/J-8488-2017; Lok, Kris Yuet Wan/P-8814-2019</t>
  </si>
  <si>
    <t>Cheng, samuel M.S./0000-0001-7293-2331; Tun, Hein Min/0000-0001-7597-5062; Peng, Ye/0000-0003-3791-2305; ZHANG, Xi/0000-0003-1340-7128; Wai, Hogan Kok-Fung/0000-0001-7343-4326; Kwok, Jojo Y. Y./0000-0001-7444-6935; Martha Sin Lam, Choi/0009-0003-3332-8782; Lok, Kris Yuet Wan/0000-0002-3227-0799</t>
  </si>
  <si>
    <t>FEB 19</t>
  </si>
  <si>
    <t>HZ6R6</t>
  </si>
  <si>
    <t>Laacke, S; Gauckler, C</t>
  </si>
  <si>
    <t>Laacke, Sebastian; Gauckler, Charlotte</t>
  </si>
  <si>
    <t>Why Personalized Large Language Models Fail to Do What Ethics is All About</t>
  </si>
  <si>
    <t>AMERICAN JOURNAL OF BIOETHICS</t>
  </si>
  <si>
    <t>[Laacke, Sebastian] Univ Med Greifswald, Greifswald, Germany; [Gauckler, Charlotte] Univ Greifswald, Greifswald, Germany; [Gauckler, Charlotte] Univ Greifswald, Dept Philosophy, Baderstr 6-7, D-17489 Greifswald, Germany</t>
  </si>
  <si>
    <t>Greifswald Medical School; Universitat Greifswald; Universitat Greifswald</t>
  </si>
  <si>
    <t>Gauckler, C (corresponding author), Univ Greifswald, Dept Philosophy, Baderstr 6-7, D-17489 Greifswald, Germany.</t>
  </si>
  <si>
    <t>charlotte.gauckler@uni-greifswald.de</t>
  </si>
  <si>
    <t>Gauckler, Charlotte/0000-0003-2555-1485</t>
  </si>
  <si>
    <t>University Medicine Greifswald, Germany</t>
  </si>
  <si>
    <t>This work was published under a Creative Commonslicence thanks to the generous financial support of the Department for Ethics, Theory and History of the Life Sciences at the University Medicine Greifswald, Germany.</t>
  </si>
  <si>
    <t>1526-5161</t>
  </si>
  <si>
    <t>1536-0075</t>
  </si>
  <si>
    <t>AM J BIOETHICS</t>
  </si>
  <si>
    <t>Am. J. Bioeth.</t>
  </si>
  <si>
    <t>OCT 3</t>
  </si>
  <si>
    <t>10.1080/15265161.2023.2250292</t>
  </si>
  <si>
    <t>Ethics; Medical Ethics; Social Issues; Social Sciences, Biomedical</t>
  </si>
  <si>
    <t>Social Sciences - Other Topics; Medical Ethics; Social Issues; Biomedical Social Sciences</t>
  </si>
  <si>
    <t>U2KH6</t>
  </si>
  <si>
    <t>WOS:001083139600014</t>
  </si>
  <si>
    <t>Bhatt, SP; Rabe, KF; Hanania, NA; Vogelmeier, CF; Cole, J; Bafadhel, M; Christenson, S; Papi, A; Singh, D; Laws, E; Mannent, LLM; Mortensen, ER; Maloney, J; Lu, X; Bauer, DJ; Bansal, A; Robinson, L; Abdulai, R</t>
  </si>
  <si>
    <t>Bhatt, Surya P.; Rabe, Klaus F.; Hanania, Nicola A.; Vogelmeier, Claus F.; Cole, Jeremy; Bafadhel, Mona; Christenson, Stephanie; Papi, Alberto; Singh, Dave; Laws, Elizabeth; Mannent, Leda L. M.; Mortensen, Eric R.; Maloney, Jennifer; Lu, Xin; Bauer, Deborah J.; Bansal, Ashish; Robinson, Lacey; Abdulai, Raolat</t>
  </si>
  <si>
    <t>EFFICACY AND SAFETY OF DUPILUMAB FOR COPD WITH TYPE 2 INFLAMMATION</t>
  </si>
  <si>
    <t>CHEST</t>
  </si>
  <si>
    <t>Annual Meeting of the American-College-of-Chest-Physicians (CHEST)</t>
  </si>
  <si>
    <t>OCT 08-11, 2023</t>
  </si>
  <si>
    <t>Honolulu, HI</t>
  </si>
  <si>
    <t>Amer Coll Chest Physicians</t>
  </si>
  <si>
    <t>0012-3692</t>
  </si>
  <si>
    <t>1931-3543</t>
  </si>
  <si>
    <t>Chest</t>
  </si>
  <si>
    <t>6531A</t>
  </si>
  <si>
    <t>6534A</t>
  </si>
  <si>
    <t>10.1016/j.chest.2023.07.4211</t>
  </si>
  <si>
    <t>U5FT3</t>
  </si>
  <si>
    <t>WOS:001085062006207</t>
  </si>
  <si>
    <t>Liu, Ruby/0000-0002-6258-3622; Pataranutaporn, Pat/0000-0002-1879-7340</t>
  </si>
  <si>
    <t>Ashenburg, N; Preiksaitis, C; Dayton, J; Ribeira, R; Bunney, G; Kabeer, R; Riley, F; Chu, A; Rose, C</t>
  </si>
  <si>
    <t>Ashenburg, N.; Preiksaitis, C.; Dayton, J.; Ribeira, R.; Bunney, G.; Kabeer, R.; Riley, F.; Chu, A.; Rose, C.</t>
  </si>
  <si>
    <t>When AI Meets the Emergency Department: Realizing the Benefits of Large Language Models in Emergency Medicine</t>
  </si>
  <si>
    <t>ANNALS OF EMERGENCY MEDICINE</t>
  </si>
  <si>
    <t>American College of Emergency Physicians RESEARCH FORUM (ACEP)</t>
  </si>
  <si>
    <t>OCT 09-12, 2023</t>
  </si>
  <si>
    <t>Philadelphia, PA</t>
  </si>
  <si>
    <t>[Ashenburg, N.; Preiksaitis, C.; Dayton, J.; Ribeira, R.; Bunney, G.; Kabeer, R.; Riley, F.; Chu, A.; Rose, C.] Stanford Univ, Palo Alto, CA USA</t>
  </si>
  <si>
    <t>Ribeira, Ryan/0000-0002-4782-2410</t>
  </si>
  <si>
    <t>MOSBY-ELSEVIER</t>
  </si>
  <si>
    <t>360 PARK AVENUE SOUTH, NEW YORK, NY 10010-1710 USA</t>
  </si>
  <si>
    <t>0196-0644</t>
  </si>
  <si>
    <t>1097-6760</t>
  </si>
  <si>
    <t>ANN EMERG MED</t>
  </si>
  <si>
    <t>Ann. Emerg. Med.</t>
  </si>
  <si>
    <t>S136</t>
  </si>
  <si>
    <t>T9GQ3</t>
  </si>
  <si>
    <t>WOS:001080998600309</t>
  </si>
  <si>
    <t>Brennan, G; Osikoya, OE</t>
  </si>
  <si>
    <t>Brennan, Gregory; Osikoya, Olufemi E.</t>
  </si>
  <si>
    <t>Comparing Large Language Models Accuracy in Following Interval Surveillance Colonoscopy Guidelines</t>
  </si>
  <si>
    <t>AMERICAN JOURNAL OF GASTROENTEROLOGY</t>
  </si>
  <si>
    <t>Annual Scientific Meeting of the American-College-of-Gastroenterology (ACG)</t>
  </si>
  <si>
    <t>OCT 20-25, 2023</t>
  </si>
  <si>
    <t>[Brennan, Gregory] Texas Digest Dis Consultants, Mansfield, TX USA; [Osikoya, Olufemi E.] Med City Arlington, Arlington, TX USA</t>
  </si>
  <si>
    <t>0002-9270</t>
  </si>
  <si>
    <t>1572-0241</t>
  </si>
  <si>
    <t>AM J GASTROENTEROL</t>
  </si>
  <si>
    <t>Am. J. Gastroenterol.</t>
  </si>
  <si>
    <t>S1702</t>
  </si>
  <si>
    <t>S1271</t>
  </si>
  <si>
    <t>W5EF4</t>
  </si>
  <si>
    <t>WOS:001091849303399</t>
  </si>
  <si>
    <t>Chang, P; Amini, M; Nguyen, D; Lee, H; Phan, J; Buxbaum, J; Sahakian, AB</t>
  </si>
  <si>
    <t>Chang, Patrick; Amini, Maziar; Nguyen, Denis; Lee, Helen; Phan, Jennifer; Buxbaum, James; Sahakian, Ara B.</t>
  </si>
  <si>
    <t>Use of ChatGPT4, an Online Artificial Intelligence Large Language Model, for Predicting Colonoscopy Screening Intervals</t>
  </si>
  <si>
    <t>[Chang, Patrick; Lee, Helen] Univ Southern Calif, Los Angeles, CA USA; [Amini, Maziar] Univ Southern Calif, Los Angeles Gen Hosp, Los Angeles, CA USA; [Nguyen, Denis; Phan, Jennifer; Buxbaum, James; Sahakian, Ara B.] Univ Southern Calif, Keck Sch Med, Los Angeles, CA USA</t>
  </si>
  <si>
    <t>University of Southern California; University of Southern California; University of Southern California</t>
  </si>
  <si>
    <t>S305</t>
  </si>
  <si>
    <t>S225</t>
  </si>
  <si>
    <t>WOS:001091849300301</t>
  </si>
  <si>
    <t>Lopez Martinez, Olivia/0000-0002-9819-8005; de Vicente-Yague Jara, Maria Isabel/0000-0002-2496-2971; Navarro Navarro, Veronica/0000-0003-3439-9278</t>
  </si>
  <si>
    <t>University Hospital of Giessen &amp; Marburg; Philipps University Marburg; Philipps University Marburg; University Hospital of Giessen &amp; Marburg; Philipps University Marburg</t>
  </si>
  <si>
    <t>Gremke, Niklas/0000-0002-9015-3646; Kuhn, Sebastian/0000-0002-8031-2973; Griewing, Sebastian/0000-0001-5355-8903</t>
  </si>
  <si>
    <t>Irvine, DJ; Halloran, LJS; Brunner, P</t>
  </si>
  <si>
    <t>Irvine, Dylan J.; Halloran, Landon J. S.; Brunner, Philip</t>
  </si>
  <si>
    <t>Opportunities and limitations of the ChatGPT Advanced Data Analysis plugin for hydrological analyses</t>
  </si>
  <si>
    <t>HYDROLOGICAL PROCESSES</t>
  </si>
  <si>
    <t>baseflow separation; large language models; major ion chemistry; python; research ethics; research methods</t>
  </si>
  <si>
    <t>Artificial intelligence (AI) tools, such as ChatGPT, have already changed the way that many industries operate. Much of the recent discussion surrounding AI tools has focused on their ability to generate text and the associated ethical concerns. Recent developments with the ChatGPT Code Interpreter, now called the Advanced Data Analysis plugin, demonstrate that AI's growing abilities in the generation, translation and adaptation of computer scripts also offer significant potential to change the way that data analyses are conducted. We demonstrate the new capabilities of ChatGPT, providing four worked examples of prompt-based generation of Python scripts to analyse hydrological datasets. Our examples include (1) converting R functions to Python to perform baseflow separation, (2) converting MATLAB functions to Python to 'web scrape' temperature data, (3) creating a correlation matrix of major ion groundwater data, and (4) presenting boxplots of river flow data. We discuss the significant opportunities, current limitations and concerns relating to the use of ChatGPT in hydrological data analyses.</t>
  </si>
  <si>
    <t>[Irvine, Dylan J.] Charles Darwin Univ, Res Inst Environm &amp; Livelihoods, Casuarina, Australia; [Irvine, Dylan J.] Charles Darwin Univ, Fac Sci &amp; Technol, Casuarina, Australia; [Irvine, Dylan J.] Natl Ctr Groundwater Res &amp; Training, Bedford Pk, Australia; [Halloran, Landon J. S.; Brunner, Philip] Univ Neuchatel, Ctr Hydrogeol &amp; Geotherm, Neuchatel, Switzerland</t>
  </si>
  <si>
    <t>Charles Darwin University; Charles Darwin University; Flinders University South Australia; University of Neuchatel</t>
  </si>
  <si>
    <t>Irvine, DJ (corresponding author), Charles Darwin Univ, Res Inst Environm &amp; Livelihoods, Casuarina, Australia.;Irvine, DJ (corresponding author), Charles Darwin Univ, Fac Sci &amp; Technol, Casuarina, Australia.;Irvine, DJ (corresponding author), Natl Ctr Groundwater Res &amp; Training, Bedford Pk, Australia.</t>
  </si>
  <si>
    <t>dylan.irvine@cdu.edu.au</t>
  </si>
  <si>
    <t>Halloran, Landon James Szasz/0000-0002-0205-5430; Brunner, Philip/0000-0001-6304-6274; Irvine, Dylan/0000-0002-3543-6221</t>
  </si>
  <si>
    <t>Council of Australian University Librarians (CAUL)</t>
  </si>
  <si>
    <t>The text of this article was written without the assistance of AI. The data analyses were facilitated using either ChatGPT-3.5, or ChatGPT-4 (i.e., the paid version). We would like to thank HPToday Editor Prof. James McNamara for helpful feedback and discussion. DJI would like to thank the many researchers for the discussions on the ethical use of AI tools. Open Access is facilitated through Charles Darwin University through the Council of Australian University Librarians (CAUL).</t>
  </si>
  <si>
    <t>0885-6087</t>
  </si>
  <si>
    <t>1099-1085</t>
  </si>
  <si>
    <t>HYDROL PROCESS</t>
  </si>
  <si>
    <t>Hydrol. Process.</t>
  </si>
  <si>
    <t>e15015</t>
  </si>
  <si>
    <t>10.1002/hyp.15015</t>
  </si>
  <si>
    <t>FX9A0</t>
  </si>
  <si>
    <t>WOS:001149256700004</t>
  </si>
  <si>
    <t>O'Leary, DE</t>
  </si>
  <si>
    <t>O'Leary, Daniel E.</t>
  </si>
  <si>
    <t>INTELLIGENT SYSTEMS IN ACCOUNTING FINANCE &amp; MANAGEMENT</t>
  </si>
  <si>
    <t>ChatGPT; dissertations; Dunning-Kruger effect; education; graduate students; LIWC; theses</t>
  </si>
  <si>
    <t>There has been substantial discussion aimed at investigating the extent to which academic researchers can or should use large language models, such as ChatGPT and Bard, in their research papers. However, there seems to have been limited attention given to the extent to which students can use these tools for the development of theses, proposals and dissertations. This paper pushes the arguments from focusing on academic researchers, journal papers, and technical meetings to considering those theses and dissertations, raising several questions and concerns. Ultimately, university policies need to address these issues, but if publisher and editor responses and alternative business uses are a signal of that direction, consensus may be difficult to achieve.</t>
  </si>
  <si>
    <t>[O'Leary, Daniel E.] Univ Southern Calif, Los Angeles, CA 90007 USA</t>
  </si>
  <si>
    <t>University of Southern California</t>
  </si>
  <si>
    <t>O'Leary, DE (corresponding author), Univ Southern Calif, Los Angeles, CA 90007 USA.</t>
  </si>
  <si>
    <t>oleary@usc.edu</t>
  </si>
  <si>
    <t>O'Leary, Daniel Edmund/0000-0002-5240-9516</t>
  </si>
  <si>
    <t>1055-615X</t>
  </si>
  <si>
    <t>1099-1174</t>
  </si>
  <si>
    <t>INTELL SYST ACCOUNT</t>
  </si>
  <si>
    <t>Intell. Syst. Account. Financ. Manag.</t>
  </si>
  <si>
    <t>CW7S6</t>
  </si>
  <si>
    <t>WOS:001128343000004</t>
  </si>
  <si>
    <t>Trausan-Matu, Stefan/E-6411-2011; Razvan, Paroiu/ITR-8011-2023; Dascalu, Mihai/O-4984-2014</t>
  </si>
  <si>
    <t>Trausan-Matu, Stefan/0000-0001-8082-8497; Razvan, Paroiu/0000-0001-5099-7986; Ruseti, Stefan/0000-0002-0380-6814; Dascalu, Mihai/0000-0002-4815-9227</t>
  </si>
  <si>
    <t>Urtane, Inga/AAY-3148-2020</t>
  </si>
  <si>
    <t>Urtane, Inga/0000-0002-7711-5573</t>
  </si>
  <si>
    <t>Hutchings, Hayley A/C-9944-2013</t>
  </si>
  <si>
    <t>Silverman, AL; Sushil, M; Bhasuran, B; Ludwig, D; Buchanan, J; Racz, R; Parakala, M; El-Kamary, S; Ahima, O; Belov, A; Choi, L; Billings, M; Li, Y; Habal, N; Liu, Q; Tiwari, J; Butte, A; Rudrapatna, V</t>
  </si>
  <si>
    <t>Silverman, Anna L.; Sushil, Madhumita; Bhasuran, Balu; Ludwig, Dana; Buchanan, James; Racz, Rebecca; Parakala, Mahalakshmi; El-Kamary, Samer; Ahima, Ohenewaa; Belov, Artur; Choi, Lauren; Billings, Monisha; Li, Yan; Habal, Nadia; Liu, Qi; Tiwari, Jawahar; Butte, Atul; Rudrapatna, Vivek</t>
  </si>
  <si>
    <t>Algorithmic Identification of Treatment-Emergent Adverse Events From Clinical Notes Using Large Language Models: A Pilot Study in Inflammatory Bowel Disease</t>
  </si>
  <si>
    <t>[Silverman, Anna L.] Mayo Clin, Scottsdale, AZ USA; [Sushil, Madhumita; Bhasuran, Balu; Ludwig, Dana; Buchanan, James; Butte, Atul; Rudrapatna, Vivek] Univ Calif San Francisco, San Francisco, CA USA; [Racz, Rebecca; El-Kamary, Samer; Ahima, Ohenewaa; Belov, Artur; Choi, Lauren; Billings, Monisha; Li, Yan; Habal, Nadia; Liu, Qi; Tiwari, Jawahar] FDA, Silver Spring, MD USA; [Parakala, Mahalakshmi] Univ Calif Berkeley, Berkeley, CA USA</t>
  </si>
  <si>
    <t>Mayo Clinic; Mayo Clinic Phoenix; University of California System; University of California San Francisco; US Food &amp; Drug Administration (FDA); University of California System; University of California Berkeley</t>
  </si>
  <si>
    <t>BHASURAN, BALU/AAB-1583-2021</t>
  </si>
  <si>
    <t>BHASURAN, BALU/0000-0002-9890-4627</t>
  </si>
  <si>
    <t>S1012</t>
  </si>
  <si>
    <t>S768</t>
  </si>
  <si>
    <t>WOS:001091849302129</t>
  </si>
  <si>
    <t>Wong, GKW; Li, SYK</t>
  </si>
  <si>
    <t>Wong, Gary K. W.; Li, Simon Y. K.</t>
  </si>
  <si>
    <t>An Exploratory Study of Helping Undergraduate Students Solve Literature Review Problems Using Litstudy and NLP</t>
  </si>
  <si>
    <t>literature review; topic modeling; NLP; litstudy; AI; LLM</t>
  </si>
  <si>
    <t>RECOMMENDATION SYSTEM</t>
  </si>
  <si>
    <t>(1) Many undergraduate students struggle to produce a good literature review in their dissertations, as they are not experienced, do not have sufficient time, and do not have the required skills to articulate information. (2) Subsequently, we deployed Litstudy and NLP tools and developed a recommendation system to analyze articles in an academic database to help the students produce literature reviews. (3) The recommendation system successfully performed three levels of analysis. The elementary-level analysis provided demographic statistical analysis to the students, helping them understand the background information of the selected articles they would review. The intermediate-level analysis provided visualization of citations in network graphs for the students to understand the relationships of the articles' authors, regions, and institutes so that the flow of ideas, development, and similarity of the selected articles can be better analyzed. The advanced level of analysis provided topic modeling functions for the students to understand the high-level themes of the selected articles to improve productivity as they read through them and simultaneously boost their creativity. (4) The three levels of analysis successfully analyzed the selected articles to provide innovative results and triggered the students to handle literature reviews in a new way. Further enhancement opportunities were identified in integrating the NLP technologies with large language models to facilitate the generation of research ideas/insights. This would be an exciting opportunity to have AI/NLP integrated to help the students with their research.</t>
  </si>
  <si>
    <t>[Wong, Gary K. W.; Li, Simon Y. K.] Univ Hong Kong, Fac Educ, Hong Kong 999077, Peoples R China</t>
  </si>
  <si>
    <t>Li, SYK (corresponding author), Univ Hong Kong, Fac Educ, Hong Kong 999077, Peoples R China.</t>
  </si>
  <si>
    <t>wongkwg@hku.hk; simonykli2004@gmail.com</t>
  </si>
  <si>
    <t>Wong, Gary/AAZ-9504-2021</t>
  </si>
  <si>
    <t>Wong, Gary/0000-0003-1269-0734</t>
  </si>
  <si>
    <t>RGC/URC through the University of Hong Kong [101002152]</t>
  </si>
  <si>
    <t>RGC/URC through the University of Hong Kong</t>
  </si>
  <si>
    <t>This project is funded and supported by the Teaching Development Grant (Ref: 101002152) from the RGC/URC through the University of Hong Kong.</t>
  </si>
  <si>
    <t>10.3390/educsci13100987</t>
  </si>
  <si>
    <t>W8QN1</t>
  </si>
  <si>
    <t>WOS:001094219600001</t>
  </si>
  <si>
    <t>Sunway University; National Chung Hsing University; Universidad de Guanajuato; Swinburne University of Technology Sarawak; Swinburne University of Technology</t>
  </si>
  <si>
    <t>Zsidai, B; Kaarre, J; Hilkert, AS; Narup, E; Senorski, EH; Grassi, A; Ayeni, OR; Musahl, V; Ley, C; Herbst, E; Hirschmann, MT; Kopf, S; Seil, R; Tischer, T; Samuelsson, K; Feldt, R</t>
  </si>
  <si>
    <t>Zsidai, Balint; Kaarre, Janina; Hilkert, Ann-Sophie; Narup, Eric; Senorski, Eric Hamrin; Grassi, Alberto; Ayeni, Olufemi R.; Musahl, Volker; Ley, Christophe; Herbst, Elmar; Hirschmann, Michael T.; Kopf, Sebastian; Seil, Romain; Tischer, Thomas; Samuelsson, Kristian; Feldt, Robert</t>
  </si>
  <si>
    <t>ESSKA Artificial Intelligence Work</t>
  </si>
  <si>
    <t>Accelerated evidence synthesis in orthopaedics-the roles of natural language processing, expert annotation and large language models</t>
  </si>
  <si>
    <t>NLP; LLM; Evidence synthesis; Foundation models; AI; ML; Generative AI; Sports Medicine</t>
  </si>
  <si>
    <t>[Zsidai, Balint; Kaarre, Janina; Narup, Eric; Senorski, Eric Hamrin; Samuelsson, Kristian] Sahlgrenska Sports Med Ctr, Gothenburg, Sweden; [Zsidai, Balint; Kaarre, Janina; Narup, Eric; Musahl, Volker; Samuelsson, Kristian] Univ Gothenburg, Sahlgrenska Acad, Inst Clin Sci, Dept Orthopaed, Gothenburg, Sweden; [Kaarre, Janina; Musahl, Volker] Univ Pittsburgh, UPMC Freddie Fu Sports Med Ctr, Dept Orthopaed Surg, Pittsburgh, PA USA; [Hilkert, Ann-Sophie; Feldt, Robert] Chalmers Univ Technol, Dept Comp Sci &amp; Engn, Gothenburg, Sweden; [Hilkert, Ann-Sophie] Medfield Diagnost AB, Gothenburg, Sweden; [Senorski, Eric Hamrin] Univ Gothenburg, Sahlgrenska Acad, Inst Neurosci &amp; Physiol, Dept Hlth &amp; Rehabil, Gothenburg, Sweden; [Senorski, Eric Hamrin] Sportrehab Sports Med Clin, Gothenburg, Sweden; [Grassi, Alberto] IRCCS Ist Ortoped Rizzoli, IIa Clin Ortoped &amp; Traumatol, Bologna, Italy; [Ayeni, Olufemi R.] McMaster Univ, Dept Surg, Div Orthopaed Surg, Hamilton, ON, Canada; [Ley, Christophe] Univ Luxembourg, Dept Math, Esch Sur Alzette, Luxembourg; [Herbst, Elmar] Univ Hosp Munster, Dept Trauma Hand &amp; Reconstruct Surg, Munster, Germany; [Hirschmann, Michael T.] Kantonsspital Baselland, Dept Orthoped Surg &amp; Traumatol, Head Knee Surg, CH-4101 Bruderholz, Bottmingen, Switzerland; [Hirschmann, Michael T.] Kantonsspital Baselland, DKF Head Res, CH-4101 Bruderholz, Bottmingen, Switzerland; [Kopf, Sebastian] Univ Hosp Brandenburg adH, Brandenburg Med Sch Theodor Fontane, Ctr Orthopaed &amp; Traumatol, D-14770 Brandenburg, Germany; [Kopf, Sebastian] Brandenburg Med Sch Theodor Fontane, Fac Hlth Sci Brandenburg, D-14770 Brandenburg, Germany; [Seil, Romain] Ctr Hosp Luxembourg, Dept Orthopaed Surg, Luxembourg, Luxembourg; [Seil, Romain] Luxembourg Inst Hlth, Luxembourg, Luxembourg; [Tischer, Thomas] Malteser Waldkrankenhaus St Marien, Clin Orthopaed &amp; Trauma Surg, Erlangen, Germany; [Samuelsson, Kristian] Sahlgrens Univ Hosp, Dept Orthopaed, Molndal, Sweden</t>
  </si>
  <si>
    <t>University of Gothenburg; Pennsylvania Commonwealth System of Higher Education (PCSHE); University of Pittsburgh; Chalmers University of Technology; University of Gothenburg; McMaster University; University of Luxembourg; University of Munster; Kantonsspital Baselland; Kantonsspital Baselland; Luxembourg Hospital Center; Luxembourg Institute of Health; Sahlgrenska University Hospital</t>
  </si>
  <si>
    <t>Zsidai, B (corresponding author), Sahlgrenska Sports Med Ctr, Gothenburg, Sweden.;Zsidai, B (corresponding author), Univ Gothenburg, Sahlgrenska Acad, Inst Clin Sci, Dept Orthopaed, Gothenburg, Sweden.</t>
  </si>
  <si>
    <t>Senorski, Eric Hamrin/AAA-2913-2019</t>
  </si>
  <si>
    <t>Open access funding provided by University of Gothenburg.</t>
  </si>
  <si>
    <t>SEP 28</t>
  </si>
  <si>
    <t>10.1186/s40634-023-00662-4</t>
  </si>
  <si>
    <t>T4PP5</t>
  </si>
  <si>
    <t>WOS:001077828000002</t>
  </si>
  <si>
    <t>Leung, Kathy/D-5605-2017; Poon, Leo/AAP-6887-2020</t>
  </si>
  <si>
    <t>Leung, Kathy/0000-0003-4777-388X;</t>
  </si>
  <si>
    <t>Wulff, Peter/0000-0002-5471-7977; Kranz, David/0000-0002-2054-6882; Martin, Paul P./0000-0001-8648-4250</t>
  </si>
  <si>
    <t>Jin, JQ; Dobry, AS</t>
  </si>
  <si>
    <t>Jin, Joy Q.; Dobry, Allison S.</t>
  </si>
  <si>
    <t>ChatGPT for healthcare providers and patients: Practical implications within dermatology</t>
  </si>
  <si>
    <t>JOURNAL OF THE AMERICAN ACADEMY OF DERMATOLOGY</t>
  </si>
  <si>
    <t>administrative support; artificial intelligence; ChatGPT; clinical decision-making; clinical research; dermatology; health literacy; healthcare providers; innovation; large language models; medical education; patients; technology</t>
  </si>
  <si>
    <t>[Jin, Joy Q.] Univ Calif San Francisco, Sch Med, San Francisco, CA USA; [Jin, Joy Q.; Dobry, Allison S.] Univ Calif San Francisco, Dept Dermatol, San Francisco, CA USA; [Jin, Joy Q.] 2340 Sutter St,Box 0808,Floor 04,Room N426, San Francisco, CA 94115 USA</t>
  </si>
  <si>
    <t>University of California System; University of California San Francisco; University of California System; University of California San Francisco</t>
  </si>
  <si>
    <t>Jin, JQ (corresponding author), 2340 Sutter St,Box 0808,Floor 04,Room N426, San Francisco, CA 94115 USA.</t>
  </si>
  <si>
    <t>joy.jin@ucsf.edu</t>
  </si>
  <si>
    <t>Jin, Joy/0000-0002-1283-4665</t>
  </si>
  <si>
    <t>National Psoriasis Foundation; University of California, San Francisco</t>
  </si>
  <si>
    <t>National Psoriasis Foundation; University of California, San Francisco(University of California System)</t>
  </si>
  <si>
    <t>Funding sources: J.Q.J. has received research grant funding from the National Psoriasis Foundation and institutional funding from the University of California, San Francisco. This study was not funded.</t>
  </si>
  <si>
    <t>0190-9622</t>
  </si>
  <si>
    <t>1097-6787</t>
  </si>
  <si>
    <t>J AM ACAD DERMATOL</t>
  </si>
  <si>
    <t>J. Am. Acad. Dermatol.</t>
  </si>
  <si>
    <t>10.1016/j.jaad.2023.05.081</t>
  </si>
  <si>
    <t>Dermatology</t>
  </si>
  <si>
    <t>U0UC6</t>
  </si>
  <si>
    <t>WOS:001082034300001</t>
  </si>
  <si>
    <t>Gong, Tao/0000-0002-0587-7544</t>
  </si>
  <si>
    <t>JH5S7</t>
  </si>
  <si>
    <t>zhang, hao/JOJ-7093-2023; Wei, Wei/JVM-8876-2024; Liu, Cheng/M-5402-2013; Li, Xinyue/JVN-4601-2024; Lu, Wang/JVO-0416-2024; li, jixiang/JXN-7599-2024; Chen, Nuo/JZD-0344-2024</t>
  </si>
  <si>
    <t>NOV 4</t>
  </si>
  <si>
    <t>University of North Carolina; University of North Carolina Chapel Hill; University of Colorado System; University of Colorado Anschutz Medical Campus; United States Department of Energy (DOE); Lawrence Berkeley National Laboratory; National Institutes of Health (NIH) - USA; NIH National Center for Advancing Translational Sciences (NCATS); University of California System; University of California San Francisco; Institute for Systems Biology (ISB); University of Alabama System; University of Alabama Birmingham; Harvard University; Massachusetts Institute of Technology (MIT); Broad Institute; National Institutes of Health (NIH) - USA; NIH National Institute of Environmental Health Sciences (NIEHS); Rady Childrens Hospital San Diego; University of California System; University of California San Diego; University of California System; University of California San Francisco; The J David Gladstone Institutes; Tufts Medical Center; Dartmouth College; Pennsylvania Commonwealth System of Higher Education (PCSHE); Pennsylvania State University; Pennsylvania State University - University Park; Pennsylvania Commonwealth System of Higher Education (PCSHE); Pennsylvania State University; Pennsylvania State University - University Park; Pennsylvania Commonwealth System of Higher Education (PCSHE); Pennsylvania State University; Pennsylvania State University - University Park; Swedish Medical Center; University of Washington; University of Washington Seattle; Oregon State University; National Institutes of Health (NIH) - USA; NIH National Institute on Aging (NIA); Scripps Research Institute; NewYork-Presbyterian Hospital; Columbia University; University of North Carolina; University of North Carolina Chapel Hill</t>
  </si>
  <si>
    <t>Koslicki, David/IAR-7779-2023; Baranzini, Sergio/A-9422-2013</t>
  </si>
  <si>
    <t>Koslicki, David/0000-0002-0640-954X; Thessen, Anne/0000-0002-2908-3327; Glusman, Gwenlyn/0000-0001-8060-5955; Baranzini, Sergio/0000-0003-0067-194X; Byrd, William/0000-0003-4730-5293; Xu, Colleen/0000-0003-2975-882X; Fecho, Karamarie/0000-0002-6704-9306; Taylor Moxon, Sierra/0000-0002-8719-7760</t>
  </si>
  <si>
    <t>Kemp, Charles/0000-0001-9683-8737; Han, Simon/0000-0003-1157-7748</t>
  </si>
  <si>
    <t>Nielsen, JPS; von Buchwald, C; Gronhoj, C</t>
  </si>
  <si>
    <t>Nielsen, Jacob P. S.; von Buchwald, Christian; Gronhoj, Christian</t>
  </si>
  <si>
    <t>Validity of the large language model ChatGPT (GPT4) as a patient information source in otolaryngology by a variety of doctors in a tertiary otorhinolaryngology department</t>
  </si>
  <si>
    <t>ACTA OTO-LARYNGOLOGICA</t>
  </si>
  <si>
    <t>[Nielsen, Jacob P. S.; von Buchwald, Christian; Gronhoj, Christian] Copenhagen Univ Hosp, Dept Otorhinolaryngol Head &amp; Neck Surg &amp; Audiol, Rigshosp, Copenhagen, Denmark</t>
  </si>
  <si>
    <t>Rigshospitalet; University of Copenhagen</t>
  </si>
  <si>
    <t>Nielsen, JPS (corresponding author), Copenhagen Univ Hosp, Dept Otorhinolaryngol Head &amp; Neck Surg &amp; Audiol, Rigshosp, Copenhagen, Denmark.</t>
  </si>
  <si>
    <t>von Buchwald, Christian/D-5336-2016</t>
  </si>
  <si>
    <t>von Buchwald, Christian/0000-0001-6753-8129; Nielsen, Jacob Pohl Stangerup/0009-0001-9261-9817</t>
  </si>
  <si>
    <t>The study group would like to thank all the respondents from the Department of Otorhinolaryngology-Head and Neck Surgery and Audiology at Copenhagen University Hospital, Denmark.; Audiology at Copenhagen University Hospital, Denmark</t>
  </si>
  <si>
    <t>The study group would like to thank all the respondents from the Department of Otorhinolaryngology-Head and Neck Surgery and Audiology at Copenhagen University Hospital, Denmark.</t>
  </si>
  <si>
    <t>0001-6489</t>
  </si>
  <si>
    <t>1651-2251</t>
  </si>
  <si>
    <t>ACTA OTO-LARYNGOL</t>
  </si>
  <si>
    <t>Acta Oto-Laryngol.</t>
  </si>
  <si>
    <t>10.1080/00016489.2023.2254809</t>
  </si>
  <si>
    <t>W8VN3</t>
  </si>
  <si>
    <t>WOS:001066473900001</t>
  </si>
  <si>
    <t>; Kendall, Graham/B-8249-2008</t>
  </si>
  <si>
    <t>Teixeira da Silva, Jaime A./0000-0003-3299-2772; Kendall, Graham/0000-0003-2006-5103</t>
  </si>
  <si>
    <t>Melbourne Genomics Health Alliance; University of Melbourne; Peter Doherty Institute; University of Oxford; World Health Organization; Victorian Infectious Diseases Reference Laboratory; University of Melbourne; Peter Doherty Institute; Melbourne Genomics Health Alliance; University of Hong Kong; University of Hong Kong; University of Oxford</t>
  </si>
  <si>
    <t>Deng, Yi-Mo/0000-0003-2177-8308; Fritzlar, Svenja/0000-0003-3407-1758; Poon, Leo/0000-0002-9101-7953; Tan, Tiong Kit/0000-0001-8746-8308</t>
  </si>
  <si>
    <t>Yang, HS; Wang, F; Greenblatt, MB; Huang, SX; Zhang, Y</t>
  </si>
  <si>
    <t>Yang, He S.; Wang, Fei; Greenblatt, Matthew B.; Huang, Sharon X.; Zhang, Yi</t>
  </si>
  <si>
    <t>AI Chatbots in Clinical Laboratory Medicine: Foundations and Trends</t>
  </si>
  <si>
    <t>GPT-4</t>
  </si>
  <si>
    <t>Background Artificial intelligence (AI) conversational agents, or chatbots, are computer programs designed to simulate human conversations using natural language processing. They offer diverse functions and applications across an expanding range of healthcare domains. However, their roles in laboratory medicine remain unclear, as their accuracy, repeatability, and ability to interpret complex laboratory data have yet to be rigorously evaluated.Content This review provides an overview of the history of chatbots, two major chatbot development approaches, and their respective advantages and limitations. We discuss the capabilities and potential applications of chatbots in healthcare, focusing on the laboratory medicine field. Recent evaluations of chatbot performance are presented, with a special emphasis on large language models such as the Chat Generative Pre-trained Transformer in response to laboratory medicine questions across different categories, such as medical knowledge, laboratory operations, regulations, and interpretation of laboratory results as related to clinical context. We analyze the causes of chatbots' limitations and suggest research directions for developing more accurate, reliable, and manageable chatbots for applications in laboratory medicine.Summary Chatbots, which are rapidly evolving AI applications, hold tremendous potential to improve medical education, provide timely responses to clinical inquiries concerning laboratory tests, assist in interpreting laboratory results, and facilitate communication among patients, physicians, and laboratorians. Nevertheless, users should be vigilant of existing chatbots' limitations, such as misinformation, inconsistencies, and lack of human-like reasoning abilities. To be effectively used in laboratory medicine, chatbots must undergo extensive training on rigorously validated medical knowledge and be thoroughly evaluated against standard clinical practice.</t>
  </si>
  <si>
    <t>[Yang, He S.; Greenblatt, Matthew B.] Weill Cornell Med, Dept Pathol &amp; Lab Med, 525 E 68th St,F707, New York, NY 10065 USA; [Wang, Fei] Weill Cornell Med, Dept Populat Hlth Sci, New York, NY USA; [Greenblatt, Matthew B.] Hosp Special Surg, Res Div, New York, NY USA; [Huang, Sharon X.] Penn State Univ, Coll Informat Sci &amp; Technol, University Pk, PA USA; [Zhang, Yi] Univ Calif Santa Cruz, Dept Comp Sci &amp; Engn, Santa Cruz, CA 95064 USA; [Zhang, Yi] Univ Calif Santa Cruz, Baskin Sch Engn, Dept Comp Sci &amp; Engn, SOE3,1156 High St, Santa Cruz, CA 95064 USA</t>
  </si>
  <si>
    <t>Cornell University; Weill Cornell Medicine; Cornell University; Weill Cornell Medicine; Pennsylvania Commonwealth System of Higher Education (PCSHE); Pennsylvania State University; Pennsylvania State University - University Park; University of California System; University of California Santa Cruz; University of California System; University of California Santa Cruz</t>
  </si>
  <si>
    <t>Yang, HS (corresponding author), Weill Cornell Med, Dept Pathol &amp; Lab Med, 525 E 68th St,F707, New York, NY 10065 USA.;Zhang, Y (corresponding author), Univ Calif Santa Cruz, Baskin Sch Engn, Dept Comp Sci &amp; Engn, SOE3,1156 High St, Santa Cruz, CA 95064 USA.</t>
  </si>
  <si>
    <t>hey9012@med.cornell.edu; yiz@ucsc.edu</t>
  </si>
  <si>
    <t>H.S. Yang would like to thank Dr. Ming Yang for proofreading and editing this manuscript.</t>
  </si>
  <si>
    <t>10.1093/clinchem/hvad106</t>
  </si>
  <si>
    <t>X8GH5</t>
  </si>
  <si>
    <t>WOS:001057767600001</t>
  </si>
  <si>
    <t>KANCHAN, TANUJ/L-8547-2015; Guleria, Ankita/ABU-7585-2022; Sharma, Vishal/G-3112-2012; Krishan, Kewal/I-3285-2014</t>
  </si>
  <si>
    <t>KANCHAN, TANUJ/0000-0003-0346-1075; Guleria, Ankita/0000-0003-0809-5844; Sharma, Vishal/0000-0002-5130-1626; Krishan, Kewal/0000-0001-5321-0958</t>
  </si>
  <si>
    <t>Deng, JW; Zubair, A; Park, YJ</t>
  </si>
  <si>
    <t>Deng, Jiawen; Zubair, Areeba; Park, Ye-Jean</t>
  </si>
  <si>
    <t>Limitations of large language models in medical applications</t>
  </si>
  <si>
    <t>[Deng, Jiawen; Zubair, Areeba; Park, Ye-Jean] Univ Toronto, Temerty Fac Med, Toronto, ON M5S 1A8, Canada; [Deng, Jiawen] Univ Toronto, Temerty Fac Med, 1 Kings Coll Circle, Toronto, ON M5S 1A8, Canada</t>
  </si>
  <si>
    <t>University of Toronto; University of Toronto</t>
  </si>
  <si>
    <t>Deng, JW (corresponding author), Univ Toronto, Temerty Fac Med, 1 Kings Coll Circle, Toronto, ON M5S 1A8, Canada.</t>
  </si>
  <si>
    <t>dengj35@mcmaster.ca; areeba.zubair@huksg.org; ye-jean.park@huksg.org</t>
  </si>
  <si>
    <t>Deng, Jiawen/X-8181-2019</t>
  </si>
  <si>
    <t>Deng, Jiawen/0000-0002-8274-6468</t>
  </si>
  <si>
    <t>Conflict of interest statement: None declared.</t>
  </si>
  <si>
    <t>We would like to thank Eesha Affan, affiliated with the Faculty of Science at Carleton University, and Qi Kang Zuo, affiliated with the UBC Faculty of Medicine at the University of British Columbia, for their assistance in drafting and revising this letter.r Conflict of interest statement: None declared.</t>
  </si>
  <si>
    <t>10.1093/postmj/qgad069</t>
  </si>
  <si>
    <t>Y8FK2</t>
  </si>
  <si>
    <t>WOS:001080172900001</t>
  </si>
  <si>
    <t>zheng, Li/JVN-7465-2024</t>
  </si>
  <si>
    <t>Sun, Yang/0000-0001-8735-4765; Wang, Sophia/0000-0003-0916-9403; Ludwig, Cassie A/0000-0002-9586-3735</t>
  </si>
  <si>
    <t>Nolazco-Flores, Juan Arturo/GLU-4720-2022</t>
  </si>
  <si>
    <t>Nolazco-Flores, Juan Arturo/0000-0002-4187-9352; Mondragon-Estrada, Enrique/0009-0004-5592-1728</t>
  </si>
  <si>
    <t>FP2F4</t>
  </si>
  <si>
    <t>AUG 8</t>
  </si>
  <si>
    <t>sohail, shahab/O-3263-2019; Madsen, Dag Øivind/I-1587-2016; Atalla, Shadi/KAO-2626-2024</t>
  </si>
  <si>
    <t>sohail, shahab/0000-0002-5944-7371; Madsen, Dag Øivind/0000-0001-8735-3332;</t>
  </si>
  <si>
    <t>Yaghi, Omar/0000-0002-5611-3325; Borgs, Christian/0000-0001-5653-0498; Zheng, Zhiling/0000-0001-6090-2258; Chayes, Jennifer/0000-0003-4020-8618</t>
  </si>
  <si>
    <t>AUG 7</t>
  </si>
  <si>
    <t>Dergaa, Ismail/0000-0001-8091-1856; Ben Saad, Helmi/0000-0002-7477-2965; LATIRI, IMED/0000-0002-6074-4736; Chamari, Karim/0000-0001-9178-7678; Methnani, Jabeur/0000-0002-1422-3059</t>
  </si>
  <si>
    <t>OCT 6</t>
  </si>
  <si>
    <t>University of Minnesota System; University of Minnesota Twin Cities; University of California System; University of California Berkeley; United States Department of Energy (DOE); Lawrence Berkeley National Laboratory; Universite Cote d'Azur; Observatoire de la Cote d'Azur; California Institute of Technology; University of California System; University of California Berkeley; National Aeronautics &amp; Space Administration (NASA); NASA Goddard Space Flight Center; University of Washington; University of Washington Seattle; California Institute of Technology; Universite Joseph Ki-Zerbo; California Institute of Technology; Massachusetts Institute of Technology (MIT); California Institute of Technology; California Institute of Technology; Northeastern University; Universite Paris Cite; Universite Paris Saclay; Centre National de la Recherche Scientifique (CNRS); CNRS - National Institute of Nuclear and Particle Physics (IN2P3); Liverpool John Moores University; California Institute of Technology; Helmholtz Association; Deutsches Elektronen-Synchrotron (DESY); Stockholm University; Oskar Klein Centre; Universite Paris Saclay; CEA; Centre National de la Recherche Scientifique (CNRS); Universite Paris Cite</t>
  </si>
  <si>
    <t>Llinares-Insa, Lucía Inmaculada/HCH-1517-2022; Nir, Guy/HJJ-0199-2023</t>
  </si>
  <si>
    <t>Llinares-Insa, Lucía Inmaculada/0000-0001-9626-4948; Kiendrebeogo, Ramodwende Weizmann/0000-0002-9108-5059; LeBaron, Natalie/0000-0002-2249-0595; Duev, Dmitry/0000-0001-5060-8733; Bellm, Eric/0000-0001-8018-5348; van der Walt, Stefan/0000-0001-9276-1891; Bloom, Joshua/0000-0002-7777-216X; Coughlin, Michael/0000-0002-8262-2924; Goldstein, Daniel/0000-0003-3461-8661; Jegou du Laz, Theophile/0009-0003-6181-4526; Nir, Guy/0000-0002-7501-5579; Anand, Shreya/0000-0003-3768-7515</t>
  </si>
  <si>
    <t>French, Fiona/0000-0003-4226-6889</t>
  </si>
  <si>
    <t>thida, myo/O-6173-2018</t>
  </si>
  <si>
    <t>Huang, HY; Zheng, O; Wang, DD; Yin, JY; Wang, ZJ; Ding, SX; Yin, H; Xu, C; Yang, RJ; Zheng, Q; Shi, B</t>
  </si>
  <si>
    <t>Huang, Hanyao; Zheng, Ou; Wang, Dongdong; Yin, Jiayi; Wang, Zijin; Ding, Shengxuan; Yin, Heng; Xu, Chuan; Yang, Renjie; Zheng, Qian; Shi, Bing</t>
  </si>
  <si>
    <t>ChatGPT for shaping the future of dentistry: the potential of multi-modal large language model</t>
  </si>
  <si>
    <t>INTERNATIONAL JOURNAL OF ORAL SCIENCE</t>
  </si>
  <si>
    <t>DIAGNOSIS; OUTCOMES; RECORDS; CANCER</t>
  </si>
  <si>
    <t>The ChatGPT, a lite and conversational variant of Generative Pretrained Transformer 4 (GPT-4) developed by OpenAI, is one of the milestone Large Language Models (LLMs) with billions of parameters. LLMs have stirred up much interest among researchers and practitioners in their impressive skills in natural language processing tasks, which profoundly impact various fields. This paper mainly discusses the future applications of LLMs in dentistry. We introduce two primary LLM deployment methods in dentistry, including automated dental diagnosis and cross-modal dental diagnosis, and examine their potential applications. Especially, equipped with a cross-modal encoder, a single LLM can manage multi-source data and conduct advanced natural language reasoning to perform complex clinical operations. We also present cases to demonstrate the potential of a fully automatic Multi-Modal LLM AI system for dentistry clinical application. While LLMs offer significant potential benefits, the challenges, such as data privacy, data quality, and model bias, need further study. Overall, LLMs have the potential to revolutionize dental diagnosis and treatment, which indicates a promising avenue for clinical application and research in dentistry.</t>
  </si>
  <si>
    <t>[Huang, Hanyao; Yin, Jiayi; Yin, Heng; Zheng, Qian; Shi, Bing] Sichuan Univ, West China Hosp Stomatol, State Key Lab Oral Dis, Chengdu, Peoples R China; [Huang, Hanyao; Yin, Jiayi; Yin, Heng; Zheng, Qian; Shi, Bing] Sichuan Univ, West China Hosp Stomatol, Natl Clin Res Ctr Oral Dis, Chengdu, Peoples R China; [Huang, Hanyao; Yin, Jiayi; Yin, Heng; Zheng, Qian; Shi, Bing] Sichuan Univ, West China Hosp Stomatol, Dept Oral &amp; Maxillofacial Surg, Chengdu, Peoples R China; [Zheng, Ou; Wang, Dongdong; Wang, Zijin] Univ Cent Florida, Dept Civil Environm &amp; Construct Engn, Orlando, FL 32816 USA; [Ding, Shengxuan] Univ Cent Florida, Coll Transportat Engn, Orlando, FL USA; [Xu, Chuan] Southwest Jiaotong Univ, Sch Transportat &amp; Logist, Chengdu, Peoples R China; [Xu, Chuan] NYU, Ctr C2SMART, Tandon Sch Engn, Brooklyn, NY USA; [Yang, Renjie] Sichuan Univ, West China Hosp Stomatol, State Key Lab Oral Dis, Chengdu, Peoples R China; [Yang, Renjie] Sichuan Univ, West China Hosp Stomatol, Natl Clin Res Ctr Oral Dis, Chengdu, Peoples R China; [Yang, Renjie] Sichuan Univ, West China Hosp Stomatol, Eastern Clin, Chengdu, Peoples R China</t>
  </si>
  <si>
    <t>Sichuan University; Sichuan University; Sichuan University; State University System of Florida; University of Central Florida; State University System of Florida; University of Central Florida; Southwest Jiaotong University; New York University; New York University Tandon School of Engineering; Sichuan University; Sichuan University; Sichuan University</t>
  </si>
  <si>
    <t>Huang, HY (corresponding author), Sichuan Univ, West China Hosp Stomatol, State Key Lab Oral Dis, Chengdu, Peoples R China.;Huang, HY (corresponding author), Sichuan Univ, West China Hosp Stomatol, Natl Clin Res Ctr Oral Dis, Chengdu, Peoples R China.;Huang, HY (corresponding author), Sichuan Univ, West China Hosp Stomatol, Dept Oral &amp; Maxillofacial Surg, Chengdu, Peoples R China.;Zheng, O (corresponding author), Univ Cent Florida, Dept Civil Environm &amp; Construct Engn, Orlando, FL 32816 USA.</t>
  </si>
  <si>
    <t>huanghanyao_cn@scu.edu.cn; ouzheng1993@knights.ucf.edu</t>
  </si>
  <si>
    <t>ou, zheng/KFB-4644-2024; Wang, Dongdong/HNP-6923-2023; Shi, Bing/HTL-8732-2023; Huang, Hanyao/AAX-9478-2020</t>
  </si>
  <si>
    <t>Wang, Dongdong/0000-0001-7278-5415; Huang, Hanyao/0000-0002-6805-0157; Zheng, Ou/0000-0001-6313-8566</t>
  </si>
  <si>
    <t>Research and Development Program; West China Hospital of Stomatology; Sichuan University [RD-02-202107]; Sichuan Province Science and Technology Support Program [2022NSFSC0743]; Sichuan Post-doctoral Science Foundation [TB2022005]</t>
  </si>
  <si>
    <t>Research and Development Program; West China Hospital of Stomatology; Sichuan University(Sichuan University); Sichuan Province Science and Technology Support Program; Sichuan Post-doctoral Science Foundation</t>
  </si>
  <si>
    <t>This work was supported by the Research and Development Program, West China Hospital of Stomatology, Sichuan University (RD-02-202107), Sichuan Province Science and Technology Support Program (2022NSFSC0743), and Sichuan Post-doctoral Science Foundation (TB2022005) grant to H. Huang.</t>
  </si>
  <si>
    <t>1674-2818</t>
  </si>
  <si>
    <t>2049-3169</t>
  </si>
  <si>
    <t>INT J ORAL SCI</t>
  </si>
  <si>
    <t>Int. J. Oral Sci.</t>
  </si>
  <si>
    <t>JUL 28</t>
  </si>
  <si>
    <t>10.1038/s41368-023-00239-y</t>
  </si>
  <si>
    <t>N8QY5</t>
  </si>
  <si>
    <t>WOS:001039606900001</t>
  </si>
  <si>
    <t>King Saud Bin Abdulaziz University for Health Sciences; King Saud Bin Abdulaziz University for Health Sciences; King Abdullah International Medical Research Center (KAIMRC); King Saud Bin Abdulaziz University for Health Sciences; King Abdullah International Medical Research Center (KAIMRC); King Abdulaziz Medical City; King Saud Bin Abdulaziz University for Health Sciences; King Abdulaziz Medical City - Riyadh; Ministry of National Guard - Health Affairs; National Guard Health Affairs - Saudi Arabia; Princess Nourah bint Abdulrahman University; King Saud Bin Abdulaziz University for Health Sciences</t>
  </si>
  <si>
    <t>Alqahtani, Tariq/0009-0007-1094-6835</t>
  </si>
  <si>
    <t>Parma, Valentina/AAR-7176-2020; Niv, Masha/AAL-1123-2020; Hayes, John E/A-5893-2008</t>
  </si>
  <si>
    <t>Duku, Eric/0000-0003-3599-3527; Sharpe, Isobel/0000-0001-6468-4438; Anderson, Laura N./0000-0002-6106-5073; Smith, Brendan/0000-0003-2785-1246</t>
  </si>
  <si>
    <t>Lacey, Melissa/0000-0003-0997-0217; Smith, David/0000-0001-5177-8574</t>
  </si>
  <si>
    <t>JX5S8</t>
  </si>
  <si>
    <t>Dien, J; Ritz, T</t>
  </si>
  <si>
    <t>Dien, Joseph; Ritz, Thomas</t>
  </si>
  <si>
    <t>Generative artificial intelligence in publishing - Reflection and discussion</t>
  </si>
  <si>
    <t>BIOLOGICAL PSYCHOLOGY</t>
  </si>
  <si>
    <t>Plagiarism; Large Language Models; ChatGPT; Artificial Intelligence; Academic Misconduct</t>
  </si>
  <si>
    <t>[Dien, Joseph] Univ Maryland, Dept Human Dev &amp; Quantitat Methodol, 3304 Benjamin Bldg, College Pk, MD 20742 USA; [Ritz, Thomas] Southern Methodist Univ, Dept Psychol, POB 750442, Dallas, TX 75275 USA</t>
  </si>
  <si>
    <t>University System of Maryland; University of Maryland College Park; Southern Methodist University</t>
  </si>
  <si>
    <t>Dien, J (corresponding author), Univ Maryland, Dept Human Dev &amp; Quantitat Methodol, 3304 Benjamin Bldg, College Pk, MD 20742 USA.</t>
  </si>
  <si>
    <t>jdien07@mac.com</t>
  </si>
  <si>
    <t>Dien, Joseph/0000-0001-6908-2612</t>
  </si>
  <si>
    <t>0301-0511</t>
  </si>
  <si>
    <t>1873-6246</t>
  </si>
  <si>
    <t>BIOL PSYCHOL</t>
  </si>
  <si>
    <t>Biol. Psychol.</t>
  </si>
  <si>
    <t>10.1016/j.biopsycho.2023.108595</t>
  </si>
  <si>
    <t>Psychology, Biological; Behavioral Sciences; Psychology; Psychology, Experimental</t>
  </si>
  <si>
    <t>Psychology; Behavioral Sciences</t>
  </si>
  <si>
    <t>R3RJ1</t>
  </si>
  <si>
    <t>WOS:001063553700001</t>
  </si>
  <si>
    <t>Dien, J</t>
  </si>
  <si>
    <t>Dien, Joseph</t>
  </si>
  <si>
    <t>Editorial: Generative artificial intelligence as a plagiarism problem</t>
  </si>
  <si>
    <t>Plagiarism; Large language models; ChatGPT; Artificial intelligence; Academic misconduct</t>
  </si>
  <si>
    <t>There is increasing concern and consternation about generative artificial intelligence (AI) programs and its potential impact on academia. This editorial addresses the potential impact of such programs on scientific publishing as it relates to the journal Biological Psychology. Using chatGPT as an example, it makes the case that a prime concern is its implications for facilitating plagiarism. It briefly outlines what is known about the algorithm of the GPT text model, and also the implications of its chatGPT front end, on being able to establish appropriate credit for ideas in text that it outputs. It is concluded that, at least for Biological Psychology, the expectation is that authors will be transparent about AI usage, will declare when AI is the source of an idea, and will redouble efforts to seek out and cite prior claims to ideas in the published literature when AI is involved.</t>
  </si>
  <si>
    <t>[Dien, Joseph] Univ Maryland, Dept Human Dev &amp; Quantitat Methodol, 3304 Benjamin Bldg, College Pk, MD 20742 USA</t>
  </si>
  <si>
    <t>10.1016/j.biopsycho.2023.108621</t>
  </si>
  <si>
    <t>FR1B3</t>
  </si>
  <si>
    <t>WOS:001147476500001</t>
  </si>
  <si>
    <t>Honnavar, Prasanna/0000-0003-3872-4242; Cross, Joseph/0000-0002-4680-2186</t>
  </si>
  <si>
    <t>de Zarza i Cubero, I./0000-0002-5844-7871; Cano, Juan Carlos/0000-0002-0038-0539; Roig, Gemma/0000-0002-6439-8076; de Curto y Diaz, J./0000-0002-8334-4719</t>
  </si>
  <si>
    <t>We acknowledge the support of Universitat Politecnica de Valencia: R&amp;D project PID2021-122580NB-I00, funded by MCIN/AEI/10.13039/501100011033 and ERDF. We thank the following funding sources from GOETHE-University Frankfurt am Main; DePP-Dezentrale Plannung von Platoons im Stra beta enguterverkehr mit Hilfe einer KI auf Basis einzelner LKW', Center for Data Science &amp; AI' and xAIBiology'.</t>
  </si>
  <si>
    <t>de Zarza i Cubero, I./0000-0002-5844-7871; Roig, Gemma/0000-0002-6439-8076; de Curto y Diaz, J./0000-0002-8334-4719</t>
  </si>
  <si>
    <t>Imoize, Agbotiname Lucky/AAL-8305-2020; Alabdullah, Bayan/AFP-4143-2022; Khan, Dr Shakir/O-8721-2014</t>
  </si>
  <si>
    <t>Imoize, Agbotiname Lucky/0000-0001-8921-8353; Khan, Dr Shakir/0000-0002-7925-9191; Almjally, Abrar/0000-0002-5709-2140</t>
  </si>
  <si>
    <t>Kottlors, J; Bratke, G; Rauen, P; Kabbasch, C; Persigehl, T; Schlamann, M; Lennartz, S</t>
  </si>
  <si>
    <t>Kottlors, Jonathan; Bratke, Grischa; Rauen, Philip; Kabbasch, Christoph; Persigehl, Thorsten; Schlamann, Marc; Lennartz, Simon</t>
  </si>
  <si>
    <t>Feasibility of Differential Diagnosis Based on Imaging Patterns Using a Large Language Model</t>
  </si>
  <si>
    <t>[Kottlors, Jonathan; Bratke, Grischa; Rauen, Philip; Kabbasch, Christoph; Persigehl, Thorsten; Schlamann, Marc; Lennartz, Simon] Univ Cologne, Inst Diagnost &amp; Intervent Radiol, Fac Med, Kerpener Str 62, D-50937 Cologne, Germany; [Kottlors, Jonathan; Bratke, Grischa; Rauen, Philip; Kabbasch, Christoph; Persigehl, Thorsten; Schlamann, Marc; Lennartz, Simon] Univ Cologne, Univ Hosp Cologne, Kerpener Str 62, D-50937 Cologne, Germany</t>
  </si>
  <si>
    <t>University of Cologne; University of Cologne</t>
  </si>
  <si>
    <t>Lennartz, S (corresponding author), Univ Cologne, Inst Diagnost &amp; Intervent Radiol, Fac Med, Kerpener Str 62, D-50937 Cologne, Germany.;Lennartz, S (corresponding author), Univ Cologne, Univ Hosp Cologne, Kerpener Str 62, D-50937 Cologne, Germany.</t>
  </si>
  <si>
    <t>simon.lennartz@uk-koeln.de</t>
  </si>
  <si>
    <t>Bratke, Grischa/0000-0002-5696-9828; Lennartz, Simon/0000-0002-3254-4809; Kottlors, Jonathan/0000-0001-5021-6895; Kabbasch, Christoph/0000-0003-3712-2258</t>
  </si>
  <si>
    <t>German Federal Ministry of Education and Research Network of University Medicine 2.0 [01KX2121]</t>
  </si>
  <si>
    <t>German Federal Ministry of Education and Research Network of University Medicine 2.0</t>
  </si>
  <si>
    <t>Supported in part by the German Federal Ministry of Education and Research Network of University Medicine 2.0 (grant no. 01KX2121).</t>
  </si>
  <si>
    <t>e231167</t>
  </si>
  <si>
    <t>10.1148/radiol.231167</t>
  </si>
  <si>
    <t>WOS:001068217100033</t>
  </si>
  <si>
    <t>Wilpert, Caroline/0000-0003-2375-2478; Rau, Alexander/0000-0001-5881-6043; Neubauer, Jakob/0000-0001-9388-0219; Nattenmueller, Johanna/0000-0003-4032-378X; Rau, Stephan/0000-0002-8992-2401; Zoller, Daniela/0000-0001-9929-7403</t>
  </si>
  <si>
    <t>Lopez-Herrera, Antonio G/B-7932-2011</t>
  </si>
  <si>
    <t>Lopez-Herrera, Antonio G/0000-0001-8424-275X; Aguero-Torales, Marvin M./0000-0002-0910-0310</t>
  </si>
  <si>
    <t>Carr, EJ; Wu, MY; Gahir, J; Harvey, R; Townsley, H; Bailey, C; Fowler, AS; Dowgier, G; Hobbs, A; Herman, L; Ragno, M; Miah, M; Bawumia, P; Smith, C; Miranda, M; Mears, H; Adams, L; Haptipoglu, E; O'Reilly, N; Warchal, S; Sawyer, C; Ambrose, K; Kelly, G; Beale, R; Papineni, P; Corrah, T; Gilson, R; Gamblin, S; Kassiotis, G; Libri, V; Williams, B; Swanton, C; Gandhi, S; Bauer, DL; Wall, EC</t>
  </si>
  <si>
    <t>Carr, Edward J.; Wu, Mary Y.; Gahir, Joshua; Harvey, Ruth; Townsley, Hermaleigh; Bailey, Chris; Fowler, Ashley S.; Dowgier, Giulia; Hobbs, Agnieszka; Herman, Lou; Ragno, Martina; Miah, Murad; Bawumia, Phillip; Smith, Callie; Miranda, Mauro; Mears, Harriet, V; Adams, Lorin; Haptipoglu, Emine; O'Reilly, Nicola; Warchal, Scott; Sawyer, Chelsea; Ambrose, Karen; Kelly, Gavin; Beale, Rupert; Papineni, Padmasayee; Corrah, Tumena; Gilson, Richard; Gamblin, Steve; Kassiotis, George; Libri, Vincenzo; Williams, Bryan; Swanton, Charles; Gandhi, Sonia; Bauer, David L., V; Wall, Emma C.</t>
  </si>
  <si>
    <t>Crick COVID Serology Consortium</t>
  </si>
  <si>
    <t>The dangers of using large language models for peer review</t>
  </si>
  <si>
    <t>LANCET INFECTIOUS DISEASES</t>
  </si>
  <si>
    <t>[Wu, Mary Y.; Dowgier, Giulia; Hobbs, Agnieszka; Herman, Lou; Ragno, Martina] COVID Surveillance Unit, London, England; [Harvey, Ruth; Adams, Lorin] Worldwide Influenza Ctr, London, England; [Carr, Edward J.; Wu, Mary Y.; Gahir, Joshua; Townsley, Hermaleigh; Bailey, Chris; Fowler, Ashley S.; Miah, Murad; Bawumia, Phillip; Smith, Callie; Miranda, Mauro; Mears, Harriet, V; Haptipoglu, Emine; O'Reilly, Nicola; Warchal, Scott; Sawyer, Chelsea; Ambrose, Karen; Kelly, Gavin; Beale, Rupert; Gamblin, Steve; Kassiotis, George; Swanton, Charles; Gandhi, Sonia; Bauer, David L., V; Wall, Emma C.] Francis Crick Inst, London, England; [Carr, Edward J.; Beale, Rupert; Libri, Vincenzo; Williams, Bryan; Swanton, Charles; Gandhi, Sonia; Wall, Emma C.] UCL, London, England; [Gahir, Joshua; Townsley, Hermaleigh; Bailey, Chris; Haptipoglu, Emine; Libri, Vincenzo; Williams, Bryan; Wall, Emma C.] Natl Inst Hlth Res Univ Coll London Hosp Biomed Re, London, England; [Gahir, Joshua; Townsley, Hermaleigh; Bailey, Chris; Haptipoglu, Emine; Libri, Vincenzo; Williams, Bryan; Wall, Emma C.] Clin Res Facil, London, England; [Papineni, Padmasayee; Corrah, Tumena] London Northwest Univ Healthcare NHS Trust, London, England; [Gilson, Richard] Cent &amp; North West London NHS Fdn Trust, London, England; [Kelly, Gavin] Imperial Coll London, St Marys Hosp, Dept Infect Dis, London, England</t>
  </si>
  <si>
    <t>Francis Crick Institute; University of London; University College London; Imperial College London</t>
  </si>
  <si>
    <t>Wall, EC (corresponding author), Francis Crick Inst, London, England.;Wall, EC (corresponding author), UCL, London, England.;Wall, EC (corresponding author), Natl Inst Hlth Res Univ Coll London Hosp Biomed Re, London, England.;Wall, EC (corresponding author), Clin Res Facil, London, England.</t>
  </si>
  <si>
    <t>emma.wall@crick.ac.uk</t>
  </si>
  <si>
    <t>Williams, Bryan R. G./A-5021-2009</t>
  </si>
  <si>
    <t>Williams, Bryan/0000-0002-8094-1841</t>
  </si>
  <si>
    <t>University College London Hospitals; National Institute for Health Research University College London Hospitals Biomedical Research Centre and Clinical Research Facility; Biomedical Research Centre funding scheme; Biomedical Research Centre; Francis Crick Institute from Cancer Research UK; UK Medical Research Council; Wellcome Trust; Genotype-to-Phenotype (G2P) National Virology Consortium via UK Research and Innovation</t>
  </si>
  <si>
    <t>University College London Hospitals; National Institute for Health Research University College London Hospitals Biomedical Research Centre and Clinical Research Facility; Biomedical Research Centre funding scheme; Biomedical Research Centre; Francis Crick Institute from Cancer Research UK; UK Medical Research Council(UK Research &amp; Innovation (UKRI)Medical Research Council UK (MRC)); Wellcome Trust(Wellcome Trust); Genotype-to-Phenotype (G2P) National Virology Consortium via UK Research and Innovation</t>
  </si>
  <si>
    <t>All authors declare they have no competing interests. All data (anonymised) and full R code to produce all figures and statistical analysis presented in this Correspondence are available online on Github: https://github.com/davidlvb/Crick-UCLH-Legacy-XBB-2023-03. This study was sponsored by University College London Hospitals. This study was undertaken at University College London Hospitals and University College London, which received a proportion of funding from the National Institute for Health Research University College London Hospitals Biomedical Research Centre and Clinical Research Facility. ECW, VL, and BW are supported by the Biomedical Research Centre funding scheme. This study was supported jointly by the Biomedical Research Centre and core funding from the Francis Crick Institute, which receives its funding from Cancer Research UK, the UK Medical Research Council, and the Wellcome Trust. DLVB and RB are additionally supported by the Genotype-to-Phenotype (G2P) National Virology Consortium via UK Research and Innovation and the UK Medical Research Council. The funders of the study had no role in the study design, data collection, data analysis, data interpretation, or writing of the report. The corresponding authors had full access to all the data and the final responsibility to submit for publication.</t>
  </si>
  <si>
    <t>1473-3099</t>
  </si>
  <si>
    <t>1474-4457</t>
  </si>
  <si>
    <t>LANCET INFECT DIS</t>
  </si>
  <si>
    <t>Lancet Infect. Dis.</t>
  </si>
  <si>
    <t>10.1016/S1473-3099(23)00290-6</t>
  </si>
  <si>
    <t>M8FF5</t>
  </si>
  <si>
    <t>WOS:001032512000001</t>
  </si>
  <si>
    <t>Kazienko, Przemysław/F-1849-2014; Kanclerz, Kamil/ABD-3695-2021; Radlinski, Lukasz/A-6146-2016; Wojtasik, Konrad/JKO-6284-2023; Kocon, Jan/IXN-3388-2023</t>
  </si>
  <si>
    <t>Kazienko, Przemysław/0000-0001-5868-356X; Kanclerz, Kamil/0000-0002-7375-7544; Wojtasik, Konrad/0000-0002-5715-5201; Kocon, Jan/0000-0002-7665-6896</t>
  </si>
  <si>
    <t>Abidin, Anas/0000-0003-0032-0664; Nasir-Moin, Mustafa/0000-0002-0389-1852</t>
  </si>
  <si>
    <t>Li, Meng/JRY-4275-2023; Krishna, Satheesh/AGF-5005-2022</t>
  </si>
  <si>
    <t>Krishna, Satheesh/0000-0001-6603-7621; Bhayana, Rajesh/0000-0002-8352-7953</t>
  </si>
  <si>
    <t>Roig, Gemma/0000-0002-6439-8076; de Zarza i Cubero, I./0000-0002-5844-7871; de Curto y Diaz, J./0000-0002-8334-4719</t>
  </si>
  <si>
    <t>Cheng, samuel M.S./GNH-2164-2022; Chan, Michael Chi Wai/C-4212-2009</t>
  </si>
  <si>
    <t>Cheng, samuel M.S./0000-0001-7293-2331;</t>
  </si>
  <si>
    <t>Bedayat, Arash/0000-0001-8769-0224; Kim, Hyun/0000-0003-1225-3489; /0000-0002-6228-4673</t>
  </si>
  <si>
    <t>Barroso, Arthur Arrobas Martins/0000-0001-7687-1396; Roncatto, Eduardo/0000-0001-7006-5772; May De Mio, Louise Larissa/0000-0002-4202-4428; Claus, Alexandre/0000-0001-8660-4072</t>
  </si>
  <si>
    <t>AP7U1</t>
  </si>
  <si>
    <t>Majovsky, Martin/N-9262-2017; Komarc, Martin/A-7308-2017; Černý, Martin/AHA-7099-2022; Komarc, Martin/O-2575-2019</t>
  </si>
  <si>
    <t>Majovsky, Martin/0000-0001-7725-5181; Černý, Martin/0000-0002-8601-0554; Komarc, Martin/0000-0003-4106-5217; Kasal, Matej/0000-0001-6445-8983</t>
  </si>
  <si>
    <t>Howley, Donal/0000-0003-3534-6768; Killian, Chad/0000-0002-8018-7615; Sargent, Julia/0000-0001-9082-8378; Marttinen, Risto/0000-0003-3807-5684</t>
  </si>
  <si>
    <t>Agathokleous, E; Saitanis, CJ; Fang, C; Yu, Z</t>
  </si>
  <si>
    <t>Agathokleous, Evgenios; Saitanis, Costas J.; Fang, Chao; Yu, Zhen</t>
  </si>
  <si>
    <t>Use of ChatGPT: What does it mean for biology and environmental science?</t>
  </si>
  <si>
    <t>Artificial intelligence; ChatGPT; Biology; Environmental science; Generative Pre-trained Transformer; Large language model</t>
  </si>
  <si>
    <t>Artificial intelligence (AI) large language models (LLMs) have emerged as important technologies. Recently, ChatGPT (Generative Pre-trained Transformer) has been released and attracted massive interest from the public, owing to its unique capabilities to simplify many daily tasks of people from diverse backgrounds and social statuses. Here, we discuss how ChatGPT (and similar AI technologies) can impact biology and environmental science, providing examples obtained through interactive sessions with ChatGPT. The benefits that ChatGPT offers are ample and can impact many aspects of biology and environmental science, including education, research, scientific publishing, outreach, and societal translation. Among others, ChatGPT can simplify and expedite highly complex and challenging tasks. As an example to illustrate this, we provide 100 important questions for biology and 100 important questions for environmental science. Although ChatGPT offers a plethora of benefits, there are several risks and potential harms associated with its use, which we analyze herein. Awareness of risks and potential harms should be raised. However, understanding and overcoming the current limitations could lead these recent technological advances to push biology and environmental science to their limits.</t>
  </si>
  <si>
    <t>[Agathokleous, Evgenios; Fang, Chao; Yu, Zhen] Nanjing Univ Informat Sci &amp; Technol NUIST, Sch Appl Meteorol, Nanjing 210044, Peoples R China; [Saitanis, Costas J.] Agr Univ Athens, Lab Ecol &amp; Environm Sci, Iera Odos 75, Athens 11855, Greece</t>
  </si>
  <si>
    <t>Nanjing University of Information Science &amp; Technology; Agricultural University of Athens</t>
  </si>
  <si>
    <t>Agathokleous, E; Yu, Z (corresponding author), Nanjing Univ Informat Sci &amp; Technol NUIST, Sch Appl Meteorol, Nanjing 210044, Peoples R China.</t>
  </si>
  <si>
    <t>evgenios@nuist.edu.cn; zyu@nuist.edu.cn</t>
  </si>
  <si>
    <t>Agathokleous, Evgenios/D-2838-2016; Fang, Chao/ABA-4355-2021</t>
  </si>
  <si>
    <t>Agathokleous, Evgenios/0000-0002-0058-4857; Fang, Chao/0000-0002-7615-3367</t>
  </si>
  <si>
    <t>National Natural Science Foundation of China [4210070867]; Startup Foundation for Introducing Talent of Nanjing University of Information Science and Technology, China [003080]; Jiangsu Distinguished Professor program of the People's Government of Jiangsu Province</t>
  </si>
  <si>
    <t>National Natural Science Foundation of China(National Natural Science Foundation of China (NSFC)); Startup Foundation for Introducing Talent of Nanjing University of Information Science and Technology, China; Jiangsu Distinguished Professor program of the People's Government of Jiangsu Province</t>
  </si>
  <si>
    <t>Funding This research did not receive any speci fi c grant from funding agencies in the public, commercial, or not -for-pro fi t sectors. Authors acknowledge support from the National Natural Science Foundation of China (No. 4210070867 to E.A.) and the Startup Foundation for Introducing Talent of Nanjing University of Information Science and Technology, China (No. 003080 to E.A.) . E.A. and Z.Y. acknowledge support from the Jiangsu Distinguished Professor program of the People's Government of Jiangsu Province.</t>
  </si>
  <si>
    <t>AUG 25</t>
  </si>
  <si>
    <t>10.1016/j.scitotenv.2023.164154</t>
  </si>
  <si>
    <t>L3LF9</t>
  </si>
  <si>
    <t>WOS:001022301500001</t>
  </si>
  <si>
    <t>Chulalongkorn University; Chulalongkorn University; Rangsit University; Rajavithi Hospital; Chiang Mai University; Prince of Songkla University; Mahidol University; Thammasat University; Mahidol University; Khon Kaen University; Ministry of Public Health - Thailand; Phramongkutklao Hospital; Chulabhorn Royal Academy; Chulabhorn Hospital; Chulabhorn Research Institute; Chulalongkorn University; Chulalongkorn University; Chulalongkorn University; Chulalongkorn University</t>
  </si>
  <si>
    <t>Ganokroj, Poranee/0000-0002-0102-0535; Sriphrapradang, Chutintorn/0000-0001-8294-8601</t>
  </si>
  <si>
    <t>Greisel, Martin/0000-0002-9586-5714; Kuznetsov, Ilia/0000-0002-6359-2774; Fischer, Frank/0000-0003-0253-659X; Bauer, Elisabeth/0000-0003-4078-0999</t>
  </si>
  <si>
    <t>Raimondi, R; Tzoumas, N; Salisbury, T; Di Simplicio, S; Romano, MR</t>
  </si>
  <si>
    <t>Raimondi, Raffaele; Tzoumas, Nikolaos; Salisbury, Thomas; Di Simplicio, Sandro; Romano, Mario</t>
  </si>
  <si>
    <t>North East Trainee Res Ophthalmo</t>
  </si>
  <si>
    <t>EYE</t>
  </si>
  <si>
    <t>[Raimondi, Raffaele; Tzoumas, Nikolaos] Sunderland Eye Infirm, Sunderland, England; [Tzoumas, Nikolaos] Newcastle Univ, Biosci Inst, Newcastle Upon Tyne, Tyne &amp; Wear, England; [Salisbury, Thomas] James Cook Univ Hosp, Dept Ophthalmol, Middlesbrough, Cleveland, England; [Di Simplicio, Sandro] Royal Victoria Infirm, Newcastle Eye Ctr, Newcastle Upon Tyne, Tyne &amp; Wear, England; [Romano, Mario] Humanitas Univ, Dept Biomed Sci, Milan, Italy</t>
  </si>
  <si>
    <t>Newcastle University - UK; James Cook University Hospital; Newcastle University - UK; Humanitas University</t>
  </si>
  <si>
    <t>Tzoumas, N (corresponding author), Sunderland Eye Infirm, Sunderland, England.;Tzoumas, N (corresponding author), Newcastle Univ, Biosci Inst, Newcastle Upon Tyne, Tyne &amp; Wear, England.</t>
  </si>
  <si>
    <t>nik.tzoumas@ncl.ac.uk</t>
  </si>
  <si>
    <t>Di Simplicio, Sandro/AAD-3367-2020</t>
  </si>
  <si>
    <t>Di Simplicio, Sandro/0000-0001-5114-3843; Romano, Mario R/0000-0003-0348-0532; Tzoumas, Nikolaos/0000-0003-2081-6042; Salisbury, Thomas/0000-0002-9331-752X</t>
  </si>
  <si>
    <t>National Institute for Health and Care Research (NIHR) Academic Clinical Fellowship [ACF-2021-01-008]</t>
  </si>
  <si>
    <t>National Institute for Health and Care Research (NIHR) Academic Clinical Fellowship</t>
  </si>
  <si>
    <t>0950-222X</t>
  </si>
  <si>
    <t>1476-5454</t>
  </si>
  <si>
    <t>CR1O7</t>
  </si>
  <si>
    <t>WOS:000984757500001</t>
  </si>
  <si>
    <t>Jeon, J; Lee, S; Choi, S</t>
  </si>
  <si>
    <t>Jeon, Jaeho; Lee, Seongyong; Choi, Seongyune</t>
  </si>
  <si>
    <t>INTERACTIVE LEARNING ENVIRONMENTS</t>
  </si>
  <si>
    <t>Review; Early Access</t>
  </si>
  <si>
    <t>Chatbot; large language model; ChatGPT; artificial intelligence; automatic speech recognition; intelligent personal assistant; language learning; computer-assisted language learning</t>
  </si>
  <si>
    <t>VIRTUAL ENVIRONMENT; SPEAKING; MOBILE; PUBLICATIONS; TRENDS</t>
  </si>
  <si>
    <t>Chatbot research has received growing attention due to the rapid diversification of chatbot technology, as demonstrated by the emergence of large language models (LLMs) and their integration with automatic speech recognition. However, among various chatbot types, speech-recognition chatbots have received limited attention in relevant research reviews, despite their increasing potential for language learning. To fill this gap, 32 empirical studies on speech-recognition chatbots for language learning were reviewed. The following information was reviewed for each study: basic publication information, research focus, location of chatbot use, methodology, group design format, participant information, intervention duration, target language, device type adopted, and chatbot role. An upward trend in research quantity starting in 2020 was identified, which accelerated exponentially in 2022. College students were more likely than other groups to be involved in research, and English as a second or foreign language was the most common target language. Most studies focused on participants' perceptions of chatbots and the degree to which using chatbots helped them develop their speaking or listening proficiency. Methodologically, single-chatbot design using mixed methods was the most common design format, and most studies were conducted for more than one month in laboratory or classroom settings. Conventional mobile devices, such as smartphones, tablet PCs, and smart speakers without a screen, were the most frequently adopted device types. The chatbots' most common role was as conversational partner. A detailed discussion of these results and their implications for future research on speech-recognition chatbots, particularly regarding the use of LLM-powered chatbots, is provided.</t>
  </si>
  <si>
    <t>[Jeon, Jaeho] Indiana Univ, Dept Literacy Culture &amp; Language Educ, Bloomington, IN USA; [Lee, Seongyong] Hannam Univ, Dept English Educ, Daejeon, South Korea; [Choi, Seongyune] Korea Univ, Dept Comp Sci &amp; Engn, Seoul, South Korea</t>
  </si>
  <si>
    <t>Indiana University System; Indiana University Bloomington; Hannam University; Korea University</t>
  </si>
  <si>
    <t>Lee, S (corresponding author), Hannam Univ, Dept English Educ, Daejeon, South Korea.</t>
  </si>
  <si>
    <t>seongyong@hnu.kr</t>
  </si>
  <si>
    <t>Lee, Seongyong/H-7230-2013</t>
  </si>
  <si>
    <t>Lee, Seongyong/0000-0002-9436-4272; Choi, Seongyune/0000-0002-7968-3726</t>
  </si>
  <si>
    <t>1049-4820</t>
  </si>
  <si>
    <t>1744-5191</t>
  </si>
  <si>
    <t>INTERACT LEARN ENVIR</t>
  </si>
  <si>
    <t>2023 MAY 6</t>
  </si>
  <si>
    <t>F4UM4</t>
  </si>
  <si>
    <t>WOS:000982315200001</t>
  </si>
  <si>
    <t>Carulla, M; Kizy, A; Battle, S; Rougeau, K; Welling, LLM</t>
  </si>
  <si>
    <t>Carulla, Megan; Kizy, Alissa; Battle, Sarah; Rougeau, Kathryn; Welling, Lisa L. M.</t>
  </si>
  <si>
    <t>The influence of active vs passive cycling on salivary hormones and tend-and-befriend stress response</t>
  </si>
  <si>
    <t>JOURNAL OF SPORT &amp; EXERCISE PSYCHOLOGY</t>
  </si>
  <si>
    <t>[Carulla, Megan; Kizy, Alissa; Battle, Sarah; Rougeau, Kathryn; Welling, Lisa L. M.] Oakland Univ, Rochester, MI USA</t>
  </si>
  <si>
    <t>Oakland University.</t>
  </si>
  <si>
    <t>0895-2779</t>
  </si>
  <si>
    <t>1543-2904</t>
  </si>
  <si>
    <t>J SPORT EXERCISE PSY</t>
  </si>
  <si>
    <t>J. Sport Exerc. Psychol.</t>
  </si>
  <si>
    <t>S67</t>
  </si>
  <si>
    <t>S68</t>
  </si>
  <si>
    <t>Hospitality, Leisure, Sport &amp; Tourism; Psychology, Applied; Psychology; Sport Sciences</t>
  </si>
  <si>
    <t>Social Sciences - Other Topics; Psychology; Sport Sciences</t>
  </si>
  <si>
    <t>H1VW7</t>
  </si>
  <si>
    <t>WOS:000993921600220</t>
  </si>
  <si>
    <t>guo, yi/KHC-4669-2024; Zhao, Linlin/KHX-4712-2024</t>
  </si>
  <si>
    <t>Birhane, A; Kasirzadeh, A; Leslie, D; Wachter, S</t>
  </si>
  <si>
    <t>Birhane, Abeba; Kasirzadeh, Atoosa; Leslie, David; Wachter, Sandra</t>
  </si>
  <si>
    <t>Science in the age of large language models</t>
  </si>
  <si>
    <t>NATURE REVIEWS PHYSICS</t>
  </si>
  <si>
    <t>Rapid advances in the capabilities of large language models and the broad accessibility of tools powered by this technology have led to both excitement and concern regarding their use in science. Four experts in artificial intelligence ethics and policy discuss potential risks and call for careful consideration and responsible usage to ensure that good scientific practices and trust in science are not compromised.</t>
  </si>
  <si>
    <t>[Birhane, Abeba] Trinity Coll Dublin, Mozilla Fdn, Dublin, Ireland; [Kasirzadeh, Atoosa] Univ Edinburgh, Edinburgh, Midlothian, Scotland; [Kasirzadeh, Atoosa; Leslie, David] Alan Turing Inst, London, England; [Leslie, David] Queen Mary Univ London, London, England; [Wachter, Sandra] Univ Oxford, Oxford, England</t>
  </si>
  <si>
    <t>Trinity College Dublin; University of Edinburgh; University of London; Queen Mary University London; University of Oxford</t>
  </si>
  <si>
    <t>Birhane, A (corresponding author), Trinity Coll Dublin, Mozilla Fdn, Dublin, Ireland.;Kasirzadeh, A (corresponding author), Univ Edinburgh, Edinburgh, Midlothian, Scotland.;Kasirzadeh, A; Leslie, D (corresponding author), Alan Turing Inst, London, England.;Leslie, D (corresponding author), Queen Mary Univ London, London, England.;Wachter, S (corresponding author), Univ Oxford, Oxford, England.</t>
  </si>
  <si>
    <t>adbirhane@gmail.com; atoosa.kasirzadeh@ed.ac.uk; dleslie@turing.ac.uk; sandra.wachter@oii.ox.ac.uk</t>
  </si>
  <si>
    <t>Wachter, Sandra/0000-0003-3800-0113</t>
  </si>
  <si>
    <t>Wellcome Trust [223765/Z/21/Z]; Sloan Foundation [G-2021-16779]; Department of Health and Social Care; Governance of Emerging Technologies research programme at the Oxford Internet Institute, University of Oxford; Wellcome Trust [223765/Z/21/Z] Funding Source: Wellcome Trust</t>
  </si>
  <si>
    <t>Wellcome Trust(Wellcome Trust); Sloan Foundation(Alfred P. Sloan Foundation); Department of Health and Social Care; Governance of Emerging Technologies research programme at the Oxford Internet Institute, University of Oxford; Wellcome Trust(Wellcome Trust)</t>
  </si>
  <si>
    <t>AcknowledgementsThe work of S.W. is supported through research funding provided by the Wellcome Trust (grant nr 223765/Z/21/Z), Sloan Foundation (grant no. G-2021-16779), the Department of Health and Social Care (via the AI Lab at NHSx) and Luminate Group to support the Trustworthiness Auditing for AI project and Governance of Emerging Technologies research programme at the Oxford Internet Institute, University of Oxford.</t>
  </si>
  <si>
    <t>2522-5820</t>
  </si>
  <si>
    <t>NAT REV PHYS</t>
  </si>
  <si>
    <t>Nat. Rev. Phys.</t>
  </si>
  <si>
    <t>10.1038/s42254-023-00581-4</t>
  </si>
  <si>
    <t>Physics, Applied; Physics, Multidisciplinary</t>
  </si>
  <si>
    <t>F3DU2</t>
  </si>
  <si>
    <t>WOS:000979468400002</t>
  </si>
  <si>
    <t>JUN 15</t>
  </si>
  <si>
    <t>JUL 3</t>
  </si>
  <si>
    <t>Saqr, Mohammed/0000-0001-5881-3109; Leimeister, Jan Marco/0000-0002-1990-2894; Benner, Dennis/0000-0001-6535-1643; Janson, Andreas/0000-0003-3149-0340</t>
  </si>
  <si>
    <t>de Curto y Diaz, J./0000-0002-8334-4719; de Zarza i Cubero, I./0000-0002-5844-7871; Roig, Gemma/0000-0002-6439-8076</t>
  </si>
  <si>
    <t>de Soto, Borja Garcia/AAA-1348-2019</t>
  </si>
  <si>
    <t>de Soto, Borja Garcia/0000-0002-9613-8105; Prieto Ayllon, Samuel A./0000-0001-8341-2630</t>
  </si>
  <si>
    <t>Milano, S; McGrane, JA; Leonelli, S</t>
  </si>
  <si>
    <t>Milano, Silvia; McGrane, Joshua A.; Leonelli, Sabina</t>
  </si>
  <si>
    <t>[Milano, Silvia; Leonelli, Sabina] Univ Exeter, Exeter Ctr Study Life Sci Egenis, Exeter, England; [McGrane, Joshua A.] Univ Melbourne, Melbourne Grad Sch Educ, Melbourne, Vic, Australia</t>
  </si>
  <si>
    <t>University of Exeter; University of Melbourne; Melbourne Bioinformatics</t>
  </si>
  <si>
    <t>Milano, S (corresponding author), Univ Exeter, Exeter Ctr Study Life Sci Egenis, Exeter, England.</t>
  </si>
  <si>
    <t>s.milano@exeter.ac.uk</t>
  </si>
  <si>
    <t>Milano, Silvia/0000-0001-9643-4222; McGrane, Joshua/0000-0001-9865-3568; Leonelli, Sabina/0000-0002-7815-6609</t>
  </si>
  <si>
    <t>D9ZZ4</t>
  </si>
  <si>
    <t>WOS:000961653600002</t>
  </si>
  <si>
    <t>Rüger, Christopher P./0000-0001-9634-9239; Chacon-Patino, Martha L./0000-0002-7273-5343; Buchmeiser, Michael/0000-0001-6472-5156; Gray, Murray/0000-0003-2431-7312; Zimmermann, Ralf/0000-0002-6280-3218</t>
  </si>
  <si>
    <t>APR 6</t>
  </si>
  <si>
    <t>Magagula, Vusi Mpendulo/0000-0002-8039-928X; Mwakilama, Elias Peter/0000-0001-6127-1611; Gathungu, Duncan/0000-0002-4447-2734</t>
  </si>
  <si>
    <t>So what if ChatGPT wrote it? Multidisciplinary perspectives on opportunities, challenges and implications of generative conversational AI for research, practice and policy</t>
  </si>
  <si>
    <t>Edwards, John Steven/AAC-9878-2020; Mariani, Marcello/ABW-5250-2022; Wright, Ryan Timothy/L-4600-2019; Brooks, Laurence/AAN-8456-2021; Dwivedi, Yogesh Kumar/A-5362-2008; Viglia, Giampaolo/Q-1537-2019; Pappas, Ilias/JPA-1685-2023; Janssen, Marijn/H-6223-2013; Wirtz, Jochen/P-3235-2015; Mardani, Abbas/D-5700-2015; Stahl, Bernd Carsten/AAK-4828-2021; Crick, Tom/C-8481-2011; Mogaji, Emmanuel/B-8900-2014; Venkatesh, Viswanath/ABD-9343-2020; Balakrishnan, Janarthanan/H-9687-2012; Larsen, Kai/AAF-7117-2021; Pandey, Neeraj/D-1968-2013; Kar, Arpan Kumar/B-9999-2009; Baabdullah, Abdullah M./AAX-8282-2020; DUBEY, Rameshwar/U-7022-2018; Raman, Ramakrishnan/U-2170-2017; Gauld, Robin/JXW-8425-2024; Malik, Tegwen/JMQ-0671-2023; Ribeiro-Navarrete, Samuel/GXW-2229-2022; Al-Busaidi, Adil/ABG-4934-2020; Wright, Ryan/ABG-3527-2021; BARLETTE, Yves/S-5893-2016; O'Connor, Siobhan/D-8140-2015; Davison, Robert/E-4383-2013</t>
  </si>
  <si>
    <t>Edwards, John Steven/0000-0003-3979-017X; Mariani, Marcello/0000-0002-7916-2576; Wright, Ryan Timothy/0000-0002-9719-415X; Brooks, Laurence/0000-0002-5456-8799; Dwivedi, Yogesh Kumar/0000-0002-5547-9990; Viglia, Giampaolo/0000-0001-8521-4988; Janssen, Marijn/0000-0001-6211-8790; Wirtz, Jochen/0000-0002-6297-4498; Mardani, Abbas/0000-0003-1010-3655; Stahl, Bernd Carsten/0000-0002-4058-4456; Crick, Tom/0000-0001-5196-9389; Mogaji, Emmanuel/0000-0003-0544-4842; Venkatesh, Viswanath/0000-0001-8473-376X; Pandey, Neeraj/0000-0002-6238-6397; Kar, Arpan Kumar/0000-0003-4186-4887; DUBEY, Rameshwar/0000-0002-3913-030X; Raman, Ramakrishnan/0000-0003-3642-6989; Malik, Tegwen/0000-0003-4315-5726; Al-Busaidi, Adil/0000-0002-0959-7419; Rehm, Sven-Volker/0000-0002-9785-6707; BARLETTE, Yves/0000-0001-6106-7274; Cunningham, Scott/0000-0001-7140-916X; O'Connor, Siobhan/0000-0001-8579-1718; Davison, Robert/0000-0002-7243-3521</t>
  </si>
  <si>
    <t>wang, yixuan/JGM-3893-2023; chang, yu/KFB-2822-2024; zhang, yueqi/JXM-4287-2024; li, wenjing/JMP-7498-2023; luo, yuan/JLS-6416-2023; zhang, zheng/KBQ-7815-2024; Liu, Yilin/JWP-9153-2024; liu, huan/JKI-3764-2023; Yu, Yue/JWP-9103-2024; Li, jiaqi/JOZ-6395-2023; liu, huan/JEO-4705-2023; Wang, Minghao/JMD-0670-2023; Liu, yujing/JQI-7225-2023; li, xiao/HJP-5134-2023; wang, hao/JKH-5890-2023; wang, hang/JND-8481-2023; Chen, Xin/JDN-2017-2023; ZHAO, S/IWV-4219-2023; WANG, HUI/JFA-9683-2023; WANG, Bin/JGM-2639-2023; LIU, HUI/JPX-8014-2023; wang, wenxin/JOZ-3291-2023; yang, yue/KCK-7870-2024; Wang, Hao/ABB-8923-2020</t>
  </si>
  <si>
    <t>Liu, Yilin/0000-0002-7581-3933; Wang, Hao/0000-0001-9109-6017</t>
  </si>
  <si>
    <t>KU Leuven; University Hospital Leuven; Leiden University - Excl LUMC; Leiden University; Leiden University Medical Center (LUMC); KU Leuven; University Hospital Leuven; Leiden University; Leiden University Medical Center (LUMC); Leiden University - Excl LUMC; KU Leuven; University Hospital Leuven</t>
  </si>
  <si>
    <t>Batista, Rosangela Fernandes Lucena/0000-0002-1529-0165; Brito Rodrigues, Camila/0000-0002-1005-3267; Riggirozzi, Pia/0000-0001-5809-890X</t>
  </si>
  <si>
    <t>gold, Green Published, Green Accepted</t>
  </si>
  <si>
    <t>Salesforce; University of California System; University of California San Francisco; University of California System; University of California Berkeley; Howard Hughes Medical Institute; University of California System; University of California Berkeley; United States Department of Energy (DOE); Lawrence Berkeley National Laboratory; Stanford University; United States Department of Energy (DOE); SLAC National Accelerator Laboratory; University of California System; University of California San Francisco</t>
  </si>
  <si>
    <t>; Greene, Eric/I-5181-2015</t>
  </si>
  <si>
    <t>Madani, Ali/0000-0002-3092-1295; Greene, Eric/0000-0003-1717-0914</t>
  </si>
  <si>
    <t>Orf, Leigh/D-2195-2016</t>
  </si>
  <si>
    <t>Orf, Leigh/0000-0002-2677-6427; Finley, Catherine/0000-0001-7886-697X</t>
  </si>
  <si>
    <t>Wang, Hui/0000-0002-4843-126X; Yang, Yi/0000-0001-8863-112X</t>
  </si>
  <si>
    <t>Masjuan, Pere/AAB-1765-2020; Bosman, Martine/J-9917-2014; Jordán-Parra, Javier/IUO-1053-2023; Mir, Lluisa-Maria/G-7212-2015; Lopez-Gay, Antonio/B-3848-2017</t>
  </si>
  <si>
    <t>Bosman, Martine/0000-0002-7290-643X; Jordán-Parra, Javier/0000-0002-7958-7259; Masjuan, Pere/0000-0002-8276-413X; Mir, Lluisa-Maria/0000-0002-4276-715X; Lopez-Gay, Antonio/0000-0001-8892-2816; Manera, Marc/0000-0003-4962-8934; Gabbanelli, Luciano/0000-0002-4864-3967</t>
  </si>
  <si>
    <t>Pinto, Sara/HDO-4761-2022; Baptista, Rui Carlos Negrao/K-5834-2014</t>
  </si>
  <si>
    <t>AKTAR, MST SHAMIMA/0009-0003-6058-2970; Waseem, Muhammad/0000-0001-7488-2577; Fahmideh, Mahdi/0000-0001-7196-7217</t>
  </si>
  <si>
    <t>Thomas, Paul/0000-0003-2425-3136; Scholer, Falk/0000-0001-9094-0810; Sanderson, Mark/0000-0003-0487-9609</t>
  </si>
  <si>
    <t>; Ferro, Nicola/L-5292-2015</t>
  </si>
  <si>
    <t>Faggioli, Guglielmo/0000-0002-5070-2049; Ferro, Nicola/0000-0001-9219-6239</t>
  </si>
  <si>
    <t>Deckarm, Oliver/0009-0008-2919-4044</t>
  </si>
  <si>
    <t>Bhandari, P; Anastasopoulos, A; Pfoser, D</t>
  </si>
  <si>
    <t>Damiani, ML; Renz, M; Eldawy, A; Kroger, P; Nascimento, MA</t>
  </si>
  <si>
    <t>Bhandari, Prabin; Anastasopoulos, Antonios; Pfoser, Dieter</t>
  </si>
  <si>
    <t>Are Large Language Models Geospatially Knowledgeable?</t>
  </si>
  <si>
    <t>31ST ACM SIGSPATIAL INTERNATIONAL CONFERENCE ON ADVANCES IN GEOGRAPHIC INFORMATION SYSTEMS, ACM SIGSPATIAL GIS 2023</t>
  </si>
  <si>
    <t>31st ACM SIGSPATIAL International Conference on Advances in Geographic Information Systems (ACM SIGSPATIAL GIS)</t>
  </si>
  <si>
    <t>NOV 13-16, 2023</t>
  </si>
  <si>
    <t>ACM SIGSPATIAL,Apple,Oracle,Esri</t>
  </si>
  <si>
    <t>Large Language Models; Geospatial knowledge; Geospatial awareness; Geospatial Reasoning</t>
  </si>
  <si>
    <t>Despite the impressive performance of Large Language Models (LLM) for various natural language processing tasks, little is known about their comprehension of geographic data and related ability to facilitate informed geospatial decision-making. This paper investigates the extent of geospatial knowledge, awareness, and reasoning abilities encoded within such pretrained LLMs. With a focus on autoregressive language models, we devise experimental approaches related to (i) probing LLMs for geo-coordinates to assess geospatial knowledge, (ii) using geospatial and non-geospatial prepositions to gauge their geospatial awareness, and (iii) utilizing a multidimensional scaling (MDS) experiment to assess the models' geospatial reasoning capabilities and to determine locations of cities based on prompting. Our results confirm that it does not only take larger but also more sophisticated LLMs to synthesize geospatial knowledge from textual information. As such, this research contributes to understanding the potential and limitations of LLMs in dealing with geospatial information.</t>
  </si>
  <si>
    <t>[Bhandari, Prabin; Anastasopoulos, Antonios] George Mason Univ, Dept Comp Sci, Fairfax, VA 22030 USA; [Pfoser, Dieter] George Mason Univ, Dept Geog &amp; Geoinformat Sci, Fairfax, VA 22030 USA</t>
  </si>
  <si>
    <t>George Mason University; George Mason University</t>
  </si>
  <si>
    <t>Bhandari, P (corresponding author), George Mason Univ, Dept Comp Sci, Fairfax, VA 22030 USA.</t>
  </si>
  <si>
    <t>pbhanda2@gmu.edu; antonis@gmu.edu; dpfoser@gmu.edu</t>
  </si>
  <si>
    <t>Bhandari, Prabin/0009-0006-9034-6372</t>
  </si>
  <si>
    <t>National Science Foundation [1625039, 2018631, IIS-2127901]; Office of Research Computing, George Mason University</t>
  </si>
  <si>
    <t>National Science Foundation(National Science Foundation (NSF)); Office of Research Computing, George Mason University</t>
  </si>
  <si>
    <t>This work has been supported by the National Science Foundation Grant No. IIS-2127901. Additionally, this work was supported by resources provided by the Office of Research Computing, George Mason University and by the National Science Foundation (Awards Number 1625039 and 2018631).</t>
  </si>
  <si>
    <t>979-8-4007-0168-9</t>
  </si>
  <si>
    <t>10.1145/3589132.3625625</t>
  </si>
  <si>
    <t>Computer Science, Information Systems; Remote Sensing</t>
  </si>
  <si>
    <t>Computer Science; Remote Sensing</t>
  </si>
  <si>
    <t>BW4XN</t>
  </si>
  <si>
    <t>WOS:001156830400075</t>
  </si>
  <si>
    <t>Bozkurt, A</t>
  </si>
  <si>
    <t>Bozkurt, Aras</t>
  </si>
  <si>
    <t>OPEN PRAXIS</t>
  </si>
  <si>
    <t>Generative AI; GenAI; artificial intelligence; AI; chatbots; conversational agents; education; teaching; learning; higher education; educational technology; GPT; generative pre-trained transformer; ChatGPT; large language models; LLMs; natural language processing; systematic review; bibliometric analysis</t>
  </si>
  <si>
    <t>In the rapidly evolving landscape of education, the pivotal axis around which transformation revolves is human-AI interaction. In this sense, this paper adopts a data mining and analytic approach to understand what the related literature tells us regarding the trends and patterns of generative AI research in educational praxis. Accordingly, this systematic exploration spotlights the following research themes: Interaction and communication with generative AI-powered chatbots; impact of the LLMs and generative AI on teaching and learning, conversational educational agents and their opportunities, challenges, and implications; leveraging Generative AI for enhancing social and cognitive learning processes; promoting AI literacy for unleashing future opportunities; harnessing Generative AI to expand academic capabilities, and lastly, augmenting educational experiences through human-AI interaction. Beyond the identified research themes and patterns, this paper argues that emotional intelligence, AI literacy, and prompt engineering are the trending research topics that require further exploration. Accordingly, it's in this praxis that emotional intelligence emerges as a pivotal attribute, as AI technologies often struggle to comprehend and respond to the nuanced emotional cues. Generative AI literacy then takes center stage, becoming an indispensable asset in an era permeated with AI technologies, equipping students with the tools to critically engage with AI systems, thereby ensuring they become active, discerning users of these powerful tools. Concurrently, prompt engineering, the art of crafting queries that yield precise and valuable responses from AI systems, empowers both educators and students to maximize the utility of AI-driven educational resources.</t>
  </si>
  <si>
    <t>[Bozkurt, Aras] Anadolu Univ, Eskisehir, Turkiye</t>
  </si>
  <si>
    <t>Anadolu University</t>
  </si>
  <si>
    <t>Bozkurt, A (corresponding author), Anadolu Univ, Eskisehir, Turkiye.</t>
  </si>
  <si>
    <t>arasbozkurt@gmail.com</t>
  </si>
  <si>
    <t>BOZKURT, Aras/O-3654-2017</t>
  </si>
  <si>
    <t>BOZKURT, Aras/0000-0002-4520-642X</t>
  </si>
  <si>
    <t>Anadolu University [SBA-2023-1852]</t>
  </si>
  <si>
    <t>Anadolu University(Anadolu University)</t>
  </si>
  <si>
    <t>INT COUNCIL OPEN &amp; DISTANCE EDUCATION</t>
  </si>
  <si>
    <t>OSLO</t>
  </si>
  <si>
    <t>LILLEAKERVEIEN 23, OSLO, 0283, NORWAY</t>
  </si>
  <si>
    <t>2304-070X</t>
  </si>
  <si>
    <t>OPEN PRAX</t>
  </si>
  <si>
    <t>Open Prax.</t>
  </si>
  <si>
    <t>Z5ZZ8</t>
  </si>
  <si>
    <t>WOS:001112866700002</t>
  </si>
  <si>
    <t>Celik, B; Ahmetoglu, A; Ugur, E; Oztop, E</t>
  </si>
  <si>
    <t>Celik, Batuhan; Ahmetoglu, Alper; Ugur, Emre; Oztop, Erhan</t>
  </si>
  <si>
    <t>Developmental Scaffolding with Large Language Models</t>
  </si>
  <si>
    <t>2023 IEEE INTERNATIONAL CONFERENCE ON DEVELOPMENT AND LEARNING, ICDL</t>
  </si>
  <si>
    <t>IEEE International Conference on Development and Learning (ICDL)</t>
  </si>
  <si>
    <t>NOV 09-11, 2023</t>
  </si>
  <si>
    <t>Macau, PEOPLES R CHINA</t>
  </si>
  <si>
    <t>Exploration and self-observation are key mechanisms of infant sensorimotor development. These processes are further guided by parental scaffolding to accelerate skill and knowledge acquisition. In developmental robotics, this approach has been adopted often by having a human acting as the source of scaffolding. In this study, we investigate whether Large Language Models (LLMs) can act as a scaffolding agent for a robotic system that aims to learn to predict the effects of its actions. To this end, an object manipulation setup is considered where one object can be picked and placed on top of or in the vicinity of another object. The adopted LLM is asked to guide the action selection process through algorithmically generated state descriptions and action selection alternatives in natural language. The simulation experiments that include cubes in this setup show that LLM-guided (GPT3.5-guided) learning yields significantly faster discovery of novel structures compared to random exploration. However, we observed that GPT3.5 fails to effectively guide the robot in generating structures with different affordances such as cubes and spheres. Overall, we conclude that even without fine-tuning, LLMs may serve as a moderate scaffolding agent for improving robot learning, however, they still lack affordance understanding which limits the applicability of the current LLMs in robotic scaffolding tasks.</t>
  </si>
  <si>
    <t>[Celik, Batuhan; Ahmetoglu, Alper; Ugur, Emre] Bogazici Univ, Dept Comp Engn, Istanbul, Turkiye; [Oztop, Erhan] Ozyegin Univ, Dept Comp Sci, Istanbul, Turkiye; [Oztop, Erhan] Osaka Univ, Inst Open &amp; Transdisciplinary Res Initiat, Symbiot Intelligent Syst Res Ctr, Suita, Osaka, Japan</t>
  </si>
  <si>
    <t>Bogazici University; Ozyegin University; Osaka University</t>
  </si>
  <si>
    <t>Celik, B (corresponding author), Bogazici Univ, Dept Comp Engn, Istanbul, Turkiye.</t>
  </si>
  <si>
    <t>TUBITAK ARDEB 1001 program [120E274]; Japan Society for the Promotion of Science [22H03670]; International Joint Research Promotion Program, Osaka University under the project Developmentally and biologically realistic modeling of perspective invariant action understanding by the New Energy and Industrial Technology Development Organization (NED [JPNP16007]; University of Tokyo - IRCN Guest Researcher Program</t>
  </si>
  <si>
    <t>TUBITAK ARDEB 1001 program(Turkiye Bilimsel ve Teknolojik Arastirma Kurumu (TUBITAK)); Japan Society for the Promotion of Science(Ministry of Education, Culture, Sports, Science and Technology, Japan (MEXT)Japan Society for the Promotion of Science); International Joint Research Promotion Program, Osaka University under the project Developmentally and biologically realistic modeling of perspective invariant action understanding by the New Energy and Industrial Technology Development Organization (NED; University of Tokyo - IRCN Guest Researcher Program</t>
  </si>
  <si>
    <t>This research was supported by TUBITAK ARDEB 1001 program (project number: 120E274), Japan Society for the Promotion of Science, Grant-in-Aid for Scientific Research -the project with number 22H03670, the International Joint Research Promotion Program, Osaka University under the project Developmentally and biologically realistic modeling of perspective invariant action understanding, and the project JPNP16007 commissioned by the New Energy and Industrial Technology Development Organization (NEDO). Additional support is provided by the University of Tokyo - IRCN Guest Researcher Program.</t>
  </si>
  <si>
    <t>978-1-6654-7075-9</t>
  </si>
  <si>
    <t>10.1109/ICDL55364.2023.10364374</t>
  </si>
  <si>
    <t>Behavioral Sciences; Computer Science, Artificial Intelligence; Robotics</t>
  </si>
  <si>
    <t>Behavioral Sciences; Computer Science; Robotics</t>
  </si>
  <si>
    <t>BW6EX</t>
  </si>
  <si>
    <t>WOS:001172928700062</t>
  </si>
  <si>
    <t>Purdue University System; Purdue University</t>
  </si>
  <si>
    <t>Allen, Kelly-Ann/L-4989-2018; Crawford, Joseph/J-6397-2019</t>
  </si>
  <si>
    <t>Allen, Kelly-Ann/0000-0002-6813-0034; Crawford, Joseph/0000-0002-2191-6216</t>
  </si>
  <si>
    <t>Middleton, Rebekkah/S-9751-2018; Crawford, Joseph/J-6397-2019</t>
  </si>
  <si>
    <t>Allen, Kelly-Ann/L-4989-2018; Crawford, Joseph/J-6397-2019; Cowling, Michael A./L-7059-2017</t>
  </si>
  <si>
    <t>Allen, Kelly-Ann/0000-0002-6813-0034; Crawford, Joseph/0000-0002-2191-6216; Cowling, Michael A./0000-0003-1444-1563</t>
  </si>
  <si>
    <t>Patekar, Jakob/R-2335-2018</t>
  </si>
  <si>
    <t>Patekar, Jakob/0000-0001-7371-0087</t>
  </si>
  <si>
    <t>Dai, SH; Shao, NL; Zhao, HY; Yu, WJ; Si, ZH; Xu, C; Sun, ZX; Zhang, X; Xu, J</t>
  </si>
  <si>
    <t>Dai, Sunhao; Shao, Ninglu; Zhao, Haiyuan; Yu, Weijie; Si, Zihua; Xu, Chen; Sun, Zhongxiang; Zhang, Xiao; Xu, Jun</t>
  </si>
  <si>
    <t>Uncovering ChatGPT's Capabilities in Recommender Systems</t>
  </si>
  <si>
    <t>PROCEEDINGS OF THE 17TH ACM CONFERENCE ON RECOMMENDER SYSTEMS, RECSYS 2023</t>
  </si>
  <si>
    <t>17th ACM Conference on Recommender Systems (RecSys)</t>
  </si>
  <si>
    <t>SEP 18-22, 2023</t>
  </si>
  <si>
    <t>ChatGPT; large language model; recommender systems</t>
  </si>
  <si>
    <t>The debut of ChatGPT has recently attracted significant attention from the natural language processing (NLP) community and beyond. Existing studies have demonstrated that ChatGPT shows significant improvement in a range of downstream NLP tasks, but the capabilities and limitations of ChatGPT in terms of recommendations remain unclear. In this study, we aim to enhance ChatGPT's recommendation capabilities by aligning it with traditional information retrieval (IR) ranking capabilities, including point-wise, pair-wise, and list-wise ranking. To achieve this goal, we re-formulate the aforementioned three recommendation policies into prompt formats tailored specifically to the domain at hand. Through extensive experiments on four datasets from different domains, we analyze the distinctions among the three recommendation policies. Our findings indicate that ChatGPT achieves an optimal balance between cost and performance when equipped with list-wise ranking. This research sheds light on a promising direction for aligning ChatGPT with recommendation tasks. To facilitate further explorations in this area, the full code and detailed original results are open-sourced at https://github.com/rainym00d/LLM4RS.</t>
  </si>
  <si>
    <t>[Dai, Sunhao; Shao, Ninglu; Si, Zihua; Xu, Chen; Sun, Zhongxiang; Zhang, Xiao; Xu, Jun] Renmin Univ China, Gaoling Sch Artificial Intelligence, Beijing, Peoples R China; [Zhao, Haiyuan] Renmin Univ China, Sch Informat, Beijing, Peoples R China; [Yu, Weijie] Univ Int Business &amp; Econ, Sch Informat Technol &amp; Management, Beijing, Peoples R China; [Xu, Jun] Minist Educ, Engn Res Ctr Next Generat Intelligent Search, Beijing, Peoples R China</t>
  </si>
  <si>
    <t>Renmin University of China; Renmin University of China; University of International Business &amp; Economics</t>
  </si>
  <si>
    <t>Xu, J (corresponding author), Renmin Univ China, Gaoling Sch Artificial Intelligence, Beijing, Peoples R China.;Xu, J (corresponding author), Minist Educ, Engn Res Ctr Next Generat Intelligent Search, Beijing, Peoples R China.</t>
  </si>
  <si>
    <t>sunhaodai@ruc.edu.cn; ninglu_shao@ruc.edu.cn; haiyuanzhao@ruc.edu.cn; yuweijie23@gmail.com; zihua_si@ruc.edu.cn; xc_chen@ruc.edu.cn; sunzhongxiang@ruc.edu.cn; zhangx89@ruc.edu.cn; junxu@ruc.edu.cn</t>
  </si>
  <si>
    <t>Chen, Xupeng/KFA-5959-2024; Dai, Sunhao/JJD-4340-2023; Yu, Weijie/ABC-1033-2021; Xu, Jun/E-9681-2013</t>
  </si>
  <si>
    <t>Yu, Weijie/0000-0002-5676-4339; Sun, Zhongxiang/0000-0002-6109-4704; Si, Zihua/0000-0003-2148-9784; Shao, Ninglu/0009-0003-2120-3528</t>
  </si>
  <si>
    <t>National Key R&amp;D Program of China [2019YFE0198200]; Intelligent Social Governance Interdisciplinary Platform; Major Innovation &amp; Planning Interdisciplinary Platform for the Double-First Class Initiative, Renmin University of China; fund for building world-class universities (disciplines) of Renmin University of China; Beijing Outstanding Young Scientist Program [BJJWZYJH012019100020098]</t>
  </si>
  <si>
    <t>National Key R&amp;D Program of China; Intelligent Social Governance Interdisciplinary Platform; Major Innovation &amp; Planning Interdisciplinary Platform for the Double-First Class Initiative, Renmin University of China; fund for building world-class universities (disciplines) of Renmin University of China; Beijing Outstanding Young Scientist Program</t>
  </si>
  <si>
    <t>This work was funded by the National Key R&amp;D Program of China (2019YFE0198200), Beijing Outstanding Young Scientist Program NO. BJJWZYJH012019100020098, Intelligent Social Governance Interdisciplinary Platform, Major Innovation &amp; Planning Interdisciplinary Platform for the Double-First Class Initiative, Renmin University of China. Supported by fund for building world-class universities (disciplines) of Renmin University of China.</t>
  </si>
  <si>
    <t>979-8-4007-0241-9</t>
  </si>
  <si>
    <t>10.1145/3604915.3610646</t>
  </si>
  <si>
    <t>BW4WZ</t>
  </si>
  <si>
    <t>WOS:001156630300140</t>
  </si>
  <si>
    <t>Garcia, Luis/0000-0002-5111-0694</t>
  </si>
  <si>
    <t>Ben Saad, Helmi/C-8263-2018; Zmijewski, Piotr/AAR-4689-2020; Dergaa, Ismail/AAB-8260-2021</t>
  </si>
  <si>
    <t>Ben Saad, Helmi/0000-0002-7477-2965; Zmijewski, Piotr/0000-0002-5570-9573; Dergaa, Ismail/0000-0001-8091-1856</t>
  </si>
  <si>
    <t>Ding, ZJ; Srinivasan, A; MacNeil, S; Chan, J</t>
  </si>
  <si>
    <t>Ding, Zijian; Srinivasan, Arvind; MacNeil, Stephen; Chan, Joel</t>
  </si>
  <si>
    <t>Fluid Transformers and Creative Analogies: Exploring Large Language Models' Capacity for Augmenting Cross-Domain Analogical Creativity</t>
  </si>
  <si>
    <t>2023 PROCEEDINGS OF THE 15TH CONFERENCE ON CREATIVITY AND COGNITION, C&amp;C 2023</t>
  </si>
  <si>
    <t>15th Conference on Creativity and Cognition (C and C)</t>
  </si>
  <si>
    <t>JUN 19-21, 2023</t>
  </si>
  <si>
    <t>Assoc Comp Machinery,ACM SIGCHI</t>
  </si>
  <si>
    <t>Large Language Models; Analogy; Creativity Support Tools</t>
  </si>
  <si>
    <t>FRAMEWORK; THINKING; SEARCH</t>
  </si>
  <si>
    <t>Cross-domain analogical reasoning is a core creative ability that can be challenging for humans. Recent work has shown some proofsof-concept of Large language Models' (LLMs) ability to generate cross-domain analogies. However, the reliability and potential usefulness of this capacity for augmenting human creative work has received little systematic exploration. In this paper, we systematically explore LLMs capacity to augment cross-domain analogical reasoning. Across three studies, we found: 1) LLM-generated crossdomain analogies were frequently judged as helpful in the context of a problem reformulation task (median 4 out of 5 helpfulness rating), and frequently (similar to 80% of cases) led to observable changes in problem formulations, and 2) there was an upper bound of similar to 25% of outputs being rated as potentially harmful, with a majority due to potentially upsetting content, rather than biased or toxic content. These results demonstrate the potential utility - and risks - of LLMs for augmenting cross-domain analogical creativity.</t>
  </si>
  <si>
    <t>[Ding, Zijian; Srinivasan, Arvind; Chan, Joel] Univ Maryland, Coll Informat Studies, College Pk, MD 20742 USA; [MacNeil, Stephen] Temple Univ, Comp &amp; Informat Sci, Temple, TX USA</t>
  </si>
  <si>
    <t>University System of Maryland; University of Maryland College Park; Pennsylvania Commonwealth System of Higher Education (PCSHE); Temple University</t>
  </si>
  <si>
    <t>Ding, ZJ (corresponding author), Univ Maryland, Coll Informat Studies, College Pk, MD 20742 USA.</t>
  </si>
  <si>
    <t>MacNeil, Stephen/HPH-0843-2023</t>
  </si>
  <si>
    <t>MacNeil, Stephen/0000-0003-2781-6619; Ding, Zijian/0000-0002-6372-0369; Srinivasan, Arvind/0000-0002-3409-6077</t>
  </si>
  <si>
    <t>ONR [N000142012506]; U.S. Department of Defense (DOD) [N000142012506] Funding Source: U.S. Department of Defense (DOD)</t>
  </si>
  <si>
    <t>ONR(Office of Naval Research); U.S. Department of Defense (DOD)(United States Department of Defense)</t>
  </si>
  <si>
    <t>This research was supported in part by ONR N000142012506.</t>
  </si>
  <si>
    <t>979-8-4007-0180-1</t>
  </si>
  <si>
    <t>10.1145/3591196.3593516</t>
  </si>
  <si>
    <t>Art; Computer Science, Interdisciplinary Applications; Psychology, Multidisciplinary</t>
  </si>
  <si>
    <t>Art; Computer Science; Psychology</t>
  </si>
  <si>
    <t>BW2MQ</t>
  </si>
  <si>
    <t>WOS:001119074200070</t>
  </si>
  <si>
    <t>Drori, I; Zhang, SJ; Shuttleworth, R; Zhang, S; Tyser, K; Chin, Z; Lantigua, P; Surbehera, S; Hunter, G; Austin, D; Tang, L; Hicke, Y; Simhon, S; Karnik, S; Granberry, D; Udell, M</t>
  </si>
  <si>
    <t>Drori, Iddo; Zhang, Sarah J.; Shuttleworth, Reece; Zhang, Sarah; Tyser, Keith; Chin, Zad; Lantigua, Pedro; Surbehera, Saisamrit; Hunter, Gregory; Austin, Derek; Tang, Leonard; Hicke, Yann; Simhon, Sage; Karnik, Sathwik; Granberry, Darnell; Udell, Madeleine</t>
  </si>
  <si>
    <t>PROCEEDINGS OF THE 29TH ACM SIGKDD CONFERENCE ON KNOWLEDGE DISCOVERY AND DATA MINING, KDD 2023</t>
  </si>
  <si>
    <t>29th ACM SIGKDD Conference on Knowledge Discovery and Data Mining (KDD)</t>
  </si>
  <si>
    <t>Long Beach, CA</t>
  </si>
  <si>
    <t>Assoc Comp Machinery,ACM SIGKDD,ACM SIGMOD</t>
  </si>
  <si>
    <t>Machine learning; quantitative reasoning; large language models; program synthesis; few-shot learning</t>
  </si>
  <si>
    <t>A final exam in machine learning at a top institution such as MIT, Harvard, or Cornell typically takes faculty days to write, and students hours to solve. We demonstrate that large language models pass machine learning finals at a human level on finals available online and automatically generate new human-quality final exam questions in seconds. Previous work has developed program synthesis and few-shot learning methods to solve university-level problem set questions in mathematics and STEM courses. In this work, we develop and compare methods that solve final exams, which differ from problem sets in several ways: the questions are longer, have multiple parts, are more complicated, and span a broader set of topics. We curate a dataset and benchmark of questions from machine learning final exams available online and code for answering these questions and generating new questions. We show how to generate new questions from other questions and course notes. For reproducibility and future research on this final exam benchmark, we use automatic checkers for multiple-choice, numeric, and questions with expression answers. A student survey comparing the quality, appropriateness, and difficulty of machine-generated questions with human-written questions shows that across multiple aspects, machine-generated questions are indistinguishable from human-generated questions and are suitable for final exams. We perform ablation studies comparing zero-shot learning with few-shot learning and chain-of-thought prompting using GPT-3, OPT, Codex, and ChatGPT across machine learning topics and find that few-shot learning methods perform best. We highlight the transformative potential of language models to streamline the writing and solution of large-scale assessments, significantly reducing the workload from human days to mere machine seconds. Our results suggest that rather than banning large language models such as ChatGPT in class, instructors should teach students to harness them by asking students meta-questions about correctness, completeness, and originality of the responses generated, encouraging critical thinking in academic studies.</t>
  </si>
  <si>
    <t>[Drori, Iddo] Columbia Univ, MIT, BU, Cambridge, MA 02139 USA; [Zhang, Sarah J.; Shuttleworth, Reece; Zhang, Sarah; Lantigua, Pedro; Simhon, Sage; Karnik, Sathwik; Granberry, Darnell] MIT, Cambridge, MA 02139 USA; [Tyser, Keith] Boston Univ, Boston, MA 02215 USA; [Chin, Zad; Tang, Leonard] Harvard Univ, Cambridge, MA 02138 USA; [Surbehera, Saisamrit; Hunter, Gregory; Austin, Derek] Columbia Univ, New York, NY USA; [Hicke, Yann] Cornell Univ, Ithaca, NY USA; [Udell, Madeleine] Stanford Univ, Stanford, CA 94305 USA</t>
  </si>
  <si>
    <t>Columbia University; Massachusetts Institute of Technology (MIT); Massachusetts Institute of Technology (MIT); Boston University; Harvard University; Columbia University; Cornell University; Stanford University</t>
  </si>
  <si>
    <t>Drori, I (corresponding author), Columbia Univ, MIT, BU, Cambridge, MA 02139 USA.</t>
  </si>
  <si>
    <t>idrori@mit.edu; sjzhang@mit.edu; rshuttle@mit.edu; sazhang@mit.edu; ktyser@bu.edu; zadchin@college.harvard.edu; lantigua@mit.edu; ss6365@columbia.edu; geh2129@columbia.edu; da2986@columbia.edu; leonardtang@college.harvard.edu; ylh8@cornell.edu; simhon@mit.edu; skarnik@mit.edu; darnellg@mit.edu; udell@stanford.edu</t>
  </si>
  <si>
    <t>Udell, Madeleine/0000-0002-3985-915X; Zhang, Sarah/0009-0005-8791-6680</t>
  </si>
  <si>
    <t>979-8-4007-0103-0</t>
  </si>
  <si>
    <t>Computer Science, Information Systems; Computer Science, Interdisciplinary Applications; Computer Science, Theory &amp; Methods</t>
  </si>
  <si>
    <t>BW2LZ</t>
  </si>
  <si>
    <t>WOS:001118896303086</t>
  </si>
  <si>
    <t>Farah, JC; Ingram, S; Spaenlehauer, B; Lasne, FKL; Gillet, D</t>
  </si>
  <si>
    <t>Xie, H; Lai, CL; Chen, W; Xu, G; Popescu, E</t>
  </si>
  <si>
    <t>Farah, Juan Carlos; Ingram, Sandy; Spaenlehauer, Basile; Lasne, Fanny Kim-Lan; Gillet, Denis</t>
  </si>
  <si>
    <t>Prompting Large Language Models to Power Educational Chatbots</t>
  </si>
  <si>
    <t>ADVANCES IN WEB-BASED LEARNING, ICWL 2023</t>
  </si>
  <si>
    <t>22nd Annual International Conference on Web-Based Learning (ICWL)</t>
  </si>
  <si>
    <t>NOV 26-28, 2023</t>
  </si>
  <si>
    <t>Sydney, AUSTRALIA</t>
  </si>
  <si>
    <t>Univ Technol Sydney</t>
  </si>
  <si>
    <t>Educational Chatbots; Prompting; GPT-3; Large Language Models; Software Engineering Education; Digital Education</t>
  </si>
  <si>
    <t>The recent rise in both popularity and performance of large language models has garnered considerable interest regarding their applicability to education. Technologies like ChatGPT, which can engage in human-like dialog, have already disrupted educational practices given their ability to answer a wide array of questions. Nevertheless, integrating these technologies into learning contexts faces both technological and pedagogical challenges, such as providing appropriate user interfaces and configuring interactions to ensure that conversations stay on topic. To better understand the potential large language models have to power educational chatbots, we propose an architecture to support educational chatbots that can be powered by these models. Using this architecture, we created a chatbot interface that was integrated into a web application aimed at teaching software engineering best practices. The application was then used to conduct a case study comprising a controlled experiment with 26 university software engineering students. Half of the students interacted with a version of the application equipped with the chatbot, while the other half completed the same lesson without the chatbot. While the results of our quantitative analysis did not identify significant differences between conditions, qualitative insights suggest that learners appreciated the chatbot. These results could serve as a starting point to optimize strategies for integrating large language models into pedagogical scenarios.</t>
  </si>
  <si>
    <t>[Farah, Juan Carlos; Spaenlehauer, Basile; Lasne, Fanny Kim-Lan; Gillet, Denis] Ecole Polytech Fed Lausanne EPFL, Lausanne, Switzerland; [Farah, Juan Carlos; Ingram, Sandy] Univ Appl Sci HES SO, Fribourg, Switzerland</t>
  </si>
  <si>
    <t>Swiss Federal Institutes of Technology Domain; Ecole Polytechnique Federale de Lausanne; University of Applied Sciences &amp; Arts Western Switzerland</t>
  </si>
  <si>
    <t>Farah, JC (corresponding author), Ecole Polytech Fed Lausanne EPFL, Lausanne, Switzerland.;Farah, JC (corresponding author), Univ Appl Sci HES SO, Fribourg, Switzerland.</t>
  </si>
  <si>
    <t>juancarlos.farah@epfl.ch; sandy.ingram@hefr.ch; basile.spaenlehauer@epfl.ch; fanny.lasne@epfl.ch; denis.gillet@epfl.ch</t>
  </si>
  <si>
    <t>Farah, Juan Carlos/GYT-9862-2022</t>
  </si>
  <si>
    <t>Farah, Juan Carlos/0000-0002-2477-4196; Lasne, Fanny/0000-0001-9841-4356</t>
  </si>
  <si>
    <t>978-981-99-8384-1; 978-981-99-8385-8</t>
  </si>
  <si>
    <t>Computer Science, Interdisciplinary Applications; Education &amp; Educational Research; Education, Scientific Disciplines</t>
  </si>
  <si>
    <t>BW5JR</t>
  </si>
  <si>
    <t>WOS:001162054600014</t>
  </si>
  <si>
    <t>Bacher, Ian/0000-0003-2383-3411; Madsen, Tracy/0000-0001-5101-0776</t>
  </si>
  <si>
    <t>Gao, S; Li, YL; Ge, FP; Lin, M; Yu, HQ; Wang, SK; Miao, ZY</t>
  </si>
  <si>
    <t>Pedrycz, W; Wang, J; He, Y; Dinh, TN; Grant, C; Qiu, M</t>
  </si>
  <si>
    <t>Gao, Shang; Li, Yanling; Ge, Fengpei; Lin, Min; Yu, Haiqing; Wang, Sukun; Miao, Zhongyi</t>
  </si>
  <si>
    <t>Match and Retrieval: Legal Similar Case Retrieval via Graph Matching Network</t>
  </si>
  <si>
    <t>2023 23RD IEEE INTERNATIONAL CONFERENCE ON DATA MINING WORKSHOPS, ICDMW 2023</t>
  </si>
  <si>
    <t>International Conference on Data Mining Workshops</t>
  </si>
  <si>
    <t>23rd IEEE International Conference on Data Mining (IEEE ICDM)</t>
  </si>
  <si>
    <t>DEC 01-04, 2023</t>
  </si>
  <si>
    <t>Shanghai, PEOPLES R CHINA</t>
  </si>
  <si>
    <t>IEEE,IEEE Comp Soc,US National Science Foundation,Technology Innovation Institute,TWO SIGMA</t>
  </si>
  <si>
    <t>legal case retrieval; legal intelligence; graph neural network; graph matching network; text similarity</t>
  </si>
  <si>
    <t>Legal document retrieval is a crucial application in the field of legal Artificial Intelligence (AI). It involves retrieving the most relevant legal cases from a legal document database when inputting a query. Mainstream solutions typically employ pretrained language models or large language models for retrieval. However, both of these methods rely on black-box models trained on unlabeled data, resulting in a lack of interpretability in the model's retrieval outcomes. Graph Neural Networks (GNNs) possess strong representational and interpretable capabilities. Therefore, representing legal cases using graph-structured data and performing the Legal Similar Case Retrieval (LSCR) task through GNNs is a promising approach. Nevertheless, typical GNNs primarily focus on node information within graph-structured data and overlook edge and inter-graph interaction information, leading to lower retrieval accuracy. To address these issues, in this paper, we propose a Legal case retrieval model utilizing a Graph Matching Network, called Legal-GMN. We evaluate the model on a dataset composed of real legal judgment cases. Experimental results demonstrate that Legal-GMN effectively enhances the retrieval accuracy for the LSCR task. Compared with baseline methods, Legal-GMN improves retrieval precision by approximately 15% and enhances retrieval efficiency by approximately 90%. Remarkably, while maintaining State-Of-The-Art (SOTA) performance, Legal-GMN can also generate visualized graphs of the retrieval process, significantly enhancing its interpretability.</t>
  </si>
  <si>
    <t>[Gao, Shang; Li, Yanling] Inner Mongolia Normal, Coll Comp Sci &amp; Technol, Key Lab Infinite Dimens Hamiltonian Syst &amp; Its Al, Minist Educ, Hohhot, Peoples R China; [Ge, Fengpei] Beijing Univ Posts &amp; Telecommun, Beijing, Peoples R China; [Lin, Min; Yu, Haiqing; Wang, Sukun; Miao, Zhongyi] Inner Mongolia Normal Univ, Coll Comp Sci &amp; Technol, Hohhot, Peoples R China</t>
  </si>
  <si>
    <t>Beijing University of Posts &amp; Telecommunications; Inner Mongolia Normal University</t>
  </si>
  <si>
    <t>Gao, S (corresponding author), Inner Mongolia Normal, Coll Comp Sci &amp; Technol, Key Lab Infinite Dimens Hamiltonian Syst &amp; Its Al, Minist Educ, Hohhot, Peoples R China.</t>
  </si>
  <si>
    <t>wdmxsyf_gs@163.com; cieclyl@imnu.edu.cn; gefengpei@bupt.edu.cn; linmin@imnu.edu.cn; ciecyhq@imnu.edu.cn; ciecwsk@imnu.edu.cn; ciecmzy@imnu.edu.cn</t>
  </si>
  <si>
    <t>National Natural Science Foundation of China [62266033, 12204062, 61806103, 61562068]; Key Laboratory of Infinite-dimensional Hamiltonian System and Its Algorithm Application; Ministry of Education [2023KFZD03]; National Natural Science Foundation of Inner Mongolia, China [2022LHMS06001]; Basic Scientific Research Business Project of Inner Mongolia Normal University [2022JBQN106, 2022JBQN111]; Innovation Fund for Postgraduates of Inner Mongolia Normal University [CXJJS23066]</t>
  </si>
  <si>
    <t>National Natural Science Foundation of China(National Natural Science Foundation of China (NSFC)); Key Laboratory of Infinite-dimensional Hamiltonian System and Its Algorithm Application; Ministry of Education; National Natural Science Foundation of Inner Mongolia, China; Basic Scientific Research Business Project of Inner Mongolia Normal University; Innovation Fund for Postgraduates of Inner Mongolia Normal University</t>
  </si>
  <si>
    <t>This work was supported by the National Natural Science Foundation of China (62266033, 12204062, 61806103, 61562068), Key Laboratory of Infinite-dimensional Hamiltonian System and Its Algorithm Application (Inner Mongolia Normal University), Ministry of Education (2023KFZD03), National Natural Science Foundation of Inner Mongolia, China (2022LHMS06001), Basic Scientific Research Business Project of Inner Mongolia Normal University (2022JBQN106, 2022JBQN111), the Innovation Fund for Postgraduates of Inner Mongolia Normal University (CXJJS23066), One district, two bases construction project (Joint Innovation Laboratory of Computing Science).</t>
  </si>
  <si>
    <t>2375-9232</t>
  </si>
  <si>
    <t>979-8-3503-8164-1</t>
  </si>
  <si>
    <t>INT CONF DAT MIN WOR</t>
  </si>
  <si>
    <t>10.1109/ICDMW60847.2023.00035</t>
  </si>
  <si>
    <t>BW5OA</t>
  </si>
  <si>
    <t>WOS:001164077500027</t>
  </si>
  <si>
    <t>Górski, L; Ramakrishna, S</t>
  </si>
  <si>
    <t>Spanakis, J; VanDijck, G; Sileno, G</t>
  </si>
  <si>
    <t>Gorski, Lukasz; Ramakrishna, Shashishekar</t>
  </si>
  <si>
    <t>Challenges in Adapting LLMs for Transparency: Complying with Art. 14 EU AI Act</t>
  </si>
  <si>
    <t>LEGAL KNOWLEDGE AND INFORMATION SYSTEMS</t>
  </si>
  <si>
    <t>36th Annual International Conference on Legal Knowledge and Information Systems (JURIX)</t>
  </si>
  <si>
    <t>DEC 18-20, 2023</t>
  </si>
  <si>
    <t>Maastricht Univ, Maastricht, NETHERLANDS</t>
  </si>
  <si>
    <t>JURIX Fdn Legal Knowledge Based Syst</t>
  </si>
  <si>
    <t>Maastricht Univ</t>
  </si>
  <si>
    <t>XAI; EU AI Act; GenAI; GPT-4</t>
  </si>
  <si>
    <t>This paper investigates the technical potential of developing explainable transformer-based large language models (LLMs) that meet users' needs and comply with regulations such as the EU AI Act. We implement and evaluate a proof-of-concept explainable LLM-based system. Furthermore, we demonstrate its potential for regulatory compliance and identify technical challenges to be tackled.</t>
  </si>
  <si>
    <t>[Gorski, Lukasz] Univ Warsaw, Interdisciplinary Ctr Math &amp; Computat Modelling, Warsaw, Poland; [Ramakrishna, Shashishekar] Free Univ Berlin, Berlin, Germany; [Ramakrishna, Shashishekar] IPR, Res Advocacy &amp; Management Sch, Bangalore, Karnataka, India</t>
  </si>
  <si>
    <t>University of Warsaw; Interdisciplinary Centre for Mathematical &amp; Computational Modelling; Free University of Berlin</t>
  </si>
  <si>
    <t>Górski, L (corresponding author), Univ Warsaw, Interdisciplinary Ctr Math &amp; Computat Modelling, Warsaw, Poland.</t>
  </si>
  <si>
    <t>lgorski@icm.edu.pl; shashi792@gmail.com</t>
  </si>
  <si>
    <t>Notre Dame-IBM Technology Ethics Lab [2628LG, 2628SR]; Interdisciplinary Centre for Mathematical and Computational Modelling (ICM), University of Warsaw [G93-1608]</t>
  </si>
  <si>
    <t>Notre Dame-IBM Technology Ethics Lab; Interdisciplinary Centre for Mathematical and Computational Modelling (ICM), University of Warsaw</t>
  </si>
  <si>
    <t>This research is supported by Notre Dame-IBM Technology Ethics Lab, under the project Domain-specific explainable artificial intelligence for AI auditing, grants 2628LG and 2628SR, as well as the Interdisciplinary Centre for Mathematical and Computational Modelling (ICM), University of Warsaw, under grant G93-1608. Such support does not constitute endorsement by the sponsor of the views expressed in this publication.</t>
  </si>
  <si>
    <t>978-1-64368-472-7; 978-1-64368-473-4</t>
  </si>
  <si>
    <t>10.3233/FAIA230974</t>
  </si>
  <si>
    <t>Computer Science, Artificial Intelligence; Computer Science, Information Systems; Information Science &amp; Library Science; Law</t>
  </si>
  <si>
    <t>Computer Science; Information Science &amp; Library Science; Government &amp; Law</t>
  </si>
  <si>
    <t>BW6JJ</t>
  </si>
  <si>
    <t>WOS:001175464100034</t>
  </si>
  <si>
    <t>Tao, Dacheng/A-5449-2012; Li, Boyang Albert/AAG-4957-2021</t>
  </si>
  <si>
    <t>Tao, Dacheng/0000-0001-7225-5449; Li, Boyang Albert/0000-0002-6230-2376</t>
  </si>
  <si>
    <t>Vidmar, Matjaz/0000-0002-1368-9762; Hemment, Drew/0000-0002-0068-5500; Bennett, SJ/0000-0002-8520-3194</t>
  </si>
  <si>
    <t>Hirosawa, Takanobu/0000-0002-3573-8203; Tokumasu, Kazuki/0000-0001-9513-6864; Kawamura, Ren/0000-0002-5632-3218</t>
  </si>
  <si>
    <t>Huang, F; Deng, Y; Zhang, C; Guo, MH; Zhan, K; Sun, SX; Jiang, JL; Sun, ZY; Wu, XD</t>
  </si>
  <si>
    <t>Huang, Fei; Deng, Yi; Zhang, Chen; Guo, Menghao; Zhan, Kai; Sun, Shanxin; Jiang, Jinling; Sun, Zeyi; Wu, Xindong</t>
  </si>
  <si>
    <t>KBQA; LLM; Salary distribution; Knowledge Engineering.</t>
  </si>
  <si>
    <t>Knowledge base question answering (KBQA) is designed to respond to natural language inquiries by utilizing factual information, such as entities, relationships, and attributes, derived from a knowledge base (KB). The advent of large language models (LLMs) has significantly boosted the performance of KBQA, owing to their exceptional capabilities in content comprehension and generation. In this paper, we present a Knowledge Ocean enhanced Salary Analytics (KOSA) system based on knowledge graphs and LLMs tailored to employee salary data from a public university. This system encompasses an interactive conversational interface, visualization of knowledge graphs, and advanced data analysis. By employing the framework of knowledge engineering, we enable knowledge graph modeling, Cypher (the query engine of Neo4j) reasoning, and question answering functionalities. Furthermore, machine learning algorithms are integrated to facilitate advanced features, such as salary prediction and allocation.</t>
  </si>
  <si>
    <t>[Huang, Fei; Deng, Yi; Zhang, Chen; Guo, Menghao; Zhan, Kai; Sun, Shanxin; Jiang, Jinling; Sun, Zeyi; Wu, Xindong] Zhejiang Lab, Res Ctr Knowledge Engn, Hangzhou 311121, Zhejiang, Peoples R China</t>
  </si>
  <si>
    <t>Zhejiang Laboratory</t>
  </si>
  <si>
    <t>Huang, F (corresponding author), Zhejiang Lab, Res Ctr Knowledge Engn, Hangzhou 311121, Zhejiang, Peoples R China.</t>
  </si>
  <si>
    <t>huangfei@zhejianglab.com; dengyi@zhejianglab.com; zhangchen@zhejianglab.com; guomenghao@zhejianglab.com; zhank@zhejianglab.com; sunsx@zhejianglab.com; jiangjinling@zhejianglab.com; sunzeyi@zhejianglab.com; xwu@zhejianglab.com</t>
  </si>
  <si>
    <t>Wu, Xindong/AAB-6713-2022</t>
  </si>
  <si>
    <t>Wu, Xindong/0000-0003-2396-1704</t>
  </si>
  <si>
    <t>National Natural Science Foundation of China (NSFC) [62120106008]</t>
  </si>
  <si>
    <t>National Natural Science Foundation of China (NSFC)(National Natural Science Foundation of China (NSFC))</t>
  </si>
  <si>
    <t>WOS:001164077500063</t>
  </si>
  <si>
    <t>Huang, Ryan/KHD-7917-2024; Meaney, Christopher/R-8349-2018</t>
  </si>
  <si>
    <t>Kemppainen, Joel/0009-0001-5566-124X; Meaney, Christopher/0000-0002-5429-5233; Lu, Kevin Jia Qi/0000-0003-3296-9193; Huang, Ryan S./0000-0002-3404-5376</t>
  </si>
  <si>
    <t>Huang, ZH; Quan, KX; Chan, J; MacNeil, S</t>
  </si>
  <si>
    <t>Huang, Ziheng; Quan, Kexin; Chan, Joel; MacNeil, Stephen</t>
  </si>
  <si>
    <t>CausalMapper: Challenging designers to think in systems with Causal Maps and Large Language Model</t>
  </si>
  <si>
    <t>large language models; design space; creativity support tools</t>
  </si>
  <si>
    <t>Professional designers often construct and explore conceptual representations (e.g.: design spaces) to help them reason about complex design situations and consider potential design pitfalls. However, it is often challenging, even for professional designers, to exhaustively consider the many pitfalls that might result from design activity. We present CausalMapper, a mixed-initiative system, that leverages a large language model (LLM) and a causal map representation to teach design students how to reason about the relationships between problems and solutions. Where creativity support tools often focus on ideating creative solutions, our mixed-initiative approach focuses on ideating ecosystems of solutions that holistically address a set of related problems. By leveraging the generative creativity of LLMs, designers are inspired to consider solutions and potential consequences that emerge when solutions are adopted. At the same time, leveraging the designers' domain knowledge to account for and correct the biases inherent in LLMs. Through a case study, we demonstrate the functionality of this mixed-initiative system. The goal of this demo is to present a creativity support tool that is intended to teach design students to think more systematically by generating ideas that challenge their thinking rather just augmenting their creative potential.</t>
  </si>
  <si>
    <t>[Huang, Ziheng; Quan, Kexin] Univ Calif San Diego, La Jolla, CA 92093 USA; [Chan, Joel] Univ Maryland, College Pk, MD USA; [MacNeil, Stephen] Temple Univ, Philadelphia, PA 19122 USA</t>
  </si>
  <si>
    <t>University of California System; University of California San Diego; University System of Maryland; University of Maryland College Park; Pennsylvania Commonwealth System of Higher Education (PCSHE); Temple University</t>
  </si>
  <si>
    <t>Huang, ZH (corresponding author), Univ Calif San Diego, La Jolla, CA 92093 USA.</t>
  </si>
  <si>
    <t>z8huang@ucsd.edu; kequan@ucsd.edu; joelchan@umd.edu; stephen.macneil@temple.edu</t>
  </si>
  <si>
    <t>MacNeil, Stephen/0000-0003-2781-6619</t>
  </si>
  <si>
    <t>10.1145/3591196.3596818</t>
  </si>
  <si>
    <t>WOS:001119074200044</t>
  </si>
  <si>
    <t>Nogueira, Keiller/0000-0003-3308-6384; Swingler, Kevin/0000-0002-4517-9433</t>
  </si>
  <si>
    <t>Karimzadeh, F; Imani, M; Asgari, B; Cao, NY; Lin, YY; Fang, Y</t>
  </si>
  <si>
    <t>Karimzadeh, Foroozan; Imani, Mohsen; Asgari, Bahar; Cao, Ningyuan; Lin, Yingyan; Fang, Yan</t>
  </si>
  <si>
    <t>Memory-Based Computing for Energy-Efficient AI: Grand Challenges</t>
  </si>
  <si>
    <t>2023 IFIP/IEEE 31ST INTERNATIONAL CONFERENCE ON VERY LARGE SCALE INTEGRATION, VLSI-SOC</t>
  </si>
  <si>
    <t>IEEE-IFIP International Conference on VLSI and System-on-Chip</t>
  </si>
  <si>
    <t>31st IFIP/IEEE International Conference on Very Large Scale Integration (VLSI-SoC)</t>
  </si>
  <si>
    <t>OCT 16-18, 2023</t>
  </si>
  <si>
    <t>Dubai, U ARAB EMIRATES</t>
  </si>
  <si>
    <t>IEEE,IFIP,Cadence Design Syst,Rohde &amp; Schwarz,IFIP VLSI SOG,CAS,IEEE Council Elect Design Automat,ACM Special Interest Grp Design Automat,Amer Univ Sharjah, Coll Engn,Khalifa Univ,Univ Sharjah</t>
  </si>
  <si>
    <t>Compute-in-memory; energy-efficiency; deep learning; large language models</t>
  </si>
  <si>
    <t>ERA</t>
  </si>
  <si>
    <t>The remarkable progress in artificial intelligence (AI) has ushered in a new era characterized by models with billions of parameters, enabling extraordinary capabilities across diverse domains. However, these achievements come at a significant cost in terms of memory and energy consumption. The growing demand for computational resources raises grand challenges for the sustainable development of energy-efficient AI systems. This paper delves into the paradigm of memory-based computing as a promising avenue to address these challenges. By capitalizing on the inherent characteristics of memory and its efficient utilization, memory-based computing offers a novel approach to enhance AI performance while reducing the associated energy costs. Our paper systematically analyzes the multifaceted aspects of this paradigm, highlighting its potential benefits and outlining the challenges it poses. Through an exploration of various methodologies, architectures, and algorithms, we elucidate the intricate interplay between memory utilization, computational efficiency, and AI model complexity. Furthermore, we review the evolving area of hardware and software solutions for memory-based computing, underscoring their implications for achieving energy-efficient AI systems. As AI continues its rapid evolution, identifying the key challenges and insights presented in this paper serve as a foundational guide for researchers striving to navigate the complex field of memory-based computing and its pivotal role in shaping the future of energy-efficient AI.</t>
  </si>
  <si>
    <t>[Karimzadeh, Foroozan; Lin, Yingyan] Georgia Inst Technol, Atlanta, GA 30332 USA; [Imani, Mohsen] Univ Calif Irvine, Irvine, CA USA; [Asgari, Bahar] Univ Maryland, College Pk, MD USA; [Cao, Ningyuan] Univ Notre Dame, Notre Dame, IN 46556 USA; [Fang, Yan] Kennesaw State Univ, Kennesaw, GA 30144 USA</t>
  </si>
  <si>
    <t>University System of Georgia; Georgia Institute of Technology; University of California System; University of California Irvine; University System of Maryland; University of Maryland College Park; University of Notre Dame; University System of Georgia; Kennesaw State University</t>
  </si>
  <si>
    <t>Karimzadeh, F (corresponding author), Georgia Inst Technol, Atlanta, GA 30332 USA.</t>
  </si>
  <si>
    <t>fkarimzadeh6@gatech.edu</t>
  </si>
  <si>
    <t>2324-8432</t>
  </si>
  <si>
    <t>979-8-3503-2599-7</t>
  </si>
  <si>
    <t>IEEE INT CONF VLSI</t>
  </si>
  <si>
    <t>10.1109/VLSI-SoC57769.2023.10321880</t>
  </si>
  <si>
    <t>Computer Science, Hardware &amp; Architecture; Engineering, Electrical &amp; Electronic</t>
  </si>
  <si>
    <t>BW1OP</t>
  </si>
  <si>
    <t>WOS:001108827200019</t>
  </si>
  <si>
    <t>Kazemitabaar, Majeed/0000-0001-6118-7938; Weintrop, David/0000-0002-3009-3899; Ericson, Barbara/0000-0001-6881-8341</t>
  </si>
  <si>
    <t>Kim, M; Hwang, K; Oh, H; Kim, H; Kim, MA</t>
  </si>
  <si>
    <t>Kim, Mirae; Hwang, Kyubum; Oh, Hayoung; Kim, Heejin; Kim, Min Ah</t>
  </si>
  <si>
    <t>Can a Chatbot be Useful in Childhood Cancer Survivorship? Development of a Chatbot for Survivors of Childhood Cancer</t>
  </si>
  <si>
    <t>PROCEEDINGS OF THE 32ND ACM INTERNATIONAL CONFERENCE ON INFORMATION AND KNOWLEDGE MANAGEMENT, CIKM 2023</t>
  </si>
  <si>
    <t>32nd ACM International Conference on Information and Knowledge Management (CIKM)</t>
  </si>
  <si>
    <t>OCT 21-25, 2023</t>
  </si>
  <si>
    <t>Birmingham, ENGLAND</t>
  </si>
  <si>
    <t>Assoc Comp Machinery,ACM Special Interest Grp Informat Retrieval,ACM SIGWEB</t>
  </si>
  <si>
    <t>Retrieval-Based Model; Large Language Model; Domain-Adaptive Training; Childhood Cancer Survivors</t>
  </si>
  <si>
    <t>This study introduces an informational and empathetic chatbot for childhood cancer survivors. As the survival rates for childhood cancer around the world have increased, survivors often face various psychosocial challenges during and after cancer treatment. However, they rarely seek support from psychosocial professionals due to the low availability of resources and stigma toward cancer survivors in countries like South Korea. This study aimed to develop a chatbot tailed to the unique characteristics of childhood cancer survivors in need of informational and emotional support. Given the limited availability of empirical data on childhood cancer survivors, quotes from survivors were gathered from academic articles and social media, then large language models were employed to generate appropriate responses. Furthermore, we incorporated domain learning techniques to ensure a more tailored and suitable model for addressing the needs of survivors.</t>
  </si>
  <si>
    <t>[Kim, Mirae; Hwang, Kyubum; Oh, Hayoung; Kim, Heejin; Kim, Min Ah] Sungkyunkwan Univ, Seoul, South Korea</t>
  </si>
  <si>
    <t>Sungkyunkwan University (SKKU)</t>
  </si>
  <si>
    <t>Oh, H (corresponding author), Sungkyunkwan Univ, Seoul, South Korea.</t>
  </si>
  <si>
    <t>miraekiim@gmail.com; bany981111@gmail.com; hyoh79@skku.edu; heejinkim990717@gmail.com; minahkim@skku.edu</t>
  </si>
  <si>
    <t>Kim, Mirae/0009-0000-3763-1189</t>
  </si>
  <si>
    <t>National Research Foundation of Korea (NRF) - Korean government (MSIT) [NRF-2022R1F1A1074696]; Technology Innovation Program (Industrial Strategic Technology Development Program-Source Technology Development and Commercialization of Digital Therapeutics) - Ministry of Trade, Industry &amp; Energy(MOTIE, Korea) [20014967]; AI Convergence Research Fund, Sungkyunkwan University, 2023; SMC-SKKU Future Convergence Research Program Grant</t>
  </si>
  <si>
    <t>National Research Foundation of Korea (NRF) - Korean government (MSIT)(National Research Foundation of KoreaMinistry of Science &amp; ICT (MSIT), Republic of Korea); Technology Innovation Program (Industrial Strategic Technology Development Program-Source Technology Development and Commercialization of Digital Therapeutics) - Ministry of Trade, Industry &amp; Energy(MOTIE, Korea); AI Convergence Research Fund, Sungkyunkwan University, 2023; SMC-SKKU Future Convergence Research Program Grant</t>
  </si>
  <si>
    <t>This work was supported by the National Research Foundation of Korea (NRF) grant funded by the Korean government (MSIT) (No. NRF-2022R1F1A1074696), the Technology Innovation Program (or Industrial Strategic Technology Development Program-Source Technology Development and Commercialization of Digital Therapeutics) (20014967, Development of Digital Therapeutics for Depression from COVID19) funded by the Ministry of Trade, Industry &amp; Energy(MOTIE, Korea), AI Convergence Research Fund, Sungkyunkwan University, 2023 and SMC-SKKU Future Convergence Research Program Grant.</t>
  </si>
  <si>
    <t>979-8-4007-0124-5</t>
  </si>
  <si>
    <t>10.1145/3583780.3615234</t>
  </si>
  <si>
    <t>BW5IO</t>
  </si>
  <si>
    <t>WOS:001161549504012</t>
  </si>
  <si>
    <t>Kim, S; Joo, S; Jang, Y; Chae, H; Yeo, J</t>
  </si>
  <si>
    <t>Croce, D; Soldaini, L</t>
  </si>
  <si>
    <t>Kim, Seungone; Joo, Sejune; Jang, Yul; Chae, Hyungjoo; Yeo, Jinyoung</t>
  </si>
  <si>
    <t>CoTEVer: Chain of Thought Prompting Annotation Toolkit for Explanation Verification</t>
  </si>
  <si>
    <t>17TH CONFERENCE OF THE EUROPEAN CHAPTER OF THE ASSOCIATION FOR COMPUTATIONAL LINGUISTICS, EACL 2023</t>
  </si>
  <si>
    <t>17th Conference of the European-Chapter of the Association-for-Computational-Linguistics (EACL) - System Demonstrations</t>
  </si>
  <si>
    <t>MAY 02-04, 2023</t>
  </si>
  <si>
    <t>Dubrovnik, CROATIA</t>
  </si>
  <si>
    <t>Assoc Computat Linguist, European Chapter,Grammarly,Liveperson,Amazon Sci,Bloomberg,Duolingo,Adobe,Babelscape</t>
  </si>
  <si>
    <t>Chain-of-thought (CoT) prompting enables large language models (LLMs) to solve complex reasoning tasks by generating an explanation before the final prediction. Despite it's promising ability, a critical downside of CoT prompting is that the performance is greatly affected by the factuality of the generated explanation. To improve the correctness of the explanations, fine-tuning language models with explanation data is needed. However, there exists only a few datasets that can be used for such approaches, and no data collection tool for building them. Thus, we introduce CoTEVer, a tool-kit for annotating the factual correctness of generated explanations and collecting revision data of wrong explanations. Furthermore, we suggest several use cases where the data collected with CoTEVer can be utilized for enhancing the faithfulness of explanations. Our toolkit is publicly available at https://github.com/SeungoneKim/CoTEVer.</t>
  </si>
  <si>
    <t>[Kim, Seungone; Joo, Sejune] KAIST AI, Daejeon, South Korea; [Kim, Seungone; Joo, Sejune; Jang, Yul; Chae, Hyungjoo; Yeo, Jinyoung] Yonsei Univ, Seoul, South Korea</t>
  </si>
  <si>
    <t>Yonsei University</t>
  </si>
  <si>
    <t>Kim, S (corresponding author), KAIST AI, Daejeon, South Korea.;Kim, S (corresponding author), Yonsei Univ, Seoul, South Korea.</t>
  </si>
  <si>
    <t>louisdebroglie@kaist.ac.kr; sr7418@yonsei.ac.kr; blaze@yonsei.ac.kr; mapoout@yonsei.ac.kr; jinyeo@yonsei.ac.kr</t>
  </si>
  <si>
    <t>Institute of Information &amp; communications Technology Planning &amp; Evaluation (IITP) - Korea government(MSIT) [2020-0-01361, 2021-0-02068, 2022-0-00077]</t>
  </si>
  <si>
    <t>Institute of Information &amp; communications Technology Planning &amp; Evaluation (IITP) - Korea government(MSIT)(Institute for Information &amp; Communication Technology Planning &amp; Evaluation (IITP), Republic of KoreaMinistry of Science &amp; ICT (MSIT), Republic of Korea)</t>
  </si>
  <si>
    <t>We thank Minkyeong Moon for helping make the demonstration video; Sangwon Park, Sehwan Jeon, Imsung Yu, and Donghwan Park for helping implement the frontend and backend of CoTEVer; Seonghyeon Ye, Hoyeon Chang, Joel Jang, Yongho Song, and anonymous reviewers for helpful feedback. This work was partly supported by Institute of Information &amp; communications Technology Planning &amp; Evaluation (IITP) grant funded by the Korea government(MSIT) (No. 2020-0-01361, Artificial Intelligence Graduate School Program (Yonsei University)), (No.2021-0-02068, Artificial Intelligence Innovation Hub), and (No. 2022-0-00077, AI Technology Development for Commonsense Extraction, Reasoning, and Inference from Heterogeneous Data). Jinyoung Yeo is the corresponding author.</t>
  </si>
  <si>
    <t>978-1-959429-45-6</t>
  </si>
  <si>
    <t>BW6RY</t>
  </si>
  <si>
    <t>WOS:001181069700023</t>
  </si>
  <si>
    <t>Laato, Samuli/0000-0003-4285-0073; Morschheuser, Benedikt/0000-0002-7665-8971</t>
  </si>
  <si>
    <t>Lei, B; Ding, CW; Chen, L; Lin, PH; Liao, CH</t>
  </si>
  <si>
    <t>Lei, Bin; Ding, Caiwen; Chen, Le; Lin, Pei-Hung; Liao, Chunhua</t>
  </si>
  <si>
    <t>Creating a Dataset for High-Performance Computing Code Translation using LLMs: A Bridge Between OpenMP Fortran and C plus</t>
  </si>
  <si>
    <t>2023 IEEE HIGH PERFORMANCE EXTREME COMPUTING CONFERENCE, HPEC</t>
  </si>
  <si>
    <t>IEEE High Performance Extreme Computing Conference</t>
  </si>
  <si>
    <t>IEEE High Performance Extreme Computing Virtual Conference (HPEC)</t>
  </si>
  <si>
    <t>SEP 25-29, 2023</t>
  </si>
  <si>
    <t>Large Language Model; Code Translation; OpenMP; Fortran; C plus</t>
  </si>
  <si>
    <t>In this study, we present a novel dataset for training machine learning models translating between OpenMP Fortran and C++ code. To ensure reliability and applicability, the dataset is created from a range of representative open-source OpenMP benchmarks. It is also refined using a meticulous code similarity test. The effectiveness of our dataset is assessed using both quantitative (CodeBLEU) and qualitative (human evaluation) methods. We showcase how this dataset significantly elevates the translation competencies of large language models (LLMs). Specifically, models without prior coding knowledge experienced a boost of x 5.1 in their CodeBLEU scores, while models with some coding familiarity saw an impressive x 9.9-fold increase. The best fine-tuned model using our dataset outperforms GPT-4. It is also reaching human-level accuracy. This work underscores the immense potential of our dataset in propelling advancements in the domain of code translation for high-performance computing. The dataset is accessible at https://github.com/bin123apple/FortranCPP-HPC-code-translation-dataset.</t>
  </si>
  <si>
    <t>[Lei, Bin; Ding, Caiwen] Univ Connecticut, Dept Comp Sci &amp; Engn, Storrs, CT 06269 USA; [Chen, Le; Lin, Pei-Hung; Liao, Chunhua] Lawrence Livermore Natl Lab, Lawrence, KS USA</t>
  </si>
  <si>
    <t>University of Connecticut; United States Department of Energy (DOE); Lawrence Livermore National Laboratory</t>
  </si>
  <si>
    <t>Lei, B (corresponding author), Univ Connecticut, Dept Comp Sci &amp; Engn, Storrs, CT 06269 USA.</t>
  </si>
  <si>
    <t>bin.lei@uconn.edu; caiwen.ding@uconn.edu; chen142@llnl.gov; lin32@llnl.gov; liao6@llnl.gov</t>
  </si>
  <si>
    <t>LLNL [DE-AC52-07NA27344, LLNL-PROC-851836]; Advanced Simulation and Computing Program at LLNL; U.S. Department of Energy, Office of Science, Advanced Scientific Computing Research - University of Connecticut (Uconn)</t>
  </si>
  <si>
    <t>LLNL; Advanced Simulation and Computing Program at LLNL; U.S. Department of Energy, Office of Science, Advanced Scientific Computing Research - University of Connecticut (Uconn)</t>
  </si>
  <si>
    <t>Prepared by LLNL under Contract DE-AC52-07NA27344 (LLNL-PROC-851836) and supported by the Advanced Simulation and Computing Program at LLNL and the U.S. Department of Energy, Office of Science, Advanced Scientific Computing Research. This work was also funded by the University of Connecticut (Uconn).</t>
  </si>
  <si>
    <t>2377-6943</t>
  </si>
  <si>
    <t>979-8-3503-0860-0</t>
  </si>
  <si>
    <t>IEEE HIGH PERF EXTR</t>
  </si>
  <si>
    <t>10.1109/HPEC58863.2023.10363534</t>
  </si>
  <si>
    <t>Computer Science, Hardware &amp; Architecture; Computer Science, Software Engineering; Computer Science, Theory &amp; Methods; Engineering, Electrical &amp; Electronic</t>
  </si>
  <si>
    <t>BW4YB</t>
  </si>
  <si>
    <t>WOS:001156959800048</t>
  </si>
  <si>
    <t>Leung, TI; Sagar, A; Shroff, S; Henry, TL</t>
  </si>
  <si>
    <t>Leung, Tiffany, I; Sagar, Ankita; Shroff, Swati; Henry, Tracey L.</t>
  </si>
  <si>
    <t>sponsorship; implicit bias; gender bias; bias; letters of recommendation; artificial intelligence; large language models; medical education; career advancement; tenure and promotion; promotion; leadership</t>
  </si>
  <si>
    <t>SURGERY RESIDENCY; IMPLICIT BIAS; GENDER; FEMALE; IMPACT</t>
  </si>
  <si>
    <t>Letters of recommendation play a significant role in higher education and career progression, particularly for women and underrepresented groups in medicine and science. Already, there is evidence to suggest that written letters of recommendation contain language that expresses implicit biases, or unconscious biases, and that these biases occur for all recommenders regardless of the recommender's sex. Given that all individuals have implicit biases that may influence language use, there may be opportunities to apply contemporary technologies, such as large language models or other forms of generative artificial intelligence (AI), to augment and potentially reduce implicit biases in the written language of letters of recommendation. In this editorial, we provide a brief overview of existing literature on the manifestations of implicit bias in letters of recommendation, with a focus on academia and medical education. We then highlight potential opportunities and drawbacks of applying this emerging technology in augmenting the focused, professional task of writing letters of recommendation. We also offer best practices for integrating their use into the routine writing of letters of recommendation and conclude with our outlook for the future of generative AI applications in supporting this task.</t>
  </si>
  <si>
    <t>[Leung, Tiffany, I] Southern Illinois Univ, Dept Internal Med, Sch Med, Toronto, ON, Canada; [Leung, Tiffany, I] JMIR Publicat, 130 Queens Quay East,Unit 1100, Toronto, ON M5A 0P6, Canada; [Sagar, Ankita] CommonSpirit Hlth, Chicago, IL USA; [Sagar, Ankita] Creighton Univ, Sch Med, Omaha, NE USA; [Shroff, Swati] Thomas Jefferson Univ, Div Internal Med, Philadelphia, PA 19107 USA; [Henry, Tracey L.] Emory Univ, Sch Med, Dept Med, Atlanta, GA USA</t>
  </si>
  <si>
    <t>Creighton University; Jefferson University; Emory University</t>
  </si>
  <si>
    <t>Leung, TI (corresponding author), JMIR Publicat, 130 Queens Quay East,Unit 1100, Toronto, ON M5A 0P6, Canada.</t>
  </si>
  <si>
    <t>tiffany.leung@jmir.org</t>
  </si>
  <si>
    <t>Leung, Tiffany I./K-8472-2019</t>
  </si>
  <si>
    <t>Leung, Tiffany I./0000-0002-6007-4023; Henry, Tracey/0000-0003-3538-094X; Sagar, Ankita/0000-0002-4558-4500</t>
  </si>
  <si>
    <t>GX1M6</t>
  </si>
  <si>
    <t>WOS:001155880300009</t>
  </si>
  <si>
    <t>Li, L; Zhang, YF; Chen, L</t>
  </si>
  <si>
    <t>Li, Lei; Zhang, Yongfeng; Chen, Li</t>
  </si>
  <si>
    <t>Prompt Distillation for Efficient LLM-based Recommendation</t>
  </si>
  <si>
    <t>Recommender Systems; Large Language Models; Generative Recommendation; Sequential Recommendation; Top-N Recommendation; Explainable Recommendation; Prompt Distillation</t>
  </si>
  <si>
    <t>Large language models (LLM) have manifested unparalleled modeling capability on various tasks, e.g., multi-step reasoning, but the input to these models is mostly limited to plain text, which could be very long and contain noisy information. Long text could take long time to process, and thus may not be efficient enough for recommender systems that require immediate response. In LLM-based recommendation models, user and item IDs are usually filled in a template (i.e., discrete prompt) to allow the models to understand a given task, but the models usually need extensive fine-tuning to bridge the user/item IDs and the template words and to unleash the power of LLM for recommendation. To address the problems, we propose to distill the discrete prompt for a specific task to a set of continuous prompt vectors so as to bridge IDs and words and to reduce the inference time. We also design a training strategy with an attempt to improve the efficiency of training these models. Experimental results on three real-world datasets demonstrate the effectiveness of our PrOmpt Distillation (POD) approach on both sequential recommendation and top-N recommendation tasks. Although the training efficiency can be significantly improved, the improvement of inference efficiency is limited. This finding may inspire researchers in the community to further improve the inference efficiency of LLM-based recommendation models.</t>
  </si>
  <si>
    <t>[Li, Lei; Chen, Li] Hong Kong Baptist Univ, Hong Kong, Peoples R China; [Zhang, Yongfeng] Rutgers State Univ, New Brunswick, NJ USA</t>
  </si>
  <si>
    <t>Hong Kong Baptist University; Rutgers University System; Rutgers University New Brunswick</t>
  </si>
  <si>
    <t>Li, L (corresponding author), Hong Kong Baptist Univ, Hong Kong, Peoples R China.</t>
  </si>
  <si>
    <t>csleili@comp.hkbu.edu.hk; yongfeng.zhang@rutgers.edu; lichen@comp.hkbu.edu.hk</t>
  </si>
  <si>
    <t>Zhang, Yongfeng/0000-0003-2633-8555</t>
  </si>
  <si>
    <t>Hong Kong Research Grants Council (RGC) GRF project [RGC/HKBU12201620]; Hong Kong Baptist University IG-FNRA project [RC-FNRA-IG/21-22/SCI/01]; NSF [IIS-1910154, 2007907, 2046457]</t>
  </si>
  <si>
    <t>Hong Kong Research Grants Council (RGC) GRF project(Hong Kong Research Grants Council); Hong Kong Baptist University IG-FNRA project; NSF(National Science Foundation (NSF))</t>
  </si>
  <si>
    <t>This work was supported by Hong Kong Research Grants Council (RGC) GRF project (RGC/HKBU12201620), Hong Kong Baptist University IG-FNRA project (RC-FNRA-IG/21-22/SCI/01), and partially supported by NSF IIS-1910154, 2007907, and 2046457. Any opinions, findings, conclusions or recommendations expressed in this material are those of the authors and do not necessarily reflect those of the sponsors.</t>
  </si>
  <si>
    <t>10.1145/3583780.3615017</t>
  </si>
  <si>
    <t>WOS:001161549501043</t>
  </si>
  <si>
    <t>Zhuang, Zirui/AAH-5051-2020; Wang, Jingyu/JFK-6346-2023; li, jian/IAQ-2794-2023; Ma, Ruilong/M-8082-2018; Yang, Xiang/KFS-6376-2024; guo, yi/KHC-4669-2024; Liu, Jing/IQX-0664-2023; su, lin/KHC-5034-2024</t>
  </si>
  <si>
    <t>Zhuang, Zirui/0000-0003-3345-1732; Wang, Jingyu/0000-0002-2182-2228; Yang, Xiang/0000-0002-8300-0270; Sun, Haifeng/0000-0003-3072-7422; Qi, Qi/0000-0003-0829-4624; Ma, Ruilong/0009-0008-2401-5297</t>
  </si>
  <si>
    <t>Maceda, LL; Llovido, JL; Artiaga, MB; Abisado, MB</t>
  </si>
  <si>
    <t>Assoc Computing Machinery</t>
  </si>
  <si>
    <t>Maceda, Lany L.; Llovido, Jennifer L.; Artiaga, Miles B.; Abisado, Mideth B.</t>
  </si>
  <si>
    <t>Classifying Sentiments on Social Media Texts: A GPT-4 Preliminary Study</t>
  </si>
  <si>
    <t>PROCEEDINGS OF 2023 7TH INTERNATIONAL CONFERENCE ON NATURAL LANGUAGE PROCESSING AND INFORMATION RETRIEVAL, NLPIR 2023</t>
  </si>
  <si>
    <t>7th International Conference on Natural Language Processing and Information Retrieval (NLPIR)</t>
  </si>
  <si>
    <t>DEC 15-17, 2023</t>
  </si>
  <si>
    <t>Seoul, SOUTH KOREA</t>
  </si>
  <si>
    <t>GPT-4; Sentiment Annotation; LLM Prompting; Social Media Data</t>
  </si>
  <si>
    <t>In today's digital age, social media has become a hub for people to express their thoughts and feelings. Sentiment classification discerns public opinions and trends to understand their sentiments towards a certain topic. Often, achieving accurate sentiment classifications in large datasets necessitate the use of human-annotated training data which can be costly and time-consuming. Large Language Models (LLMs) like the Generative Pre-trained models by OpenAI have surged in popularity due to its capabilities in understanding the given tasks. In this preliminary study, we report the performance of the latest OpenAI GPT-4 using zero- and one-shot learning approaches on classifying sentiments when fed with social media dataset. Notably, the latter approach written in English which mimics the instructions designed for human annotators, achieved a substantial agreement (k = 0.77) with human annotations, displaying high accuracy, precision, and recall accordingly even without explicit training data. Meanwhile, the fine-tuned mBERT resulted to lower evaluation scores than the GPT-4. Our findings provide foundational insights into the strengths and limitations of GPT-4 for sentiment classification in a social media dataset, setting the groundwork for broad future research in this field.</t>
  </si>
  <si>
    <t>[Maceda, Lany L.; Llovido, Jennifer L.; Artiaga, Miles B.] Bicol Univ, Legazpi City, Philippines; [Abisado, Mideth B.] Natl Univ, Manila, Philippines</t>
  </si>
  <si>
    <t>Bicol University; National University Philippines</t>
  </si>
  <si>
    <t>Maceda, LL (corresponding author), Bicol Univ, Legazpi City, Philippines.</t>
  </si>
  <si>
    <t>Philippine Commission on Higher Education (CHEd) Leading the Advancement of Knowledge in Agriculture and Science (LAKAS) [2021-007]</t>
  </si>
  <si>
    <t>Philippine Commission on Higher Education (CHEd) Leading the Advancement of Knowledge in Agriculture and Science (LAKAS)</t>
  </si>
  <si>
    <t>The researchers would like to thank the Philippine Commission on Higher Education (CHEd) Leading the Advancement of Knowledge in Agriculture and Science (LAKAS) Project No. 2021-007, eParticipation 2.1: Harnessing Natural Language Processing (NLP) for Community Participation, for providing the necessary funds to make this research possible. The researchers are truly grateful for their contribution to the research.</t>
  </si>
  <si>
    <t>979-8-4007-0922-7</t>
  </si>
  <si>
    <t>10.1145/3639233.3639353</t>
  </si>
  <si>
    <t>BW6NK</t>
  </si>
  <si>
    <t>WOS:001179071500003</t>
  </si>
  <si>
    <t>Mai, V; Bauer, A; Deggelmann, C; Richert, A</t>
  </si>
  <si>
    <t>Zaphiris, P; Ioannou, A; Sottilare, RA; Schwarz, J; Nah, FFH; Siau, K; Wei, J; Salvendy, G</t>
  </si>
  <si>
    <t>Mai, Vanessa; Bauer, Alexander; Deggelmann, Christian; Richert, Anja</t>
  </si>
  <si>
    <t>Acceptance and User Needs of Coaching Chatbots: An Empirical Analysis of a StudiCoachBot's Conversation Histories</t>
  </si>
  <si>
    <t>HCI INTERNATIONAL 2023 LATE BREAKING PAPERS, HCII 2023, PT VII</t>
  </si>
  <si>
    <t>25th International Conference on Human-Computer Interaction (HCI International)</t>
  </si>
  <si>
    <t>JUL 23-28, 2023</t>
  </si>
  <si>
    <t>Copenhagen, DENMARK</t>
  </si>
  <si>
    <t>AI-based Coaching; Conversational AI; Working Alliance; Acceptance; Social Presence</t>
  </si>
  <si>
    <t>As technology advances, AI-based coaching continues to offer new opportunities in supporting humans. The StudiCoachBot of TH Koeln/University of Applied Sciences is a coaching chatbot, that is designed to support students with exam anxiety through low-threshold self-reflection. It is an intent-based AI-supported chatbot and is developed in the Conversational AI framework Rasa. This paper gives insights into how iterative development of coaching chatbots can be a key factor for successful chatbot design in terms of acceptance and user needs. Our study consists of two parts: In the first part, we present the iterative development of our coaching chatbot, consisting of user testings with several hundred test users. In the second part, we present the results from our field test after the chatbot release. We collected and evaluated conversation histories and questionnaires from users for a period of 10 weeks. Our results include the evaluation of 242 conversations and 24 questionnaires. On the one hand, the results provide information about access numbers and rates as well as chatbot coaching topics accessed by users. On the other hand, the data shows high acceptance rates and that users can build a relationship in chatbot coaching (measured via working alliance). However, users perceived naturalness of the conversation only moderate. This is understandable, as our intent-based chatbot only allows us to react flexibly to a limited extent to free user input. In a next iteration, we will therefore improve the conversation with the help of large language models to make it more natural.</t>
  </si>
  <si>
    <t>[Mai, Vanessa; Bauer, Alexander; Deggelmann, Christian; Richert, Anja] TH Koln Univ Appl Sci, Cologne, Germany</t>
  </si>
  <si>
    <t>Mai, V (corresponding author), TH Koln Univ Appl Sci, Cologne, Germany.</t>
  </si>
  <si>
    <t>vanessa.mai@th-koeln.de; alexander_christoph.bauer@th-koeln.de; christian_michael.deggelmann@th-koeln.de; anja.richert@th-koeln.de</t>
  </si>
  <si>
    <t>Richert, Anja/0000-0002-3940-3136</t>
  </si>
  <si>
    <t>978-3-031-48059-1; 978-3-031-48060-7</t>
  </si>
  <si>
    <t>BW5EY</t>
  </si>
  <si>
    <t>WOS:001159628500014</t>
  </si>
  <si>
    <t>Hsieh, Kevin/0000-0003-4154-4525</t>
  </si>
  <si>
    <t>Moya, BA; Eaton, SE</t>
  </si>
  <si>
    <t>Moya, Beatriz Antonieta; Eaton, Sarah Elaine</t>
  </si>
  <si>
    <t>RELIEVE-REVISTA ELECTRONICA DE INVESTIGACION Y EVALUACION EDUCATIVA</t>
  </si>
  <si>
    <t>Artificial Intelligence; Generative Artificial Intelligence (GenAI); Large Language Models; Academic Integrity; Scholarship of Teaching and Learning; Systems Approach</t>
  </si>
  <si>
    <t>SOTL</t>
  </si>
  <si>
    <t>New developments in the Artificial Intelligence (AI) field allowed the development of Generative Artificial Intelligence (GenAI), capable of creating text resembling what humans can produce. As a result, educators' concerns in the higher education sector quickly emerged. Many organizations and experts have addressed these concerns through recommendations. In this conceptual paper, we draw from the Integrated Model for Academic Integrity through a Scholarship of Teaching and Learning Lens to examine and stimulate discussion from twelve documents that focus on using GenAI with integrity. We identified recommendations suitable for the individual (micro), the departmental/program (meso), the institutional (macro), and the interinstitutional/ national/ international (mega) levels concerning two core elements of the model: high-impact professional learning for individuals and groups and local-level leadership and microcultures. Suggestions around the core element scholarship, research and inquiry were lacking at the micro and meso levels; likewise, recommendations for the core element learning spaces, pedagogies, and technologies were also absent at the meso, macro, and mega levels. We acknowledge that these recommendations focus on learning, involve various stakeholders, and go beyond student conduct, which aligns with current approaches to academic integrity. However, some gaps need further exploration. We highlight the need to develop more specific and practical guidance and resources for educational stakeholders around GenAI issues related to academic integrity, explore how to better support networks and leaders in higher education in creating the conditions for ethical GenAI use, and emphasizing the need for an Equity, Diversity, and Inclusion lens on GenAI.</t>
  </si>
  <si>
    <t>[Moya, Beatriz Antonieta] Univ Calgary, Werklund Sch Educ, Educ Res Program, Calgary, AB, Canada; [Eaton, Sarah Elaine] Univ Calgary, Educ, Calgary, AB, Canada</t>
  </si>
  <si>
    <t>University of Calgary; University of Calgary</t>
  </si>
  <si>
    <t>Moya, BA (corresponding author), Univ Calgary, Calgary, AB, Canada.</t>
  </si>
  <si>
    <t>beatriz.moya@ucalgary.ca; seaton@ucalgary.ca</t>
  </si>
  <si>
    <t>University of Calgary Teaching and Learning Grant; Social Sciences and Humanities Research Council of Canada (SSHRC) [611-2022-0398]</t>
  </si>
  <si>
    <t>University of Calgary Teaching and Learning Grant; Social Sciences and Humanities Research Council of Canada (SSHRC)(Social Sciences and Humanities Research Council of Canada (SSHRC)CGIAR)</t>
  </si>
  <si>
    <t>ASOC INTERUNIVERSITARIA INVESTIGACION PEDAGOGICA</t>
  </si>
  <si>
    <t>VALENCIA</t>
  </si>
  <si>
    <t>AVE BLASCO IBANEZ NO 30, VALENCIA, 46010, SPAIN</t>
  </si>
  <si>
    <t>1134-4032</t>
  </si>
  <si>
    <t>RELIEVE</t>
  </si>
  <si>
    <t>10.30827/relieve.v29i2.29295</t>
  </si>
  <si>
    <t>JF8X8</t>
  </si>
  <si>
    <t>WOS:001171855700010</t>
  </si>
  <si>
    <t>Nakanishi, T</t>
  </si>
  <si>
    <t>Nakanishi, Takafumi</t>
  </si>
  <si>
    <t>2023 IEEE INTERNATIONAL CONFERENCE ON WEB INTELLIGENCE AND INTELLIGENT AGENT TECHNOLOGY, WI-IAT</t>
  </si>
  <si>
    <t>22nd IEEE/WIC International Conference on Web Intelligence and Intelligent Agent Technology (WI-IAT)</t>
  </si>
  <si>
    <t>OCT 26-29, 2023</t>
  </si>
  <si>
    <t>Venice, ITALY</t>
  </si>
  <si>
    <t>Inst Elect &amp; Elect Engineers,IEEE Comp Soc,Web Intelligence Consortium,Ca Foscari Univ Venice,IOS Press</t>
  </si>
  <si>
    <t>inquirer-responder architecture; Large Language Model (LLM); educational applications; automatic feedback comment generation; document understanding</t>
  </si>
  <si>
    <t>This paper presents an Inquirer-Responder architecture consisting of multiple LLM instances and applies it to a method for automatically generating feedback comments on student reports by emulating virtual hearing Q&amp;A. This method uses faculty education materials and student reports as inputs for multiple LLM instances. In education, quickly returning personalized feedback to each student is crucial but burdensome for faculty. The implementation of a system that automatically and promptly returns feedback on student submissions can improve student learning efficiency and reduce the faculty workload. Our proposed architecture consists of two LLM instances, referred to as inquirer and responder. The inquirer is an LLM instance that reads the material (e.g., lecture materials) provided by the faculty, poses questions, and evaluates the responses from the responder. The responder is an LLM instance that reads student submissions (e.g., reports) and answers questions posed by the inquirer based on the contents of those submissions. This architecture uses faculty materials and student submissions to emulate a virtual hearing, with evaluation based on the knowledge extracted from both the faculty materials and student submissions. This architecture can be applied to various systems that automatically and quickly check submissions and return feedback. In this study, we established a hypothetical use case for a university class and conducted experiments. As a result, there were some cases in which the evaluation was difficult owing to the performance of the current LLM. However, the proposed architecture provides a new perspective on the design of automatic feedback systems and is a step toward their improvement.</t>
  </si>
  <si>
    <t>[Nakanishi, Takafumi] Musashino Univ, Dept Data Sci, Tokyo, Japan</t>
  </si>
  <si>
    <t>Nakanishi, T (corresponding author), Musashino Univ, Dept Data Sci, Tokyo, Japan.</t>
  </si>
  <si>
    <t>takafumi.nakanishi@musashino-u.ac.jp</t>
  </si>
  <si>
    <t>979-8-3503-0918-8</t>
  </si>
  <si>
    <t>BW3LB</t>
  </si>
  <si>
    <t>WOS:001139644800081</t>
  </si>
  <si>
    <t>Rauschenberger, Maria/AAL-8319-2020</t>
  </si>
  <si>
    <t>Rauschenberger, Maria/0000-0001-5722-576X</t>
  </si>
  <si>
    <t>Panagoulias, DP; Palamidas, FA; Virvou, M; Tsihrintzis, GA</t>
  </si>
  <si>
    <t>Panagoulias, Dimitrios P.; Palamidas, Filippos A.; Virvou, Maria; Tsihrintzis, George A.</t>
  </si>
  <si>
    <t>Rule-Augmented Artificial Intelligence-empowered Systems for Medical Diagnosis using Large Language Models</t>
  </si>
  <si>
    <t>2023 IEEE 35TH INTERNATIONAL CONFERENCE ON TOOLS WITH ARTIFICIAL INTELLIGENCE, ICTAI</t>
  </si>
  <si>
    <t>Proceedings-International Conference on Tools With Artificial Intelligence</t>
  </si>
  <si>
    <t>35th IEEE International Conference on Tools with Artificial Intelligence (ICTAI)</t>
  </si>
  <si>
    <t>NOV 06-08, 2023</t>
  </si>
  <si>
    <t>Atlanta, GA</t>
  </si>
  <si>
    <t>IEEE,IEEE Comp Soc,Biol &amp; Artificial Intelligence Fdn</t>
  </si>
  <si>
    <t>AI-empowered software engineering; explainability; ChatGPT; LLM; NLP; prompt-engineering</t>
  </si>
  <si>
    <t>In this paper, we investigate the enhancement of Artificial Intelligence (AI) technologies in healthcare and the better understanding of medical literature with the use of Large Language Models (LLMs) and Natural Language Processing (NLP). Specifically, we introduce a rule-augmented AI-empowered system which incorporates a rule-based decision system, the ChatGPT application programming interface (API), and other external machine learning and analytical APIs to offer diagnostic suggestions to patients. The complexities of patient healthcare experiences, including doctor-patient interactions, understanding levels, treatment procedures, and preventive care, are considered. We illustrate how a diagnostic process typically integrates various strategies depending on various factors. To digitize the greatest portion of the process, we propose and illustrate the use of LLMs for humanizing the communication process and investigating ways to reduce burdens and costs in primary healthcare. We also outline a theoretical decision model for evaluating the use of technological components from external sources versus building them from scratch. The paper is structured into sections detailing background theories and context, our proposed and implemented rule-augmented AI-empowered system, as well as a system test in a corresponding use case. Finally, the paper key findings are presented, which contribute valuable insights for future work in this field.</t>
  </si>
  <si>
    <t>[Panagoulias, Dimitrios P.; Virvou, Maria; Tsihrintzis, George A.] Univ Piraeus, Dept Informat, Piraeus 18534, Greece; [Palamidas, Filippos A.] Aristotle Univ Thessaloniki, Dept Med, Thessaloniki 54124, Greece</t>
  </si>
  <si>
    <t>University of Piraeus; Aristotle University of Thessaloniki</t>
  </si>
  <si>
    <t>Panagoulias, DP (corresponding author), Univ Piraeus, Dept Informat, Piraeus 18534, Greece.</t>
  </si>
  <si>
    <t>panagoulias_d@unipi.gr; fpalamidas@gmail.com; mvirvou@unipi.gr; geoatsi@unipi.gr</t>
  </si>
  <si>
    <t>VIRVOU, MARIA/0000-0002-4008-4654; Panagoulias, Dimitris/0000-0002-9421-141X</t>
  </si>
  <si>
    <t>This work has been partly supported by the University of Piraeus Research Center.</t>
  </si>
  <si>
    <t>1082-3409</t>
  </si>
  <si>
    <t>979-8-3503-4273-4</t>
  </si>
  <si>
    <t>PROC INT C TOOLS ART</t>
  </si>
  <si>
    <t>10.1109/ICTAI59109.2023.00018</t>
  </si>
  <si>
    <t>BW3KO</t>
  </si>
  <si>
    <t>WOS:001139095400010</t>
  </si>
  <si>
    <t>Pluhacek, M; Kazikova, A; Kadavy, T; Viktorin, A; Senkerik, R</t>
  </si>
  <si>
    <t>Pluhacek, Michal; Kazikova, Anezka; Kadavy, Tomas; Viktorin, Adam; Senkerik, Roman</t>
  </si>
  <si>
    <t>Leveraging Large Language Models for the Generation of Novel Metaheuristic Optimization Algorithms</t>
  </si>
  <si>
    <t>PROCEEDINGS OF THE 2023 GENETIC AND EVOLUTIONARY COMPUTATION CONFERENCE COMPANION, GECCO 2023 COMPANION</t>
  </si>
  <si>
    <t>Genetic and Evolutionary Computation Conference (GECCO)</t>
  </si>
  <si>
    <t>JUL 15-19, 2023</t>
  </si>
  <si>
    <t>Lisbon, PORTUGAL</t>
  </si>
  <si>
    <t>Assoc Comp Machinery,ACM, Special Interest Grp Genet &amp; Evolutionary Computat</t>
  </si>
  <si>
    <t>Large Language Models; Metaheuristic Optimization; Swarm Algorithms; Algorithm Generation; Decomposition and Construction; GPT-4</t>
  </si>
  <si>
    <t>In this paper, we investigate the potential of using Large Language Models (LLMs) such as GPT-4 to generate novel hybrid swarm intelligence optimization algorithms. We use the LLM to identify and decompose six well-performing swarm algorithms for continuous optimization: Particle Swarm Optimization (PSO), Cuckoo Search (CS), Artificial Bee Colony (ABC), Grey Wolf Optimizer (GWO), Self-Organizing Migrating Algorithm (SOMA), and Whale Optimization Algorithm (WOA). We leverage GPT-4 to propose a hybrid algorithm that combines the strengths of these techniques for two distinct use-case scenarios. Our focus is on the process itself and various challenges that emerge during the use of GPT-4 to fulfill a series of set tasks. Furthermore, we discuss the potential impact of LLM-generated algorithms in the metaheuristics domain and explore future research directions.</t>
  </si>
  <si>
    <t>[Pluhacek, Michal; Kazikova, Anezka; Kadavy, Tomas; Viktorin, Adam; Senkerik, Roman] Tomas Bata Univ Zlin, Zlin, Czech Republic</t>
  </si>
  <si>
    <t>Tomas Bata University Zlin</t>
  </si>
  <si>
    <t>Pluhacek, M (corresponding author), Tomas Bata Univ Zlin, Zlin, Czech Republic.</t>
  </si>
  <si>
    <t>pluhacek@utb.cz; kazikova@utb.cz; kadavy@utb.cz; aviktorin@utb.cz; senkerik@utb.cz</t>
  </si>
  <si>
    <t>Kadavy, Tomas/A-6914-2018</t>
  </si>
  <si>
    <t>Kadavy, Tomas/0000-0002-3341-4336; Pluhacek, Michal/0000-0002-3692-2838</t>
  </si>
  <si>
    <t>Internal Grant Agency of the Tomas Bata University in Zlin [IGA/CebiaTech/2023/004]</t>
  </si>
  <si>
    <t>Internal Grant Agency of the Tomas Bata University in Zlin</t>
  </si>
  <si>
    <t>The research presented in this paper was partially supported by the Internal Grant Agency of the Tomas Bata University in Zlin, under project number IGA/CebiaTech/2023/004, and resources of A.I.Lab at the Faculty of Applied Informatics, Tomas Bata University in Zlin (ailab.fai.utb.cz).</t>
  </si>
  <si>
    <t>979-8-4007-0120-7</t>
  </si>
  <si>
    <t>10.1145/3583133.3596401</t>
  </si>
  <si>
    <t>BW2KQ</t>
  </si>
  <si>
    <t>WOS:001117972600294</t>
  </si>
  <si>
    <t>Weicong, Chen/AAC-9433-2019</t>
  </si>
  <si>
    <t>Qureshi, R; Irfan, M; Ali, H; Khan, A; Nittala, AS; Ali, S; Shah, AB; Gondal, TM; Sadak, F; Shah, ZB; Hadi, MU; Khan, S; Al-Tashi, Q; Wu, J; Bermak, A; Alam, T</t>
  </si>
  <si>
    <t>Qureshi, Rizwan; Irfan, Muhammad; Ali, Hazrat; Khan, Arshad; Nittala, Aditya Shekhar; Ali, Shawkat; Shah, Abbas; Gondal, Taimoor Muzaffar; Sadak, Ferhat; Shah, Zubair; Hadi, Muhammad Usman; Khan, Sheheryar; Al-Tashi, Qasem; Wu, Jia; Bermak, Amine; Alam, Tanvir</t>
  </si>
  <si>
    <t>Artificial Intelligence and Biosensors in Healthcare and Its Clinical Relevance: A Review</t>
  </si>
  <si>
    <t>Medical services; Machine learning; Biological system modeling; Predictive models; Biosensors; Medical diagnostic imaging; Data models; Artificial intelligence; explainable AI; medical imaging; domain adaptation; biosensors; federated learning; big data analytics; large language models</t>
  </si>
  <si>
    <t>DRUG-SENSITIVITY; DATA FUSION; BIG DATA; CHALLENGES; NETWORK; ALGORITHMS; DISCOVERY; RESOURCE; GENOMICS; PRIVACY</t>
  </si>
  <si>
    <t>Data generated from sources such as wearable sensors, medical imaging, personal health records, and public health organizations have resulted in a massive information increase in the medical sciences over the last decade. Advances in computational hardware, such as cloud computing, graphical processing units (GPUs), Field-programmable gate arrays (FPGAs) and tensor processing units (TPUs), provide the means to utilize these data. Consequently, an array of sophisticated Artificial Intelligence (AI) techniques have been devised to extract valuable insights from the extensive datasets in the healthcare industry. Here, we present an overview of recent progress in AI and biosensors in medical and life sciences. We discuss the role of machine learning in medical imaging, precision medicine, and biosensors for the Internet of Things (IoT). We review the latest advancements in wearable biosensing technologies. These innovative solutions employ AI to assist in monitoring of bodily electro-physiological and electro-chemical signals, as well as in disease diagnosis. These advancements exemplify the trend towards personalized medicine, delivering highly effective, cost-efficient, and precise point-of-care treatment.Furthermore, an overview of the advances in computing technologies, such as accelerated AI, edge computing, and federated learning for medical data, are also documented. Finally, we investigate challenges in data-driven AI approaches, the potential issues generated by biosensors and IoT-based healthcare, and the distribution shifts that occur among different data modalities, concluding with an overview of future prospects.</t>
  </si>
  <si>
    <t>[Qureshi, Rizwan; Al-Tashi, Qasem; Wu, Jia] Univ Texas Houston, MD Anderson Canc Ctr, Dept Imaging Phys, Houston, TX 77030 USA; [Irfan, Muhammad] Ghulam Ishaq Khan Inst Engn Sci &amp; Technol GIKI, Fac Elect Engn, Swabi 23460, Pakistan; [Ali, Hazrat; Khan, Arshad; Shah, Zubair; Bermak, Amine; Alam, Tanvir] Hamad Bin Khalifa Univ, Coll Sci &amp; Engn, Doha, Qatar; [Nittala, Aditya Shekhar] Univ Calgary, Dept Comp Sci, Calgary, AB T2N 1N4, Canada; [Ali, Shawkat] King Abdullah Univ Sci &amp; Technol, Dept Elect &amp; Comp Engn, Thuwal 23955, Saudi Arabia; [Shah, Abbas] Mehran Univ Engn &amp; Technol, Dept Elect Engn, Jamshoro 76062, Pakistan; [Gondal, Taimoor Muzaffar] Super Univ Lahore, Fac Engn, Lahore 54000, Pakistan; [Sadak, Ferhat] Sorbonne Univ, Inst Syst Intelligents &amp; Robot, CNRS, ISIR, F-75005 Paris, France; [Sadak, Ferhat] Bartin Univ, Dept Mech Engn, TR-74100 Bartin, Turkiye; Ulster Univ, Nanotechnol &amp; Integrated Bioengn Ctr NIBEC, Sch Engn, Belfast BT15 1AP, North Ireland; Hong Kong Polytech Univ, Sch Profess Educ &amp; Execut Dev, Hong Kong, Peoples R China</t>
  </si>
  <si>
    <t>University of Texas System; UTMD Anderson Cancer Center; University of Texas Health Science Center Houston; Qatar Foundation (QF); Hamad Bin Khalifa University-Qatar; University of Calgary; King Abdullah University of Science &amp; Technology; Mehran University Engineering &amp; Technology; Sorbonne Universite; Centre National de la Recherche Scientifique (CNRS); Bartin University; Ulster University; Hong Kong Polytechnic University</t>
  </si>
  <si>
    <t>Alam, T (corresponding author), Hamad Bin Khalifa Univ, Coll Sci &amp; Engn, Doha, Qatar.</t>
  </si>
  <si>
    <t>talam@hbku.edu.qa</t>
  </si>
  <si>
    <t>SADAK, FERHAT/CAG-0189-2022; , Taimoor Muzaffar Gondal/V-9108-2019; AL-TASHI, QASEM/O-1632-2019; Khan, Arshad/GLS-8736-2022; Hadi, Muhammad Usman/K-2083-2019; khan, Sheheryar/JZD-4895-2024; Qureshi, Rizwan/AFS-3131-2022; khan, sheheryar/AAV-2517-2021; Ali, Hazrat/J-2920-2019</t>
  </si>
  <si>
    <t>SADAK, FERHAT/0000-0003-2391-4836; , Taimoor Muzaffar Gondal/0000-0002-4088-4651; AL-TASHI, QASEM/0000-0001-7208-693X; Khan, Arshad/0000-0003-2858-4653; Hadi, Muhammad Usman/0000-0002-3363-2886; Qureshi, Rizwan/0000-0002-0039-982X; khan, sheheryar/0000-0002-1975-4334; Ali, Hazrat/0000-0003-3058-5794</t>
  </si>
  <si>
    <t>Research Grants Council of the Hong Kong SAR [UGC/FDS24/E18/22]; Hamad Bin Khalifa University, Qatar Foundation, Doha, Qatar; Qatar National Library (QNL), Qatar</t>
  </si>
  <si>
    <t>Research Grants Council of the Hong Kong SAR(Hong Kong Research Grants Council); Hamad Bin Khalifa University, Qatar Foundation, Doha, Qatar(Qatar Foundation (QF)); Qatar National Library (QNL), Qatar</t>
  </si>
  <si>
    <t>This work was supported in part by the Research Grants Council of the Hong Kong SAR under Grant UGC/FDS24/E18/22; and in part by Hamad Bin Khalifa University, Qatar Foundation, Doha, Qatar. Open access publication of this article was funded by the Qatar National Library (QNL), Qatar.</t>
  </si>
  <si>
    <t>10.1109/ACCESS.2023.3285596</t>
  </si>
  <si>
    <t>L0LL0</t>
  </si>
  <si>
    <t>WOS:001020255700001</t>
  </si>
  <si>
    <t>Saha, T; Ganguly, D; Saha, S; Mitra, P</t>
  </si>
  <si>
    <t>Saha, Tulika; Ganguly, Debasis; Saha, Sriparna; Mitra, Prasenjit</t>
  </si>
  <si>
    <t>Workshop on Large Language Models' Interpretability and Trustworthiness (LLMIT)</t>
  </si>
  <si>
    <t>Large Language Model; Trustworthiness; Interpretability; In-context Learning; Explainability</t>
  </si>
  <si>
    <t>Large language models (LLMs), when scaled from millions to billions of parameters, have been demonstrated to exhibit the so-called 'emergence' effect, in that they are not only able to produce semantically correct and coherent text, but are also able to adapt themselves surprisingly well with small changes in contexts supplied as inputs (commonly called prompts). Despite producing semantically coherent and potentially relevant text for a given context, LLMs are vulnerable to yield incorrect information. This misinformation generation, or the so-called hallucination problem of an LLM, gets worse when an adversary manipulates the prompts to their own advantage, e.g., generating false propaganda to disrupt communal harmony, generating false information to trap consumers with target consumables etc. Not only does the consumption of an LLM-generated hallucinated content by humans pose societal threats, such misinformation, when used as prompts, may lead to detrimental effects for in-context learning (also known as few-shot prompt learning). With reference to the above-mentioned problems of LLM usage, we argue that it is necessary to foster research on topics related to not only identifying misinformation from LLM-generated content, but also to mitigate the propagation effects of this generated misinformation on downstream predictive tasks thus leading to more robust and effective leveraging in-context learning.</t>
  </si>
  <si>
    <t>[Saha, Tulika] Univ Liverpool, Dept Comp Sci, Liverpool, England; [Ganguly, Debasis] Univ Glasgow, Sch Comp Sci, Glasgow, Scotland; [Saha, Sriparna] Indian Inst Technol Patna, Dept Comp Sci, Patna, India; [Mitra, Prasenjit] L3S Res Ctr, Hannover, Germany; [Mitra, Prasenjit] Penn State Univ, University Pk, PA USA</t>
  </si>
  <si>
    <t>University of Liverpool; University of Glasgow; Indian Institute of Technology System (IIT System); Indian Institute of Technology (IIT) - Patna; Leibniz University Hannover; Pennsylvania Commonwealth System of Higher Education (PCSHE); Pennsylvania State University; Pennsylvania State University - University Park</t>
  </si>
  <si>
    <t>Saha, T (corresponding author), Univ Liverpool, Dept Comp Sci, Liverpool, England.</t>
  </si>
  <si>
    <t>sahatulika15@gmail.com; debasis.ganguly@glasgow.ac.uk; sriparna@iitp.ac.in; mitra@l3s.de</t>
  </si>
  <si>
    <t>Saha, Tulika/0000-0002-3252-0997; Ganguly, Debasis/0000-0003-0050-7138</t>
  </si>
  <si>
    <t>10.1145/3583780.3615311</t>
  </si>
  <si>
    <t>WOS:001161549505073</t>
  </si>
  <si>
    <t>Sakai, Tetsuya/0000-0002-6720-963X</t>
  </si>
  <si>
    <t>Hallit, Souheil/R-6727-2018; Sallam, Malik/O-5021-2014; Malaeb, Diana/JZT-1919-2024; Barakat, Muna/AAN-8778-2020</t>
  </si>
  <si>
    <t>Hallit, Souheil/0000-0001-6918-5689; Sallam, Malik/0000-0002-0165-9670; Barakat, Muna/0000-0002-7966-1172; Salim, Nesreen/0000-0002-5355-2269; Al-Tammemi, Ala'a B./0000-0003-0862-0186</t>
  </si>
  <si>
    <t>Sato, A; Chikazoe, J; Funai, S; Mochihashi, D; Shikano, Y; Asahara, M; Iso, S; Kobayashi, I</t>
  </si>
  <si>
    <t>Iliadis, L; Papaleonidas, A; Angelov, P; Jayne, C</t>
  </si>
  <si>
    <t>Sato, Anna; Chikazoe, Junichi; Funai, Shotaro; Mochihashi, Daichi; Shikano, Yutaka; Asahara, Masayuki; Iso, Satoshi; Kobayashi, Ichiro</t>
  </si>
  <si>
    <t>Investigation of Information Processing Mechanisms in the Human Brain During Reading Tanka Poetry</t>
  </si>
  <si>
    <t>ARTIFICIAL NEURAL NETWORKS AND MACHINE LEARNING, ICANN 2023, PT VIII</t>
  </si>
  <si>
    <t>32nd International Conference on Artificial Neural Networks (ICANN)</t>
  </si>
  <si>
    <t>Heraklion, GREECE</t>
  </si>
  <si>
    <t>Language Processing; Deep learning models; Neuroscience; fMRI; Emotion</t>
  </si>
  <si>
    <t>Recent advances in non-invasive brain function measurement technologies, such as functional magnetic resonance imaging (fMRI) and magnetoencephalography (MEG), and the development of machine learning techniques, including deep learning, have led to increased research on the elucidation and quantitative understanding of information processing processes in the human brain. Since the emergence of word2vec, which represents the meaning of natural language words as vectors, features of language stimuli given to the human brain have been represented using large language models in natural language processing and used to estimate brain states. In this study, we used GPT-2, which is known to perform well as a feature for predicting brain states, and investigated the information processing processes in the human brain when reading Japanese short poems, i.e., tanka poetry. In particular, we investigated the hubness of the regions of interest in the brain by applying the PageRank algorithm. As a result, we have found that the cingulate cortex and the insula, which are said to be related to emotion, have hubness in brain regions, while occipital lobe, which are not said to be related to emotion, have also hubness.</t>
  </si>
  <si>
    <t>[Sato, Anna; Kobayashi, Ichiro] Ochanomizu Univ, Tokyo, Japan; [Chikazoe, Junichi; Funai, Shotaro] Araya Inc, Tokyo, Japan; [Mochihashi, Daichi] Inst Stat Math, Tokyo, Japan; [Shikano, Yutaka] Gunma Univ, Maebashi, Gunma, Japan; [Shikano, Yutaka] Chapman Univ, Inst Quantum Studies, Orange, CA USA; [Asahara, Masayuki] Natl Inst Japanese Language &amp; Linguist, Tokyo, Japan; [Iso, Satoshi] High Energy Accelerator Res Org, Tsukuba, Ibaraki, Japan</t>
  </si>
  <si>
    <t>Ochanomizu University; Research Organization of Information &amp; Systems (ROIS); Institute of Statistical Mathematics (ISM) - Japan; Gunma University; Chapman University System; Chapman University; High Energy Accelerator Research Organization (KEK)</t>
  </si>
  <si>
    <t>Sato, A (corresponding author), Ochanomizu Univ, Tokyo, Japan.</t>
  </si>
  <si>
    <t>g1920519@is.ocha.ac.jp; chikazoe_junichi@araya.org; funai_shotaro@araya.org; daichi@ism.ac.jp; yshikano@gunma-u.ac.jp; masayu-a@ninjal.ac.jp; iso@post.kek.jp; koba@is.ocha.ac.jp</t>
  </si>
  <si>
    <t>Shikano, Yutaka/D-5095-2009</t>
  </si>
  <si>
    <t>Shikano, Yutaka/0000-0003-2107-7536; Chikazoe, Junichi/0000-0003-4155-1370</t>
  </si>
  <si>
    <t>Inter-University Research Institute Corporation (I-URIC); Cooperative Study Program of National Institute for Physiological Sciences (NIPS) [20-640, 21-543, 22NIPS630]; JSPS KAKENHI [21H05060, 21H05061]; JST MOONSHOT [JPMJMS2012]; JST PRESTO [JPMJPR20M4]</t>
  </si>
  <si>
    <t>Inter-University Research Institute Corporation (I-URIC); Cooperative Study Program of National Institute for Physiological Sciences (NIPS)(National Institutes of Natural Sciences (NINS) - JapanNational Institute for Physiological Sciences (NIPS)); JSPS KAKENHI(Ministry of Education, Culture, Sports, Science and Technology, Japan (MEXT)Japan Society for the Promotion of ScienceGrants-in-Aid for Scientific Research (KAKENHI)); JST MOONSHOT; JST PRESTO(Japan Science &amp; Technology Agency (JST))</t>
  </si>
  <si>
    <t>This study was supported by Inter-University Research Institute Corporation (I-URIC) and the Cooperative Study Program (20-640, 21-543 and 22NIPS630) of National Institute for Physiological Sciences (NIPS). It was also supported by JSPS KAKENHI (21H05060 and 21H05061), JST MOONSHOT (JPMJMS2012) and JST PRESTO (JPMJPR20M4).</t>
  </si>
  <si>
    <t>978-3-031-44197-4; 978-3-031-44198-1</t>
  </si>
  <si>
    <t>10.1007/978-3-031-44198-1_34</t>
  </si>
  <si>
    <t>BW4YU</t>
  </si>
  <si>
    <t>WOS:001157297600034</t>
  </si>
  <si>
    <t>Savelka, Jaromir/GOK-0488-2022</t>
  </si>
  <si>
    <t>An, Haokang/0009-0005-5165-640X; Sakr, Majd/0000-0001-5150-8259; Bogart, Christopher/0000-0001-8581-115X; Savelka, Jaromir/0000-0002-3674-5456; Agarwal, Arav/0000-0001-9848-1663</t>
  </si>
  <si>
    <t>Islam, Mobarakol/0000-0002-7162-2822; Ren, Hongliang/0000-0002-6488-1551; K KRISHNA, ADITHYA/0000-0002-2284-703X</t>
  </si>
  <si>
    <t>Shikino, Kiyoshi/0000-0002-3721-3443; Kasai, Hajime/0000-0002-6759-2026; Onodera, Misaki/0009-0002-0126-9143; Takahashi, Zaiya/0000-0002-8520-9502; Shimizu, Ikuo/0000-0002-6731-7104; Yamauchi, Kazuyo/0000-0001-6587-2393</t>
  </si>
  <si>
    <t>zhang, chengming/AAA-6561-2019</t>
  </si>
  <si>
    <t>zhang, chengming/0000-0003-4920-9481; Romeike, Ralf/0000-0002-2941-4288; Solopova, Veronika/0000-0003-0183-9433; Zhang, Chengming/0009-0007-8695-5455</t>
  </si>
  <si>
    <t>Sýkora, Daniel/C-3075-2014</t>
  </si>
  <si>
    <t>Draheim, Dirk/0000-0003-3376-7489</t>
  </si>
  <si>
    <t>Tan, Chi Wee/AGX-8655-2022</t>
  </si>
  <si>
    <t>Tan, Chi Wee/0000-0001-6828-4896</t>
  </si>
  <si>
    <t>Tan, YM; Min, DH; Li, Y; Li, WB; Hu, N; Chen, YR; Qi, GL</t>
  </si>
  <si>
    <t>Payne, TR; Presutti, V; Qi, G; Poveda-Villalon, M; Stoilos, G; Hollink, L; Kaoudi, Z; Cheng, G; Li, J</t>
  </si>
  <si>
    <t>Tan, Yiming; Min, Dehai; Li, Yu; Li, Wenbo; Hu, Nan; Chen, Yongrui; Qi, Guilin</t>
  </si>
  <si>
    <t>Can ChatGPT Replace Traditional KBQA Models? An In-Depth Analysis of the Question Answering Performance of the GPT LLM Family</t>
  </si>
  <si>
    <t>SEMANTIC WEB, ISWC 2023, PART I</t>
  </si>
  <si>
    <t>22nd International Semantic Web Conference (ISWC)</t>
  </si>
  <si>
    <t>NOV 06-10, 2023</t>
  </si>
  <si>
    <t>Create Link,Zhipu Ai,Bosch,IBM Res,Metaphacts,Google,Gesis, Leibniz Inst Social Sci,Ontotext,Ebay,Huawei,Elsevier, Journal of Artificial Intelligence,Qualco Grp,Bupsolutions</t>
  </si>
  <si>
    <t>Large language model; Complex question answering; Knowledge base; ChatGPT; Evaluation; Black-box testing</t>
  </si>
  <si>
    <t>ChatGPT is a powerful large language model (LLM) that covers knowledge resources such as Wikipedia and supports natural language question answering using its own knowledge. Therefore, there is growing interest in exploring whether ChatGPT can replace traditional knowledge-based question answering (KBQA) models. Although there have been some works analyzing the question answering performance of ChatGPT, there is still a lack of large-scale, comprehensive testing of various types of complex questions to analyze the limitations of the model. In this paper, we present a framework that follows the black-box testing specifications of CheckList proposed by [38]. We evaluate ChatGPT and its family of LLMs on eight real-world KB-based complex question answering datasets, which include six English datasets and two multilingual datasets. The total number of test cases is approximately 190,000. In addition to the GPT family of LLMs, we also evaluate the wellknown FLAN-T5 to identify commonalities between the GPT family and other LLMs. The dataset and code are available at https://github.com/ tan92hl/Complex- Question-Answering- Evaluation- of- GPT-family.git.</t>
  </si>
  <si>
    <t>[Tan, Yiming] Southeast Univ, Sch Cyber Sci &amp; Engn, Nanjing, Peoples R China; [Min, Dehai; Li, Yu; Hu, Nan; Chen, Yongrui; Qi, Guilin] Southeast Univ, Sch Comp Sci &amp; Engn, Nanjing, Peoples R China; [Li, Wenbo] Anhui Unv, Sch Comp Sci &amp; Technol, Hefei, Peoples R China; [Tan, Yiming; Min, Dehai; Li, Yu; Hu, Nan; Chen, Yongrui; Qi, Guilin] Southeast Univ, Key Lab New Generat Artificial Intelligence Techn, Minist Educ, Nanjing, Peoples R China</t>
  </si>
  <si>
    <t>Southeast University - China; Southeast University - China; Southeast University - China</t>
  </si>
  <si>
    <t>Qi, GL (corresponding author), Southeast Univ, Sch Comp Sci &amp; Engn, Nanjing, Peoples R China.;Qi, GL (corresponding author), Southeast Univ, Key Lab New Generat Artificial Intelligence Techn, Minist Educ, Nanjing, Peoples R China.</t>
  </si>
  <si>
    <t>tt_yymm@seu.edu.cn; zhishanq@seu.edu.cn; yuli_11@seu.edu.cn; wenboli@stu.ahu.edu.cn; nanhu@seu.edu.cn; yrchen@seu.edu.cn; gqi@seu.edu.cn</t>
  </si>
  <si>
    <t>Tan, Yiming/HGV-1479-2022; li, Shang/KHU-3233-2024; ha, na/KHE-4563-2024</t>
  </si>
  <si>
    <t>Tan, Yiming/0000-0002-2431-7809;</t>
  </si>
  <si>
    <t>Natural Science Foundation of China [U21A20488]</t>
  </si>
  <si>
    <t>Natural Science Foundation of China(National Natural Science Foundation of China (NSFC))</t>
  </si>
  <si>
    <t>This work is supported by the Natural Science Foundation of China (Grant No. U21A20488). We thank the Big Data Computing Center of Southeast University for providing the facility support on the numerical calculations in this paper.</t>
  </si>
  <si>
    <t>978-3-031-47239-8; 978-3-031-47240-4</t>
  </si>
  <si>
    <t>10.1007/978-3-031-47240-4_19</t>
  </si>
  <si>
    <t>BW5HL</t>
  </si>
  <si>
    <t>WOS:001160736700019</t>
  </si>
  <si>
    <t>Tang, JJ; Zheng, G; Yu, JY; Yang, SB</t>
  </si>
  <si>
    <t>Tang, Jiajin; Zheng, Ge; Yu, Jingyi; Yang, Sibei</t>
  </si>
  <si>
    <t>CoTDet: Affordance Knowledge Prompting for Task Driven Object Detection</t>
  </si>
  <si>
    <t>2023 IEEE/CVF INTERNATIONAL CONFERENCE ON COMPUTER VISION, ICCV</t>
  </si>
  <si>
    <t>IEEE International Conference on Computer Vision</t>
  </si>
  <si>
    <t>IEEE/CVF International Conference on Computer Vision (ICCV)</t>
  </si>
  <si>
    <t>OCT 02-06, 2023</t>
  </si>
  <si>
    <t>Paris, FRANCE</t>
  </si>
  <si>
    <t>IEEE,IEEE Comp Soc,CVF</t>
  </si>
  <si>
    <t>Task driven object detection aims to detect object instances suitable for affording a task in an image. Its challenge lies in object categories available for the task being too diverse to be limited to a closed set of object vocabulary for traditional object detection. Simply mapping categories and visual features of common objects to the task cannot address the challenge. In this paper, we propose to explore fundamental affordances rather than object categories, i.e., common attributes that enable different objects to accomplish the same task. Moreover, we propose a novel multi-level chain-of-thought prompting (MLCoT) to extract the affordance knowledge from large language models, which contains multi-level reasoning steps from task to object examples to essential visual attributes with rationales. Furthermore, to fully exploit knowledge to benefit object recognition and localization, we propose a knowledgeconditional detection framework, namely CoTDet. It conditions the detector from the knowledge to generate object queries and regress boxes. Experimental results demonstrate that our CoTDet outperforms state-of-the-art methods consistently and significantly (+15.6 box AP and +14.8 mask AP) and can generate rationales for why objects are detected to afford the task.</t>
  </si>
  <si>
    <t>[Tang, Jiajin; Zheng, Ge; Yu, Jingyi; Yang, Sibei] ShanghaiTech Univ, Sch Informat Sci &amp; Technol, Shanghai, Peoples R China</t>
  </si>
  <si>
    <t>ShanghaiTech University</t>
  </si>
  <si>
    <t>Yang, SB (corresponding author), ShanghaiTech Univ, Sch Informat Sci &amp; Technol, Shanghai, Peoples R China.</t>
  </si>
  <si>
    <t>tangjj@shanghaitech.edu.cn; zhengge@shanghaitech.edu.cn; yujingyi@shanghaitech.edu.cn; yangsb@shanghaitech.edu.cn</t>
  </si>
  <si>
    <t>National Natural Science Foundation of China [62206174]; Shanghai Pujiang Program [21PJ1410900]; Shanghai Frontiers Science Center of Human-centered Artificial Intelligence; MoE Key Laboratory of Intelligent Perception and Human-Machine Collaboration (ShanghaiTech University); Shanghai Engineering Research Center of Intelligent Vision and Imaging</t>
  </si>
  <si>
    <t>National Natural Science Foundation of China(National Natural Science Foundation of China (NSFC)); Shanghai Pujiang Program(Shanghai Pujiang Program); Shanghai Frontiers Science Center of Human-centered Artificial Intelligence; MoE Key Laboratory of Intelligent Perception and Human-Machine Collaboration (ShanghaiTech University); Shanghai Engineering Research Center of Intelligent Vision and Imaging</t>
  </si>
  <si>
    <t>This work was supported by the National Natural Science Foundation of China (No.62206174), Shanghai Pujiang Program (No.21PJ1410900), Shanghai Frontiers Science Center of Human-centered Artificial Intelligence (ShangHAI), MoE Key Laboratory of Intelligent Perception and Human-Machine Collaboration (ShanghaiTech University), and Shanghai Engineering Research Center of Intelligent Vision and Imaging.</t>
  </si>
  <si>
    <t>1550-5499</t>
  </si>
  <si>
    <t>979-8-3503-0718-4</t>
  </si>
  <si>
    <t>IEEE I CONF COMP VIS</t>
  </si>
  <si>
    <t>10.1109/ICCV51070.2023.00285</t>
  </si>
  <si>
    <t>Computer Science, Artificial Intelligence; Computer Science, Theory &amp; Methods; Imaging Science &amp; Photographic Technology</t>
  </si>
  <si>
    <t>BW5FA</t>
  </si>
  <si>
    <t>WOS:001159644303028</t>
  </si>
  <si>
    <t>Azevedo, Alcinei Mistico/0000-0001-5196-0851; Ribeiro Valadares, Nermy/0000-0001-7854-8111; Goncalves Fernandes, Ana Clara/0000-0002-8161-8130; Andrade Junior, Valter Carvalho de/0000-0002-5010-7725</t>
  </si>
  <si>
    <t>; Rooney, Morgan/N-3358-2014; Barros Silva, Paulo Goberlanio/H-7300-2015</t>
  </si>
  <si>
    <t>Dyer, Joseph-Omer/0000-0002-7570-9941; Rutherford, Derek/0000-0003-2688-6201; Veras, Mirella/0000-0002-4124-1543; Rooney, Morgan/0000-0001-5261-5929; Barros Silva, Paulo Goberlanio/0000-0002-1513-9027</t>
  </si>
  <si>
    <t>Visuri, A; van Berkel, N; Tag, B</t>
  </si>
  <si>
    <t>Visuri, Aku; van Berkel, Niels; Tag, Benjamin</t>
  </si>
  <si>
    <t>Wellbeing Insights in a Data-Driven Future</t>
  </si>
  <si>
    <t>2023 FOURTEENTH INTERNATIONAL CONFERENCE ON MOBILE COMPUTING AND UBIQUITOUS NETWORK, ICMU</t>
  </si>
  <si>
    <t>14th International Conference on Mobile Computing and Ubiquitous Network (ICMU)</t>
  </si>
  <si>
    <t>NOV 29-DEC 01, 2023</t>
  </si>
  <si>
    <t>Kyoto, JAPAN</t>
  </si>
  <si>
    <t>IEEE,IEEE Comp Soc,IPSJ,MBL,Natl Inst Informat &amp; Commun Technol</t>
  </si>
  <si>
    <t>Wearable devices; personal wellbeing; data; visualisation; knowledge generation</t>
  </si>
  <si>
    <t>This article explores meaningful insights users might be able to obtain at the intersection of wearable technology and user-generated data. While wearables have become ubiquitous in monitoring health and well-being, the utility of the data they collect remains limited for end-users. Our TypeAware case study delves into users' challenges in interpreting and deriving actionable insights from their wearable data. The TypeAware application aims to enhance user understanding of digital well-being and sleep quality data. Our results indicate that, despite engagement, participants encountered difficulties generating actionable insights from their data. Leveraging the capabilities of large language models, our results demonstrate the potential for automating insight generation: transforming raw data into meaningful, user-friendly understandings. Ultimately, this work calls for a shift in wearable technology design, advocating for more user-centric approaches that empower individuals to unlock the full potential of their wearable data for improved well-being.</t>
  </si>
  <si>
    <t>[Visuri, Aku] Univ Oulu, Oulu, Finland; [van Berkel, Niels] Aalborg Univ, Aalborg, Denmark; [Tag, Benjamin] Monash Univ, Melbourne, Australia</t>
  </si>
  <si>
    <t>University of Oulu; Aalborg University; Monash University</t>
  </si>
  <si>
    <t>Visuri, A (corresponding author), Univ Oulu, Oulu, Finland.</t>
  </si>
  <si>
    <t>aku.visuri@oulu.fi; nielsvanberkel@cs.aau.dk; Benjamin.Tag@monash.edu</t>
  </si>
  <si>
    <t>Academy of Finland [349637, 353790, 318930]; Biocenter Oulu; Strategic Research Council (SRC) [335625, 335729]; Carlsberg Foundation [CF21-0159]</t>
  </si>
  <si>
    <t>Academy of Finland(Research Council of Finland); Biocenter Oulu; Strategic Research Council (SRC)(Strategic Research Council (SRC)); Carlsberg Foundation(Carlsberg Foundation)</t>
  </si>
  <si>
    <t>This research is connected to the GenZ strategic profiling project at the University of Oulu, supported by the Academy of Finland (project 318930), Biocenter Oulu, the Strategic Research Council (SRC), established within the Academy of Finland (Grants 335625, 335729), Academy Research Fellow funding by Academy of Finland (Grants 349637 and 353790), and Carlsberg Foundation grant CF21-0159.</t>
  </si>
  <si>
    <t>978-4-907626-52-5</t>
  </si>
  <si>
    <t>Computer Science, Interdisciplinary Applications; Engineering, Electrical &amp; Electronic</t>
  </si>
  <si>
    <t>BW5OY</t>
  </si>
  <si>
    <t>WOS:001164299600008</t>
  </si>
  <si>
    <t>Wang, ZH; Zhou, YJ; Tu, YT; Dou, ZC</t>
  </si>
  <si>
    <t>Wang, Zihan; Zhou, Yujia; Tu, Yiteng; Dou, Zhicheng</t>
  </si>
  <si>
    <t>NOVO: Learnable and Interpretable Document Identifiers for Model-Based IR</t>
  </si>
  <si>
    <t>Information Retrieval; Model-based IR; Large Language Models</t>
  </si>
  <si>
    <t>Model-based Information Retrieval (Model-based IR) has gained attention due to advancements in generative language models. Unlike traditional dense retrieval methods relying on dense vector representations of documents, model-based IR leverages language models to retrieve documents by generating their unique discrete identifiers (docids). This approach effectively reduces the requirements to store separate document representations in an index. Most existing model-based IR approaches utilize pre-defined static docids, i.e., these docids are fixed and are not learnable by training on the retrieval tasks. However, these docids are not specifically optimized for retrieval tasks, which makes it difficult to learn semantics and relationships between documents and achieve satisfactory retrieval performance. To address the above limitations, we propose Neural Optimized VOcabularial (NOVO) docids. NOVO docids are unique n-gram sets identifying each document. They can be generated in any order to retrieve the corresponding document and can be optimized through training to better learn semantics and relationships between documents. We propose to optimize NOVO docids through query denoising modeling and retrieval tasks, allowing for optimizing both semantic and token representations for such docids. Experiments on two datasets under the normal and zeroshot settings show that NOVO exhibits strong performance in more effective and interpretable model-based IR.</t>
  </si>
  <si>
    <t>[Wang, Zihan; Dou, Zhicheng] Renmin Univ China, Gaoling Sch Artificial Intelligence, Beijing, Peoples R China; [Zhou, Yujia; Tu, Yiteng] Renmin Univ China, Beijing, Peoples R China</t>
  </si>
  <si>
    <t>Renmin University of China; Renmin University of China</t>
  </si>
  <si>
    <t>Wang, ZH (corresponding author), Renmin Univ China, Gaoling Sch Artificial Intelligence, Beijing, Peoples R China.</t>
  </si>
  <si>
    <t>wangzihan0527@ruc.edu.cn; zhouyujia@ruc.edu.cn; yitengtu16@gmail.com; dou@ruc.edu.cn</t>
  </si>
  <si>
    <t>National Natural Science Foundation of China [62272467]; fund for building world-class universities (disciplines) of Renmin University of China, Beijing Outstanding Young Scientist Program [BJJWZYJH012019100020098]; Public Computing Cloud, Renmin University of China; Major Innovation &amp; Planning Interdisciplinary Platform for the Double-First Class Initiative, Renmin University of China; Beijing Key Laboratory of Big Data Management and Analysis Methods, and Engineering Research Center of Next-Generation Intelligent Search and Recommendation, Ministry of Education</t>
  </si>
  <si>
    <t>National Natural Science Foundation of China(National Natural Science Foundation of China (NSFC)); fund for building world-class universities (disciplines) of Renmin University of China, Beijing Outstanding Young Scientist Program; Public Computing Cloud, Renmin University of China; Major Innovation &amp; Planning Interdisciplinary Platform for the Double-First Class Initiative, Renmin University of China; Beijing Key Laboratory of Big Data Management and Analysis Methods, and Engineering Research Center of Next-Generation Intelligent Search and Recommendation, Ministry of Education</t>
  </si>
  <si>
    <t>This work was supported by the National Natural Science Foundation of China No. 62272467, the fund for building world-class universities (disciplines) of Renmin University of China, Beijing Outstanding Young Scientist Program No. BJJWZYJH012019100020098, Public Computing Cloud, Renmin University of China, and Intelligent Social Governance Platform, Major Innovation &amp; Planning Interdisciplinary Platform for the Double-First Class Initiative, Renmin University of China. The work was partially done at Beijing Key Laboratory of Big Data Management and Analysis Methods, and Engineering Research Center of Next-Generation Intelligent Search and Recommendation, Ministry of Education.</t>
  </si>
  <si>
    <t>10.1145/3583780.3614993</t>
  </si>
  <si>
    <t>WOS:001161549502071</t>
  </si>
  <si>
    <t>Wang, ZY; Wu, Y</t>
  </si>
  <si>
    <t>Wang, Ziyuan; Wu, You</t>
  </si>
  <si>
    <t>Investigating the Effectiveness of Whitening Post-processing Methods on Modifying LLMs Representations</t>
  </si>
  <si>
    <t>Whitening Transformation; Decorrelation; Text Representation; PCA-cor; ZCA-cor</t>
  </si>
  <si>
    <t>In contemporary natural language processing(NLP) tasks, it is common to utilize the representation of large language models(LLMs) directly in downstream applications. However, this approach is restricted to anisotropy due to the convex cone representation space of LLMs, which hinders performance evaluations across various NLP tasks. In light of this limitation, we investigate several whitening post-processing methods to modify the LLMs representation space, including PCA, ZCA, PCA-cor, ZCA-cor and Cholesky whitening methods, aiming to transform textual representation space into a decorrelated orthogonal basis space. Comprehensive experiments are conducted over 20 datasets encompassing diverse NLP tasks to evaluate the effectiveness of these methods based on models such as Bert, GPT2, and others. Our results indicate that ZCA-cor whitening is appropriate for supervised text classification, while PCA-cor whitening, after reducing dimensionality, is suitable for unsupervised semantic textual similarity. Furthermore, we perform analysis of the relationship between task evaluations and isotropy scores, indicating that whitening methods is capable of mitigating anisotropy.</t>
  </si>
  <si>
    <t>[Wang, Ziyuan; Wu, You] Shanghai Univ Finance &amp; Econ, Sch Informat Management &amp; Engn, AI Lab, Shanghai, Peoples R China</t>
  </si>
  <si>
    <t>Shanghai University of Finance &amp; Economics</t>
  </si>
  <si>
    <t>Wu, Y (corresponding author), Shanghai Univ Finance &amp; Econ, Sch Informat Management &amp; Engn, AI Lab, Shanghai, Peoples R China.</t>
  </si>
  <si>
    <t>wangziyuan@163.sufe.edu.cn; wuy1997@163.com</t>
  </si>
  <si>
    <t>National Natural Science Foundation of China [72271151]; graduate innovation fund of Shanghai University of Finance and Economics [CXJJ-2021-351]</t>
  </si>
  <si>
    <t>National Natural Science Foundation of China(National Natural Science Foundation of China (NSFC)); graduate innovation fund of Shanghai University of Finance and Economics</t>
  </si>
  <si>
    <t>This work was supported by the National Natural Science Foundation of China (under Project No. 72271151), the graduate innovation fund of Shanghai University of Finance and Economics (under Project No. CXJJ-2021-351).</t>
  </si>
  <si>
    <t>10.1109/ICTAI59109.2023.00124</t>
  </si>
  <si>
    <t>WOS:001139095400116</t>
  </si>
  <si>
    <t>Wodecki, A</t>
  </si>
  <si>
    <t>Wodecki, Andrzej</t>
  </si>
  <si>
    <t>Generative technologies in higher education - assessment of the current state, essential skills, and a proposal for a didactic method</t>
  </si>
  <si>
    <t>E-MENTOR</t>
  </si>
  <si>
    <t>Polish</t>
  </si>
  <si>
    <t>generative technologies; language models; knowledge management; teaching methodology; evaluation</t>
  </si>
  <si>
    <t>This article proposes the application of generative technologies, specifically large language models, in higher education. While such technologies present novel opportunities, at the same time, they raise concerns, including potential cognitive degradation, job displacement, and intellectual property issues. The first section of this paper introduces the essential concepts and methods of generative technologies, coupled with a discussion on the necessary competencies to fully harness their potential. The next section suggests an addition to usual teaching methods, using the 'Artificial Intelligence in Business' course as an example. This proposed enhancement incorporates a review of student work outcomes by systems powered by large language models. The underlying didactic principles of the course, sample system reports, and an illustrative diagram of the teaching process are presented. The paper concludes by contemplating the possible advantages and challenges posed by these technologies in pedagogy, along with recommendations for future research.</t>
  </si>
  <si>
    <t>[Wodecki, Andrzej] Politechn Warszawska, Warsaw, Poland</t>
  </si>
  <si>
    <t>Warsaw University of Technology</t>
  </si>
  <si>
    <t>Wodecki, A (corresponding author), Politechn Warszawska, Warsaw, Poland.</t>
  </si>
  <si>
    <t>WARSAW SCH ECONOMICS</t>
  </si>
  <si>
    <t>AL NIEPODLEGLOSCI 162, WARSAW, 02554, POLAND</t>
  </si>
  <si>
    <t>1731-6758</t>
  </si>
  <si>
    <t>1731-7428</t>
  </si>
  <si>
    <t>E-Mentor</t>
  </si>
  <si>
    <t>10.15219/em100.1617</t>
  </si>
  <si>
    <t>JN9L0</t>
  </si>
  <si>
    <t>WOS:001173963300005</t>
  </si>
  <si>
    <t>Beijing Normal University; Beijing Normal University - Hong Kong Baptist University United International College; Hong Kong Baptist University</t>
  </si>
  <si>
    <t>Yan, Dapeng/A-2677-2015</t>
  </si>
  <si>
    <t>Yin, ZC; Li, DY; Goldberg, DW</t>
  </si>
  <si>
    <t>Li, H; Cavallaro, G; Heras, DB; Lunga, D; Werner, M; Zufle, A</t>
  </si>
  <si>
    <t>Yin, Zhengcong; Li, Diya; Goldberg, Daniel W.</t>
  </si>
  <si>
    <t>Is ChatGPT a game changer for geocoding - a benchmark for geocoding address parsing techniques</t>
  </si>
  <si>
    <t>PROCEEDINGS OF THE 2ND ACM SIGSPATIAL INTERNATIONAL WORKSHOP ON SEARCHING AND MINING LARGE COLLECTIONS OF GEOSPATIAL DATA, GEOSEARCH 2023</t>
  </si>
  <si>
    <t>2nd ACM SIGSPATIAL International Workshop on Searching and Mining Large Collections of Geospatial Data (GeoSearch)</t>
  </si>
  <si>
    <t>NOV 13, 2023</t>
  </si>
  <si>
    <t>Assoc Comp Machinery,Apple,ESRI,Oracle</t>
  </si>
  <si>
    <t>Geocoding; Address parsing; Benchmark; NER; LLM; GPT</t>
  </si>
  <si>
    <t>ERROR</t>
  </si>
  <si>
    <t>The remarkable success of GPT models across various tasks, including toponymy recognition motivates us to assess the performance of the GPT-3 model in the geocoding address parsing task. To ensure that the evaluation more accurately mirrors performance in real-world scenarios with diverse user input qualities and resolve the pressing need for a 'gold standard' evaluation dataset for geocoding systems, we introduce a benchmark dataset of low-quality address descriptions synthesized based on human input patterns mining from actual input logs of a geocoding system in production. This dataset has 21 different input errors and variations; contains over 239,000 address records that are uniquely selected from streets across all U.S. 50 states and D.C.; and consists of three subsets to be used as training, validation, and testing sets. Building on this, we train and gauge the performance of the GPT-3 model in extracting address components, contrasting its performance with transformer-based and LSTM-based models. The evaluation results indicate that Bidirectional LSTM-CRF model has achieved the best performance over these transformer-based models and GPT-3 model. Transformer-based models demonstrate very comparable results compared to the Bidirectional LSTM-CRF model. The GPT-3 model, though trailing in performance, showcases potential in the address parsing task with few-shot examples, exhibiting room for improvement with additional fine-tuning. We open source the code and data of this presented benchmark(1) so that researchers can utilize it for future model development or extend it to evaluate similar tasks, such as document geocoding.</t>
  </si>
  <si>
    <t>[Yin, Zhengcong; Li, Diya; Goldberg, Daniel W.] Texas A&amp;M Univ, College Stn, TX 77843 USA</t>
  </si>
  <si>
    <t>Texas A&amp;M University System; Texas A&amp;M University College Station</t>
  </si>
  <si>
    <t>Yin, ZC (corresponding author), Texas A&amp;M Univ, College Stn, TX 77843 USA.</t>
  </si>
  <si>
    <t>yinzhengcong@tamu.edu; diya.li@tamu.edu; daniel.goldberg@tamu.edu</t>
  </si>
  <si>
    <t>, Diya Li/0000-0002-3287-9385</t>
  </si>
  <si>
    <t>979-8-4007-0352-2</t>
  </si>
  <si>
    <t>10.1145/3615890.3628538</t>
  </si>
  <si>
    <t>Computer Science, Information Systems; Computer Science, Interdisciplinary Applications</t>
  </si>
  <si>
    <t>BW5IQ</t>
  </si>
  <si>
    <t>WOS:001161646800006</t>
  </si>
  <si>
    <t>Zhang, J; Zhang, XK; Zhang-Li, D; Yu, JF; Yao, ZJ; Ma, ZY; Xu, YQ; Wang, HH; Zhang, XH; Lin, NY; Lu, SR; Li, JZ; Tang, J</t>
  </si>
  <si>
    <t>Zhang, Jing; Zhang, Xiaokang; Zhang-Li, Daniel; Yu, Jifan; Yao, Zijun; Ma, Zeyao; Xu, Yiqi; Wang, Haohua; Zhang, Xiaohan; Lin, Nianyi; Lu, Sunrui; Li, Juanzi; Tang, Jie</t>
  </si>
  <si>
    <t>GLM-Dialog: Noise-tolerant Pre-training for Knowledge-grounded Dialogue Generation</t>
  </si>
  <si>
    <t>Dialogue System; Dialogue Evaluation; Large Language Model</t>
  </si>
  <si>
    <t>We present GLM-Dialog, a large-scale language model (LLM) with 10B parameters capable of knowledge-grounded conversation in Chinese using a search engine to access the Internet knowledge. GLM-Dialog offers a series of applicable techniques for exploiting various external knowledge including both helpful and noisy knowledge, enabling the creation of robust knowledge-grounded dialogue LLMs with limited proper datasets. To evaluate the GLM-Dialog more fairly, we also propose a novel evaluation method to allow humans to converse with multiple deployed bots simultaneously and compare their performance implicitly instead of explicitly rating using multidimensional metrics. Comprehensive evaluations from automatic to human perspective demonstrate the advantages of GLM-Dialog comparing with existing open source Chinese dialogue models. We release both the model checkpoint and source code, and also deploy it as a WeChat application to interact with users(1). We offer our evaluation platform online(2) in an effort to prompt the development of open source models and reliable dialogue evaluation systems. All the source code is available on Github(3).</t>
  </si>
  <si>
    <t>[Zhang, Jing; Zhang, Xiaokang; Xu, Yiqi] Renmin Univ China, Beijing, Peoples R China; [Zhang-Li, Daniel; Yu, Jifan; Yao, Zijun; Wang, Haohua; Lin, Nianyi; Lu, Sunrui; Li, Juanzi; Tang, Jie] Tsinghua Univ, Beijing, Peoples R China; [Ma, Zeyao] Beijing Univ Posts &amp; Telecommun, Beijing, Peoples R China; [Zhang, Xiaohan] ZHIPU AI, Beijing, Peoples R China</t>
  </si>
  <si>
    <t>Renmin University of China; Tsinghua University; Beijing University of Posts &amp; Telecommunications</t>
  </si>
  <si>
    <t>Tang, J (corresponding author), Tsinghua Univ, Beijing, Peoples R China.</t>
  </si>
  <si>
    <t>zhang-jing@ruc.edu.cn; zhang2718@ruc.edu.cn; zlnn21@mails.tsinghua.edu.cn; yujf21@mails.tsinghua.edu.cn; yaozj20@mails.tsinghua.edu.cn; mazeyao@bupt.edu.cn; xuyiqi@ruc.edu.cn; hh-wang20@mails.tsinghua.edu.cn; xiaohan.zhang@aminer.cn; linny20@mails.tsinghua.edu.cn; lusr18@mails.tsinghua.edu.cn; juanzi@tsinghua.edu.cn; jietang@tsinghua.edu.cn</t>
  </si>
  <si>
    <t>Technology and Innovation Major Project of the Ministry of Science and Technology of China [2022ZD0118600, 2022ZD0118601]; NSFC [62076245, 61825602]; Public Computing Cloud at Renmin University of China; CCF-Zhipu [202306]</t>
  </si>
  <si>
    <t>Technology and Innovation Major Project of the Ministry of Science and Technology of China; NSFC(National Natural Science Foundation of China (NSFC)); Public Computing Cloud at Renmin University of China; CCF-Zhipu</t>
  </si>
  <si>
    <t>This work was supported by the Technology and Innovation Major Project of the Ministry of Science and Technology of China under Grant 2022ZD0118600 and 2022ZD0118601, NSFC for Distinguished Young Scholar (61825602), NSFC (62076245), CCF-Zhipu 202306, the Public Computing Cloud at Renmin University of China.</t>
  </si>
  <si>
    <t>10.1145/3580305.3599832</t>
  </si>
  <si>
    <t>WOS:001118896305054</t>
  </si>
  <si>
    <t>Towey, Dave/K-3160-2014</t>
  </si>
  <si>
    <t>Towey, Dave/0000-0003-0877-4353; Zhang, Yifan/0000-0003-1289-2192</t>
  </si>
  <si>
    <t>Zhao, WX; Zhou, K; Zhang, BC; Gong, Z; Chen, ZP; Zhou, YH; Wen, JR; Sha, J; Wang, SJ; Liu, C; Hu, GP</t>
  </si>
  <si>
    <t>Zhao, Wayne Xin; Zhou, Kun; Zhang, Beichen; Gong, Zheng; Chen, Zhipeng; Zhou, Yuanhang; Wen, Ji-Rong; Sha, Jing; Wang, Shijin; Liu, Cong; Hu, Guoping</t>
  </si>
  <si>
    <t>JiuZhang 2.0: A Unified Chinese Pre-trained Language Model for Multi-task Mathematical Problem Solving</t>
  </si>
  <si>
    <t>Chinese pre-trained language model; Mathematical problem solving</t>
  </si>
  <si>
    <t>Although pre-trained language models (PLMs) have recently advanced the research progress in mathematical reasoning, they are not specially designed as a capable multi-task solver, suffering from high cost for multi-task deployment (e.g., a model copy for a task) and inferior performance on complex mathematical problems in practical applications. To address these issues, we propose JiuZhang 2.0, a unified Chinese PLM specially for multi-task mathematical problem solving. Our idea is to maintain a moderate-sized model and employ the cross-task knowledge sharing to improve the model capacity in a multi-task setting. Specially, we construct a Mixture-of-Experts (MoE) architecture for modeling mathematical text, to capture the common mathematical knowledge across tasks. For optimizing the MoE architecture, we design multi-task continual pre-training and multi-task fine-tuning strategies for multi-task adaptation. These training strategies can effectively decompose the knowledge from the task data and establish the cross-task sharing via expert networks. To further improve the general capacity of solving different complex tasks, we leverage large language models (LLMs) as complementary models to iteratively refine the generated solution by our PLM, via in-context learning. Extensive experiments have demonstrated the effectiveness of our model.</t>
  </si>
  <si>
    <t>[Zhao, Wayne Xin; Zhang, Beichen; Gong, Zheng; Chen, Zhipeng; Wen, Ji-Rong] Renmin Univ China, Gaoling Sch Artificial Intelligence, Beijing, Peoples R China; [Zhou, Kun; Zhou, Yuanhang] Renmin Univ China, Sch Informat, Beijing, Peoples R China; [Sha, Jing; Wang, Shijin; Liu, Cong; Hu, Guoping] iFLYTEK Res, State Key Lab Cognit Intelligence, Hefei, Peoples R China; [Wang, Shijin] iFLYTEK AI Res Cent China, Wuhan, Peoples R China</t>
  </si>
  <si>
    <t>Zhao, WX (corresponding author), Renmin Univ China, Gaoling Sch Artificial Intelligence, Beijing, Peoples R China.</t>
  </si>
  <si>
    <t>batmanfly@gmail.com; francis_kun_zhou@163.com; zhangbeichen724@gmail.com; gongzheng0109@ruc.edu.cn; zhipeng_chen@ruc.edu.cn; sdzyh002@gmail.com; jrwen@ruc.edu.cn; jingsha@iflytek.com; sjwang3@iflytek.com; congliu2@iflytek.com; gphu@iflytek.com</t>
  </si>
  <si>
    <t>su, lin/KHC-5034-2024; guo, yi/KHC-4669-2024; Xia, Lianghao/IWV-0954-2023</t>
  </si>
  <si>
    <t>National Natural Science Foundation of China [62222215]; Beijing Natural Science Foundation [4222027]; Beijing Outstanding Young Scientist Program [BJJWZYJH012019100020098]; Outstanding Innovative Talents Cultivation Funded Programs 2021 of Renmin University of China</t>
  </si>
  <si>
    <t>National Natural Science Foundation of China(National Natural Science Foundation of China (NSFC)); Beijing Natural Science Foundation(Beijing Natural Science Foundation); Beijing Outstanding Young Scientist Program; Outstanding Innovative Talents Cultivation Funded Programs 2021 of Renmin University of China</t>
  </si>
  <si>
    <t>This work was partially supported by National Natural Science Foundation of China under Grant No. 62222215, Beijing Natural Science Foundation under Grant No. 4222027, and Beijing Outstanding Young Scientist Program under Grant No. BJJWZYJH012019100020098. And this work is also partially supported by the Outstanding Innovative Talents Cultivation Funded Programs 2021 of Renmin University of China. Xin Zhao is the corresponding author.</t>
  </si>
  <si>
    <t>10.1145/3580305.3599850</t>
  </si>
  <si>
    <t>WOS:001118896305063</t>
  </si>
  <si>
    <t>zhou, qy/0009-0000-1878-3646</t>
  </si>
  <si>
    <t>Yuksel, Dogan/ABC-7320-2020; Yuksel, Dogan/IAP-9468-2023; Curle, Samantha/JXL-6106-2024</t>
  </si>
  <si>
    <t>hybrid, Green Accepted, Green Published</t>
  </si>
  <si>
    <t>Zhang, Yuyao/KEH-7175-2024; yi, li/KFR-6141-2024; Wang, Luyao/JLL-2001-2023; zhang, yimeng/JLL-7337-2023; Li, Jiawei/JOJ-9277-2023; wang, xu/IAN-4886-2023; Zhang, Yunyi/JHS-3626-2023; liu, lin/JFK-3401-2023; Wang, Tianqi/JJD-7473-2023; qi, li/JFE-7167-2023; Wang, Weiyi/JZC-7841-2024; Zhang, Xiaofeng/JMC-6060-2023; zhou, han/JUV-0193-2023; Yang, Mei/JNS-2225-2023; Zhang, Lijun/JEZ-7925-2023; Ding, Yang/JUV-4842-2023; peng, yan/JCO-1763-2023</t>
  </si>
  <si>
    <t>Pennebaker, James/GLR-6058-2022</t>
  </si>
  <si>
    <t>Westerlund, Hugo/IZP-7925-2023; Hanson, Linda L Magnusson/D-2435-2017; Westerlund, Hugo/A-3049-2012; Pulakka, Anna/HKM-8817-2023</t>
  </si>
  <si>
    <t>Universite de Rouen Normandie; Centre National de la Recherche Scientifique (CNRS); CNRS - Institute of Chemistry (INC); University of Rostock; University of Rostock</t>
  </si>
  <si>
    <t>Afonso, Carlos/0000-0002-2406-5664; Lavanant, Helene/0000-0002-2963-0327; Zimmermann, Ralf/0000-0002-6280-3218; SUEUR, Maxime/0000-0002-5014-0218; Maillard, Julien/0000-0001-5620-8474</t>
  </si>
  <si>
    <t>Bacharier, LB; Maspero, JF; Katelaris, CH; Fiocchi, A; Gagnon, R; De Mir-Messa, I; Guilbert, TW; Jackson, DJ; Li, N; Akinlade, B; Laws, E; Mannent, LLM; Maloney, J; Tawo, K; Khokhar, FA; Hardin, M; Abdulai, R; Lederer, DJ; Robinson, LB</t>
  </si>
  <si>
    <t>Bacharier, Leonard B.; Maspero, Jorge F.; Katelaris, Connie H.; Fiocchi, Alessandro; Gagnon, Remi; De Mir-Messa, Ines; Guilbert, Theresa W.; Jackson, Daniel J.; Li, Ning; Akinlade, Bolanle; Laws, Elizabeth; Mannent, Leda L. M.; Maloney, Jennifer; Tawo, Kelsey; Khokhar, Faisal A.; Hardin, Megan; Abdulai, Raolat; Lederer, David J.; Robinson, Lacey B.</t>
  </si>
  <si>
    <t>ASSESSMENT OF THE LONG-TERM SAFETY AND EFFICACY OF DUPILUMAB IN CHILDREN WITH ASTHMA (LIBERTY ASTHMA EXCURSION STUDY)</t>
  </si>
  <si>
    <t>OCT 16-19, 2022</t>
  </si>
  <si>
    <t>Nashville, TN</t>
  </si>
  <si>
    <t>Amer Coll Chest Phys</t>
  </si>
  <si>
    <t>2677A</t>
  </si>
  <si>
    <t>2679A</t>
  </si>
  <si>
    <t>10.1016/j.chest.2022.08.2182</t>
  </si>
  <si>
    <t>6W1BC</t>
  </si>
  <si>
    <t>WOS:000895468902477</t>
  </si>
  <si>
    <t>da Silva, Rafael Braga/AAA-7579-2021; Gomes, Luan/KFS-6213-2024</t>
  </si>
  <si>
    <t>da Silva, Rafael Braga/0000-0001-5322-695X; Ribeiro Valadares, Nermy/0000-0001-7854-8111; Aguiar Alves, Rayane/0000-0002-1614-3239; Azevedo, Alcinei Mistico/0000-0001-5196-0851; SILVA, RAFAEL BOLINA/0000-0001-8958-9808; Goncalves Fernandes, Ana Clara/0000-0002-8161-8130</t>
  </si>
  <si>
    <t>OCT 4</t>
  </si>
  <si>
    <t>Zhang, LLM; Wong, WY</t>
  </si>
  <si>
    <t>Zhang, Leon Li-Min; Wong, Wai-Yeung</t>
  </si>
  <si>
    <t>Atomically precise copper nanoclusters as ultrasmall molecular aggregates: Appealing compositions, structures, properties, and applications</t>
  </si>
  <si>
    <t>AGGREGATE</t>
  </si>
  <si>
    <t>applications; atomically precise structures; copper nanoclusters; properties</t>
  </si>
  <si>
    <t>ELECTROCATALYTIC CO2 REDUCTION; NEAR-INFRARED LUMINESCENCE; INDUCED EMISSION; CHALCOGENIDE CLUSTERS; METAL NANOCLUSTERS; HYDROGEN-PEROXIDE; MIXED-VALENCE; HYDRIDE; LIGANDS; SILVER</t>
  </si>
  <si>
    <t>Metal nanoclusters (NCs) are ultrasmall molecular aggregates consisting of dozens to hundreds of metal atoms consolidated by organic ligands, which represent an emerging area of nanoscience. Amide a myriad of metal NCs, copper NCs (CuNCs) comprise a low-cost, high-value subclass that has attracted great attention. The variable copper cores and diversity of protecting ligands have rendered CuNCs interesting molecular aggregates featuring structural and compositional versatility, hence showing distinctive properties and potential applications. In the present review, we have summarized the progress on atomically precise CuNCs that exhibit a range of appealing properties and applications in different fields. This review is expected to provide not only an overview of the current development on atomically precise CuNCs, but also possible directions for the future design of novel CuNCs for fundamental studies and practical applications.</t>
  </si>
  <si>
    <t>[Zhang, Leon Li-Min; Wong, Wai-Yeung] Hong Kong Polytech Univ, Dept Appl Biol &amp; Chem Technol, Hong Kong, Peoples R China; [Zhang, Leon Li-Min; Wong, Wai-Yeung] Hong Kong Polytech Univ, Res Inst Smart Energy, Hong Kong, Peoples R China; [Zhang, Leon Li-Min; Wong, Wai-Yeung] Hong Kong Polytech Univ, Shenzhen Res Inst, Shenzhen, Peoples R China</t>
  </si>
  <si>
    <t>Hong Kong Polytechnic University; Hong Kong Polytechnic University; Hong Kong Polytechnic University</t>
  </si>
  <si>
    <t>Wong, WY (corresponding author), Hong Kong Polytech Univ, Dept Appl Biol &amp; Chem Technol, Hong Kong, Peoples R China.;Wong, WY (corresponding author), Hong Kong Polytech Univ, Res Inst Smart Energy, Hong Kong, Peoples R China.</t>
  </si>
  <si>
    <t>wai-yeung.wong@polyu.edu.hk</t>
  </si>
  <si>
    <t>WONG, Wai-yeung, Raymond/W-3884-2018</t>
  </si>
  <si>
    <t>WONG, Wai-yeung, Raymond/0000-0002-9949-7525</t>
  </si>
  <si>
    <t>Science, Technology and Innovation Committee of Shenzhen Municipality [JCYJ20180507183413211]; RGC Senior Research Fellowship Scheme [SRFS2021-5S01]; Hong Kong Research Grants Council [PolyU153062/18P]; Guangdong-Hong Kong-Macao Joint Laboratory of Optoelectronic and Magnetic Functional Materials [2019B121205002]; Hong Kong Polytechnic University [1-ZE1C]; Research Institute for Smart Energy (CDAQ); Miss Clarea Au for the Endowed Professorship in Energy [847S]</t>
  </si>
  <si>
    <t>Science, Technology and Innovation Committee of Shenzhen Municipality; RGC Senior Research Fellowship Scheme; Hong Kong Research Grants Council(Hong Kong Research Grants Council); Guangdong-Hong Kong-Macao Joint Laboratory of Optoelectronic and Magnetic Functional Materials; Hong Kong Polytechnic University(Hong Kong Polytechnic University); Research Institute for Smart Energy (CDAQ); Miss Clarea Au for the Endowed Professorship in Energy</t>
  </si>
  <si>
    <t>This work was supported by the Science, Technology and Innovation Committee of Shenzhen Municipality (JCYJ20180507183413211), the RGC Senior Research Fellowship Scheme (SRFS2021-5S01), the Hong Kong Research Grants Council (PolyU153062/18P), the Guangdong-Hong Kong-Macao Joint Laboratory of Optoelectronic and Magnetic Functional Materials (2019B121205002), the Hong Kong Polytechnic University (1-ZE1C), Research Institute for Smart Energy (CDAQ), and Miss Clarea Au for the Endowed Professorship in Energy (847S).</t>
  </si>
  <si>
    <t>2692-4560</t>
  </si>
  <si>
    <t>Aggregate</t>
  </si>
  <si>
    <t>e266</t>
  </si>
  <si>
    <t>10.1002/agt2.266</t>
  </si>
  <si>
    <t>Chemistry, Multidisciplinary; Chemistry, Physical; Materials Science, Multidisciplinary</t>
  </si>
  <si>
    <t>Chemistry; Materials Science</t>
  </si>
  <si>
    <t>9C3MO</t>
  </si>
  <si>
    <t>WOS:000853126100001</t>
  </si>
  <si>
    <t>SEP 12</t>
  </si>
  <si>
    <t>Feng, Zhien/O-2982-2018; wang, hao/HSE-7975-2023; Li, bo/IWL-9318-2023</t>
  </si>
  <si>
    <t>gamallo, pablo/A-6985-2009; Garcia, Marcos/GSD-3352-2022</t>
  </si>
  <si>
    <t>Computer Science, Artificial Intelligence; Linguistics</t>
  </si>
  <si>
    <t>Fujisawa, Kazunori/M-5934-2018; da Fonseca, Lucas Lafetá Prates/AAD-8571-2020; Matos, Matheus J S/F-8789-2012; Carvalho, Bruno R/C-6275-2015; Sousa, Frederico B./JED-6851-2023; Neves, Bernardo R A/B-9818-2013</t>
  </si>
  <si>
    <t>Fujisawa, Kazunori/0000-0002-3827-6921; da Fonseca, Lucas Lafetá Prates/0000-0002-1594-9142; Matos, Matheus J S/0000-0002-0398-3992; Carvalho, Bruno R/0000-0001-5188-8685; Neves, Bernardo R A/0000-0003-0464-4754; Campolina Barbosa, Tiago/0000-0001-6303-4222</t>
  </si>
  <si>
    <t>Guizhou Normal University; University of Wuppertal; Chinese Academy of Sciences; Institute of Geochemistry, CAS; Slovak Academy of Sciences; Guizhou University; Sejong University; King Abdulaziz University; Egyptian Knowledge Bank (EKB); Kafrelsheikh University; University of Rostock; University of Rostock; Justus Liebig University Giessen</t>
  </si>
  <si>
    <t>Yang, Xing/HKF-6065-2023; Shaheen, Sabry M./B-2524-2018; Song, Hocheol/ABD-7214-2021; Wang, Bing/I-7550-2019; Slaný, Michal/AAB-8898-2021; Rinklebe, Joerg/Y-2398-2019</t>
  </si>
  <si>
    <t>Yang, Xing/0000-0002-4060-1404; Shaheen, Sabry M./0000-0002-5618-8175; Wang, Bing/0000-0002-2773-2370; Slaný, Michal/0000-0002-8002-7259; Rinklebe, Joerg/0000-0001-7404-1639</t>
  </si>
  <si>
    <t>MArtinez, Silvia/AAD-5015-2022; Rüger, Christopher P./AAJ-5548-2020</t>
  </si>
  <si>
    <t>Rüger, Christopher P./0000-0001-9634-9239; Chacon-Patino, Martha L./0000-0002-7273-5343; Vesga Martinez, Silvia Juliana/0009-0003-4198-1722; Rodgers, Ryan/0000-0003-1302-2850; Zimmermann, Ralf/0000-0002-6280-3218</t>
  </si>
  <si>
    <t>Chan, Michael Chi Wai/C-4212-2009; Poon, Leo/AAP-6887-2020</t>
  </si>
  <si>
    <t>Herrmann, Carmen/C-7716-2013; Steenbock, Torben/M-6305-2016; Bester, Gabriel/I-4414-2012</t>
  </si>
  <si>
    <t>Herrmann, Carmen/0000-0002-9496-0664; Steenbock, Torben/0000-0002-9844-6101; Bester, Gabriel/0000-0003-2304-0817</t>
  </si>
  <si>
    <t>Coville, Neil/L-4088-2019; Sofer, Zdenek/A-9690-2010; Mazánek, Vlastimil/HDO-1495-2022; Antonatos, Nikolas/T-1718-2019; /J-3583-2015; Mazanek, Vlastimil/A-7638-2018</t>
  </si>
  <si>
    <t>Coville, Neil/0000-0001-5370-1386; Sofer, Zdenek/0000-0002-1391-4448; Antonatos, Nikolas/0000-0003-2563-9970; /0000-0001-6737-7775; Matsoso, Joyce/0000-0003-1017-0073; Moreno, Beatriz/0000-0003-2376-5324; Mokoloko, Lerato Lydia/0000-0003-4980-0319; Mazanek, Vlastimil/0000-0002-8524-3364; Barrett, Dean/0000-0001-5360-9336</t>
  </si>
  <si>
    <t>Leung, Gabriel Matthew/C-4336-2009; Poon, Leo/AAP-6887-2020; Leung, Nancy Hiu Lan/M-9080-2016; Cowling, Benjamin John/C-4263-2009; Cheng, samuel M.S./GNH-2164-2022</t>
  </si>
  <si>
    <t>Leung, Nancy Hiu Lan/0000-0001-7314-840X; Cheng, samuel M.S./0000-0001-7293-2331; Martin-Sanchez, Mario/0000-0002-2221-5331</t>
  </si>
  <si>
    <t>JUL 30</t>
  </si>
  <si>
    <t>Poon, Leo/AAP-6887-2020; zhang, tong/JAO-3571-2023; Zhang, Tong/C-6786-2008; Tun, Hein/ACR-0815-2022; Tun, Hein Min/F-4150-2011</t>
  </si>
  <si>
    <t>OCT 20</t>
  </si>
  <si>
    <t>Varkevisser, Rita Delphine Maiko/0000-0002-5656-6244; Mul, Dick/0000-0001-8095-9155; van Dijk, Peter/0000-0002-9702-6551; Wolffenbuttel, Bruce H.R./0000-0001-9262-6921</t>
  </si>
  <si>
    <t>Deutsches Institut fur Ernahrungsforschung Potsdam-Rehbrucke (DIfE); Federal Institute for Risk Assessment; University of Cambridge; University College Dublin; Dublin City University; University of Lausanne; Centre Hospitalier Universitaire Vaudois (CHUV); University of Lausanne; University of Navarra; CIBER - Centro de Investigacion Biomedica en Red; CIBEROBN; Instituto de Salud Carlos III; Uppsala University; Karolinska Institutet; Tehran University of Medical Sciences; Tehran University of Medical Sciences; Universidade Federal do Rio Grande do Sul; Universidade Federal da Bahia; Hanyang University; Korea Disease Control &amp; Prevention Agency (KDCA); Instituto Nacional de Salud Publica; Melbourne Genomics Health Alliance; Universite Paris Saclay; Universite Paris Cite; Institut National de la Sante et de la Recherche Medicale (Inserm); Universite de Montpellier; University of London; University College London; Cancer Research Center of Hawaii; University of Hawaii System; Harvard University; Harvard T.H. Chan School of Public Health; Tilburg University; University of Reading</t>
  </si>
  <si>
    <t>Marques-Vidal, Pedro M/C-9449-2009; Schulze, Matthias B/AAH-6906-2021; Colaus, PsyColaus/K-6607-2013; Ruiz-Canela, Miguel/I-7738-2016; Lajous, Martin/IQU-0837-2023; O'Gorman, Donal/J-7182-2015; Kim, Mi-Kyung/E-8682-2012; Vollenweider, Peter/Q-4603-2016; BES-RASTROLLO, MAIRA/A-1329-2009</t>
  </si>
  <si>
    <t>Schulze, Matthias B/0000-0002-0830-5277; Ruiz-Canela, Miguel/0000-0002-7684-2787; O'Gorman, Donal/0000-0002-8228-1488; Vollenweider, Peter/0000-0002-0765-896X; Bishop, Tom/0000-0002-3407-2526; Stern, Dalia/0000-0003-3779-6543; Wareham, Nicholas/0000-0003-1422-2993; ODonoghue, Grainne/0000-0002-9126-2094; BES-RASTROLLO, MAIRA/0000-0002-9139-4206</t>
  </si>
  <si>
    <t>Projekt DEAL; European Union's Seventh Framework Programme [602068]; German Federal Ministry of Education and Research and the State of Brandenburg [82DZD00302]; NutriAct -Competence Cluster Nutrition Research Berlin-Potsdam - German Federal Ministry of Education and Research [FKZ: 01EA1806A]; Deutsche Forschungsgemeinschaft (DFG, German Research Foundation) [491394008, NFDI 13/1]; Medical Research Council Epidemiology Unit [MC_ UU_00006/1, MC_UU_00006/3]; NIHR Biomedical Research Centre Cambridge: Nutrition, Diet, and Lifestyle Research Theme [IS-BRC-1215-20014]; NIHR [G111539]; EUCAN-Connect under the European Union's Horizon 2020 research and innovation programme [824989]; EU FP6 programme [LSHM_CT_2006_037197]; Spanish Government-Instituto de Salud Carlos III; European Regional Development Fund (FEDER) [RD 06/0045, PI10/02658, PI10/02293, PI13/00615, PI14/01668, PI14/01798, PI14/01764, PI17/01795, PI20/00564, G03/140]; Navarra Regional Government [27/2011, 45/2011, 122/2014]; PNSD 2020/2021; University of Navarra; Swedish Research Council [2017-00644]; Tehran University of Medical Sciences [81/15]; Cancer Research UK [C20/A5860]; Intramural Research Program of the U.S. National Cancer Institute, NIH; International Agency for Research on Cancer; Brazilian Ministry of Health (Department of Science and Technology); Ministry of Science, Technology and Innovation (Financiadora de Estudos e Projetos (FINEP) [01 06 0010.00, 01 06 0212.00, 01 06 0300.00, 01 06 0278.00, 01 06 0115.00, 01 06 0071.00]; National Council for Scientific and Technological Development (CNPq); Korea Centers for Disease Control and Prevention, Ministry for Health and Welfare, Republic of Korea [4845-301, 4851-302]; Collaborative Genome Program for Fostering New Post-Genome Industry of the National Research Foundation (NRF) - Ministry of Science and ICT [NRF-2017M3C9A6047623]; American Institute for Cancer Research [05B047]; Consejo Nacional de Ciencia y Tecnologia (CONACyT) [S0008-2009-1: 000000000115312]; US National Institutes of Health [U01 CA164973]; Dutch Dairy Association; Danish Dairy Research Foundation; GlaxoSmithKline; Faculty of Biology and Medicine of Lausanne; Swiss National Science Foundation [33CSCO-122661, 33CS30-139468, 33CS30-148401, 33CS30_177535/1]; UK Medical Research Council [MRCMR/R024227/1]; Wellcome Trust [221854/Z/20/Z]; US National Institutes of Health (NIH) [RF1AG062553, R01AG056477]; MRC [MC_UU_00006/3, MR/R024227/1, MC_UU_00006/1, MR/S011676/1] Funding Source: UKRI</t>
  </si>
  <si>
    <t>Ko, Fanny/B-8958-2016; Poon, Leo/AAP-6887-2020; Ng, Susanna SS/G-7431-2017; Cheng, samuel M.S./GNH-2164-2022; Hui, David Shu-Cheong/O-2754-2015; Chan, Ken Ka Pang/ISB-4650-2023</t>
  </si>
  <si>
    <t>Ko, Fanny/0000-0001-8454-0087; Cheng, samuel M.S./0000-0001-7293-2331; Hui, David Shu-Cheong/0000-0003-4382-2445;</t>
  </si>
  <si>
    <t>Rüger, Christopher P./0000-0001-9634-9239; Di Bucchianico, Sebastiano/0000-0002-6396-892X; Koch, Arne/0000-0003-4720-6930; Zimmermann, Ralf/0000-0002-6280-3218; Springer, Armin/0000-0001-9878-7240; Frank, Marcus/0000-0002-2517-4440; Stintz, Michael/0000-0001-5239-058X</t>
  </si>
  <si>
    <t>University of Oxford; Centre National de la Recherche Scientifique (CNRS); CNRS - National Institute for Biology (INSB); Universite Paris Saclay; Universite Paris Cite</t>
  </si>
  <si>
    <t>Cancela, Jose-Manuel/0000-0002-6234-1500; MARTUCCI, Lora/0000-0002-5335-2822</t>
  </si>
  <si>
    <t>Rüger, Christopher P./0000-0001-9634-9239; Ludtke, Hannes/0009-0002-4772-8245; Zimmermann, Ralf/0000-0002-6280-3218</t>
  </si>
  <si>
    <t>Swinburne University of Technology; Swinburne University of Technology Sarawak; University of Malaysia Sarawak</t>
  </si>
  <si>
    <t>University of Hong Kong; University of Hong Kong; National Institutes of Health (NIH) - USA; NIH National Cancer Institute (NCI); Melbourne Genomics Health Alliance; University of Melbourne; Peter Doherty Institute</t>
  </si>
  <si>
    <t>WANG, Jintao/AAJ-8775-2020; Hang, Guiyun/JXX-8789-2024</t>
  </si>
  <si>
    <t>WANG, Jintao/0000-0002-6162-4349;</t>
  </si>
  <si>
    <t>Chinese University of Hong Kong; Prince of Wales Hospital; University of Hong Kong; Chinese University of Hong Kong; Prince of Wales Hospital; Chinese University of Hong Kong; Prince of Wales Hospital; Chinese University of Hong Kong; Prince of Wales Hospital; Chinese University of Hong Kong; City University of Hong Kong; The Chinese University of Hong Kong, Shenzhen; CUHK Shenzhen Research Institute; University of Hong Kong</t>
  </si>
  <si>
    <t>Tian, Xiao Yu/P-1092-2016; Ng, Calvin S. H./L-4429-2016; Li, Xisheng/JBS-2061-2023; Poon, Leo/AAP-6887-2020; Huang, Yu/K-2866-2017; Lui, Kathy/AAC-8303-2020; Peng, Ye/IST-7186-2023; Chin, Alex Wing Hong/U-6277-2019; Wong, Randolph/AAE-3489-2020; Wang, Ronald/C-6541-2014; Huang, Yu/KDM-9182-2024</t>
  </si>
  <si>
    <t>Tian, Xiao Yu/0000-0003-3472-9898; Li, Xisheng/0000-0001-8172-5342; Huang, Yu/0000-0002-1277-6784; Lui, Kathy/0000-0002-1616-3643; Chin, Alex Wing Hong/0000-0002-6556-9092; Wong, Randolph/0000-0003-0027-459X; Wang, Ronald/0000-0002-3928-7278; Yang, Kevin/0000-0002-4200-745X; MA, Zhangjing/0000-0001-7371-7449</t>
  </si>
  <si>
    <t>MAR 8</t>
  </si>
  <si>
    <t>Karaghiosoff, Konstantin/B-8014-2015</t>
  </si>
  <si>
    <t>Karaghiosoff, Konstantin/0000-0002-8855-730X; Born, Max/0000-0003-4807-0211; Voggenreiter, Michael/0000-0001-7115-462X</t>
  </si>
  <si>
    <t>Schramowski, Patrick/0000-0003-1231-7120; Turan-Schwiewager, Cigdem/0000-0002-4836-6023; Rothkopf, Constantin/0000-0002-5636-0801</t>
  </si>
  <si>
    <t>Tun, Hein/ACR-0815-2022; Zhang, Tong/C-6786-2008; Poon, Leo/AAP-6887-2020; Tun, Hein Min/F-4150-2011; Chin, Alex Wing Hong/U-6277-2019; zhang, tong/JAO-3571-2023</t>
  </si>
  <si>
    <t>Tun, Hein Min/0000-0001-7597-5062; Chin, Alex Wing Hong/0000-0002-6556-9092;</t>
  </si>
  <si>
    <t>JUN 10</t>
  </si>
  <si>
    <t>Fasi, MA</t>
  </si>
  <si>
    <t>Fasi, Mohammed Abdul</t>
  </si>
  <si>
    <t>An Overview on patenting trends and technology commercialization practices in the university Technology Transfer Offices in USA and China</t>
  </si>
  <si>
    <t>WORLD PATENT INFORMATION</t>
  </si>
  <si>
    <t>Intellectual property; Patents; Technology transfer office; Commercialization; Entrepreneurship; Licensing</t>
  </si>
  <si>
    <t>ACADEMIC ENTREPRENEURSHIP; KNOWLEDGE; PROPERTY; GROWTH</t>
  </si>
  <si>
    <t>The Technology Transfer Office is critical in translating university research into commercial value. This research paper analyzes the performances of university Technology Transfer Office models as well as their technology transfer mechanisms. The first step of this research project involves conducting patent information searches on databases to investigate academic patenting activities in the USA and China. Many Technology Transfer Offices, have similar intellectual property licensing practices and the involvement of industrial partners throughout the commercialization process. However, during the comparison it is found that the Technology Transfer Office working models varied in several ways. The main difference is that the pace at which patenting is accomplished in the USA and Chinese universities is far more sophisticate. Because of substantial resources and government support, Proof of Concept funding at various stages of technological maturity is steadily developing at universities in the USA and China. Furthermore, both USA and Chinese universities are very active in teaching and incentivizing their faculty and students about the importance of academic entrepreneurship and are well-versed with skilled technology transfer professionals who have all the necessary skills to transfer technology.</t>
  </si>
  <si>
    <t>[Fasi, Mohammed Abdul] King Fahd Univ Petr &amp; Minerals, Dhahran, Saudi Arabia</t>
  </si>
  <si>
    <t>King Fahd University of Petroleum &amp; Minerals</t>
  </si>
  <si>
    <t>Fasi, MA (corresponding author), King Fahd Univ Petr &amp; Minerals, Dhahran, Saudi Arabia.</t>
  </si>
  <si>
    <t>fasi6026@gmail.com</t>
  </si>
  <si>
    <t>Fasi, Mohammed/E-2142-2016</t>
  </si>
  <si>
    <t>Fasi, Mohammed/0000-0003-4514-0851</t>
  </si>
  <si>
    <t>World Intellectual Property Organization (WIPO); Turkish Patent and Trademark Office; Ankara University; King Fahd University of Petroleum and Minerals</t>
  </si>
  <si>
    <t>World Intellectual Property Organization (WIPO); Turkish Patent and Trademark Office; Ankara University(Ankara University); King Fahd University of Petroleum and Minerals</t>
  </si>
  <si>
    <t>The author wishes to thank the World Intellectual Property Organization (WIPO), Ankara University, and the Turkish Patent and Trademark Office for providing scholarships and financial support for his LLM studies. The author wishes to express his heartfelt gratitude to his adviser, Dr. Zehra OZKAN UNER, for her expert supervision, constructive support, and motivation during the project's completion. The author would like to express his gratitude to King Fahd University of Petroleum and Minerals for providing the necessary support and facilities for this research.</t>
  </si>
  <si>
    <t>0172-2190</t>
  </si>
  <si>
    <t>1874-690X</t>
  </si>
  <si>
    <t>WORLD PAT INF</t>
  </si>
  <si>
    <t>World Pat. Inf.</t>
  </si>
  <si>
    <t>10.1016/j.wpi.2022.102097</t>
  </si>
  <si>
    <t>ZY5GX</t>
  </si>
  <si>
    <t>WOS:000772615800008</t>
  </si>
  <si>
    <t>Chin, Alex Wing Hong/U-6277-2019; Poon, Leo/AAP-6887-2020</t>
  </si>
  <si>
    <t>FEB 23</t>
  </si>
  <si>
    <t>Leung, Gabriel Matthew/C-4336-2009; Edwards, Kimberly M/JLL-8496-2023; Poon, Leo/AAP-6887-2020; Cheng, samuel M.S./GNH-2164-2022; Leung, Kathy/D-5605-2017; Dhanasekaran, Vijaykrishna/HKO-1036-2023; Cowling, Benjamin John/C-4263-2009; Wu, Joseph Tsz Kei/C-4450-2009</t>
  </si>
  <si>
    <t>Edwards, Kimberly M/0000-0003-0944-3118; Cheng, samuel M.S./0000-0001-7293-2331; Leung, Kathy/0000-0003-4777-388X; Dhanasekaran, Vijaykrishna/0000-0003-3293-6279; Adam, Dillon/0000-0002-7485-9905; Gu, Haogao/0000-0002-7541-4262; Wu, Joseph Tsz Kei/0000-0002-3155-5987</t>
  </si>
  <si>
    <t>Mohamed-Yassin, Mohamed-Syarif/O-1176-2016; Abdul Razak, Suraya/KHC-5629-2024; Ramli, Anis Safura/U-3548-2018; Baharudin, Noorhida/AAC-3428-2019; Daher, Aqil M./A-5821-2018; Mohamed-Yassin, Mohamed-Syarif/ADI-9456-2022; Ramli, Anis Safura/K-3322-2014; Mohamed Noor Khan, Nor Ashikin/AAG-3988-2020</t>
  </si>
  <si>
    <t>Mohamed-Yassin, Mohamed-Syarif/0000-0003-3654-2146; Baharudin, Noorhida/0000-0002-8188-4148; Mohamed-Yassin, Mohamed-Syarif/0000-0003-3654-2146; Ramli, Anis Safura/0000-0002-9517-1413; Mohamed Noor Khan, Nor Ashikin/0000-0002-1325-9236</t>
  </si>
  <si>
    <t>Poon, Leo/AAP-6887-2020; Chan, Michael Chi Wai/C-4212-2009</t>
  </si>
  <si>
    <t>MAR 24</t>
  </si>
  <si>
    <t>zhang, tong/JAO-3571-2023; Poon, Leo/AAP-6887-2020; Zhang, Tong/C-6786-2008</t>
  </si>
  <si>
    <t>; Cheng, Chu-Lin/G-3471-2013</t>
  </si>
  <si>
    <t>Kang, James/0000-0002-1553-7543; Ahmed, Syed Istiyak/0000-0002-2622-936X; Cheng, Chu-Lin/0000-0002-1900-463X</t>
  </si>
  <si>
    <t>van Leenen, Petra/0000-0003-0339-6920; Derks, Lucca/0000-0001-9836-5558; Hageman, Joris/0000-0002-1386-054X; Bollen, Yannik/0000-0002-4493-0467; van den Bos, Myrna/0000-0002-9249-8461</t>
  </si>
  <si>
    <t>Purdue University System; Purdue University; United States Department of Energy (DOE); Pacific Northwest National Laboratory; Idaho; Boise State University</t>
  </si>
  <si>
    <t>Serra, Edoardo/E-4670-2018; Pothen, Alex/KBB-5313-2024</t>
  </si>
  <si>
    <t>Li, Haoran/KHW-8005-2024</t>
  </si>
  <si>
    <t>Li, Haoran/0000-0003-1656-1278</t>
  </si>
  <si>
    <t>Mosin, Vladislav/HDM-4033-2022; Yamshchikov, Ivan P./AAT-5696-2020; Surkov, Maxim/HDM-3998-2022</t>
  </si>
  <si>
    <t>Yamshchikov, Ivan P./0000-0003-3784-0671; Surkov, Maxim/0000-0002-3929-7484; Mosin, Vladislav/0000-0003-2564-2926</t>
  </si>
  <si>
    <t>增明, 张/GEG-4517-2022; LIU, JIALIN/JXN-8034-2024</t>
  </si>
  <si>
    <t>Rucheng, Dai/0000-0001-7522-2378; Zhang, Zengming/0000-0001-8245-9955</t>
  </si>
  <si>
    <t>JAN 26</t>
  </si>
  <si>
    <t>University of Wuppertal; King Abdulaziz University; Egyptian Knowledge Bank (EKB); Kafrelsheikh University; Chinese Academy of Sciences; Institute of Geochemistry, CAS; Justus Liebig University Giessen; University of Rostock; University of Rostock; University of Rostock; National Chung Hsing University; National Chung Hsing University; National Taiwan University</t>
  </si>
  <si>
    <t>Hsu, Liang-Ching/AAE-6858-2019; Wang, Shan-Li/C-6016-2008; Rinklebe, Joerg/Y-2398-2019; Wang, Shan/JPX-1098-2023; Baumann, Karen/GWC-6073-2022; Baumann, Karen/B-4014-2019; Shaheen, Sabry M./B-2524-2018</t>
  </si>
  <si>
    <t>Hsu, Liang-Ching/0000-0002-8603-9277; Wang, Shan-Li/0000-0003-3156-5365; Rinklebe, Joerg/0000-0001-7404-1639; Baumann, Karen/0000-0003-1341-052X; Shaheen, Sabry M./0000-0002-5618-8175</t>
  </si>
  <si>
    <t>zhen, li/KGK-6604-2024; Wu, Keqiang/C-9743-2013; yan, yan/JVN-1800-2024; liu, mengjie/KDN-1890-2024; bai, yu/KHU-2608-2024</t>
  </si>
  <si>
    <t>Wu, Keqiang/0000-0002-5791-3594; Yang, Yangsongguang/0000-0001-5448-1872; Jie, Yang/0000-0003-1934-3137</t>
  </si>
  <si>
    <t>JAN 27</t>
  </si>
  <si>
    <t>Lim, Unhee/AEA-8591-2022; Tirikainen, M/B-6954-2012</t>
  </si>
  <si>
    <t>Lim, Unhee/0000-0001-6221-7190; Tirikainen, M/0000-0002-8124-3818; Seffernick, Anna Eames/0000-0003-0848-4604; Song, Min-Ae/0000-0002-2864-0224</t>
  </si>
  <si>
    <t>Cheng, Alfred SL/C-3327-2014; To, Ka Fai/JTT-7693-2023; YANG, WEIQIN/JQV-7650-2023; 徐, 亮亮/GWQ-8488-2022; XU, LIANGLIANG/HHR-9617-2022; Mok, Myth T/M-2958-2013; Chan, Stephen Lam/F-9149-2011; XU, LIANGLIANG/AAZ-7935-2020; Yip, Kevin/AAT-4771-2020; KANG, Wei/C-5451-2016</t>
  </si>
  <si>
    <t>To, Ka Fai/0000-0003-4919-3707; Chan, Stephen Lam/0000-0001-8998-5480; Yip, Kevin/0000-0001-5516-9944; KANG, Wei/0000-0002-4651-677X; YANG, WEIQIN/0000-0002-3564-9104; Szeto, Lemuel Lut Ming/0000-0003-3957-1444</t>
  </si>
  <si>
    <t>JAN 28</t>
  </si>
  <si>
    <t>Seattle Children's Hospital; Cancer Research Center of Hawaii; University of Hawaii System; University System of Maryland; University of Maryland Baltimore; Fred Hutchinson Cancer Center</t>
  </si>
  <si>
    <t>Shepherd, John/S-3146-2018; Lim, Unhee/AEA-8591-2022; Shepherd, John/IZE-0831-2023</t>
  </si>
  <si>
    <t>Shepherd, John/0000-0003-2280-2541; Lim, Unhee/0000-0001-6221-7190; Merritt, Melissa A./0000-0002-5067-6119; Le Marchand, Loic/0000-0001-5013-980X</t>
  </si>
  <si>
    <t>Chacón-Patiño, ML; Gray, MR; Rüger, C; Smith, DF; Glattke, TJ; Niles, SF; Neumann, A; Weisbrod, CR; Yen, A; McKenna, AM; Giusti, P; Bouyssiere, B; Barrère-Mangote, C; Yarranton, H; Hendrickson, CL; Marshall, AG; Rodgers, RP</t>
  </si>
  <si>
    <t>Chacon-Patino, Martha L.; Gray, Murray R.; Rueger, Christopher; Smith, Donald F.; Glattke, Taylor J.; Niles, Sydney F.; Neumann, Anika; Weisbrod, Chad R.; Yen, Andrew; McKenna, Amy M.; Giusti, Pierre; Bouyssiere, Brice; Barrere-Mangote, Caroline; Yarranton, Harvey; Hendrickson, Christopher L.; Marshall, Alan G.; Rodgers, Ryan P.</t>
  </si>
  <si>
    <t>Lessons Learned from a Decade-Long Assessment of Asphaltenes by Ultrahigh-Resolution Mass Spectrometry and Implications for Complex Mixture Analysis</t>
  </si>
  <si>
    <t>GEL-PERMEATION CHROMATOGRAPHY; COLLISION-INDUCED DISSOCIATION; DIFFERENT CRUDE OILS; DETAILED CHEMICAL-CHARACTERIZATION; ATMOSPHERIC-PRESSURE IONIZATION; EQUIVALENT BOILING-POINT; EVOLVED GAS-ANALYSIS; FT-ICR MS; ELECTROSPRAY-IONIZATION; HEAVY PETROLEUM</t>
  </si>
  <si>
    <t>Recent advances in instrumentation for high-field Fourier transform ion cyclotron resonance mass spectrometry (FT-ICR MS) have enabled access to similar to 70 000 unique molecular formulas in broadband mass spectral characterization of unfractionated/whole asphaltenes. The results accumulated over a decade highlight the need for an asphaltene molecular model that acknowledges the coexistence of (1) monofunctional and polyfunctional species; (2) island and archipelago structural motifs; and (3) heteroatom-depleted/highly aromatic compounds, as well as atypical species with low aromaticity but increased heteroatom content. Collectively, results from FT-ICR MS, preparatory-scale separations (extrography/interfacial material), gel permeation chromatography, precipitation behavior in heptane:toluene, thermal decomposition, and aggregate microstructure by atomic force microscopy (among other techniques), suggest that the strong aggregation of asphaltenes results from the synergy between several intermolecular forces: pi-stacking, hydrogen bonding, London forces, and acid/base interactions. This review presents general features of asphaltene molecular composition reported over the past five decades. We focus on mass spectrometry characterization and expose the reasons why early results supported the dominance of single-core motifs. Then, the discussion shifts to recent advances in instrumentation for high-field FT-ICR MS, which have enabled the detection of thousands of species in asphaltene samples, whose molecular composition and fragmentation behavior in ultrahigh vacuum agree with the coexistence of single-core and multicore structural motifs. Furthermore, evidence that highlights the limitations of commercially available/custom-built ion sources and selective ionization effects is presented. Consequently, the limitations require separations (e.g., chromatography, extrography) to gain more-comprehensive molecular-level insights into the composition of these complex organic mixtures. The final sections present evidence for the role of aggregation in selective ionization and suggest that advanced characterization by both thermal desorption/decomposition and liquid chromatography with online FT-ICR MS detection can be employed to mitigate the effects of aggregation and provide unique insights in molecular composition/structure.</t>
  </si>
  <si>
    <t>[Gray, Murray R.] Univ Alberta, Calgary, AB T2L 2A6, Canada; [Gray, Murray R.] Alberta Innovates, Calgary, AB T2L 2A6, Canada; [Rueger, Christopher; Neumann, Anika] Univ Rostock, Joint Mass Spectrometry Ctr JMSC, Chair Analyt Chem, D-18059 Rostock, Germany; [Rueger, Christopher; Neumann, Anika] Univ Rostock, Dept Life Light &amp; Matter LLM, D-18051 Rostock, Germany; [Chacon-Patino, Martha L.; Smith, Donald F.; Weisbrod, Chad R.; McKenna, Amy M.; Hendrickson, Christopher L.; Marshall, Alan G.; Rodgers, Ryan P.] Florida State Univ, Natl High Magnet Field Lab, Tallahassee, FL 32310 USA; [Glattke, Taylor J.; Niles, Sydney F.; Hendrickson, Christopher L.; Marshall, Alan G.; Rodgers, Ryan P.] Florida State Univ, Dept Chem &amp; Biochem, Tallahassee, FL 32306 USA; [Yen, Andrew] Ennova LLC, Stafford, TX 77477 USA; [Chacon-Patino, Martha L.; Giusti, Pierre; Bouyssiere, Brice; Barrere-Mangote, Caroline; Rodgers, Ryan P.] TRTG, Int Joint Lab iC2MC Complex Matrices Mol Characte, F-76700 Harfleur, France; [Giusti, Pierre; Barrere-Mangote, Caroline] TotalEnergies Res &amp; Technol Gonfreville, TotalEnergies Refining &amp; Chem, F-76700 Hatfleur, France; [Bouyssiere, Brice; Rodgers, Ryan P.] Univ Pau &amp; Pays Adour, UPPA E2S, CNRS, IPREM,Inst Sci Analyt &amp; Phys Chim Environm &amp; Mat, F-64053 Pau, France; [Yarranton, Harvey] Univ Calgary, Dept Chem &amp; Petr Engn, Schulich Sch Engn, Calgary, AB T2N 1N4, Canada</t>
  </si>
  <si>
    <t>University of Alberta; Alberta Innovates; University of Rostock; University of Rostock; State University System of Florida; Florida State University; State University System of Florida; Florida State University; Centre National de la Recherche Scientifique (CNRS); Universite de Pau et des Pays de l'Adour; University of Calgary</t>
  </si>
  <si>
    <t>Chacón-Patiño, ML; Rodgers, RP (corresponding author), Florida State Univ, Natl High Magnet Field Lab, Tallahassee, FL 32310 USA.;Rodgers, RP (corresponding author), Florida State Univ, Dept Chem &amp; Biochem, Tallahassee, FL 32306 USA.;Chacón-Patiño, ML; Rodgers, RP (corresponding author), TRTG, Int Joint Lab iC2MC Complex Matrices Mol Characte, F-76700 Harfleur, France.;Rodgers, RP (corresponding author), Univ Pau &amp; Pays Adour, UPPA E2S, CNRS, IPREM,Inst Sci Analyt &amp; Phys Chim Environm &amp; Mat, F-64053 Pau, France.</t>
  </si>
  <si>
    <t>chacon@magnet.fsu.edu; rodgers@magnet.fsu.edu</t>
  </si>
  <si>
    <t>Rüger, Christopher P./AAJ-5548-2020; Savage, Phillip/A-6829-2008; Smith, Donald F/K-3939-2013</t>
  </si>
  <si>
    <t>Rüger, Christopher P./0000-0001-9634-9239; Smith, Donald/0000-0003-3331-0526; Neumann, Anika/0000-0001-7256-3716; Niles, Sydney/0000-0002-3487-6612; Chacon-Patino, Martha L./0000-0002-7273-5343; McKenna, Amy/0000-0001-7213-521X; Glattke, Taylor/0000-0003-2934-0749</t>
  </si>
  <si>
    <t>National Science Foundation Division of Chemistry [DMR-1644779]; State of Florida; Florida State University</t>
  </si>
  <si>
    <t>National Science Foundation Division of Chemistry(National Science Foundation (NSF)); State of Florida; Florida State University</t>
  </si>
  <si>
    <t>This work was supported by the National Science Foundation Division of Chemistry (No. DMR-1644779), Florida State University, and the State of Florida. The authors thank Greg Blakney for help with data calibration and Yuri E. Corilo for PetroOrg software.</t>
  </si>
  <si>
    <t>OCT 21</t>
  </si>
  <si>
    <t>10.1021/acs.energyfuels.1c02107</t>
  </si>
  <si>
    <t>WM3YQ</t>
  </si>
  <si>
    <t>WOS:000711024500003</t>
  </si>
  <si>
    <t>hybrid, Green Submitted, Green Accepted</t>
  </si>
  <si>
    <t>Geng, Jiwen/GYJ-3946-2022; li, jian/IAQ-2794-2023; Liao, Ruoxi/GRJ-6181-2022</t>
  </si>
  <si>
    <t>Geng, Jiwen/0000-0001-6266-1945; Liao, Ruoxi/0000-0002-8364-7293; Su, Baihai/0000-0002-2187-8168</t>
  </si>
  <si>
    <t>State Key Lab Oncology South China; Sun Yat Sen University; Chinese Academy of Medical Sciences - Peking Union Medical College; Sun Yat Sen University; Sun Yat Sen University; Sun Yat Sen University; Sun Yat Sen University</t>
  </si>
  <si>
    <t>Liu, Gui/JHU-8707-2023; li, yang/IQV-3559-2023; Li, Jiaai/JCO-0168-2023; li, xiaofeng/GXF-9442-2022; huang, shan/JVN-1240-2024; chen, minghui/KFR-8832-2024; qi, li/JFE-7167-2023; Wang, Yue/JRY-8962-2023; Tang, Wei/IZQ-1283-2023; Wang, Jing/IQW-3496-2023; Wang, Yanlin/JGC-6782-2023; Wang, Feng/GWU-5800-2022; li, jian/IAQ-2794-2023; Lu, Xiaomei/IUQ-2139-2023; 骆, 卉妍/GWR-3383-2022; LI, WEI/ISS-1208-2023; li, Yu/HCI-9086-2022; Wang, Deshen/JBR-7938-2023; jiang, lei/IWE-1124-2023; chen, chen/JGD-3057-2023; Xu, Rui-Hua/AAW-4766-2021</t>
  </si>
  <si>
    <t>Wang, Yue/0000-0001-8673-6358; Wang, Jing/0000-0002-8296-2961; 骆, 卉妍/0000-0001-6312-9299; Wang, Deshen/0000-0001-9657-4380; Jin, Ying/0000-0001-7105-3052; Miaozhen, Qiu/0000-0002-4774-6235; Xu, Rui-Hua/0000-0001-9771-8534</t>
  </si>
  <si>
    <t>Chin, Alex Wing Hong/U-6277-2019; Cheung, Peter Pak Hang/JYP-9794-2024; Huang, Xuhui/ABE-3207-2021; Lei, Ming/JAD-1050-2023; Poon, Leo/AAP-6887-2020; zhang, lu/GRO-2969-2022</t>
  </si>
  <si>
    <t>Chin, Alex Wing Hong/0000-0002-6556-9092; Cheung, Peter Pak Hang/0000-0001-8474-2906; Huang, Xuhui/0000-0002-7119-9358; Dai, Zixi/0009-0004-8775-4135; Xu, Xinzhou/0000-0002-6439-7970; Wang, Yuqing/0000-0001-5551-3469</t>
  </si>
  <si>
    <t>SEP 7</t>
  </si>
  <si>
    <t>Universidade Federal do Parana; Centre National de la Recherche Scientifique (CNRS); Universite Cote d'Azur; Ifremer; Institut de Recherche pour le Developpement (IRD); Le Mans Universite; Ifremer</t>
  </si>
  <si>
    <t>Mafra, Luiz/J-6047-2012; Dechraoui Bottein, Marie-Yasmine/KAM-3400-2024; DARIUS, Hélène Taiana/J-6163-2015; Swarzenski, Peter/AAD-8562-2022; Bottein, Marie-Yasmine Dechraoui/J-8851-2018; CHINAIN, Mireille/G-7055-2017</t>
  </si>
  <si>
    <t>Mafra, Luiz/0000-0001-5822-3619; DARIUS, Hélène Taiana/0000-0002-1184-7034; CHINAIN, Mireille/0000-0001-6560-1278; Taylor, Angus/0000-0003-1604-0886; Dechraoui Bottein, Marie-Yasmine/0000-0002-6468-7222; Ben Gharbia, Hela/0000-0002-9878-6915; Swarzenski, Peter/0000-0003-0116-0578</t>
  </si>
  <si>
    <t>University of Vienna; Jeju National University; Jeju National University; University of Vienna; Chungbuk National University; Ecole Centrale de Lyon; Universite Claude Bernard Lyon 1; Institut National des Sciences Appliquees de Lyon - INSA Lyon; University of Vienna; University of East Anglia; California State University System; San Francisco State University; University of Vienna; Aalborg University; Leibniz University Hannover; University of California System; University of California Santa Barbara</t>
  </si>
  <si>
    <t>Herbold, Craig William/S-4397-2018; Pjevac, Petra/AAW-8737-2020; Pjevac, Petra/ABE-9919-2021; Nicol, Graeme/AFM-9614-2022; Nicol, Graeme/E-4902-2011; de la Torre, Jose R/H-2081-2012; Daims, Holger/I-8410-2012; Bayer, Barbara/AAF-5866-2019; Wagner, Michael/A-7801-2011</t>
  </si>
  <si>
    <t>Herbold, Craig William/0000-0003-3479-0197; Pjevac, Petra/0000-0001-7344-302X; Pjevac, Petra/0000-0001-7344-302X; Nicol, Graeme/0000-0002-3876-022X; Nicol, Graeme/0000-0002-3876-022X; de la Torre, Jose R/0000-0002-9553-6048; Daims, Holger/0000-0002-4195-0913; Bayer, Barbara/0000-0003-3968-5804; Jung, Man-Young/0000-0002-5244-5197; Hink, Linda/0000-0002-9405-088X; Mueller, Anna Julia/0000-0002-9939-5633; Wagner, Michael/0000-0002-9778-7684</t>
  </si>
  <si>
    <t>Wittgenstein award of the Austrian Science Fund FWF [Z383-B]; Austrian Science Fund FWF through the Young Investigators Research Grant program [ZK74]; Research Institute for Basic Sciences (RIBS) of Jeju National University [2019R1A6A10072987]; National research Facilities and Equipment Center of Korea Basic Science Institute through the National Research Foundation of Korea (NRF) - Ministry of Education [2020R1A6C101A188]; MSIT by Korea government [NRF-2021R1C1C1008303]; NRF - Ministry of Environment (MOE) of the Republic of Korea [2021R1A2C3004015]; University of East Anglia; Royal Society Dorothy Hodgkin Research Fellowship [DH150187]; European Research Council (ERC) [UNITY 852993]; Austrian Science Fund (FWF) [Z383, ZK74] Funding Source: Austrian Science Fund (FWF)</t>
  </si>
  <si>
    <t>Green Submitted, Green Accepted, hybrid, Green Published</t>
  </si>
  <si>
    <t>Green Published, Green Submitted</t>
  </si>
  <si>
    <t>Rüger, Christopher P./AAJ-5548-2020; Makarov, Alexander/AAC-2529-2022</t>
  </si>
  <si>
    <t>Rüger, Christopher P./0000-0001-9634-9239; Makarov, Alexander/0000-0002-7046-6709; Zimmermann, Ralf/0000-0002-6280-3218; Rigler, Martin/0000-0001-5333-5582; Schade, Julian/0000-0002-7906-6744</t>
  </si>
  <si>
    <t>University of Hong Kong; University of Hong Kong; Food &amp; Agriculture Organization of the United Nations (FAO); Food &amp; Agriculture Organization of the United Nations (FAO); Universite de Montpellier; CIRAD; INRAE; Pasteur Network; Institut Pasteur Cambodia; Universite de Montpellier; INRAE; CIRAD; Centre National de la Recherche Scientifique (CNRS); Universite de Montpellier; Institut de Recherche pour le Developpement (IRD); Hassan II University of Casablanca; State Key Laboratory of Respiratory Disease; Guangzhou Medical University; University of Hong Kong; Chinese University of Hong Kong</t>
  </si>
  <si>
    <t>Zhao, Jincun/ABD-8679-2021; Fassi Fihri, Ouafaa/CAG-3645-2022; So, Ray/KFS-3029-2024; Mok, Chris Ka Pun/ABD-2667-2021; Poon, Leo/AAP-6887-2020; Chan, Michael Chi Wai/C-4212-2009; wang, yanqun/AGZ-1821-2022; Perera, Dr. Ranawaka A.P.M/N-8263-2015; Nicholls, John Malcolm/C-4375-2009</t>
  </si>
  <si>
    <t>Zhao, Jincun/0000-0003-2515-5589; El Masry, Ihab/0000-0001-8020-9450; Abayneh Tefera, Takele/0000-0002-6907-8055; So, Ray/0000-0002-9576-4489; Hui, Kenrie Pui Yan/0000-0003-1506-0535; Perera, Dr. Ranawaka A.P.M/0000-0003-3936-1535; GELAYE, ESAYAS/0000-0002-7329-8632; Nicholls, John Malcolm/0000-0001-7217-7444</t>
  </si>
  <si>
    <t>zhang, tong/JAO-3571-2023; Zhang, Tong/HGC-1090-2022; Zhang, Tong/C-6786-2008; Tun, Hein/ACR-0815-2022; Poon, Leo/AAP-6887-2020; Leung, Gabriel Matthew/C-4336-2009; Yulin, Wang/AAL-3345-2021; Zhang, tong/IAP-2587-2023</t>
  </si>
  <si>
    <t>Mohammed, Amany Tharwat/B-1532-2019; Mohamed, Amany Abdelrahman/AAC-9778-2020; Abdo, Samar Ahmed/JTU-5542-2023; Ebraheim, Lamiaa/AIE-9114-2022</t>
  </si>
  <si>
    <t>Mohammed, Amany Tharwat/0000-0002-7677-0568; Mohamed, Amany Abdelrahman/0000-0003-0061-2675; Abdo, Samar Ahmed/0000-0003-4542-3659;</t>
  </si>
  <si>
    <t>AUG 15</t>
  </si>
  <si>
    <t>S., Nazir/GLN-8178-2022; Anjum, S./AAQ-6299-2021</t>
  </si>
  <si>
    <t>Azevedo, Izabela Lorena/0000-0002-0707-7567; Carvalho, Carolina/0000-0002-3145-0253; Souza, Cintya/0000-0002-3640-8636; ALMEIDA, ANNA CHRISTINA/0000-0001-9836-4117; Nogueira, Wedson/0000-0001-7378-780X; Santos, Sergio/0000-0002-7788-5447</t>
  </si>
  <si>
    <t>Esmaeili, Hamid/KEI-1674-2024; Zarei, Fatah/N-5570-2015; Kovačić, Marcelo/B-5736-2018; Esmaeili, Hamid Reza/AAT-7368-2020</t>
  </si>
  <si>
    <t>Zarei, Fatah/0000-0001-5552-4301; Esmaeili, Hamid Reza/0000-0002-9736-397X</t>
  </si>
  <si>
    <t>Shaanxi Normal University; East China Normal University; Purdue University System; Purdue University; East China Normal University</t>
  </si>
  <si>
    <t>University of Minnesota System; University of Minnesota Twin Cities; University of Minnesota System; University of Minnesota Twin Cities; Academia Sinica - Taiwan; Universite Paris Cite; Institut National de la Sante et de la Recherche Medicale (Inserm)</t>
  </si>
  <si>
    <t>Lee, Yi-Ching/AAE-6900-2022; Legeai-Mallet, Laurence/E-6112-2016</t>
  </si>
  <si>
    <t>Lee, Yi-Ching/0000-0002-7734-5619; Legeai-Mallet, Laurence/0000-0003-4989-5856; Wagner, Brandon/0000-0001-9162-3032; KACI, Nabil/0000-0002-6952-6815; Lin, Yun-Wen/0000-0002-7068-567X</t>
  </si>
  <si>
    <t>Almanjahie, Ibrahim/GLN-4504-2022; CHIKR ELMEZOUAR, ZOUAOUI/ISR-8816-2023; Almanjahie, Ibrahim/HJH-0941-2022; ali, Laksaci/M-6259-2016</t>
  </si>
  <si>
    <t>Economic and Social Research Council [ES/P000711/1]; NERC [1927756] Funding Source: UKRI</t>
  </si>
  <si>
    <t>Economic and Social Research Council(UK Research &amp; Innovation (UKRI)Economic &amp; Social Research Council (ESRC)); NERC(UK Research &amp; Innovation (UKRI)Natural Environment Research Council (NERC))</t>
  </si>
  <si>
    <t>APR 29</t>
  </si>
  <si>
    <t>Ebraheim, Lamiaa/AIE-9114-2022; Behairy, Amany/AAU-8838-2020; Soliman, Mohamed/ABJ-0997-2022; Abd-Elhakim, Yasmina M./ISV-0590-2023; Ghazaly, Yasmina Mohammed Abd El-Hakim El/R-6392-2016</t>
  </si>
  <si>
    <t>Behairy, Amany/0000-0002-4962-7096; Soliman, Mohamed/0000-0001-7208-7123; Abd-Elhakim, Yasmina M./0000-0002-3646-6385; Ghazaly, Yasmina Mohammed Abd El-Hakim El/0000-0002-3646-6385; Saber, Taghred/0000-0003-3949-2148; eldeib, maha/0000-0003-3105-8662</t>
  </si>
  <si>
    <t>Yang, Shu/JUU-4592-2023; Zhang, Shiwei/JIY-4344-2023; wang, jiajun/JRW-6032-2023; Geng, Jiwen/GYJ-3946-2022; Li, Yupei/GPS-9071-2022</t>
  </si>
  <si>
    <t>Carvalho, Bruno R/C-6275-2015; Zhang, Tianyi/E-1960-2016; Elias, Ana Laura/HRD-6915-2023; Lin, Zhong/O-4339-2014; Carozo, Victor/K-1784-2016; Fujisawa, Kazunori/M-5934-2018; Perea-Lopez, Nestor/A-2683-2010</t>
  </si>
  <si>
    <t>Carvalho, Bruno R/0000-0001-5188-8685; Zhang, Tianyi/0000-0002-8998-3837; Elias, Ana Laura/0000-0002-4119-6084; Carozo, Victor/0000-0002-0751-6435; Fujisawa, Kazunori/0000-0002-3827-6921; Lin, Zhong/0000-0001-9505-5538; Perea-Lopez, Nestor/0000-0002-3197-759X</t>
  </si>
  <si>
    <t>li, yue/HZL-3265-2023; li, yue/HSF-7296-2023; li, yueyue/IVH-9846-2023; LI, Yue/GRS-8071-2022; li, yue/IXD-9935-2023</t>
  </si>
  <si>
    <t>APR 16</t>
  </si>
  <si>
    <t>Ahmed, Ashour/C-6298-2012; Kuehn, Oliver/P-4541-2019</t>
  </si>
  <si>
    <t>Ahmed, Ashour/0000-0002-5933-5249; Kuehn, Oliver/0000-0002-5132-2961; Ganta, Prasanth Babu/0000-0002-6931-4767</t>
  </si>
  <si>
    <t>University of Wuppertal; King Abdulaziz University; Egyptian Knowledge Bank (EKB); Kafrelsheikh University; Chinese Academy of Sciences; Institute of Geochemistry, CAS; Justus Liebig University Giessen; University of Rostock; National Taiwan University; University of Rostock</t>
  </si>
  <si>
    <t>Baumann, Karen/GWC-6073-2022; Wang, Shan-Li/C-6016-2008; Baumann, Karen/B-4014-2019; Shaheen, Sabry M./B-2524-2018; Rinklebe, Joerg/Y-2398-2019; Wang, Shan/JPX-1098-2023</t>
  </si>
  <si>
    <t>Wang, Shan-Li/0000-0003-3156-5365; Baumann, Karen/0000-0003-1341-052X; Shaheen, Sabry M./0000-0002-5618-8175; Rinklebe, Joerg/0000-0001-7404-1639;</t>
  </si>
  <si>
    <t>FEB 10</t>
  </si>
  <si>
    <t>Shaanxi Normal University; East China Normal University; Purdue University System; Purdue University; East China Normal University; University of Kentucky</t>
  </si>
  <si>
    <t>Wu, Fei/0000-0001-5498-4947; Feng, Yujian/0000-0003-1051-7217; ji, yimu/0000-0001-7019-3942</t>
  </si>
  <si>
    <t>Gauthier, AG; Wu, JQ; Lin, MS; Sitapara, R; Kulkarni, A; Thakur, GA; Schmidt, EE; Perron, JC; Ashby, CR Jr; Mantell, LL</t>
  </si>
  <si>
    <t>Gauthier, AG; Lin, M; Wu, JQ; Kennedy, TP; Daley, LA; Ashby, CR; Mantell, LL</t>
  </si>
  <si>
    <t>Gauthier, Alex G.; Lin, Mosi; Wu, Jiaqi; Kennedy, Thomas P.; Daley, Lee-Anne; Ashby, Charles R.; Mantell, Lin L.</t>
  </si>
  <si>
    <t>From nicotine to the cholinergic anti-inflammatory reflex - Can nicotine alleviate the dysregulated inflammation in COVID-19?</t>
  </si>
  <si>
    <t>Nicotine; cholinergic anti-inflammatory reflex; COVID-19; GTS-21</t>
  </si>
  <si>
    <t>LUNG INJURY; GTS-21; IVERMECTIN; SARS-COV-2; PROTECTION; DISEASE</t>
  </si>
  <si>
    <t>The coronavirus SARS-CoV-2 of 2019 (COVID-19) causes a pandemic that has been diagnosed in more than 70 million people worldwide. Mild-to-moderate COVID-19 symptoms include coughing, fever, myalgia, shortness of breath, and acute inflammatory lung injury (ALI). In contrast, acute respiratory distress syndrome (ARDS) and respiratory failure occur in patients diagnosed with severe COVID-19. ARDS is mediated, at least in part, by a dysregulated inflammatory response due to excessive levels of circulating cytokines, a condition known as the cytokine-storm syndrome. Currently, there are FDA-approved therapies that attenuate the dysregulated inflammation that occurs in COVID-19 patients, such as dexamethasone or other corticosteroids and IL-6 inhibitors, including sarilumab, tocilizumab, and siltuximab. However, the efficacy of these treatments have been shown to be inconsistent. Compounds that activate the vagus nerve-mediated cholinergic anti-inflammatory reflex, such as the alpha 7 nicotinic acetylcholine receptor agonist, GTS-21, attenuate ARDS/inflammatory lung injury by decreasing the extracellular levels of high mobility group box-1 (HMGB1) in the airways and the circulation. It is possible that HMGB1 may be an important mediator of the cytokine-storm syndrome. Notably, high plasma levels of HMGB1 have been reported in patients diagnosed with severe COVID-19, and there is a significant negative correlation between HMGB1 plasma levels and clinical outcomes. Nicotine can activate the cholinergic anti-inflammatory reflex, which attenuates the up-regulation and the excessive release of pro-inflammatory cytokines/chemokines. Therefore, we hypothesize that low molecular weight compounds that activate the cholinergic anti-inflammatory reflex, such as nicotine or GTS-21, may represent a potential therapeutic approach to attenuate the dysregulated inflammatory responses in patients with severe COVID-19.</t>
  </si>
  <si>
    <t>[Gauthier, Alex G.; Lin, Mosi; Wu, Jiaqi; Daley, Lee-Anne; Ashby, Charles R.; Mantell, Lin L.] St Johns Univ, Dept Pharmaceut Sci, 8000 Utopia Pkwy, Queens, NY 11439 USA; [Kennedy, Thomas P.] Tulane Univ, Sch Med, 1430 Tulane Ave, New Orleans, LA 70112 USA; [Mantell, Lin L.] Northwell Hlth Syst, Feinstein Inst Med Res, Manhasset, NY USA</t>
  </si>
  <si>
    <t>Saint John's University; Tulane University; Northwell Health</t>
  </si>
  <si>
    <t>Mantell, LL (corresponding author), St Johns Univ, Dept Pharmaceut Sci, 8000 Utopia Pkwy, Queens, NY 11439 USA.</t>
  </si>
  <si>
    <t>Gauthier, Alexander/0000-0002-7222-7015</t>
  </si>
  <si>
    <t>This work was financially supported by grants (LLM) from National Heart and Blood Institute [HL093708] and St. John's University.</t>
  </si>
  <si>
    <t>10.1080/1547691X.2021.1875085</t>
  </si>
  <si>
    <t>RO8OV</t>
  </si>
  <si>
    <t>WOS:000641301400001</t>
  </si>
  <si>
    <t>Westerlund, Hugo/IZP-7925-2023; Westerlund, Hugo/A-3049-2012; sdf, sdf/ABH-9300-2020; Fransson, Eleonor I/J-7792-2013; Magnusson Hanson, Linda/D-2435-2017</t>
  </si>
  <si>
    <t>Westerlund, Hugo/0000-0002-8806-5698; Westerlund, Hugo/0000-0002-8806-5698; Ramstedt Stadin, Magdalena/0000-0002-8196-1289; Magnusson Hanson, Linda/0000-0002-2908-1903</t>
  </si>
  <si>
    <t>Harvard University; Massachusetts Institute of Technology (MIT); Broad Institute; Free University of Berlin; Harvard University; Massachusetts General Hospital; Harvard University; Harvard Medical School; Massachusetts Institute of Technology (MIT); Massachusetts Institute of Technology (MIT); Harvard University; Brigham &amp; Women's Hospital; Harvard University; Harvard Medical School; Harvard University; Harvard Medical School; Massachusetts Institute of Technology (MIT); Stanford University; Lucile Packard Children's Hospital (LPCH); Stanford University; Bristol-Myers Squibb</t>
  </si>
  <si>
    <t>Bergman, Drew/AAF-3697-2021; Chen, Fei/HGE-5690-2022</t>
  </si>
  <si>
    <t>Chen, Fei/0000-0003-2308-3649; Doughty, Benjamin/0000-0003-0447-4468; Guckelberger, Philine/0000-0002-1057-2518; Marshall, Jamie/0000-0002-2364-391X</t>
  </si>
  <si>
    <t>Turkoglu, Turkay/E-8922-2015; Cruz-Souza, Fatima/N-7172-2015; Bravo, Felipe/JMB-5907-2023; Washbourne, Carla/AAK-9118-2020; Albulescu, Andra-Cosmina/AAY-8569-2021; Bravo, Felipe/C-5073-2009; Manton, Michael/AAD-2803-2020; Kopperoinen, Leena/AAF-9040-2020; Izakovičová, Zita/AAI-4466-2021; Metzger, Marc/S-3976-2019; Jaroszewicz, Bogdan/AAC-8184-2020</t>
  </si>
  <si>
    <t>Turkoglu, Turkay/0000-0003-2011-0410; Cruz-Souza, Fatima/0000-0003-1634-8266; Washbourne, Carla/0000-0001-7818-918X; Albulescu, Andra-Cosmina/0000-0002-2315-4729; Bravo, Felipe/0000-0001-7348-6695; Manton, Michael/0000-0002-4812-6599; Kopperoinen, Leena/0000-0003-1672-6087; Izakovičová, Zita/0000-0002-2977-403X; Metzger, Marc/0000-0002-5119-5894; Angelstam, Per/0000-0003-2190-3172; Munoz-Rojas Morenes, Jose/0000-0001-5331-8344; Jaroszewicz, Bogdan/0000-0002-2042-8245; Stryamets, Nataliya/0000-0001-8815-1783</t>
  </si>
  <si>
    <t>Staples, Richard/0000-0003-2760-769X; Shreeve, Jean'ne/0000-0001-8622-4897; Chinnam, Ajay Kumar/0000-0001-8643-5694</t>
  </si>
  <si>
    <t>gong, zhengjun/V-7285-2019; Fan, Meikun/G-9290-2011; yang, shiwei/R-2721-2018</t>
  </si>
  <si>
    <t>gong, zhengjun/0000-0001-5710-3156; Fan, Meikun/0000-0002-6259-4903; yang, shiwei/0000-0002-7397-2754</t>
  </si>
  <si>
    <t>Ryser, Marc Daniel/JBS-7108-2023; Waterboer, Tim/G-1252-2010; Visvanathan, Kala/AAE-4396-2021; Cover, Timothy/I-3814-2015</t>
  </si>
  <si>
    <t>Le Marchand, Loic/0000-0001-5013-980X; Waterboer, Tim/0000-0002-0616-6963; Epplein, Meira/0000-0001-5646-6430; Cover, Timothy/0000-0001-8503-002X; Potter, John/0000-0001-5439-1500; Zeleniuch-Jacquotte, Anne/0000-0001-9350-1303; Teras, Lauren/0000-0003-2419-8536</t>
  </si>
  <si>
    <t>University of Cambridge; Aix-Marseille Universite; Centre National de la Recherche Scientifique (CNRS); CNRS - Institute of Ecology &amp; Environment (INEE); University of Liverpool; Complutense University of Madrid; Universidade de Santiago de Compostela; University of Leoben; Azerbaijan National Academy of Sciences (ANAS); Institute of Geography of the Azerbaijan National Academy of Sciences</t>
  </si>
  <si>
    <t>Martínez-Cortizas, Antonio/0000-0003-0430-5760; Hoyle, Thomas M./0000-0002-6611-2254; van Baak, Christiaan/0000-0002-2044-2872; Lopez-Merino, Lourdes/0000-0002-6361-5374</t>
  </si>
  <si>
    <t>May De Mio, Louise Larissa/0000-0002-4202-4428; Michailides, Themis/0000-0002-0205-9861; Dutra, Pamela/0000-0002-3948-030X</t>
  </si>
  <si>
    <t>Leimann, Fernanda V/O-5001-2016; Bona, Evandro/F-8225-2012; Reitz Cardoso, Flávia Aparecida/ABB-9046-2020; Fuchs, Renata/AAG-7437-2020</t>
  </si>
  <si>
    <t>Monash University; University of Melbourne; Melbourne Bioinformatics</t>
  </si>
  <si>
    <t>Shaanxi Normal University; East China Normal University; Purdue University System; Purdue University; University of Kentucky; East China Normal University</t>
  </si>
  <si>
    <t>MAY 20</t>
  </si>
  <si>
    <t>University of Hong Kong; Universite Paris Cite; Assistance Publique Hopitaux Paris (APHP); Hopital Universitaire Cochin - APHP; Institut National de la Sante et de la Recherche Medicale (Inserm); Universite Paris Cite; University of Hong Kong</t>
  </si>
  <si>
    <t>Mok, Chris Ka Pun/ABD-2667-2021; Cohen, Carolyn/JDV-6864-2023; Poon, Leo/AAP-6887-2020; Chin, Alex Wing Hong/U-6277-2019; Perera, Dr. Ranawaka A.P.M Perera/N-8263-2015</t>
  </si>
  <si>
    <t>Chin, Alex Wing Hong/0000-0002-6556-9092; Perera, Dr. Ranawaka A.P.M Perera/0000-0003-3936-1535; Kavian, Niloufar/0000-0003-2829-3311</t>
  </si>
  <si>
    <t>Batsis, John/AAC-7185-2019</t>
  </si>
  <si>
    <t>Batsis, John/0000-0002-0845-4416; Stevens, Courtney/0000-0002-5696-4904; Cook, Summer/0000-0003-4339-716X</t>
  </si>
  <si>
    <t>Perera, Dr. Ranawaka A.P.M Perera/N-8263-2015; Poon, Leo/AAP-6887-2020; Shih, Kendrick Co/E-9883-2010; Chan, Michael Chi Wai/C-4212-2009; Nicholls, John Malcolm/C-4375-2009</t>
  </si>
  <si>
    <t>Perera, Dr. Ranawaka A.P.M Perera/0000-0003-3936-1535; Shih, Kendrick Co/0000-0001-6255-2941; Cheung, Man Chun/0000-0001-5717-3322; Chan, Michael Chi Wai/0000-0001-8174-8405; Nicholls, John Malcolm/0000-0001-7217-7444</t>
  </si>
  <si>
    <t>Lim, Unhee/AEA-8591-2022; Shepherd, John/S-3146-2018; Tirikainen, M/B-6954-2012; Shepherd, John/IZE-0831-2023; Li, Yuqing/AAR-9383-2021</t>
  </si>
  <si>
    <t>Lim, Unhee/0000-0001-6221-7190; Shepherd, John/0000-0003-2280-2541; Tirikainen, M/0000-0002-8124-3818; Li, Yuqing/0000-0003-1211-5529</t>
  </si>
  <si>
    <t>Poon, Leo/0000-0002-9101-7953</t>
  </si>
  <si>
    <t>Poon, Leo/AAP-6887-2020; Zhao, Jincun/ABD-8679-2021; chan, jacky/JVP-2299-2024; Wu, Nicholas/H-3822-2015; Mok, Chris Ka Pun/ABD-2667-2021; So, Ray/KFS-3029-2024; Perera, Dr. Ranawaka A.P.M Perera/N-8263-2015; Wang, Yiquan/JZD-5136-2024; Yuan, Meng/I-1690-2012</t>
  </si>
  <si>
    <t>Zhao, Jincun/0000-0003-2515-5589; Wu, Nicholas/0000-0002-9078-6697; Perera, Dr. Ranawaka A.P.M Perera/0000-0003-3936-1535; Wang, Yiquan/0000-0002-1954-9808;</t>
  </si>
  <si>
    <t>Garajova, Ingrid/AFY-8069-2022; Le Large, Tessa/GON-3295-2022; giovannetti, elisa/F-4261-2011</t>
  </si>
  <si>
    <t>Garajova, Ingrid/0000-0002-9302-6896; Le Large, Tessa/0000-0002-4273-7217; giovannetti, elisa/0000-0002-7565-7504</t>
  </si>
  <si>
    <t>Pan, Wang/AGZ-0445-2022; Pan, Wang/JXM-4890-2024</t>
  </si>
  <si>
    <t>Pan, Wang/0000-0002-4424-4248; Louter, Christian/0000-0003-2131-4351</t>
  </si>
  <si>
    <t>Arney, Rachel/0000-0002-3396-2033; Alexander, Heather/0000-0003-1307-8483</t>
  </si>
  <si>
    <t>Universitatea Politehnica Timisoara; Romanian Academy of Sciences; Institute of Chemistry, Timisoara; Institute of Space Science</t>
  </si>
  <si>
    <t>Yen, Hui-Ling/C-4501-2009; Poon, Leo/AAP-6887-2020; Perera, Dr. Ranawaka A.P.M Perera/N-8263-2015; Chin, Alex Wing Hong/U-6277-2019; Yen, Hui-Ling/GNH-5083-2022; Nicholls, John Malcolm/C-4375-2009</t>
  </si>
  <si>
    <t>Yen, Hui-Ling/0000-0003-2493-3609; Perera, Dr. Ranawaka A.P.M Perera/0000-0003-3936-1535; Chin, Alex Wing Hong/0000-0002-6556-9092; Nicholls, John Malcolm/0000-0001-7217-7444; Kaewpreedee, Prathanporn/0000-0002-0464-2401</t>
  </si>
  <si>
    <t>Melbourne Genomics Health Alliance; University of Hong Kong; University of Hong Kong</t>
  </si>
  <si>
    <t>Law, Pierra YT/S-4774-2017; Poon, Leo/AAP-6887-2020; Perera, Dr. Ranawaka A.P.M Perera/N-8263-2015</t>
  </si>
  <si>
    <t>Perera, Dr. Ranawaka A.P.M Perera/0000-0003-3936-1535; To, Esther/0000-0002-0349-4697</t>
  </si>
  <si>
    <t>OCT 29</t>
  </si>
  <si>
    <t>Mok, Chris Ka Pun/ABD-2667-2021; Yuan, Meng/I-1690-2012; chan, jacky/JVP-2299-2024; Wu, Joseph/ABD-5880-2021; Leung, Kathy/D-5605-2017; Wu, Nicholas/H-3822-2015; Poon, Leo/AAP-6887-2020; Perera, Dr. Ranawaka A.P.M Perera/N-8263-2015; Wu, Joseph Tsz Kei/C-4450-2009</t>
  </si>
  <si>
    <t>Leung, Kathy/0000-0003-4777-388X; Wu, Nicholas/0000-0002-9078-6697; Perera, Dr. Ranawaka A.P.M Perera/0000-0003-3936-1535; Lv, Huibin/0000-0003-2218-0076; Wu, Joseph Tsz Kei/0000-0002-3155-5987</t>
  </si>
  <si>
    <t>Xu, Tianwei/AAS-3412-2020; Magnusson Hanson, Linda/D-2435-2017</t>
  </si>
  <si>
    <t>Xu, Tianwei/0000-0003-4048-4743; Magnusson Hanson, Linda/0000-0002-2908-1903</t>
  </si>
  <si>
    <t>Sah, R; Rodriguez-Morales, AJ; Jha, R; Chu, DKW; Gu, HG; Peiris, M; Bastola, A; Lal, BK; Ojha, HC; Rabaan, AA; Zambrano, L; Costello, A; Morita, K; Pandey, BD; Poon, LLM</t>
  </si>
  <si>
    <t>Rodriguez-Morales, Alfonso J/R-9765-2016; Bastola, Anup/AHD-4301-2022; Zambrano, Lysien Ivania/R-5628-2019; Poon, Leo/AAP-6887-2020; Pandey, Basu Dev/IWU-7330-2023; sah, Ranjit/T-5865-2018</t>
  </si>
  <si>
    <t>Rodriguez-Morales, Alfonso J/0000-0001-9773-2192; Zambrano, Lysien Ivania/0000-0001-9002-5807; sah, Ranjit/0000-0002-2695-8714; Gu, Haogao/0000-0002-7541-4262</t>
  </si>
  <si>
    <t>University of Melbourne; Melbourne Bioinformatics</t>
  </si>
  <si>
    <t>li, fei/JYP-3334-2024</t>
  </si>
  <si>
    <t>Patel, Vivek/0000-0001-8583-1548; Dial, Katelyn/0000-0002-1960-7166; Thomas, Douglas/0000-0003-1252-0786</t>
  </si>
  <si>
    <t>wang, dong/HMP-1439-2023; 增明, 张/GEG-4517-2022</t>
  </si>
  <si>
    <t>wang, xiangqi/0000-0003-3773-0827; Rucheng, Dai/0000-0001-7522-2378</t>
  </si>
  <si>
    <t>WANG, JINGYI/GSJ-1241-2022; wang, jing/HJA-5384-2022; wang, dan/JEF-0836-2023; wang, jing/GVT-8700-2022; Wang, Jin/GYA-2019-2022; wang, jing/GRS-7509-2022; wang, jie/HTQ-4920-2023; wang, jiahui/IXD-1197-2023; Zhang, Yihao/JGM-3514-2023</t>
  </si>
  <si>
    <t>Kozel, Roman/KCK-4348-2024</t>
  </si>
  <si>
    <t>Del Villar, Katrine/JZU-0017-2024; White, Ben P/I-9712-2012; Del Villar, Katrine/A-7442-2019; Willmott, Lindy/I-9562-2012</t>
  </si>
  <si>
    <t>White, Ben/0000-0003-3365-939X; Del Villar, Katrine/0000-0002-5392-7622; Willmott, Lindy/0000-0002-9750-287X</t>
  </si>
  <si>
    <t>THE JUDICIAL POWER OF AFRICA'S SUPRANATIONAL COURTS: INTRODUCTION</t>
  </si>
  <si>
    <t>HUMAN-RIGHTS; ECOWAS COURT; INTERNATIONAL COURTS; SUBREGIONAL COURTS; EAST; COMMUNITY; JUSTICE; ISSUES; WEST</t>
  </si>
  <si>
    <t>[Fahner, Johannes Hendrik] Amsterdam Ctr Int Law, Amsterdam, Netherlands; [Fahner, Johannes Hendrik] Dutch Bar, Amsterdam, Netherlands</t>
  </si>
  <si>
    <t>Fahner, JH (corresponding author), Amsterdam Ctr Int Law, Amsterdam, Netherlands.;Fahner, JH (corresponding author), Dutch Bar, Amsterdam, Netherlands.</t>
  </si>
  <si>
    <t>University of Amsterdam; University of Luxembourg</t>
  </si>
  <si>
    <t>Johannes Fahner is a researcher at the Amsterdam Center for International Law and an attorney-at-law at the Dutch bar. He holds a PhD degree in Public International Law awarded jointly by the Universities of Amsterdam and Luxembourg, in addition to an MA in International Relations from the University of Utrecht and an LLM from the University of Amsterdam. His research focuses on international dispute settlement and on the interaction between international and domestic legal orders.</t>
  </si>
  <si>
    <t>10.3366/ajicl.2020.0328</t>
  </si>
  <si>
    <t>OW1TH</t>
  </si>
  <si>
    <t>WOS:000592677800001</t>
  </si>
  <si>
    <t>University of Hong Kong; World Health Organization; University of Hong Kong; Assistance Publique Hopitaux Paris (APHP); Universite Paris Cite; Hopital Universitaire Cochin - APHP; Universite Paris Cite; Institut National de la Sante et de la Recherche Medicale (Inserm)</t>
  </si>
  <si>
    <t>Leung, Nancy Hiu Lan/M-9080-2016; Chin, Alex Wing Hong/U-6277-2019; Cowling, Benjamin John/C-4263-2009; Poon, Leo/AAP-6887-2020; Cohen, Carolyn/JDV-6864-2023</t>
  </si>
  <si>
    <t>Leung, Nancy Hiu Lan/0000-0001-7314-840X; Chin, Alex Wing Hong/0000-0002-6556-9092; Kavian, Niloufar/0000-0003-2829-3311</t>
  </si>
  <si>
    <t>li, zhang/JHV-1750-2023; Wei, Xuening/AAA-2655-2022; zhang, lin/IZQ-4870-2023; Lu, Chungui/H-2153-2016</t>
  </si>
  <si>
    <t>Zhang, Zengyan/0000-0001-7157-6646; Lu, Chungui/0000-0002-0064-4725</t>
  </si>
  <si>
    <t>Green Accepted, hybrid, Green Published</t>
  </si>
  <si>
    <t>Melbourne Genomics Health Alliance; University of Melbourne</t>
  </si>
  <si>
    <t>TAN, PENG CHIONG/B-9917-2010; OMAR, SITI ZAWIAH BINTI/B-9817-2010; Narayanan, Vallikkannu/B-9988-2010; Zaidi, Syeda/CAF-2671-2022; Zaidi, Syeda/CAH-8644-2022</t>
  </si>
  <si>
    <t>TAN, PENG CHIONG/0000-0001-8713-6581; Zaidi, Syeda/0000-0003-2969-896X; Zaidi, Syeda/0000-0003-2969-896X; Bak Li Mei, Lindy/0000-0002-5170-2163</t>
  </si>
  <si>
    <t>Zee, Phyllis C/GPF-3704-2022; Rogers, John/L-2798-2016</t>
  </si>
  <si>
    <t>OBRIEN, MEGAN/0000-0001-8069-365X; Lieber, Richard/0000-0002-7203-4520; Shawen, Nicholas/0000-0003-0351-9011</t>
  </si>
  <si>
    <t>University of Hong Kong; INRAE; CIRAD; Universite de Montpellier; Centre National de la Recherche Scientifique (CNRS); Institut de Recherche pour le Developpement (IRD); Universite de Montpellier; University of Ilorin; Hassan II University of Casablanca; Kasetsart University; Pasteur Network; Institut Pasteur Cambodia; St Jude Children's Research Hospital; University of Hong Kong</t>
  </si>
  <si>
    <t>So, Ray/KFS-3029-2024; Woo, Patrick Chiu Yat/AAJ-6112-2020; Poon, Leo/AAP-6887-2020; Cheng, samuel M.S./GNH-2164-2022; Fassi Fihri, Ouafaa/CAG-3645-2022; Perera, Dr. Ranawaka A.P.M Perera/N-8263-2015</t>
  </si>
  <si>
    <t>Woo, Patrick Chiu Yat/0000-0001-9401-1832; Cheng, samuel M.S./0000-0001-7293-2331; Perera, Dr. Ranawaka A.P.M Perera/0000-0003-3936-1535; So, Ray/0000-0002-9576-4489</t>
  </si>
  <si>
    <t>Ni, Zhao/AFL-4127-2022; Mak, Thomas/F-6606-2011; Zhou, Guodong/H-8389-2016; Prezhdo, Oleg/AAP-2667-2021; Zhou, Guoqing/AAJ-1785-2021; Zhou, Guodong/GQQ-3750-2022</t>
  </si>
  <si>
    <t>Ni, Zhao/0000-0002-1536-8516; Zhou, Guodong/0000-0003-1458-103X; Prezhdo, Oleg/0000-0002-5140-7500; Zhou, Guoqing/0000-0002-4000-8467; ZHANG, LI-MIN/0000-0002-3136-2448</t>
  </si>
  <si>
    <t>Harvard University; Boston Children's Hospital; Harvard Medical School; Harvard University; Boston Children's Hospital; Harvard Medical School; Baylor College of Medicine; University of Oxford; Shahid Chamran University of Ahvaz; University of London; University College London; Baylor College of Medicine; Howard Hughes Medical Institute; Harvard University; Boston Children's Hospital; Istanbul Kanuni Sultan Suleyman Training &amp; Research Hospital; Ahvaz Jundishapur University of Medical Sciences (AJUMS); Egyptian Knowledge Bank (EKB); Cairo University; Radboud University Nijmegen; Coordenacao de Aperfeicoamento de Pessoal de Nivel Superior (CAPES); Harvard University; Boston Children's Hospital; Radboud University Nijmegen; Ahvaz Jundishapur University of Medical Sciences (AJUMS); University of Alabama System; University of Alabama Birmingham; Baylor College of Medicine; Howard Hughes Medical Institute; University of California System; University of California San Diego; Ahvaz Jundishapur University of Medical Sciences (AJUMS); Baylor College of Medicine; Baylor College of Medicine; Icahn School of Medicine at Mount Sinai</t>
  </si>
  <si>
    <t>Mehrjardi, Mohammad Yahya Vahidi/V-5116-2019; Gezdirici, Alper/AAG-5480-2019; Bokhoven, J.H.L.M. van van/H-8015-2014; Houlden, Henry J/C-1532-2008; Salpietro, Vincenzo/AAA-8706-2020; Polla, Daniel/B-3887-2015</t>
  </si>
  <si>
    <t>Mehrjardi, Mohammad Yahya Vahidi/0000-0003-0535-1590; Gezdirici, Alper/0000-0002-2432-9279; Bokhoven, J.H.L.M. van van/0000-0002-2153-9254; Shariati, Gholamreza/0000-0002-6295-127X; Efthymiou, Stephanie/0000-0003-4900-9877; Zheng-Gerard, Celine/0000-0002-8044-9371; Rad, Abolfazl/0000-0001-8627-8828; Schaeken, Lieke/0009-0004-5514-8093; Polla, Daniel/0000-0002-5552-3488; Punetha, Jaya/0000-0002-6774-4464; Dias, Caroline/0000-0003-1315-6007; Posey, Jennifer/0000-0003-4814-6765; Sedaghat, Alireza/0009-0006-1495-2389; Seiradake, Elena/0000-0001-6112-5198</t>
  </si>
  <si>
    <t>United States National Institutes of Health [U54HG003067, UM1HG008900, U54HG006504, R35 NS105078, UM1HG006542, K08HG008986, R01NS048453, R01NS052455, T32 NS043124-17, R01NS035129, T32 MH112510]; Muscular Dystrophy Association [512848]; Clinical Research Training Scholarship in Neuromuscular Disease; Howard Hughes Medical Institute; Wellcome Trust [202827/Z/16/Z]; Wellcome Trust DPhil. Cellular Structural Biology; SYNaPS Study Group and Synaptopathies Strategic Award [165908, WT093205 MA, WT104033AIA]; National Institute for Health Research University College London Hospitals Biomedical Research Centre; Rosetree Trust; Ataxia UK; MSA Trust; Brain Research UK; Muscular Dystrophy UK; Higher Education Commission of Pakistan; MRC [MR/S01165X/1, MR/S005021/1, G0601943]; European Union [Gencodys: 241995]; CAPES Fellowship, Brazil [99999.013311/2013-01]; Uehara Memorial Foundation; Broad Institute of MIT; Yale Center for Mendelian Disorders; Harvard Center for Mendelian Disorders; Queen Square Genomics group at University College London; Alzheimers Research UK [ARUK-PPG2017A-20] Funding Source: researchfish; Ataxia UK [ZUCLBETT] Funding Source: researchfish; Brain Research UK [UCCHoulden] Funding Source: researchfish; Great Ormond Street Hospital Childrens Charity [V4619] Funding Source: researchfish; Medical Research Council [G108/638, MR/J004758/1, MR/K000608/1, G0802760, G0601943, G1001253, MR/S005021/1, MR/S01165X/1] Funding Source: researchfish; Muscular Dystrophy UK [16GRO-PS36-0055, 18GRO-PG12-0278] Funding Source: researchfish; National Institute for Health Research [NF-SI-0515-10082] Funding Source: researchfish; Rosetrees Trust [M584] Funding Source: researchfish; The Dunhill Medical Trust [R605/0717] Funding Source: researchfish; Wellcome Trust [202827/Z/16/Z] Funding Source: researchfish; MRC [MR/S01165X/1, G108/638, G1001253, G0601943, MR/J004758/1, G0802760, MR/S005021/1, MR/K000608/1] Funding Source: UKRI; Wellcome Trust [202827/Z/16/Z] Funding Source: Wellcome Trust</t>
  </si>
  <si>
    <t>United States National Institutes of Health(United States Department of Health &amp; Human ServicesNational Institutes of Health (NIH) - USA); Muscular Dystrophy Association(Muscular Dystrophy Association); Clinical Research Training Scholarship in Neuromuscular Disease; Howard Hughes Medical Institute(Howard Hughes Medical Institute); Wellcome Trust(Wellcome Trust); Wellcome Trust DPhil. Cellular Structural Biology(Wellcome Trust); SYNaPS Study Group and Synaptopathies Strategic Award; National Institute for Health Research University College London Hospitals Biomedical Research Centre; Rosetree Trust(Rosetrees Trust); Ataxia UK; MSA Trust; Brain Research UK; Muscular Dystrophy UK; Higher Education Commission of Pakistan(Higher Education Commission of Pakistan); MRC(UK Research &amp; Innovation (UKRI)Medical Research Council UK (MRC)); European Union(European Union (EU)); CAPES Fellowship, Brazil; Uehara Memorial Foundation(Uehara Memorial Foundation); Broad Institute of MIT; Yale Center for Mendelian Disorders; Harvard Center for Mendelian Disorders; Queen Square Genomics group at University College London; Alzheimers Research UK(Alzheimer's Research UK (ARUK)); Ataxia UK; Brain Research UK; Great Ormond Street Hospital Childrens Charity; Medical Research Council(UK Research &amp; Innovation (UKRI)Medical Research Council UK (MRC)); Muscular Dystrophy UK; National Institute for Health Research(National Institutes of Health Research (NIHR)); Rosetrees Trust(Rosetrees Trust); The Dunhill Medical Trust(Dunhill Medical Trust); Wellcome Trust(Wellcome Trust); MRC(UK Research &amp; Innovation (UKRI)Medical Research Council UK (MRC)); Wellcome Trust(Wellcome Trust)</t>
  </si>
  <si>
    <t>Duarte, Henrique Silva Silveira/C-9279-2014; DUARTE, HENRIQUE DA SILVA SILVEIRA/JPL-8237-2023; Moreira, Rafaele Regina/AAW-4650-2021; May De Mio, Louise Larissa/K-3065-2012</t>
  </si>
  <si>
    <t>DUARTE, HENRIQUE DA SILVA SILVEIRA/0000-0002-8128-5428; Moreira, Rafaele Regina/0000-0002-5884-4797; NUNES NESI, CRISTIANO/0000-0002-8642-3236; May De Mio, Louise Larissa/0000-0002-4202-4428</t>
  </si>
  <si>
    <t>Fraser, James/0000-0002-5080-2859; Mobley, David/0000-0002-1083-5533; Wall, Michael/0000-0003-1000-688X; Wych, David/0000-0001-9209-4371</t>
  </si>
  <si>
    <t>zhen, wang/KBA-3844-2024; yuan, liping/JPK-7584-2023; Sun, Xueliang/C-7257-2012; Wang（王琦）, Qi/L-9396-2019; Norouzi Banis, Mohammad/E-4710-2013; Gu, Meng/Q-1452-2019; liu, sha/JXL-6600-2024; li, xiaomin/KCX-9845-2024; liu, jiaming/IWE-3196-2023; Wang, lingyu/JLM-2013-2023; Zhang, Lei/N-7527-2015; liu, xiao/JLL-2119-2023</t>
  </si>
  <si>
    <t>Sun, Xueliang/0000-0003-0374-1245; Norouzi Banis, Mohammad/0000-0002-6144-6837; Gu, Meng/0000-0002-5126-9611; WANG, ZHIQIANG/0000-0003-0628-5222; Zhang, Lei/0000-0002-9637-4845; chen, ning/0000-0002-1269-6119; Chen, Jiatang/0000-0002-9705-6523</t>
  </si>
  <si>
    <t>Luna, GA; dal Pra, F; Schneeberger, E; Oviedo, LLM; Citera, G</t>
  </si>
  <si>
    <t>Alejandra Luna, Gisele; dal Pra, Fernando; Schneeberger, Emilce; Macias Oviedo, Leonela Lysseth; Citera, Gustavo</t>
  </si>
  <si>
    <t>Adherence to Treatment with Intravenous Biological Agents in Patients with Rheumatoid Arthritis</t>
  </si>
  <si>
    <t>ARTHRITIS &amp; RHEUMATOLOGY</t>
  </si>
  <si>
    <t>Annual Meeting of the American-College-of-Rheumatology/Association-of-Rheumatology-Professionals (ACR/ARP)</t>
  </si>
  <si>
    <t>NOV 08-13, 2019</t>
  </si>
  <si>
    <t>Amer Coll Rheumatol,Assoc Rheumatol Profess</t>
  </si>
  <si>
    <t>[Alejandra Luna, Gisele; dal Pra, Fernando; Schneeberger, Emilce; Macias Oviedo, Leonela Lysseth; Citera, Gustavo] Inst Rehabil Psicofis, Buenos Aires, DF, Argentina</t>
  </si>
  <si>
    <t>2326-5191</t>
  </si>
  <si>
    <t>2326-5205</t>
  </si>
  <si>
    <t>ARTHRITIS RHEUMATOL</t>
  </si>
  <si>
    <t>Arthritis Rheumatol.</t>
  </si>
  <si>
    <t>KC9BW</t>
  </si>
  <si>
    <t>WOS:000507466902230</t>
  </si>
  <si>
    <t>Capelusnik, D; Schneeberger, E; Oviedo, LLM; Gutierrez, JMS; Citera, G</t>
  </si>
  <si>
    <t>Capelusnik, Dafne; Schneeberger, Emilce; Macias Oviedo, Leonela Lysseth; Sevillano Gutierrez, Juan Manuel; Citera, Gustavo</t>
  </si>
  <si>
    <t>Treatment Preferences in Patients with Axial Spondyloarthritis</t>
  </si>
  <si>
    <t>[Capelusnik, Dafne; Schneeberger, Emilce; Macias Oviedo, Leonela Lysseth; Sevillano Gutierrez, Juan Manuel; Citera, Gustavo] Inst Rehabil Psicofis, Buenos Aires, DF, Argentina</t>
  </si>
  <si>
    <t>WOS:000507466904030</t>
  </si>
  <si>
    <t>Girault, Jean-Antoine/F-7518-2013; Gervasi, Nicolas/P-6047-2017; HERVE, Denis/E-2929-2017</t>
  </si>
  <si>
    <t>Girault, Jean-Antoine/0000-0002-7900-1705; Gervasi, Nicolas/0000-0002-1924-2443; MARIANI, Louise-Laure/0000-0002-2365-1223; HERVE, Denis/0000-0003-1376-1522</t>
  </si>
  <si>
    <t>Mason, Harris/0000-0002-1840-0550</t>
  </si>
  <si>
    <t>Lang, Nan/JFJ-4974-2023; Poon, Leo/AAP-6887-2020; /A-5337-2011</t>
  </si>
  <si>
    <t>Lang, Nan/0000-0002-1978-2482; /0000-0002-6365-8825; CHAN, Yau Kei/0000-0002-1044-2668</t>
  </si>
  <si>
    <t>Steinorth, C</t>
  </si>
  <si>
    <t>Steinorth, Charlotte</t>
  </si>
  <si>
    <t>Rewriting the Past: The Global South in Human Rights History</t>
  </si>
  <si>
    <t>GLOBAL POLICY</t>
  </si>
  <si>
    <t>[Steinorth, Charlotte] European Univ Inst, Florence, Italy</t>
  </si>
  <si>
    <t>European University Institute</t>
  </si>
  <si>
    <t>Steinorth, C (corresponding author), European Univ Inst, Florence, Italy.</t>
  </si>
  <si>
    <t>EUI</t>
  </si>
  <si>
    <t>LLM (LSE), PhD (LSE) has a background in international law and politics. Her main fields of interest are human rights, democratization and governance. The research which led to the present review article was conducted during her stay as Fernand Braudel Fellow at the European University Institute, Florence. The author gratefully acknowledges the support by the EUI.</t>
  </si>
  <si>
    <t>1758-5880</t>
  </si>
  <si>
    <t>1758-5899</t>
  </si>
  <si>
    <t>GLOB POLICY</t>
  </si>
  <si>
    <t>Glob. Policy</t>
  </si>
  <si>
    <t>10.1111/1758-5899.12727</t>
  </si>
  <si>
    <t>International Relations; Political Science</t>
  </si>
  <si>
    <t>JA4CW</t>
  </si>
  <si>
    <t>WOS:000482859900001</t>
  </si>
  <si>
    <t>Trappmann, Britta/AAQ-8712-2020; Matis, Maja/P-1437-2019; Galic, Milos/KHT-6391-2024</t>
  </si>
  <si>
    <t>Trappmann, Britta/0000-0002-6260-4075; Matis, Maja/0000-0003-3972-1983; Galic, Milos/0000-0002-4493-2542; Lamparter, Lucas Philip/0000-0003-3248-0056; Rathmann, Isabel/0000-0003-0596-9630</t>
  </si>
  <si>
    <t>Pellanda Dardengo Victor, Raquel/0000-0002-5939-9023; Queiroz, Maria Eliana/0000-0003-4717-9223; Neves, Antonio/0000-0002-2152-6736; Oliveira, Andre Fernando/0000-0003-4158-6098</t>
  </si>
  <si>
    <t>Pasteur Network; Universite Paris Cite; Institut Pasteur Paris; Institut National de la Sante et de la Recherche Medicale (Inserm); Pasteur Network; Universite Paris Cite; Institut Pasteur Paris; Lund University; Rigshospitalet; University of Copenhagen; Roche Holding; Genentech</t>
  </si>
  <si>
    <t>Ingersoll, Molly A/JJD-5039-2023; Rousseau, Matthieu/AAA-5385-2022</t>
  </si>
  <si>
    <t>Rousseau, Matthieu/0000-0002-2895-2957; Zychlinsky Scharff, Anna/0000-0003-3210-7163; Rosat Consiglio, Camila/0000-0002-8901-2328; Ingersoll, Molly/0000-0002-6388-7003; Albert, Matthew/0000-0001-7285-6973; Lacerda Mariano, Livia/0000-0002-2749-4878</t>
  </si>
  <si>
    <t>Bonati, Maria Teresa/HJP-8657-2023; Graziano, Francesca/IWD-9490-2023; Biino, Ginevra/B-5334-2013; concas, maria pina/K-2266-2018; Cirillo, Massimo/G-5480-2018</t>
  </si>
  <si>
    <t>Bonati, Maria Teresa/0000-0001-8024-0482; Graziano, Francesca/0000-0003-1825-3527; Biino, Ginevra/0000-0002-9936-946X; concas, maria pina/0000-0003-3598-2537; Grassi, Mario/0000-0001-6612-8566; Cirillo, Massimo/0000-0002-6409-3504</t>
  </si>
  <si>
    <t>Trimble, Michael/0000-0002-0927-314X; Lamb, Evan/0000-0002-1759-2423</t>
  </si>
  <si>
    <t>Brakenridge, Scott/AAD-6691-2019; Custodero, Carlo/AAS-4723-2021</t>
  </si>
  <si>
    <t>Brakenridge, Scott/0000-0002-7327-3718; Custodero, Carlo/0000-0003-1549-6451; Leeuwenburgh, Christiaan/0000-0003-0826-4257; Petersen, John/0000-0003-0401-5421; Moldawer, Lyle/0000-0002-9041-9838</t>
  </si>
  <si>
    <t>Poulsen, Michael/C-6276-2012; Beemelmanns, Christine/AGI-2853-2022; Kildgaard, Sara/Q-9068-2016; Challinor, Victoria/L-9688-2016</t>
  </si>
  <si>
    <t>Poulsen, Michael/0000-0002-2839-1715; Beemelmanns, Christine/0000-0002-9747-3423; Challinor, Victoria/0000-0002-2448-405X; Otani, Saria/0000-0002-2538-8086</t>
  </si>
  <si>
    <t>Koch, Vera H/P-5942-2016; Fatori, Daniel/G-8954-2015</t>
  </si>
  <si>
    <t>Koch, Vera H/0000-0001-7478-3931; Fatori, Daniel/0000-0001-7753-894X; Lage Pasqualucci, Paula/0000-0002-3425-6990</t>
  </si>
  <si>
    <t>Ashukem, Jean-Claude N./B-4484-2019</t>
  </si>
  <si>
    <t>Ashukem, Jean-Claude N./0000-0003-1993-6258</t>
  </si>
  <si>
    <t>Chiknaverova, Karine/I-8581-2018; Mingazova, Nailya/D-7236-2015; Gazizova, Alfia/P-4042-2015</t>
  </si>
  <si>
    <t>diniqulov, abror/0009-0005-5377-1989; Gazizova, Alfia/0000-0003-3517-6834</t>
  </si>
  <si>
    <t>Hillyer, Julian/0000-0002-3178-0201; Brown, Lisa/0000-0001-6314-7729</t>
  </si>
  <si>
    <t>Ahmed, Mahmoud/JEO-9229-2023; Hasan, M. Shahnaz/B-9124-2010; Sai, Chong Yeh/AAV-9940-2020; Hasan, Mohd Shahnaz/AAA-7431-2019; AROF, HAMZAH/ABI-1052-2020; mokhtar, norrima/B-9395-2010</t>
  </si>
  <si>
    <t>Ahmed, Mahmoud/0000-0003-4720-3588; Hasan, M. Shahnaz/0000-0002-7493-7416; Sai, Chong Yeh/0000-0003-1791-3095; Hasan, Mohd Shahnaz/0000-0002-7493-7416; mokhtar, norrima/0000-0002-2839-1336; Bak Li Mei, Lindy/0000-0002-5170-2163</t>
  </si>
  <si>
    <t>Listiningrum, Prischa/0000-0003-0983-3837; Listiningrum, Prischa/0000-0003-3350-9607</t>
  </si>
  <si>
    <t>wang, jiahui/IXD-1197-2023; LIU, BIN/GQH-9320-2022; wang, jie/HTQ-4920-2023; wang, dan/JEF-0836-2023; li, yan/GTI-4638-2022; WANG, JINGYI/GSJ-1241-2022; wang, jing/HJA-5384-2022; wang, jing/GVT-8700-2022; wang, jing/GRS-7509-2022; Yang, Li-Yuan/L-9335-2018</t>
  </si>
  <si>
    <t>LIU, BIN/0000-0003-2185-1624; Yang, Li-Yuan/0000-0001-7327-7527; Xu, Ruixuan/0000-0002-3666-6133</t>
  </si>
  <si>
    <t>Cheung, Yue Sun/AAK-2044-2020; Mok, Myth T/M-2958-2013; Chan, Michael/F-9615-2018; XU, LIANGLIANG/AAZ-7935-2020; Yu, Zhuo/AAQ-6164-2020; Feng, Bo/D-7831-2014; Lai, Paul BS/K-8556-2015; To, Ka Fai/JTT-7693-2023; LUNG, Raymond Wai-ming/D-1274-2014; Chou, Jian-Liang/HLV-8728-2023; Yip, Kevin/AAT-4771-2020; XU, LIANGLIANG/HHR-9617-2022; Cheng, Alfred/C-3327-2014; Huang, Guangcun/B-8399-2008; KANG, Wei/C-5451-2016</t>
  </si>
  <si>
    <t>Chan, Michael/0000-0003-1431-322X; Yu, Zhuo/0000-0003-4100-8415; Feng, Bo/0000-0002-4018-3257; To, Ka Fai/0000-0003-4919-3707; LUNG, Raymond Wai-ming/0000-0002-0813-7429; Yip, Kevin/0000-0001-5516-9944; Cheung, Ka Wing/0000-0002-8403-7163; Cheng, Alfred/0000-0003-2345-6951; Chan, Michael/0000-0003-0314-2437; Cheung, Yue Sun/0000-0003-1374-2321; Huang, Guangcun/0000-0003-1695-1153; Szeto, Lemuel Lut Ming/0000-0003-3957-1444; KANG, Wei/0000-0002-4651-677X</t>
  </si>
  <si>
    <t>增明, 张/GEG-4517-2022; Zhou, Xiaoqin/K-9861-2013</t>
  </si>
  <si>
    <t>University of New South Wales Sydney; Melbourne Genomics Health Alliance; University of Melbourne; Melbourne Genomics Health Alliance; University of Melbourne; University of Wollongong; University of Westminster</t>
  </si>
  <si>
    <t>Bronze, Green Accepted, Green Submitted</t>
  </si>
  <si>
    <t>Chen, Zhou/KCL-6524-2024</t>
  </si>
  <si>
    <t>Chen, Zhou/0000-0001-5398-4654</t>
  </si>
  <si>
    <t>Zadinová, Kateřina/AAC-4586-2019; Okrouhla, Monika/V-4744-2019; Lebedova, Nicole/KHW-3763-2024; Stupka, Roman/F-1514-2018; Citek, Jaroslav/F-1514-2018</t>
  </si>
  <si>
    <t>Zadinová, Kateřina/0000-0003-4963-201X; Lebedova, Nicole/0000-0002-6103-3282; Stupka, Roman/0000-0002-1897-8002; Mlynekova, Eva/0000-0001-5650-5110; Citek, Jaroslav/0000-0001-8726-8592</t>
  </si>
  <si>
    <t>University of Oxford; Cambridge University Hospitals NHS Foundation Trust; Addenbrooke's Hospital; University of Cambridge; University of Hong Kong; Erasmus University Rotterdam; Erasmus MC; University of St Andrews; National Institutes of Health (NIH) - USA; NIH National Institute of Allergy &amp; Infectious Diseases (NIAID)</t>
  </si>
  <si>
    <t>Velthuis, AJ te/H-7981-2019; Siegers, Jurre Y/U-9730-2018; Poon, Leo/AAP-6887-2020; Yen, Hui-Ling/GNH-5083-2022; Yen, Hui-Ling/C-4501-2009; Bauer, David/JDN-0139-2023; Siegers, Jurre/HJI-0877-2023; Poon, Leo/C-4382-2009; de Wit, Emmie/A-1549-2019</t>
  </si>
  <si>
    <t>Velthuis, AJ te/0000-0002-5129-3953; Yen, Hui-Ling/0000-0003-2493-3609; Randall, Richard/0000-0002-9304-6678; Fodor, Ervin/0000-0003-3249-196X; Oliva-Martin, Maria Jose/0000-0001-5166-4657; Long, Joshua/0000-0002-6476-2026; Poon, Leo/0000-0002-9101-7953; de Wit, Emmie/0000-0002-9763-7758; Bauer, David/0000-0003-3052-0368; French, Hollie/0000-0003-4325-0141</t>
  </si>
  <si>
    <t>Wellcome Trust [098721/Z/12/Z, 090532/Z/09/Z, 206579/Z/17/Z]; Royal Society grant [206579/Z/17/Z]; Netherlands Organization for Scientific Research (NWO) [825.11.029]; Intramural Research Program of NIAID, NIH [825.11.029]; Research Grants Council of the Hong Kong Special Administrative Region, China [T11-705/14N]; Croucher Senior Research Fellowship; Medical Research Council (MRC) programme [MR/K000241/1, MR/R009945/1]; EPA Cephalosporin Junior Research Fellowship; MRC [MR/R009945/1, MR/K000241/1] Funding Source: UKRI; Wellcome Trust [101788/Z/13/Z] Funding Source: researchfish</t>
  </si>
  <si>
    <t>Wellcome Trust(Wellcome Trust); Royal Society grant(Royal Society); Netherlands Organization for Scientific Research (NWO)(Netherlands Organization for Scientific Research (NWO)); Intramural Research Program of NIAID, NIH(United States Department of Health &amp; Human ServicesNational Institutes of Health (NIH) - USANIH National Institute of Allergy &amp; Infectious Diseases (NIAID)); Research Grants Council of the Hong Kong Special Administrative Region, China(Hong Kong Research Grants Council); Croucher Senior Research Fellowship; Medical Research Council (MRC) programme(UK Research &amp; Innovation (UKRI)Medical Research Council UK (MRC)); EPA Cephalosporin Junior Research Fellowship; MRC(UK Research &amp; Innovation (UKRI)Medical Research Council UK (MRC)); Wellcome Trust(Wellcome Trust)</t>
  </si>
  <si>
    <t>Green Accepted, Green Submitted</t>
  </si>
  <si>
    <t>Ba, MN; Huesing, JE; Tamò, M; Higgins, TJV; Pittendrigh, BR; Murdock, LL</t>
  </si>
  <si>
    <t>Ba, Malick N.; Huesing, Joseph E.; Tamo, Manuele; Higgins, Thomas J. V.; Pittendrigh, Barry R.; Murdock, Larry L.</t>
  </si>
  <si>
    <t>An assessment of the risk of Bt-cowpea to non-target organisms in West Africa</t>
  </si>
  <si>
    <t>JOURNAL OF PEST SCIENCE</t>
  </si>
  <si>
    <t>Cowpea; Maruca vitrata; Bt-cowpea; Non-target organisms; West Africa; Environmental risk; Assessment; Arthropod fauna</t>
  </si>
  <si>
    <t>LEGUME POD-BORER; MARUCA-TESTULALIS GEYER; VIGNA-UNGUICULATA L.; VITRATA FABRICIUS LEPIDOPTERA; ORIUS-INSIDIOSUS HEMIPTERA; BRUSH-BORDER MEMBRANE; HOST-PLANT; DELTA-ENDOTOXINS; TRANSGENIC CROPS; FLOWER THRIPS</t>
  </si>
  <si>
    <t>Cowpea (Vigna unguiculata Walp.) is the most economically important legume crop in arid regions of sub-Saharan Africa. Cowpea is grown primarily by subsistence farmers who consume the leaves, pods and grain on farm or sell grain in local markets. Processed cowpea foods such as akara (a deep-fat fried fritter) are popular in the rapidly expanding urban areas. Demand far exceeds production due, in part, to a variety of insect pests including, in particular, the lepidopteran legume pod borer (LPB) Maruca vitrata. Genetically engineered Bt-cowpea, based on cry1Ab (Event 709) and cry2Ab transgenes, is being developed for use in sub-Saharan Africa to address losses from the LBP. Before environmental release of transgenic cowpeas, the Bt Cry proteins they express need to be assessed for potential effects on non-target organisms, particularly arthropods. Presented here is an assessment of the potential effects of those Cry proteins expressed in cowpea for control of LPB. Based on the history of safe use of Bt proteins, as well as the fauna associated with cultivated and wild cowpea in sub-Saharan Africa results indicate negligible effects on non-target organisms.</t>
  </si>
  <si>
    <t>[Ba, Malick N.] Int Crops Res Inst Semi Arid Trop, Niamey, Niger; [Huesing, Joseph E.] USAID, Washington, DC USA; [Tamo, Manuele] Int Inst Trop Agr, Cotonou, Benin; [Higgins, Thomas J. V.] CSIRO, Agr &amp; Food, Canberra, ACT, Australia; [Pittendrigh, Barry R.] Michigan State Univ, Dept Entomol, E Lansing, MI 48824 USA; [Murdock, Larry L.] Purdue Univ, Dept Entomol, W Lafayette, IN 47907 USA</t>
  </si>
  <si>
    <t>CGIAR; International Crops Research Institute for the Semi-Arid-Tropics (ICRISAT); United States Agency for International Development (USAID); Commonwealth Scientific &amp; Industrial Research Organisation (CSIRO); Michigan State University; Purdue University System; Purdue University</t>
  </si>
  <si>
    <t>Pittendrigh, BR (corresponding author), Michigan State Univ, Dept Entomol, E Lansing, MI 48824 USA.</t>
  </si>
  <si>
    <t>pittendr@msu.edu</t>
  </si>
  <si>
    <t>Ba, Malick Niango/I-8557-2012; Higgins, TJ/F-8360-2010</t>
  </si>
  <si>
    <t>Ba, Malick Niango/0000-0001-7323-8739; Higgins, TJ/0000-0002-4445-1327; Tamo, Manuele/0000-0002-5863-7421</t>
  </si>
  <si>
    <t>US Department of Agriculture Foreign Agriculture Service (USDA/FAS) Norman E. Borlaug International Agricultural Science and Technology Fellowship Program (Borlaug Fellowship Program) [58-3148-2-188/106117]; Purdue University; African Agriculture Technology Foundation (AATF)</t>
  </si>
  <si>
    <t>US Department of Agriculture Foreign Agriculture Service (USDA/FAS) Norman E. Borlaug International Agricultural Science and Technology Fellowship Program (Borlaug Fellowship Program); Purdue University; African Agriculture Technology Foundation (AATF)</t>
  </si>
  <si>
    <t>This work was supported by the US Department of Agriculture Foreign Agriculture Service (USDA/FAS) Norman E. Borlaug International Agricultural Science and Technology Fellowship Program (Borlaug Fellowship Program) under Sponsor Award/Grant Number: 58-3148-2-188/106117 to Purdue University. The award was to LLM through Purdue University and administered through International Programs in Agriculture. The authors are also grateful to the African Agriculture Technology Foundation (AATF) for supporting the Bt-cowpea project, which generated the data on Cry1Ab protein expression in cowpea.</t>
  </si>
  <si>
    <t>1612-4758</t>
  </si>
  <si>
    <t>1612-4766</t>
  </si>
  <si>
    <t>J PEST SCI</t>
  </si>
  <si>
    <t>J. Pest Sci.</t>
  </si>
  <si>
    <t>10.1007/s10340-018-0974-0</t>
  </si>
  <si>
    <t>GO5ZU</t>
  </si>
  <si>
    <t>WOS:000440114600001</t>
  </si>
  <si>
    <t>Cerrato, Valentina/K-4581-2016; Figueres-Oñate, Maria/AAE-4469-2021; Berchialla, Paola/A-3208-2009; Figueres-Oñate, María/GNH-6119-2022; Buffo, Annalisa/O-7207-2019; Lopez-Mascaraque, Laura/M-2448-2014; Parmigiani, Elena/ABE-6167-2021; Parmigiani, Elena/AAD-7524-2021</t>
  </si>
  <si>
    <t>Cerrato, Valentina/0000-0002-0029-485X; Berchialla, Paola/0000-0001-5835-5638; Figueres-Oñate, María/0000-0001-8010-8668; Buffo, Annalisa/0000-0001-7637-0006; Lopez-Mascaraque, Laura/0000-0002-7154-5687; Parmigiani, Elena/0000-0002-3433-1823; de'sperati, claudio/0000-0002-7322-2240; Aprato, Jessica/0000-0003-4712-5591; Betizeau, Marion/0000-0002-0851-292X</t>
  </si>
  <si>
    <t>Cassiers, LLM; Sabbe, BGC; Schmaal, L; Veltman, DJ; Penninx, BWJH; Van den Eede, F</t>
  </si>
  <si>
    <t>Cassiers, Laura L. M.; Sabbe, Bernard G. C.; Schmaal, Lianne; Veltman, Dick J.; Penninx, Brenda W. J. H.; Van den Eede, Filip</t>
  </si>
  <si>
    <t>Structural and Functional Brain Abnormalities Associated With Exposure to Different Childhood Trauma Subtypes: A Systematic Review of Neuroimaging Findings</t>
  </si>
  <si>
    <t>FRONTIERS IN PSYCHIATRY</t>
  </si>
  <si>
    <t>child abuse [MeSH]; neuroimaging[MeSH]; childhood trauma; trauma subtypes; neglect; sexual abuse; emotional maltreatment; physical abuse</t>
  </si>
  <si>
    <t>ANTERIOR CINGULATE CORTEX; EARLY-LIFE STRESS; LATENT VULNERABILITY; ARCUATE FASCICULUS; EMOTIONAL FACES; VERBAL ABUSE; SEXUAL-ABUSE; MALTREATMENT; ADULTS; DISORDERS</t>
  </si>
  <si>
    <t>Background: Childhood trauma subtypes sexual abuse, physical abuse, emotional maltreatment, and neglect may have differential effects on the brain that persist into adulthood. A systematic review of neuroimaging findings supporting these differential effects is as yet lacking. Objectives: The present systematic review aims to summarize the findings of controlled neuroimaging trials regarding long-term differential effects of trauma subtypes on the human brain. Methods: A systematic literature search was performed using the PubMed and PsycINFO databases from January 2017 up to and including January 2018. Additional papers were identified by a manual search in the reference lists of selected papers and of relevant review articles retrieved by the initial database search. Studies were then assessed for eligibility by the first author. Only original human studies directly comparing neuroimaging findings of exposed and unexposed individuals to well-defined emotional, physical or sexual childhood maltreatment while controlling for the effects of other subtypes were included. A visual summary of extracted data was made for neuroimaging modalities for which comparison between trauma subtypes was feasible, taking the studies' numbers and sample sizes into account. Results: The systematic literature search yielded 25 publications. Sexual abuse was associated with structural deficits in the reward circuit and genitosensory cortex and amygdalar hyperreactivity during sad autobiographic memory recall. Emotional maltreatment correlated with abnormalities in fronto-limbic socioemotional networks. In neglected individuals, white matter integrity and connectivity were disturbed in several brain networks involved in a variety of functions. Other abnormalities, such as reduced frontal cortical volume, were common to all maltreatment types. Conclusions: There is some evidence for long-term differential effects of trauma subtypes on the human brain. The observed alterations may result from both protective adaptation of and damage to the brain following exposure to threatening life events. Though promising, the current evidence is incomplete, with few brain regions and neuroimaging modalities having been investigated in all subtypes. The comparability of the available evidence is further limited by the heterogeneity of study populations regarding gender, age and comorbid psychopathology. Future neuroimaging studies should take this potentially differential role of childhood trauma subtypes into account.</t>
  </si>
  <si>
    <t>[Cassiers, Laura L. M.; Sabbe, Bernard G. C.; Van den Eede, Filip] Univ Antwerp, Collaborat Antwerp Psychiat Res Inst, Antwerp, Belgium; [Cassiers, Laura L. M.; Van den Eede, Filip] Campus Antwerp Univ Hosp, Univ Dept Psychiat, Antwerp, Belgium; [Sabbe, Bernard G. C.] Campus Psychiat Hosp Duffel, Univ Dept Psychiat, Antwerp, Belgium; [Schmaal, Lianne] Orygen, Parkville, Vic, Australia; [Schmaal, Lianne] Univ Melbourne, Ctr Youth Mental Hlth, Melbourne, Vic, Australia; [Schmaal, Lianne; Veltman, Dick J.; Penninx, Brenda W. J. H.] Vrije Univ Amsterdam Med Ctr, Dept Psychiat, Amsterdam, Netherlands; [Veltman, Dick J.; Penninx, Brenda W. J. H.] Vrije Univ Amsterdam Med Ctr, Amsterdam Neurosci, Amsterdam, Netherlands</t>
  </si>
  <si>
    <t>University of Antwerp; Orygen, The National Centre of Excellence in Youth Mental Health; Orygen, The National Centre of Excellence in Youth Mental Health; University of Melbourne; Melbourne Bioinformatics; Vrije Universiteit Amsterdam; VU UNIVERSITY MEDICAL CENTER; Vrije Universiteit Amsterdam; VU UNIVERSITY MEDICAL CENTER</t>
  </si>
  <si>
    <t>Cassiers, LLM (corresponding author), Univ Antwerp, Collaborat Antwerp Psychiat Res Inst, Antwerp, Belgium.;Cassiers, LLM (corresponding author), Campus Antwerp Univ Hosp, Univ Dept Psychiat, Antwerp, Belgium.</t>
  </si>
  <si>
    <t>laura.cassiers@uantwerpen.be</t>
  </si>
  <si>
    <t>Sabbe, Bernard G.C./J-3598-2013; Penninx, Brenda WJH/S-7627-2017</t>
  </si>
  <si>
    <t>Penninx, Brenda WJH/0000-0001-7779-9672; Schmaal, Lianne/0000-0001-9822-048X</t>
  </si>
  <si>
    <t>Fund of the University of Antwerp [5739]</t>
  </si>
  <si>
    <t>Fund of the University of Antwerp</t>
  </si>
  <si>
    <t>This research was supported by the Fund of the University of Antwerp (project number 5739, bequest Cassiers).</t>
  </si>
  <si>
    <t>1664-0640</t>
  </si>
  <si>
    <t>FRONT PSYCHIATRY</t>
  </si>
  <si>
    <t>Front. Psychiatry</t>
  </si>
  <si>
    <t>AUG 3</t>
  </si>
  <si>
    <t>10.3389/fpsyt.2018.00329</t>
  </si>
  <si>
    <t>GP3AC</t>
  </si>
  <si>
    <t>WOS:000440708900001</t>
  </si>
  <si>
    <t>Pasteur Network; Universite Paris Cite; Institut Pasteur Paris; Institut National de la Sante et de la Recherche Medicale (Inserm)</t>
  </si>
  <si>
    <t>Sinnige, Tomas/AAR-6743-2020; Ragni, Daniele/AAA-5236-2019</t>
  </si>
  <si>
    <t>Sinnige, Tomas/0000-0002-8225-8114; Avallone, Francesco/0000-0002-6214-5200; de Vries, Reynard/0000-0003-4385-0673; Ragni, Daniele/0000-0002-8014-5650</t>
  </si>
  <si>
    <t>Kass, Philip H/AFO-1125-2022; Hart, Lynette/L-4833-2019</t>
  </si>
  <si>
    <t>Perera, Dr. Ranawaka A.P.M Perera/N-8263-2015; Kasem, Samy/AAA-3910-2021; Poon, Leo/AAP-6887-2020; Kasem, Samy/AAF-9650-2019; Peiris, Joseph Sriyal Malik/C-4380-2009; Poon, Leo/C-4382-2009</t>
  </si>
  <si>
    <t>Perera, Dr. Ranawaka A.P.M Perera/0000-0003-3936-1535; Kasem, Samy/0000-0002-8730-7333; Kasem, Samy/0000-0002-8730-7333; Chu, Daniel Ka Wing/0000-0002-9219-8979; Peiris, Joseph Sriyal Malik/0000-0001-8217-5995; Poon, Leo/0000-0002-9101-7953</t>
  </si>
  <si>
    <t>Universitatea Politehnica Timisoara; Romanian Academy of Sciences; Institute of Chemistry, Timisoara; West University of Timisoara</t>
  </si>
  <si>
    <t>; Susan-Resiga, Daniela/O-1620-2018</t>
  </si>
  <si>
    <t>BARVINSCHI, PAUL/0000-0002-0117-5027; Susan-Resiga, Daniela/0000-0003-2963-726X</t>
  </si>
  <si>
    <t>World Health Organization; University of Hong Kong; University of Hong Kong; University of Hong Kong; University of Hong Kong; World Health Organization; Melbourne Genomics Health Alliance; University of Melbourne; University of Melbourne; Melbourne Bioinformatics</t>
  </si>
  <si>
    <t>Ip, David FK/A-2312-2014; Perera, Dr. Ranawaka A.P.M Perera/N-8263-2015; Ng, Tiffany/EVK-2074-2022; Poon, Leo/AAP-6887-2020; Poon, Leo/C-4382-2009; Cowling, Benjamin/C-4263-2009; Ip, Dennis Kai Ming/C-4283-2009; Peiris, Joseph Sriyal Malik/C-4380-2009</t>
  </si>
  <si>
    <t>Perera, Dr. Ranawaka A.P.M Perera/0000-0003-3936-1535; Ng, Tiffany/0000-0003-0480-0948; Poon, Leo/0000-0002-9101-7953; Cowling, Benjamin/0000-0002-6297-7154; Ip, Dennis Kai Ming/0000-0003-3592-8709; Valkenburg, Sophie A/0000-0002-0768-9926; Peiris, Joseph Sriyal Malik/0000-0001-8217-5995; /0000-0001-6098-9701</t>
  </si>
  <si>
    <t>Wall, ME</t>
  </si>
  <si>
    <t>Wall, Michael E.</t>
  </si>
  <si>
    <t>Interactions that know no boundaries</t>
  </si>
  <si>
    <t>IUCRJ</t>
  </si>
  <si>
    <t>diffuse scattering; intermolecular correlations; LLM models</t>
  </si>
  <si>
    <t>X-RAY-SCATTERING; DIFFUSE-SCATTERING; MOTIONS; CRYSTAL; REFINEMENT; MOVEMENTS; DYNAMICS; BRAGG</t>
  </si>
  <si>
    <t>[Wall, Michael E.] Los Alamos Natl Lab, Comp Computat &amp; Stat Sci Div, Los Alamos, NM 87545 USA</t>
  </si>
  <si>
    <t>United States Department of Energy (DOE); Los Alamos National Laboratory</t>
  </si>
  <si>
    <t>Wall, Michael/0000-0003-1000-688X</t>
  </si>
  <si>
    <t>US Department of Energy via the Exascale Computing Project [DE-AC52-06NA25396]; University of California via the Laboratory Fees Research Program</t>
  </si>
  <si>
    <t>US Department of Energy via the Exascale Computing Project(United States Department of Energy (DOE)); University of California via the Laboratory Fees Research Program</t>
  </si>
  <si>
    <t>Support was provided by the US Department of Energy via the Exascale Computing Project and under contract DE-AC52-06NA25396 to Los Alamos National Security, LLC. Additional support was provided by the University of California via the Laboratory Fees Research Program.</t>
  </si>
  <si>
    <t>INT UNION CRYSTALLOGRAPHY</t>
  </si>
  <si>
    <t>CHESTER</t>
  </si>
  <si>
    <t>2 ABBEY SQ, CHESTER, CH1 2HU, ENGLAND</t>
  </si>
  <si>
    <t>2052-2525</t>
  </si>
  <si>
    <t>IUCrJ</t>
  </si>
  <si>
    <t>10.1107/S2052252518002713</t>
  </si>
  <si>
    <t>FY7KQ</t>
  </si>
  <si>
    <t>WOS:000427041400002</t>
  </si>
  <si>
    <t>Taipei Medical University; Taipei Municipal WanFang Hospital; Taipei Medical University; Taipei Municipal WanFang Hospital; Taipei Medical University; Taipei Municipal WanFang Hospital; Taipei Municipal WanFang Hospital; Taipei Medical University; Fudan University; Taipei Medical University</t>
  </si>
  <si>
    <t>xuan, li/JNI-7432-2023; Wu, Shawn Y./J-8611-2014; Huang, Li/IUQ-0909-2023</t>
  </si>
  <si>
    <t>University System of Ohio; Ohio State University; University of Hawaii System; University of Hawaii Manoa; Cancer Research Center of Hawaii; University of Hawaii System; University of Hawaii Manoa; Universite Paris Saclay</t>
  </si>
  <si>
    <t>Tost, Joerg/H-7129-2019; Song, Min-Ae/AAF-9672-2021; Tirikainen, M/B-6954-2012; Lim, Unhee/AEA-8591-2022</t>
  </si>
  <si>
    <t>Tost, Joerg/0000-0002-2683-0817; Tirikainen, M/0000-0002-8124-3818; Lim, Unhee/0000-0001-6221-7190; Chang, Linda/0000-0002-1267-0699</t>
  </si>
  <si>
    <t>Sorte, Cascade/0000-0003-0952-951X; Davis, Kristen/0000-0001-8925-0433</t>
  </si>
  <si>
    <t>van Santen, J; Dröes, RM; Holstege, M; Henkemans, OB; van Rijn, A; de Vries, R; van Straten, A; Meiland, F</t>
  </si>
  <si>
    <t>van Santen, Joeke; Droes, Rose-Marie; Holstege, Marije; Henkemans, Olivier Blanson; van Rijn, Annelies; de Vries, Ralph; van Straten, Annemieke; Meiland, Franka</t>
  </si>
  <si>
    <t>Effects of Exergaming in People with Dementia: Results of a Systematic Literature Review</t>
  </si>
  <si>
    <t>JOURNAL OF ALZHEIMERS DISEASE</t>
  </si>
  <si>
    <t>Cognition; dementia; exercise; neuropsychiatry; play; quality of life; review</t>
  </si>
  <si>
    <t>QUALITY-OF-LIFE; PHYSICAL-ACTIVITY; HEALTH-BENEFITS; COGNITIVE IMPAIRMENT; ALZHEIMERS-DISEASE; EXERCISE PROGRAM; OLDER-PEOPLE; INTERVENTIONS; EFFICACY; BALANCE</t>
  </si>
  <si>
    <t>Background: Physical exercise benefits functioning, health, and well-being. However, people living with dementia in particular hardly engage in exercise. Exergaming (exercise and gaming) is an innovative, fun, and relatively safe way of exercising in a virtual reality or gaming environment. It may help people living with dementia overcome barriers they can experience regarding regular exercise activities. Objective: This systematic literature review aims to provide an overview of the cost-effectiveness of exergaming and its effects on physical, cognitive, emotional, and social functioning, as well as the quality of life in people living with dementia. Methods: PubMed, Embase, Cinahl, PsycINFO, the Cochrane Library, and the Web of Science Core Collection were searched. Selection of studies was carried out by at least two independent researchers. Results: Three studies were found to be eligible and were included in this review. Two of these showed some statistically significant effects of exergaming on physical, cognitive, and emotional functioning in people living with dementia, although based on a very small sample. No articles were found about the cost-effectiveness of exergaming. Conclusion: Only a few controlled studies have been conducted into the effectiveness of exergaming, and these show very little significant benefits. More well-designed studies are necessary to examine the effects of exergaming.</t>
  </si>
  <si>
    <t>[van Santen, Joeke; Droes, Rose-Marie; van Rijn, Annelies; Meiland, Franka] Vrije Univ Amsterdam Med Ctr, Dept Psychiat, Amsterdam, Netherlands; [van Santen, Joeke; Droes, Rose-Marie; van Rijn, Annelies; Meiland, Franka] Amsterdam Publ Hlth Res Inst, Amsterdam, Netherlands; [Holstege, Marije] Espria, Dept Res &amp; Dev Evean, Purmerend, Netherlands; [Henkemans, Olivier Blanson] TNO, Child Hlth, Leiden, Netherlands; [de Vries, Ralph] Vrije Univ Amsterdam, Med Lib, Amsterdam, Netherlands; [van Straten, Annemieke] Vrije Univ Amsterdam, Dept Clin Psychol, Amsterdam, Netherlands</t>
  </si>
  <si>
    <t>Vrije Universiteit Amsterdam; VU UNIVERSITY MEDICAL CENTER; Vrije Universiteit Amsterdam; Netherlands Organization Applied Science Research; Vrije Universiteit Amsterdam; Vrije Universiteit Amsterdam</t>
  </si>
  <si>
    <t>Meiland, F (corresponding author), GGZ inGeest Dienst Onderzoek Innovatie, Oldenaller 1 Room H3-07,POB 74077, NL-1070 BB Amsterdam, Netherlands.</t>
  </si>
  <si>
    <t>fj.meiland@vumc.nl</t>
  </si>
  <si>
    <t>van Straten, Annemieke/P-8495-2019</t>
  </si>
  <si>
    <t>van Straten, Annemieke/0000-0001-6875-2215; de Vries, Ralph/0000-0002-2075-7495; van Santen, Joeke/0000-0001-7486-167X; Droes, Rose-Marie/0000-0002-4812-1229</t>
  </si>
  <si>
    <t>Marie Curie Innovative Training Network (ITN) action, H-MSCA-ITN [676265]; ZonMw/Alzheimer Nederland [70-73305-98-629]; Stichting Dioraphte [16 02 04 03]; European Commission [238904]; Marie Curie Actions (MSCA) [676265] Funding Source: Marie Curie Actions (MSCA)</t>
  </si>
  <si>
    <t>Marie Curie Innovative Training Network (ITN) action, H-MSCA-ITN(Marie Curie ActionsEuropean Union (EU)); ZonMw/Alzheimer Nederland; Stichting Dioraphte; European Commission(European Union (EU)European Commission Joint Research Centre); Marie Curie Actions (MSCA)(Marie Curie Actions)</t>
  </si>
  <si>
    <t>The research presented in this review was carried out as part of the Marie Curie Innovative Training Network (ITN) action, H2020-MSCA-ITN-2015, under grant agreement number 676265, and co-funded by ZonMw/Alzheimer Nederland, project number 70-73305-98-629, and Stichting Dioraphte, project number 16 02 04 03.; This paper has benefited from data from the LLM study (ClinicalTrials.gov Identifier: NCT02267499). The Long Lasting Memories (LLM) project was initially funded by the European Commission (Project No. 238904; www.longlastingmemories.eu) but is currently continued as the business exploitation of LLM, namely, LLM Care. LLM Care (http://www.llmcare.gr) is a self-funded initiative at the Aristotle University of Thessaloniki and a live active and healthy aging ecosystem with an associated Living Lab (ThessAHALL, http://www.aha-livinglabs.com).</t>
  </si>
  <si>
    <t>1387-2877</t>
  </si>
  <si>
    <t>1875-8908</t>
  </si>
  <si>
    <t>J ALZHEIMERS DIS</t>
  </si>
  <si>
    <t>J. Alzheimers Dis.</t>
  </si>
  <si>
    <t>10.3233/JAD-170667</t>
  </si>
  <si>
    <t>GD9KG</t>
  </si>
  <si>
    <t>WOS:000430831000027</t>
  </si>
  <si>
    <t>X</t>
  </si>
  <si>
    <t>DATABASE</t>
  </si>
  <si>
    <t>Number INITIAL</t>
  </si>
  <si>
    <t>Number list</t>
  </si>
  <si>
    <t>title abstact and keywords</t>
  </si>
  <si>
    <t>Quality criteria</t>
  </si>
  <si>
    <t>Fullpaper</t>
  </si>
  <si>
    <t>NUMBER FINAL</t>
  </si>
  <si>
    <t>Search strings1</t>
  </si>
  <si>
    <t>Search strings2</t>
  </si>
  <si>
    <t>Final (Duplicated documents were removed through list selection on the platforms)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</si>
</sst>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ont>
    <font>
      <sz val="10"/>
      <name val="Arial"/>
      <family val="2"/>
    </font>
    <font>
      <sz val="11"/>
      <name val="Calibri"/>
      <family val="2"/>
      <scheme val="minor"/>
    </font>
    <font>
      <sz val="10"/>
      <name val="Segoe UI"/>
      <family val="2"/>
    </font>
    <font>
      <b/>
      <sz val="11"/>
      <name val="Calibri"/>
      <family val="2"/>
      <scheme val="minor"/>
    </font>
    <font>
      <sz val="11"/>
      <color theme="1"/>
      <name val="Aptos"/>
      <family val="2"/>
    </font>
    <font>
      <sz val="10"/>
      <color theme="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19" fillId="0" borderId="0"/>
  </cellStyleXfs>
  <cellXfs count="28">
    <xf numFmtId="0" fontId="0" fillId="0" borderId="0" xfId="0"/>
    <xf numFmtId="0" fontId="18" fillId="0" borderId="0" xfId="42"/>
    <xf numFmtId="0" fontId="20" fillId="0" borderId="0" xfId="0" applyFont="1"/>
    <xf numFmtId="0" fontId="0" fillId="0" borderId="0" xfId="0" applyAlignment="1">
      <alignment wrapText="1"/>
    </xf>
    <xf numFmtId="0" fontId="23" fillId="0" borderId="0" xfId="0" applyFont="1" applyAlignment="1">
      <alignment wrapText="1"/>
    </xf>
    <xf numFmtId="15" fontId="0" fillId="0" borderId="0" xfId="0" applyNumberFormat="1"/>
    <xf numFmtId="0" fontId="0" fillId="33" borderId="0" xfId="0" applyFill="1"/>
    <xf numFmtId="0" fontId="18" fillId="33" borderId="0" xfId="42" applyFill="1"/>
    <xf numFmtId="0" fontId="0" fillId="0" borderId="0" xfId="0" applyFill="1"/>
    <xf numFmtId="0" fontId="19" fillId="33" borderId="0" xfId="42" applyFont="1" applyFill="1"/>
    <xf numFmtId="0" fontId="24" fillId="33" borderId="0" xfId="0" applyFont="1" applyFill="1"/>
    <xf numFmtId="0" fontId="19" fillId="0" borderId="0" xfId="42" applyFont="1" applyFill="1"/>
    <xf numFmtId="0" fontId="24" fillId="0" borderId="0" xfId="0" applyFont="1" applyFill="1"/>
    <xf numFmtId="0" fontId="19" fillId="0" borderId="0" xfId="0" applyFont="1" applyFill="1"/>
    <xf numFmtId="0" fontId="22" fillId="0" borderId="10" xfId="17" applyFont="1" applyFill="1" applyBorder="1"/>
    <xf numFmtId="0" fontId="19" fillId="0" borderId="10" xfId="43" applyBorder="1" applyAlignment="1">
      <alignment wrapText="1"/>
    </xf>
    <xf numFmtId="0" fontId="20" fillId="0" borderId="10" xfId="0" applyFont="1" applyBorder="1" applyAlignment="1">
      <alignment horizontal="center" vertical="center" wrapText="1"/>
    </xf>
    <xf numFmtId="0" fontId="20" fillId="0" borderId="10" xfId="0" applyFont="1" applyBorder="1" applyAlignment="1">
      <alignment horizontal="center" wrapText="1"/>
    </xf>
    <xf numFmtId="0" fontId="19" fillId="0" borderId="11" xfId="43" applyBorder="1"/>
    <xf numFmtId="0" fontId="19" fillId="0" borderId="10" xfId="43" applyBorder="1"/>
    <xf numFmtId="0" fontId="19" fillId="0" borderId="13" xfId="43" applyBorder="1"/>
    <xf numFmtId="0" fontId="20" fillId="0" borderId="10" xfId="0" applyFont="1" applyBorder="1"/>
    <xf numFmtId="0" fontId="21" fillId="0" borderId="10" xfId="0" applyFont="1" applyBorder="1"/>
    <xf numFmtId="49" fontId="20" fillId="0" borderId="10" xfId="0" applyNumberFormat="1" applyFont="1" applyBorder="1" applyAlignment="1">
      <alignment horizontal="center" wrapText="1"/>
    </xf>
    <xf numFmtId="0" fontId="19" fillId="0" borderId="12" xfId="43" applyBorder="1"/>
    <xf numFmtId="0" fontId="19" fillId="0" borderId="0" xfId="43"/>
    <xf numFmtId="0" fontId="20" fillId="0" borderId="0" xfId="0" applyFont="1" applyAlignment="1">
      <alignment horizontal="center" wrapText="1"/>
    </xf>
    <xf numFmtId="0" fontId="0" fillId="33" borderId="0" xfId="0" applyFill="1" applyAlignment="1">
      <alignment wrapText="1"/>
    </xf>
  </cellXfs>
  <cellStyles count="44">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rmal 2" xfId="42" xr:uid="{00000000-0005-0000-0000-000023000000}"/>
    <cellStyle name="Normal 2 2" xfId="43" xr:uid="{D2D25666-16E7-41D0-9C6B-541DEFC5D87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hyperlink" Target="https://doi.org/10.53761/1.20.5.01" TargetMode="External"/><Relationship Id="rId1" Type="http://schemas.openxmlformats.org/officeDocument/2006/relationships/hyperlink" Target="https://doi.org/10.53761/1.20.5.0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60C25-DD5C-4B98-9A01-5B1D5B3BE5CD}">
  <dimension ref="A1:C7"/>
  <sheetViews>
    <sheetView tabSelected="1" workbookViewId="0">
      <selection activeCell="C10" sqref="C10"/>
    </sheetView>
  </sheetViews>
  <sheetFormatPr baseColWidth="10" defaultColWidth="35.44140625" defaultRowHeight="37.200000000000003" customHeight="1" x14ac:dyDescent="0.3"/>
  <cols>
    <col min="1" max="1" width="35.44140625" style="3"/>
    <col min="2" max="2" width="56" style="3" customWidth="1"/>
    <col min="3" max="3" width="51.6640625" style="3" customWidth="1"/>
    <col min="4" max="16384" width="35.44140625" style="3"/>
  </cols>
  <sheetData>
    <row r="1" spans="1:3" ht="37.200000000000003" customHeight="1" x14ac:dyDescent="0.3">
      <c r="A1" s="3" t="s">
        <v>12203</v>
      </c>
      <c r="B1" s="3" t="s">
        <v>12204</v>
      </c>
      <c r="C1" s="3" t="s">
        <v>12118</v>
      </c>
    </row>
    <row r="2" spans="1:3" ht="37.200000000000003" customHeight="1" x14ac:dyDescent="0.3">
      <c r="A2" s="3" t="s">
        <v>16071</v>
      </c>
      <c r="B2" s="3" t="s">
        <v>12207</v>
      </c>
      <c r="C2" s="3" t="s">
        <v>13739</v>
      </c>
    </row>
    <row r="3" spans="1:3" ht="37.200000000000003" customHeight="1" x14ac:dyDescent="0.3">
      <c r="A3" s="4" t="s">
        <v>12205</v>
      </c>
      <c r="B3" s="3">
        <v>175</v>
      </c>
      <c r="C3" s="3">
        <v>631</v>
      </c>
    </row>
    <row r="4" spans="1:3" ht="43.2" x14ac:dyDescent="0.3">
      <c r="A4" s="3" t="s">
        <v>16072</v>
      </c>
      <c r="B4" s="3" t="s">
        <v>12208</v>
      </c>
      <c r="C4" s="3" t="s">
        <v>13740</v>
      </c>
    </row>
    <row r="5" spans="1:3" ht="57.6" x14ac:dyDescent="0.3">
      <c r="A5" s="3" t="s">
        <v>12206</v>
      </c>
      <c r="B5" s="3">
        <v>113</v>
      </c>
      <c r="C5" s="3">
        <v>203</v>
      </c>
    </row>
    <row r="6" spans="1:3" ht="37.200000000000003" customHeight="1" x14ac:dyDescent="0.3">
      <c r="A6" s="3" t="s">
        <v>12209</v>
      </c>
      <c r="B6" s="3">
        <v>288</v>
      </c>
      <c r="C6" s="3">
        <v>834</v>
      </c>
    </row>
    <row r="7" spans="1:3" ht="37.200000000000003" customHeight="1" x14ac:dyDescent="0.3">
      <c r="A7" s="27" t="s">
        <v>16073</v>
      </c>
      <c r="B7" s="27">
        <v>177</v>
      </c>
      <c r="C7" s="27">
        <v>631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01C4F-DB26-4682-B60D-3CB10E253C87}">
  <dimension ref="A1:BO632"/>
  <sheetViews>
    <sheetView zoomScale="80" zoomScaleNormal="80" workbookViewId="0">
      <selection activeCell="M1" sqref="M1"/>
    </sheetView>
  </sheetViews>
  <sheetFormatPr baseColWidth="10" defaultRowHeight="13.2" x14ac:dyDescent="0.25"/>
  <cols>
    <col min="1" max="1" width="4.21875" style="12" customWidth="1"/>
    <col min="2" max="2" width="9.5546875" style="12" customWidth="1"/>
    <col min="3" max="3" width="3.77734375" style="12" customWidth="1"/>
    <col min="4" max="4" width="2.77734375" style="12" customWidth="1"/>
    <col min="5" max="5" width="54.77734375" style="12" customWidth="1"/>
    <col min="6" max="6" width="6.6640625" style="12" customWidth="1"/>
    <col min="7" max="7" width="3.44140625" style="12" customWidth="1"/>
    <col min="8" max="8" width="3.5546875" style="12" customWidth="1"/>
    <col min="9" max="9" width="2.44140625" style="12" customWidth="1"/>
    <col min="10" max="10" width="3.21875" style="12" customWidth="1"/>
    <col min="11" max="11" width="6.6640625" style="12" customWidth="1"/>
    <col min="12" max="12" width="9.77734375" style="12" customWidth="1"/>
    <col min="13" max="13" width="11.5546875" style="10"/>
    <col min="14" max="16384" width="11.5546875" style="12"/>
  </cols>
  <sheetData>
    <row r="1" spans="1:13" x14ac:dyDescent="0.25">
      <c r="A1" s="12" t="s">
        <v>16065</v>
      </c>
      <c r="B1" s="12" t="s">
        <v>16064</v>
      </c>
      <c r="C1" s="12" t="s">
        <v>1445</v>
      </c>
      <c r="D1" s="12" t="s">
        <v>0</v>
      </c>
      <c r="E1" s="12" t="s">
        <v>2</v>
      </c>
      <c r="F1" s="12" t="s">
        <v>3</v>
      </c>
      <c r="G1" s="12" t="s">
        <v>4</v>
      </c>
      <c r="H1" s="12" t="s">
        <v>12</v>
      </c>
      <c r="I1" s="12" t="s">
        <v>16</v>
      </c>
      <c r="J1" s="12" t="s">
        <v>17</v>
      </c>
      <c r="K1" s="12" t="s">
        <v>26</v>
      </c>
      <c r="L1" s="12" t="s">
        <v>28</v>
      </c>
      <c r="M1" s="10" t="s">
        <v>16067</v>
      </c>
    </row>
    <row r="2" spans="1:13" x14ac:dyDescent="0.25">
      <c r="A2" s="12">
        <v>162</v>
      </c>
      <c r="B2" s="12" t="s">
        <v>12204</v>
      </c>
      <c r="C2" s="12">
        <v>600</v>
      </c>
      <c r="D2" s="12" t="s">
        <v>13299</v>
      </c>
      <c r="E2" s="12" t="s">
        <v>214</v>
      </c>
      <c r="F2" s="12">
        <v>2023</v>
      </c>
      <c r="G2" s="12" t="s">
        <v>215</v>
      </c>
      <c r="H2" s="12" t="s">
        <v>216</v>
      </c>
      <c r="I2" s="12" t="s">
        <v>219</v>
      </c>
      <c r="J2" s="12" t="s">
        <v>220</v>
      </c>
      <c r="K2" s="12" t="s">
        <v>42</v>
      </c>
      <c r="L2" s="12" t="s">
        <v>56</v>
      </c>
      <c r="M2" s="10" t="s">
        <v>12142</v>
      </c>
    </row>
    <row r="3" spans="1:13" x14ac:dyDescent="0.25">
      <c r="A3" s="12">
        <v>29</v>
      </c>
      <c r="B3" s="12" t="s">
        <v>12204</v>
      </c>
      <c r="C3" s="12">
        <v>80</v>
      </c>
      <c r="D3" s="12" t="s">
        <v>404</v>
      </c>
      <c r="E3" s="12" t="s">
        <v>1015</v>
      </c>
      <c r="F3" s="12">
        <v>2021</v>
      </c>
      <c r="G3" s="12" t="s">
        <v>1016</v>
      </c>
      <c r="H3" s="12" t="s">
        <v>1017</v>
      </c>
      <c r="I3" s="12" t="s">
        <v>1020</v>
      </c>
      <c r="J3" s="12" t="s">
        <v>1021</v>
      </c>
      <c r="K3" s="12" t="s">
        <v>42</v>
      </c>
      <c r="L3" s="12" t="s">
        <v>56</v>
      </c>
      <c r="M3" s="10" t="s">
        <v>12142</v>
      </c>
    </row>
    <row r="4" spans="1:13" x14ac:dyDescent="0.25">
      <c r="A4" s="11">
        <v>234</v>
      </c>
      <c r="B4" s="12" t="s">
        <v>12118</v>
      </c>
      <c r="C4" s="12">
        <v>257</v>
      </c>
      <c r="D4" s="11" t="s">
        <v>2084</v>
      </c>
      <c r="E4" s="11" t="s">
        <v>2086</v>
      </c>
      <c r="F4" s="11">
        <v>2023</v>
      </c>
      <c r="G4" s="11" t="s">
        <v>2087</v>
      </c>
      <c r="H4" s="11" t="str">
        <f>HYPERLINK("http://dx.doi.org/10.1007/JHEP12(2023)046","http://dx.doi.org/10.1007/JHEP12(2023)046")</f>
        <v>http://dx.doi.org/10.1007/JHEP12(2023)046</v>
      </c>
      <c r="I4" s="11" t="s">
        <v>2089</v>
      </c>
      <c r="J4" s="11" t="s">
        <v>2088</v>
      </c>
      <c r="K4" s="11" t="s">
        <v>42</v>
      </c>
      <c r="L4" s="11" t="s">
        <v>56</v>
      </c>
      <c r="M4" s="9" t="s">
        <v>12142</v>
      </c>
    </row>
    <row r="5" spans="1:13" x14ac:dyDescent="0.25">
      <c r="A5" s="11">
        <v>558</v>
      </c>
      <c r="B5" s="12" t="s">
        <v>12118</v>
      </c>
      <c r="C5" s="12">
        <v>624</v>
      </c>
      <c r="D5" s="11" t="s">
        <v>8040</v>
      </c>
      <c r="E5" s="11" t="s">
        <v>8042</v>
      </c>
      <c r="F5" s="11">
        <v>2021</v>
      </c>
      <c r="G5" s="11" t="s">
        <v>8043</v>
      </c>
      <c r="H5" s="11" t="str">
        <f>HYPERLINK("http://dx.doi.org/10.1186/s10020-021-00334-y","http://dx.doi.org/10.1186/s10020-021-00334-y")</f>
        <v>http://dx.doi.org/10.1186/s10020-021-00334-y</v>
      </c>
      <c r="I5" s="11" t="s">
        <v>8046</v>
      </c>
      <c r="J5" s="11" t="s">
        <v>8044</v>
      </c>
      <c r="K5" s="11" t="s">
        <v>42</v>
      </c>
      <c r="L5" s="11" t="s">
        <v>56</v>
      </c>
      <c r="M5" s="9" t="s">
        <v>12142</v>
      </c>
    </row>
    <row r="6" spans="1:13" x14ac:dyDescent="0.25">
      <c r="A6" s="11">
        <v>591</v>
      </c>
      <c r="B6" s="12" t="s">
        <v>12118</v>
      </c>
      <c r="C6" s="12">
        <v>660</v>
      </c>
      <c r="D6" s="11" t="s">
        <v>6579</v>
      </c>
      <c r="E6" s="11" t="s">
        <v>6581</v>
      </c>
      <c r="F6" s="11">
        <v>2023</v>
      </c>
      <c r="G6" s="11" t="s">
        <v>6014</v>
      </c>
      <c r="H6" s="11" t="str">
        <f>HYPERLINK("http://dx.doi.org/10.1109/ASE56229.2023.00096","http://dx.doi.org/10.1109/ASE56229.2023.00096")</f>
        <v>http://dx.doi.org/10.1109/ASE56229.2023.00096</v>
      </c>
      <c r="I6" s="11" t="s">
        <v>6583</v>
      </c>
      <c r="J6" s="11" t="s">
        <v>6582</v>
      </c>
      <c r="K6" s="11" t="s">
        <v>42</v>
      </c>
      <c r="L6" s="11" t="s">
        <v>5552</v>
      </c>
      <c r="M6" s="10">
        <v>1</v>
      </c>
    </row>
    <row r="7" spans="1:13" x14ac:dyDescent="0.25">
      <c r="A7" s="11">
        <v>580</v>
      </c>
      <c r="B7" s="12" t="s">
        <v>12118</v>
      </c>
      <c r="C7" s="12">
        <v>648</v>
      </c>
      <c r="D7" s="11" t="s">
        <v>9122</v>
      </c>
      <c r="E7" s="11" t="s">
        <v>9124</v>
      </c>
      <c r="F7" s="11">
        <v>2022</v>
      </c>
      <c r="G7" s="11" t="s">
        <v>1508</v>
      </c>
      <c r="H7" s="11" t="str">
        <f>HYPERLINK("http://dx.doi.org/10.1007/s12144-020-01230-0","http://dx.doi.org/10.1007/s12144-020-01230-0")</f>
        <v>http://dx.doi.org/10.1007/s12144-020-01230-0</v>
      </c>
      <c r="I7" s="11" t="s">
        <v>9127</v>
      </c>
      <c r="J7" s="11" t="s">
        <v>9125</v>
      </c>
      <c r="K7" s="11" t="s">
        <v>42</v>
      </c>
      <c r="L7" s="11" t="s">
        <v>56</v>
      </c>
      <c r="M7" s="9">
        <v>1</v>
      </c>
    </row>
    <row r="8" spans="1:13" x14ac:dyDescent="0.25">
      <c r="A8" s="12">
        <v>138</v>
      </c>
      <c r="B8" s="12" t="s">
        <v>12204</v>
      </c>
      <c r="C8" s="12">
        <v>493</v>
      </c>
      <c r="D8" s="12" t="s">
        <v>13313</v>
      </c>
      <c r="E8" s="12" t="s">
        <v>365</v>
      </c>
      <c r="F8" s="12">
        <v>2023</v>
      </c>
      <c r="G8" s="12" t="s">
        <v>366</v>
      </c>
      <c r="H8" s="12" t="s">
        <v>368</v>
      </c>
      <c r="I8" s="12" t="s">
        <v>371</v>
      </c>
      <c r="K8" s="12" t="s">
        <v>42</v>
      </c>
      <c r="L8" s="12" t="s">
        <v>56</v>
      </c>
      <c r="M8" s="9" t="s">
        <v>12142</v>
      </c>
    </row>
    <row r="9" spans="1:13" x14ac:dyDescent="0.25">
      <c r="A9" s="11">
        <v>372</v>
      </c>
      <c r="B9" s="12" t="s">
        <v>12118</v>
      </c>
      <c r="C9" s="12">
        <v>413</v>
      </c>
      <c r="D9" s="11" t="s">
        <v>12039</v>
      </c>
      <c r="E9" s="11" t="s">
        <v>12041</v>
      </c>
      <c r="F9" s="11">
        <v>2018</v>
      </c>
      <c r="G9" s="11" t="s">
        <v>11888</v>
      </c>
      <c r="H9" s="11" t="s">
        <v>1507</v>
      </c>
      <c r="I9" s="11" t="s">
        <v>12043</v>
      </c>
      <c r="J9" s="11" t="s">
        <v>1507</v>
      </c>
      <c r="K9" s="11" t="s">
        <v>42</v>
      </c>
      <c r="L9" s="11" t="s">
        <v>56</v>
      </c>
      <c r="M9" s="9" t="s">
        <v>12142</v>
      </c>
    </row>
    <row r="10" spans="1:13" x14ac:dyDescent="0.25">
      <c r="A10" s="11">
        <v>407</v>
      </c>
      <c r="B10" s="12" t="s">
        <v>12118</v>
      </c>
      <c r="C10" s="12">
        <v>450</v>
      </c>
      <c r="D10" s="11" t="s">
        <v>5335</v>
      </c>
      <c r="E10" s="11" t="s">
        <v>5337</v>
      </c>
      <c r="F10" s="11">
        <v>2023</v>
      </c>
      <c r="G10" s="11" t="s">
        <v>3555</v>
      </c>
      <c r="H10" s="11" t="str">
        <f>HYPERLINK("http://dx.doi.org/10.1017/S0021855323000049","http://dx.doi.org/10.1017/S0021855323000049")</f>
        <v>http://dx.doi.org/10.1017/S0021855323000049</v>
      </c>
      <c r="I10" s="11" t="s">
        <v>5339</v>
      </c>
      <c r="J10" s="11" t="s">
        <v>5338</v>
      </c>
      <c r="K10" s="11" t="s">
        <v>42</v>
      </c>
      <c r="L10" s="11" t="s">
        <v>56</v>
      </c>
      <c r="M10" s="9" t="s">
        <v>12142</v>
      </c>
    </row>
    <row r="11" spans="1:13" x14ac:dyDescent="0.25">
      <c r="A11" s="11">
        <v>117</v>
      </c>
      <c r="B11" s="12" t="s">
        <v>12118</v>
      </c>
      <c r="C11" s="12">
        <v>122</v>
      </c>
      <c r="D11" s="11" t="s">
        <v>4293</v>
      </c>
      <c r="E11" s="11" t="s">
        <v>4295</v>
      </c>
      <c r="F11" s="11">
        <v>2023</v>
      </c>
      <c r="G11" s="11" t="s">
        <v>4296</v>
      </c>
      <c r="H11" s="11" t="str">
        <f>HYPERLINK("http://dx.doi.org/10.3847/1538-4365/acdee1","http://dx.doi.org/10.3847/1538-4365/acdee1")</f>
        <v>http://dx.doi.org/10.3847/1538-4365/acdee1</v>
      </c>
      <c r="I11" s="11" t="s">
        <v>4298</v>
      </c>
      <c r="J11" s="11" t="s">
        <v>1507</v>
      </c>
      <c r="K11" s="11" t="s">
        <v>42</v>
      </c>
      <c r="L11" s="11" t="s">
        <v>56</v>
      </c>
      <c r="M11" s="10">
        <v>1</v>
      </c>
    </row>
    <row r="12" spans="1:13" x14ac:dyDescent="0.25">
      <c r="A12" s="11">
        <v>526</v>
      </c>
      <c r="B12" s="12" t="s">
        <v>12118</v>
      </c>
      <c r="C12" s="12">
        <v>584</v>
      </c>
      <c r="D12" s="11" t="s">
        <v>9368</v>
      </c>
      <c r="E12" s="11" t="s">
        <v>9370</v>
      </c>
      <c r="F12" s="11">
        <v>2020</v>
      </c>
      <c r="G12" s="11" t="s">
        <v>9371</v>
      </c>
      <c r="H12" s="11" t="str">
        <f>HYPERLINK("http://dx.doi.org/10.1021/acs.inorgchem.0c03014","http://dx.doi.org/10.1021/acs.inorgchem.0c03014")</f>
        <v>http://dx.doi.org/10.1021/acs.inorgchem.0c03014</v>
      </c>
      <c r="I12" s="11" t="s">
        <v>9373</v>
      </c>
      <c r="J12" s="11" t="s">
        <v>1507</v>
      </c>
      <c r="K12" s="11" t="s">
        <v>42</v>
      </c>
      <c r="L12" s="11" t="s">
        <v>56</v>
      </c>
      <c r="M12" s="9" t="s">
        <v>12142</v>
      </c>
    </row>
    <row r="13" spans="1:13" x14ac:dyDescent="0.25">
      <c r="A13" s="11">
        <v>460</v>
      </c>
      <c r="B13" s="12" t="s">
        <v>12118</v>
      </c>
      <c r="C13" s="12">
        <v>512</v>
      </c>
      <c r="D13" s="11" t="s">
        <v>5095</v>
      </c>
      <c r="E13" s="11" t="s">
        <v>5097</v>
      </c>
      <c r="F13" s="11">
        <v>2023</v>
      </c>
      <c r="G13" s="11" t="s">
        <v>5098</v>
      </c>
      <c r="H13" s="11" t="str">
        <f>HYPERLINK("http://dx.doi.org/10.1016/j.compfluid.2023.105896","http://dx.doi.org/10.1016/j.compfluid.2023.105896")</f>
        <v>http://dx.doi.org/10.1016/j.compfluid.2023.105896</v>
      </c>
      <c r="I13" s="11" t="s">
        <v>5101</v>
      </c>
      <c r="J13" s="11" t="s">
        <v>5099</v>
      </c>
      <c r="K13" s="11" t="s">
        <v>42</v>
      </c>
      <c r="L13" s="11" t="s">
        <v>56</v>
      </c>
      <c r="M13" s="9" t="s">
        <v>12142</v>
      </c>
    </row>
    <row r="14" spans="1:13" x14ac:dyDescent="0.25">
      <c r="A14" s="11">
        <v>353</v>
      </c>
      <c r="B14" s="12" t="s">
        <v>12118</v>
      </c>
      <c r="C14" s="12">
        <v>394</v>
      </c>
      <c r="D14" s="11" t="s">
        <v>7383</v>
      </c>
      <c r="E14" s="11" t="s">
        <v>7385</v>
      </c>
      <c r="F14" s="11">
        <v>2022</v>
      </c>
      <c r="G14" s="11" t="s">
        <v>7386</v>
      </c>
      <c r="H14" s="11" t="str">
        <f>HYPERLINK("http://dx.doi.org/10.1016/j.stemcr.2022.01.015","http://dx.doi.org/10.1016/j.stemcr.2022.01.015")</f>
        <v>http://dx.doi.org/10.1016/j.stemcr.2022.01.015</v>
      </c>
      <c r="I14" s="11" t="s">
        <v>7388</v>
      </c>
      <c r="J14" s="11" t="s">
        <v>1507</v>
      </c>
      <c r="K14" s="11" t="s">
        <v>42</v>
      </c>
      <c r="L14" s="11" t="s">
        <v>56</v>
      </c>
      <c r="M14" s="9" t="s">
        <v>12142</v>
      </c>
    </row>
    <row r="15" spans="1:13" x14ac:dyDescent="0.25">
      <c r="A15" s="11">
        <v>29</v>
      </c>
      <c r="B15" s="12" t="s">
        <v>12118</v>
      </c>
      <c r="C15" s="12">
        <v>30</v>
      </c>
      <c r="D15" s="11" t="s">
        <v>10964</v>
      </c>
      <c r="E15" s="11" t="s">
        <v>11041</v>
      </c>
      <c r="F15" s="11">
        <v>2019</v>
      </c>
      <c r="G15" s="11" t="s">
        <v>5034</v>
      </c>
      <c r="H15" s="11" t="str">
        <f>HYPERLINK("http://dx.doi.org/10.3366/ajicl.2019.0272","http://dx.doi.org/10.3366/ajicl.2019.0272")</f>
        <v>http://dx.doi.org/10.3366/ajicl.2019.0272</v>
      </c>
      <c r="I15" s="11" t="s">
        <v>1507</v>
      </c>
      <c r="J15" s="11" t="s">
        <v>1507</v>
      </c>
      <c r="K15" s="11" t="s">
        <v>42</v>
      </c>
      <c r="L15" s="11" t="s">
        <v>56</v>
      </c>
      <c r="M15" s="9" t="s">
        <v>12142</v>
      </c>
    </row>
    <row r="16" spans="1:13" x14ac:dyDescent="0.25">
      <c r="A16" s="11">
        <v>359</v>
      </c>
      <c r="B16" s="12" t="s">
        <v>12118</v>
      </c>
      <c r="C16" s="12">
        <v>401</v>
      </c>
      <c r="D16" s="11" t="s">
        <v>12015</v>
      </c>
      <c r="E16" s="11" t="s">
        <v>12017</v>
      </c>
      <c r="F16" s="11">
        <v>2018</v>
      </c>
      <c r="G16" s="11" t="s">
        <v>12018</v>
      </c>
      <c r="H16" s="11" t="str">
        <f>HYPERLINK("http://dx.doi.org/10.1109/SIBGRAPI.2018.00061","http://dx.doi.org/10.1109/SIBGRAPI.2018.00061")</f>
        <v>http://dx.doi.org/10.1109/SIBGRAPI.2018.00061</v>
      </c>
      <c r="I16" s="11" t="s">
        <v>12024</v>
      </c>
      <c r="J16" s="11" t="s">
        <v>1507</v>
      </c>
      <c r="K16" s="11" t="s">
        <v>42</v>
      </c>
      <c r="L16" s="11" t="s">
        <v>5552</v>
      </c>
      <c r="M16" s="9" t="s">
        <v>12142</v>
      </c>
    </row>
    <row r="17" spans="1:13" x14ac:dyDescent="0.25">
      <c r="A17" s="11">
        <v>345</v>
      </c>
      <c r="B17" s="12" t="s">
        <v>12118</v>
      </c>
      <c r="C17" s="12">
        <v>386</v>
      </c>
      <c r="D17" s="11" t="s">
        <v>2156</v>
      </c>
      <c r="E17" s="11" t="s">
        <v>2158</v>
      </c>
      <c r="F17" s="11">
        <v>2023</v>
      </c>
      <c r="G17" s="11" t="s">
        <v>2159</v>
      </c>
      <c r="H17" s="11" t="str">
        <f>HYPERLINK("http://dx.doi.org/10.1038/s41746-023-00952-2","http://dx.doi.org/10.1038/s41746-023-00952-2")</f>
        <v>http://dx.doi.org/10.1038/s41746-023-00952-2</v>
      </c>
      <c r="I17" s="11" t="s">
        <v>2161</v>
      </c>
      <c r="J17" s="11" t="s">
        <v>1507</v>
      </c>
      <c r="K17" s="11" t="s">
        <v>42</v>
      </c>
      <c r="L17" s="11" t="s">
        <v>56</v>
      </c>
      <c r="M17" s="9" t="s">
        <v>12142</v>
      </c>
    </row>
    <row r="18" spans="1:13" x14ac:dyDescent="0.25">
      <c r="A18" s="11">
        <v>39</v>
      </c>
      <c r="B18" s="12" t="s">
        <v>12118</v>
      </c>
      <c r="C18" s="12">
        <v>39</v>
      </c>
      <c r="D18" s="11" t="s">
        <v>10748</v>
      </c>
      <c r="E18" s="11" t="s">
        <v>10750</v>
      </c>
      <c r="F18" s="11">
        <v>2019</v>
      </c>
      <c r="G18" s="11" t="s">
        <v>10751</v>
      </c>
      <c r="H18" s="11" t="str">
        <f>HYPERLINK("http://dx.doi.org/10.1017/lsi.2018.12","http://dx.doi.org/10.1017/lsi.2018.12")</f>
        <v>http://dx.doi.org/10.1017/lsi.2018.12</v>
      </c>
      <c r="I18" s="11" t="s">
        <v>10753</v>
      </c>
      <c r="J18" s="11" t="s">
        <v>1507</v>
      </c>
      <c r="K18" s="11" t="s">
        <v>42</v>
      </c>
      <c r="L18" s="11" t="s">
        <v>56</v>
      </c>
      <c r="M18" s="9">
        <v>1</v>
      </c>
    </row>
    <row r="19" spans="1:13" x14ac:dyDescent="0.25">
      <c r="A19" s="11">
        <v>307</v>
      </c>
      <c r="B19" s="12" t="s">
        <v>12118</v>
      </c>
      <c r="C19" s="12">
        <v>342</v>
      </c>
      <c r="D19" s="11" t="s">
        <v>8581</v>
      </c>
      <c r="E19" s="11" t="s">
        <v>8583</v>
      </c>
      <c r="F19" s="11">
        <v>2021</v>
      </c>
      <c r="G19" s="11" t="s">
        <v>8584</v>
      </c>
      <c r="H19" s="11" t="str">
        <f>HYPERLINK("http://dx.doi.org/10.11646/zootaxa.4980.1.3","http://dx.doi.org/10.11646/zootaxa.4980.1.3")</f>
        <v>http://dx.doi.org/10.11646/zootaxa.4980.1.3</v>
      </c>
      <c r="I19" s="11" t="s">
        <v>8586</v>
      </c>
      <c r="J19" s="11" t="s">
        <v>8585</v>
      </c>
      <c r="K19" s="11" t="s">
        <v>42</v>
      </c>
      <c r="L19" s="11" t="s">
        <v>56</v>
      </c>
      <c r="M19" s="9" t="s">
        <v>12142</v>
      </c>
    </row>
    <row r="20" spans="1:13" x14ac:dyDescent="0.25">
      <c r="A20" s="11">
        <v>587</v>
      </c>
      <c r="B20" s="12" t="s">
        <v>12118</v>
      </c>
      <c r="C20" s="12">
        <v>656</v>
      </c>
      <c r="D20" s="11" t="s">
        <v>8301</v>
      </c>
      <c r="E20" s="11" t="s">
        <v>8303</v>
      </c>
      <c r="F20" s="11">
        <v>2021</v>
      </c>
      <c r="G20" s="11" t="s">
        <v>8304</v>
      </c>
      <c r="H20" s="11" t="str">
        <f>HYPERLINK("http://dx.doi.org/10.1093/nar/gkab660","http://dx.doi.org/10.1093/nar/gkab660")</f>
        <v>http://dx.doi.org/10.1093/nar/gkab660</v>
      </c>
      <c r="I20" s="11" t="s">
        <v>8306</v>
      </c>
      <c r="J20" s="11" t="s">
        <v>1507</v>
      </c>
      <c r="K20" s="11" t="s">
        <v>42</v>
      </c>
      <c r="L20" s="11" t="s">
        <v>56</v>
      </c>
      <c r="M20" s="9" t="s">
        <v>12142</v>
      </c>
    </row>
    <row r="21" spans="1:13" x14ac:dyDescent="0.25">
      <c r="A21" s="11">
        <v>392</v>
      </c>
      <c r="B21" s="12" t="s">
        <v>12118</v>
      </c>
      <c r="C21" s="12">
        <v>434</v>
      </c>
      <c r="D21" s="11" t="s">
        <v>5265</v>
      </c>
      <c r="E21" s="11" t="s">
        <v>5267</v>
      </c>
      <c r="F21" s="11">
        <v>2023</v>
      </c>
      <c r="G21" s="11" t="s">
        <v>5268</v>
      </c>
      <c r="H21" s="11" t="str">
        <f>HYPERLINK("http://dx.doi.org/10.1155/2023/7104852","http://dx.doi.org/10.1155/2023/7104852")</f>
        <v>http://dx.doi.org/10.1155/2023/7104852</v>
      </c>
      <c r="I21" s="11" t="s">
        <v>5270</v>
      </c>
      <c r="J21" s="11" t="s">
        <v>1507</v>
      </c>
      <c r="K21" s="11" t="s">
        <v>42</v>
      </c>
      <c r="L21" s="11" t="s">
        <v>56</v>
      </c>
      <c r="M21" s="9" t="s">
        <v>12142</v>
      </c>
    </row>
    <row r="22" spans="1:13" x14ac:dyDescent="0.25">
      <c r="A22" s="11">
        <v>503</v>
      </c>
      <c r="B22" s="12" t="s">
        <v>12118</v>
      </c>
      <c r="C22" s="12">
        <v>558</v>
      </c>
      <c r="D22" s="11" t="s">
        <v>7359</v>
      </c>
      <c r="E22" s="11" t="s">
        <v>7361</v>
      </c>
      <c r="F22" s="11">
        <v>2022</v>
      </c>
      <c r="G22" s="11" t="s">
        <v>7362</v>
      </c>
      <c r="H22" s="11" t="str">
        <f>HYPERLINK("http://dx.doi.org/10.1007/s11063-022-10772-2","http://dx.doi.org/10.1007/s11063-022-10772-2")</f>
        <v>http://dx.doi.org/10.1007/s11063-022-10772-2</v>
      </c>
      <c r="I22" s="11" t="s">
        <v>7365</v>
      </c>
      <c r="J22" s="11" t="s">
        <v>7363</v>
      </c>
      <c r="K22" s="11" t="s">
        <v>42</v>
      </c>
      <c r="L22" s="11" t="s">
        <v>56</v>
      </c>
      <c r="M22" s="9" t="s">
        <v>12142</v>
      </c>
    </row>
    <row r="23" spans="1:13" x14ac:dyDescent="0.25">
      <c r="A23" s="11">
        <v>539</v>
      </c>
      <c r="B23" s="12" t="s">
        <v>12118</v>
      </c>
      <c r="C23" s="12">
        <v>603</v>
      </c>
      <c r="D23" s="11" t="s">
        <v>2681</v>
      </c>
      <c r="E23" s="11" t="s">
        <v>2683</v>
      </c>
      <c r="F23" s="11">
        <v>2023</v>
      </c>
      <c r="G23" s="11" t="s">
        <v>2684</v>
      </c>
      <c r="H23" s="11" t="str">
        <f>HYPERLINK("http://dx.doi.org/10.1002/icd.2478","http://dx.doi.org/10.1002/icd.2478")</f>
        <v>http://dx.doi.org/10.1002/icd.2478</v>
      </c>
      <c r="I23" s="11" t="s">
        <v>2686</v>
      </c>
      <c r="J23" s="11" t="s">
        <v>1507</v>
      </c>
      <c r="K23" s="11" t="s">
        <v>42</v>
      </c>
      <c r="L23" s="11" t="s">
        <v>56</v>
      </c>
      <c r="M23" s="9" t="s">
        <v>12142</v>
      </c>
    </row>
    <row r="24" spans="1:13" x14ac:dyDescent="0.25">
      <c r="A24" s="11">
        <v>518</v>
      </c>
      <c r="B24" s="12" t="s">
        <v>12118</v>
      </c>
      <c r="C24" s="12">
        <v>574</v>
      </c>
      <c r="D24" s="11" t="s">
        <v>10164</v>
      </c>
      <c r="E24" s="11" t="s">
        <v>10166</v>
      </c>
      <c r="F24" s="11">
        <v>2020</v>
      </c>
      <c r="G24" s="11" t="s">
        <v>10167</v>
      </c>
      <c r="H24" s="11" t="str">
        <f>HYPERLINK("http://dx.doi.org/10.1016/j.jcjq.2019.11.004","http://dx.doi.org/10.1016/j.jcjq.2019.11.004")</f>
        <v>http://dx.doi.org/10.1016/j.jcjq.2019.11.004</v>
      </c>
      <c r="I24" s="11" t="s">
        <v>10169</v>
      </c>
      <c r="J24" s="11" t="s">
        <v>1507</v>
      </c>
      <c r="K24" s="11" t="s">
        <v>42</v>
      </c>
      <c r="L24" s="11" t="s">
        <v>56</v>
      </c>
      <c r="M24" s="9" t="s">
        <v>12142</v>
      </c>
    </row>
    <row r="25" spans="1:13" x14ac:dyDescent="0.25">
      <c r="A25" s="11">
        <v>28</v>
      </c>
      <c r="B25" s="12" t="s">
        <v>12118</v>
      </c>
      <c r="C25" s="12">
        <v>29</v>
      </c>
      <c r="D25" s="11" t="s">
        <v>10964</v>
      </c>
      <c r="E25" s="11" t="s">
        <v>10966</v>
      </c>
      <c r="F25" s="11">
        <v>2019</v>
      </c>
      <c r="G25" s="11" t="s">
        <v>3555</v>
      </c>
      <c r="H25" s="11" t="str">
        <f>HYPERLINK("http://dx.doi.org/10.1017/S0021855319000196","http://dx.doi.org/10.1017/S0021855319000196")</f>
        <v>http://dx.doi.org/10.1017/S0021855319000196</v>
      </c>
      <c r="I25" s="11" t="s">
        <v>10968</v>
      </c>
      <c r="J25" s="11" t="s">
        <v>10967</v>
      </c>
      <c r="K25" s="11" t="s">
        <v>42</v>
      </c>
      <c r="L25" s="11" t="s">
        <v>56</v>
      </c>
      <c r="M25" s="9" t="s">
        <v>12142</v>
      </c>
    </row>
    <row r="26" spans="1:13" x14ac:dyDescent="0.25">
      <c r="A26" s="11">
        <v>250</v>
      </c>
      <c r="B26" s="12" t="s">
        <v>12118</v>
      </c>
      <c r="C26" s="12">
        <v>276</v>
      </c>
      <c r="D26" s="11" t="s">
        <v>11994</v>
      </c>
      <c r="E26" s="11" t="s">
        <v>11996</v>
      </c>
      <c r="F26" s="11">
        <v>2018</v>
      </c>
      <c r="G26" s="11" t="s">
        <v>11997</v>
      </c>
      <c r="H26" s="11" t="str">
        <f>HYPERLINK("http://dx.doi.org/10.1108/AEAT-06-2016-0102","http://dx.doi.org/10.1108/AEAT-06-2016-0102")</f>
        <v>http://dx.doi.org/10.1108/AEAT-06-2016-0102</v>
      </c>
      <c r="I26" s="11" t="s">
        <v>11999</v>
      </c>
      <c r="J26" s="11" t="s">
        <v>11998</v>
      </c>
      <c r="K26" s="11" t="s">
        <v>42</v>
      </c>
      <c r="L26" s="11" t="s">
        <v>56</v>
      </c>
      <c r="M26" s="9" t="s">
        <v>12142</v>
      </c>
    </row>
    <row r="27" spans="1:13" x14ac:dyDescent="0.25">
      <c r="A27" s="11">
        <v>324</v>
      </c>
      <c r="B27" s="12" t="s">
        <v>12118</v>
      </c>
      <c r="C27" s="12">
        <v>364</v>
      </c>
      <c r="D27" s="11" t="s">
        <v>9752</v>
      </c>
      <c r="E27" s="11" t="s">
        <v>9754</v>
      </c>
      <c r="F27" s="11">
        <v>2020</v>
      </c>
      <c r="G27" s="11" t="s">
        <v>9755</v>
      </c>
      <c r="H27" s="11" t="str">
        <f>HYPERLINK("http://dx.doi.org/10.1111/irv.12769","http://dx.doi.org/10.1111/irv.12769")</f>
        <v>http://dx.doi.org/10.1111/irv.12769</v>
      </c>
      <c r="I27" s="11" t="s">
        <v>9758</v>
      </c>
      <c r="J27" s="11" t="s">
        <v>9756</v>
      </c>
      <c r="K27" s="11" t="s">
        <v>42</v>
      </c>
      <c r="L27" s="11" t="s">
        <v>56</v>
      </c>
      <c r="M27" s="9" t="s">
        <v>12142</v>
      </c>
    </row>
    <row r="28" spans="1:13" x14ac:dyDescent="0.25">
      <c r="A28" s="11">
        <v>351</v>
      </c>
      <c r="B28" s="12" t="s">
        <v>12118</v>
      </c>
      <c r="C28" s="12">
        <v>392</v>
      </c>
      <c r="D28" s="11" t="s">
        <v>2251</v>
      </c>
      <c r="E28" s="11" t="s">
        <v>2253</v>
      </c>
      <c r="F28" s="11">
        <v>2023</v>
      </c>
      <c r="G28" s="11" t="s">
        <v>2254</v>
      </c>
      <c r="H28" s="11" t="str">
        <f>HYPERLINK("http://dx.doi.org/10.3390/fi15120375","http://dx.doi.org/10.3390/fi15120375")</f>
        <v>http://dx.doi.org/10.3390/fi15120375</v>
      </c>
      <c r="I28" s="11" t="s">
        <v>2257</v>
      </c>
      <c r="J28" s="11" t="s">
        <v>2255</v>
      </c>
      <c r="K28" s="11" t="s">
        <v>42</v>
      </c>
      <c r="L28" s="11" t="s">
        <v>56</v>
      </c>
      <c r="M28" s="9">
        <v>1</v>
      </c>
    </row>
    <row r="29" spans="1:13" x14ac:dyDescent="0.25">
      <c r="A29" s="12">
        <v>130</v>
      </c>
      <c r="B29" s="12" t="s">
        <v>12204</v>
      </c>
      <c r="C29" s="12">
        <v>472</v>
      </c>
      <c r="D29" s="12" t="s">
        <v>13635</v>
      </c>
      <c r="E29" s="12" t="s">
        <v>433</v>
      </c>
      <c r="F29" s="12">
        <v>2023</v>
      </c>
      <c r="G29" s="12" t="s">
        <v>434</v>
      </c>
      <c r="H29" s="12" t="s">
        <v>435</v>
      </c>
      <c r="I29" s="12" t="s">
        <v>438</v>
      </c>
      <c r="K29" s="12" t="s">
        <v>42</v>
      </c>
      <c r="L29" s="12" t="s">
        <v>56</v>
      </c>
      <c r="M29" s="9">
        <v>1</v>
      </c>
    </row>
    <row r="30" spans="1:13" x14ac:dyDescent="0.25">
      <c r="A30" s="12">
        <v>69</v>
      </c>
      <c r="B30" s="12" t="s">
        <v>12204</v>
      </c>
      <c r="C30" s="12">
        <v>247</v>
      </c>
      <c r="D30" s="12" t="s">
        <v>12662</v>
      </c>
      <c r="E30" s="12" t="s">
        <v>1170</v>
      </c>
      <c r="F30" s="12">
        <v>2023</v>
      </c>
      <c r="G30" s="12" t="s">
        <v>797</v>
      </c>
      <c r="H30" s="12" t="s">
        <v>1171</v>
      </c>
      <c r="I30" s="12" t="s">
        <v>1174</v>
      </c>
      <c r="J30" s="12" t="s">
        <v>1175</v>
      </c>
      <c r="K30" s="12" t="s">
        <v>42</v>
      </c>
      <c r="L30" s="12" t="s">
        <v>56</v>
      </c>
      <c r="M30" s="10">
        <v>1</v>
      </c>
    </row>
    <row r="31" spans="1:13" x14ac:dyDescent="0.25">
      <c r="A31" s="11">
        <v>584</v>
      </c>
      <c r="B31" s="12" t="s">
        <v>12118</v>
      </c>
      <c r="C31" s="12">
        <v>653</v>
      </c>
      <c r="D31" s="11" t="s">
        <v>11195</v>
      </c>
      <c r="E31" s="11" t="s">
        <v>11197</v>
      </c>
      <c r="F31" s="11">
        <v>2019</v>
      </c>
      <c r="G31" s="11" t="s">
        <v>7563</v>
      </c>
      <c r="H31" s="11" t="str">
        <f>HYPERLINK("http://dx.doi.org/10.1038/s41467-018-08245-z","http://dx.doi.org/10.1038/s41467-018-08245-z")</f>
        <v>http://dx.doi.org/10.1038/s41467-018-08245-z</v>
      </c>
      <c r="I31" s="11" t="s">
        <v>11199</v>
      </c>
      <c r="J31" s="11" t="s">
        <v>1507</v>
      </c>
      <c r="K31" s="11" t="s">
        <v>42</v>
      </c>
      <c r="L31" s="11" t="s">
        <v>56</v>
      </c>
      <c r="M31" s="9" t="s">
        <v>12142</v>
      </c>
    </row>
    <row r="32" spans="1:13" x14ac:dyDescent="0.25">
      <c r="A32" s="11">
        <v>509</v>
      </c>
      <c r="B32" s="12" t="s">
        <v>12118</v>
      </c>
      <c r="C32" s="12">
        <v>563</v>
      </c>
      <c r="D32" s="11" t="s">
        <v>8000</v>
      </c>
      <c r="E32" s="11" t="s">
        <v>8002</v>
      </c>
      <c r="F32" s="11">
        <v>2021</v>
      </c>
      <c r="G32" s="11" t="s">
        <v>8003</v>
      </c>
      <c r="H32" s="11" t="str">
        <f>HYPERLINK("http://dx.doi.org/10.1093/jiplp/jpab128","http://dx.doi.org/10.1093/jiplp/jpab128")</f>
        <v>http://dx.doi.org/10.1093/jiplp/jpab128</v>
      </c>
      <c r="I32" s="11" t="s">
        <v>1507</v>
      </c>
      <c r="J32" s="11" t="s">
        <v>1507</v>
      </c>
      <c r="K32" s="11" t="s">
        <v>42</v>
      </c>
      <c r="L32" s="11" t="s">
        <v>56</v>
      </c>
      <c r="M32" s="9" t="s">
        <v>12142</v>
      </c>
    </row>
    <row r="33" spans="1:13" x14ac:dyDescent="0.25">
      <c r="A33" s="11">
        <v>131</v>
      </c>
      <c r="B33" s="12" t="s">
        <v>12118</v>
      </c>
      <c r="C33" s="12">
        <v>139</v>
      </c>
      <c r="D33" s="11" t="s">
        <v>11320</v>
      </c>
      <c r="E33" s="11" t="s">
        <v>11322</v>
      </c>
      <c r="F33" s="11">
        <v>2019</v>
      </c>
      <c r="G33" s="11" t="s">
        <v>11323</v>
      </c>
      <c r="H33" s="11" t="str">
        <f>HYPERLINK("http://dx.doi.org/10.22481/praxis.v15i31.4681","http://dx.doi.org/10.22481/praxis.v15i31.4681")</f>
        <v>http://dx.doi.org/10.22481/praxis.v15i31.4681</v>
      </c>
      <c r="I33" s="11" t="s">
        <v>11326</v>
      </c>
      <c r="J33" s="11" t="s">
        <v>11325</v>
      </c>
      <c r="K33" s="11" t="s">
        <v>11324</v>
      </c>
      <c r="L33" s="11" t="s">
        <v>56</v>
      </c>
      <c r="M33" s="9">
        <v>1</v>
      </c>
    </row>
    <row r="34" spans="1:13" x14ac:dyDescent="0.25">
      <c r="A34" s="12">
        <v>131</v>
      </c>
      <c r="B34" s="12" t="s">
        <v>12204</v>
      </c>
      <c r="C34" s="12">
        <v>476</v>
      </c>
      <c r="D34" s="12" t="s">
        <v>794</v>
      </c>
      <c r="E34" s="12" t="s">
        <v>796</v>
      </c>
      <c r="F34" s="12">
        <v>2023</v>
      </c>
      <c r="G34" s="12" t="s">
        <v>797</v>
      </c>
      <c r="H34" s="12" t="s">
        <v>798</v>
      </c>
      <c r="I34" s="12" t="s">
        <v>801</v>
      </c>
      <c r="J34" s="12" t="s">
        <v>802</v>
      </c>
      <c r="K34" s="12" t="s">
        <v>42</v>
      </c>
      <c r="L34" s="12" t="s">
        <v>56</v>
      </c>
      <c r="M34" s="10">
        <v>1</v>
      </c>
    </row>
    <row r="35" spans="1:13" x14ac:dyDescent="0.25">
      <c r="A35" s="12">
        <v>112</v>
      </c>
      <c r="B35" s="12" t="s">
        <v>12204</v>
      </c>
      <c r="C35" s="12">
        <v>399</v>
      </c>
      <c r="D35" s="12" t="s">
        <v>12709</v>
      </c>
      <c r="E35" s="12" t="s">
        <v>849</v>
      </c>
      <c r="F35" s="12">
        <v>2023</v>
      </c>
      <c r="G35" s="12" t="s">
        <v>127</v>
      </c>
      <c r="H35" s="12" t="s">
        <v>851</v>
      </c>
      <c r="I35" s="12" t="s">
        <v>854</v>
      </c>
      <c r="J35" s="12" t="s">
        <v>855</v>
      </c>
      <c r="K35" s="12" t="s">
        <v>42</v>
      </c>
      <c r="L35" s="12" t="s">
        <v>12252</v>
      </c>
      <c r="M35" s="10">
        <v>1</v>
      </c>
    </row>
    <row r="36" spans="1:13" x14ac:dyDescent="0.25">
      <c r="A36" s="11">
        <v>384</v>
      </c>
      <c r="B36" s="12" t="s">
        <v>12118</v>
      </c>
      <c r="C36" s="12">
        <v>424</v>
      </c>
      <c r="D36" s="11" t="s">
        <v>10130</v>
      </c>
      <c r="E36" s="11" t="s">
        <v>10132</v>
      </c>
      <c r="F36" s="11">
        <v>2020</v>
      </c>
      <c r="G36" s="11" t="s">
        <v>10133</v>
      </c>
      <c r="H36" s="11" t="str">
        <f>HYPERLINK("http://dx.doi.org/10.1016/j.jip.2019.107312","http://dx.doi.org/10.1016/j.jip.2019.107312")</f>
        <v>http://dx.doi.org/10.1016/j.jip.2019.107312</v>
      </c>
      <c r="I36" s="11" t="s">
        <v>10136</v>
      </c>
      <c r="J36" s="11" t="s">
        <v>10134</v>
      </c>
      <c r="K36" s="11" t="s">
        <v>42</v>
      </c>
      <c r="L36" s="11" t="s">
        <v>56</v>
      </c>
      <c r="M36" s="9" t="s">
        <v>12142</v>
      </c>
    </row>
    <row r="37" spans="1:13" x14ac:dyDescent="0.25">
      <c r="A37" s="12">
        <v>91</v>
      </c>
      <c r="B37" s="12" t="s">
        <v>12204</v>
      </c>
      <c r="C37" s="12">
        <v>321</v>
      </c>
      <c r="D37" s="12" t="s">
        <v>12343</v>
      </c>
      <c r="E37" s="12" t="s">
        <v>1292</v>
      </c>
      <c r="F37" s="12">
        <v>2022</v>
      </c>
      <c r="G37" s="12" t="s">
        <v>896</v>
      </c>
      <c r="H37" s="12" t="s">
        <v>1293</v>
      </c>
      <c r="I37" s="12" t="s">
        <v>1295</v>
      </c>
      <c r="J37" s="12" t="s">
        <v>1296</v>
      </c>
      <c r="K37" s="12" t="s">
        <v>42</v>
      </c>
      <c r="L37" s="12" t="s">
        <v>56</v>
      </c>
      <c r="M37" s="9" t="s">
        <v>12142</v>
      </c>
    </row>
    <row r="38" spans="1:13" x14ac:dyDescent="0.25">
      <c r="A38" s="11">
        <v>314</v>
      </c>
      <c r="B38" s="12" t="s">
        <v>12118</v>
      </c>
      <c r="C38" s="12">
        <v>352</v>
      </c>
      <c r="D38" s="11" t="s">
        <v>2233</v>
      </c>
      <c r="E38" s="11" t="s">
        <v>2235</v>
      </c>
      <c r="F38" s="11">
        <v>2023</v>
      </c>
      <c r="G38" s="11" t="s">
        <v>2236</v>
      </c>
      <c r="H38" s="11" t="str">
        <f>HYPERLINK("http://dx.doi.org/10.3390/info14120638","http://dx.doi.org/10.3390/info14120638")</f>
        <v>http://dx.doi.org/10.3390/info14120638</v>
      </c>
      <c r="I38" s="11" t="s">
        <v>2238</v>
      </c>
      <c r="J38" s="11" t="s">
        <v>2237</v>
      </c>
      <c r="K38" s="11" t="s">
        <v>42</v>
      </c>
      <c r="L38" s="11" t="s">
        <v>56</v>
      </c>
      <c r="M38" s="9" t="s">
        <v>12142</v>
      </c>
    </row>
    <row r="39" spans="1:13" x14ac:dyDescent="0.25">
      <c r="A39" s="11">
        <v>99</v>
      </c>
      <c r="B39" s="12" t="s">
        <v>12118</v>
      </c>
      <c r="C39" s="12">
        <v>100</v>
      </c>
      <c r="D39" s="11" t="s">
        <v>11309</v>
      </c>
      <c r="E39" s="11" t="s">
        <v>11311</v>
      </c>
      <c r="F39" s="11">
        <v>2019</v>
      </c>
      <c r="G39" s="11" t="s">
        <v>7697</v>
      </c>
      <c r="H39" s="11" t="s">
        <v>1507</v>
      </c>
      <c r="I39" s="11" t="s">
        <v>11312</v>
      </c>
      <c r="J39" s="11" t="s">
        <v>1507</v>
      </c>
      <c r="K39" s="11" t="s">
        <v>42</v>
      </c>
      <c r="L39" s="11" t="s">
        <v>56</v>
      </c>
      <c r="M39" s="9" t="s">
        <v>12142</v>
      </c>
    </row>
    <row r="40" spans="1:13" x14ac:dyDescent="0.25">
      <c r="A40" s="11">
        <v>455</v>
      </c>
      <c r="B40" s="12" t="s">
        <v>12118</v>
      </c>
      <c r="C40" s="12">
        <v>508</v>
      </c>
      <c r="D40" s="11" t="s">
        <v>7041</v>
      </c>
      <c r="E40" s="11" t="s">
        <v>7043</v>
      </c>
      <c r="F40" s="11">
        <v>2022</v>
      </c>
      <c r="G40" s="11" t="s">
        <v>5244</v>
      </c>
      <c r="H40" s="11" t="str">
        <f>HYPERLINK("http://dx.doi.org/10.1021/acs.energyfuels.2c02122","http://dx.doi.org/10.1021/acs.energyfuels.2c02122")</f>
        <v>http://dx.doi.org/10.1021/acs.energyfuels.2c02122</v>
      </c>
      <c r="I40" s="11" t="s">
        <v>7045</v>
      </c>
      <c r="J40" s="11" t="s">
        <v>1507</v>
      </c>
      <c r="K40" s="11" t="s">
        <v>42</v>
      </c>
      <c r="L40" s="11" t="s">
        <v>56</v>
      </c>
      <c r="M40" s="9" t="s">
        <v>12142</v>
      </c>
    </row>
    <row r="41" spans="1:13" x14ac:dyDescent="0.25">
      <c r="A41" s="11">
        <v>427</v>
      </c>
      <c r="B41" s="12" t="s">
        <v>12118</v>
      </c>
      <c r="C41" s="12">
        <v>475</v>
      </c>
      <c r="D41" s="11" t="s">
        <v>4216</v>
      </c>
      <c r="E41" s="11" t="s">
        <v>4218</v>
      </c>
      <c r="F41" s="11">
        <v>2023</v>
      </c>
      <c r="G41" s="11" t="s">
        <v>4219</v>
      </c>
      <c r="H41" s="11" t="str">
        <f>HYPERLINK("http://dx.doi.org/10.1021/acs.jcim.3c00817","http://dx.doi.org/10.1021/acs.jcim.3c00817")</f>
        <v>http://dx.doi.org/10.1021/acs.jcim.3c00817</v>
      </c>
      <c r="I41" s="11" t="s">
        <v>4221</v>
      </c>
      <c r="J41" s="11" t="s">
        <v>1507</v>
      </c>
      <c r="K41" s="11" t="s">
        <v>42</v>
      </c>
      <c r="L41" s="11" t="s">
        <v>56</v>
      </c>
      <c r="M41" s="9" t="s">
        <v>12142</v>
      </c>
    </row>
    <row r="42" spans="1:13" x14ac:dyDescent="0.25">
      <c r="A42" s="11">
        <v>227</v>
      </c>
      <c r="B42" s="12" t="s">
        <v>12118</v>
      </c>
      <c r="C42" s="12">
        <v>250</v>
      </c>
      <c r="D42" s="11" t="s">
        <v>5936</v>
      </c>
      <c r="E42" s="11" t="s">
        <v>5938</v>
      </c>
      <c r="F42" s="11">
        <v>2023</v>
      </c>
      <c r="G42" s="11" t="s">
        <v>5939</v>
      </c>
      <c r="H42" s="11" t="str">
        <f>HYPERLINK("http://dx.doi.org/10.1145/3593013.3594052","http://dx.doi.org/10.1145/3593013.3594052")</f>
        <v>http://dx.doi.org/10.1145/3593013.3594052</v>
      </c>
      <c r="I42" s="11" t="s">
        <v>5944</v>
      </c>
      <c r="J42" s="11" t="s">
        <v>5943</v>
      </c>
      <c r="K42" s="11" t="s">
        <v>42</v>
      </c>
      <c r="L42" s="11" t="s">
        <v>5552</v>
      </c>
      <c r="M42" s="9" t="s">
        <v>12142</v>
      </c>
    </row>
    <row r="43" spans="1:13" x14ac:dyDescent="0.25">
      <c r="A43" s="11">
        <v>196</v>
      </c>
      <c r="B43" s="12" t="s">
        <v>12118</v>
      </c>
      <c r="C43" s="12">
        <v>213</v>
      </c>
      <c r="D43" s="11" t="s">
        <v>2794</v>
      </c>
      <c r="E43" s="11" t="s">
        <v>2796</v>
      </c>
      <c r="F43" s="11">
        <v>2023</v>
      </c>
      <c r="G43" s="11" t="s">
        <v>1617</v>
      </c>
      <c r="H43" s="11" t="str">
        <f>HYPERLINK("http://dx.doi.org/10.3390/electronics12224694","http://dx.doi.org/10.3390/electronics12224694")</f>
        <v>http://dx.doi.org/10.3390/electronics12224694</v>
      </c>
      <c r="I43" s="11" t="s">
        <v>2798</v>
      </c>
      <c r="J43" s="11" t="s">
        <v>2797</v>
      </c>
      <c r="K43" s="11" t="s">
        <v>42</v>
      </c>
      <c r="L43" s="11" t="s">
        <v>56</v>
      </c>
      <c r="M43" s="9">
        <v>1</v>
      </c>
    </row>
    <row r="44" spans="1:13" x14ac:dyDescent="0.25">
      <c r="A44" s="11">
        <v>311</v>
      </c>
      <c r="B44" s="12" t="s">
        <v>12118</v>
      </c>
      <c r="C44" s="12">
        <v>348</v>
      </c>
      <c r="D44" s="11" t="s">
        <v>6088</v>
      </c>
      <c r="E44" s="11" t="s">
        <v>6091</v>
      </c>
      <c r="F44" s="11">
        <v>2023</v>
      </c>
      <c r="G44" s="11" t="s">
        <v>6092</v>
      </c>
      <c r="H44" s="11" t="str">
        <f>HYPERLINK("http://dx.doi.org/10.1109/ICALT58122.2023.00072","http://dx.doi.org/10.1109/ICALT58122.2023.00072")</f>
        <v>http://dx.doi.org/10.1109/ICALT58122.2023.00072</v>
      </c>
      <c r="I44" s="11" t="s">
        <v>6099</v>
      </c>
      <c r="J44" s="11" t="s">
        <v>6098</v>
      </c>
      <c r="K44" s="11" t="s">
        <v>42</v>
      </c>
      <c r="L44" s="11" t="s">
        <v>5552</v>
      </c>
      <c r="M44" s="9">
        <v>1</v>
      </c>
    </row>
    <row r="45" spans="1:13" x14ac:dyDescent="0.25">
      <c r="A45" s="11">
        <v>31</v>
      </c>
      <c r="B45" s="12" t="s">
        <v>12118</v>
      </c>
      <c r="C45" s="12">
        <v>34</v>
      </c>
      <c r="D45" s="11" t="s">
        <v>5607</v>
      </c>
      <c r="E45" s="11" t="s">
        <v>266</v>
      </c>
      <c r="F45" s="11">
        <v>2023</v>
      </c>
      <c r="G45" s="11" t="s">
        <v>5609</v>
      </c>
      <c r="H45" s="11" t="str">
        <f>HYPERLINK("http://dx.doi.org/10.3991/ijep.v13i8.45621","http://dx.doi.org/10.3991/ijep.v13i8.45621")</f>
        <v>http://dx.doi.org/10.3991/ijep.v13i8.45621</v>
      </c>
      <c r="I45" s="11" t="s">
        <v>5611</v>
      </c>
      <c r="J45" s="11" t="s">
        <v>5610</v>
      </c>
      <c r="K45" s="11" t="s">
        <v>42</v>
      </c>
      <c r="L45" s="11" t="s">
        <v>56</v>
      </c>
      <c r="M45" s="9">
        <v>1</v>
      </c>
    </row>
    <row r="46" spans="1:13" x14ac:dyDescent="0.25">
      <c r="A46" s="11">
        <v>168</v>
      </c>
      <c r="B46" s="12" t="s">
        <v>12118</v>
      </c>
      <c r="C46" s="12">
        <v>181</v>
      </c>
      <c r="D46" s="11" t="s">
        <v>2946</v>
      </c>
      <c r="E46" s="11" t="s">
        <v>515</v>
      </c>
      <c r="F46" s="11">
        <v>2023</v>
      </c>
      <c r="G46" s="11" t="s">
        <v>2579</v>
      </c>
      <c r="H46" s="11" t="str">
        <f>HYPERLINK("http://dx.doi.org/10.1186/s41239-023-00425-2","http://dx.doi.org/10.1186/s41239-023-00425-2")</f>
        <v>http://dx.doi.org/10.1186/s41239-023-00425-2</v>
      </c>
      <c r="I46" s="11" t="s">
        <v>2949</v>
      </c>
      <c r="J46" s="11" t="s">
        <v>2948</v>
      </c>
      <c r="K46" s="11" t="s">
        <v>42</v>
      </c>
      <c r="L46" s="11" t="s">
        <v>56</v>
      </c>
      <c r="M46" s="9">
        <v>1</v>
      </c>
    </row>
    <row r="47" spans="1:13" x14ac:dyDescent="0.25">
      <c r="A47" s="12">
        <v>61</v>
      </c>
      <c r="B47" s="12" t="s">
        <v>12204</v>
      </c>
      <c r="C47" s="12">
        <v>221</v>
      </c>
      <c r="D47" s="12" t="s">
        <v>12653</v>
      </c>
      <c r="E47" s="12" t="s">
        <v>1385</v>
      </c>
      <c r="F47" s="12">
        <v>2023</v>
      </c>
      <c r="G47" s="12" t="s">
        <v>383</v>
      </c>
      <c r="I47" s="12" t="s">
        <v>12649</v>
      </c>
      <c r="J47" s="12" t="s">
        <v>1387</v>
      </c>
      <c r="K47" s="12" t="s">
        <v>42</v>
      </c>
      <c r="L47" s="12" t="s">
        <v>12252</v>
      </c>
      <c r="M47" s="10" t="s">
        <v>12142</v>
      </c>
    </row>
    <row r="48" spans="1:13" x14ac:dyDescent="0.25">
      <c r="A48" s="12">
        <v>154</v>
      </c>
      <c r="B48" s="12" t="s">
        <v>12204</v>
      </c>
      <c r="C48" s="12">
        <v>575</v>
      </c>
      <c r="D48" s="12" t="s">
        <v>12844</v>
      </c>
      <c r="E48" s="12" t="s">
        <v>163</v>
      </c>
      <c r="F48" s="12">
        <v>2023</v>
      </c>
      <c r="G48" s="12" t="s">
        <v>164</v>
      </c>
      <c r="H48" s="12" t="s">
        <v>165</v>
      </c>
      <c r="I48" s="12" t="s">
        <v>12841</v>
      </c>
      <c r="J48" s="12" t="s">
        <v>169</v>
      </c>
      <c r="K48" s="12" t="s">
        <v>42</v>
      </c>
      <c r="L48" s="12" t="s">
        <v>12252</v>
      </c>
      <c r="M48" s="10">
        <v>1</v>
      </c>
    </row>
    <row r="49" spans="1:13" x14ac:dyDescent="0.25">
      <c r="A49" s="12">
        <v>11</v>
      </c>
      <c r="B49" s="12" t="s">
        <v>12204</v>
      </c>
      <c r="C49" s="12">
        <v>11</v>
      </c>
      <c r="D49" s="12" t="s">
        <v>13462</v>
      </c>
      <c r="E49" s="12" t="s">
        <v>415</v>
      </c>
      <c r="F49" s="12">
        <v>2023</v>
      </c>
      <c r="G49" s="12" t="s">
        <v>416</v>
      </c>
      <c r="H49" s="12" t="s">
        <v>417</v>
      </c>
      <c r="I49" s="12" t="s">
        <v>419</v>
      </c>
      <c r="J49" s="12" t="s">
        <v>420</v>
      </c>
      <c r="K49" s="12" t="s">
        <v>42</v>
      </c>
      <c r="L49" s="12" t="s">
        <v>56</v>
      </c>
      <c r="M49" s="10">
        <v>1</v>
      </c>
    </row>
    <row r="50" spans="1:13" x14ac:dyDescent="0.25">
      <c r="A50" s="12">
        <v>62</v>
      </c>
      <c r="B50" s="12" t="s">
        <v>12204</v>
      </c>
      <c r="C50" s="12">
        <v>222</v>
      </c>
      <c r="D50" s="12" t="s">
        <v>12504</v>
      </c>
      <c r="E50" s="12" t="s">
        <v>1267</v>
      </c>
      <c r="F50" s="12">
        <v>2023</v>
      </c>
      <c r="G50" s="12" t="s">
        <v>127</v>
      </c>
      <c r="H50" s="12" t="s">
        <v>1269</v>
      </c>
      <c r="I50" s="12" t="s">
        <v>1271</v>
      </c>
      <c r="J50" s="12" t="s">
        <v>1272</v>
      </c>
      <c r="K50" s="12" t="s">
        <v>42</v>
      </c>
      <c r="L50" s="12" t="s">
        <v>12252</v>
      </c>
      <c r="M50" s="10" t="s">
        <v>12142</v>
      </c>
    </row>
    <row r="51" spans="1:13" x14ac:dyDescent="0.25">
      <c r="A51" s="11">
        <v>282</v>
      </c>
      <c r="B51" s="12" t="s">
        <v>12118</v>
      </c>
      <c r="C51" s="12">
        <v>314</v>
      </c>
      <c r="D51" s="11" t="s">
        <v>6071</v>
      </c>
      <c r="E51" s="11" t="s">
        <v>6073</v>
      </c>
      <c r="F51" s="11">
        <v>2023</v>
      </c>
      <c r="G51" s="11" t="s">
        <v>6074</v>
      </c>
      <c r="H51" s="11" t="str">
        <f>HYPERLINK("http://dx.doi.org/10.5195/lawreview.2023.917","http://dx.doi.org/10.5195/lawreview.2023.917")</f>
        <v>http://dx.doi.org/10.5195/lawreview.2023.917</v>
      </c>
      <c r="I51" s="11" t="s">
        <v>1507</v>
      </c>
      <c r="J51" s="11" t="s">
        <v>1507</v>
      </c>
      <c r="K51" s="11" t="s">
        <v>42</v>
      </c>
      <c r="L51" s="11" t="s">
        <v>56</v>
      </c>
      <c r="M51" s="9" t="s">
        <v>12142</v>
      </c>
    </row>
    <row r="52" spans="1:13" x14ac:dyDescent="0.25">
      <c r="A52" s="11">
        <v>494</v>
      </c>
      <c r="B52" s="12" t="s">
        <v>12118</v>
      </c>
      <c r="C52" s="12">
        <v>547</v>
      </c>
      <c r="D52" s="11" t="s">
        <v>2285</v>
      </c>
      <c r="E52" s="11" t="s">
        <v>2287</v>
      </c>
      <c r="F52" s="11">
        <v>2023</v>
      </c>
      <c r="G52" s="11" t="s">
        <v>2288</v>
      </c>
      <c r="H52" s="11" t="str">
        <f>HYPERLINK("http://dx.doi.org/10.1128/jvi.01369-23","http://dx.doi.org/10.1128/jvi.01369-23")</f>
        <v>http://dx.doi.org/10.1128/jvi.01369-23</v>
      </c>
      <c r="I52" s="11" t="s">
        <v>2291</v>
      </c>
      <c r="J52" s="11" t="s">
        <v>2289</v>
      </c>
      <c r="K52" s="11" t="s">
        <v>42</v>
      </c>
      <c r="L52" s="11" t="s">
        <v>56</v>
      </c>
      <c r="M52" s="9" t="s">
        <v>12142</v>
      </c>
    </row>
    <row r="53" spans="1:13" x14ac:dyDescent="0.25">
      <c r="A53" s="11">
        <v>272</v>
      </c>
      <c r="B53" s="12" t="s">
        <v>12118</v>
      </c>
      <c r="C53" s="12">
        <v>301</v>
      </c>
      <c r="D53" s="11" t="s">
        <v>8367</v>
      </c>
      <c r="E53" s="11" t="s">
        <v>8369</v>
      </c>
      <c r="F53" s="11">
        <v>2022</v>
      </c>
      <c r="G53" s="11" t="s">
        <v>8370</v>
      </c>
      <c r="H53" s="11" t="str">
        <f>HYPERLINK("http://dx.doi.org/10.1038/s41396-021-01064-z","http://dx.doi.org/10.1038/s41396-021-01064-z")</f>
        <v>http://dx.doi.org/10.1038/s41396-021-01064-z</v>
      </c>
      <c r="I53" s="11" t="s">
        <v>8372</v>
      </c>
      <c r="J53" s="11" t="s">
        <v>1507</v>
      </c>
      <c r="K53" s="11" t="s">
        <v>42</v>
      </c>
      <c r="L53" s="11" t="s">
        <v>56</v>
      </c>
      <c r="M53" s="9" t="s">
        <v>12142</v>
      </c>
    </row>
    <row r="54" spans="1:13" x14ac:dyDescent="0.25">
      <c r="A54" s="11">
        <v>178</v>
      </c>
      <c r="B54" s="12" t="s">
        <v>12118</v>
      </c>
      <c r="C54" s="12">
        <v>193</v>
      </c>
      <c r="D54" s="11" t="s">
        <v>3840</v>
      </c>
      <c r="E54" s="11" t="s">
        <v>3843</v>
      </c>
      <c r="F54" s="11">
        <v>2023</v>
      </c>
      <c r="G54" s="11" t="s">
        <v>3844</v>
      </c>
      <c r="H54" s="11" t="str">
        <f>HYPERLINK("http://dx.doi.org/10.1017/cts.2023.619","http://dx.doi.org/10.1017/cts.2023.619")</f>
        <v>http://dx.doi.org/10.1017/cts.2023.619</v>
      </c>
      <c r="I54" s="11" t="s">
        <v>3846</v>
      </c>
      <c r="J54" s="11" t="s">
        <v>3845</v>
      </c>
      <c r="K54" s="11" t="s">
        <v>42</v>
      </c>
      <c r="L54" s="11" t="s">
        <v>56</v>
      </c>
      <c r="M54" s="10">
        <v>1</v>
      </c>
    </row>
    <row r="55" spans="1:13" x14ac:dyDescent="0.25">
      <c r="A55" s="11">
        <v>108</v>
      </c>
      <c r="B55" s="12" t="s">
        <v>12118</v>
      </c>
      <c r="C55" s="12">
        <v>112</v>
      </c>
      <c r="D55" s="11" t="s">
        <v>5163</v>
      </c>
      <c r="E55" s="11" t="s">
        <v>5306</v>
      </c>
      <c r="F55" s="11">
        <v>2023</v>
      </c>
      <c r="G55" s="11" t="s">
        <v>5166</v>
      </c>
      <c r="H55" s="11" t="str">
        <f>HYPERLINK("http://dx.doi.org/10.1108/JMLC-01-2023-0004","http://dx.doi.org/10.1108/JMLC-01-2023-0004")</f>
        <v>http://dx.doi.org/10.1108/JMLC-01-2023-0004</v>
      </c>
      <c r="I55" s="11" t="s">
        <v>5308</v>
      </c>
      <c r="J55" s="11" t="s">
        <v>5307</v>
      </c>
      <c r="K55" s="11" t="s">
        <v>42</v>
      </c>
      <c r="L55" s="11" t="s">
        <v>56</v>
      </c>
      <c r="M55" s="9">
        <v>1</v>
      </c>
    </row>
    <row r="56" spans="1:13" x14ac:dyDescent="0.25">
      <c r="A56" s="11">
        <v>520</v>
      </c>
      <c r="B56" s="12" t="s">
        <v>12118</v>
      </c>
      <c r="C56" s="12">
        <v>577</v>
      </c>
      <c r="D56" s="11" t="s">
        <v>6426</v>
      </c>
      <c r="E56" s="11" t="s">
        <v>6429</v>
      </c>
      <c r="F56" s="11">
        <v>2023</v>
      </c>
      <c r="G56" s="11" t="s">
        <v>6430</v>
      </c>
      <c r="H56" s="11" t="str">
        <f>HYPERLINK("http://dx.doi.org/10.1007/978-3-031-38499-8_29","http://dx.doi.org/10.1007/978-3-031-38499-8_29")</f>
        <v>http://dx.doi.org/10.1007/978-3-031-38499-8_29</v>
      </c>
      <c r="I56" s="11" t="s">
        <v>6436</v>
      </c>
      <c r="J56" s="11" t="s">
        <v>1507</v>
      </c>
      <c r="K56" s="11" t="s">
        <v>42</v>
      </c>
      <c r="L56" s="11" t="s">
        <v>5552</v>
      </c>
      <c r="M56" s="9" t="s">
        <v>12142</v>
      </c>
    </row>
    <row r="57" spans="1:13" x14ac:dyDescent="0.25">
      <c r="A57" s="11">
        <v>106</v>
      </c>
      <c r="B57" s="12" t="s">
        <v>12118</v>
      </c>
      <c r="C57" s="12">
        <v>109</v>
      </c>
      <c r="D57" s="11" t="s">
        <v>9020</v>
      </c>
      <c r="E57" s="11" t="s">
        <v>9022</v>
      </c>
      <c r="F57" s="11">
        <v>2021</v>
      </c>
      <c r="G57" s="11" t="s">
        <v>5166</v>
      </c>
      <c r="H57" s="11" t="str">
        <f>HYPERLINK("http://dx.doi.org/10.1108/JMLC-10-2020-0120","http://dx.doi.org/10.1108/JMLC-10-2020-0120")</f>
        <v>http://dx.doi.org/10.1108/JMLC-10-2020-0120</v>
      </c>
      <c r="I57" s="11" t="s">
        <v>9024</v>
      </c>
      <c r="J57" s="11" t="s">
        <v>9023</v>
      </c>
      <c r="K57" s="11" t="s">
        <v>42</v>
      </c>
      <c r="L57" s="11" t="s">
        <v>56</v>
      </c>
      <c r="M57" s="9" t="s">
        <v>12142</v>
      </c>
    </row>
    <row r="58" spans="1:13" x14ac:dyDescent="0.25">
      <c r="A58" s="12">
        <v>73</v>
      </c>
      <c r="B58" s="12" t="s">
        <v>12204</v>
      </c>
      <c r="C58" s="12">
        <v>260</v>
      </c>
      <c r="D58" s="12" t="s">
        <v>13482</v>
      </c>
      <c r="E58" s="12" t="s">
        <v>485</v>
      </c>
      <c r="F58" s="12">
        <v>2023</v>
      </c>
      <c r="G58" s="12" t="s">
        <v>486</v>
      </c>
      <c r="H58" s="12" t="s">
        <v>489</v>
      </c>
      <c r="I58" s="12" t="s">
        <v>492</v>
      </c>
      <c r="K58" s="12" t="s">
        <v>42</v>
      </c>
      <c r="L58" s="12" t="s">
        <v>56</v>
      </c>
      <c r="M58" s="10">
        <v>1</v>
      </c>
    </row>
    <row r="59" spans="1:13" x14ac:dyDescent="0.25">
      <c r="A59" s="12">
        <v>121</v>
      </c>
      <c r="B59" s="12" t="s">
        <v>12204</v>
      </c>
      <c r="C59" s="12">
        <v>435</v>
      </c>
      <c r="D59" s="12" t="s">
        <v>112</v>
      </c>
      <c r="E59" s="12" t="s">
        <v>114</v>
      </c>
      <c r="F59" s="12">
        <v>2023</v>
      </c>
      <c r="G59" s="12" t="s">
        <v>115</v>
      </c>
      <c r="H59" s="12" t="s">
        <v>116</v>
      </c>
      <c r="I59" s="12" t="s">
        <v>12850</v>
      </c>
      <c r="J59" s="12" t="s">
        <v>120</v>
      </c>
      <c r="K59" s="12" t="s">
        <v>42</v>
      </c>
      <c r="L59" s="12" t="s">
        <v>12252</v>
      </c>
      <c r="M59" s="10">
        <v>1</v>
      </c>
    </row>
    <row r="60" spans="1:13" x14ac:dyDescent="0.25">
      <c r="A60" s="11">
        <v>404</v>
      </c>
      <c r="B60" s="12" t="s">
        <v>12118</v>
      </c>
      <c r="C60" s="12">
        <v>447</v>
      </c>
      <c r="D60" s="11" t="s">
        <v>14144</v>
      </c>
      <c r="E60" s="11" t="s">
        <v>14146</v>
      </c>
      <c r="F60" s="11">
        <v>2023</v>
      </c>
      <c r="G60" s="11" t="s">
        <v>14147</v>
      </c>
      <c r="H60" s="11" t="str">
        <f>HYPERLINK("http://dx.doi.org/10.20339/PhS.6s-23.003","http://dx.doi.org/10.20339/PhS.6s-23.003")</f>
        <v>http://dx.doi.org/10.20339/PhS.6s-23.003</v>
      </c>
      <c r="I60" s="11" t="s">
        <v>14150</v>
      </c>
      <c r="J60" s="11" t="s">
        <v>14149</v>
      </c>
      <c r="K60" s="11" t="s">
        <v>14148</v>
      </c>
      <c r="L60" s="11" t="s">
        <v>56</v>
      </c>
      <c r="M60" s="9">
        <v>1</v>
      </c>
    </row>
    <row r="61" spans="1:13" x14ac:dyDescent="0.25">
      <c r="A61" s="11">
        <v>189</v>
      </c>
      <c r="B61" s="12" t="s">
        <v>12118</v>
      </c>
      <c r="C61" s="12">
        <v>206</v>
      </c>
      <c r="D61" s="11" t="s">
        <v>5841</v>
      </c>
      <c r="E61" s="11" t="s">
        <v>5843</v>
      </c>
      <c r="F61" s="11">
        <v>2023</v>
      </c>
      <c r="G61" s="11" t="s">
        <v>5844</v>
      </c>
      <c r="H61" s="11" t="str">
        <f>HYPERLINK("http://dx.doi.org/10.1145/3599696.3612895","http://dx.doi.org/10.1145/3599696.3612895")</f>
        <v>http://dx.doi.org/10.1145/3599696.3612895</v>
      </c>
      <c r="I61" s="11" t="s">
        <v>5849</v>
      </c>
      <c r="J61" s="11" t="s">
        <v>5848</v>
      </c>
      <c r="K61" s="11" t="s">
        <v>42</v>
      </c>
      <c r="L61" s="11" t="s">
        <v>5552</v>
      </c>
      <c r="M61" s="9">
        <v>1</v>
      </c>
    </row>
    <row r="62" spans="1:13" x14ac:dyDescent="0.25">
      <c r="A62" s="11">
        <v>32</v>
      </c>
      <c r="B62" s="12" t="s">
        <v>12118</v>
      </c>
      <c r="C62" s="12">
        <v>35</v>
      </c>
      <c r="D62" s="11" t="s">
        <v>8513</v>
      </c>
      <c r="E62" s="11" t="s">
        <v>8515</v>
      </c>
      <c r="F62" s="11">
        <v>2021</v>
      </c>
      <c r="G62" s="11" t="s">
        <v>8516</v>
      </c>
      <c r="H62" s="11" t="str">
        <f>HYPERLINK("http://dx.doi.org/10.14202/vetworld.2021.1638-1643","http://dx.doi.org/10.14202/vetworld.2021.1638-1643")</f>
        <v>http://dx.doi.org/10.14202/vetworld.2021.1638-1643</v>
      </c>
      <c r="I62" s="11" t="s">
        <v>8519</v>
      </c>
      <c r="J62" s="11" t="s">
        <v>8517</v>
      </c>
      <c r="K62" s="11" t="s">
        <v>42</v>
      </c>
      <c r="L62" s="11" t="s">
        <v>56</v>
      </c>
      <c r="M62" s="9" t="s">
        <v>12142</v>
      </c>
    </row>
    <row r="63" spans="1:13" x14ac:dyDescent="0.25">
      <c r="A63" s="11">
        <v>197</v>
      </c>
      <c r="B63" s="12" t="s">
        <v>12118</v>
      </c>
      <c r="C63" s="12">
        <v>215</v>
      </c>
      <c r="D63" s="11" t="s">
        <v>14078</v>
      </c>
      <c r="E63" s="11" t="s">
        <v>14080</v>
      </c>
      <c r="F63" s="11">
        <v>2023</v>
      </c>
      <c r="G63" s="11" t="s">
        <v>14081</v>
      </c>
      <c r="H63" s="11" t="str">
        <f>HYPERLINK("http://dx.doi.org/10.1016/j.freeradbiomed.2023.10.393","http://dx.doi.org/10.1016/j.freeradbiomed.2023.10.393")</f>
        <v>http://dx.doi.org/10.1016/j.freeradbiomed.2023.10.393</v>
      </c>
      <c r="I63" s="11" t="s">
        <v>14084</v>
      </c>
      <c r="J63" s="11" t="s">
        <v>14082</v>
      </c>
      <c r="K63" s="11" t="s">
        <v>42</v>
      </c>
      <c r="L63" s="11" t="s">
        <v>56</v>
      </c>
      <c r="M63" s="9" t="s">
        <v>12142</v>
      </c>
    </row>
    <row r="64" spans="1:13" x14ac:dyDescent="0.25">
      <c r="A64" s="11">
        <v>153</v>
      </c>
      <c r="B64" s="12" t="s">
        <v>12118</v>
      </c>
      <c r="C64" s="12">
        <v>162</v>
      </c>
      <c r="D64" s="11" t="s">
        <v>9059</v>
      </c>
      <c r="E64" s="11" t="s">
        <v>9061</v>
      </c>
      <c r="F64" s="11">
        <v>2021</v>
      </c>
      <c r="G64" s="11" t="s">
        <v>5034</v>
      </c>
      <c r="H64" s="11" t="str">
        <f>HYPERLINK("http://dx.doi.org/10.3366/ajicl.2021.0348","http://dx.doi.org/10.3366/ajicl.2021.0348")</f>
        <v>http://dx.doi.org/10.3366/ajicl.2021.0348</v>
      </c>
      <c r="I64" s="11" t="s">
        <v>1507</v>
      </c>
      <c r="J64" s="11" t="s">
        <v>1507</v>
      </c>
      <c r="K64" s="11" t="s">
        <v>42</v>
      </c>
      <c r="L64" s="11" t="s">
        <v>56</v>
      </c>
      <c r="M64" s="9" t="s">
        <v>12142</v>
      </c>
    </row>
    <row r="65" spans="1:13" x14ac:dyDescent="0.25">
      <c r="A65" s="11">
        <v>51</v>
      </c>
      <c r="B65" s="12" t="s">
        <v>12118</v>
      </c>
      <c r="C65" s="12">
        <v>55</v>
      </c>
      <c r="D65" s="11" t="s">
        <v>14823</v>
      </c>
      <c r="E65" s="11" t="s">
        <v>14826</v>
      </c>
      <c r="F65" s="11">
        <v>2023</v>
      </c>
      <c r="G65" s="11" t="s">
        <v>14827</v>
      </c>
      <c r="H65" s="11" t="str">
        <f>HYPERLINK("http://dx.doi.org/10.1145/3589132.3625625","http://dx.doi.org/10.1145/3589132.3625625")</f>
        <v>http://dx.doi.org/10.1145/3589132.3625625</v>
      </c>
      <c r="I65" s="11" t="s">
        <v>14832</v>
      </c>
      <c r="J65" s="11" t="s">
        <v>14831</v>
      </c>
      <c r="K65" s="11" t="s">
        <v>42</v>
      </c>
      <c r="L65" s="11" t="s">
        <v>5552</v>
      </c>
      <c r="M65" s="9" t="s">
        <v>12142</v>
      </c>
    </row>
    <row r="66" spans="1:13" x14ac:dyDescent="0.25">
      <c r="A66" s="11">
        <v>454</v>
      </c>
      <c r="B66" s="12" t="s">
        <v>12118</v>
      </c>
      <c r="C66" s="12">
        <v>507</v>
      </c>
      <c r="D66" s="11" t="s">
        <v>9556</v>
      </c>
      <c r="E66" s="11" t="s">
        <v>9558</v>
      </c>
      <c r="F66" s="11">
        <v>2020</v>
      </c>
      <c r="G66" s="11" t="s">
        <v>9559</v>
      </c>
      <c r="H66" s="11" t="s">
        <v>1507</v>
      </c>
      <c r="I66" s="11" t="s">
        <v>9561</v>
      </c>
      <c r="J66" s="11" t="s">
        <v>1507</v>
      </c>
      <c r="K66" s="11" t="s">
        <v>42</v>
      </c>
      <c r="L66" s="11" t="s">
        <v>56</v>
      </c>
      <c r="M66" s="9" t="s">
        <v>12142</v>
      </c>
    </row>
    <row r="67" spans="1:13" x14ac:dyDescent="0.25">
      <c r="A67" s="12">
        <v>128</v>
      </c>
      <c r="B67" s="12" t="s">
        <v>12204</v>
      </c>
      <c r="C67" s="12">
        <v>457</v>
      </c>
      <c r="D67" s="12" t="s">
        <v>13660</v>
      </c>
      <c r="E67" s="12" t="s">
        <v>423</v>
      </c>
      <c r="F67" s="12">
        <v>2023</v>
      </c>
      <c r="G67" s="12" t="s">
        <v>424</v>
      </c>
      <c r="H67" s="12" t="s">
        <v>425</v>
      </c>
      <c r="I67" s="12" t="s">
        <v>428</v>
      </c>
      <c r="J67" s="12" t="s">
        <v>429</v>
      </c>
      <c r="K67" s="12" t="s">
        <v>42</v>
      </c>
      <c r="L67" s="12" t="s">
        <v>56</v>
      </c>
      <c r="M67" s="9" t="s">
        <v>12142</v>
      </c>
    </row>
    <row r="68" spans="1:13" x14ac:dyDescent="0.25">
      <c r="A68" s="12">
        <v>174</v>
      </c>
      <c r="B68" s="12" t="s">
        <v>12204</v>
      </c>
      <c r="C68" s="12">
        <v>663</v>
      </c>
      <c r="D68" s="12" t="s">
        <v>12858</v>
      </c>
      <c r="E68" s="12" t="s">
        <v>675</v>
      </c>
      <c r="F68" s="12">
        <v>2023</v>
      </c>
      <c r="G68" s="12" t="s">
        <v>676</v>
      </c>
      <c r="H68" s="12" t="s">
        <v>677</v>
      </c>
      <c r="I68" s="12" t="s">
        <v>680</v>
      </c>
      <c r="J68" s="12" t="s">
        <v>681</v>
      </c>
      <c r="K68" s="12" t="s">
        <v>42</v>
      </c>
      <c r="L68" s="12" t="s">
        <v>12252</v>
      </c>
      <c r="M68" s="10">
        <v>1</v>
      </c>
    </row>
    <row r="69" spans="1:13" x14ac:dyDescent="0.25">
      <c r="A69" s="12">
        <v>40</v>
      </c>
      <c r="B69" s="12" t="s">
        <v>12204</v>
      </c>
      <c r="C69" s="12">
        <v>127</v>
      </c>
      <c r="D69" s="12" t="s">
        <v>12403</v>
      </c>
      <c r="E69" s="12" t="s">
        <v>1285</v>
      </c>
      <c r="F69" s="12">
        <v>2023</v>
      </c>
      <c r="G69" s="12" t="s">
        <v>797</v>
      </c>
      <c r="H69" s="12" t="s">
        <v>1286</v>
      </c>
      <c r="I69" s="12" t="s">
        <v>1289</v>
      </c>
      <c r="J69" s="12" t="s">
        <v>1290</v>
      </c>
      <c r="K69" s="12" t="s">
        <v>42</v>
      </c>
      <c r="L69" s="12" t="s">
        <v>56</v>
      </c>
      <c r="M69" s="10">
        <v>1</v>
      </c>
    </row>
    <row r="70" spans="1:13" x14ac:dyDescent="0.25">
      <c r="A70" s="11">
        <v>360</v>
      </c>
      <c r="B70" s="12" t="s">
        <v>12118</v>
      </c>
      <c r="C70" s="12">
        <v>402</v>
      </c>
      <c r="D70" s="11" t="s">
        <v>4836</v>
      </c>
      <c r="E70" s="11" t="s">
        <v>4838</v>
      </c>
      <c r="F70" s="11">
        <v>2023</v>
      </c>
      <c r="G70" s="11" t="s">
        <v>1657</v>
      </c>
      <c r="H70" s="11" t="str">
        <f>HYPERLINK("http://dx.doi.org/10.2196/46924","http://dx.doi.org/10.2196/46924")</f>
        <v>http://dx.doi.org/10.2196/46924</v>
      </c>
      <c r="I70" s="11" t="s">
        <v>4840</v>
      </c>
      <c r="J70" s="11" t="s">
        <v>4839</v>
      </c>
      <c r="K70" s="11" t="s">
        <v>42</v>
      </c>
      <c r="L70" s="11" t="s">
        <v>56</v>
      </c>
      <c r="M70" s="9">
        <v>1</v>
      </c>
    </row>
    <row r="71" spans="1:13" x14ac:dyDescent="0.25">
      <c r="A71" s="12">
        <v>109</v>
      </c>
      <c r="B71" s="12" t="s">
        <v>12204</v>
      </c>
      <c r="C71" s="12">
        <v>381</v>
      </c>
      <c r="D71" s="12" t="s">
        <v>12408</v>
      </c>
      <c r="E71" s="12" t="s">
        <v>1187</v>
      </c>
      <c r="F71" s="12">
        <v>2023</v>
      </c>
      <c r="G71" s="12" t="s">
        <v>1188</v>
      </c>
      <c r="H71" s="12" t="s">
        <v>1189</v>
      </c>
      <c r="I71" s="12" t="s">
        <v>1192</v>
      </c>
      <c r="J71" s="12" t="s">
        <v>1193</v>
      </c>
      <c r="K71" s="12" t="s">
        <v>42</v>
      </c>
      <c r="L71" s="12" t="s">
        <v>56</v>
      </c>
      <c r="M71" s="10">
        <v>1</v>
      </c>
    </row>
    <row r="72" spans="1:13" x14ac:dyDescent="0.25">
      <c r="A72" s="12">
        <v>80</v>
      </c>
      <c r="B72" s="12" t="s">
        <v>12204</v>
      </c>
      <c r="C72" s="12">
        <v>290</v>
      </c>
      <c r="D72" s="12" t="s">
        <v>13293</v>
      </c>
      <c r="E72" s="12" t="s">
        <v>610</v>
      </c>
      <c r="F72" s="12">
        <v>2023</v>
      </c>
      <c r="G72" s="12" t="s">
        <v>305</v>
      </c>
      <c r="H72" s="12" t="s">
        <v>611</v>
      </c>
      <c r="I72" s="12" t="s">
        <v>614</v>
      </c>
      <c r="J72" s="12" t="s">
        <v>615</v>
      </c>
      <c r="K72" s="12" t="s">
        <v>42</v>
      </c>
      <c r="L72" s="12" t="s">
        <v>56</v>
      </c>
      <c r="M72" s="10">
        <v>1</v>
      </c>
    </row>
    <row r="73" spans="1:13" x14ac:dyDescent="0.25">
      <c r="A73" s="12">
        <v>156</v>
      </c>
      <c r="B73" s="12" t="s">
        <v>12204</v>
      </c>
      <c r="C73" s="12">
        <v>585</v>
      </c>
      <c r="D73" s="12" t="s">
        <v>13675</v>
      </c>
      <c r="E73" s="12" t="s">
        <v>243</v>
      </c>
      <c r="F73" s="12">
        <v>2023</v>
      </c>
      <c r="G73" s="12" t="s">
        <v>244</v>
      </c>
      <c r="H73" s="12" t="s">
        <v>245</v>
      </c>
      <c r="I73" s="12" t="s">
        <v>248</v>
      </c>
      <c r="J73" s="12" t="s">
        <v>249</v>
      </c>
      <c r="K73" s="12" t="s">
        <v>42</v>
      </c>
      <c r="L73" s="12" t="s">
        <v>56</v>
      </c>
      <c r="M73" s="10" t="s">
        <v>12142</v>
      </c>
    </row>
    <row r="74" spans="1:13" x14ac:dyDescent="0.25">
      <c r="A74" s="12">
        <v>161</v>
      </c>
      <c r="B74" s="12" t="s">
        <v>12204</v>
      </c>
      <c r="C74" s="12">
        <v>598</v>
      </c>
      <c r="D74" s="12" t="s">
        <v>13560</v>
      </c>
      <c r="E74" s="12" t="s">
        <v>13558</v>
      </c>
      <c r="F74" s="12">
        <v>2023</v>
      </c>
      <c r="G74" s="12" t="s">
        <v>13557</v>
      </c>
      <c r="H74" s="12" t="s">
        <v>6482</v>
      </c>
      <c r="I74" s="12" t="s">
        <v>13553</v>
      </c>
      <c r="J74" s="12" t="s">
        <v>13552</v>
      </c>
      <c r="K74" s="12" t="s">
        <v>42</v>
      </c>
      <c r="L74" s="12" t="s">
        <v>56</v>
      </c>
      <c r="M74" s="10">
        <v>1</v>
      </c>
    </row>
    <row r="75" spans="1:13" x14ac:dyDescent="0.25">
      <c r="A75" s="11">
        <v>420</v>
      </c>
      <c r="B75" s="12" t="s">
        <v>12118</v>
      </c>
      <c r="C75" s="12">
        <v>466</v>
      </c>
      <c r="D75" s="11" t="s">
        <v>3614</v>
      </c>
      <c r="E75" s="11" t="s">
        <v>3616</v>
      </c>
      <c r="F75" s="11">
        <v>2023</v>
      </c>
      <c r="G75" s="11" t="s">
        <v>1617</v>
      </c>
      <c r="H75" s="11" t="str">
        <f>HYPERLINK("http://dx.doi.org/10.3390/electronics12193996","http://dx.doi.org/10.3390/electronics12193996")</f>
        <v>http://dx.doi.org/10.3390/electronics12193996</v>
      </c>
      <c r="I75" s="11" t="s">
        <v>3619</v>
      </c>
      <c r="J75" s="11" t="s">
        <v>3617</v>
      </c>
      <c r="K75" s="11" t="s">
        <v>42</v>
      </c>
      <c r="L75" s="11" t="s">
        <v>56</v>
      </c>
      <c r="M75" s="10">
        <v>1</v>
      </c>
    </row>
    <row r="76" spans="1:13" x14ac:dyDescent="0.25">
      <c r="A76" s="11">
        <v>4</v>
      </c>
      <c r="B76" s="12" t="s">
        <v>12118</v>
      </c>
      <c r="C76" s="12">
        <v>4</v>
      </c>
      <c r="D76" s="11" t="s">
        <v>1866</v>
      </c>
      <c r="E76" s="11" t="s">
        <v>1868</v>
      </c>
      <c r="F76" s="11">
        <v>2023</v>
      </c>
      <c r="G76" s="11" t="s">
        <v>1869</v>
      </c>
      <c r="H76" s="11" t="str">
        <f>HYPERLINK("http://dx.doi.org/10.1038/s41540-023-00324-2","http://dx.doi.org/10.1038/s41540-023-00324-2")</f>
        <v>http://dx.doi.org/10.1038/s41540-023-00324-2</v>
      </c>
      <c r="I76" s="11" t="s">
        <v>1870</v>
      </c>
      <c r="J76" s="11" t="s">
        <v>1507</v>
      </c>
      <c r="K76" s="11" t="s">
        <v>42</v>
      </c>
      <c r="L76" s="11" t="s">
        <v>56</v>
      </c>
      <c r="M76" s="9" t="s">
        <v>12142</v>
      </c>
    </row>
    <row r="77" spans="1:13" x14ac:dyDescent="0.25">
      <c r="A77" s="12">
        <v>143</v>
      </c>
      <c r="B77" s="12" t="s">
        <v>12204</v>
      </c>
      <c r="C77" s="12">
        <v>514</v>
      </c>
      <c r="D77" s="12" t="s">
        <v>12541</v>
      </c>
      <c r="E77" s="12" t="s">
        <v>1057</v>
      </c>
      <c r="F77" s="12">
        <v>2023</v>
      </c>
      <c r="G77" s="12" t="s">
        <v>996</v>
      </c>
      <c r="H77" s="12" t="s">
        <v>1059</v>
      </c>
      <c r="I77" s="12" t="s">
        <v>1062</v>
      </c>
      <c r="J77" s="12" t="s">
        <v>1063</v>
      </c>
      <c r="K77" s="12" t="s">
        <v>42</v>
      </c>
      <c r="L77" s="12" t="s">
        <v>56</v>
      </c>
      <c r="M77" s="10">
        <v>1</v>
      </c>
    </row>
    <row r="78" spans="1:13" x14ac:dyDescent="0.25">
      <c r="A78" s="12">
        <v>56</v>
      </c>
      <c r="B78" s="12" t="s">
        <v>12204</v>
      </c>
      <c r="C78" s="12">
        <v>203</v>
      </c>
      <c r="D78" s="12" t="s">
        <v>12718</v>
      </c>
      <c r="E78" s="12" t="s">
        <v>12716</v>
      </c>
      <c r="F78" s="12">
        <v>2023</v>
      </c>
      <c r="G78" s="12" t="s">
        <v>923</v>
      </c>
      <c r="H78" s="12" t="s">
        <v>924</v>
      </c>
      <c r="I78" s="12" t="s">
        <v>927</v>
      </c>
      <c r="J78" s="12" t="s">
        <v>928</v>
      </c>
      <c r="K78" s="12" t="s">
        <v>12712</v>
      </c>
      <c r="L78" s="12" t="s">
        <v>56</v>
      </c>
      <c r="M78" s="10">
        <v>1</v>
      </c>
    </row>
    <row r="79" spans="1:13" x14ac:dyDescent="0.25">
      <c r="A79" s="12">
        <v>134</v>
      </c>
      <c r="B79" s="12" t="s">
        <v>12204</v>
      </c>
      <c r="C79" s="12">
        <v>485</v>
      </c>
      <c r="D79" s="12" t="s">
        <v>12827</v>
      </c>
      <c r="E79" s="12" t="s">
        <v>539</v>
      </c>
      <c r="F79" s="12">
        <v>2023</v>
      </c>
      <c r="G79" s="12" t="s">
        <v>540</v>
      </c>
      <c r="H79" s="12" t="s">
        <v>541</v>
      </c>
      <c r="I79" s="12" t="s">
        <v>544</v>
      </c>
      <c r="J79" s="12" t="s">
        <v>545</v>
      </c>
      <c r="K79" s="12" t="s">
        <v>42</v>
      </c>
      <c r="L79" s="12" t="s">
        <v>12252</v>
      </c>
      <c r="M79" s="10">
        <v>1</v>
      </c>
    </row>
    <row r="80" spans="1:13" x14ac:dyDescent="0.25">
      <c r="A80" s="11">
        <v>56</v>
      </c>
      <c r="B80" s="12" t="s">
        <v>12118</v>
      </c>
      <c r="C80" s="12">
        <v>60</v>
      </c>
      <c r="D80" s="11" t="s">
        <v>3080</v>
      </c>
      <c r="E80" s="11" t="s">
        <v>3082</v>
      </c>
      <c r="F80" s="11">
        <v>2023</v>
      </c>
      <c r="G80" s="11" t="s">
        <v>3083</v>
      </c>
      <c r="H80" s="11" t="str">
        <f>HYPERLINK("http://dx.doi.org/10.7759/cureus.47468","http://dx.doi.org/10.7759/cureus.47468")</f>
        <v>http://dx.doi.org/10.7759/cureus.47468</v>
      </c>
      <c r="I80" s="11" t="s">
        <v>3085</v>
      </c>
      <c r="J80" s="11" t="s">
        <v>3084</v>
      </c>
      <c r="K80" s="11" t="s">
        <v>42</v>
      </c>
      <c r="L80" s="11" t="s">
        <v>56</v>
      </c>
      <c r="M80" s="9">
        <v>1</v>
      </c>
    </row>
    <row r="81" spans="1:13" x14ac:dyDescent="0.25">
      <c r="A81" s="11">
        <v>20</v>
      </c>
      <c r="B81" s="12" t="s">
        <v>12118</v>
      </c>
      <c r="C81" s="12">
        <v>23</v>
      </c>
      <c r="D81" s="11" t="s">
        <v>4692</v>
      </c>
      <c r="E81" s="11" t="s">
        <v>4694</v>
      </c>
      <c r="F81" s="11">
        <v>2023</v>
      </c>
      <c r="G81" s="11" t="s">
        <v>4695</v>
      </c>
      <c r="H81" s="11" t="str">
        <f>HYPERLINK("http://dx.doi.org/10.1002/naaq.10290","http://dx.doi.org/10.1002/naaq.10290")</f>
        <v>http://dx.doi.org/10.1002/naaq.10290</v>
      </c>
      <c r="I81" s="11" t="s">
        <v>4697</v>
      </c>
      <c r="J81" s="11" t="s">
        <v>1507</v>
      </c>
      <c r="K81" s="11" t="s">
        <v>42</v>
      </c>
      <c r="L81" s="11" t="s">
        <v>1509</v>
      </c>
      <c r="M81" s="9" t="s">
        <v>12142</v>
      </c>
    </row>
    <row r="82" spans="1:13" x14ac:dyDescent="0.25">
      <c r="A82" s="11">
        <v>279</v>
      </c>
      <c r="B82" s="12" t="s">
        <v>12118</v>
      </c>
      <c r="C82" s="12">
        <v>310</v>
      </c>
      <c r="D82" s="11" t="s">
        <v>10329</v>
      </c>
      <c r="E82" s="11" t="s">
        <v>10331</v>
      </c>
      <c r="F82" s="11">
        <v>2020</v>
      </c>
      <c r="G82" s="11" t="s">
        <v>10332</v>
      </c>
      <c r="H82" s="11" t="str">
        <f>HYPERLINK("http://dx.doi.org/10.1002/cti2.1107","http://dx.doi.org/10.1002/cti2.1107")</f>
        <v>http://dx.doi.org/10.1002/cti2.1107</v>
      </c>
      <c r="I82" s="11" t="s">
        <v>10335</v>
      </c>
      <c r="J82" s="11" t="s">
        <v>10333</v>
      </c>
      <c r="K82" s="11" t="s">
        <v>42</v>
      </c>
      <c r="L82" s="11" t="s">
        <v>56</v>
      </c>
      <c r="M82" s="9" t="s">
        <v>12142</v>
      </c>
    </row>
    <row r="83" spans="1:13" x14ac:dyDescent="0.25">
      <c r="A83" s="12">
        <v>75</v>
      </c>
      <c r="B83" s="12" t="s">
        <v>12204</v>
      </c>
      <c r="C83" s="12">
        <v>270</v>
      </c>
      <c r="D83" s="12" t="s">
        <v>12667</v>
      </c>
      <c r="E83" s="12" t="s">
        <v>995</v>
      </c>
      <c r="F83" s="12">
        <v>2023</v>
      </c>
      <c r="G83" s="12" t="s">
        <v>996</v>
      </c>
      <c r="H83" s="12" t="s">
        <v>998</v>
      </c>
      <c r="I83" s="12" t="s">
        <v>1001</v>
      </c>
      <c r="J83" s="12" t="s">
        <v>1002</v>
      </c>
      <c r="K83" s="12" t="s">
        <v>42</v>
      </c>
      <c r="L83" s="12" t="s">
        <v>56</v>
      </c>
      <c r="M83" s="10">
        <v>1</v>
      </c>
    </row>
    <row r="84" spans="1:13" x14ac:dyDescent="0.25">
      <c r="A84" s="11">
        <v>111</v>
      </c>
      <c r="B84" s="12" t="s">
        <v>12118</v>
      </c>
      <c r="C84" s="12">
        <v>113</v>
      </c>
      <c r="D84" s="11" t="s">
        <v>2499</v>
      </c>
      <c r="E84" s="11" t="s">
        <v>2501</v>
      </c>
      <c r="F84" s="11">
        <v>2023</v>
      </c>
      <c r="G84" s="11" t="s">
        <v>2502</v>
      </c>
      <c r="H84" s="11" t="str">
        <f>HYPERLINK("http://dx.doi.org/10.1186/s12909-023-04832-x","http://dx.doi.org/10.1186/s12909-023-04832-x")</f>
        <v>http://dx.doi.org/10.1186/s12909-023-04832-x</v>
      </c>
      <c r="I84" s="11" t="s">
        <v>2504</v>
      </c>
      <c r="J84" s="11" t="s">
        <v>2503</v>
      </c>
      <c r="K84" s="11" t="s">
        <v>42</v>
      </c>
      <c r="L84" s="11" t="s">
        <v>56</v>
      </c>
      <c r="M84" s="9">
        <v>1</v>
      </c>
    </row>
    <row r="85" spans="1:13" x14ac:dyDescent="0.25">
      <c r="A85" s="11">
        <v>167</v>
      </c>
      <c r="B85" s="12" t="s">
        <v>12118</v>
      </c>
      <c r="C85" s="12">
        <v>179</v>
      </c>
      <c r="D85" s="11" t="s">
        <v>9412</v>
      </c>
      <c r="E85" s="11" t="s">
        <v>9414</v>
      </c>
      <c r="F85" s="11">
        <v>2020</v>
      </c>
      <c r="G85" s="11" t="s">
        <v>9415</v>
      </c>
      <c r="H85" s="11" t="str">
        <f>HYPERLINK("http://dx.doi.org/10.3390/microorganisms8111698","http://dx.doi.org/10.3390/microorganisms8111698")</f>
        <v>http://dx.doi.org/10.3390/microorganisms8111698</v>
      </c>
      <c r="I85" s="11" t="s">
        <v>9418</v>
      </c>
      <c r="J85" s="11" t="s">
        <v>9416</v>
      </c>
      <c r="K85" s="11" t="s">
        <v>42</v>
      </c>
      <c r="L85" s="11" t="s">
        <v>56</v>
      </c>
      <c r="M85" s="9" t="s">
        <v>12142</v>
      </c>
    </row>
    <row r="86" spans="1:13" x14ac:dyDescent="0.25">
      <c r="A86" s="11">
        <v>59</v>
      </c>
      <c r="B86" s="12" t="s">
        <v>12118</v>
      </c>
      <c r="C86" s="12">
        <v>63</v>
      </c>
      <c r="D86" s="11" t="s">
        <v>9982</v>
      </c>
      <c r="E86" s="11" t="s">
        <v>9984</v>
      </c>
      <c r="F86" s="11">
        <v>2020</v>
      </c>
      <c r="G86" s="11" t="s">
        <v>9985</v>
      </c>
      <c r="H86" s="11" t="str">
        <f>HYPERLINK("http://dx.doi.org/10.1016/j.jad.2020.01.078","http://dx.doi.org/10.1016/j.jad.2020.01.078")</f>
        <v>http://dx.doi.org/10.1016/j.jad.2020.01.078</v>
      </c>
      <c r="I86" s="11" t="s">
        <v>9988</v>
      </c>
      <c r="J86" s="11" t="s">
        <v>9986</v>
      </c>
      <c r="K86" s="11" t="s">
        <v>42</v>
      </c>
      <c r="L86" s="11" t="s">
        <v>56</v>
      </c>
      <c r="M86" s="9" t="s">
        <v>12142</v>
      </c>
    </row>
    <row r="87" spans="1:13" x14ac:dyDescent="0.25">
      <c r="A87" s="11">
        <v>263</v>
      </c>
      <c r="B87" s="12" t="s">
        <v>12118</v>
      </c>
      <c r="C87" s="12">
        <v>293</v>
      </c>
      <c r="D87" s="11" t="s">
        <v>7192</v>
      </c>
      <c r="E87" s="11" t="s">
        <v>7195</v>
      </c>
      <c r="F87" s="11">
        <v>2022</v>
      </c>
      <c r="G87" s="11" t="s">
        <v>7196</v>
      </c>
      <c r="H87" s="11" t="str">
        <f>HYPERLINK("http://dx.doi.org/10.1007/s00394-022-02909-9","http://dx.doi.org/10.1007/s00394-022-02909-9")</f>
        <v>http://dx.doi.org/10.1007/s00394-022-02909-9</v>
      </c>
      <c r="I87" s="11" t="s">
        <v>7199</v>
      </c>
      <c r="J87" s="11" t="s">
        <v>7197</v>
      </c>
      <c r="K87" s="11" t="s">
        <v>42</v>
      </c>
      <c r="L87" s="11" t="s">
        <v>56</v>
      </c>
      <c r="M87" s="9" t="s">
        <v>12142</v>
      </c>
    </row>
    <row r="88" spans="1:13" x14ac:dyDescent="0.25">
      <c r="A88" s="11">
        <v>604</v>
      </c>
      <c r="B88" s="12" t="s">
        <v>12118</v>
      </c>
      <c r="C88" s="12">
        <v>675</v>
      </c>
      <c r="D88" s="11" t="s">
        <v>10608</v>
      </c>
      <c r="E88" s="11" t="s">
        <v>10610</v>
      </c>
      <c r="F88" s="11">
        <v>2019</v>
      </c>
      <c r="G88" s="11" t="s">
        <v>7563</v>
      </c>
      <c r="H88" s="11" t="str">
        <f>HYPERLINK("http://dx.doi.org/10.1038/s41467-019-12887-y","http://dx.doi.org/10.1038/s41467-019-12887-y")</f>
        <v>http://dx.doi.org/10.1038/s41467-019-12887-y</v>
      </c>
      <c r="I88" s="11" t="s">
        <v>10612</v>
      </c>
      <c r="J88" s="11" t="s">
        <v>1507</v>
      </c>
      <c r="K88" s="11" t="s">
        <v>42</v>
      </c>
      <c r="L88" s="11" t="s">
        <v>56</v>
      </c>
      <c r="M88" s="9" t="s">
        <v>12142</v>
      </c>
    </row>
    <row r="89" spans="1:13" x14ac:dyDescent="0.25">
      <c r="A89" s="11">
        <v>112</v>
      </c>
      <c r="B89" s="12" t="s">
        <v>12118</v>
      </c>
      <c r="C89" s="12">
        <v>115</v>
      </c>
      <c r="D89" s="11" t="s">
        <v>6739</v>
      </c>
      <c r="E89" s="11" t="s">
        <v>6741</v>
      </c>
      <c r="F89" s="11">
        <v>2023</v>
      </c>
      <c r="G89" s="11" t="s">
        <v>4943</v>
      </c>
      <c r="H89" s="11" t="str">
        <f>HYPERLINK("http://dx.doi.org/10.5551/jat.63389","http://dx.doi.org/10.5551/jat.63389")</f>
        <v>http://dx.doi.org/10.5551/jat.63389</v>
      </c>
      <c r="I89" s="11" t="s">
        <v>6744</v>
      </c>
      <c r="J89" s="11" t="s">
        <v>6742</v>
      </c>
      <c r="K89" s="11" t="s">
        <v>42</v>
      </c>
      <c r="L89" s="11" t="s">
        <v>56</v>
      </c>
      <c r="M89" s="9" t="s">
        <v>12142</v>
      </c>
    </row>
    <row r="90" spans="1:13" x14ac:dyDescent="0.25">
      <c r="A90" s="12">
        <v>157</v>
      </c>
      <c r="B90" s="12" t="s">
        <v>12204</v>
      </c>
      <c r="C90" s="12">
        <v>589</v>
      </c>
      <c r="D90" s="12" t="s">
        <v>903</v>
      </c>
      <c r="E90" s="12" t="s">
        <v>904</v>
      </c>
      <c r="F90" s="12">
        <v>2023</v>
      </c>
      <c r="G90" s="12" t="s">
        <v>287</v>
      </c>
      <c r="H90" s="12" t="s">
        <v>905</v>
      </c>
      <c r="I90" s="12" t="s">
        <v>908</v>
      </c>
      <c r="J90" s="12" t="s">
        <v>909</v>
      </c>
      <c r="K90" s="12" t="s">
        <v>42</v>
      </c>
      <c r="L90" s="12" t="s">
        <v>56</v>
      </c>
      <c r="M90" s="10">
        <v>1</v>
      </c>
    </row>
    <row r="91" spans="1:13" x14ac:dyDescent="0.25">
      <c r="A91" s="11">
        <v>608</v>
      </c>
      <c r="B91" s="12" t="s">
        <v>12118</v>
      </c>
      <c r="C91" s="12">
        <v>678</v>
      </c>
      <c r="D91" s="11" t="s">
        <v>6638</v>
      </c>
      <c r="E91" s="11" t="s">
        <v>6641</v>
      </c>
      <c r="F91" s="11">
        <v>2023</v>
      </c>
      <c r="G91" s="11" t="s">
        <v>6642</v>
      </c>
      <c r="H91" s="11" t="str">
        <f>HYPERLINK("http://dx.doi.org/10.1109/COMPSAC57700.2023.00275","http://dx.doi.org/10.1109/COMPSAC57700.2023.00275")</f>
        <v>http://dx.doi.org/10.1109/COMPSAC57700.2023.00275</v>
      </c>
      <c r="I91" s="11" t="s">
        <v>6650</v>
      </c>
      <c r="J91" s="11" t="s">
        <v>6649</v>
      </c>
      <c r="K91" s="11" t="s">
        <v>42</v>
      </c>
      <c r="L91" s="11" t="s">
        <v>5552</v>
      </c>
      <c r="M91" s="9" t="s">
        <v>12142</v>
      </c>
    </row>
    <row r="92" spans="1:13" x14ac:dyDescent="0.25">
      <c r="A92" s="11">
        <v>72</v>
      </c>
      <c r="B92" s="12" t="s">
        <v>12118</v>
      </c>
      <c r="C92" s="12">
        <v>77</v>
      </c>
      <c r="D92" s="11" t="s">
        <v>3274</v>
      </c>
      <c r="E92" s="11" t="s">
        <v>3276</v>
      </c>
      <c r="F92" s="11">
        <v>2023</v>
      </c>
      <c r="G92" s="11" t="s">
        <v>3277</v>
      </c>
      <c r="H92" s="11" t="str">
        <f>HYPERLINK("http://dx.doi.org/10.1007/s10472-023-09894-7","http://dx.doi.org/10.1007/s10472-023-09894-7")</f>
        <v>http://dx.doi.org/10.1007/s10472-023-09894-7</v>
      </c>
      <c r="I92" s="11" t="s">
        <v>3279</v>
      </c>
      <c r="J92" s="11" t="s">
        <v>3278</v>
      </c>
      <c r="K92" s="11" t="s">
        <v>42</v>
      </c>
      <c r="L92" s="11" t="s">
        <v>1509</v>
      </c>
      <c r="M92" s="9" t="s">
        <v>12142</v>
      </c>
    </row>
    <row r="93" spans="1:13" x14ac:dyDescent="0.25">
      <c r="A93" s="11">
        <v>61</v>
      </c>
      <c r="B93" s="12" t="s">
        <v>12118</v>
      </c>
      <c r="C93" s="12">
        <v>65</v>
      </c>
      <c r="D93" s="11" t="s">
        <v>10450</v>
      </c>
      <c r="E93" s="11" t="s">
        <v>10452</v>
      </c>
      <c r="F93" s="11">
        <v>2019</v>
      </c>
      <c r="G93" s="11" t="s">
        <v>2159</v>
      </c>
      <c r="H93" s="11" t="str">
        <f>HYPERLINK("http://dx.doi.org/10.1038/s41746-019-0210-1","http://dx.doi.org/10.1038/s41746-019-0210-1")</f>
        <v>http://dx.doi.org/10.1038/s41746-019-0210-1</v>
      </c>
      <c r="I93" s="11" t="s">
        <v>10454</v>
      </c>
      <c r="J93" s="11" t="s">
        <v>1507</v>
      </c>
      <c r="K93" s="11" t="s">
        <v>42</v>
      </c>
      <c r="L93" s="11" t="s">
        <v>56</v>
      </c>
      <c r="M93" s="9" t="s">
        <v>12142</v>
      </c>
    </row>
    <row r="94" spans="1:13" x14ac:dyDescent="0.25">
      <c r="A94" s="11">
        <v>62</v>
      </c>
      <c r="B94" s="12" t="s">
        <v>12118</v>
      </c>
      <c r="C94" s="12">
        <v>67</v>
      </c>
      <c r="D94" s="11" t="s">
        <v>1757</v>
      </c>
      <c r="E94" s="11" t="s">
        <v>1759</v>
      </c>
      <c r="F94" s="11">
        <v>2023</v>
      </c>
      <c r="G94" s="11" t="s">
        <v>1760</v>
      </c>
      <c r="H94" s="11" t="str">
        <f>HYPERLINK("http://dx.doi.org/10.1038/s41586-023-06792-0","http://dx.doi.org/10.1038/s41586-023-06792-0")</f>
        <v>http://dx.doi.org/10.1038/s41586-023-06792-0</v>
      </c>
      <c r="I94" s="11" t="s">
        <v>1761</v>
      </c>
      <c r="J94" s="11" t="s">
        <v>1507</v>
      </c>
      <c r="K94" s="11" t="s">
        <v>42</v>
      </c>
      <c r="L94" s="11" t="s">
        <v>56</v>
      </c>
      <c r="M94" s="9" t="s">
        <v>12142</v>
      </c>
    </row>
    <row r="95" spans="1:13" x14ac:dyDescent="0.25">
      <c r="A95" s="11">
        <v>336</v>
      </c>
      <c r="B95" s="12" t="s">
        <v>12118</v>
      </c>
      <c r="C95" s="12">
        <v>377</v>
      </c>
      <c r="D95" s="11" t="s">
        <v>2042</v>
      </c>
      <c r="E95" s="11" t="s">
        <v>2044</v>
      </c>
      <c r="F95" s="11">
        <v>2023</v>
      </c>
      <c r="G95" s="11" t="s">
        <v>2045</v>
      </c>
      <c r="H95" s="11" t="str">
        <f>HYPERLINK("http://dx.doi.org/10.1080/17538947.2023.2278895","http://dx.doi.org/10.1080/17538947.2023.2278895")</f>
        <v>http://dx.doi.org/10.1080/17538947.2023.2278895</v>
      </c>
      <c r="I95" s="11" t="s">
        <v>2047</v>
      </c>
      <c r="J95" s="11" t="s">
        <v>2046</v>
      </c>
      <c r="K95" s="11" t="s">
        <v>42</v>
      </c>
      <c r="L95" s="11" t="s">
        <v>56</v>
      </c>
      <c r="M95" s="9" t="s">
        <v>12142</v>
      </c>
    </row>
    <row r="96" spans="1:13" x14ac:dyDescent="0.25">
      <c r="A96" s="11">
        <v>40</v>
      </c>
      <c r="B96" s="12" t="s">
        <v>12118</v>
      </c>
      <c r="C96" s="12">
        <v>41</v>
      </c>
      <c r="D96" s="11" t="s">
        <v>5627</v>
      </c>
      <c r="E96" s="11" t="s">
        <v>5630</v>
      </c>
      <c r="F96" s="11">
        <v>2023</v>
      </c>
      <c r="G96" s="11" t="s">
        <v>5631</v>
      </c>
      <c r="H96" s="11" t="str">
        <f>HYPERLINK("http://dx.doi.org/10.1109/CAI54212.2023.00118","http://dx.doi.org/10.1109/CAI54212.2023.00118")</f>
        <v>http://dx.doi.org/10.1109/CAI54212.2023.00118</v>
      </c>
      <c r="I96" s="11" t="s">
        <v>5637</v>
      </c>
      <c r="J96" s="11" t="s">
        <v>5636</v>
      </c>
      <c r="K96" s="11" t="s">
        <v>42</v>
      </c>
      <c r="L96" s="11" t="s">
        <v>5552</v>
      </c>
      <c r="M96" s="9" t="s">
        <v>12142</v>
      </c>
    </row>
    <row r="97" spans="1:13" x14ac:dyDescent="0.25">
      <c r="A97" s="12">
        <v>76</v>
      </c>
      <c r="B97" s="12" t="s">
        <v>12204</v>
      </c>
      <c r="C97" s="12">
        <v>271</v>
      </c>
      <c r="D97" s="12" t="s">
        <v>12495</v>
      </c>
      <c r="E97" s="12" t="s">
        <v>966</v>
      </c>
      <c r="F97" s="12">
        <v>2023</v>
      </c>
      <c r="G97" s="12" t="s">
        <v>967</v>
      </c>
      <c r="H97" s="12" t="s">
        <v>968</v>
      </c>
      <c r="I97" s="12" t="s">
        <v>971</v>
      </c>
      <c r="J97" s="12" t="s">
        <v>972</v>
      </c>
      <c r="K97" s="12" t="s">
        <v>42</v>
      </c>
      <c r="L97" s="12" t="s">
        <v>56</v>
      </c>
      <c r="M97" s="10">
        <v>1</v>
      </c>
    </row>
    <row r="98" spans="1:13" x14ac:dyDescent="0.25">
      <c r="A98" s="11">
        <v>357</v>
      </c>
      <c r="B98" s="12" t="s">
        <v>12118</v>
      </c>
      <c r="C98" s="12">
        <v>398</v>
      </c>
      <c r="D98" s="11" t="s">
        <v>4487</v>
      </c>
      <c r="E98" s="11" t="s">
        <v>4489</v>
      </c>
      <c r="F98" s="11">
        <v>2023</v>
      </c>
      <c r="G98" s="11" t="s">
        <v>4490</v>
      </c>
      <c r="H98" s="11" t="str">
        <f>HYPERLINK("http://dx.doi.org/10.1016/j.hal.2023.102478","http://dx.doi.org/10.1016/j.hal.2023.102478")</f>
        <v>http://dx.doi.org/10.1016/j.hal.2023.102478</v>
      </c>
      <c r="I98" s="11" t="s">
        <v>4493</v>
      </c>
      <c r="J98" s="11" t="s">
        <v>4491</v>
      </c>
      <c r="K98" s="11" t="s">
        <v>42</v>
      </c>
      <c r="L98" s="11" t="s">
        <v>56</v>
      </c>
      <c r="M98" s="9" t="s">
        <v>12142</v>
      </c>
    </row>
    <row r="99" spans="1:13" ht="13.8" customHeight="1" x14ac:dyDescent="0.25">
      <c r="A99" s="11">
        <v>243</v>
      </c>
      <c r="B99" s="12" t="s">
        <v>12118</v>
      </c>
      <c r="C99" s="12">
        <v>268</v>
      </c>
      <c r="D99" s="11" t="s">
        <v>9431</v>
      </c>
      <c r="E99" s="11" t="s">
        <v>9433</v>
      </c>
      <c r="F99" s="11">
        <v>2020</v>
      </c>
      <c r="G99" s="11" t="s">
        <v>9434</v>
      </c>
      <c r="H99" s="11" t="str">
        <f>HYPERLINK("http://dx.doi.org/10.1016/j.gloplacha.2021.103623","http://dx.doi.org/10.1016/j.gloplacha.2021.103623")</f>
        <v>http://dx.doi.org/10.1016/j.gloplacha.2021.103623</v>
      </c>
      <c r="I99" s="11" t="s">
        <v>9437</v>
      </c>
      <c r="J99" s="11" t="s">
        <v>9435</v>
      </c>
      <c r="K99" s="11" t="s">
        <v>42</v>
      </c>
      <c r="L99" s="11" t="s">
        <v>56</v>
      </c>
      <c r="M99" s="9" t="s">
        <v>12142</v>
      </c>
    </row>
    <row r="100" spans="1:13" x14ac:dyDescent="0.25">
      <c r="A100" s="12">
        <v>12</v>
      </c>
      <c r="B100" s="12" t="s">
        <v>12204</v>
      </c>
      <c r="C100" s="12">
        <v>20</v>
      </c>
      <c r="D100" s="12" t="s">
        <v>12635</v>
      </c>
      <c r="E100" s="12" t="s">
        <v>1134</v>
      </c>
      <c r="F100" s="12">
        <v>2023</v>
      </c>
      <c r="G100" s="12" t="s">
        <v>383</v>
      </c>
      <c r="I100" s="12" t="s">
        <v>1137</v>
      </c>
      <c r="J100" s="12" t="s">
        <v>1138</v>
      </c>
      <c r="K100" s="12" t="s">
        <v>42</v>
      </c>
      <c r="L100" s="12" t="s">
        <v>12252</v>
      </c>
      <c r="M100" s="10" t="s">
        <v>12142</v>
      </c>
    </row>
    <row r="101" spans="1:13" x14ac:dyDescent="0.25">
      <c r="A101" s="11">
        <v>364</v>
      </c>
      <c r="B101" s="12" t="s">
        <v>12118</v>
      </c>
      <c r="C101" s="12">
        <v>405</v>
      </c>
      <c r="D101" s="11" t="s">
        <v>11634</v>
      </c>
      <c r="E101" s="11" t="s">
        <v>11636</v>
      </c>
      <c r="F101" s="11">
        <v>2018</v>
      </c>
      <c r="G101" s="11" t="s">
        <v>11637</v>
      </c>
      <c r="H101" s="11" t="str">
        <f>HYPERLINK("http://dx.doi.org/10.1016/j.cellimm.2018.01.018","http://dx.doi.org/10.1016/j.cellimm.2018.01.018")</f>
        <v>http://dx.doi.org/10.1016/j.cellimm.2018.01.018</v>
      </c>
      <c r="I101" s="11" t="s">
        <v>11640</v>
      </c>
      <c r="J101" s="11" t="s">
        <v>11638</v>
      </c>
      <c r="K101" s="11" t="s">
        <v>42</v>
      </c>
      <c r="L101" s="11" t="s">
        <v>56</v>
      </c>
      <c r="M101" s="9" t="s">
        <v>12142</v>
      </c>
    </row>
    <row r="102" spans="1:13" x14ac:dyDescent="0.25">
      <c r="A102" s="11">
        <v>230</v>
      </c>
      <c r="B102" s="12" t="s">
        <v>12118</v>
      </c>
      <c r="C102" s="12">
        <v>253</v>
      </c>
      <c r="D102" s="11" t="s">
        <v>11973</v>
      </c>
      <c r="E102" s="11" t="s">
        <v>11975</v>
      </c>
      <c r="F102" s="11">
        <v>2018</v>
      </c>
      <c r="G102" s="11" t="s">
        <v>11976</v>
      </c>
      <c r="H102" s="11" t="str">
        <f>HYPERLINK("http://dx.doi.org/10.7727/wimj.2017.222","http://dx.doi.org/10.7727/wimj.2017.222")</f>
        <v>http://dx.doi.org/10.7727/wimj.2017.222</v>
      </c>
      <c r="I102" s="11" t="s">
        <v>11979</v>
      </c>
      <c r="J102" s="11" t="s">
        <v>11977</v>
      </c>
      <c r="K102" s="11" t="s">
        <v>42</v>
      </c>
      <c r="L102" s="11" t="s">
        <v>56</v>
      </c>
      <c r="M102" s="9" t="s">
        <v>12142</v>
      </c>
    </row>
    <row r="103" spans="1:13" x14ac:dyDescent="0.25">
      <c r="A103" s="11">
        <v>47</v>
      </c>
      <c r="B103" s="12" t="s">
        <v>12118</v>
      </c>
      <c r="C103" s="12">
        <v>50</v>
      </c>
      <c r="D103" s="11" t="s">
        <v>8749</v>
      </c>
      <c r="E103" s="11" t="s">
        <v>8751</v>
      </c>
      <c r="F103" s="11">
        <v>2021</v>
      </c>
      <c r="G103" s="11" t="s">
        <v>8752</v>
      </c>
      <c r="H103" s="11" t="str">
        <f>HYPERLINK("http://dx.doi.org/10.3389/fphar.2021.651497","http://dx.doi.org/10.3389/fphar.2021.651497")</f>
        <v>http://dx.doi.org/10.3389/fphar.2021.651497</v>
      </c>
      <c r="I103" s="11" t="s">
        <v>8755</v>
      </c>
      <c r="J103" s="11" t="s">
        <v>8753</v>
      </c>
      <c r="K103" s="11" t="s">
        <v>42</v>
      </c>
      <c r="L103" s="11" t="s">
        <v>56</v>
      </c>
      <c r="M103" s="9" t="s">
        <v>12142</v>
      </c>
    </row>
    <row r="104" spans="1:13" x14ac:dyDescent="0.25">
      <c r="A104" s="11">
        <v>381</v>
      </c>
      <c r="B104" s="12" t="s">
        <v>12118</v>
      </c>
      <c r="C104" s="12">
        <v>421</v>
      </c>
      <c r="D104" s="11" t="s">
        <v>11536</v>
      </c>
      <c r="E104" s="11" t="s">
        <v>11538</v>
      </c>
      <c r="F104" s="11">
        <v>2018</v>
      </c>
      <c r="G104" s="11" t="s">
        <v>8493</v>
      </c>
      <c r="H104" s="11" t="str">
        <f>HYPERLINK("http://dx.doi.org/10.1016/j.lfs.2018.09.059","http://dx.doi.org/10.1016/j.lfs.2018.09.059")</f>
        <v>http://dx.doi.org/10.1016/j.lfs.2018.09.059</v>
      </c>
      <c r="I104" s="11" t="s">
        <v>11541</v>
      </c>
      <c r="J104" s="11" t="s">
        <v>11539</v>
      </c>
      <c r="K104" s="11" t="s">
        <v>42</v>
      </c>
      <c r="L104" s="11" t="s">
        <v>56</v>
      </c>
      <c r="M104" s="9" t="s">
        <v>12142</v>
      </c>
    </row>
    <row r="105" spans="1:13" x14ac:dyDescent="0.25">
      <c r="A105" s="11">
        <v>283</v>
      </c>
      <c r="B105" s="12" t="s">
        <v>12118</v>
      </c>
      <c r="C105" s="12">
        <v>315</v>
      </c>
      <c r="D105" s="11" t="s">
        <v>10206</v>
      </c>
      <c r="E105" s="11" t="s">
        <v>10208</v>
      </c>
      <c r="F105" s="11">
        <v>2020</v>
      </c>
      <c r="G105" s="11" t="s">
        <v>2087</v>
      </c>
      <c r="H105" s="11" t="str">
        <f>HYPERLINK("http://dx.doi.org/10.1007/JHEP01(2020)146","http://dx.doi.org/10.1007/JHEP01(2020)146")</f>
        <v>http://dx.doi.org/10.1007/JHEP01(2020)146</v>
      </c>
      <c r="I105" s="11" t="s">
        <v>10211</v>
      </c>
      <c r="J105" s="11" t="s">
        <v>10209</v>
      </c>
      <c r="K105" s="11" t="s">
        <v>42</v>
      </c>
      <c r="L105" s="11" t="s">
        <v>56</v>
      </c>
      <c r="M105" s="9" t="s">
        <v>12142</v>
      </c>
    </row>
    <row r="106" spans="1:13" x14ac:dyDescent="0.25">
      <c r="A106" s="11">
        <v>193</v>
      </c>
      <c r="B106" s="12" t="s">
        <v>12118</v>
      </c>
      <c r="C106" s="12">
        <v>211</v>
      </c>
      <c r="D106" s="11" t="s">
        <v>10067</v>
      </c>
      <c r="E106" s="11" t="s">
        <v>10069</v>
      </c>
      <c r="F106" s="11">
        <v>2020</v>
      </c>
      <c r="G106" s="11" t="s">
        <v>10070</v>
      </c>
      <c r="H106" s="11" t="str">
        <f>HYPERLINK("http://dx.doi.org/10.1017/S0021223719000220","http://dx.doi.org/10.1017/S0021223719000220")</f>
        <v>http://dx.doi.org/10.1017/S0021223719000220</v>
      </c>
      <c r="I106" s="11" t="s">
        <v>10073</v>
      </c>
      <c r="J106" s="11" t="s">
        <v>10071</v>
      </c>
      <c r="K106" s="11" t="s">
        <v>42</v>
      </c>
      <c r="L106" s="11" t="s">
        <v>56</v>
      </c>
      <c r="M106" s="9" t="s">
        <v>12142</v>
      </c>
    </row>
    <row r="107" spans="1:13" x14ac:dyDescent="0.25">
      <c r="A107" s="11">
        <v>618</v>
      </c>
      <c r="B107" s="12" t="s">
        <v>12118</v>
      </c>
      <c r="C107" s="12">
        <v>687</v>
      </c>
      <c r="D107" s="11" t="s">
        <v>8211</v>
      </c>
      <c r="E107" s="11" t="s">
        <v>8213</v>
      </c>
      <c r="F107" s="11">
        <v>2021</v>
      </c>
      <c r="G107" s="11" t="s">
        <v>8214</v>
      </c>
      <c r="H107" s="11" t="str">
        <f>HYPERLINK("http://dx.doi.org/10.1093/pcp/pcab125","http://dx.doi.org/10.1093/pcp/pcab125")</f>
        <v>http://dx.doi.org/10.1093/pcp/pcab125</v>
      </c>
      <c r="I107" s="11" t="s">
        <v>8217</v>
      </c>
      <c r="J107" s="11" t="s">
        <v>8215</v>
      </c>
      <c r="K107" s="11" t="s">
        <v>42</v>
      </c>
      <c r="L107" s="11" t="s">
        <v>56</v>
      </c>
      <c r="M107" s="9" t="s">
        <v>12142</v>
      </c>
    </row>
    <row r="108" spans="1:13" x14ac:dyDescent="0.25">
      <c r="A108" s="11">
        <v>294</v>
      </c>
      <c r="B108" s="12" t="s">
        <v>12118</v>
      </c>
      <c r="C108" s="12">
        <v>327</v>
      </c>
      <c r="D108" s="11" t="s">
        <v>15089</v>
      </c>
      <c r="E108" s="11" t="s">
        <v>15091</v>
      </c>
      <c r="F108" s="11">
        <v>2023</v>
      </c>
      <c r="G108" s="11" t="s">
        <v>15092</v>
      </c>
      <c r="H108" s="11" t="str">
        <f>HYPERLINK("http://dx.doi.org/10.1145/3583780.3615234","http://dx.doi.org/10.1145/3583780.3615234")</f>
        <v>http://dx.doi.org/10.1145/3583780.3615234</v>
      </c>
      <c r="I108" s="11" t="s">
        <v>15098</v>
      </c>
      <c r="J108" s="11" t="s">
        <v>15097</v>
      </c>
      <c r="K108" s="11" t="s">
        <v>42</v>
      </c>
      <c r="L108" s="11" t="s">
        <v>5552</v>
      </c>
      <c r="M108" s="9" t="s">
        <v>12142</v>
      </c>
    </row>
    <row r="109" spans="1:13" x14ac:dyDescent="0.25">
      <c r="A109" s="12">
        <v>105</v>
      </c>
      <c r="B109" s="12" t="s">
        <v>12204</v>
      </c>
      <c r="C109" s="12">
        <v>365</v>
      </c>
      <c r="D109" s="12" t="s">
        <v>12480</v>
      </c>
      <c r="E109" s="12" t="s">
        <v>1163</v>
      </c>
      <c r="F109" s="12">
        <v>2023</v>
      </c>
      <c r="G109" s="12" t="s">
        <v>996</v>
      </c>
      <c r="H109" s="12" t="s">
        <v>1165</v>
      </c>
      <c r="I109" s="12" t="s">
        <v>1167</v>
      </c>
      <c r="J109" s="12" t="s">
        <v>1168</v>
      </c>
      <c r="K109" s="12" t="s">
        <v>42</v>
      </c>
      <c r="L109" s="12" t="s">
        <v>56</v>
      </c>
      <c r="M109" s="10">
        <v>1</v>
      </c>
    </row>
    <row r="110" spans="1:13" x14ac:dyDescent="0.25">
      <c r="A110" s="12">
        <v>172</v>
      </c>
      <c r="B110" s="12" t="s">
        <v>12204</v>
      </c>
      <c r="C110" s="12">
        <v>637</v>
      </c>
      <c r="D110" s="12" t="s">
        <v>13356</v>
      </c>
      <c r="E110" s="12" t="s">
        <v>204</v>
      </c>
      <c r="F110" s="12">
        <v>2023</v>
      </c>
      <c r="G110" s="12" t="s">
        <v>205</v>
      </c>
      <c r="H110" s="12" t="s">
        <v>206</v>
      </c>
      <c r="I110" s="12" t="s">
        <v>209</v>
      </c>
      <c r="J110" s="12" t="s">
        <v>210</v>
      </c>
      <c r="K110" s="12" t="s">
        <v>42</v>
      </c>
      <c r="L110" s="12" t="s">
        <v>56</v>
      </c>
      <c r="M110" s="10">
        <v>1</v>
      </c>
    </row>
    <row r="111" spans="1:13" x14ac:dyDescent="0.25">
      <c r="A111" s="11">
        <v>523</v>
      </c>
      <c r="B111" s="12" t="s">
        <v>12118</v>
      </c>
      <c r="C111" s="12">
        <v>581</v>
      </c>
      <c r="D111" s="11" t="s">
        <v>15372</v>
      </c>
      <c r="E111" s="11" t="s">
        <v>15375</v>
      </c>
      <c r="F111" s="11">
        <v>2023</v>
      </c>
      <c r="G111" s="11" t="s">
        <v>15376</v>
      </c>
      <c r="H111" s="11" t="str">
        <f>HYPERLINK("http://dx.doi.org/10.1007/978-3-031-47240-4_19","http://dx.doi.org/10.1007/978-3-031-47240-4_19")</f>
        <v>http://dx.doi.org/10.1007/978-3-031-47240-4_19</v>
      </c>
      <c r="I111" s="11" t="s">
        <v>15381</v>
      </c>
      <c r="J111" s="11" t="s">
        <v>15380</v>
      </c>
      <c r="K111" s="11" t="s">
        <v>42</v>
      </c>
      <c r="L111" s="11" t="s">
        <v>5552</v>
      </c>
      <c r="M111" s="9" t="s">
        <v>12142</v>
      </c>
    </row>
    <row r="112" spans="1:13" x14ac:dyDescent="0.25">
      <c r="A112" s="11">
        <v>12</v>
      </c>
      <c r="B112" s="12" t="s">
        <v>12118</v>
      </c>
      <c r="C112" s="12">
        <v>13</v>
      </c>
      <c r="D112" s="11" t="s">
        <v>5573</v>
      </c>
      <c r="E112" s="11" t="s">
        <v>5575</v>
      </c>
      <c r="F112" s="11">
        <v>2023</v>
      </c>
      <c r="G112" s="11" t="s">
        <v>5576</v>
      </c>
      <c r="H112" s="11" t="str">
        <f>HYPERLINK("http://dx.doi.org/10.1145/3539618.3591960","http://dx.doi.org/10.1145/3539618.3591960")</f>
        <v>http://dx.doi.org/10.1145/3539618.3591960</v>
      </c>
      <c r="I112" s="11" t="s">
        <v>5582</v>
      </c>
      <c r="J112" s="11" t="s">
        <v>5581</v>
      </c>
      <c r="K112" s="11" t="s">
        <v>42</v>
      </c>
      <c r="L112" s="11" t="s">
        <v>5552</v>
      </c>
      <c r="M112" s="9">
        <v>1</v>
      </c>
    </row>
    <row r="113" spans="1:13" x14ac:dyDescent="0.25">
      <c r="A113" s="11">
        <v>96</v>
      </c>
      <c r="B113" s="12" t="s">
        <v>12118</v>
      </c>
      <c r="C113" s="12">
        <v>97</v>
      </c>
      <c r="D113" s="11" t="s">
        <v>5653</v>
      </c>
      <c r="E113" s="11" t="s">
        <v>5655</v>
      </c>
      <c r="F113" s="11">
        <v>2023</v>
      </c>
      <c r="G113" s="11" t="s">
        <v>5656</v>
      </c>
      <c r="H113" s="11" t="str">
        <f>HYPERLINK("http://dx.doi.org/10.1145/3627106.3627196","http://dx.doi.org/10.1145/3627106.3627196")</f>
        <v>http://dx.doi.org/10.1145/3627106.3627196</v>
      </c>
      <c r="I113" s="11" t="s">
        <v>5662</v>
      </c>
      <c r="J113" s="11" t="s">
        <v>5661</v>
      </c>
      <c r="K113" s="11" t="s">
        <v>42</v>
      </c>
      <c r="L113" s="11" t="s">
        <v>5552</v>
      </c>
      <c r="M113" s="9">
        <v>1</v>
      </c>
    </row>
    <row r="114" spans="1:13" x14ac:dyDescent="0.25">
      <c r="A114" s="12">
        <v>108</v>
      </c>
      <c r="B114" s="12" t="s">
        <v>12204</v>
      </c>
      <c r="C114" s="12">
        <v>368</v>
      </c>
      <c r="D114" s="12" t="s">
        <v>12384</v>
      </c>
      <c r="E114" s="12" t="s">
        <v>888</v>
      </c>
      <c r="F114" s="12">
        <v>2023</v>
      </c>
      <c r="G114" s="12" t="s">
        <v>252</v>
      </c>
      <c r="H114" s="12" t="s">
        <v>889</v>
      </c>
      <c r="I114" s="12" t="s">
        <v>892</v>
      </c>
      <c r="J114" s="12" t="s">
        <v>893</v>
      </c>
      <c r="K114" s="12" t="s">
        <v>42</v>
      </c>
      <c r="L114" s="12" t="s">
        <v>56</v>
      </c>
      <c r="M114" s="10">
        <v>1</v>
      </c>
    </row>
    <row r="115" spans="1:13" x14ac:dyDescent="0.25">
      <c r="A115" s="12">
        <v>164</v>
      </c>
      <c r="B115" s="12" t="s">
        <v>12204</v>
      </c>
      <c r="C115" s="12">
        <v>607</v>
      </c>
      <c r="D115" s="12" t="s">
        <v>12336</v>
      </c>
      <c r="E115" s="12" t="s">
        <v>1203</v>
      </c>
      <c r="F115" s="12">
        <v>2022</v>
      </c>
      <c r="G115" s="12" t="s">
        <v>1204</v>
      </c>
      <c r="H115" s="12" t="s">
        <v>1206</v>
      </c>
      <c r="I115" s="12" t="s">
        <v>12333</v>
      </c>
      <c r="J115" s="12" t="s">
        <v>1209</v>
      </c>
      <c r="K115" s="12" t="s">
        <v>42</v>
      </c>
      <c r="L115" s="12" t="s">
        <v>56</v>
      </c>
      <c r="M115" s="9" t="s">
        <v>12142</v>
      </c>
    </row>
    <row r="116" spans="1:13" x14ac:dyDescent="0.25">
      <c r="A116" s="11">
        <v>406</v>
      </c>
      <c r="B116" s="12" t="s">
        <v>12118</v>
      </c>
      <c r="C116" s="12">
        <v>449</v>
      </c>
      <c r="D116" s="11" t="s">
        <v>2359</v>
      </c>
      <c r="E116" s="11" t="s">
        <v>2361</v>
      </c>
      <c r="F116" s="11">
        <v>2023</v>
      </c>
      <c r="G116" s="11" t="s">
        <v>2362</v>
      </c>
      <c r="H116" s="11" t="str">
        <f>HYPERLINK("http://dx.doi.org/10.1021/acscatal.3c04956","http://dx.doi.org/10.1021/acscatal.3c04956")</f>
        <v>http://dx.doi.org/10.1021/acscatal.3c04956</v>
      </c>
      <c r="I116" s="11" t="s">
        <v>2365</v>
      </c>
      <c r="J116" s="11" t="s">
        <v>2363</v>
      </c>
      <c r="K116" s="11" t="s">
        <v>42</v>
      </c>
      <c r="L116" s="11" t="s">
        <v>56</v>
      </c>
      <c r="M116" s="9" t="s">
        <v>12142</v>
      </c>
    </row>
    <row r="117" spans="1:13" x14ac:dyDescent="0.25">
      <c r="A117" s="11">
        <v>252</v>
      </c>
      <c r="B117" s="12" t="s">
        <v>12118</v>
      </c>
      <c r="C117" s="12">
        <v>278</v>
      </c>
      <c r="D117" s="11" t="s">
        <v>15052</v>
      </c>
      <c r="E117" s="11" t="s">
        <v>15054</v>
      </c>
      <c r="F117" s="11">
        <v>2023</v>
      </c>
      <c r="G117" s="11" t="s">
        <v>14923</v>
      </c>
      <c r="H117" s="11" t="str">
        <f>HYPERLINK("http://dx.doi.org/10.1145/3591196.3596818","http://dx.doi.org/10.1145/3591196.3596818")</f>
        <v>http://dx.doi.org/10.1145/3591196.3596818</v>
      </c>
      <c r="I117" s="11" t="s">
        <v>15056</v>
      </c>
      <c r="J117" s="11" t="s">
        <v>15055</v>
      </c>
      <c r="K117" s="11" t="s">
        <v>42</v>
      </c>
      <c r="L117" s="11" t="s">
        <v>5552</v>
      </c>
      <c r="M117" s="9" t="s">
        <v>12142</v>
      </c>
    </row>
    <row r="118" spans="1:13" x14ac:dyDescent="0.25">
      <c r="A118" s="11">
        <v>313</v>
      </c>
      <c r="B118" s="12" t="s">
        <v>12118</v>
      </c>
      <c r="C118" s="12">
        <v>351</v>
      </c>
      <c r="D118" s="11" t="s">
        <v>10851</v>
      </c>
      <c r="E118" s="11" t="s">
        <v>10853</v>
      </c>
      <c r="F118" s="11">
        <v>2019</v>
      </c>
      <c r="G118" s="11" t="s">
        <v>10008</v>
      </c>
      <c r="H118" s="11" t="str">
        <f>HYPERLINK("http://dx.doi.org/10.1111/mmi.14256","http://dx.doi.org/10.1111/mmi.14256")</f>
        <v>http://dx.doi.org/10.1111/mmi.14256</v>
      </c>
      <c r="I118" s="11" t="s">
        <v>10855</v>
      </c>
      <c r="J118" s="11" t="s">
        <v>1507</v>
      </c>
      <c r="K118" s="11" t="s">
        <v>42</v>
      </c>
      <c r="L118" s="11" t="s">
        <v>56</v>
      </c>
      <c r="M118" s="9" t="s">
        <v>12142</v>
      </c>
    </row>
    <row r="119" spans="1:13" x14ac:dyDescent="0.25">
      <c r="A119" s="12">
        <v>145</v>
      </c>
      <c r="B119" s="12" t="s">
        <v>12204</v>
      </c>
      <c r="C119" s="12">
        <v>527</v>
      </c>
      <c r="D119" s="12" t="s">
        <v>13588</v>
      </c>
      <c r="E119" s="12" t="s">
        <v>729</v>
      </c>
      <c r="F119" s="12">
        <v>2023</v>
      </c>
      <c r="G119" s="12" t="s">
        <v>636</v>
      </c>
      <c r="H119" s="12" t="s">
        <v>730</v>
      </c>
      <c r="I119" s="12" t="s">
        <v>733</v>
      </c>
      <c r="J119" s="12" t="s">
        <v>734</v>
      </c>
      <c r="K119" s="12" t="s">
        <v>42</v>
      </c>
      <c r="L119" s="12" t="s">
        <v>12252</v>
      </c>
      <c r="M119" s="10" t="s">
        <v>12142</v>
      </c>
    </row>
    <row r="120" spans="1:13" x14ac:dyDescent="0.25">
      <c r="A120" s="11">
        <v>213</v>
      </c>
      <c r="B120" s="12" t="s">
        <v>12118</v>
      </c>
      <c r="C120" s="12">
        <v>234</v>
      </c>
      <c r="D120" s="11" t="s">
        <v>15008</v>
      </c>
      <c r="E120" s="11" t="s">
        <v>15011</v>
      </c>
      <c r="F120" s="11">
        <v>2023</v>
      </c>
      <c r="G120" s="11" t="s">
        <v>15012</v>
      </c>
      <c r="H120" s="11" t="str">
        <f>HYPERLINK("http://dx.doi.org/10.3233/FAIA230974","http://dx.doi.org/10.3233/FAIA230974")</f>
        <v>http://dx.doi.org/10.3233/FAIA230974</v>
      </c>
      <c r="I120" s="11" t="s">
        <v>15019</v>
      </c>
      <c r="J120" s="11" t="s">
        <v>15018</v>
      </c>
      <c r="K120" s="11" t="s">
        <v>42</v>
      </c>
      <c r="L120" s="11" t="s">
        <v>5552</v>
      </c>
      <c r="M120" s="9" t="s">
        <v>12142</v>
      </c>
    </row>
    <row r="121" spans="1:13" x14ac:dyDescent="0.25">
      <c r="A121" s="11">
        <v>215</v>
      </c>
      <c r="B121" s="12" t="s">
        <v>12118</v>
      </c>
      <c r="C121" s="12">
        <v>236</v>
      </c>
      <c r="D121" s="11" t="s">
        <v>3530</v>
      </c>
      <c r="E121" s="11" t="s">
        <v>3532</v>
      </c>
      <c r="F121" s="11">
        <v>2023</v>
      </c>
      <c r="G121" s="11" t="s">
        <v>3533</v>
      </c>
      <c r="H121" s="11" t="str">
        <f>HYPERLINK("http://dx.doi.org/10.3390/jpm13101502","http://dx.doi.org/10.3390/jpm13101502")</f>
        <v>http://dx.doi.org/10.3390/jpm13101502</v>
      </c>
      <c r="I121" s="11" t="s">
        <v>3536</v>
      </c>
      <c r="J121" s="11" t="s">
        <v>3534</v>
      </c>
      <c r="K121" s="11" t="s">
        <v>42</v>
      </c>
      <c r="L121" s="11" t="s">
        <v>56</v>
      </c>
      <c r="M121" s="9" t="s">
        <v>12142</v>
      </c>
    </row>
    <row r="122" spans="1:13" x14ac:dyDescent="0.25">
      <c r="A122" s="11">
        <v>184</v>
      </c>
      <c r="B122" s="12" t="s">
        <v>12118</v>
      </c>
      <c r="C122" s="12">
        <v>200</v>
      </c>
      <c r="D122" s="11" t="s">
        <v>4036</v>
      </c>
      <c r="E122" s="11" t="s">
        <v>4038</v>
      </c>
      <c r="F122" s="11">
        <v>2023</v>
      </c>
      <c r="G122" s="11" t="s">
        <v>4039</v>
      </c>
      <c r="H122" s="11" t="str">
        <f>HYPERLINK("http://dx.doi.org/10.1016/j.scs.2023.104876","http://dx.doi.org/10.1016/j.scs.2023.104876")</f>
        <v>http://dx.doi.org/10.1016/j.scs.2023.104876</v>
      </c>
      <c r="I122" s="11" t="s">
        <v>4042</v>
      </c>
      <c r="J122" s="11" t="s">
        <v>4040</v>
      </c>
      <c r="K122" s="11" t="s">
        <v>42</v>
      </c>
      <c r="L122" s="11" t="s">
        <v>56</v>
      </c>
      <c r="M122" s="9" t="s">
        <v>12142</v>
      </c>
    </row>
    <row r="123" spans="1:13" x14ac:dyDescent="0.25">
      <c r="A123" s="11">
        <v>157</v>
      </c>
      <c r="B123" s="12" t="s">
        <v>12118</v>
      </c>
      <c r="C123" s="12">
        <v>166</v>
      </c>
      <c r="D123" s="11" t="s">
        <v>8944</v>
      </c>
      <c r="E123" s="11" t="s">
        <v>8946</v>
      </c>
      <c r="F123" s="11">
        <v>2021</v>
      </c>
      <c r="G123" s="11" t="s">
        <v>8947</v>
      </c>
      <c r="H123" s="11" t="str">
        <f>HYPERLINK("http://dx.doi.org/10.1094/PHYTO-07-20-0268-R","http://dx.doi.org/10.1094/PHYTO-07-20-0268-R")</f>
        <v>http://dx.doi.org/10.1094/PHYTO-07-20-0268-R</v>
      </c>
      <c r="I123" s="11" t="s">
        <v>8950</v>
      </c>
      <c r="J123" s="11" t="s">
        <v>8948</v>
      </c>
      <c r="K123" s="11" t="s">
        <v>42</v>
      </c>
      <c r="L123" s="11" t="s">
        <v>56</v>
      </c>
      <c r="M123" s="9" t="s">
        <v>12142</v>
      </c>
    </row>
    <row r="124" spans="1:13" x14ac:dyDescent="0.25">
      <c r="A124" s="11">
        <v>383</v>
      </c>
      <c r="B124" s="12" t="s">
        <v>12118</v>
      </c>
      <c r="C124" s="12">
        <v>423</v>
      </c>
      <c r="D124" s="11" t="s">
        <v>2847</v>
      </c>
      <c r="E124" s="11" t="s">
        <v>2849</v>
      </c>
      <c r="F124" s="11">
        <v>2023</v>
      </c>
      <c r="G124" s="11" t="s">
        <v>2850</v>
      </c>
      <c r="H124" s="11" t="str">
        <f>HYPERLINK("http://dx.doi.org/10.1093/braincomms/fcad318","http://dx.doi.org/10.1093/braincomms/fcad318")</f>
        <v>http://dx.doi.org/10.1093/braincomms/fcad318</v>
      </c>
      <c r="I124" s="11" t="s">
        <v>2853</v>
      </c>
      <c r="J124" s="11" t="s">
        <v>2851</v>
      </c>
      <c r="K124" s="11" t="s">
        <v>42</v>
      </c>
      <c r="L124" s="11" t="s">
        <v>56</v>
      </c>
      <c r="M124" s="9" t="s">
        <v>12142</v>
      </c>
    </row>
    <row r="125" spans="1:13" x14ac:dyDescent="0.25">
      <c r="A125" s="11">
        <v>471</v>
      </c>
      <c r="B125" s="12" t="s">
        <v>12118</v>
      </c>
      <c r="C125" s="12">
        <v>523</v>
      </c>
      <c r="D125" s="11" t="s">
        <v>5139</v>
      </c>
      <c r="E125" s="11" t="s">
        <v>5141</v>
      </c>
      <c r="F125" s="11">
        <v>2023</v>
      </c>
      <c r="G125" s="11" t="s">
        <v>5142</v>
      </c>
      <c r="H125" s="11" t="str">
        <f>HYPERLINK("http://dx.doi.org/10.1007/s10796-023-10375-9","http://dx.doi.org/10.1007/s10796-023-10375-9")</f>
        <v>http://dx.doi.org/10.1007/s10796-023-10375-9</v>
      </c>
      <c r="I125" s="11" t="s">
        <v>5145</v>
      </c>
      <c r="J125" s="11" t="s">
        <v>5143</v>
      </c>
      <c r="K125" s="11" t="s">
        <v>42</v>
      </c>
      <c r="L125" s="11" t="s">
        <v>1509</v>
      </c>
      <c r="M125" s="9" t="s">
        <v>12142</v>
      </c>
    </row>
    <row r="126" spans="1:13" x14ac:dyDescent="0.25">
      <c r="A126" s="12">
        <v>28</v>
      </c>
      <c r="B126" s="12" t="s">
        <v>12204</v>
      </c>
      <c r="C126" s="12">
        <v>79</v>
      </c>
      <c r="D126" s="12" t="s">
        <v>404</v>
      </c>
      <c r="E126" s="12" t="s">
        <v>405</v>
      </c>
      <c r="F126" s="12">
        <v>2023</v>
      </c>
      <c r="G126" s="12" t="s">
        <v>406</v>
      </c>
      <c r="H126" s="12" t="s">
        <v>407</v>
      </c>
      <c r="I126" s="12" t="s">
        <v>410</v>
      </c>
      <c r="J126" s="12" t="s">
        <v>411</v>
      </c>
      <c r="K126" s="12" t="s">
        <v>42</v>
      </c>
      <c r="L126" s="12" t="s">
        <v>56</v>
      </c>
      <c r="M126" s="9">
        <v>1</v>
      </c>
    </row>
    <row r="127" spans="1:13" x14ac:dyDescent="0.25">
      <c r="A127" s="11">
        <v>125</v>
      </c>
      <c r="B127" s="12" t="s">
        <v>12118</v>
      </c>
      <c r="C127" s="12">
        <v>134</v>
      </c>
      <c r="D127" s="11" t="s">
        <v>2703</v>
      </c>
      <c r="E127" s="11" t="s">
        <v>2705</v>
      </c>
      <c r="F127" s="11">
        <v>2023</v>
      </c>
      <c r="G127" s="11" t="s">
        <v>2706</v>
      </c>
      <c r="H127" s="11" t="str">
        <f>HYPERLINK("http://dx.doi.org/10.1128/jmbe.00153-23","http://dx.doi.org/10.1128/jmbe.00153-23")</f>
        <v>http://dx.doi.org/10.1128/jmbe.00153-23</v>
      </c>
      <c r="I127" s="11" t="s">
        <v>2709</v>
      </c>
      <c r="J127" s="11" t="s">
        <v>2707</v>
      </c>
      <c r="K127" s="11" t="s">
        <v>42</v>
      </c>
      <c r="L127" s="11" t="s">
        <v>56</v>
      </c>
      <c r="M127" s="9">
        <v>1</v>
      </c>
    </row>
    <row r="128" spans="1:13" x14ac:dyDescent="0.25">
      <c r="A128" s="12">
        <v>72</v>
      </c>
      <c r="B128" s="12" t="s">
        <v>12204</v>
      </c>
      <c r="C128" s="12">
        <v>258</v>
      </c>
      <c r="D128" s="12" t="s">
        <v>1213</v>
      </c>
      <c r="E128" s="12" t="s">
        <v>1214</v>
      </c>
      <c r="F128" s="12">
        <v>2023</v>
      </c>
      <c r="G128" s="12" t="s">
        <v>1215</v>
      </c>
      <c r="H128" s="12" t="s">
        <v>1216</v>
      </c>
      <c r="I128" s="12" t="s">
        <v>1218</v>
      </c>
      <c r="K128" s="12" t="s">
        <v>42</v>
      </c>
      <c r="L128" s="12" t="s">
        <v>12262</v>
      </c>
      <c r="M128" s="10">
        <v>1</v>
      </c>
    </row>
    <row r="129" spans="1:13" x14ac:dyDescent="0.25">
      <c r="A129" s="12">
        <v>93</v>
      </c>
      <c r="B129" s="12" t="s">
        <v>12204</v>
      </c>
      <c r="C129" s="12">
        <v>329</v>
      </c>
      <c r="D129" s="12" t="s">
        <v>1346</v>
      </c>
      <c r="E129" s="12" t="s">
        <v>1347</v>
      </c>
      <c r="F129" s="12">
        <v>2023</v>
      </c>
      <c r="G129" s="12" t="s">
        <v>1348</v>
      </c>
      <c r="H129" s="12" t="s">
        <v>1349</v>
      </c>
      <c r="I129" s="12" t="s">
        <v>1352</v>
      </c>
      <c r="J129" s="12" t="s">
        <v>1353</v>
      </c>
      <c r="K129" s="12" t="s">
        <v>42</v>
      </c>
      <c r="L129" s="12" t="s">
        <v>56</v>
      </c>
      <c r="M129" s="10">
        <v>1</v>
      </c>
    </row>
    <row r="130" spans="1:13" x14ac:dyDescent="0.25">
      <c r="A130" s="12">
        <v>83</v>
      </c>
      <c r="B130" s="12" t="s">
        <v>12204</v>
      </c>
      <c r="C130" s="12">
        <v>292</v>
      </c>
      <c r="D130" s="12" t="s">
        <v>12762</v>
      </c>
      <c r="E130" s="12" t="s">
        <v>1327</v>
      </c>
      <c r="F130" s="12">
        <v>2023</v>
      </c>
      <c r="G130" s="12" t="s">
        <v>1328</v>
      </c>
      <c r="H130" s="12" t="s">
        <v>1329</v>
      </c>
      <c r="I130" s="12" t="s">
        <v>1332</v>
      </c>
      <c r="J130" s="12" t="s">
        <v>1333</v>
      </c>
      <c r="K130" s="12" t="s">
        <v>42</v>
      </c>
      <c r="L130" s="12" t="s">
        <v>12252</v>
      </c>
      <c r="M130" s="10">
        <v>1</v>
      </c>
    </row>
    <row r="131" spans="1:13" x14ac:dyDescent="0.25">
      <c r="A131" s="11">
        <v>619</v>
      </c>
      <c r="B131" s="12" t="s">
        <v>12118</v>
      </c>
      <c r="C131" s="12">
        <v>688</v>
      </c>
      <c r="D131" s="11" t="s">
        <v>4239</v>
      </c>
      <c r="E131" s="11" t="s">
        <v>4241</v>
      </c>
      <c r="F131" s="11">
        <v>2023</v>
      </c>
      <c r="G131" s="11" t="s">
        <v>4242</v>
      </c>
      <c r="H131" s="11" t="str">
        <f>HYPERLINK("http://dx.doi.org/10.1021/jacs.3c05819","http://dx.doi.org/10.1021/jacs.3c05819")</f>
        <v>http://dx.doi.org/10.1021/jacs.3c05819</v>
      </c>
      <c r="I131" s="11" t="s">
        <v>4244</v>
      </c>
      <c r="J131" s="11" t="s">
        <v>1507</v>
      </c>
      <c r="K131" s="11" t="s">
        <v>42</v>
      </c>
      <c r="L131" s="11" t="s">
        <v>56</v>
      </c>
      <c r="M131" s="9">
        <v>1</v>
      </c>
    </row>
    <row r="132" spans="1:13" x14ac:dyDescent="0.25">
      <c r="A132" s="12">
        <v>116</v>
      </c>
      <c r="B132" s="12" t="s">
        <v>12204</v>
      </c>
      <c r="C132" s="12">
        <v>415</v>
      </c>
      <c r="D132" s="12" t="s">
        <v>13476</v>
      </c>
      <c r="E132" s="12" t="s">
        <v>571</v>
      </c>
      <c r="F132" s="12">
        <v>2023</v>
      </c>
      <c r="G132" s="12" t="s">
        <v>572</v>
      </c>
      <c r="H132" s="12" t="s">
        <v>573</v>
      </c>
      <c r="I132" s="12" t="s">
        <v>576</v>
      </c>
      <c r="J132" s="12" t="s">
        <v>577</v>
      </c>
      <c r="K132" s="12" t="s">
        <v>42</v>
      </c>
      <c r="L132" s="12" t="s">
        <v>56</v>
      </c>
      <c r="M132" s="10">
        <v>1</v>
      </c>
    </row>
    <row r="133" spans="1:13" x14ac:dyDescent="0.25">
      <c r="A133" s="11">
        <v>385</v>
      </c>
      <c r="B133" s="12" t="s">
        <v>12118</v>
      </c>
      <c r="C133" s="12">
        <v>425</v>
      </c>
      <c r="D133" s="11" t="s">
        <v>14009</v>
      </c>
      <c r="E133" s="11" t="s">
        <v>14011</v>
      </c>
      <c r="F133" s="11">
        <v>2023</v>
      </c>
      <c r="G133" s="11" t="s">
        <v>3083</v>
      </c>
      <c r="H133" s="11" t="str">
        <f>HYPERLINK("http://dx.doi.org/10.7759/cureus.48296","http://dx.doi.org/10.7759/cureus.48296")</f>
        <v>http://dx.doi.org/10.7759/cureus.48296</v>
      </c>
      <c r="I133" s="11" t="s">
        <v>14014</v>
      </c>
      <c r="J133" s="11" t="s">
        <v>14012</v>
      </c>
      <c r="K133" s="11" t="s">
        <v>42</v>
      </c>
      <c r="L133" s="11" t="s">
        <v>56</v>
      </c>
      <c r="M133" s="9" t="s">
        <v>12142</v>
      </c>
    </row>
    <row r="134" spans="1:13" x14ac:dyDescent="0.25">
      <c r="A134" s="11">
        <v>620</v>
      </c>
      <c r="B134" s="12" t="s">
        <v>12118</v>
      </c>
      <c r="C134" s="12">
        <v>689</v>
      </c>
      <c r="D134" s="11" t="s">
        <v>2617</v>
      </c>
      <c r="E134" s="11" t="s">
        <v>2619</v>
      </c>
      <c r="F134" s="11">
        <v>2023</v>
      </c>
      <c r="G134" s="11" t="s">
        <v>2620</v>
      </c>
      <c r="H134" s="11" t="str">
        <f>HYPERLINK("http://dx.doi.org/10.1021/acscentsci.3c01087","http://dx.doi.org/10.1021/acscentsci.3c01087")</f>
        <v>http://dx.doi.org/10.1021/acscentsci.3c01087</v>
      </c>
      <c r="I134" s="11" t="s">
        <v>2622</v>
      </c>
      <c r="J134" s="11" t="s">
        <v>1507</v>
      </c>
      <c r="K134" s="11" t="s">
        <v>42</v>
      </c>
      <c r="L134" s="11" t="s">
        <v>56</v>
      </c>
      <c r="M134" s="9" t="s">
        <v>12142</v>
      </c>
    </row>
    <row r="135" spans="1:13" x14ac:dyDescent="0.25">
      <c r="A135" s="12">
        <v>33</v>
      </c>
      <c r="B135" s="12" t="s">
        <v>12204</v>
      </c>
      <c r="C135" s="12">
        <v>105</v>
      </c>
      <c r="D135" s="12" t="s">
        <v>13344</v>
      </c>
      <c r="E135" s="12" t="s">
        <v>581</v>
      </c>
      <c r="F135" s="12">
        <v>2023</v>
      </c>
      <c r="G135" s="12" t="s">
        <v>486</v>
      </c>
      <c r="H135" s="12" t="s">
        <v>584</v>
      </c>
      <c r="I135" s="12" t="s">
        <v>587</v>
      </c>
      <c r="K135" s="12" t="s">
        <v>42</v>
      </c>
      <c r="L135" s="12" t="s">
        <v>56</v>
      </c>
      <c r="M135" s="10">
        <v>1</v>
      </c>
    </row>
    <row r="136" spans="1:13" x14ac:dyDescent="0.25">
      <c r="A136" s="12">
        <v>163</v>
      </c>
      <c r="B136" s="12" t="s">
        <v>12204</v>
      </c>
      <c r="C136" s="12">
        <v>605</v>
      </c>
      <c r="D136" s="12" t="s">
        <v>12484</v>
      </c>
      <c r="E136" s="12" t="s">
        <v>1408</v>
      </c>
      <c r="F136" s="12">
        <v>2023</v>
      </c>
      <c r="G136" s="12" t="s">
        <v>1409</v>
      </c>
      <c r="H136" s="12" t="s">
        <v>1410</v>
      </c>
      <c r="I136" s="12" t="s">
        <v>1413</v>
      </c>
      <c r="J136" s="12" t="s">
        <v>1414</v>
      </c>
      <c r="K136" s="12" t="s">
        <v>42</v>
      </c>
      <c r="L136" s="12" t="s">
        <v>56</v>
      </c>
      <c r="M136" s="10">
        <v>1</v>
      </c>
    </row>
    <row r="137" spans="1:13" x14ac:dyDescent="0.25">
      <c r="A137" s="11">
        <v>116</v>
      </c>
      <c r="B137" s="12" t="s">
        <v>12118</v>
      </c>
      <c r="C137" s="12">
        <v>121</v>
      </c>
      <c r="D137" s="11" t="s">
        <v>4635</v>
      </c>
      <c r="E137" s="11" t="s">
        <v>4637</v>
      </c>
      <c r="F137" s="11">
        <v>2023</v>
      </c>
      <c r="G137" s="11" t="s">
        <v>2982</v>
      </c>
      <c r="H137" s="11" t="str">
        <f>HYPERLINK("http://dx.doi.org/10.1007/s00146-023-01710-4","http://dx.doi.org/10.1007/s00146-023-01710-4")</f>
        <v>http://dx.doi.org/10.1007/s00146-023-01710-4</v>
      </c>
      <c r="I137" s="11" t="s">
        <v>4639</v>
      </c>
      <c r="J137" s="11" t="s">
        <v>4638</v>
      </c>
      <c r="K137" s="11" t="s">
        <v>42</v>
      </c>
      <c r="L137" s="11" t="s">
        <v>1509</v>
      </c>
      <c r="M137" s="9" t="s">
        <v>12142</v>
      </c>
    </row>
    <row r="138" spans="1:13" x14ac:dyDescent="0.25">
      <c r="A138" s="11">
        <v>217</v>
      </c>
      <c r="B138" s="12" t="s">
        <v>12118</v>
      </c>
      <c r="C138" s="12">
        <v>238</v>
      </c>
      <c r="D138" s="11" t="s">
        <v>3995</v>
      </c>
      <c r="E138" s="11" t="s">
        <v>3997</v>
      </c>
      <c r="F138" s="11">
        <v>2023</v>
      </c>
      <c r="G138" s="11" t="s">
        <v>3998</v>
      </c>
      <c r="H138" s="11" t="str">
        <f>HYPERLINK("http://dx.doi.org/10.3855/jidc.18738","http://dx.doi.org/10.3855/jidc.18738")</f>
        <v>http://dx.doi.org/10.3855/jidc.18738</v>
      </c>
      <c r="I138" s="11" t="s">
        <v>4000</v>
      </c>
      <c r="J138" s="11" t="s">
        <v>3999</v>
      </c>
      <c r="K138" s="11" t="s">
        <v>42</v>
      </c>
      <c r="L138" s="11" t="s">
        <v>56</v>
      </c>
      <c r="M138" s="9">
        <v>1</v>
      </c>
    </row>
    <row r="139" spans="1:13" x14ac:dyDescent="0.25">
      <c r="A139" s="11">
        <v>301</v>
      </c>
      <c r="B139" s="12" t="s">
        <v>12118</v>
      </c>
      <c r="C139" s="12">
        <v>334</v>
      </c>
      <c r="D139" s="11" t="s">
        <v>4663</v>
      </c>
      <c r="E139" s="11" t="s">
        <v>4665</v>
      </c>
      <c r="F139" s="11">
        <v>2023</v>
      </c>
      <c r="G139" s="11" t="s">
        <v>2662</v>
      </c>
      <c r="H139" s="11" t="str">
        <f>HYPERLINK("http://dx.doi.org/10.1016/j.inffus.2023.101861","http://dx.doi.org/10.1016/j.inffus.2023.101861")</f>
        <v>http://dx.doi.org/10.1016/j.inffus.2023.101861</v>
      </c>
      <c r="I139" s="11" t="s">
        <v>4667</v>
      </c>
      <c r="J139" s="11" t="s">
        <v>4666</v>
      </c>
      <c r="K139" s="11" t="s">
        <v>42</v>
      </c>
      <c r="L139" s="11" t="s">
        <v>56</v>
      </c>
      <c r="M139" s="9" t="s">
        <v>12142</v>
      </c>
    </row>
    <row r="140" spans="1:13" x14ac:dyDescent="0.25">
      <c r="A140" s="11">
        <v>568</v>
      </c>
      <c r="B140" s="12" t="s">
        <v>12118</v>
      </c>
      <c r="C140" s="12">
        <v>634</v>
      </c>
      <c r="D140" s="11" t="s">
        <v>2959</v>
      </c>
      <c r="E140" s="11" t="s">
        <v>2961</v>
      </c>
      <c r="F140" s="11">
        <v>2023</v>
      </c>
      <c r="G140" s="11" t="s">
        <v>2962</v>
      </c>
      <c r="H140" s="11" t="str">
        <f>HYPERLINK("http://dx.doi.org/10.1016/j.ajp.2023.103808","http://dx.doi.org/10.1016/j.ajp.2023.103808")</f>
        <v>http://dx.doi.org/10.1016/j.ajp.2023.103808</v>
      </c>
      <c r="I140" s="11" t="s">
        <v>2964</v>
      </c>
      <c r="J140" s="11" t="s">
        <v>2963</v>
      </c>
      <c r="K140" s="11" t="s">
        <v>42</v>
      </c>
      <c r="L140" s="11" t="s">
        <v>56</v>
      </c>
      <c r="M140" s="9" t="s">
        <v>12142</v>
      </c>
    </row>
    <row r="141" spans="1:13" x14ac:dyDescent="0.25">
      <c r="A141" s="11">
        <v>410</v>
      </c>
      <c r="B141" s="12" t="s">
        <v>12118</v>
      </c>
      <c r="C141" s="12">
        <v>454</v>
      </c>
      <c r="D141" s="11" t="s">
        <v>3594</v>
      </c>
      <c r="E141" s="11" t="s">
        <v>3596</v>
      </c>
      <c r="F141" s="11">
        <v>2023</v>
      </c>
      <c r="G141" s="11" t="s">
        <v>3597</v>
      </c>
      <c r="H141" s="11" t="str">
        <f>HYPERLINK("http://dx.doi.org/10.29271/jcpsp.2023.10.1198","http://dx.doi.org/10.29271/jcpsp.2023.10.1198")</f>
        <v>http://dx.doi.org/10.29271/jcpsp.2023.10.1198</v>
      </c>
      <c r="I141" s="11" t="s">
        <v>3599</v>
      </c>
      <c r="J141" s="11" t="s">
        <v>3598</v>
      </c>
      <c r="K141" s="11" t="s">
        <v>42</v>
      </c>
      <c r="L141" s="11" t="s">
        <v>56</v>
      </c>
      <c r="M141" s="9">
        <v>1</v>
      </c>
    </row>
    <row r="142" spans="1:13" x14ac:dyDescent="0.25">
      <c r="A142" s="12">
        <v>140</v>
      </c>
      <c r="B142" s="12" t="s">
        <v>12204</v>
      </c>
      <c r="C142" s="12">
        <v>497</v>
      </c>
      <c r="D142" s="12" t="s">
        <v>12786</v>
      </c>
      <c r="E142" s="12" t="s">
        <v>617</v>
      </c>
      <c r="F142" s="12">
        <v>2023</v>
      </c>
      <c r="G142" s="12" t="s">
        <v>618</v>
      </c>
      <c r="H142" s="12" t="s">
        <v>619</v>
      </c>
      <c r="I142" s="12" t="s">
        <v>622</v>
      </c>
      <c r="J142" s="12" t="s">
        <v>623</v>
      </c>
      <c r="K142" s="12" t="s">
        <v>42</v>
      </c>
      <c r="L142" s="12" t="s">
        <v>56</v>
      </c>
      <c r="M142" s="9">
        <v>1</v>
      </c>
    </row>
    <row r="143" spans="1:13" x14ac:dyDescent="0.25">
      <c r="A143" s="11">
        <v>41</v>
      </c>
      <c r="B143" s="12" t="s">
        <v>12118</v>
      </c>
      <c r="C143" s="12">
        <v>42</v>
      </c>
      <c r="D143" s="11" t="s">
        <v>2871</v>
      </c>
      <c r="E143" s="11" t="s">
        <v>2873</v>
      </c>
      <c r="F143" s="11">
        <v>2023</v>
      </c>
      <c r="G143" s="11" t="s">
        <v>2874</v>
      </c>
      <c r="H143" s="11" t="str">
        <f>HYPERLINK("http://dx.doi.org/10.1016/j.jacr.2023.06.009","http://dx.doi.org/10.1016/j.jacr.2023.06.009")</f>
        <v>http://dx.doi.org/10.1016/j.jacr.2023.06.009</v>
      </c>
      <c r="I143" s="11" t="s">
        <v>2877</v>
      </c>
      <c r="J143" s="11" t="s">
        <v>2875</v>
      </c>
      <c r="K143" s="11" t="s">
        <v>42</v>
      </c>
      <c r="L143" s="11" t="s">
        <v>56</v>
      </c>
      <c r="M143" s="9" t="s">
        <v>12142</v>
      </c>
    </row>
    <row r="144" spans="1:13" x14ac:dyDescent="0.25">
      <c r="A144" s="11">
        <v>232</v>
      </c>
      <c r="B144" s="12" t="s">
        <v>12118</v>
      </c>
      <c r="C144" s="12">
        <v>256</v>
      </c>
      <c r="D144" s="11" t="s">
        <v>5959</v>
      </c>
      <c r="E144" s="11" t="s">
        <v>5961</v>
      </c>
      <c r="F144" s="11">
        <v>2023</v>
      </c>
      <c r="G144" s="11" t="s">
        <v>5962</v>
      </c>
      <c r="H144" s="11" t="str">
        <f>HYPERLINK("http://dx.doi.org/10.2196/48808","http://dx.doi.org/10.2196/48808")</f>
        <v>http://dx.doi.org/10.2196/48808</v>
      </c>
      <c r="I144" s="11" t="s">
        <v>5964</v>
      </c>
      <c r="J144" s="11" t="s">
        <v>5963</v>
      </c>
      <c r="K144" s="11" t="s">
        <v>42</v>
      </c>
      <c r="L144" s="11" t="s">
        <v>56</v>
      </c>
      <c r="M144" s="9" t="s">
        <v>12142</v>
      </c>
    </row>
    <row r="145" spans="1:13" x14ac:dyDescent="0.25">
      <c r="A145" s="11">
        <v>445</v>
      </c>
      <c r="B145" s="12" t="s">
        <v>12118</v>
      </c>
      <c r="C145" s="12">
        <v>498</v>
      </c>
      <c r="D145" s="11" t="s">
        <v>1935</v>
      </c>
      <c r="E145" s="11" t="s">
        <v>1937</v>
      </c>
      <c r="F145" s="11">
        <v>2023</v>
      </c>
      <c r="G145" s="11" t="s">
        <v>1938</v>
      </c>
      <c r="H145" s="11" t="str">
        <f>HYPERLINK("http://dx.doi.org/10.3389/fmed.2023.1296615","http://dx.doi.org/10.3389/fmed.2023.1296615")</f>
        <v>http://dx.doi.org/10.3389/fmed.2023.1296615</v>
      </c>
      <c r="I145" s="11" t="s">
        <v>1940</v>
      </c>
      <c r="J145" s="11" t="s">
        <v>1939</v>
      </c>
      <c r="K145" s="11" t="s">
        <v>42</v>
      </c>
      <c r="L145" s="11" t="s">
        <v>56</v>
      </c>
      <c r="M145" s="9">
        <v>1</v>
      </c>
    </row>
    <row r="146" spans="1:13" x14ac:dyDescent="0.25">
      <c r="A146" s="11">
        <v>87</v>
      </c>
      <c r="B146" s="12" t="s">
        <v>12118</v>
      </c>
      <c r="C146" s="12">
        <v>90</v>
      </c>
      <c r="D146" s="11" t="s">
        <v>5241</v>
      </c>
      <c r="E146" s="11" t="s">
        <v>5243</v>
      </c>
      <c r="F146" s="11">
        <v>2023</v>
      </c>
      <c r="G146" s="11" t="s">
        <v>5244</v>
      </c>
      <c r="H146" s="11" t="str">
        <f>HYPERLINK("http://dx.doi.org/10.1021/acs.energyfuels.2c04274","http://dx.doi.org/10.1021/acs.energyfuels.2c04274")</f>
        <v>http://dx.doi.org/10.1021/acs.energyfuels.2c04274</v>
      </c>
      <c r="I146" s="11" t="s">
        <v>5246</v>
      </c>
      <c r="J146" s="11" t="s">
        <v>1507</v>
      </c>
      <c r="K146" s="11" t="s">
        <v>42</v>
      </c>
      <c r="L146" s="11" t="s">
        <v>56</v>
      </c>
      <c r="M146" s="9" t="s">
        <v>12142</v>
      </c>
    </row>
    <row r="147" spans="1:13" x14ac:dyDescent="0.25">
      <c r="A147" s="12">
        <v>150</v>
      </c>
      <c r="B147" s="12" t="s">
        <v>12204</v>
      </c>
      <c r="C147" s="12">
        <v>555</v>
      </c>
      <c r="D147" s="12" t="s">
        <v>12906</v>
      </c>
      <c r="E147" s="12" t="s">
        <v>95</v>
      </c>
      <c r="F147" s="12">
        <v>2023</v>
      </c>
      <c r="G147" s="12" t="s">
        <v>96</v>
      </c>
      <c r="I147" s="12" t="s">
        <v>99</v>
      </c>
      <c r="K147" s="12" t="s">
        <v>42</v>
      </c>
      <c r="L147" s="12" t="s">
        <v>12252</v>
      </c>
      <c r="M147" s="10">
        <v>1</v>
      </c>
    </row>
    <row r="148" spans="1:13" x14ac:dyDescent="0.25">
      <c r="A148" s="11">
        <v>356</v>
      </c>
      <c r="B148" s="12" t="s">
        <v>12118</v>
      </c>
      <c r="C148" s="12">
        <v>397</v>
      </c>
      <c r="D148" s="11" t="s">
        <v>2268</v>
      </c>
      <c r="E148" s="11" t="s">
        <v>2270</v>
      </c>
      <c r="F148" s="11">
        <v>2023</v>
      </c>
      <c r="G148" s="11" t="s">
        <v>2200</v>
      </c>
      <c r="H148" s="11" t="str">
        <f>HYPERLINK("http://dx.doi.org/10.3390/informatics10040084","http://dx.doi.org/10.3390/informatics10040084")</f>
        <v>http://dx.doi.org/10.3390/informatics10040084</v>
      </c>
      <c r="I148" s="11" t="s">
        <v>2273</v>
      </c>
      <c r="J148" s="11" t="s">
        <v>2271</v>
      </c>
      <c r="K148" s="11" t="s">
        <v>42</v>
      </c>
      <c r="L148" s="11" t="s">
        <v>56</v>
      </c>
      <c r="M148" s="9" t="s">
        <v>12142</v>
      </c>
    </row>
    <row r="149" spans="1:13" x14ac:dyDescent="0.25">
      <c r="A149" s="11">
        <v>354</v>
      </c>
      <c r="B149" s="12" t="s">
        <v>12118</v>
      </c>
      <c r="C149" s="12">
        <v>395</v>
      </c>
      <c r="D149" s="11" t="s">
        <v>15185</v>
      </c>
      <c r="E149" s="11" t="s">
        <v>15188</v>
      </c>
      <c r="F149" s="11">
        <v>2023</v>
      </c>
      <c r="G149" s="11" t="s">
        <v>15189</v>
      </c>
      <c r="H149" s="11" t="str">
        <f>HYPERLINK("http://dx.doi.org/10.1145/3639233.3639353","http://dx.doi.org/10.1145/3639233.3639353")</f>
        <v>http://dx.doi.org/10.1145/3639233.3639353</v>
      </c>
      <c r="I149" s="11" t="s">
        <v>15194</v>
      </c>
      <c r="J149" s="11" t="s">
        <v>15193</v>
      </c>
      <c r="K149" s="11" t="s">
        <v>42</v>
      </c>
      <c r="L149" s="11" t="s">
        <v>5552</v>
      </c>
      <c r="M149" s="9" t="s">
        <v>12142</v>
      </c>
    </row>
    <row r="150" spans="1:13" x14ac:dyDescent="0.25">
      <c r="A150" s="11">
        <v>76</v>
      </c>
      <c r="B150" s="12" t="s">
        <v>12118</v>
      </c>
      <c r="C150" s="12">
        <v>84</v>
      </c>
      <c r="D150" s="11" t="s">
        <v>11903</v>
      </c>
      <c r="E150" s="11" t="s">
        <v>11906</v>
      </c>
      <c r="F150" s="11">
        <v>2018</v>
      </c>
      <c r="G150" s="11" t="s">
        <v>11907</v>
      </c>
      <c r="H150" s="11" t="str">
        <f>HYPERLINK("http://dx.doi.org/10.1007/978-3-319-70479-1_15","http://dx.doi.org/10.1007/978-3-319-70479-1_15")</f>
        <v>http://dx.doi.org/10.1007/978-3-319-70479-1_15</v>
      </c>
      <c r="I150" s="11" t="s">
        <v>1507</v>
      </c>
      <c r="J150" s="11" t="s">
        <v>1507</v>
      </c>
      <c r="K150" s="11" t="s">
        <v>42</v>
      </c>
      <c r="L150" s="11" t="s">
        <v>5888</v>
      </c>
      <c r="M150" s="9" t="s">
        <v>12142</v>
      </c>
    </row>
    <row r="151" spans="1:13" x14ac:dyDescent="0.25">
      <c r="A151" s="12">
        <v>133</v>
      </c>
      <c r="B151" s="12" t="s">
        <v>12204</v>
      </c>
      <c r="C151" s="12">
        <v>483</v>
      </c>
      <c r="D151" s="12" t="s">
        <v>12223</v>
      </c>
      <c r="E151" s="12" t="s">
        <v>1073</v>
      </c>
      <c r="F151" s="12">
        <v>2018</v>
      </c>
      <c r="G151" s="12" t="s">
        <v>1074</v>
      </c>
      <c r="H151" s="12" t="s">
        <v>1075</v>
      </c>
      <c r="I151" s="12" t="s">
        <v>1078</v>
      </c>
      <c r="J151" s="12" t="s">
        <v>1079</v>
      </c>
      <c r="K151" s="12" t="s">
        <v>42</v>
      </c>
      <c r="L151" s="12" t="s">
        <v>56</v>
      </c>
      <c r="M151" s="9" t="s">
        <v>12142</v>
      </c>
    </row>
    <row r="152" spans="1:13" x14ac:dyDescent="0.25">
      <c r="A152" s="11">
        <v>603</v>
      </c>
      <c r="B152" s="12" t="s">
        <v>12118</v>
      </c>
      <c r="C152" s="12">
        <v>674</v>
      </c>
      <c r="D152" s="11" t="s">
        <v>7918</v>
      </c>
      <c r="E152" s="11" t="s">
        <v>7920</v>
      </c>
      <c r="F152" s="11">
        <v>2022</v>
      </c>
      <c r="G152" s="11" t="s">
        <v>7921</v>
      </c>
      <c r="H152" s="11" t="str">
        <f>HYPERLINK("http://dx.doi.org/10.1145/3551349.3556955","http://dx.doi.org/10.1145/3551349.3556955")</f>
        <v>http://dx.doi.org/10.1145/3551349.3556955</v>
      </c>
      <c r="I152" s="11" t="s">
        <v>7928</v>
      </c>
      <c r="J152" s="11" t="s">
        <v>7927</v>
      </c>
      <c r="K152" s="11" t="s">
        <v>42</v>
      </c>
      <c r="L152" s="11" t="s">
        <v>5552</v>
      </c>
      <c r="M152" s="9" t="s">
        <v>12142</v>
      </c>
    </row>
    <row r="153" spans="1:13" x14ac:dyDescent="0.25">
      <c r="A153" s="12">
        <v>35</v>
      </c>
      <c r="B153" s="12" t="s">
        <v>12204</v>
      </c>
      <c r="C153" s="12">
        <v>114</v>
      </c>
      <c r="D153" s="12" t="s">
        <v>12946</v>
      </c>
      <c r="E153" s="12" t="s">
        <v>195</v>
      </c>
      <c r="F153" s="12">
        <v>2023</v>
      </c>
      <c r="G153" s="12" t="s">
        <v>196</v>
      </c>
      <c r="H153" s="12" t="s">
        <v>197</v>
      </c>
      <c r="I153" s="12" t="s">
        <v>12943</v>
      </c>
      <c r="J153" s="12" t="s">
        <v>201</v>
      </c>
      <c r="K153" s="12" t="s">
        <v>42</v>
      </c>
      <c r="L153" s="12" t="s">
        <v>12252</v>
      </c>
      <c r="M153" s="10">
        <v>1</v>
      </c>
    </row>
    <row r="154" spans="1:13" x14ac:dyDescent="0.25">
      <c r="A154" s="11">
        <v>14</v>
      </c>
      <c r="B154" s="12" t="s">
        <v>12118</v>
      </c>
      <c r="C154" s="12">
        <v>15</v>
      </c>
      <c r="D154" s="11" t="s">
        <v>7646</v>
      </c>
      <c r="E154" s="11" t="s">
        <v>7649</v>
      </c>
      <c r="F154" s="11">
        <v>2022</v>
      </c>
      <c r="G154" s="11" t="s">
        <v>7650</v>
      </c>
      <c r="H154" s="11" t="s">
        <v>1507</v>
      </c>
      <c r="I154" s="11" t="s">
        <v>7655</v>
      </c>
      <c r="J154" s="11" t="s">
        <v>1507</v>
      </c>
      <c r="K154" s="11" t="s">
        <v>42</v>
      </c>
      <c r="L154" s="11" t="s">
        <v>5552</v>
      </c>
      <c r="M154" s="9" t="s">
        <v>12142</v>
      </c>
    </row>
    <row r="155" spans="1:13" x14ac:dyDescent="0.25">
      <c r="A155" s="11">
        <v>83</v>
      </c>
      <c r="B155" s="12" t="s">
        <v>12118</v>
      </c>
      <c r="C155" s="12">
        <v>87</v>
      </c>
      <c r="D155" s="11" t="s">
        <v>8771</v>
      </c>
      <c r="E155" s="11" t="s">
        <v>8773</v>
      </c>
      <c r="F155" s="11">
        <v>2021</v>
      </c>
      <c r="G155" s="11" t="s">
        <v>8774</v>
      </c>
      <c r="H155" s="11" t="s">
        <v>1507</v>
      </c>
      <c r="I155" s="11" t="s">
        <v>8776</v>
      </c>
      <c r="J155" s="11" t="s">
        <v>1507</v>
      </c>
      <c r="K155" s="11" t="s">
        <v>42</v>
      </c>
      <c r="L155" s="11" t="s">
        <v>56</v>
      </c>
      <c r="M155" s="9" t="s">
        <v>12142</v>
      </c>
    </row>
    <row r="156" spans="1:13" x14ac:dyDescent="0.25">
      <c r="A156" s="11">
        <v>432</v>
      </c>
      <c r="B156" s="12" t="s">
        <v>12118</v>
      </c>
      <c r="C156" s="12">
        <v>481</v>
      </c>
      <c r="D156" s="11" t="s">
        <v>11391</v>
      </c>
      <c r="E156" s="11" t="s">
        <v>11393</v>
      </c>
      <c r="F156" s="11">
        <v>2019</v>
      </c>
      <c r="G156" s="11" t="s">
        <v>11394</v>
      </c>
      <c r="H156" s="11" t="s">
        <v>1507</v>
      </c>
      <c r="I156" s="11" t="s">
        <v>11397</v>
      </c>
      <c r="J156" s="11" t="s">
        <v>11395</v>
      </c>
      <c r="K156" s="11" t="s">
        <v>11324</v>
      </c>
      <c r="L156" s="11" t="s">
        <v>56</v>
      </c>
      <c r="M156" s="9" t="s">
        <v>12142</v>
      </c>
    </row>
    <row r="157" spans="1:13" x14ac:dyDescent="0.25">
      <c r="A157" s="11">
        <v>446</v>
      </c>
      <c r="B157" s="12" t="s">
        <v>12118</v>
      </c>
      <c r="C157" s="12">
        <v>499</v>
      </c>
      <c r="D157" s="11" t="s">
        <v>3649</v>
      </c>
      <c r="E157" s="11" t="s">
        <v>3651</v>
      </c>
      <c r="F157" s="11">
        <v>2023</v>
      </c>
      <c r="G157" s="11" t="s">
        <v>3652</v>
      </c>
      <c r="H157" s="11" t="str">
        <f>HYPERLINK("http://dx.doi.org/10.1136/bmjhci-2023-100830","http://dx.doi.org/10.1136/bmjhci-2023-100830")</f>
        <v>http://dx.doi.org/10.1136/bmjhci-2023-100830</v>
      </c>
      <c r="I157" s="11" t="s">
        <v>3654</v>
      </c>
      <c r="J157" s="11" t="s">
        <v>3653</v>
      </c>
      <c r="K157" s="11" t="s">
        <v>42</v>
      </c>
      <c r="L157" s="11" t="s">
        <v>56</v>
      </c>
      <c r="M157" s="9">
        <v>1</v>
      </c>
    </row>
    <row r="158" spans="1:13" x14ac:dyDescent="0.25">
      <c r="A158" s="11">
        <v>10</v>
      </c>
      <c r="B158" s="12" t="s">
        <v>12118</v>
      </c>
      <c r="C158" s="12">
        <v>10</v>
      </c>
      <c r="D158" s="11" t="s">
        <v>7510</v>
      </c>
      <c r="E158" s="11" t="s">
        <v>7512</v>
      </c>
      <c r="F158" s="11">
        <v>2022</v>
      </c>
      <c r="G158" s="11" t="s">
        <v>7513</v>
      </c>
      <c r="H158" s="11" t="str">
        <f>HYPERLINK("http://dx.doi.org/10.1063/5.0082085","http://dx.doi.org/10.1063/5.0082085")</f>
        <v>http://dx.doi.org/10.1063/5.0082085</v>
      </c>
      <c r="I158" s="11" t="s">
        <v>7514</v>
      </c>
      <c r="J158" s="11" t="s">
        <v>1507</v>
      </c>
      <c r="K158" s="11" t="s">
        <v>42</v>
      </c>
      <c r="L158" s="11" t="s">
        <v>56</v>
      </c>
      <c r="M158" s="9" t="s">
        <v>12142</v>
      </c>
    </row>
    <row r="159" spans="1:13" x14ac:dyDescent="0.25">
      <c r="A159" s="11">
        <v>191</v>
      </c>
      <c r="B159" s="12" t="s">
        <v>12118</v>
      </c>
      <c r="C159" s="12">
        <v>208</v>
      </c>
      <c r="D159" s="11" t="s">
        <v>5862</v>
      </c>
      <c r="E159" s="11" t="s">
        <v>5864</v>
      </c>
      <c r="F159" s="11">
        <v>2023</v>
      </c>
      <c r="G159" s="11" t="s">
        <v>5865</v>
      </c>
      <c r="H159" s="11" t="str">
        <f>HYPERLINK("http://dx.doi.org/10.2196/49995","http://dx.doi.org/10.2196/49995")</f>
        <v>http://dx.doi.org/10.2196/49995</v>
      </c>
      <c r="I159" s="11" t="s">
        <v>5867</v>
      </c>
      <c r="J159" s="11" t="s">
        <v>5866</v>
      </c>
      <c r="K159" s="11" t="s">
        <v>42</v>
      </c>
      <c r="L159" s="11" t="s">
        <v>56</v>
      </c>
      <c r="M159" s="9" t="s">
        <v>12142</v>
      </c>
    </row>
    <row r="160" spans="1:13" x14ac:dyDescent="0.25">
      <c r="A160" s="11">
        <v>49</v>
      </c>
      <c r="B160" s="12" t="s">
        <v>12118</v>
      </c>
      <c r="C160" s="12">
        <v>53</v>
      </c>
      <c r="D160" s="11" t="s">
        <v>4122</v>
      </c>
      <c r="E160" s="11" t="s">
        <v>4124</v>
      </c>
      <c r="F160" s="11">
        <v>2023</v>
      </c>
      <c r="G160" s="11" t="s">
        <v>3315</v>
      </c>
      <c r="H160" s="11" t="str">
        <f>HYPERLINK("http://dx.doi.org/10.1001/jamanetworkopen.2023.30320","http://dx.doi.org/10.1001/jamanetworkopen.2023.30320")</f>
        <v>http://dx.doi.org/10.1001/jamanetworkopen.2023.30320</v>
      </c>
      <c r="I160" s="11" t="s">
        <v>4125</v>
      </c>
      <c r="J160" s="11" t="s">
        <v>1507</v>
      </c>
      <c r="K160" s="11" t="s">
        <v>42</v>
      </c>
      <c r="L160" s="11" t="s">
        <v>56</v>
      </c>
      <c r="M160" s="9" t="s">
        <v>12142</v>
      </c>
    </row>
    <row r="161" spans="1:13" x14ac:dyDescent="0.25">
      <c r="A161" s="11">
        <v>615</v>
      </c>
      <c r="B161" s="12" t="s">
        <v>12118</v>
      </c>
      <c r="C161" s="12">
        <v>684</v>
      </c>
      <c r="D161" s="11" t="s">
        <v>7473</v>
      </c>
      <c r="E161" s="11" t="s">
        <v>7475</v>
      </c>
      <c r="F161" s="11">
        <v>2022</v>
      </c>
      <c r="G161" s="11" t="s">
        <v>7141</v>
      </c>
      <c r="H161" s="11" t="str">
        <f>HYPERLINK("http://dx.doi.org/10.1016/j.scitotenv.2022.153687","http://dx.doi.org/10.1016/j.scitotenv.2022.153687")</f>
        <v>http://dx.doi.org/10.1016/j.scitotenv.2022.153687</v>
      </c>
      <c r="I161" s="11" t="s">
        <v>7477</v>
      </c>
      <c r="J161" s="11" t="s">
        <v>7476</v>
      </c>
      <c r="K161" s="11" t="s">
        <v>42</v>
      </c>
      <c r="L161" s="11" t="s">
        <v>56</v>
      </c>
      <c r="M161" s="9" t="s">
        <v>12142</v>
      </c>
    </row>
    <row r="162" spans="1:13" x14ac:dyDescent="0.25">
      <c r="A162" s="11">
        <v>101</v>
      </c>
      <c r="B162" s="12" t="s">
        <v>12118</v>
      </c>
      <c r="C162" s="12">
        <v>102</v>
      </c>
      <c r="D162" s="11" t="s">
        <v>1697</v>
      </c>
      <c r="E162" s="11" t="s">
        <v>1699</v>
      </c>
      <c r="F162" s="11">
        <v>2023</v>
      </c>
      <c r="G162" s="11" t="s">
        <v>1657</v>
      </c>
      <c r="H162" s="11" t="str">
        <f>HYPERLINK("http://dx.doi.org/10.2196/51229","http://dx.doi.org/10.2196/51229")</f>
        <v>http://dx.doi.org/10.2196/51229</v>
      </c>
      <c r="I162" s="11" t="s">
        <v>1701</v>
      </c>
      <c r="J162" s="11" t="s">
        <v>1700</v>
      </c>
      <c r="K162" s="11" t="s">
        <v>42</v>
      </c>
      <c r="L162" s="11" t="s">
        <v>56</v>
      </c>
      <c r="M162" s="9" t="s">
        <v>12142</v>
      </c>
    </row>
    <row r="163" spans="1:13" x14ac:dyDescent="0.25">
      <c r="A163" s="11">
        <v>609</v>
      </c>
      <c r="B163" s="12" t="s">
        <v>12118</v>
      </c>
      <c r="C163" s="12">
        <v>679</v>
      </c>
      <c r="D163" s="11" t="s">
        <v>10223</v>
      </c>
      <c r="E163" s="11" t="s">
        <v>10225</v>
      </c>
      <c r="F163" s="11">
        <v>2020</v>
      </c>
      <c r="G163" s="11" t="s">
        <v>10226</v>
      </c>
      <c r="H163" s="11" t="str">
        <f>HYPERLINK("http://dx.doi.org/10.1155/2020/7605140","http://dx.doi.org/10.1155/2020/7605140")</f>
        <v>http://dx.doi.org/10.1155/2020/7605140</v>
      </c>
      <c r="I163" s="11" t="s">
        <v>10228</v>
      </c>
      <c r="J163" s="11" t="s">
        <v>1507</v>
      </c>
      <c r="K163" s="11" t="s">
        <v>42</v>
      </c>
      <c r="L163" s="11" t="s">
        <v>56</v>
      </c>
      <c r="M163" s="9" t="s">
        <v>12142</v>
      </c>
    </row>
    <row r="164" spans="1:13" x14ac:dyDescent="0.25">
      <c r="A164" s="11">
        <v>302</v>
      </c>
      <c r="B164" s="12" t="s">
        <v>12118</v>
      </c>
      <c r="C164" s="12">
        <v>336</v>
      </c>
      <c r="D164" s="11" t="s">
        <v>3669</v>
      </c>
      <c r="E164" s="11" t="s">
        <v>3671</v>
      </c>
      <c r="F164" s="11">
        <v>2023</v>
      </c>
      <c r="G164" s="11" t="s">
        <v>3672</v>
      </c>
      <c r="H164" s="11" t="str">
        <f>HYPERLINK("http://dx.doi.org/10.1016/j.dche.2023.100126","http://dx.doi.org/10.1016/j.dche.2023.100126")</f>
        <v>http://dx.doi.org/10.1016/j.dche.2023.100126</v>
      </c>
      <c r="I164" s="11" t="s">
        <v>3675</v>
      </c>
      <c r="J164" s="11" t="s">
        <v>3673</v>
      </c>
      <c r="K164" s="11" t="s">
        <v>42</v>
      </c>
      <c r="L164" s="11" t="s">
        <v>56</v>
      </c>
      <c r="M164" s="9">
        <v>1</v>
      </c>
    </row>
    <row r="165" spans="1:13" x14ac:dyDescent="0.25">
      <c r="A165" s="11">
        <v>457</v>
      </c>
      <c r="B165" s="12" t="s">
        <v>12118</v>
      </c>
      <c r="C165" s="12">
        <v>509</v>
      </c>
      <c r="D165" s="11" t="s">
        <v>15826</v>
      </c>
      <c r="E165" s="11" t="s">
        <v>10049</v>
      </c>
      <c r="F165" s="11">
        <v>2020</v>
      </c>
      <c r="G165" s="11" t="s">
        <v>10050</v>
      </c>
      <c r="H165" s="11" t="str">
        <f>HYPERLINK("http://dx.doi.org/10.1128/MRA.00169-20","http://dx.doi.org/10.1128/MRA.00169-20")</f>
        <v>http://dx.doi.org/10.1128/MRA.00169-20</v>
      </c>
      <c r="I165" s="11" t="s">
        <v>10052</v>
      </c>
      <c r="J165" s="11" t="s">
        <v>1507</v>
      </c>
      <c r="K165" s="11" t="s">
        <v>42</v>
      </c>
      <c r="L165" s="11" t="s">
        <v>10051</v>
      </c>
      <c r="M165" s="9" t="s">
        <v>12142</v>
      </c>
    </row>
    <row r="166" spans="1:13" x14ac:dyDescent="0.25">
      <c r="A166" s="11">
        <v>332</v>
      </c>
      <c r="B166" s="12" t="s">
        <v>12118</v>
      </c>
      <c r="C166" s="12">
        <v>374</v>
      </c>
      <c r="D166" s="11" t="s">
        <v>8108</v>
      </c>
      <c r="E166" s="11" t="s">
        <v>8110</v>
      </c>
      <c r="F166" s="11">
        <v>2021</v>
      </c>
      <c r="G166" s="11" t="s">
        <v>8111</v>
      </c>
      <c r="H166" s="11" t="str">
        <f>HYPERLINK("http://dx.doi.org/10.3390/molecules26226831","http://dx.doi.org/10.3390/molecules26226831")</f>
        <v>http://dx.doi.org/10.3390/molecules26226831</v>
      </c>
      <c r="I166" s="11" t="s">
        <v>8114</v>
      </c>
      <c r="J166" s="11" t="s">
        <v>8112</v>
      </c>
      <c r="K166" s="11" t="s">
        <v>42</v>
      </c>
      <c r="L166" s="11" t="s">
        <v>56</v>
      </c>
      <c r="M166" s="9" t="s">
        <v>12142</v>
      </c>
    </row>
    <row r="167" spans="1:13" x14ac:dyDescent="0.25">
      <c r="A167" s="11">
        <v>260</v>
      </c>
      <c r="B167" s="12" t="s">
        <v>12118</v>
      </c>
      <c r="C167" s="12">
        <v>289</v>
      </c>
      <c r="D167" s="11" t="s">
        <v>2217</v>
      </c>
      <c r="E167" s="11" t="s">
        <v>2219</v>
      </c>
      <c r="F167" s="11">
        <v>2023</v>
      </c>
      <c r="G167" s="11" t="s">
        <v>2220</v>
      </c>
      <c r="H167" s="11" t="str">
        <f>HYPERLINK("http://dx.doi.org/10.3390/bdcc7040182","http://dx.doi.org/10.3390/bdcc7040182")</f>
        <v>http://dx.doi.org/10.3390/bdcc7040182</v>
      </c>
      <c r="I167" s="11" t="s">
        <v>2222</v>
      </c>
      <c r="J167" s="11" t="s">
        <v>2221</v>
      </c>
      <c r="K167" s="11" t="s">
        <v>42</v>
      </c>
      <c r="L167" s="11" t="s">
        <v>56</v>
      </c>
      <c r="M167" s="9">
        <v>1</v>
      </c>
    </row>
    <row r="168" spans="1:13" x14ac:dyDescent="0.25">
      <c r="A168" s="12">
        <v>146</v>
      </c>
      <c r="B168" s="12" t="s">
        <v>12204</v>
      </c>
      <c r="C168" s="12">
        <v>540</v>
      </c>
      <c r="D168" s="12" t="s">
        <v>12697</v>
      </c>
      <c r="E168" s="12" t="s">
        <v>1119</v>
      </c>
      <c r="F168" s="12">
        <v>2023</v>
      </c>
      <c r="G168" s="12" t="s">
        <v>383</v>
      </c>
      <c r="I168" s="12" t="s">
        <v>12694</v>
      </c>
      <c r="J168" s="12" t="s">
        <v>1123</v>
      </c>
      <c r="K168" s="12" t="s">
        <v>42</v>
      </c>
      <c r="L168" s="12" t="s">
        <v>12252</v>
      </c>
      <c r="M168" s="10">
        <v>1</v>
      </c>
    </row>
    <row r="169" spans="1:13" x14ac:dyDescent="0.25">
      <c r="A169" s="12">
        <v>31</v>
      </c>
      <c r="B169" s="12" t="s">
        <v>12204</v>
      </c>
      <c r="C169" s="12">
        <v>94</v>
      </c>
      <c r="D169" s="12" t="s">
        <v>13233</v>
      </c>
      <c r="E169" s="12" t="s">
        <v>693</v>
      </c>
      <c r="F169" s="12">
        <v>2023</v>
      </c>
      <c r="G169" s="12" t="s">
        <v>694</v>
      </c>
      <c r="H169" s="12" t="s">
        <v>695</v>
      </c>
      <c r="I169" s="12" t="s">
        <v>698</v>
      </c>
      <c r="J169" s="12" t="s">
        <v>699</v>
      </c>
      <c r="K169" s="12" t="s">
        <v>42</v>
      </c>
      <c r="L169" s="12" t="s">
        <v>56</v>
      </c>
      <c r="M169" s="10" t="s">
        <v>12142</v>
      </c>
    </row>
    <row r="170" spans="1:13" x14ac:dyDescent="0.25">
      <c r="A170" s="11">
        <v>182</v>
      </c>
      <c r="B170" s="12" t="s">
        <v>12118</v>
      </c>
      <c r="C170" s="12">
        <v>198</v>
      </c>
      <c r="D170" s="11" t="s">
        <v>4893</v>
      </c>
      <c r="E170" s="11" t="s">
        <v>4895</v>
      </c>
      <c r="F170" s="11">
        <v>2023</v>
      </c>
      <c r="G170" s="11" t="s">
        <v>3297</v>
      </c>
      <c r="H170" s="11" t="str">
        <f>HYPERLINK("http://dx.doi.org/10.1038/s41598-023-34375-6","http://dx.doi.org/10.1038/s41598-023-34375-6")</f>
        <v>http://dx.doi.org/10.1038/s41598-023-34375-6</v>
      </c>
      <c r="I170" s="11" t="s">
        <v>4896</v>
      </c>
      <c r="J170" s="11" t="s">
        <v>1507</v>
      </c>
      <c r="K170" s="11" t="s">
        <v>42</v>
      </c>
      <c r="L170" s="11" t="s">
        <v>56</v>
      </c>
      <c r="M170" s="9" t="s">
        <v>12142</v>
      </c>
    </row>
    <row r="171" spans="1:13" x14ac:dyDescent="0.25">
      <c r="A171" s="11">
        <v>606</v>
      </c>
      <c r="B171" s="12" t="s">
        <v>12118</v>
      </c>
      <c r="C171" s="12">
        <v>676</v>
      </c>
      <c r="D171" s="11" t="s">
        <v>10508</v>
      </c>
      <c r="E171" s="11" t="s">
        <v>10510</v>
      </c>
      <c r="F171" s="11">
        <v>2019</v>
      </c>
      <c r="G171" s="11" t="s">
        <v>10511</v>
      </c>
      <c r="H171" s="11" t="str">
        <f>HYPERLINK("http://dx.doi.org/10.1039/c9sc03455b","http://dx.doi.org/10.1039/c9sc03455b")</f>
        <v>http://dx.doi.org/10.1039/c9sc03455b</v>
      </c>
      <c r="I171" s="11" t="s">
        <v>10513</v>
      </c>
      <c r="J171" s="11" t="s">
        <v>1507</v>
      </c>
      <c r="K171" s="11" t="s">
        <v>42</v>
      </c>
      <c r="L171" s="11" t="s">
        <v>56</v>
      </c>
      <c r="M171" s="9" t="s">
        <v>12142</v>
      </c>
    </row>
    <row r="172" spans="1:13" x14ac:dyDescent="0.25">
      <c r="A172" s="11">
        <v>517</v>
      </c>
      <c r="B172" s="12" t="s">
        <v>12118</v>
      </c>
      <c r="C172" s="12">
        <v>573</v>
      </c>
      <c r="D172" s="11" t="s">
        <v>11773</v>
      </c>
      <c r="E172" s="11" t="s">
        <v>11775</v>
      </c>
      <c r="F172" s="11">
        <v>2018</v>
      </c>
      <c r="G172" s="11" t="s">
        <v>11776</v>
      </c>
      <c r="H172" s="11" t="str">
        <f>HYPERLINK("http://dx.doi.org/10.1122/1.5017674","http://dx.doi.org/10.1122/1.5017674")</f>
        <v>http://dx.doi.org/10.1122/1.5017674</v>
      </c>
      <c r="I172" s="11" t="s">
        <v>11778</v>
      </c>
      <c r="J172" s="11" t="s">
        <v>1507</v>
      </c>
      <c r="K172" s="11" t="s">
        <v>42</v>
      </c>
      <c r="L172" s="11" t="s">
        <v>56</v>
      </c>
      <c r="M172" s="9" t="s">
        <v>12142</v>
      </c>
    </row>
    <row r="173" spans="1:13" x14ac:dyDescent="0.25">
      <c r="A173" s="11">
        <v>524</v>
      </c>
      <c r="B173" s="12" t="s">
        <v>12118</v>
      </c>
      <c r="C173" s="12">
        <v>582</v>
      </c>
      <c r="D173" s="11" t="s">
        <v>15395</v>
      </c>
      <c r="E173" s="11" t="s">
        <v>15397</v>
      </c>
      <c r="F173" s="11">
        <v>2023</v>
      </c>
      <c r="G173" s="11" t="s">
        <v>15398</v>
      </c>
      <c r="H173" s="11" t="str">
        <f>HYPERLINK("http://dx.doi.org/10.1109/ICCV51070.2023.00285","http://dx.doi.org/10.1109/ICCV51070.2023.00285")</f>
        <v>http://dx.doi.org/10.1109/ICCV51070.2023.00285</v>
      </c>
      <c r="I173" s="11" t="s">
        <v>15404</v>
      </c>
      <c r="J173" s="11" t="s">
        <v>1507</v>
      </c>
      <c r="K173" s="11" t="s">
        <v>42</v>
      </c>
      <c r="L173" s="11" t="s">
        <v>5552</v>
      </c>
      <c r="M173" s="9" t="s">
        <v>12142</v>
      </c>
    </row>
    <row r="174" spans="1:13" x14ac:dyDescent="0.25">
      <c r="A174" s="11">
        <v>295</v>
      </c>
      <c r="B174" s="12" t="s">
        <v>12118</v>
      </c>
      <c r="C174" s="12">
        <v>328</v>
      </c>
      <c r="D174" s="11" t="s">
        <v>15111</v>
      </c>
      <c r="E174" s="11" t="s">
        <v>15114</v>
      </c>
      <c r="F174" s="11">
        <v>2023</v>
      </c>
      <c r="G174" s="11" t="s">
        <v>15115</v>
      </c>
      <c r="H174" s="11" t="s">
        <v>1507</v>
      </c>
      <c r="I174" s="11" t="s">
        <v>15120</v>
      </c>
      <c r="J174" s="11" t="s">
        <v>1507</v>
      </c>
      <c r="K174" s="11" t="s">
        <v>42</v>
      </c>
      <c r="L174" s="11" t="s">
        <v>5552</v>
      </c>
      <c r="M174" s="9" t="s">
        <v>12142</v>
      </c>
    </row>
    <row r="175" spans="1:13" x14ac:dyDescent="0.25">
      <c r="A175" s="11">
        <v>611</v>
      </c>
      <c r="B175" s="12" t="s">
        <v>12118</v>
      </c>
      <c r="C175" s="12">
        <v>680</v>
      </c>
      <c r="D175" s="11" t="s">
        <v>3435</v>
      </c>
      <c r="E175" s="11" t="s">
        <v>3437</v>
      </c>
      <c r="F175" s="11">
        <v>2023</v>
      </c>
      <c r="G175" s="11" t="s">
        <v>3438</v>
      </c>
      <c r="H175" s="11" t="str">
        <f>HYPERLINK("http://dx.doi.org/10.1038/s41541-023-00745-4","http://dx.doi.org/10.1038/s41541-023-00745-4")</f>
        <v>http://dx.doi.org/10.1038/s41541-023-00745-4</v>
      </c>
      <c r="I175" s="11" t="s">
        <v>3439</v>
      </c>
      <c r="J175" s="11" t="s">
        <v>1507</v>
      </c>
      <c r="K175" s="11" t="s">
        <v>42</v>
      </c>
      <c r="L175" s="11" t="s">
        <v>56</v>
      </c>
      <c r="M175" s="9" t="s">
        <v>12142</v>
      </c>
    </row>
    <row r="176" spans="1:13" x14ac:dyDescent="0.25">
      <c r="A176" s="11">
        <v>321</v>
      </c>
      <c r="B176" s="12" t="s">
        <v>12118</v>
      </c>
      <c r="C176" s="12">
        <v>359</v>
      </c>
      <c r="D176" s="11" t="s">
        <v>15132</v>
      </c>
      <c r="E176" s="11" t="s">
        <v>15134</v>
      </c>
      <c r="F176" s="11">
        <v>2023</v>
      </c>
      <c r="G176" s="11" t="s">
        <v>15135</v>
      </c>
      <c r="H176" s="11" t="str">
        <f>HYPERLINK("http://dx.doi.org/10.1109/HPEC58863.2023.10363534","http://dx.doi.org/10.1109/HPEC58863.2023.10363534")</f>
        <v>http://dx.doi.org/10.1109/HPEC58863.2023.10363534</v>
      </c>
      <c r="I176" s="11" t="s">
        <v>15140</v>
      </c>
      <c r="J176" s="11" t="s">
        <v>15139</v>
      </c>
      <c r="K176" s="11" t="s">
        <v>42</v>
      </c>
      <c r="L176" s="11" t="s">
        <v>5552</v>
      </c>
      <c r="M176" s="9" t="s">
        <v>12142</v>
      </c>
    </row>
    <row r="177" spans="1:13" x14ac:dyDescent="0.25">
      <c r="A177" s="12">
        <v>58</v>
      </c>
      <c r="B177" s="12" t="s">
        <v>12204</v>
      </c>
      <c r="C177" s="12">
        <v>209</v>
      </c>
      <c r="D177" s="12" t="s">
        <v>13349</v>
      </c>
      <c r="E177" s="12" t="s">
        <v>173</v>
      </c>
      <c r="F177" s="12">
        <v>2023</v>
      </c>
      <c r="G177" s="12" t="s">
        <v>174</v>
      </c>
      <c r="H177" s="12" t="s">
        <v>175</v>
      </c>
      <c r="I177" s="12" t="s">
        <v>178</v>
      </c>
      <c r="J177" s="12" t="s">
        <v>179</v>
      </c>
      <c r="K177" s="12" t="s">
        <v>42</v>
      </c>
      <c r="L177" s="12" t="s">
        <v>56</v>
      </c>
      <c r="M177" s="10">
        <v>1</v>
      </c>
    </row>
    <row r="178" spans="1:13" x14ac:dyDescent="0.25">
      <c r="A178" s="11">
        <v>350</v>
      </c>
      <c r="B178" s="12" t="s">
        <v>12118</v>
      </c>
      <c r="C178" s="12">
        <v>391</v>
      </c>
      <c r="D178" s="11" t="s">
        <v>9775</v>
      </c>
      <c r="E178" s="11" t="s">
        <v>9777</v>
      </c>
      <c r="F178" s="11">
        <v>2020</v>
      </c>
      <c r="G178" s="11" t="s">
        <v>9778</v>
      </c>
      <c r="H178" s="11" t="str">
        <f>HYPERLINK("http://dx.doi.org/10.1016/j.celrep.2020.107725","http://dx.doi.org/10.1016/j.celrep.2020.107725")</f>
        <v>http://dx.doi.org/10.1016/j.celrep.2020.107725</v>
      </c>
      <c r="I178" s="11" t="s">
        <v>9780</v>
      </c>
      <c r="J178" s="11" t="s">
        <v>1507</v>
      </c>
      <c r="K178" s="11" t="s">
        <v>42</v>
      </c>
      <c r="L178" s="11" t="s">
        <v>56</v>
      </c>
      <c r="M178" s="9" t="s">
        <v>12142</v>
      </c>
    </row>
    <row r="179" spans="1:13" x14ac:dyDescent="0.25">
      <c r="A179" s="11">
        <v>160</v>
      </c>
      <c r="B179" s="12" t="s">
        <v>12118</v>
      </c>
      <c r="C179" s="12">
        <v>170</v>
      </c>
      <c r="D179" s="11" t="s">
        <v>9454</v>
      </c>
      <c r="E179" s="11" t="s">
        <v>9456</v>
      </c>
      <c r="F179" s="11">
        <v>2020</v>
      </c>
      <c r="G179" s="11" t="s">
        <v>9457</v>
      </c>
      <c r="H179" s="11" t="str">
        <f>HYPERLINK("http://dx.doi.org/10.1094/PDIS-04-20-0714-RE","http://dx.doi.org/10.1094/PDIS-04-20-0714-RE")</f>
        <v>http://dx.doi.org/10.1094/PDIS-04-20-0714-RE</v>
      </c>
      <c r="I179" s="11" t="s">
        <v>9460</v>
      </c>
      <c r="J179" s="11" t="s">
        <v>9458</v>
      </c>
      <c r="K179" s="11" t="s">
        <v>42</v>
      </c>
      <c r="L179" s="11" t="s">
        <v>56</v>
      </c>
      <c r="M179" s="9" t="s">
        <v>12142</v>
      </c>
    </row>
    <row r="180" spans="1:13" x14ac:dyDescent="0.25">
      <c r="A180" s="11">
        <v>277</v>
      </c>
      <c r="B180" s="12" t="s">
        <v>12118</v>
      </c>
      <c r="C180" s="12">
        <v>307</v>
      </c>
      <c r="D180" s="11" t="s">
        <v>11751</v>
      </c>
      <c r="E180" s="11" t="s">
        <v>11753</v>
      </c>
      <c r="F180" s="11">
        <v>2018</v>
      </c>
      <c r="G180" s="11" t="s">
        <v>11754</v>
      </c>
      <c r="H180" s="11" t="str">
        <f>HYPERLINK("http://dx.doi.org/10.1016/j.jiph.2017.00.022","http://dx.doi.org/10.1016/j.jiph.2017.00.022")</f>
        <v>http://dx.doi.org/10.1016/j.jiph.2017.00.022</v>
      </c>
      <c r="I180" s="11" t="s">
        <v>11757</v>
      </c>
      <c r="J180" s="11" t="s">
        <v>11755</v>
      </c>
      <c r="K180" s="11" t="s">
        <v>42</v>
      </c>
      <c r="L180" s="11" t="s">
        <v>56</v>
      </c>
      <c r="M180" s="9" t="s">
        <v>12142</v>
      </c>
    </row>
    <row r="181" spans="1:13" x14ac:dyDescent="0.25">
      <c r="A181" s="11">
        <v>236</v>
      </c>
      <c r="B181" s="12" t="s">
        <v>12118</v>
      </c>
      <c r="C181" s="12">
        <v>261</v>
      </c>
      <c r="D181" s="11" t="s">
        <v>9106</v>
      </c>
      <c r="E181" s="11" t="s">
        <v>9108</v>
      </c>
      <c r="F181" s="11">
        <v>2021</v>
      </c>
      <c r="G181" s="11" t="s">
        <v>7538</v>
      </c>
      <c r="H181" s="11" t="str">
        <f>HYPERLINK("http://dx.doi.org/10.1021/acsami.0c19465","http://dx.doi.org/10.1021/acsami.0c19465")</f>
        <v>http://dx.doi.org/10.1021/acsami.0c19465</v>
      </c>
      <c r="I181" s="11" t="s">
        <v>9111</v>
      </c>
      <c r="J181" s="11" t="s">
        <v>9109</v>
      </c>
      <c r="K181" s="11" t="s">
        <v>42</v>
      </c>
      <c r="L181" s="11" t="s">
        <v>56</v>
      </c>
      <c r="M181" s="9" t="s">
        <v>12142</v>
      </c>
    </row>
    <row r="182" spans="1:13" x14ac:dyDescent="0.25">
      <c r="A182" s="12">
        <v>51</v>
      </c>
      <c r="B182" s="12" t="s">
        <v>12204</v>
      </c>
      <c r="C182" s="12">
        <v>184</v>
      </c>
      <c r="D182" s="12" t="s">
        <v>13490</v>
      </c>
      <c r="E182" s="12" t="s">
        <v>628</v>
      </c>
      <c r="F182" s="12">
        <v>2023</v>
      </c>
      <c r="G182" s="12" t="s">
        <v>629</v>
      </c>
      <c r="H182" s="12" t="s">
        <v>630</v>
      </c>
      <c r="I182" s="12" t="s">
        <v>13487</v>
      </c>
      <c r="J182" s="12" t="s">
        <v>633</v>
      </c>
      <c r="K182" s="12" t="s">
        <v>42</v>
      </c>
      <c r="L182" s="12" t="s">
        <v>56</v>
      </c>
      <c r="M182" s="9" t="s">
        <v>12142</v>
      </c>
    </row>
    <row r="183" spans="1:13" x14ac:dyDescent="0.25">
      <c r="A183" s="11">
        <v>347</v>
      </c>
      <c r="B183" s="12" t="s">
        <v>12118</v>
      </c>
      <c r="C183" s="12">
        <v>388</v>
      </c>
      <c r="D183" s="11" t="s">
        <v>9245</v>
      </c>
      <c r="E183" s="11" t="s">
        <v>9247</v>
      </c>
      <c r="F183" s="11">
        <v>2021</v>
      </c>
      <c r="G183" s="11" t="s">
        <v>9248</v>
      </c>
      <c r="H183" s="11" t="s">
        <v>1507</v>
      </c>
      <c r="I183" s="11" t="s">
        <v>9250</v>
      </c>
      <c r="J183" s="11" t="s">
        <v>1507</v>
      </c>
      <c r="K183" s="11" t="s">
        <v>42</v>
      </c>
      <c r="L183" s="11" t="s">
        <v>56</v>
      </c>
      <c r="M183" s="9" t="s">
        <v>12142</v>
      </c>
    </row>
    <row r="184" spans="1:13" x14ac:dyDescent="0.25">
      <c r="A184" s="11">
        <v>13</v>
      </c>
      <c r="B184" s="12" t="s">
        <v>12118</v>
      </c>
      <c r="C184" s="12">
        <v>14</v>
      </c>
      <c r="D184" s="11" t="s">
        <v>5594</v>
      </c>
      <c r="E184" s="11" t="s">
        <v>5596</v>
      </c>
      <c r="F184" s="11">
        <v>2023</v>
      </c>
      <c r="G184" s="11" t="s">
        <v>5576</v>
      </c>
      <c r="H184" s="11" t="str">
        <f>HYPERLINK("http://dx.doi.org/10.1145/3539618.3591913","http://dx.doi.org/10.1145/3539618.3591913")</f>
        <v>http://dx.doi.org/10.1145/3539618.3591913</v>
      </c>
      <c r="I184" s="11" t="s">
        <v>5598</v>
      </c>
      <c r="J184" s="11" t="s">
        <v>5597</v>
      </c>
      <c r="K184" s="11" t="s">
        <v>42</v>
      </c>
      <c r="L184" s="11" t="s">
        <v>5552</v>
      </c>
      <c r="M184" s="9" t="s">
        <v>12142</v>
      </c>
    </row>
    <row r="185" spans="1:13" x14ac:dyDescent="0.25">
      <c r="A185" s="11">
        <v>497</v>
      </c>
      <c r="B185" s="12" t="s">
        <v>12118</v>
      </c>
      <c r="C185" s="12">
        <v>550</v>
      </c>
      <c r="D185" s="11" t="s">
        <v>4018</v>
      </c>
      <c r="E185" s="11" t="s">
        <v>4020</v>
      </c>
      <c r="F185" s="11">
        <v>2023</v>
      </c>
      <c r="G185" s="11" t="s">
        <v>4021</v>
      </c>
      <c r="H185" s="11" t="str">
        <f>HYPERLINK("http://dx.doi.org/10.1016/j.jksuci.2023.101675","http://dx.doi.org/10.1016/j.jksuci.2023.101675")</f>
        <v>http://dx.doi.org/10.1016/j.jksuci.2023.101675</v>
      </c>
      <c r="I185" s="11" t="s">
        <v>4024</v>
      </c>
      <c r="J185" s="11" t="s">
        <v>4022</v>
      </c>
      <c r="K185" s="11" t="s">
        <v>42</v>
      </c>
      <c r="L185" s="11" t="s">
        <v>56</v>
      </c>
      <c r="M185" s="9">
        <v>1</v>
      </c>
    </row>
    <row r="186" spans="1:13" x14ac:dyDescent="0.25">
      <c r="A186" s="11">
        <v>531</v>
      </c>
      <c r="B186" s="12" t="s">
        <v>12118</v>
      </c>
      <c r="C186" s="12">
        <v>592</v>
      </c>
      <c r="D186" s="11" t="s">
        <v>3213</v>
      </c>
      <c r="E186" s="11" t="s">
        <v>3215</v>
      </c>
      <c r="F186" s="11">
        <v>2023</v>
      </c>
      <c r="G186" s="11" t="s">
        <v>1657</v>
      </c>
      <c r="H186" s="11" t="str">
        <f>HYPERLINK("http://dx.doi.org/10.2196/49949","http://dx.doi.org/10.2196/49949")</f>
        <v>http://dx.doi.org/10.2196/49949</v>
      </c>
      <c r="I186" s="11" t="s">
        <v>3218</v>
      </c>
      <c r="J186" s="11" t="s">
        <v>3216</v>
      </c>
      <c r="K186" s="11" t="s">
        <v>42</v>
      </c>
      <c r="L186" s="11" t="s">
        <v>56</v>
      </c>
      <c r="M186" s="10">
        <v>1</v>
      </c>
    </row>
    <row r="187" spans="1:13" x14ac:dyDescent="0.25">
      <c r="A187" s="11">
        <v>414</v>
      </c>
      <c r="B187" s="12" t="s">
        <v>12118</v>
      </c>
      <c r="C187" s="12">
        <v>460</v>
      </c>
      <c r="D187" s="11" t="s">
        <v>9855</v>
      </c>
      <c r="E187" s="11" t="s">
        <v>9857</v>
      </c>
      <c r="F187" s="11">
        <v>2020</v>
      </c>
      <c r="G187" s="11" t="s">
        <v>4064</v>
      </c>
      <c r="H187" s="11" t="str">
        <f>HYPERLINK("http://dx.doi.org/10.1016/j.autcon.2020.103163","http://dx.doi.org/10.1016/j.autcon.2020.103163")</f>
        <v>http://dx.doi.org/10.1016/j.autcon.2020.103163</v>
      </c>
      <c r="I187" s="11" t="s">
        <v>9860</v>
      </c>
      <c r="J187" s="11" t="s">
        <v>9858</v>
      </c>
      <c r="K187" s="11" t="s">
        <v>42</v>
      </c>
      <c r="L187" s="11" t="s">
        <v>56</v>
      </c>
      <c r="M187" s="9" t="s">
        <v>12142</v>
      </c>
    </row>
    <row r="188" spans="1:13" x14ac:dyDescent="0.25">
      <c r="A188" s="11">
        <v>180</v>
      </c>
      <c r="B188" s="12" t="s">
        <v>12118</v>
      </c>
      <c r="C188" s="12">
        <v>196</v>
      </c>
      <c r="D188" s="11" t="s">
        <v>3333</v>
      </c>
      <c r="E188" s="11" t="s">
        <v>3335</v>
      </c>
      <c r="F188" s="11">
        <v>2023</v>
      </c>
      <c r="G188" s="11" t="s">
        <v>3336</v>
      </c>
      <c r="H188" s="11" t="str">
        <f>HYPERLINK("http://dx.doi.org/10.1016/j.isatra.2023.04.025","http://dx.doi.org/10.1016/j.isatra.2023.04.025")</f>
        <v>http://dx.doi.org/10.1016/j.isatra.2023.04.025</v>
      </c>
      <c r="I188" s="11" t="s">
        <v>3339</v>
      </c>
      <c r="J188" s="11" t="s">
        <v>3337</v>
      </c>
      <c r="K188" s="11" t="s">
        <v>42</v>
      </c>
      <c r="L188" s="11" t="s">
        <v>56</v>
      </c>
      <c r="M188" s="9" t="s">
        <v>12142</v>
      </c>
    </row>
    <row r="189" spans="1:13" x14ac:dyDescent="0.25">
      <c r="A189" s="11">
        <v>390</v>
      </c>
      <c r="B189" s="12" t="s">
        <v>12118</v>
      </c>
      <c r="C189" s="12">
        <v>432</v>
      </c>
      <c r="D189" s="11" t="s">
        <v>3574</v>
      </c>
      <c r="E189" s="11" t="s">
        <v>3576</v>
      </c>
      <c r="F189" s="11">
        <v>2023</v>
      </c>
      <c r="G189" s="11" t="s">
        <v>3577</v>
      </c>
      <c r="H189" s="11" t="s">
        <v>1507</v>
      </c>
      <c r="I189" s="11" t="s">
        <v>3579</v>
      </c>
      <c r="J189" s="11" t="s">
        <v>3578</v>
      </c>
      <c r="K189" s="11" t="s">
        <v>42</v>
      </c>
      <c r="L189" s="11" t="s">
        <v>56</v>
      </c>
      <c r="M189" s="9" t="s">
        <v>12142</v>
      </c>
    </row>
    <row r="190" spans="1:13" x14ac:dyDescent="0.25">
      <c r="A190" s="11">
        <v>496</v>
      </c>
      <c r="B190" s="12" t="s">
        <v>12118</v>
      </c>
      <c r="C190" s="12">
        <v>549</v>
      </c>
      <c r="D190" s="11" t="s">
        <v>9895</v>
      </c>
      <c r="E190" s="11" t="s">
        <v>9897</v>
      </c>
      <c r="F190" s="11">
        <v>2020</v>
      </c>
      <c r="G190" s="11" t="s">
        <v>9898</v>
      </c>
      <c r="H190" s="11" t="str">
        <f>HYPERLINK("http://dx.doi.org/10.1016/j.jmmm.2020.166532","http://dx.doi.org/10.1016/j.jmmm.2020.166532")</f>
        <v>http://dx.doi.org/10.1016/j.jmmm.2020.166532</v>
      </c>
      <c r="I190" s="11" t="s">
        <v>9901</v>
      </c>
      <c r="J190" s="11" t="s">
        <v>9899</v>
      </c>
      <c r="K190" s="11" t="s">
        <v>42</v>
      </c>
      <c r="L190" s="11" t="s">
        <v>56</v>
      </c>
      <c r="M190" s="9" t="s">
        <v>12142</v>
      </c>
    </row>
    <row r="191" spans="1:13" x14ac:dyDescent="0.25">
      <c r="A191" s="11">
        <v>22</v>
      </c>
      <c r="B191" s="12" t="s">
        <v>12118</v>
      </c>
      <c r="C191" s="12">
        <v>25</v>
      </c>
      <c r="D191" s="11" t="s">
        <v>11264</v>
      </c>
      <c r="E191" s="11" t="s">
        <v>11266</v>
      </c>
      <c r="F191" s="11">
        <v>2019</v>
      </c>
      <c r="G191" s="11" t="s">
        <v>11267</v>
      </c>
      <c r="H191" s="11" t="s">
        <v>1507</v>
      </c>
      <c r="I191" s="11" t="s">
        <v>11269</v>
      </c>
      <c r="J191" s="11" t="s">
        <v>1507</v>
      </c>
      <c r="K191" s="11" t="s">
        <v>42</v>
      </c>
      <c r="L191" s="11" t="s">
        <v>56</v>
      </c>
      <c r="M191" s="9" t="s">
        <v>12142</v>
      </c>
    </row>
    <row r="192" spans="1:13" x14ac:dyDescent="0.25">
      <c r="A192" s="11">
        <v>478</v>
      </c>
      <c r="B192" s="12" t="s">
        <v>12118</v>
      </c>
      <c r="C192" s="12">
        <v>531</v>
      </c>
      <c r="D192" s="11" t="s">
        <v>6349</v>
      </c>
      <c r="E192" s="11" t="s">
        <v>6351</v>
      </c>
      <c r="F192" s="11">
        <v>2023</v>
      </c>
      <c r="G192" s="11" t="s">
        <v>5976</v>
      </c>
      <c r="H192" s="11" t="str">
        <f>HYPERLINK("http://dx.doi.org/10.2196/53466","http://dx.doi.org/10.2196/53466")</f>
        <v>http://dx.doi.org/10.2196/53466</v>
      </c>
      <c r="I192" s="11" t="s">
        <v>6354</v>
      </c>
      <c r="J192" s="11" t="s">
        <v>6352</v>
      </c>
      <c r="K192" s="11" t="s">
        <v>42</v>
      </c>
      <c r="L192" s="11" t="s">
        <v>56</v>
      </c>
      <c r="M192" s="9">
        <v>1</v>
      </c>
    </row>
    <row r="193" spans="1:13" x14ac:dyDescent="0.25">
      <c r="A193" s="11">
        <v>617</v>
      </c>
      <c r="B193" s="12" t="s">
        <v>12118</v>
      </c>
      <c r="C193" s="12">
        <v>686</v>
      </c>
      <c r="D193" s="11" t="s">
        <v>3710</v>
      </c>
      <c r="E193" s="11" t="s">
        <v>3712</v>
      </c>
      <c r="F193" s="11">
        <v>2023</v>
      </c>
      <c r="G193" s="11" t="s">
        <v>3713</v>
      </c>
      <c r="H193" s="11" t="str">
        <f>HYPERLINK("http://dx.doi.org/10.1016/j.watres.2023.120594","http://dx.doi.org/10.1016/j.watres.2023.120594")</f>
        <v>http://dx.doi.org/10.1016/j.watres.2023.120594</v>
      </c>
      <c r="I193" s="11" t="s">
        <v>3715</v>
      </c>
      <c r="J193" s="11" t="s">
        <v>3714</v>
      </c>
      <c r="K193" s="11" t="s">
        <v>42</v>
      </c>
      <c r="L193" s="11" t="s">
        <v>56</v>
      </c>
      <c r="M193" s="9" t="s">
        <v>12142</v>
      </c>
    </row>
    <row r="194" spans="1:13" x14ac:dyDescent="0.25">
      <c r="A194" s="11">
        <v>84</v>
      </c>
      <c r="B194" s="12" t="s">
        <v>12118</v>
      </c>
      <c r="C194" s="12">
        <v>88</v>
      </c>
      <c r="D194" s="11" t="s">
        <v>14868</v>
      </c>
      <c r="E194" s="11" t="s">
        <v>14870</v>
      </c>
      <c r="F194" s="11">
        <v>2023</v>
      </c>
      <c r="G194" s="11" t="s">
        <v>14871</v>
      </c>
      <c r="H194" s="11" t="str">
        <f>HYPERLINK("http://dx.doi.org/10.1109/ICDL55364.2023.10364374","http://dx.doi.org/10.1109/ICDL55364.2023.10364374")</f>
        <v>http://dx.doi.org/10.1109/ICDL55364.2023.10364374</v>
      </c>
      <c r="I194" s="11" t="s">
        <v>14875</v>
      </c>
      <c r="J194" s="11" t="s">
        <v>1507</v>
      </c>
      <c r="K194" s="11" t="s">
        <v>42</v>
      </c>
      <c r="L194" s="11" t="s">
        <v>5552</v>
      </c>
      <c r="M194" s="9" t="s">
        <v>12142</v>
      </c>
    </row>
    <row r="195" spans="1:13" x14ac:dyDescent="0.25">
      <c r="A195" s="12">
        <v>127</v>
      </c>
      <c r="B195" s="12" t="s">
        <v>12204</v>
      </c>
      <c r="C195" s="12">
        <v>456</v>
      </c>
      <c r="D195" s="12" t="s">
        <v>13568</v>
      </c>
      <c r="E195" s="12" t="s">
        <v>704</v>
      </c>
      <c r="F195" s="12">
        <v>2023</v>
      </c>
      <c r="G195" s="12" t="s">
        <v>705</v>
      </c>
      <c r="H195" s="12" t="s">
        <v>706</v>
      </c>
      <c r="I195" s="12" t="s">
        <v>709</v>
      </c>
      <c r="J195" s="12" t="s">
        <v>710</v>
      </c>
      <c r="K195" s="12" t="s">
        <v>42</v>
      </c>
      <c r="L195" s="12" t="s">
        <v>56</v>
      </c>
      <c r="M195" s="9" t="s">
        <v>12142</v>
      </c>
    </row>
    <row r="196" spans="1:13" x14ac:dyDescent="0.25">
      <c r="A196" s="11">
        <v>274</v>
      </c>
      <c r="B196" s="12" t="s">
        <v>12118</v>
      </c>
      <c r="C196" s="12">
        <v>303</v>
      </c>
      <c r="D196" s="11" t="s">
        <v>8088</v>
      </c>
      <c r="E196" s="11" t="s">
        <v>8090</v>
      </c>
      <c r="F196" s="11">
        <v>2021</v>
      </c>
      <c r="G196" s="11" t="s">
        <v>8091</v>
      </c>
      <c r="H196" s="11" t="str">
        <f>HYPERLINK("http://dx.doi.org/10.1093/jn/nxab300","http://dx.doi.org/10.1093/jn/nxab300")</f>
        <v>http://dx.doi.org/10.1093/jn/nxab300</v>
      </c>
      <c r="I196" s="11" t="s">
        <v>8094</v>
      </c>
      <c r="J196" s="11" t="s">
        <v>8092</v>
      </c>
      <c r="K196" s="11" t="s">
        <v>42</v>
      </c>
      <c r="L196" s="11" t="s">
        <v>56</v>
      </c>
      <c r="M196" s="9" t="s">
        <v>12142</v>
      </c>
    </row>
    <row r="197" spans="1:13" x14ac:dyDescent="0.25">
      <c r="A197" s="11">
        <v>423</v>
      </c>
      <c r="B197" s="12" t="s">
        <v>12118</v>
      </c>
      <c r="C197" s="12">
        <v>469</v>
      </c>
      <c r="D197" s="11" t="s">
        <v>10151</v>
      </c>
      <c r="E197" s="11" t="s">
        <v>10153</v>
      </c>
      <c r="F197" s="11">
        <v>2020</v>
      </c>
      <c r="G197" s="11" t="s">
        <v>9087</v>
      </c>
      <c r="H197" s="11" t="str">
        <f>HYPERLINK("http://dx.doi.org/10.3390/ijms21030977","http://dx.doi.org/10.3390/ijms21030977")</f>
        <v>http://dx.doi.org/10.3390/ijms21030977</v>
      </c>
      <c r="I197" s="11" t="s">
        <v>10156</v>
      </c>
      <c r="J197" s="11" t="s">
        <v>10154</v>
      </c>
      <c r="K197" s="11" t="s">
        <v>42</v>
      </c>
      <c r="L197" s="11" t="s">
        <v>56</v>
      </c>
      <c r="M197" s="9" t="s">
        <v>12142</v>
      </c>
    </row>
    <row r="198" spans="1:13" x14ac:dyDescent="0.25">
      <c r="A198" s="11">
        <v>190</v>
      </c>
      <c r="B198" s="12" t="s">
        <v>12118</v>
      </c>
      <c r="C198" s="12">
        <v>207</v>
      </c>
      <c r="D198" s="11" t="s">
        <v>4314</v>
      </c>
      <c r="E198" s="11" t="s">
        <v>4316</v>
      </c>
      <c r="F198" s="11">
        <v>2023</v>
      </c>
      <c r="G198" s="11" t="s">
        <v>4317</v>
      </c>
      <c r="H198" s="11" t="str">
        <f>HYPERLINK("http://dx.doi.org/10.1097/YPG.0000000000000339","http://dx.doi.org/10.1097/YPG.0000000000000339")</f>
        <v>http://dx.doi.org/10.1097/YPG.0000000000000339</v>
      </c>
      <c r="I198" s="11" t="s">
        <v>4320</v>
      </c>
      <c r="J198" s="11" t="s">
        <v>4318</v>
      </c>
      <c r="K198" s="11" t="s">
        <v>42</v>
      </c>
      <c r="L198" s="11" t="s">
        <v>56</v>
      </c>
      <c r="M198" s="9" t="s">
        <v>12142</v>
      </c>
    </row>
    <row r="199" spans="1:13" x14ac:dyDescent="0.25">
      <c r="A199" s="11">
        <v>363</v>
      </c>
      <c r="B199" s="12" t="s">
        <v>12118</v>
      </c>
      <c r="C199" s="12">
        <v>404</v>
      </c>
      <c r="D199" s="11" t="s">
        <v>10625</v>
      </c>
      <c r="E199" s="11" t="s">
        <v>10627</v>
      </c>
      <c r="F199" s="11">
        <v>2019</v>
      </c>
      <c r="G199" s="11" t="s">
        <v>10628</v>
      </c>
      <c r="H199" s="11" t="str">
        <f>HYPERLINK("http://dx.doi.org/10.1016/j.nbd.2019.104506","http://dx.doi.org/10.1016/j.nbd.2019.104506")</f>
        <v>http://dx.doi.org/10.1016/j.nbd.2019.104506</v>
      </c>
      <c r="I199" s="11" t="s">
        <v>10631</v>
      </c>
      <c r="J199" s="11" t="s">
        <v>10629</v>
      </c>
      <c r="K199" s="11" t="s">
        <v>42</v>
      </c>
      <c r="L199" s="11" t="s">
        <v>56</v>
      </c>
      <c r="M199" s="9" t="s">
        <v>12142</v>
      </c>
    </row>
    <row r="200" spans="1:13" x14ac:dyDescent="0.25">
      <c r="A200" s="11">
        <v>512</v>
      </c>
      <c r="B200" s="12" t="s">
        <v>12118</v>
      </c>
      <c r="C200" s="12">
        <v>566</v>
      </c>
      <c r="D200" s="11" t="s">
        <v>6403</v>
      </c>
      <c r="E200" s="11" t="s">
        <v>6406</v>
      </c>
      <c r="F200" s="11">
        <v>2023</v>
      </c>
      <c r="G200" s="11" t="s">
        <v>6407</v>
      </c>
      <c r="H200" s="11" t="str">
        <f>HYPERLINK("http://dx.doi.org/10.1145/3588432.3591558","http://dx.doi.org/10.1145/3588432.3591558")</f>
        <v>http://dx.doi.org/10.1145/3588432.3591558</v>
      </c>
      <c r="I200" s="11" t="s">
        <v>6414</v>
      </c>
      <c r="J200" s="11" t="s">
        <v>6412</v>
      </c>
      <c r="K200" s="11" t="s">
        <v>42</v>
      </c>
      <c r="L200" s="11" t="s">
        <v>5552</v>
      </c>
      <c r="M200" s="9" t="s">
        <v>12142</v>
      </c>
    </row>
    <row r="201" spans="1:13" x14ac:dyDescent="0.25">
      <c r="A201" s="11">
        <v>37</v>
      </c>
      <c r="B201" s="12" t="s">
        <v>12118</v>
      </c>
      <c r="C201" s="12">
        <v>37</v>
      </c>
      <c r="D201" s="11" t="s">
        <v>9138</v>
      </c>
      <c r="E201" s="11" t="s">
        <v>9140</v>
      </c>
      <c r="F201" s="11">
        <v>2021</v>
      </c>
      <c r="G201" s="11" t="s">
        <v>9141</v>
      </c>
      <c r="H201" s="11" t="s">
        <v>1507</v>
      </c>
      <c r="I201" s="11" t="s">
        <v>9145</v>
      </c>
      <c r="J201" s="11" t="s">
        <v>1507</v>
      </c>
      <c r="K201" s="11" t="s">
        <v>42</v>
      </c>
      <c r="L201" s="11" t="s">
        <v>5552</v>
      </c>
      <c r="M201" s="9" t="s">
        <v>12142</v>
      </c>
    </row>
    <row r="202" spans="1:13" x14ac:dyDescent="0.25">
      <c r="A202" s="12">
        <v>14</v>
      </c>
      <c r="B202" s="12" t="s">
        <v>12204</v>
      </c>
      <c r="C202" s="12">
        <v>22</v>
      </c>
      <c r="D202" s="12" t="s">
        <v>12546</v>
      </c>
      <c r="E202" s="12" t="s">
        <v>1005</v>
      </c>
      <c r="F202" s="12">
        <v>2023</v>
      </c>
      <c r="G202" s="12" t="s">
        <v>1006</v>
      </c>
      <c r="H202" s="12" t="s">
        <v>1007</v>
      </c>
      <c r="I202" s="12" t="s">
        <v>1010</v>
      </c>
      <c r="J202" s="12" t="s">
        <v>1011</v>
      </c>
      <c r="K202" s="12" t="s">
        <v>42</v>
      </c>
      <c r="L202" s="12" t="s">
        <v>56</v>
      </c>
      <c r="M202" s="9">
        <v>1</v>
      </c>
    </row>
    <row r="203" spans="1:13" x14ac:dyDescent="0.25">
      <c r="A203" s="11">
        <v>411</v>
      </c>
      <c r="B203" s="12" t="s">
        <v>12118</v>
      </c>
      <c r="C203" s="12">
        <v>455</v>
      </c>
      <c r="D203" s="11" t="s">
        <v>10888</v>
      </c>
      <c r="E203" s="11" t="s">
        <v>10890</v>
      </c>
      <c r="F203" s="11">
        <v>2019</v>
      </c>
      <c r="G203" s="11" t="s">
        <v>3297</v>
      </c>
      <c r="H203" s="11" t="str">
        <f>HYPERLINK("http://dx.doi.org/10.1038/s41598-019-45364-z","http://dx.doi.org/10.1038/s41598-019-45364-z")</f>
        <v>http://dx.doi.org/10.1038/s41598-019-45364-z</v>
      </c>
      <c r="I203" s="11" t="s">
        <v>10892</v>
      </c>
      <c r="J203" s="11" t="s">
        <v>1507</v>
      </c>
      <c r="K203" s="11" t="s">
        <v>42</v>
      </c>
      <c r="L203" s="11" t="s">
        <v>56</v>
      </c>
      <c r="M203" s="9" t="s">
        <v>12142</v>
      </c>
    </row>
    <row r="204" spans="1:13" x14ac:dyDescent="0.25">
      <c r="A204" s="11">
        <v>171</v>
      </c>
      <c r="B204" s="12" t="s">
        <v>12118</v>
      </c>
      <c r="C204" s="12">
        <v>183</v>
      </c>
      <c r="D204" s="11" t="s">
        <v>10682</v>
      </c>
      <c r="E204" s="11" t="s">
        <v>10684</v>
      </c>
      <c r="F204" s="11">
        <v>2019</v>
      </c>
      <c r="G204" s="11" t="s">
        <v>2324</v>
      </c>
      <c r="H204" s="11" t="s">
        <v>1507</v>
      </c>
      <c r="I204" s="11" t="s">
        <v>10685</v>
      </c>
      <c r="J204" s="11" t="s">
        <v>1507</v>
      </c>
      <c r="K204" s="11" t="s">
        <v>42</v>
      </c>
      <c r="L204" s="11" t="s">
        <v>56</v>
      </c>
      <c r="M204" s="9" t="s">
        <v>12142</v>
      </c>
    </row>
    <row r="205" spans="1:13" x14ac:dyDescent="0.25">
      <c r="A205" s="11">
        <v>444</v>
      </c>
      <c r="B205" s="12" t="s">
        <v>12118</v>
      </c>
      <c r="C205" s="12">
        <v>495</v>
      </c>
      <c r="D205" s="11" t="s">
        <v>6822</v>
      </c>
      <c r="E205" s="11" t="s">
        <v>6824</v>
      </c>
      <c r="F205" s="11">
        <v>2022</v>
      </c>
      <c r="G205" s="11" t="s">
        <v>6825</v>
      </c>
      <c r="H205" s="11" t="str">
        <f>HYPERLINK("http://dx.doi.org/10.1186/s12889-022-14444-7","http://dx.doi.org/10.1186/s12889-022-14444-7")</f>
        <v>http://dx.doi.org/10.1186/s12889-022-14444-7</v>
      </c>
      <c r="I205" s="11" t="s">
        <v>6828</v>
      </c>
      <c r="J205" s="11" t="s">
        <v>6826</v>
      </c>
      <c r="K205" s="11" t="s">
        <v>42</v>
      </c>
      <c r="L205" s="11" t="s">
        <v>56</v>
      </c>
      <c r="M205" s="9" t="s">
        <v>12142</v>
      </c>
    </row>
    <row r="206" spans="1:13" x14ac:dyDescent="0.25">
      <c r="A206" s="11">
        <v>339</v>
      </c>
      <c r="B206" s="12" t="s">
        <v>12118</v>
      </c>
      <c r="C206" s="12">
        <v>379</v>
      </c>
      <c r="D206" s="11" t="s">
        <v>9512</v>
      </c>
      <c r="E206" s="11" t="s">
        <v>9514</v>
      </c>
      <c r="F206" s="11">
        <v>2020</v>
      </c>
      <c r="G206" s="11" t="s">
        <v>9515</v>
      </c>
      <c r="H206" s="11" t="s">
        <v>1507</v>
      </c>
      <c r="I206" s="11" t="s">
        <v>9517</v>
      </c>
      <c r="J206" s="11" t="s">
        <v>1507</v>
      </c>
      <c r="K206" s="11" t="s">
        <v>42</v>
      </c>
      <c r="L206" s="11" t="s">
        <v>56</v>
      </c>
      <c r="M206" s="9" t="s">
        <v>12142</v>
      </c>
    </row>
    <row r="207" spans="1:13" x14ac:dyDescent="0.25">
      <c r="A207" s="11">
        <v>495</v>
      </c>
      <c r="B207" s="12" t="s">
        <v>12118</v>
      </c>
      <c r="C207" s="12">
        <v>548</v>
      </c>
      <c r="D207" s="11" t="s">
        <v>10477</v>
      </c>
      <c r="E207" s="11" t="s">
        <v>10479</v>
      </c>
      <c r="F207" s="11">
        <v>2019</v>
      </c>
      <c r="G207" s="11" t="s">
        <v>2288</v>
      </c>
      <c r="H207" s="11" t="str">
        <f>HYPERLINK("http://dx.doi.org/10.1128/JVI.01236-19","http://dx.doi.org/10.1128/JVI.01236-19")</f>
        <v>http://dx.doi.org/10.1128/JVI.01236-19</v>
      </c>
      <c r="I207" s="11" t="s">
        <v>10482</v>
      </c>
      <c r="J207" s="11" t="s">
        <v>10480</v>
      </c>
      <c r="K207" s="11" t="s">
        <v>42</v>
      </c>
      <c r="L207" s="11" t="s">
        <v>56</v>
      </c>
      <c r="M207" s="9" t="s">
        <v>12142</v>
      </c>
    </row>
    <row r="208" spans="1:13" x14ac:dyDescent="0.25">
      <c r="A208" s="11">
        <v>516</v>
      </c>
      <c r="B208" s="12" t="s">
        <v>12118</v>
      </c>
      <c r="C208" s="12">
        <v>572</v>
      </c>
      <c r="D208" s="11" t="s">
        <v>7865</v>
      </c>
      <c r="E208" s="11" t="s">
        <v>7867</v>
      </c>
      <c r="F208" s="11">
        <v>2022</v>
      </c>
      <c r="G208" s="11" t="s">
        <v>7650</v>
      </c>
      <c r="H208" s="11" t="s">
        <v>1507</v>
      </c>
      <c r="I208" s="11" t="s">
        <v>7868</v>
      </c>
      <c r="J208" s="11" t="s">
        <v>1507</v>
      </c>
      <c r="K208" s="11" t="s">
        <v>42</v>
      </c>
      <c r="L208" s="11" t="s">
        <v>5552</v>
      </c>
      <c r="M208" s="9" t="s">
        <v>12142</v>
      </c>
    </row>
    <row r="209" spans="1:13" x14ac:dyDescent="0.25">
      <c r="A209" s="11">
        <v>626</v>
      </c>
      <c r="B209" s="12" t="s">
        <v>12118</v>
      </c>
      <c r="C209" s="12">
        <v>695</v>
      </c>
      <c r="D209" s="11" t="s">
        <v>6674</v>
      </c>
      <c r="E209" s="11" t="s">
        <v>6676</v>
      </c>
      <c r="F209" s="11">
        <v>2023</v>
      </c>
      <c r="G209" s="11" t="s">
        <v>6677</v>
      </c>
      <c r="H209" s="11" t="str">
        <f>HYPERLINK("http://dx.doi.org/10.1145/3586182.3625121","http://dx.doi.org/10.1145/3586182.3625121")</f>
        <v>http://dx.doi.org/10.1145/3586182.3625121</v>
      </c>
      <c r="I209" s="11" t="s">
        <v>6682</v>
      </c>
      <c r="J209" s="11" t="s">
        <v>6681</v>
      </c>
      <c r="K209" s="11" t="s">
        <v>42</v>
      </c>
      <c r="L209" s="11" t="s">
        <v>5552</v>
      </c>
      <c r="M209" s="9" t="s">
        <v>12142</v>
      </c>
    </row>
    <row r="210" spans="1:13" x14ac:dyDescent="0.25">
      <c r="A210" s="12">
        <v>49</v>
      </c>
      <c r="B210" s="12" t="s">
        <v>12204</v>
      </c>
      <c r="C210" s="12">
        <v>176</v>
      </c>
      <c r="D210" s="12" t="s">
        <v>1356</v>
      </c>
      <c r="E210" s="12" t="s">
        <v>1357</v>
      </c>
      <c r="F210" s="12">
        <v>2019</v>
      </c>
      <c r="G210" s="12" t="s">
        <v>1358</v>
      </c>
      <c r="H210" s="12" t="s">
        <v>1359</v>
      </c>
      <c r="I210" s="12" t="s">
        <v>1362</v>
      </c>
      <c r="J210" s="12" t="s">
        <v>1363</v>
      </c>
      <c r="K210" s="12" t="s">
        <v>42</v>
      </c>
      <c r="L210" s="12" t="s">
        <v>56</v>
      </c>
      <c r="M210" s="9" t="s">
        <v>12142</v>
      </c>
    </row>
    <row r="211" spans="1:13" x14ac:dyDescent="0.25">
      <c r="A211" s="11">
        <v>165</v>
      </c>
      <c r="B211" s="12" t="s">
        <v>12118</v>
      </c>
      <c r="C211" s="12">
        <v>177</v>
      </c>
      <c r="D211" s="11" t="s">
        <v>10466</v>
      </c>
      <c r="E211" s="11" t="s">
        <v>10468</v>
      </c>
      <c r="F211" s="11">
        <v>2019</v>
      </c>
      <c r="G211" s="11" t="s">
        <v>4793</v>
      </c>
      <c r="H211" s="11" t="str">
        <f>HYPERLINK("http://dx.doi.org/10.4337/qmjip.2019.04.05","http://dx.doi.org/10.4337/qmjip.2019.04.05")</f>
        <v>http://dx.doi.org/10.4337/qmjip.2019.04.05</v>
      </c>
      <c r="I211" s="11" t="s">
        <v>10471</v>
      </c>
      <c r="J211" s="11" t="s">
        <v>10469</v>
      </c>
      <c r="K211" s="11" t="s">
        <v>42</v>
      </c>
      <c r="L211" s="11" t="s">
        <v>56</v>
      </c>
      <c r="M211" s="9" t="s">
        <v>12142</v>
      </c>
    </row>
    <row r="212" spans="1:13" x14ac:dyDescent="0.25">
      <c r="A212" s="12">
        <v>77</v>
      </c>
      <c r="B212" s="12" t="s">
        <v>12204</v>
      </c>
      <c r="C212" s="12">
        <v>279</v>
      </c>
      <c r="D212" s="12" t="s">
        <v>13581</v>
      </c>
      <c r="E212" s="12" t="s">
        <v>600</v>
      </c>
      <c r="F212" s="12">
        <v>2023</v>
      </c>
      <c r="G212" s="12" t="s">
        <v>601</v>
      </c>
      <c r="H212" s="12" t="s">
        <v>603</v>
      </c>
      <c r="I212" s="12" t="s">
        <v>605</v>
      </c>
      <c r="J212" s="12" t="s">
        <v>606</v>
      </c>
      <c r="K212" s="12" t="s">
        <v>42</v>
      </c>
      <c r="L212" s="12" t="s">
        <v>56</v>
      </c>
      <c r="M212" s="9" t="s">
        <v>12142</v>
      </c>
    </row>
    <row r="213" spans="1:13" x14ac:dyDescent="0.25">
      <c r="A213" s="11">
        <v>551</v>
      </c>
      <c r="B213" s="12" t="s">
        <v>12118</v>
      </c>
      <c r="C213" s="12">
        <v>617</v>
      </c>
      <c r="D213" s="11" t="s">
        <v>11178</v>
      </c>
      <c r="E213" s="11" t="s">
        <v>11180</v>
      </c>
      <c r="F213" s="11">
        <v>2019</v>
      </c>
      <c r="G213" s="11" t="s">
        <v>11181</v>
      </c>
      <c r="H213" s="11" t="s">
        <v>1507</v>
      </c>
      <c r="I213" s="11" t="s">
        <v>11183</v>
      </c>
      <c r="J213" s="11" t="s">
        <v>1507</v>
      </c>
      <c r="K213" s="11" t="s">
        <v>42</v>
      </c>
      <c r="L213" s="11" t="s">
        <v>56</v>
      </c>
      <c r="M213" s="9" t="s">
        <v>12142</v>
      </c>
    </row>
    <row r="214" spans="1:13" x14ac:dyDescent="0.25">
      <c r="A214" s="11">
        <v>58</v>
      </c>
      <c r="B214" s="12" t="s">
        <v>12118</v>
      </c>
      <c r="C214" s="12">
        <v>62</v>
      </c>
      <c r="D214" s="11" t="s">
        <v>1996</v>
      </c>
      <c r="E214" s="11" t="s">
        <v>1998</v>
      </c>
      <c r="F214" s="11">
        <v>2023</v>
      </c>
      <c r="G214" s="11" t="s">
        <v>1999</v>
      </c>
      <c r="H214" s="11" t="str">
        <f>HYPERLINK("http://dx.doi.org/10.1371/journal.pone.0295383","http://dx.doi.org/10.1371/journal.pone.0295383")</f>
        <v>http://dx.doi.org/10.1371/journal.pone.0295383</v>
      </c>
      <c r="I214" s="11" t="s">
        <v>2001</v>
      </c>
      <c r="J214" s="11" t="s">
        <v>1507</v>
      </c>
      <c r="K214" s="11" t="s">
        <v>42</v>
      </c>
      <c r="L214" s="11" t="s">
        <v>56</v>
      </c>
      <c r="M214" s="9" t="s">
        <v>12142</v>
      </c>
    </row>
    <row r="215" spans="1:13" x14ac:dyDescent="0.25">
      <c r="A215" s="11">
        <v>537</v>
      </c>
      <c r="B215" s="12" t="s">
        <v>12118</v>
      </c>
      <c r="C215" s="12">
        <v>601</v>
      </c>
      <c r="D215" s="11" t="s">
        <v>4926</v>
      </c>
      <c r="E215" s="11" t="s">
        <v>4928</v>
      </c>
      <c r="F215" s="11">
        <v>2023</v>
      </c>
      <c r="G215" s="11" t="s">
        <v>4929</v>
      </c>
      <c r="H215" s="11" t="str">
        <f>HYPERLINK("http://dx.doi.org/10.1111/1756-185X.14749","http://dx.doi.org/10.1111/1756-185X.14749")</f>
        <v>http://dx.doi.org/10.1111/1756-185X.14749</v>
      </c>
      <c r="I215" s="11" t="s">
        <v>4930</v>
      </c>
      <c r="J215" s="11" t="s">
        <v>220</v>
      </c>
      <c r="K215" s="11" t="s">
        <v>42</v>
      </c>
      <c r="L215" s="11" t="s">
        <v>56</v>
      </c>
      <c r="M215" s="9" t="s">
        <v>12142</v>
      </c>
    </row>
    <row r="216" spans="1:13" x14ac:dyDescent="0.25">
      <c r="A216" s="11">
        <v>91</v>
      </c>
      <c r="B216" s="12" t="s">
        <v>12118</v>
      </c>
      <c r="C216" s="12">
        <v>92</v>
      </c>
      <c r="D216" s="11" t="s">
        <v>8727</v>
      </c>
      <c r="E216" s="11" t="s">
        <v>8729</v>
      </c>
      <c r="F216" s="11">
        <v>2021</v>
      </c>
      <c r="G216" s="11" t="s">
        <v>8730</v>
      </c>
      <c r="H216" s="11" t="str">
        <f>HYPERLINK("http://dx.doi.org/10.1093/jla/laaa004","http://dx.doi.org/10.1093/jla/laaa004")</f>
        <v>http://dx.doi.org/10.1093/jla/laaa004</v>
      </c>
      <c r="I216" s="11" t="s">
        <v>8732</v>
      </c>
      <c r="J216" s="11" t="s">
        <v>1507</v>
      </c>
      <c r="K216" s="11" t="s">
        <v>42</v>
      </c>
      <c r="L216" s="11" t="s">
        <v>56</v>
      </c>
      <c r="M216" s="9" t="s">
        <v>12142</v>
      </c>
    </row>
    <row r="217" spans="1:13" x14ac:dyDescent="0.25">
      <c r="A217" s="11">
        <v>535</v>
      </c>
      <c r="B217" s="12" t="s">
        <v>12118</v>
      </c>
      <c r="C217" s="12">
        <v>597</v>
      </c>
      <c r="D217" s="11" t="s">
        <v>1819</v>
      </c>
      <c r="E217" s="11" t="s">
        <v>1821</v>
      </c>
      <c r="F217" s="11">
        <v>2023</v>
      </c>
      <c r="G217" s="11" t="s">
        <v>1822</v>
      </c>
      <c r="H217" s="11" t="str">
        <f>HYPERLINK("http://dx.doi.org/10.1111/btp.13290","http://dx.doi.org/10.1111/btp.13290")</f>
        <v>http://dx.doi.org/10.1111/btp.13290</v>
      </c>
      <c r="I217" s="11" t="s">
        <v>1825</v>
      </c>
      <c r="J217" s="11" t="s">
        <v>1823</v>
      </c>
      <c r="K217" s="11" t="s">
        <v>42</v>
      </c>
      <c r="L217" s="11" t="s">
        <v>1509</v>
      </c>
      <c r="M217" s="9" t="s">
        <v>12142</v>
      </c>
    </row>
    <row r="218" spans="1:13" x14ac:dyDescent="0.25">
      <c r="A218" s="11">
        <v>48</v>
      </c>
      <c r="B218" s="12" t="s">
        <v>12118</v>
      </c>
      <c r="C218" s="12">
        <v>51</v>
      </c>
      <c r="D218" s="11" t="s">
        <v>3036</v>
      </c>
      <c r="E218" s="11" t="s">
        <v>3038</v>
      </c>
      <c r="F218" s="11">
        <v>2023</v>
      </c>
      <c r="G218" s="11" t="s">
        <v>3039</v>
      </c>
      <c r="H218" s="11" t="str">
        <f>HYPERLINK("http://dx.doi.org/10.1177/10597123231206604","http://dx.doi.org/10.1177/10597123231206604")</f>
        <v>http://dx.doi.org/10.1177/10597123231206604</v>
      </c>
      <c r="I218" s="11" t="s">
        <v>3042</v>
      </c>
      <c r="J218" s="11" t="s">
        <v>3040</v>
      </c>
      <c r="K218" s="11" t="s">
        <v>42</v>
      </c>
      <c r="L218" s="11" t="s">
        <v>1509</v>
      </c>
      <c r="M218" s="9" t="s">
        <v>12142</v>
      </c>
    </row>
    <row r="219" spans="1:13" x14ac:dyDescent="0.25">
      <c r="A219" s="11">
        <v>60</v>
      </c>
      <c r="B219" s="12" t="s">
        <v>12118</v>
      </c>
      <c r="C219" s="12">
        <v>64</v>
      </c>
      <c r="D219" s="11" t="s">
        <v>7402</v>
      </c>
      <c r="E219" s="11" t="s">
        <v>7404</v>
      </c>
      <c r="F219" s="11">
        <v>2022</v>
      </c>
      <c r="G219" s="11" t="s">
        <v>7405</v>
      </c>
      <c r="H219" s="11" t="str">
        <f>HYPERLINK("http://dx.doi.org/10.1016/j.diagmicrobio.2021.115597","http://dx.doi.org/10.1016/j.diagmicrobio.2021.115597")</f>
        <v>http://dx.doi.org/10.1016/j.diagmicrobio.2021.115597</v>
      </c>
      <c r="I219" s="11" t="s">
        <v>7408</v>
      </c>
      <c r="J219" s="11" t="s">
        <v>7406</v>
      </c>
      <c r="K219" s="11" t="s">
        <v>42</v>
      </c>
      <c r="L219" s="11" t="s">
        <v>56</v>
      </c>
      <c r="M219" s="9" t="s">
        <v>12142</v>
      </c>
    </row>
    <row r="220" spans="1:13" x14ac:dyDescent="0.25">
      <c r="A220" s="11">
        <v>613</v>
      </c>
      <c r="B220" s="12" t="s">
        <v>12118</v>
      </c>
      <c r="C220" s="12">
        <v>682</v>
      </c>
      <c r="D220" s="11" t="s">
        <v>4061</v>
      </c>
      <c r="E220" s="11" t="s">
        <v>4063</v>
      </c>
      <c r="F220" s="11">
        <v>2023</v>
      </c>
      <c r="G220" s="11" t="s">
        <v>4064</v>
      </c>
      <c r="H220" s="11" t="str">
        <f>HYPERLINK("http://dx.doi.org/10.1016/j.autcon.2023.105067","http://dx.doi.org/10.1016/j.autcon.2023.105067")</f>
        <v>http://dx.doi.org/10.1016/j.autcon.2023.105067</v>
      </c>
      <c r="I220" s="11" t="s">
        <v>4067</v>
      </c>
      <c r="J220" s="11" t="s">
        <v>4065</v>
      </c>
      <c r="K220" s="11" t="s">
        <v>42</v>
      </c>
      <c r="L220" s="11" t="s">
        <v>56</v>
      </c>
      <c r="M220" s="9">
        <v>1</v>
      </c>
    </row>
    <row r="221" spans="1:13" x14ac:dyDescent="0.25">
      <c r="A221" s="11">
        <v>349</v>
      </c>
      <c r="B221" s="12" t="s">
        <v>12118</v>
      </c>
      <c r="C221" s="12">
        <v>390</v>
      </c>
      <c r="D221" s="11" t="s">
        <v>10547</v>
      </c>
      <c r="E221" s="11" t="s">
        <v>10549</v>
      </c>
      <c r="F221" s="11">
        <v>2019</v>
      </c>
      <c r="G221" s="11" t="s">
        <v>10550</v>
      </c>
      <c r="H221" s="11" t="str">
        <f>HYPERLINK("http://dx.doi.org/10.1007/s00265-019-2766-9","http://dx.doi.org/10.1007/s00265-019-2766-9")</f>
        <v>http://dx.doi.org/10.1007/s00265-019-2766-9</v>
      </c>
      <c r="I221" s="11" t="s">
        <v>10553</v>
      </c>
      <c r="J221" s="11" t="s">
        <v>10551</v>
      </c>
      <c r="K221" s="11" t="s">
        <v>42</v>
      </c>
      <c r="L221" s="11" t="s">
        <v>56</v>
      </c>
      <c r="M221" s="9" t="s">
        <v>12142</v>
      </c>
    </row>
    <row r="222" spans="1:13" x14ac:dyDescent="0.25">
      <c r="A222" s="11">
        <v>122</v>
      </c>
      <c r="B222" s="12" t="s">
        <v>12118</v>
      </c>
      <c r="C222" s="12">
        <v>130</v>
      </c>
      <c r="D222" s="11" t="s">
        <v>5737</v>
      </c>
      <c r="E222" s="11" t="s">
        <v>5739</v>
      </c>
      <c r="F222" s="11">
        <v>2023</v>
      </c>
      <c r="G222" s="11" t="s">
        <v>5740</v>
      </c>
      <c r="H222" s="11" t="str">
        <f>HYPERLINK("http://dx.doi.org/10.53761/1.20.7.01","http://dx.doi.org/10.53761/1.20.7.01")</f>
        <v>http://dx.doi.org/10.53761/1.20.7.01</v>
      </c>
      <c r="I222" s="11" t="s">
        <v>5743</v>
      </c>
      <c r="J222" s="11" t="s">
        <v>5741</v>
      </c>
      <c r="K222" s="11" t="s">
        <v>42</v>
      </c>
      <c r="L222" s="11" t="s">
        <v>56</v>
      </c>
      <c r="M222" s="10">
        <v>1</v>
      </c>
    </row>
    <row r="223" spans="1:13" x14ac:dyDescent="0.25">
      <c r="A223" s="11">
        <v>544</v>
      </c>
      <c r="B223" s="12" t="s">
        <v>12118</v>
      </c>
      <c r="C223" s="12">
        <v>609</v>
      </c>
      <c r="D223" s="11" t="s">
        <v>11483</v>
      </c>
      <c r="E223" s="11" t="s">
        <v>11485</v>
      </c>
      <c r="F223" s="11">
        <v>2019</v>
      </c>
      <c r="G223" s="11" t="s">
        <v>11486</v>
      </c>
      <c r="H223" s="11" t="str">
        <f>HYPERLINK("http://dx.doi.org/10.1590/rbz4820180131","http://dx.doi.org/10.1590/rbz4820180131")</f>
        <v>http://dx.doi.org/10.1590/rbz4820180131</v>
      </c>
      <c r="I223" s="11" t="s">
        <v>11489</v>
      </c>
      <c r="J223" s="11" t="s">
        <v>11487</v>
      </c>
      <c r="K223" s="11" t="s">
        <v>42</v>
      </c>
      <c r="L223" s="11" t="s">
        <v>56</v>
      </c>
      <c r="M223" s="9" t="s">
        <v>12142</v>
      </c>
    </row>
    <row r="224" spans="1:13" x14ac:dyDescent="0.25">
      <c r="A224" s="11">
        <v>77</v>
      </c>
      <c r="B224" s="12" t="s">
        <v>12118</v>
      </c>
      <c r="C224" s="12">
        <v>85</v>
      </c>
      <c r="D224" s="11" t="s">
        <v>6695</v>
      </c>
      <c r="E224" s="11" t="s">
        <v>6697</v>
      </c>
      <c r="F224" s="11">
        <v>2022</v>
      </c>
      <c r="G224" s="11" t="s">
        <v>6698</v>
      </c>
      <c r="H224" s="11" t="str">
        <f>HYPERLINK("http://dx.doi.org/10.1080/09712119.2022.2147184","http://dx.doi.org/10.1080/09712119.2022.2147184")</f>
        <v>http://dx.doi.org/10.1080/09712119.2022.2147184</v>
      </c>
      <c r="I224" s="11" t="s">
        <v>6701</v>
      </c>
      <c r="J224" s="11" t="s">
        <v>6699</v>
      </c>
      <c r="K224" s="11" t="s">
        <v>42</v>
      </c>
      <c r="L224" s="11" t="s">
        <v>56</v>
      </c>
      <c r="M224" s="9" t="s">
        <v>12142</v>
      </c>
    </row>
    <row r="225" spans="1:13" x14ac:dyDescent="0.25">
      <c r="A225" s="11">
        <v>1</v>
      </c>
      <c r="B225" s="12" t="s">
        <v>12118</v>
      </c>
      <c r="C225" s="12">
        <v>1</v>
      </c>
      <c r="D225" s="11" t="s">
        <v>5519</v>
      </c>
      <c r="E225" s="11" t="s">
        <v>5521</v>
      </c>
      <c r="F225" s="11">
        <v>2023</v>
      </c>
      <c r="G225" s="11" t="s">
        <v>5522</v>
      </c>
      <c r="H225" s="11" t="str">
        <f>HYPERLINK("http://dx.doi.org/10.1590/0034-7167-2022-0366","http://dx.doi.org/10.1590/0034-7167-2022-0366")</f>
        <v>http://dx.doi.org/10.1590/0034-7167-2022-0366</v>
      </c>
      <c r="I225" s="11" t="s">
        <v>5525</v>
      </c>
      <c r="J225" s="11" t="s">
        <v>5523</v>
      </c>
      <c r="K225" s="11" t="s">
        <v>42</v>
      </c>
      <c r="L225" s="11" t="s">
        <v>56</v>
      </c>
      <c r="M225" s="9" t="s">
        <v>12142</v>
      </c>
    </row>
    <row r="226" spans="1:13" x14ac:dyDescent="0.25">
      <c r="A226" s="11">
        <v>514</v>
      </c>
      <c r="B226" s="12" t="s">
        <v>12118</v>
      </c>
      <c r="C226" s="12">
        <v>570</v>
      </c>
      <c r="D226" s="11" t="s">
        <v>11457</v>
      </c>
      <c r="E226" s="11" t="s">
        <v>913</v>
      </c>
      <c r="F226" s="11">
        <v>2019</v>
      </c>
      <c r="G226" s="11" t="s">
        <v>11460</v>
      </c>
      <c r="H226" s="11" t="str">
        <f>HYPERLINK("http://dx.doi.org/10.1088/1742-6596/1171/1/012004","http://dx.doi.org/10.1088/1742-6596/1171/1/012004")</f>
        <v>http://dx.doi.org/10.1088/1742-6596/1171/1/012004</v>
      </c>
      <c r="I226" s="11" t="s">
        <v>11466</v>
      </c>
      <c r="J226" s="11" t="s">
        <v>1507</v>
      </c>
      <c r="K226" s="11" t="s">
        <v>42</v>
      </c>
      <c r="L226" s="11" t="s">
        <v>5552</v>
      </c>
      <c r="M226" s="10">
        <v>1</v>
      </c>
    </row>
    <row r="227" spans="1:13" x14ac:dyDescent="0.25">
      <c r="A227" s="11">
        <v>575</v>
      </c>
      <c r="B227" s="12" t="s">
        <v>12118</v>
      </c>
      <c r="C227" s="12">
        <v>643</v>
      </c>
      <c r="D227" s="11" t="s">
        <v>10090</v>
      </c>
      <c r="E227" s="11" t="s">
        <v>10092</v>
      </c>
      <c r="F227" s="11">
        <v>2020</v>
      </c>
      <c r="G227" s="11" t="s">
        <v>10093</v>
      </c>
      <c r="H227" s="11" t="str">
        <f>HYPERLINK("http://dx.doi.org/10.1007/s00894-020-4310-2","http://dx.doi.org/10.1007/s00894-020-4310-2")</f>
        <v>http://dx.doi.org/10.1007/s00894-020-4310-2</v>
      </c>
      <c r="I227" s="11" t="s">
        <v>10095</v>
      </c>
      <c r="J227" s="11" t="s">
        <v>10094</v>
      </c>
      <c r="K227" s="11" t="s">
        <v>42</v>
      </c>
      <c r="L227" s="11" t="s">
        <v>56</v>
      </c>
      <c r="M227" s="9" t="s">
        <v>12142</v>
      </c>
    </row>
    <row r="228" spans="1:13" x14ac:dyDescent="0.25">
      <c r="A228" s="12">
        <v>129</v>
      </c>
      <c r="B228" s="12" t="s">
        <v>12204</v>
      </c>
      <c r="C228" s="12">
        <v>470</v>
      </c>
      <c r="D228" s="12" t="s">
        <v>13716</v>
      </c>
      <c r="E228" s="12" t="s">
        <v>13714</v>
      </c>
      <c r="F228" s="12">
        <v>2023</v>
      </c>
      <c r="G228" s="12" t="s">
        <v>636</v>
      </c>
      <c r="H228" s="12" t="s">
        <v>13713</v>
      </c>
      <c r="I228" s="12" t="s">
        <v>13709</v>
      </c>
      <c r="J228" s="12" t="s">
        <v>13708</v>
      </c>
      <c r="K228" s="12" t="s">
        <v>42</v>
      </c>
      <c r="L228" s="12" t="s">
        <v>12252</v>
      </c>
      <c r="M228" s="10" t="s">
        <v>12142</v>
      </c>
    </row>
    <row r="229" spans="1:13" x14ac:dyDescent="0.25">
      <c r="A229" s="11">
        <v>63</v>
      </c>
      <c r="B229" s="12" t="s">
        <v>12118</v>
      </c>
      <c r="C229" s="12">
        <v>68</v>
      </c>
      <c r="D229" s="11" t="s">
        <v>7671</v>
      </c>
      <c r="E229" s="11" t="s">
        <v>7673</v>
      </c>
      <c r="F229" s="11">
        <v>2022</v>
      </c>
      <c r="G229" s="11" t="s">
        <v>7674</v>
      </c>
      <c r="H229" s="11" t="str">
        <f>HYPERLINK("http://dx.doi.org/10.1371/journal.pbio.3001527","http://dx.doi.org/10.1371/journal.pbio.3001527")</f>
        <v>http://dx.doi.org/10.1371/journal.pbio.3001527</v>
      </c>
      <c r="I229" s="11" t="s">
        <v>7676</v>
      </c>
      <c r="J229" s="11" t="s">
        <v>1507</v>
      </c>
      <c r="K229" s="11" t="s">
        <v>42</v>
      </c>
      <c r="L229" s="11" t="s">
        <v>56</v>
      </c>
      <c r="M229" s="9" t="s">
        <v>12142</v>
      </c>
    </row>
    <row r="230" spans="1:13" x14ac:dyDescent="0.25">
      <c r="A230" s="11">
        <v>331</v>
      </c>
      <c r="B230" s="12" t="s">
        <v>12118</v>
      </c>
      <c r="C230" s="12">
        <v>373</v>
      </c>
      <c r="D230" s="11" t="s">
        <v>3819</v>
      </c>
      <c r="E230" s="11" t="s">
        <v>3821</v>
      </c>
      <c r="F230" s="11">
        <v>2023</v>
      </c>
      <c r="G230" s="11" t="s">
        <v>3822</v>
      </c>
      <c r="H230" s="11" t="str">
        <f>HYPERLINK("http://dx.doi.org/10.1016/j.knosys.2023.110957","http://dx.doi.org/10.1016/j.knosys.2023.110957")</f>
        <v>http://dx.doi.org/10.1016/j.knosys.2023.110957</v>
      </c>
      <c r="I230" s="11" t="s">
        <v>3824</v>
      </c>
      <c r="J230" s="11" t="s">
        <v>3823</v>
      </c>
      <c r="K230" s="11" t="s">
        <v>42</v>
      </c>
      <c r="L230" s="11" t="s">
        <v>56</v>
      </c>
      <c r="M230" s="9" t="s">
        <v>12142</v>
      </c>
    </row>
    <row r="231" spans="1:13" x14ac:dyDescent="0.25">
      <c r="A231" s="11">
        <v>291</v>
      </c>
      <c r="B231" s="12" t="s">
        <v>12118</v>
      </c>
      <c r="C231" s="12">
        <v>325</v>
      </c>
      <c r="D231" s="11" t="s">
        <v>2831</v>
      </c>
      <c r="E231" s="11" t="s">
        <v>2833</v>
      </c>
      <c r="F231" s="11">
        <v>2023</v>
      </c>
      <c r="G231" s="11" t="s">
        <v>1609</v>
      </c>
      <c r="H231" s="11" t="str">
        <f>HYPERLINK("http://dx.doi.org/10.3390/math11214479","http://dx.doi.org/10.3390/math11214479")</f>
        <v>http://dx.doi.org/10.3390/math11214479</v>
      </c>
      <c r="I231" s="11" t="s">
        <v>2835</v>
      </c>
      <c r="J231" s="11" t="s">
        <v>2834</v>
      </c>
      <c r="K231" s="11" t="s">
        <v>42</v>
      </c>
      <c r="L231" s="11" t="s">
        <v>56</v>
      </c>
      <c r="M231" s="9" t="s">
        <v>12142</v>
      </c>
    </row>
    <row r="232" spans="1:13" x14ac:dyDescent="0.25">
      <c r="A232" s="11">
        <v>254</v>
      </c>
      <c r="B232" s="12" t="s">
        <v>12118</v>
      </c>
      <c r="C232" s="12">
        <v>281</v>
      </c>
      <c r="D232" s="11" t="s">
        <v>4171</v>
      </c>
      <c r="E232" s="11" t="s">
        <v>4173</v>
      </c>
      <c r="F232" s="11">
        <v>2023</v>
      </c>
      <c r="G232" s="11" t="s">
        <v>4174</v>
      </c>
      <c r="H232" s="11" t="str">
        <f>HYPERLINK("http://dx.doi.org/10.1016/j.eswa.2023.121029","http://dx.doi.org/10.1016/j.eswa.2023.121029")</f>
        <v>http://dx.doi.org/10.1016/j.eswa.2023.121029</v>
      </c>
      <c r="I232" s="11" t="s">
        <v>4176</v>
      </c>
      <c r="J232" s="11" t="s">
        <v>4175</v>
      </c>
      <c r="K232" s="11" t="s">
        <v>42</v>
      </c>
      <c r="L232" s="11" t="s">
        <v>56</v>
      </c>
      <c r="M232" s="9" t="s">
        <v>12142</v>
      </c>
    </row>
    <row r="233" spans="1:13" x14ac:dyDescent="0.25">
      <c r="A233" s="11">
        <v>588</v>
      </c>
      <c r="B233" s="12" t="s">
        <v>12118</v>
      </c>
      <c r="C233" s="12">
        <v>657</v>
      </c>
      <c r="D233" s="11" t="s">
        <v>10184</v>
      </c>
      <c r="E233" s="11" t="s">
        <v>10186</v>
      </c>
      <c r="F233" s="11">
        <v>2020</v>
      </c>
      <c r="G233" s="11" t="s">
        <v>10187</v>
      </c>
      <c r="H233" s="11" t="str">
        <f>HYPERLINK("http://dx.doi.org/10.1021/acs.jpcc.0c00055","http://dx.doi.org/10.1021/acs.jpcc.0c00055")</f>
        <v>http://dx.doi.org/10.1021/acs.jpcc.0c00055</v>
      </c>
      <c r="I233" s="11" t="s">
        <v>10189</v>
      </c>
      <c r="J233" s="11" t="s">
        <v>1507</v>
      </c>
      <c r="K233" s="11" t="s">
        <v>42</v>
      </c>
      <c r="L233" s="11" t="s">
        <v>56</v>
      </c>
      <c r="M233" s="9" t="s">
        <v>12142</v>
      </c>
    </row>
    <row r="234" spans="1:13" x14ac:dyDescent="0.25">
      <c r="A234" s="11">
        <v>159</v>
      </c>
      <c r="B234" s="12" t="s">
        <v>12118</v>
      </c>
      <c r="C234" s="12">
        <v>169</v>
      </c>
      <c r="D234" s="11" t="s">
        <v>8621</v>
      </c>
      <c r="E234" s="11" t="s">
        <v>8623</v>
      </c>
      <c r="F234" s="11">
        <v>2021</v>
      </c>
      <c r="G234" s="11" t="s">
        <v>8624</v>
      </c>
      <c r="H234" s="11" t="str">
        <f>HYPERLINK("http://dx.doi.org/10.1007/s11356-021-14351-1","http://dx.doi.org/10.1007/s11356-021-14351-1")</f>
        <v>http://dx.doi.org/10.1007/s11356-021-14351-1</v>
      </c>
      <c r="I234" s="11" t="s">
        <v>8627</v>
      </c>
      <c r="J234" s="11" t="s">
        <v>8625</v>
      </c>
      <c r="K234" s="11" t="s">
        <v>42</v>
      </c>
      <c r="L234" s="11" t="s">
        <v>56</v>
      </c>
      <c r="M234" s="9" t="s">
        <v>12142</v>
      </c>
    </row>
    <row r="235" spans="1:13" x14ac:dyDescent="0.25">
      <c r="A235" s="12">
        <v>170</v>
      </c>
      <c r="B235" s="12" t="s">
        <v>12204</v>
      </c>
      <c r="C235" s="12">
        <v>635</v>
      </c>
      <c r="D235" s="12" t="s">
        <v>12489</v>
      </c>
      <c r="E235" s="12" t="s">
        <v>1153</v>
      </c>
      <c r="F235" s="12">
        <v>2023</v>
      </c>
      <c r="G235" s="12" t="s">
        <v>1154</v>
      </c>
      <c r="H235" s="12" t="s">
        <v>1155</v>
      </c>
      <c r="I235" s="12" t="s">
        <v>1158</v>
      </c>
      <c r="J235" s="12" t="s">
        <v>1159</v>
      </c>
      <c r="K235" s="12" t="s">
        <v>42</v>
      </c>
      <c r="L235" s="12" t="s">
        <v>56</v>
      </c>
      <c r="M235" s="10">
        <v>1</v>
      </c>
    </row>
    <row r="236" spans="1:13" x14ac:dyDescent="0.25">
      <c r="A236" s="11">
        <v>139</v>
      </c>
      <c r="B236" s="12" t="s">
        <v>12118</v>
      </c>
      <c r="C236" s="12">
        <v>149</v>
      </c>
      <c r="D236" s="11" t="s">
        <v>4724</v>
      </c>
      <c r="E236" s="11" t="s">
        <v>4726</v>
      </c>
      <c r="F236" s="11">
        <v>2023</v>
      </c>
      <c r="G236" s="11" t="s">
        <v>1617</v>
      </c>
      <c r="H236" s="11" t="str">
        <f>HYPERLINK("http://dx.doi.org/10.3390/electronics12122722","http://dx.doi.org/10.3390/electronics12122722")</f>
        <v>http://dx.doi.org/10.3390/electronics12122722</v>
      </c>
      <c r="I236" s="11" t="s">
        <v>4729</v>
      </c>
      <c r="J236" s="11" t="s">
        <v>4727</v>
      </c>
      <c r="K236" s="11" t="s">
        <v>42</v>
      </c>
      <c r="L236" s="11" t="s">
        <v>56</v>
      </c>
      <c r="M236" s="9" t="s">
        <v>12142</v>
      </c>
    </row>
    <row r="237" spans="1:13" x14ac:dyDescent="0.25">
      <c r="A237" s="11">
        <v>559</v>
      </c>
      <c r="B237" s="12" t="s">
        <v>12118</v>
      </c>
      <c r="C237" s="12">
        <v>625</v>
      </c>
      <c r="D237" s="11" t="s">
        <v>6535</v>
      </c>
      <c r="E237" s="11" t="s">
        <v>6537</v>
      </c>
      <c r="F237" s="11">
        <v>2023</v>
      </c>
      <c r="G237" s="11" t="s">
        <v>6538</v>
      </c>
      <c r="H237" s="11" t="str">
        <f>HYPERLINK("http://dx.doi.org/10.1177/18344909231213958","http://dx.doi.org/10.1177/18344909231213958")</f>
        <v>http://dx.doi.org/10.1177/18344909231213958</v>
      </c>
      <c r="I237" s="11" t="s">
        <v>6540</v>
      </c>
      <c r="J237" s="11" t="s">
        <v>6539</v>
      </c>
      <c r="K237" s="11" t="s">
        <v>42</v>
      </c>
      <c r="L237" s="11" t="s">
        <v>56</v>
      </c>
      <c r="M237" s="9">
        <v>1</v>
      </c>
    </row>
    <row r="238" spans="1:13" x14ac:dyDescent="0.25">
      <c r="A238" s="11">
        <v>54</v>
      </c>
      <c r="B238" s="12" t="s">
        <v>12118</v>
      </c>
      <c r="C238" s="12">
        <v>59</v>
      </c>
      <c r="D238" s="11" t="s">
        <v>10728</v>
      </c>
      <c r="E238" s="11" t="s">
        <v>10730</v>
      </c>
      <c r="F238" s="11">
        <v>2019</v>
      </c>
      <c r="G238" s="11" t="s">
        <v>10731</v>
      </c>
      <c r="H238" s="11" t="str">
        <f>HYPERLINK("http://dx.doi.org/10.1002/xrs.3110","http://dx.doi.org/10.1002/xrs.3110")</f>
        <v>http://dx.doi.org/10.1002/xrs.3110</v>
      </c>
      <c r="I238" s="11" t="s">
        <v>10733</v>
      </c>
      <c r="J238" s="11" t="s">
        <v>1507</v>
      </c>
      <c r="K238" s="11" t="s">
        <v>42</v>
      </c>
      <c r="L238" s="11" t="s">
        <v>56</v>
      </c>
      <c r="M238" s="9" t="s">
        <v>12142</v>
      </c>
    </row>
    <row r="239" spans="1:13" x14ac:dyDescent="0.25">
      <c r="A239" s="11">
        <v>590</v>
      </c>
      <c r="B239" s="12" t="s">
        <v>12118</v>
      </c>
      <c r="C239" s="12">
        <v>659</v>
      </c>
      <c r="D239" s="11" t="s">
        <v>8558</v>
      </c>
      <c r="E239" s="11" t="s">
        <v>8560</v>
      </c>
      <c r="F239" s="11">
        <v>2021</v>
      </c>
      <c r="G239" s="11" t="s">
        <v>8561</v>
      </c>
      <c r="H239" s="11" t="str">
        <f>HYPERLINK("http://dx.doi.org/10.1007/s10921-021-00773-x","http://dx.doi.org/10.1007/s10921-021-00773-x")</f>
        <v>http://dx.doi.org/10.1007/s10921-021-00773-x</v>
      </c>
      <c r="I239" s="11" t="s">
        <v>8563</v>
      </c>
      <c r="J239" s="11" t="s">
        <v>8562</v>
      </c>
      <c r="K239" s="11" t="s">
        <v>42</v>
      </c>
      <c r="L239" s="11" t="s">
        <v>56</v>
      </c>
      <c r="M239" s="9" t="s">
        <v>12142</v>
      </c>
    </row>
    <row r="240" spans="1:13" x14ac:dyDescent="0.25">
      <c r="A240" s="12">
        <v>60</v>
      </c>
      <c r="B240" s="12" t="s">
        <v>12204</v>
      </c>
      <c r="C240" s="12">
        <v>214</v>
      </c>
      <c r="D240" s="12" t="s">
        <v>12628</v>
      </c>
      <c r="E240" s="12" t="s">
        <v>1111</v>
      </c>
      <c r="F240" s="12">
        <v>2023</v>
      </c>
      <c r="G240" s="12" t="s">
        <v>383</v>
      </c>
      <c r="I240" s="12" t="s">
        <v>1114</v>
      </c>
      <c r="J240" s="12" t="s">
        <v>1115</v>
      </c>
      <c r="K240" s="12" t="s">
        <v>42</v>
      </c>
      <c r="L240" s="12" t="s">
        <v>12252</v>
      </c>
      <c r="M240" s="10">
        <v>1</v>
      </c>
    </row>
    <row r="241" spans="1:13" x14ac:dyDescent="0.25">
      <c r="A241" s="11">
        <v>361</v>
      </c>
      <c r="B241" s="12" t="s">
        <v>12118</v>
      </c>
      <c r="C241" s="12">
        <v>403</v>
      </c>
      <c r="D241" s="11" t="s">
        <v>6167</v>
      </c>
      <c r="E241" s="11" t="s">
        <v>6169</v>
      </c>
      <c r="F241" s="11">
        <v>2023</v>
      </c>
      <c r="G241" s="11" t="s">
        <v>6170</v>
      </c>
      <c r="H241" s="11" t="str">
        <f>HYPERLINK("http://dx.doi.org/10.1145/3626111.3628183","http://dx.doi.org/10.1145/3626111.3628183")</f>
        <v>http://dx.doi.org/10.1145/3626111.3628183</v>
      </c>
      <c r="I241" s="11" t="s">
        <v>6177</v>
      </c>
      <c r="J241" s="11" t="s">
        <v>6175</v>
      </c>
      <c r="K241" s="11" t="s">
        <v>42</v>
      </c>
      <c r="L241" s="11" t="s">
        <v>5552</v>
      </c>
      <c r="M241" s="9">
        <v>1</v>
      </c>
    </row>
    <row r="242" spans="1:13" x14ac:dyDescent="0.25">
      <c r="A242" s="11">
        <v>143</v>
      </c>
      <c r="B242" s="12" t="s">
        <v>12118</v>
      </c>
      <c r="C242" s="12">
        <v>154</v>
      </c>
      <c r="D242" s="11" t="s">
        <v>3754</v>
      </c>
      <c r="E242" s="11" t="s">
        <v>3756</v>
      </c>
      <c r="F242" s="11">
        <v>2023</v>
      </c>
      <c r="G242" s="11" t="s">
        <v>3757</v>
      </c>
      <c r="H242" s="11" t="str">
        <f>HYPERLINK("http://dx.doi.org/10.34133/research.0189","http://dx.doi.org/10.34133/research.0189")</f>
        <v>http://dx.doi.org/10.34133/research.0189</v>
      </c>
      <c r="I242" s="11" t="s">
        <v>3758</v>
      </c>
      <c r="J242" s="11" t="s">
        <v>1507</v>
      </c>
      <c r="K242" s="11" t="s">
        <v>42</v>
      </c>
      <c r="L242" s="11" t="s">
        <v>56</v>
      </c>
      <c r="M242" s="9" t="s">
        <v>12142</v>
      </c>
    </row>
    <row r="243" spans="1:13" x14ac:dyDescent="0.25">
      <c r="A243" s="12">
        <v>30</v>
      </c>
      <c r="B243" s="12" t="s">
        <v>12204</v>
      </c>
      <c r="C243" s="12">
        <v>83</v>
      </c>
      <c r="D243" s="12" t="s">
        <v>13288</v>
      </c>
      <c r="E243" s="12" t="s">
        <v>467</v>
      </c>
      <c r="F243" s="12">
        <v>2023</v>
      </c>
      <c r="G243" s="12" t="s">
        <v>305</v>
      </c>
      <c r="H243" s="12" t="s">
        <v>468</v>
      </c>
      <c r="I243" s="12" t="s">
        <v>471</v>
      </c>
      <c r="J243" s="12" t="s">
        <v>472</v>
      </c>
      <c r="K243" s="12" t="s">
        <v>42</v>
      </c>
      <c r="L243" s="12" t="s">
        <v>56</v>
      </c>
      <c r="M243" s="10">
        <v>1</v>
      </c>
    </row>
    <row r="244" spans="1:13" x14ac:dyDescent="0.25">
      <c r="A244" s="11">
        <v>50</v>
      </c>
      <c r="B244" s="12" t="s">
        <v>12118</v>
      </c>
      <c r="C244" s="12">
        <v>54</v>
      </c>
      <c r="D244" s="11" t="s">
        <v>10245</v>
      </c>
      <c r="E244" s="11" t="s">
        <v>10247</v>
      </c>
      <c r="F244" s="11">
        <v>2020</v>
      </c>
      <c r="G244" s="11" t="s">
        <v>10248</v>
      </c>
      <c r="H244" s="11" t="s">
        <v>1507</v>
      </c>
      <c r="I244" s="11" t="s">
        <v>10250</v>
      </c>
      <c r="J244" s="11" t="s">
        <v>10249</v>
      </c>
      <c r="K244" s="11" t="s">
        <v>42</v>
      </c>
      <c r="L244" s="11" t="s">
        <v>56</v>
      </c>
      <c r="M244" s="9" t="s">
        <v>12142</v>
      </c>
    </row>
    <row r="245" spans="1:13" x14ac:dyDescent="0.25">
      <c r="A245" s="11">
        <v>538</v>
      </c>
      <c r="B245" s="12" t="s">
        <v>12118</v>
      </c>
      <c r="C245" s="12">
        <v>602</v>
      </c>
      <c r="D245" s="11" t="s">
        <v>6487</v>
      </c>
      <c r="E245" s="11" t="s">
        <v>6489</v>
      </c>
      <c r="F245" s="11">
        <v>2023</v>
      </c>
      <c r="G245" s="11" t="s">
        <v>6490</v>
      </c>
      <c r="H245" s="11" t="str">
        <f>HYPERLINK("http://dx.doi.org/10.4025/actasciagron.v45i1.56160","http://dx.doi.org/10.4025/actasciagron.v45i1.56160")</f>
        <v>http://dx.doi.org/10.4025/actasciagron.v45i1.56160</v>
      </c>
      <c r="I245" s="11" t="s">
        <v>6493</v>
      </c>
      <c r="J245" s="11" t="s">
        <v>6491</v>
      </c>
      <c r="K245" s="11" t="s">
        <v>42</v>
      </c>
      <c r="L245" s="11" t="s">
        <v>56</v>
      </c>
      <c r="M245" s="9" t="s">
        <v>12142</v>
      </c>
    </row>
    <row r="246" spans="1:13" x14ac:dyDescent="0.25">
      <c r="A246" s="11">
        <v>214</v>
      </c>
      <c r="B246" s="12" t="s">
        <v>12118</v>
      </c>
      <c r="C246" s="12">
        <v>235</v>
      </c>
      <c r="D246" s="11" t="s">
        <v>10831</v>
      </c>
      <c r="E246" s="11" t="s">
        <v>10833</v>
      </c>
      <c r="F246" s="11">
        <v>2019</v>
      </c>
      <c r="G246" s="11" t="s">
        <v>10834</v>
      </c>
      <c r="H246" s="11" t="str">
        <f>HYPERLINK("http://dx.doi.org/10.1007/s00439-019-02024-6","http://dx.doi.org/10.1007/s00439-019-02024-6")</f>
        <v>http://dx.doi.org/10.1007/s00439-019-02024-6</v>
      </c>
      <c r="I246" s="11" t="s">
        <v>10836</v>
      </c>
      <c r="J246" s="11" t="s">
        <v>1507</v>
      </c>
      <c r="K246" s="11" t="s">
        <v>42</v>
      </c>
      <c r="L246" s="11" t="s">
        <v>56</v>
      </c>
      <c r="M246" s="9" t="s">
        <v>12142</v>
      </c>
    </row>
    <row r="247" spans="1:13" x14ac:dyDescent="0.25">
      <c r="A247" s="11">
        <v>209</v>
      </c>
      <c r="B247" s="12" t="s">
        <v>12118</v>
      </c>
      <c r="C247" s="12">
        <v>231</v>
      </c>
      <c r="D247" s="11" t="s">
        <v>11342</v>
      </c>
      <c r="E247" s="11" t="s">
        <v>11344</v>
      </c>
      <c r="F247" s="11">
        <v>2019</v>
      </c>
      <c r="G247" s="11" t="s">
        <v>11345</v>
      </c>
      <c r="H247" s="11" t="str">
        <f>HYPERLINK("http://dx.doi.org/10.5334/tilr.135","http://dx.doi.org/10.5334/tilr.135")</f>
        <v>http://dx.doi.org/10.5334/tilr.135</v>
      </c>
      <c r="I247" s="11" t="s">
        <v>11347</v>
      </c>
      <c r="J247" s="11" t="s">
        <v>11346</v>
      </c>
      <c r="K247" s="11" t="s">
        <v>42</v>
      </c>
      <c r="L247" s="11" t="s">
        <v>56</v>
      </c>
      <c r="M247" s="9" t="s">
        <v>12142</v>
      </c>
    </row>
    <row r="248" spans="1:13" x14ac:dyDescent="0.25">
      <c r="A248" s="12">
        <v>160</v>
      </c>
      <c r="B248" s="12" t="s">
        <v>12204</v>
      </c>
      <c r="C248" s="12">
        <v>595</v>
      </c>
      <c r="D248" s="12" t="s">
        <v>12437</v>
      </c>
      <c r="E248" s="12" t="s">
        <v>1228</v>
      </c>
      <c r="F248" s="12">
        <v>2023</v>
      </c>
      <c r="G248" s="12" t="s">
        <v>1229</v>
      </c>
      <c r="H248" s="12" t="s">
        <v>1230</v>
      </c>
      <c r="I248" s="12" t="s">
        <v>1233</v>
      </c>
      <c r="J248" s="12" t="s">
        <v>1234</v>
      </c>
      <c r="K248" s="12" t="s">
        <v>42</v>
      </c>
      <c r="L248" s="12" t="s">
        <v>12262</v>
      </c>
      <c r="M248" s="10" t="s">
        <v>12142</v>
      </c>
    </row>
    <row r="249" spans="1:13" x14ac:dyDescent="0.25">
      <c r="A249" s="11">
        <v>198</v>
      </c>
      <c r="B249" s="12" t="s">
        <v>12118</v>
      </c>
      <c r="C249" s="12">
        <v>216</v>
      </c>
      <c r="D249" s="11" t="s">
        <v>6944</v>
      </c>
      <c r="E249" s="11" t="s">
        <v>6946</v>
      </c>
      <c r="F249" s="11">
        <v>2022</v>
      </c>
      <c r="G249" s="11" t="s">
        <v>6947</v>
      </c>
      <c r="H249" s="11" t="str">
        <f>HYPERLINK("http://dx.doi.org/10.26342/2022-69-13","http://dx.doi.org/10.26342/2022-69-13")</f>
        <v>http://dx.doi.org/10.26342/2022-69-13</v>
      </c>
      <c r="I249" s="11" t="s">
        <v>6949</v>
      </c>
      <c r="J249" s="11" t="s">
        <v>6948</v>
      </c>
      <c r="K249" s="11" t="s">
        <v>42</v>
      </c>
      <c r="L249" s="11" t="s">
        <v>56</v>
      </c>
      <c r="M249" s="9">
        <v>1</v>
      </c>
    </row>
    <row r="250" spans="1:13" x14ac:dyDescent="0.25">
      <c r="A250" s="11">
        <v>442</v>
      </c>
      <c r="B250" s="12" t="s">
        <v>12118</v>
      </c>
      <c r="C250" s="12">
        <v>491</v>
      </c>
      <c r="D250" s="11" t="s">
        <v>2930</v>
      </c>
      <c r="E250" s="11" t="s">
        <v>2932</v>
      </c>
      <c r="F250" s="11">
        <v>2023</v>
      </c>
      <c r="G250" s="11" t="s">
        <v>2874</v>
      </c>
      <c r="H250" s="11" t="str">
        <f>HYPERLINK("http://dx.doi.org/10.1016/j.jacr.2023.05.003","http://dx.doi.org/10.1016/j.jacr.2023.05.003")</f>
        <v>http://dx.doi.org/10.1016/j.jacr.2023.05.003</v>
      </c>
      <c r="I250" s="11" t="s">
        <v>2935</v>
      </c>
      <c r="J250" s="11" t="s">
        <v>2933</v>
      </c>
      <c r="K250" s="11" t="s">
        <v>42</v>
      </c>
      <c r="L250" s="11" t="s">
        <v>56</v>
      </c>
      <c r="M250" s="9" t="s">
        <v>12142</v>
      </c>
    </row>
    <row r="251" spans="1:13" x14ac:dyDescent="0.25">
      <c r="A251" s="11">
        <v>462</v>
      </c>
      <c r="B251" s="12" t="s">
        <v>12118</v>
      </c>
      <c r="C251" s="12">
        <v>513</v>
      </c>
      <c r="D251" s="11" t="s">
        <v>6291</v>
      </c>
      <c r="E251" s="11" t="s">
        <v>6293</v>
      </c>
      <c r="F251" s="11">
        <v>2023</v>
      </c>
      <c r="G251" s="11" t="s">
        <v>6294</v>
      </c>
      <c r="H251" s="11" t="str">
        <f>HYPERLINK("http://dx.doi.org/10.1145/3578337.3605144","http://dx.doi.org/10.1145/3578337.3605144")</f>
        <v>http://dx.doi.org/10.1145/3578337.3605144</v>
      </c>
      <c r="I251" s="11" t="s">
        <v>6298</v>
      </c>
      <c r="J251" s="11" t="s">
        <v>6297</v>
      </c>
      <c r="K251" s="11" t="s">
        <v>42</v>
      </c>
      <c r="L251" s="11" t="s">
        <v>5552</v>
      </c>
      <c r="M251" s="9" t="s">
        <v>12142</v>
      </c>
    </row>
    <row r="252" spans="1:13" x14ac:dyDescent="0.25">
      <c r="A252" s="12">
        <v>107</v>
      </c>
      <c r="B252" s="12" t="s">
        <v>12204</v>
      </c>
      <c r="C252" s="12">
        <v>367</v>
      </c>
      <c r="D252" s="12" t="s">
        <v>12739</v>
      </c>
      <c r="E252" s="12" t="s">
        <v>876</v>
      </c>
      <c r="F252" s="12">
        <v>2023</v>
      </c>
      <c r="G252" s="12" t="s">
        <v>877</v>
      </c>
      <c r="H252" s="12" t="s">
        <v>878</v>
      </c>
      <c r="I252" s="12" t="s">
        <v>12736</v>
      </c>
      <c r="J252" s="12" t="s">
        <v>882</v>
      </c>
      <c r="K252" s="12" t="s">
        <v>42</v>
      </c>
      <c r="L252" s="12" t="s">
        <v>12252</v>
      </c>
      <c r="M252" s="10">
        <v>1</v>
      </c>
    </row>
    <row r="253" spans="1:13" x14ac:dyDescent="0.25">
      <c r="A253" s="12">
        <v>88</v>
      </c>
      <c r="B253" s="12" t="s">
        <v>12204</v>
      </c>
      <c r="C253" s="12">
        <v>308</v>
      </c>
      <c r="D253" s="12" t="s">
        <v>12239</v>
      </c>
      <c r="E253" s="12" t="s">
        <v>895</v>
      </c>
      <c r="F253" s="12">
        <v>2018</v>
      </c>
      <c r="G253" s="12" t="s">
        <v>896</v>
      </c>
      <c r="H253" s="12" t="s">
        <v>897</v>
      </c>
      <c r="I253" s="12" t="s">
        <v>899</v>
      </c>
      <c r="J253" s="12" t="s">
        <v>900</v>
      </c>
      <c r="K253" s="12" t="s">
        <v>42</v>
      </c>
      <c r="L253" s="12" t="s">
        <v>56</v>
      </c>
      <c r="M253" s="10">
        <v>1</v>
      </c>
    </row>
    <row r="254" spans="1:13" x14ac:dyDescent="0.25">
      <c r="A254" s="12">
        <v>123</v>
      </c>
      <c r="B254" s="12" t="s">
        <v>12204</v>
      </c>
      <c r="C254" s="12">
        <v>445</v>
      </c>
      <c r="D254" s="12" t="s">
        <v>12780</v>
      </c>
      <c r="E254" s="12" t="s">
        <v>223</v>
      </c>
      <c r="F254" s="12">
        <v>2023</v>
      </c>
      <c r="G254" s="12" t="s">
        <v>224</v>
      </c>
      <c r="H254" s="12" t="s">
        <v>225</v>
      </c>
      <c r="I254" s="12" t="s">
        <v>228</v>
      </c>
      <c r="K254" s="12" t="s">
        <v>42</v>
      </c>
      <c r="L254" s="12" t="s">
        <v>56</v>
      </c>
      <c r="M254" s="10">
        <v>1</v>
      </c>
    </row>
    <row r="255" spans="1:13" x14ac:dyDescent="0.25">
      <c r="A255" s="11">
        <v>400</v>
      </c>
      <c r="B255" s="12" t="s">
        <v>12118</v>
      </c>
      <c r="C255" s="12">
        <v>444</v>
      </c>
      <c r="D255" s="11" t="s">
        <v>8388</v>
      </c>
      <c r="E255" s="11" t="s">
        <v>8390</v>
      </c>
      <c r="F255" s="11">
        <v>2021</v>
      </c>
      <c r="G255" s="11" t="s">
        <v>8391</v>
      </c>
      <c r="H255" s="11" t="str">
        <f>HYPERLINK("http://dx.doi.org/10.1007/s13201-021-01445-x","http://dx.doi.org/10.1007/s13201-021-01445-x")</f>
        <v>http://dx.doi.org/10.1007/s13201-021-01445-x</v>
      </c>
      <c r="I255" s="11" t="s">
        <v>8393</v>
      </c>
      <c r="J255" s="11" t="s">
        <v>8392</v>
      </c>
      <c r="K255" s="11" t="s">
        <v>42</v>
      </c>
      <c r="L255" s="11" t="s">
        <v>56</v>
      </c>
      <c r="M255" s="9" t="s">
        <v>12142</v>
      </c>
    </row>
    <row r="256" spans="1:13" x14ac:dyDescent="0.25">
      <c r="A256" s="12">
        <v>64</v>
      </c>
      <c r="B256" s="12" t="s">
        <v>12204</v>
      </c>
      <c r="C256" s="12">
        <v>228</v>
      </c>
      <c r="D256" s="12" t="s">
        <v>12810</v>
      </c>
      <c r="E256" s="12" t="s">
        <v>559</v>
      </c>
      <c r="F256" s="12">
        <v>2023</v>
      </c>
      <c r="G256" s="12" t="s">
        <v>560</v>
      </c>
      <c r="H256" s="12" t="s">
        <v>562</v>
      </c>
      <c r="I256" s="12" t="s">
        <v>565</v>
      </c>
      <c r="J256" s="12" t="s">
        <v>566</v>
      </c>
      <c r="K256" s="12" t="s">
        <v>42</v>
      </c>
      <c r="L256" s="12" t="s">
        <v>56</v>
      </c>
      <c r="M256" s="10">
        <v>1</v>
      </c>
    </row>
    <row r="257" spans="1:13" x14ac:dyDescent="0.25">
      <c r="A257" s="11">
        <v>413</v>
      </c>
      <c r="B257" s="12" t="s">
        <v>12118</v>
      </c>
      <c r="C257" s="12">
        <v>459</v>
      </c>
      <c r="D257" s="11" t="s">
        <v>4984</v>
      </c>
      <c r="E257" s="11" t="s">
        <v>4986</v>
      </c>
      <c r="F257" s="11">
        <v>2023</v>
      </c>
      <c r="G257" s="11" t="s">
        <v>4987</v>
      </c>
      <c r="H257" s="11" t="str">
        <f>HYPERLINK("http://dx.doi.org/10.7717/peerj-cs.1377","http://dx.doi.org/10.7717/peerj-cs.1377")</f>
        <v>http://dx.doi.org/10.7717/peerj-cs.1377</v>
      </c>
      <c r="I257" s="11" t="s">
        <v>4990</v>
      </c>
      <c r="J257" s="11" t="s">
        <v>4988</v>
      </c>
      <c r="K257" s="11" t="s">
        <v>42</v>
      </c>
      <c r="L257" s="11" t="s">
        <v>56</v>
      </c>
      <c r="M257" s="9" t="s">
        <v>12142</v>
      </c>
    </row>
    <row r="258" spans="1:13" x14ac:dyDescent="0.25">
      <c r="A258" s="11">
        <v>278</v>
      </c>
      <c r="B258" s="12" t="s">
        <v>12118</v>
      </c>
      <c r="C258" s="12">
        <v>309</v>
      </c>
      <c r="D258" s="11" t="s">
        <v>2808</v>
      </c>
      <c r="E258" s="11" t="s">
        <v>2810</v>
      </c>
      <c r="F258" s="11">
        <v>2023</v>
      </c>
      <c r="G258" s="11" t="s">
        <v>2811</v>
      </c>
      <c r="H258" s="11" t="str">
        <f>HYPERLINK("http://dx.doi.org/10.1111/cogs.13386","http://dx.doi.org/10.1111/cogs.13386")</f>
        <v>http://dx.doi.org/10.1111/cogs.13386</v>
      </c>
      <c r="I258" s="11" t="s">
        <v>2814</v>
      </c>
      <c r="J258" s="11" t="s">
        <v>2812</v>
      </c>
      <c r="K258" s="11" t="s">
        <v>42</v>
      </c>
      <c r="L258" s="11" t="s">
        <v>56</v>
      </c>
      <c r="M258" s="9" t="s">
        <v>12142</v>
      </c>
    </row>
    <row r="259" spans="1:13" x14ac:dyDescent="0.25">
      <c r="A259" s="11">
        <v>481</v>
      </c>
      <c r="B259" s="12" t="s">
        <v>12118</v>
      </c>
      <c r="C259" s="12">
        <v>534</v>
      </c>
      <c r="D259" s="11" t="s">
        <v>8152</v>
      </c>
      <c r="E259" s="11" t="s">
        <v>8154</v>
      </c>
      <c r="F259" s="11">
        <v>2021</v>
      </c>
      <c r="G259" s="11" t="s">
        <v>8155</v>
      </c>
      <c r="H259" s="11" t="str">
        <f>HYPERLINK("http://dx.doi.org/10.1016/j.psyneuen.2021.105431","http://dx.doi.org/10.1016/j.psyneuen.2021.105431")</f>
        <v>http://dx.doi.org/10.1016/j.psyneuen.2021.105431</v>
      </c>
      <c r="I259" s="11" t="s">
        <v>8158</v>
      </c>
      <c r="J259" s="11" t="s">
        <v>8156</v>
      </c>
      <c r="K259" s="11" t="s">
        <v>42</v>
      </c>
      <c r="L259" s="11" t="s">
        <v>56</v>
      </c>
      <c r="M259" s="9" t="s">
        <v>12142</v>
      </c>
    </row>
    <row r="260" spans="1:13" x14ac:dyDescent="0.25">
      <c r="A260" s="11">
        <v>389</v>
      </c>
      <c r="B260" s="12" t="s">
        <v>12118</v>
      </c>
      <c r="C260" s="12">
        <v>431</v>
      </c>
      <c r="D260" s="11" t="s">
        <v>15223</v>
      </c>
      <c r="E260" s="11" t="s">
        <v>12137</v>
      </c>
      <c r="F260" s="11">
        <v>2023</v>
      </c>
      <c r="G260" s="11" t="s">
        <v>15225</v>
      </c>
      <c r="H260" s="11" t="str">
        <f>HYPERLINK("http://dx.doi.org/10.30827/relieve.v29i2.29295","http://dx.doi.org/10.30827/relieve.v29i2.29295")</f>
        <v>http://dx.doi.org/10.30827/relieve.v29i2.29295</v>
      </c>
      <c r="I260" s="11" t="s">
        <v>15228</v>
      </c>
      <c r="J260" s="11" t="s">
        <v>15226</v>
      </c>
      <c r="K260" s="11" t="s">
        <v>42</v>
      </c>
      <c r="L260" s="11" t="s">
        <v>56</v>
      </c>
      <c r="M260" s="9">
        <v>1</v>
      </c>
    </row>
    <row r="261" spans="1:13" x14ac:dyDescent="0.25">
      <c r="A261" s="12">
        <v>167</v>
      </c>
      <c r="B261" s="12" t="s">
        <v>12204</v>
      </c>
      <c r="C261" s="12">
        <v>619</v>
      </c>
      <c r="D261" s="12" t="s">
        <v>12928</v>
      </c>
      <c r="E261" s="12" t="s">
        <v>334</v>
      </c>
      <c r="F261" s="12">
        <v>2023</v>
      </c>
      <c r="G261" s="12" t="s">
        <v>335</v>
      </c>
      <c r="H261" s="12" t="s">
        <v>336</v>
      </c>
      <c r="I261" s="12" t="s">
        <v>338</v>
      </c>
      <c r="J261" s="12" t="s">
        <v>339</v>
      </c>
      <c r="K261" s="12" t="s">
        <v>42</v>
      </c>
      <c r="L261" s="12" t="s">
        <v>56</v>
      </c>
      <c r="M261" s="10">
        <v>1</v>
      </c>
    </row>
    <row r="262" spans="1:13" x14ac:dyDescent="0.25">
      <c r="A262" s="11">
        <v>507</v>
      </c>
      <c r="B262" s="12" t="s">
        <v>12118</v>
      </c>
      <c r="C262" s="12">
        <v>562</v>
      </c>
      <c r="D262" s="11" t="s">
        <v>7074</v>
      </c>
      <c r="E262" s="11" t="s">
        <v>7076</v>
      </c>
      <c r="F262" s="11">
        <v>2022</v>
      </c>
      <c r="G262" s="11" t="s">
        <v>7077</v>
      </c>
      <c r="H262" s="11" t="str">
        <f>HYPERLINK("http://dx.doi.org/10.1021/acs.jctc.2c00256","http://dx.doi.org/10.1021/acs.jctc.2c00256")</f>
        <v>http://dx.doi.org/10.1021/acs.jctc.2c00256</v>
      </c>
      <c r="I262" s="11" t="s">
        <v>7079</v>
      </c>
      <c r="J262" s="11" t="s">
        <v>1507</v>
      </c>
      <c r="K262" s="11" t="s">
        <v>42</v>
      </c>
      <c r="L262" s="11" t="s">
        <v>56</v>
      </c>
      <c r="M262" s="9" t="s">
        <v>12142</v>
      </c>
    </row>
    <row r="263" spans="1:13" x14ac:dyDescent="0.25">
      <c r="A263" s="11">
        <v>322</v>
      </c>
      <c r="B263" s="12" t="s">
        <v>12118</v>
      </c>
      <c r="C263" s="12">
        <v>360</v>
      </c>
      <c r="D263" s="11" t="s">
        <v>8333</v>
      </c>
      <c r="E263" s="11" t="s">
        <v>8335</v>
      </c>
      <c r="F263" s="11">
        <v>2021</v>
      </c>
      <c r="G263" s="11" t="s">
        <v>8336</v>
      </c>
      <c r="H263" s="11" t="str">
        <f>HYPERLINK("http://dx.doi.org/10.3390/toxins13080564","http://dx.doi.org/10.3390/toxins13080564")</f>
        <v>http://dx.doi.org/10.3390/toxins13080564</v>
      </c>
      <c r="I263" s="11" t="s">
        <v>8339</v>
      </c>
      <c r="J263" s="11" t="s">
        <v>8337</v>
      </c>
      <c r="K263" s="11" t="s">
        <v>42</v>
      </c>
      <c r="L263" s="11" t="s">
        <v>56</v>
      </c>
      <c r="M263" s="9" t="s">
        <v>12142</v>
      </c>
    </row>
    <row r="264" spans="1:13" x14ac:dyDescent="0.25">
      <c r="A264" s="11">
        <v>598</v>
      </c>
      <c r="B264" s="12" t="s">
        <v>12118</v>
      </c>
      <c r="C264" s="12">
        <v>668</v>
      </c>
      <c r="D264" s="11" t="s">
        <v>6593</v>
      </c>
      <c r="E264" s="11" t="s">
        <v>6595</v>
      </c>
      <c r="F264" s="11">
        <v>2023</v>
      </c>
      <c r="G264" s="11" t="s">
        <v>6596</v>
      </c>
      <c r="H264" s="11" t="s">
        <v>1507</v>
      </c>
      <c r="I264" s="11" t="s">
        <v>6599</v>
      </c>
      <c r="J264" s="11" t="s">
        <v>6597</v>
      </c>
      <c r="K264" s="11" t="s">
        <v>42</v>
      </c>
      <c r="L264" s="11" t="s">
        <v>56</v>
      </c>
      <c r="M264" s="10">
        <v>1</v>
      </c>
    </row>
    <row r="265" spans="1:13" x14ac:dyDescent="0.25">
      <c r="A265" s="12">
        <v>95</v>
      </c>
      <c r="B265" s="12" t="s">
        <v>12204</v>
      </c>
      <c r="C265" s="12">
        <v>340</v>
      </c>
      <c r="D265" s="12" t="s">
        <v>13572</v>
      </c>
      <c r="E265" s="12" t="s">
        <v>748</v>
      </c>
      <c r="F265" s="12">
        <v>2023</v>
      </c>
      <c r="G265" s="12" t="s">
        <v>749</v>
      </c>
      <c r="H265" s="12" t="s">
        <v>750</v>
      </c>
      <c r="I265" s="12" t="s">
        <v>753</v>
      </c>
      <c r="J265" s="12" t="s">
        <v>754</v>
      </c>
      <c r="K265" s="12" t="s">
        <v>42</v>
      </c>
      <c r="L265" s="12" t="s">
        <v>56</v>
      </c>
      <c r="M265" s="10">
        <v>1</v>
      </c>
    </row>
    <row r="266" spans="1:13" x14ac:dyDescent="0.25">
      <c r="A266" s="11">
        <v>366</v>
      </c>
      <c r="B266" s="12" t="s">
        <v>12118</v>
      </c>
      <c r="C266" s="12">
        <v>407</v>
      </c>
      <c r="D266" s="11" t="s">
        <v>3732</v>
      </c>
      <c r="E266" s="11" t="s">
        <v>3734</v>
      </c>
      <c r="F266" s="11">
        <v>2023</v>
      </c>
      <c r="G266" s="11" t="s">
        <v>3735</v>
      </c>
      <c r="H266" s="11" t="str">
        <f>HYPERLINK("http://dx.doi.org/10.1002/tea.21903","http://dx.doi.org/10.1002/tea.21903")</f>
        <v>http://dx.doi.org/10.1002/tea.21903</v>
      </c>
      <c r="I266" s="11" t="s">
        <v>3738</v>
      </c>
      <c r="J266" s="11" t="s">
        <v>3736</v>
      </c>
      <c r="K266" s="11" t="s">
        <v>42</v>
      </c>
      <c r="L266" s="11" t="s">
        <v>1509</v>
      </c>
      <c r="M266" s="10">
        <v>1</v>
      </c>
    </row>
    <row r="267" spans="1:13" x14ac:dyDescent="0.25">
      <c r="A267" s="12">
        <v>94</v>
      </c>
      <c r="B267" s="12" t="s">
        <v>12204</v>
      </c>
      <c r="C267" s="12">
        <v>335</v>
      </c>
      <c r="D267" s="12" t="s">
        <v>13274</v>
      </c>
      <c r="E267" s="12" t="s">
        <v>276</v>
      </c>
      <c r="F267" s="12">
        <v>2023</v>
      </c>
      <c r="G267" s="12" t="s">
        <v>277</v>
      </c>
      <c r="I267" s="12" t="s">
        <v>280</v>
      </c>
      <c r="K267" s="12" t="s">
        <v>42</v>
      </c>
      <c r="L267" s="12" t="s">
        <v>12252</v>
      </c>
      <c r="M267" s="10" t="s">
        <v>12142</v>
      </c>
    </row>
    <row r="268" spans="1:13" x14ac:dyDescent="0.25">
      <c r="A268" s="11">
        <v>155</v>
      </c>
      <c r="B268" s="12" t="s">
        <v>12118</v>
      </c>
      <c r="C268" s="12">
        <v>164</v>
      </c>
      <c r="D268" s="11" t="s">
        <v>3357</v>
      </c>
      <c r="E268" s="11" t="s">
        <v>3359</v>
      </c>
      <c r="F268" s="11">
        <v>2023</v>
      </c>
      <c r="G268" s="11" t="s">
        <v>2874</v>
      </c>
      <c r="H268" s="11" t="str">
        <f>HYPERLINK("http://dx.doi.org/10.1016/j.jacr.2023.07.007","http://dx.doi.org/10.1016/j.jacr.2023.07.007")</f>
        <v>http://dx.doi.org/10.1016/j.jacr.2023.07.007</v>
      </c>
      <c r="I268" s="11" t="s">
        <v>3362</v>
      </c>
      <c r="J268" s="11" t="s">
        <v>3360</v>
      </c>
      <c r="K268" s="11" t="s">
        <v>42</v>
      </c>
      <c r="L268" s="11" t="s">
        <v>56</v>
      </c>
      <c r="M268" s="9" t="s">
        <v>12142</v>
      </c>
    </row>
    <row r="269" spans="1:13" x14ac:dyDescent="0.25">
      <c r="A269" s="11">
        <v>628</v>
      </c>
      <c r="B269" s="12" t="s">
        <v>12118</v>
      </c>
      <c r="C269" s="12">
        <v>697</v>
      </c>
      <c r="D269" s="11" t="s">
        <v>1733</v>
      </c>
      <c r="E269" s="11" t="s">
        <v>1735</v>
      </c>
      <c r="F269" s="11">
        <v>2023</v>
      </c>
      <c r="G269" s="11" t="s">
        <v>1736</v>
      </c>
      <c r="H269" s="11" t="str">
        <f>HYPERLINK("http://dx.doi.org/10.1080/10447318.2023.2295725","http://dx.doi.org/10.1080/10447318.2023.2295725")</f>
        <v>http://dx.doi.org/10.1080/10447318.2023.2295725</v>
      </c>
      <c r="I269" s="11" t="s">
        <v>1738</v>
      </c>
      <c r="J269" s="11" t="s">
        <v>1737</v>
      </c>
      <c r="K269" s="11" t="s">
        <v>42</v>
      </c>
      <c r="L269" s="11" t="s">
        <v>1509</v>
      </c>
      <c r="M269" s="9" t="s">
        <v>12142</v>
      </c>
    </row>
    <row r="270" spans="1:13" x14ac:dyDescent="0.25">
      <c r="A270" s="11">
        <v>30</v>
      </c>
      <c r="B270" s="12" t="s">
        <v>12118</v>
      </c>
      <c r="C270" s="12">
        <v>31</v>
      </c>
      <c r="D270" s="11" t="s">
        <v>10964</v>
      </c>
      <c r="E270" s="11" t="s">
        <v>11109</v>
      </c>
      <c r="F270" s="11">
        <v>2019</v>
      </c>
      <c r="G270" s="11" t="s">
        <v>11110</v>
      </c>
      <c r="H270" s="11" t="s">
        <v>1507</v>
      </c>
      <c r="I270" s="11" t="s">
        <v>11111</v>
      </c>
      <c r="J270" s="11" t="s">
        <v>1507</v>
      </c>
      <c r="K270" s="11" t="s">
        <v>42</v>
      </c>
      <c r="L270" s="11" t="s">
        <v>56</v>
      </c>
      <c r="M270" s="9" t="s">
        <v>12142</v>
      </c>
    </row>
    <row r="271" spans="1:13" x14ac:dyDescent="0.25">
      <c r="A271" s="12">
        <v>102</v>
      </c>
      <c r="B271" s="12" t="s">
        <v>12204</v>
      </c>
      <c r="C271" s="12">
        <v>356</v>
      </c>
      <c r="D271" s="12" t="s">
        <v>13668</v>
      </c>
      <c r="E271" s="12" t="s">
        <v>344</v>
      </c>
      <c r="F271" s="12">
        <v>2023</v>
      </c>
      <c r="G271" s="12" t="s">
        <v>345</v>
      </c>
      <c r="H271" s="12" t="s">
        <v>346</v>
      </c>
      <c r="I271" s="12" t="s">
        <v>349</v>
      </c>
      <c r="J271" s="12" t="s">
        <v>350</v>
      </c>
      <c r="K271" s="12" t="s">
        <v>42</v>
      </c>
      <c r="L271" s="12" t="s">
        <v>56</v>
      </c>
      <c r="M271" s="10">
        <v>1</v>
      </c>
    </row>
    <row r="272" spans="1:13" x14ac:dyDescent="0.25">
      <c r="A272" s="12">
        <v>97</v>
      </c>
      <c r="B272" s="12" t="s">
        <v>12204</v>
      </c>
      <c r="C272" s="12">
        <v>343</v>
      </c>
      <c r="D272" s="12" t="s">
        <v>13184</v>
      </c>
      <c r="E272" s="12" t="s">
        <v>355</v>
      </c>
      <c r="F272" s="12">
        <v>2023</v>
      </c>
      <c r="G272" s="12" t="s">
        <v>356</v>
      </c>
      <c r="H272" s="12" t="s">
        <v>357</v>
      </c>
      <c r="I272" s="12" t="s">
        <v>360</v>
      </c>
      <c r="J272" s="12" t="s">
        <v>361</v>
      </c>
      <c r="K272" s="12" t="s">
        <v>42</v>
      </c>
      <c r="L272" s="12" t="s">
        <v>12252</v>
      </c>
      <c r="M272" s="10">
        <v>1</v>
      </c>
    </row>
    <row r="273" spans="1:13" x14ac:dyDescent="0.25">
      <c r="A273" s="12">
        <v>104</v>
      </c>
      <c r="B273" s="12" t="s">
        <v>12204</v>
      </c>
      <c r="C273" s="12">
        <v>362</v>
      </c>
      <c r="D273" s="12" t="s">
        <v>12745</v>
      </c>
      <c r="E273" s="12" t="s">
        <v>1104</v>
      </c>
      <c r="F273" s="12">
        <v>2023</v>
      </c>
      <c r="G273" s="12" t="s">
        <v>498</v>
      </c>
      <c r="I273" s="12" t="s">
        <v>1107</v>
      </c>
      <c r="J273" s="12" t="s">
        <v>1108</v>
      </c>
      <c r="K273" s="12" t="s">
        <v>42</v>
      </c>
      <c r="L273" s="12" t="s">
        <v>12252</v>
      </c>
      <c r="M273" s="10">
        <v>1</v>
      </c>
    </row>
    <row r="274" spans="1:13" x14ac:dyDescent="0.25">
      <c r="A274" s="12">
        <v>159</v>
      </c>
      <c r="B274" s="12" t="s">
        <v>12204</v>
      </c>
      <c r="C274" s="12">
        <v>594</v>
      </c>
      <c r="D274" s="12" t="s">
        <v>13306</v>
      </c>
      <c r="E274" s="12" t="s">
        <v>316</v>
      </c>
      <c r="F274" s="12">
        <v>2023</v>
      </c>
      <c r="G274" s="12" t="s">
        <v>317</v>
      </c>
      <c r="H274" s="12" t="s">
        <v>318</v>
      </c>
      <c r="I274" s="12" t="s">
        <v>321</v>
      </c>
      <c r="J274" s="12" t="s">
        <v>322</v>
      </c>
      <c r="K274" s="12" t="s">
        <v>42</v>
      </c>
      <c r="L274" s="12" t="s">
        <v>56</v>
      </c>
      <c r="M274" s="10">
        <v>1</v>
      </c>
    </row>
    <row r="275" spans="1:13" x14ac:dyDescent="0.25">
      <c r="A275" s="12">
        <v>63</v>
      </c>
      <c r="B275" s="12" t="s">
        <v>12204</v>
      </c>
      <c r="C275" s="12">
        <v>225</v>
      </c>
      <c r="D275" s="12" t="s">
        <v>12804</v>
      </c>
      <c r="E275" s="12" t="s">
        <v>508</v>
      </c>
      <c r="F275" s="12">
        <v>2023</v>
      </c>
      <c r="G275" s="12" t="s">
        <v>383</v>
      </c>
      <c r="I275" s="12" t="s">
        <v>511</v>
      </c>
      <c r="J275" s="12" t="s">
        <v>512</v>
      </c>
      <c r="K275" s="12" t="s">
        <v>42</v>
      </c>
      <c r="L275" s="12" t="s">
        <v>12252</v>
      </c>
      <c r="M275" s="10" t="s">
        <v>12142</v>
      </c>
    </row>
    <row r="276" spans="1:13" x14ac:dyDescent="0.25">
      <c r="A276" s="11">
        <v>245</v>
      </c>
      <c r="B276" s="12" t="s">
        <v>12118</v>
      </c>
      <c r="C276" s="12">
        <v>273</v>
      </c>
      <c r="D276" s="11" t="s">
        <v>11852</v>
      </c>
      <c r="E276" s="11" t="s">
        <v>11854</v>
      </c>
      <c r="F276" s="11">
        <v>2018</v>
      </c>
      <c r="G276" s="11" t="s">
        <v>3376</v>
      </c>
      <c r="H276" s="11" t="str">
        <f>HYPERLINK("http://dx.doi.org/10.1002/prep.201700154","http://dx.doi.org/10.1002/prep.201700154")</f>
        <v>http://dx.doi.org/10.1002/prep.201700154</v>
      </c>
      <c r="I276" s="11" t="s">
        <v>11857</v>
      </c>
      <c r="J276" s="11" t="s">
        <v>11855</v>
      </c>
      <c r="K276" s="11" t="s">
        <v>42</v>
      </c>
      <c r="L276" s="11" t="s">
        <v>56</v>
      </c>
      <c r="M276" s="9" t="s">
        <v>12142</v>
      </c>
    </row>
    <row r="277" spans="1:13" x14ac:dyDescent="0.25">
      <c r="A277" s="11">
        <v>373</v>
      </c>
      <c r="B277" s="12" t="s">
        <v>12118</v>
      </c>
      <c r="C277" s="12">
        <v>414</v>
      </c>
      <c r="D277" s="11" t="s">
        <v>11716</v>
      </c>
      <c r="E277" s="11" t="s">
        <v>11718</v>
      </c>
      <c r="F277" s="11">
        <v>2018</v>
      </c>
      <c r="G277" s="11" t="s">
        <v>11719</v>
      </c>
      <c r="H277" s="11" t="str">
        <f>HYPERLINK("http://dx.doi.org/10.3389/fvets.2018.00066","http://dx.doi.org/10.3389/fvets.2018.00066")</f>
        <v>http://dx.doi.org/10.3389/fvets.2018.00066</v>
      </c>
      <c r="I277" s="11" t="s">
        <v>11722</v>
      </c>
      <c r="J277" s="11" t="s">
        <v>11720</v>
      </c>
      <c r="K277" s="11" t="s">
        <v>42</v>
      </c>
      <c r="L277" s="11" t="s">
        <v>56</v>
      </c>
      <c r="M277" s="9" t="s">
        <v>12142</v>
      </c>
    </row>
    <row r="278" spans="1:13" x14ac:dyDescent="0.25">
      <c r="A278" s="11">
        <v>368</v>
      </c>
      <c r="B278" s="12" t="s">
        <v>12118</v>
      </c>
      <c r="C278" s="12">
        <v>409</v>
      </c>
      <c r="D278" s="11" t="s">
        <v>10647</v>
      </c>
      <c r="E278" s="11" t="s">
        <v>10649</v>
      </c>
      <c r="F278" s="11">
        <v>2019</v>
      </c>
      <c r="G278" s="11" t="s">
        <v>10187</v>
      </c>
      <c r="H278" s="11" t="str">
        <f>HYPERLINK("http://dx.doi.org/10.1021/acs.jpcc.9b06180","http://dx.doi.org/10.1021/acs.jpcc.9b06180")</f>
        <v>http://dx.doi.org/10.1021/acs.jpcc.9b06180</v>
      </c>
      <c r="I278" s="11" t="s">
        <v>10651</v>
      </c>
      <c r="J278" s="11" t="s">
        <v>1507</v>
      </c>
      <c r="K278" s="11" t="s">
        <v>42</v>
      </c>
      <c r="L278" s="11" t="s">
        <v>56</v>
      </c>
      <c r="M278" s="9" t="s">
        <v>12142</v>
      </c>
    </row>
    <row r="279" spans="1:13" x14ac:dyDescent="0.25">
      <c r="A279" s="11">
        <v>183</v>
      </c>
      <c r="B279" s="12" t="s">
        <v>12118</v>
      </c>
      <c r="C279" s="12">
        <v>199</v>
      </c>
      <c r="D279" s="11" t="s">
        <v>6864</v>
      </c>
      <c r="E279" s="11" t="s">
        <v>6866</v>
      </c>
      <c r="F279" s="11">
        <v>2022</v>
      </c>
      <c r="G279" s="11" t="s">
        <v>6867</v>
      </c>
      <c r="H279" s="11" t="str">
        <f>HYPERLINK("http://dx.doi.org/10.1590/s0102-0536-20220405","http://dx.doi.org/10.1590/s0102-0536-20220405")</f>
        <v>http://dx.doi.org/10.1590/s0102-0536-20220405</v>
      </c>
      <c r="I279" s="11" t="s">
        <v>6869</v>
      </c>
      <c r="J279" s="11" t="s">
        <v>6868</v>
      </c>
      <c r="K279" s="11" t="s">
        <v>42</v>
      </c>
      <c r="L279" s="11" t="s">
        <v>56</v>
      </c>
      <c r="M279" s="9" t="s">
        <v>12142</v>
      </c>
    </row>
    <row r="280" spans="1:13" x14ac:dyDescent="0.25">
      <c r="A280" s="12">
        <v>132</v>
      </c>
      <c r="B280" s="12" t="s">
        <v>12204</v>
      </c>
      <c r="C280" s="12">
        <v>478</v>
      </c>
      <c r="D280" s="12" t="s">
        <v>12413</v>
      </c>
      <c r="E280" s="12" t="s">
        <v>1309</v>
      </c>
      <c r="F280" s="12">
        <v>2023</v>
      </c>
      <c r="G280" s="12" t="s">
        <v>1310</v>
      </c>
      <c r="H280" s="12" t="s">
        <v>1312</v>
      </c>
      <c r="I280" s="12" t="s">
        <v>1315</v>
      </c>
      <c r="J280" s="12" t="s">
        <v>1316</v>
      </c>
      <c r="K280" s="12" t="s">
        <v>42</v>
      </c>
      <c r="L280" s="12" t="s">
        <v>12262</v>
      </c>
      <c r="M280" s="10">
        <v>1</v>
      </c>
    </row>
    <row r="281" spans="1:13" x14ac:dyDescent="0.25">
      <c r="A281" s="11">
        <v>244</v>
      </c>
      <c r="B281" s="12" t="s">
        <v>12118</v>
      </c>
      <c r="C281" s="12">
        <v>272</v>
      </c>
      <c r="D281" s="11" t="s">
        <v>5475</v>
      </c>
      <c r="E281" s="11" t="s">
        <v>5477</v>
      </c>
      <c r="F281" s="11">
        <v>2023</v>
      </c>
      <c r="G281" s="11" t="s">
        <v>5478</v>
      </c>
      <c r="H281" s="11" t="str">
        <f>HYPERLINK("http://dx.doi.org/10.1111/1911-3846.12832","http://dx.doi.org/10.1111/1911-3846.12832")</f>
        <v>http://dx.doi.org/10.1111/1911-3846.12832</v>
      </c>
      <c r="I281" s="11" t="s">
        <v>5481</v>
      </c>
      <c r="J281" s="11" t="s">
        <v>5479</v>
      </c>
      <c r="K281" s="11" t="s">
        <v>42</v>
      </c>
      <c r="L281" s="11" t="s">
        <v>56</v>
      </c>
      <c r="M281" s="9">
        <v>1</v>
      </c>
    </row>
    <row r="282" spans="1:13" x14ac:dyDescent="0.25">
      <c r="A282" s="11">
        <v>340</v>
      </c>
      <c r="B282" s="12" t="s">
        <v>12118</v>
      </c>
      <c r="C282" s="12">
        <v>380</v>
      </c>
      <c r="D282" s="11" t="s">
        <v>3956</v>
      </c>
      <c r="E282" s="11" t="s">
        <v>3958</v>
      </c>
      <c r="F282" s="11">
        <v>2023</v>
      </c>
      <c r="G282" s="11" t="s">
        <v>3959</v>
      </c>
      <c r="H282" s="11" t="str">
        <f>HYPERLINK("http://dx.doi.org/10.1016/j.clsr.2023.105864","http://dx.doi.org/10.1016/j.clsr.2023.105864")</f>
        <v>http://dx.doi.org/10.1016/j.clsr.2023.105864</v>
      </c>
      <c r="I282" s="11" t="s">
        <v>3962</v>
      </c>
      <c r="J282" s="11" t="s">
        <v>3960</v>
      </c>
      <c r="K282" s="11" t="s">
        <v>42</v>
      </c>
      <c r="L282" s="11" t="s">
        <v>56</v>
      </c>
      <c r="M282" s="9">
        <v>1</v>
      </c>
    </row>
    <row r="283" spans="1:13" x14ac:dyDescent="0.25">
      <c r="A283" s="11">
        <v>67</v>
      </c>
      <c r="B283" s="12" t="s">
        <v>12118</v>
      </c>
      <c r="C283" s="12">
        <v>72</v>
      </c>
      <c r="D283" s="11" t="s">
        <v>11283</v>
      </c>
      <c r="E283" s="11" t="s">
        <v>11285</v>
      </c>
      <c r="F283" s="11">
        <v>2019</v>
      </c>
      <c r="G283" s="11" t="s">
        <v>11228</v>
      </c>
      <c r="H283" s="11" t="s">
        <v>1507</v>
      </c>
      <c r="I283" s="11" t="s">
        <v>1507</v>
      </c>
      <c r="J283" s="11" t="s">
        <v>1507</v>
      </c>
      <c r="K283" s="11" t="s">
        <v>42</v>
      </c>
      <c r="L283" s="11" t="s">
        <v>56</v>
      </c>
      <c r="M283" s="9" t="s">
        <v>12142</v>
      </c>
    </row>
    <row r="284" spans="1:13" x14ac:dyDescent="0.25">
      <c r="A284" s="11">
        <v>338</v>
      </c>
      <c r="B284" s="12" t="s">
        <v>12118</v>
      </c>
      <c r="C284" s="12">
        <v>378</v>
      </c>
      <c r="D284" s="11" t="s">
        <v>11068</v>
      </c>
      <c r="E284" s="11" t="s">
        <v>11070</v>
      </c>
      <c r="F284" s="11">
        <v>2019</v>
      </c>
      <c r="G284" s="11" t="s">
        <v>4452</v>
      </c>
      <c r="H284" s="11" t="str">
        <f>HYPERLINK("http://dx.doi.org/10.1007/s40858-018-0254-9","http://dx.doi.org/10.1007/s40858-018-0254-9")</f>
        <v>http://dx.doi.org/10.1007/s40858-018-0254-9</v>
      </c>
      <c r="I284" s="11" t="s">
        <v>11073</v>
      </c>
      <c r="J284" s="11" t="s">
        <v>11071</v>
      </c>
      <c r="K284" s="11" t="s">
        <v>42</v>
      </c>
      <c r="L284" s="11" t="s">
        <v>56</v>
      </c>
      <c r="M284" s="9" t="s">
        <v>12142</v>
      </c>
    </row>
    <row r="285" spans="1:13" x14ac:dyDescent="0.25">
      <c r="A285" s="11">
        <v>151</v>
      </c>
      <c r="B285" s="12" t="s">
        <v>12118</v>
      </c>
      <c r="C285" s="12">
        <v>160</v>
      </c>
      <c r="D285" s="11" t="s">
        <v>14920</v>
      </c>
      <c r="E285" s="11" t="s">
        <v>14922</v>
      </c>
      <c r="F285" s="11">
        <v>2023</v>
      </c>
      <c r="G285" s="11" t="s">
        <v>14923</v>
      </c>
      <c r="H285" s="11" t="str">
        <f>HYPERLINK("http://dx.doi.org/10.1145/3591196.3593516","http://dx.doi.org/10.1145/3591196.3593516")</f>
        <v>http://dx.doi.org/10.1145/3591196.3593516</v>
      </c>
      <c r="I285" s="11" t="s">
        <v>14929</v>
      </c>
      <c r="J285" s="11" t="s">
        <v>14927</v>
      </c>
      <c r="K285" s="11" t="s">
        <v>42</v>
      </c>
      <c r="L285" s="11" t="s">
        <v>5552</v>
      </c>
      <c r="M285" s="9" t="s">
        <v>12142</v>
      </c>
    </row>
    <row r="286" spans="1:13" x14ac:dyDescent="0.25">
      <c r="A286" s="11">
        <v>567</v>
      </c>
      <c r="B286" s="12" t="s">
        <v>12118</v>
      </c>
      <c r="C286" s="12">
        <v>633</v>
      </c>
      <c r="D286" s="11" t="s">
        <v>2341</v>
      </c>
      <c r="E286" s="11" t="s">
        <v>2343</v>
      </c>
      <c r="F286" s="11">
        <v>2023</v>
      </c>
      <c r="G286" s="11" t="s">
        <v>2344</v>
      </c>
      <c r="H286" s="11" t="str">
        <f>HYPERLINK("http://dx.doi.org/10.3390/f14122412","http://dx.doi.org/10.3390/f14122412")</f>
        <v>http://dx.doi.org/10.3390/f14122412</v>
      </c>
      <c r="I286" s="11" t="s">
        <v>2347</v>
      </c>
      <c r="J286" s="11" t="s">
        <v>2345</v>
      </c>
      <c r="K286" s="11" t="s">
        <v>42</v>
      </c>
      <c r="L286" s="11" t="s">
        <v>56</v>
      </c>
      <c r="M286" s="9" t="s">
        <v>12142</v>
      </c>
    </row>
    <row r="287" spans="1:13" x14ac:dyDescent="0.25">
      <c r="A287" s="11">
        <v>386</v>
      </c>
      <c r="B287" s="12" t="s">
        <v>12118</v>
      </c>
      <c r="C287" s="12">
        <v>427</v>
      </c>
      <c r="D287" s="11" t="s">
        <v>4138</v>
      </c>
      <c r="E287" s="11" t="s">
        <v>4140</v>
      </c>
      <c r="F287" s="11">
        <v>2023</v>
      </c>
      <c r="G287" s="11" t="s">
        <v>1562</v>
      </c>
      <c r="H287" s="11" t="str">
        <f>HYPERLINK("http://dx.doi.org/10.3389/feduc.2023.1250461","http://dx.doi.org/10.3389/feduc.2023.1250461")</f>
        <v>http://dx.doi.org/10.3389/feduc.2023.1250461</v>
      </c>
      <c r="I287" s="11" t="s">
        <v>4143</v>
      </c>
      <c r="J287" s="11" t="s">
        <v>4141</v>
      </c>
      <c r="K287" s="11" t="s">
        <v>42</v>
      </c>
      <c r="L287" s="11" t="s">
        <v>56</v>
      </c>
      <c r="M287" s="10">
        <v>1</v>
      </c>
    </row>
    <row r="288" spans="1:13" x14ac:dyDescent="0.25">
      <c r="A288" s="11">
        <v>319</v>
      </c>
      <c r="B288" s="12" t="s">
        <v>12118</v>
      </c>
      <c r="C288" s="12">
        <v>358</v>
      </c>
      <c r="D288" s="11" t="s">
        <v>8793</v>
      </c>
      <c r="E288" s="11" t="s">
        <v>9216</v>
      </c>
      <c r="F288" s="11">
        <v>2021</v>
      </c>
      <c r="G288" s="11" t="s">
        <v>7697</v>
      </c>
      <c r="H288" s="11" t="s">
        <v>1507</v>
      </c>
      <c r="I288" s="11" t="s">
        <v>9218</v>
      </c>
      <c r="J288" s="11" t="s">
        <v>1507</v>
      </c>
      <c r="K288" s="11" t="s">
        <v>42</v>
      </c>
      <c r="L288" s="11" t="s">
        <v>56</v>
      </c>
      <c r="M288" s="9" t="s">
        <v>12142</v>
      </c>
    </row>
    <row r="289" spans="1:13" x14ac:dyDescent="0.25">
      <c r="A289" s="11">
        <v>629</v>
      </c>
      <c r="B289" s="12" t="s">
        <v>12118</v>
      </c>
      <c r="C289" s="12">
        <v>698</v>
      </c>
      <c r="D289" s="11" t="s">
        <v>6756</v>
      </c>
      <c r="E289" s="11" t="s">
        <v>6758</v>
      </c>
      <c r="F289" s="11">
        <v>2022</v>
      </c>
      <c r="G289" s="11" t="s">
        <v>6759</v>
      </c>
      <c r="H289" s="11" t="str">
        <f>HYPERLINK("http://dx.doi.org/10.1088/2058-6272/aca00a","http://dx.doi.org/10.1088/2058-6272/aca00a")</f>
        <v>http://dx.doi.org/10.1088/2058-6272/aca00a</v>
      </c>
      <c r="I289" s="11" t="s">
        <v>6762</v>
      </c>
      <c r="J289" s="11" t="s">
        <v>6760</v>
      </c>
      <c r="K289" s="11" t="s">
        <v>42</v>
      </c>
      <c r="L289" s="11" t="s">
        <v>56</v>
      </c>
      <c r="M289" s="9" t="s">
        <v>12142</v>
      </c>
    </row>
    <row r="290" spans="1:13" x14ac:dyDescent="0.25">
      <c r="A290" s="11">
        <v>177</v>
      </c>
      <c r="B290" s="12" t="s">
        <v>12118</v>
      </c>
      <c r="C290" s="12">
        <v>192</v>
      </c>
      <c r="D290" s="11" t="s">
        <v>2980</v>
      </c>
      <c r="E290" s="11" t="s">
        <v>1177</v>
      </c>
      <c r="F290" s="11">
        <v>2023</v>
      </c>
      <c r="G290" s="11" t="s">
        <v>2982</v>
      </c>
      <c r="H290" s="11" t="str">
        <f>HYPERLINK("http://dx.doi.org/10.1007/s00146-023-01791-1","http://dx.doi.org/10.1007/s00146-023-01791-1")</f>
        <v>http://dx.doi.org/10.1007/s00146-023-01791-1</v>
      </c>
      <c r="I290" s="11" t="s">
        <v>2984</v>
      </c>
      <c r="J290" s="11" t="s">
        <v>2983</v>
      </c>
      <c r="K290" s="11" t="s">
        <v>42</v>
      </c>
      <c r="L290" s="11" t="s">
        <v>1509</v>
      </c>
      <c r="M290" s="9">
        <v>1</v>
      </c>
    </row>
    <row r="291" spans="1:13" x14ac:dyDescent="0.25">
      <c r="A291" s="12">
        <v>101</v>
      </c>
      <c r="B291" s="12" t="s">
        <v>12204</v>
      </c>
      <c r="C291" s="12">
        <v>353</v>
      </c>
      <c r="D291" s="12" t="s">
        <v>13377</v>
      </c>
      <c r="E291" s="12" t="s">
        <v>449</v>
      </c>
      <c r="F291" s="12">
        <v>2023</v>
      </c>
      <c r="G291" s="12" t="s">
        <v>34</v>
      </c>
      <c r="H291" s="12" t="s">
        <v>450</v>
      </c>
      <c r="I291" s="12" t="s">
        <v>452</v>
      </c>
      <c r="J291" s="12" t="s">
        <v>453</v>
      </c>
      <c r="K291" s="12" t="s">
        <v>42</v>
      </c>
      <c r="L291" s="12" t="s">
        <v>12252</v>
      </c>
      <c r="M291" s="10">
        <v>1</v>
      </c>
    </row>
    <row r="292" spans="1:13" x14ac:dyDescent="0.25">
      <c r="A292" s="11">
        <v>382</v>
      </c>
      <c r="B292" s="12" t="s">
        <v>12118</v>
      </c>
      <c r="C292" s="12">
        <v>422</v>
      </c>
      <c r="D292" s="11" t="s">
        <v>7097</v>
      </c>
      <c r="E292" s="11" t="s">
        <v>7099</v>
      </c>
      <c r="F292" s="11">
        <v>2022</v>
      </c>
      <c r="G292" s="11" t="s">
        <v>7100</v>
      </c>
      <c r="H292" s="11" t="str">
        <f>HYPERLINK("http://dx.doi.org/10.1039/d2ra03931a","http://dx.doi.org/10.1039/d2ra03931a")</f>
        <v>http://dx.doi.org/10.1039/d2ra03931a</v>
      </c>
      <c r="I292" s="11" t="s">
        <v>7102</v>
      </c>
      <c r="J292" s="11" t="s">
        <v>1507</v>
      </c>
      <c r="K292" s="11" t="s">
        <v>42</v>
      </c>
      <c r="L292" s="11" t="s">
        <v>56</v>
      </c>
      <c r="M292" s="9" t="s">
        <v>12142</v>
      </c>
    </row>
    <row r="293" spans="1:13" x14ac:dyDescent="0.25">
      <c r="A293" s="11">
        <v>158</v>
      </c>
      <c r="B293" s="12" t="s">
        <v>12118</v>
      </c>
      <c r="C293" s="12">
        <v>168</v>
      </c>
      <c r="D293" s="11" t="s">
        <v>14944</v>
      </c>
      <c r="E293" s="11" t="s">
        <v>776</v>
      </c>
      <c r="F293" s="11">
        <v>2023</v>
      </c>
      <c r="G293" s="11" t="s">
        <v>14946</v>
      </c>
      <c r="H293" s="11" t="str">
        <f>HYPERLINK("http://dx.doi.org/10.1145/3580305.3599827","http://dx.doi.org/10.1145/3580305.3599827")</f>
        <v>http://dx.doi.org/10.1145/3580305.3599827</v>
      </c>
      <c r="I293" s="11" t="s">
        <v>14951</v>
      </c>
      <c r="J293" s="11" t="s">
        <v>14950</v>
      </c>
      <c r="K293" s="11" t="s">
        <v>42</v>
      </c>
      <c r="L293" s="11" t="s">
        <v>5552</v>
      </c>
      <c r="M293" s="9">
        <v>1</v>
      </c>
    </row>
    <row r="294" spans="1:13" x14ac:dyDescent="0.25">
      <c r="A294" s="11">
        <v>146</v>
      </c>
      <c r="B294" s="12" t="s">
        <v>12118</v>
      </c>
      <c r="C294" s="12">
        <v>157</v>
      </c>
      <c r="D294" s="11" t="s">
        <v>5811</v>
      </c>
      <c r="E294" s="11" t="s">
        <v>984</v>
      </c>
      <c r="F294" s="11">
        <v>2023</v>
      </c>
      <c r="G294" s="11" t="s">
        <v>5813</v>
      </c>
      <c r="H294" s="11" t="str">
        <f>HYPERLINK("http://dx.doi.org/10.5114/biolsport.2023.125623","http://dx.doi.org/10.5114/biolsport.2023.125623")</f>
        <v>http://dx.doi.org/10.5114/biolsport.2023.125623</v>
      </c>
      <c r="I294" s="11" t="s">
        <v>5815</v>
      </c>
      <c r="J294" s="11" t="s">
        <v>5814</v>
      </c>
      <c r="K294" s="11" t="s">
        <v>42</v>
      </c>
      <c r="L294" s="11" t="s">
        <v>56</v>
      </c>
      <c r="M294" s="9">
        <v>1</v>
      </c>
    </row>
    <row r="295" spans="1:13" x14ac:dyDescent="0.25">
      <c r="A295" s="11">
        <v>219</v>
      </c>
      <c r="B295" s="12" t="s">
        <v>12118</v>
      </c>
      <c r="C295" s="12">
        <v>241</v>
      </c>
      <c r="D295" s="11" t="s">
        <v>5902</v>
      </c>
      <c r="E295" s="11" t="s">
        <v>5904</v>
      </c>
      <c r="F295" s="11">
        <v>2023</v>
      </c>
      <c r="G295" s="11" t="s">
        <v>5905</v>
      </c>
      <c r="H295" s="11" t="str">
        <f>HYPERLINK("http://dx.doi.org/10.1109/CVPR52729.2023.01046","http://dx.doi.org/10.1109/CVPR52729.2023.01046")</f>
        <v>http://dx.doi.org/10.1109/CVPR52729.2023.01046</v>
      </c>
      <c r="I295" s="11" t="s">
        <v>5911</v>
      </c>
      <c r="J295" s="11" t="s">
        <v>1507</v>
      </c>
      <c r="K295" s="11" t="s">
        <v>42</v>
      </c>
      <c r="L295" s="11" t="s">
        <v>5552</v>
      </c>
      <c r="M295" s="9" t="s">
        <v>12142</v>
      </c>
    </row>
    <row r="296" spans="1:13" x14ac:dyDescent="0.25">
      <c r="A296" s="11">
        <v>80</v>
      </c>
      <c r="B296" s="12" t="s">
        <v>12118</v>
      </c>
      <c r="C296" s="12">
        <v>86</v>
      </c>
      <c r="D296" s="11" t="s">
        <v>4449</v>
      </c>
      <c r="E296" s="11" t="s">
        <v>4451</v>
      </c>
      <c r="F296" s="11">
        <v>2023</v>
      </c>
      <c r="G296" s="11" t="s">
        <v>4452</v>
      </c>
      <c r="H296" s="11" t="str">
        <f>HYPERLINK("http://dx.doi.org/10.1007/s40858-023-00594-5","http://dx.doi.org/10.1007/s40858-023-00594-5")</f>
        <v>http://dx.doi.org/10.1007/s40858-023-00594-5</v>
      </c>
      <c r="I296" s="11" t="s">
        <v>4455</v>
      </c>
      <c r="J296" s="11" t="s">
        <v>4453</v>
      </c>
      <c r="K296" s="11" t="s">
        <v>42</v>
      </c>
      <c r="L296" s="11" t="s">
        <v>1509</v>
      </c>
      <c r="M296" s="9" t="s">
        <v>12142</v>
      </c>
    </row>
    <row r="297" spans="1:13" x14ac:dyDescent="0.25">
      <c r="A297" s="12">
        <v>81</v>
      </c>
      <c r="B297" s="12" t="s">
        <v>12204</v>
      </c>
      <c r="C297" s="12">
        <v>291</v>
      </c>
      <c r="D297" s="12" t="s">
        <v>13224</v>
      </c>
      <c r="E297" s="12" t="s">
        <v>152</v>
      </c>
      <c r="F297" s="12">
        <v>2023</v>
      </c>
      <c r="G297" s="12" t="s">
        <v>153</v>
      </c>
      <c r="H297" s="12" t="s">
        <v>154</v>
      </c>
      <c r="I297" s="12" t="s">
        <v>157</v>
      </c>
      <c r="J297" s="12" t="s">
        <v>158</v>
      </c>
      <c r="K297" s="12" t="s">
        <v>42</v>
      </c>
      <c r="L297" s="12" t="s">
        <v>56</v>
      </c>
      <c r="M297" s="10">
        <v>1</v>
      </c>
    </row>
    <row r="298" spans="1:13" x14ac:dyDescent="0.25">
      <c r="A298" s="11">
        <v>164</v>
      </c>
      <c r="B298" s="12" t="s">
        <v>12118</v>
      </c>
      <c r="C298" s="12">
        <v>175</v>
      </c>
      <c r="D298" s="11" t="s">
        <v>9947</v>
      </c>
      <c r="E298" s="11" t="s">
        <v>9949</v>
      </c>
      <c r="F298" s="11">
        <v>2020</v>
      </c>
      <c r="G298" s="11" t="s">
        <v>9950</v>
      </c>
      <c r="H298" s="11" t="s">
        <v>1507</v>
      </c>
      <c r="I298" s="11" t="s">
        <v>9951</v>
      </c>
      <c r="J298" s="11" t="s">
        <v>1507</v>
      </c>
      <c r="K298" s="11" t="s">
        <v>42</v>
      </c>
      <c r="L298" s="11" t="s">
        <v>56</v>
      </c>
      <c r="M298" s="9" t="s">
        <v>12142</v>
      </c>
    </row>
    <row r="299" spans="1:13" x14ac:dyDescent="0.25">
      <c r="A299" s="11">
        <v>199</v>
      </c>
      <c r="B299" s="12" t="s">
        <v>12118</v>
      </c>
      <c r="C299" s="12">
        <v>217</v>
      </c>
      <c r="D299" s="11" t="s">
        <v>4940</v>
      </c>
      <c r="E299" s="11" t="s">
        <v>4942</v>
      </c>
      <c r="F299" s="11">
        <v>2023</v>
      </c>
      <c r="G299" s="11" t="s">
        <v>4943</v>
      </c>
      <c r="H299" s="11" t="str">
        <f>HYPERLINK("http://dx.doi.org/10.5551/jat.64081","http://dx.doi.org/10.5551/jat.64081")</f>
        <v>http://dx.doi.org/10.5551/jat.64081</v>
      </c>
      <c r="I299" s="11" t="s">
        <v>4946</v>
      </c>
      <c r="J299" s="11" t="s">
        <v>4944</v>
      </c>
      <c r="K299" s="11" t="s">
        <v>42</v>
      </c>
      <c r="L299" s="11" t="s">
        <v>56</v>
      </c>
      <c r="M299" s="9" t="s">
        <v>12142</v>
      </c>
    </row>
    <row r="300" spans="1:13" x14ac:dyDescent="0.25">
      <c r="A300" s="11">
        <v>204</v>
      </c>
      <c r="B300" s="12" t="s">
        <v>12118</v>
      </c>
      <c r="C300" s="12">
        <v>223</v>
      </c>
      <c r="D300" s="11" t="s">
        <v>5392</v>
      </c>
      <c r="E300" s="11" t="s">
        <v>5394</v>
      </c>
      <c r="F300" s="11">
        <v>2023</v>
      </c>
      <c r="G300" s="11" t="s">
        <v>5395</v>
      </c>
      <c r="H300" s="11" t="str">
        <f>HYPERLINK("http://dx.doi.org/10.1016/j.redox.2023.102614","http://dx.doi.org/10.1016/j.redox.2023.102614")</f>
        <v>http://dx.doi.org/10.1016/j.redox.2023.102614</v>
      </c>
      <c r="I300" s="11" t="s">
        <v>5398</v>
      </c>
      <c r="J300" s="11" t="s">
        <v>5396</v>
      </c>
      <c r="K300" s="11" t="s">
        <v>42</v>
      </c>
      <c r="L300" s="11" t="s">
        <v>56</v>
      </c>
      <c r="M300" s="9" t="s">
        <v>12142</v>
      </c>
    </row>
    <row r="301" spans="1:13" x14ac:dyDescent="0.25">
      <c r="A301" s="12">
        <v>126</v>
      </c>
      <c r="B301" s="12" t="s">
        <v>12204</v>
      </c>
      <c r="C301" s="12">
        <v>453</v>
      </c>
      <c r="D301" s="12" t="s">
        <v>786</v>
      </c>
      <c r="E301" s="12" t="s">
        <v>788</v>
      </c>
      <c r="F301" s="12">
        <v>2023</v>
      </c>
      <c r="G301" s="12" t="s">
        <v>383</v>
      </c>
      <c r="I301" s="12" t="s">
        <v>790</v>
      </c>
      <c r="J301" s="12" t="s">
        <v>791</v>
      </c>
      <c r="K301" s="12" t="s">
        <v>42</v>
      </c>
      <c r="L301" s="12" t="s">
        <v>12252</v>
      </c>
      <c r="M301" s="10">
        <v>1</v>
      </c>
    </row>
    <row r="302" spans="1:13" x14ac:dyDescent="0.25">
      <c r="A302" s="12">
        <v>169</v>
      </c>
      <c r="B302" s="12" t="s">
        <v>12204</v>
      </c>
      <c r="C302" s="12">
        <v>630</v>
      </c>
      <c r="D302" s="12" t="s">
        <v>12640</v>
      </c>
      <c r="E302" s="12" t="s">
        <v>818</v>
      </c>
      <c r="F302" s="12">
        <v>2023</v>
      </c>
      <c r="G302" s="12" t="s">
        <v>819</v>
      </c>
      <c r="H302" s="12" t="s">
        <v>820</v>
      </c>
      <c r="I302" s="12" t="s">
        <v>823</v>
      </c>
      <c r="J302" s="12" t="s">
        <v>824</v>
      </c>
      <c r="K302" s="12" t="s">
        <v>42</v>
      </c>
      <c r="L302" s="12" t="s">
        <v>56</v>
      </c>
      <c r="M302" s="9">
        <v>1</v>
      </c>
    </row>
    <row r="303" spans="1:13" x14ac:dyDescent="0.25">
      <c r="A303" s="11">
        <v>522</v>
      </c>
      <c r="B303" s="12" t="s">
        <v>12118</v>
      </c>
      <c r="C303" s="12">
        <v>580</v>
      </c>
      <c r="D303" s="11" t="s">
        <v>3019</v>
      </c>
      <c r="E303" s="11" t="s">
        <v>3021</v>
      </c>
      <c r="F303" s="11">
        <v>2023</v>
      </c>
      <c r="G303" s="11" t="s">
        <v>3022</v>
      </c>
      <c r="H303" s="11" t="str">
        <f>HYPERLINK("http://dx.doi.org/10.1016/j.xops.2023.100394","http://dx.doi.org/10.1016/j.xops.2023.100394")</f>
        <v>http://dx.doi.org/10.1016/j.xops.2023.100394</v>
      </c>
      <c r="I303" s="11" t="s">
        <v>3023</v>
      </c>
      <c r="J303" s="11" t="s">
        <v>1507</v>
      </c>
      <c r="K303" s="11" t="s">
        <v>42</v>
      </c>
      <c r="L303" s="11" t="s">
        <v>56</v>
      </c>
      <c r="M303" s="9">
        <v>1</v>
      </c>
    </row>
    <row r="304" spans="1:13" x14ac:dyDescent="0.25">
      <c r="A304" s="11">
        <v>572</v>
      </c>
      <c r="B304" s="12" t="s">
        <v>12118</v>
      </c>
      <c r="C304" s="12">
        <v>641</v>
      </c>
      <c r="D304" s="11" t="s">
        <v>15471</v>
      </c>
      <c r="E304" s="11" t="s">
        <v>15473</v>
      </c>
      <c r="F304" s="11">
        <v>2023</v>
      </c>
      <c r="G304" s="11" t="s">
        <v>15474</v>
      </c>
      <c r="H304" s="11" t="str">
        <f>HYPERLINK("http://dx.doi.org/10.15219/em100.1617","http://dx.doi.org/10.15219/em100.1617")</f>
        <v>http://dx.doi.org/10.15219/em100.1617</v>
      </c>
      <c r="I304" s="11" t="s">
        <v>15477</v>
      </c>
      <c r="J304" s="11" t="s">
        <v>15476</v>
      </c>
      <c r="K304" s="11" t="s">
        <v>15475</v>
      </c>
      <c r="L304" s="11" t="s">
        <v>56</v>
      </c>
      <c r="M304" s="9">
        <v>1</v>
      </c>
    </row>
    <row r="305" spans="1:13" x14ac:dyDescent="0.25">
      <c r="A305" s="11">
        <v>417</v>
      </c>
      <c r="B305" s="12" t="s">
        <v>12118</v>
      </c>
      <c r="C305" s="12">
        <v>463</v>
      </c>
      <c r="D305" s="11" t="s">
        <v>9731</v>
      </c>
      <c r="E305" s="11" t="s">
        <v>9733</v>
      </c>
      <c r="F305" s="11">
        <v>2020</v>
      </c>
      <c r="G305" s="11" t="s">
        <v>9734</v>
      </c>
      <c r="H305" s="11" t="str">
        <f>HYPERLINK("http://dx.doi.org/10.1002/hep4.1533","http://dx.doi.org/10.1002/hep4.1533")</f>
        <v>http://dx.doi.org/10.1002/hep4.1533</v>
      </c>
      <c r="I305" s="11" t="s">
        <v>9736</v>
      </c>
      <c r="J305" s="11" t="s">
        <v>1507</v>
      </c>
      <c r="K305" s="11" t="s">
        <v>42</v>
      </c>
      <c r="L305" s="11" t="s">
        <v>56</v>
      </c>
      <c r="M305" s="9" t="s">
        <v>12142</v>
      </c>
    </row>
    <row r="306" spans="1:13" x14ac:dyDescent="0.25">
      <c r="A306" s="11">
        <v>216</v>
      </c>
      <c r="B306" s="12" t="s">
        <v>12118</v>
      </c>
      <c r="C306" s="12">
        <v>237</v>
      </c>
      <c r="D306" s="11" t="s">
        <v>7560</v>
      </c>
      <c r="E306" s="11" t="s">
        <v>7562</v>
      </c>
      <c r="F306" s="11">
        <v>2022</v>
      </c>
      <c r="G306" s="11" t="s">
        <v>7563</v>
      </c>
      <c r="H306" s="11" t="str">
        <f>HYPERLINK("http://dx.doi.org/10.1038/s41467-022-28420-7","http://dx.doi.org/10.1038/s41467-022-28420-7")</f>
        <v>http://dx.doi.org/10.1038/s41467-022-28420-7</v>
      </c>
      <c r="I306" s="11" t="s">
        <v>7565</v>
      </c>
      <c r="J306" s="11" t="s">
        <v>1507</v>
      </c>
      <c r="K306" s="11" t="s">
        <v>42</v>
      </c>
      <c r="L306" s="11" t="s">
        <v>56</v>
      </c>
      <c r="M306" s="9" t="s">
        <v>12142</v>
      </c>
    </row>
    <row r="307" spans="1:13" x14ac:dyDescent="0.25">
      <c r="A307" s="11">
        <v>601</v>
      </c>
      <c r="B307" s="12" t="s">
        <v>12118</v>
      </c>
      <c r="C307" s="12">
        <v>672</v>
      </c>
      <c r="D307" s="11" t="s">
        <v>15512</v>
      </c>
      <c r="E307" s="11" t="s">
        <v>15514</v>
      </c>
      <c r="F307" s="11">
        <v>2023</v>
      </c>
      <c r="G307" s="11" t="s">
        <v>14946</v>
      </c>
      <c r="H307" s="11" t="str">
        <f>HYPERLINK("http://dx.doi.org/10.1145/3580305.3599832","http://dx.doi.org/10.1145/3580305.3599832")</f>
        <v>http://dx.doi.org/10.1145/3580305.3599832</v>
      </c>
      <c r="I307" s="11" t="s">
        <v>15516</v>
      </c>
      <c r="J307" s="11" t="s">
        <v>15515</v>
      </c>
      <c r="K307" s="11" t="s">
        <v>42</v>
      </c>
      <c r="L307" s="11" t="s">
        <v>5552</v>
      </c>
      <c r="M307" s="9" t="s">
        <v>12142</v>
      </c>
    </row>
    <row r="308" spans="1:13" x14ac:dyDescent="0.25">
      <c r="A308" s="11">
        <v>403</v>
      </c>
      <c r="B308" s="12" t="s">
        <v>12118</v>
      </c>
      <c r="C308" s="12">
        <v>446</v>
      </c>
      <c r="D308" s="11" t="s">
        <v>4082</v>
      </c>
      <c r="E308" s="11" t="s">
        <v>4084</v>
      </c>
      <c r="F308" s="11">
        <v>2023</v>
      </c>
      <c r="G308" s="11" t="s">
        <v>3146</v>
      </c>
      <c r="H308" s="11" t="str">
        <f>HYPERLINK("http://dx.doi.org/10.1016/j.frl.2023.104333","http://dx.doi.org/10.1016/j.frl.2023.104333")</f>
        <v>http://dx.doi.org/10.1016/j.frl.2023.104333</v>
      </c>
      <c r="I308" s="11" t="s">
        <v>4087</v>
      </c>
      <c r="J308" s="11" t="s">
        <v>4085</v>
      </c>
      <c r="K308" s="11" t="s">
        <v>42</v>
      </c>
      <c r="L308" s="11" t="s">
        <v>56</v>
      </c>
      <c r="M308" s="9" t="s">
        <v>12142</v>
      </c>
    </row>
    <row r="309" spans="1:13" x14ac:dyDescent="0.25">
      <c r="A309" s="12">
        <v>37</v>
      </c>
      <c r="B309" s="12" t="s">
        <v>12204</v>
      </c>
      <c r="C309" s="12">
        <v>118</v>
      </c>
      <c r="D309" s="12" t="s">
        <v>13284</v>
      </c>
      <c r="E309" s="12" t="s">
        <v>58</v>
      </c>
      <c r="F309" s="12">
        <v>2023</v>
      </c>
      <c r="G309" s="12" t="s">
        <v>59</v>
      </c>
      <c r="H309" s="12" t="s">
        <v>60</v>
      </c>
      <c r="I309" s="12" t="s">
        <v>13281</v>
      </c>
      <c r="J309" s="12" t="s">
        <v>63</v>
      </c>
      <c r="K309" s="12" t="s">
        <v>42</v>
      </c>
      <c r="L309" s="12" t="s">
        <v>12252</v>
      </c>
      <c r="M309" s="10">
        <v>1</v>
      </c>
    </row>
    <row r="310" spans="1:13" x14ac:dyDescent="0.25">
      <c r="A310" s="12">
        <v>52</v>
      </c>
      <c r="B310" s="12" t="s">
        <v>12204</v>
      </c>
      <c r="C310" s="12">
        <v>185</v>
      </c>
      <c r="D310" s="12" t="s">
        <v>12605</v>
      </c>
      <c r="E310" s="12" t="s">
        <v>1337</v>
      </c>
      <c r="F310" s="12">
        <v>2023</v>
      </c>
      <c r="G310" s="12" t="s">
        <v>127</v>
      </c>
      <c r="H310" s="12" t="s">
        <v>1339</v>
      </c>
      <c r="I310" s="12" t="s">
        <v>1342</v>
      </c>
      <c r="J310" s="12" t="s">
        <v>1343</v>
      </c>
      <c r="K310" s="12" t="s">
        <v>42</v>
      </c>
      <c r="L310" s="12" t="s">
        <v>12252</v>
      </c>
      <c r="M310" s="10">
        <v>1</v>
      </c>
    </row>
    <row r="311" spans="1:13" x14ac:dyDescent="0.25">
      <c r="A311" s="11">
        <v>309</v>
      </c>
      <c r="B311" s="12" t="s">
        <v>12118</v>
      </c>
      <c r="C311" s="12">
        <v>346</v>
      </c>
      <c r="D311" s="11" t="s">
        <v>11570</v>
      </c>
      <c r="E311" s="11" t="s">
        <v>11738</v>
      </c>
      <c r="F311" s="11">
        <v>2018</v>
      </c>
      <c r="G311" s="11" t="s">
        <v>2087</v>
      </c>
      <c r="H311" s="11" t="str">
        <f>HYPERLINK("http://dx.doi.org/10.1007/JHEP05(2018)009","http://dx.doi.org/10.1007/JHEP05(2018)009")</f>
        <v>http://dx.doi.org/10.1007/JHEP05(2018)009</v>
      </c>
      <c r="I311" s="11" t="s">
        <v>11741</v>
      </c>
      <c r="J311" s="11" t="s">
        <v>11739</v>
      </c>
      <c r="K311" s="11" t="s">
        <v>42</v>
      </c>
      <c r="L311" s="11" t="s">
        <v>56</v>
      </c>
      <c r="M311" s="9" t="s">
        <v>12142</v>
      </c>
    </row>
    <row r="312" spans="1:13" x14ac:dyDescent="0.25">
      <c r="A312" s="11">
        <v>585</v>
      </c>
      <c r="B312" s="12" t="s">
        <v>12118</v>
      </c>
      <c r="C312" s="12">
        <v>654</v>
      </c>
      <c r="D312" s="11" t="s">
        <v>6554</v>
      </c>
      <c r="E312" s="11" t="s">
        <v>6556</v>
      </c>
      <c r="F312" s="11">
        <v>2023</v>
      </c>
      <c r="G312" s="11" t="s">
        <v>6557</v>
      </c>
      <c r="H312" s="11" t="str">
        <f>HYPERLINK("http://dx.doi.org/10.1109/VTC2023-Fall60731.2023.10333403","http://dx.doi.org/10.1109/VTC2023-Fall60731.2023.10333403")</f>
        <v>http://dx.doi.org/10.1109/VTC2023-Fall60731.2023.10333403</v>
      </c>
      <c r="I312" s="11" t="s">
        <v>6565</v>
      </c>
      <c r="J312" s="11" t="s">
        <v>6563</v>
      </c>
      <c r="K312" s="11" t="s">
        <v>42</v>
      </c>
      <c r="L312" s="11" t="s">
        <v>5552</v>
      </c>
      <c r="M312" s="9" t="s">
        <v>12142</v>
      </c>
    </row>
    <row r="313" spans="1:13" x14ac:dyDescent="0.25">
      <c r="A313" s="11">
        <v>9</v>
      </c>
      <c r="B313" s="12" t="s">
        <v>12118</v>
      </c>
      <c r="C313" s="12">
        <v>9</v>
      </c>
      <c r="D313" s="11" t="s">
        <v>7626</v>
      </c>
      <c r="E313" s="11" t="s">
        <v>7628</v>
      </c>
      <c r="F313" s="11">
        <v>2022</v>
      </c>
      <c r="G313" s="11" t="s">
        <v>7629</v>
      </c>
      <c r="H313" s="11" t="str">
        <f>HYPERLINK("http://dx.doi.org/10.1007/s40808-021-01292-4","http://dx.doi.org/10.1007/s40808-021-01292-4")</f>
        <v>http://dx.doi.org/10.1007/s40808-021-01292-4</v>
      </c>
      <c r="I313" s="11" t="s">
        <v>7632</v>
      </c>
      <c r="J313" s="11" t="s">
        <v>7630</v>
      </c>
      <c r="K313" s="11" t="s">
        <v>42</v>
      </c>
      <c r="L313" s="11" t="s">
        <v>56</v>
      </c>
      <c r="M313" s="9" t="s">
        <v>12142</v>
      </c>
    </row>
    <row r="314" spans="1:13" x14ac:dyDescent="0.25">
      <c r="A314" s="12">
        <v>151</v>
      </c>
      <c r="B314" s="12" t="s">
        <v>12204</v>
      </c>
      <c r="C314" s="12">
        <v>560</v>
      </c>
      <c r="D314" s="12" t="s">
        <v>12423</v>
      </c>
      <c r="E314" s="12" t="s">
        <v>1391</v>
      </c>
      <c r="F314" s="12">
        <v>2023</v>
      </c>
      <c r="G314" s="12" t="s">
        <v>383</v>
      </c>
      <c r="I314" s="12" t="s">
        <v>1394</v>
      </c>
      <c r="J314" s="12" t="s">
        <v>1395</v>
      </c>
      <c r="K314" s="12" t="s">
        <v>42</v>
      </c>
      <c r="L314" s="12" t="s">
        <v>12252</v>
      </c>
      <c r="M314" s="10">
        <v>1</v>
      </c>
    </row>
    <row r="315" spans="1:13" x14ac:dyDescent="0.25">
      <c r="A315" s="11">
        <v>451</v>
      </c>
      <c r="B315" s="12" t="s">
        <v>12118</v>
      </c>
      <c r="C315" s="12">
        <v>504</v>
      </c>
      <c r="D315" s="11" t="s">
        <v>9265</v>
      </c>
      <c r="E315" s="11" t="s">
        <v>9268</v>
      </c>
      <c r="F315" s="11">
        <v>2021</v>
      </c>
      <c r="G315" s="11" t="s">
        <v>9269</v>
      </c>
      <c r="H315" s="11" t="str">
        <f>HYPERLINK("http://dx.doi.org/10.3233/SHTI210261","http://dx.doi.org/10.3233/SHTI210261")</f>
        <v>http://dx.doi.org/10.3233/SHTI210261</v>
      </c>
      <c r="I315" s="11" t="s">
        <v>9275</v>
      </c>
      <c r="J315" s="11" t="s">
        <v>9274</v>
      </c>
      <c r="K315" s="11" t="s">
        <v>42</v>
      </c>
      <c r="L315" s="11" t="s">
        <v>5552</v>
      </c>
      <c r="M315" s="9" t="s">
        <v>12142</v>
      </c>
    </row>
    <row r="316" spans="1:13" x14ac:dyDescent="0.25">
      <c r="A316" s="11">
        <v>268</v>
      </c>
      <c r="B316" s="12" t="s">
        <v>12118</v>
      </c>
      <c r="C316" s="12">
        <v>297</v>
      </c>
      <c r="D316" s="11" t="s">
        <v>4678</v>
      </c>
      <c r="E316" s="11" t="s">
        <v>4680</v>
      </c>
      <c r="F316" s="11">
        <v>2023</v>
      </c>
      <c r="G316" s="11" t="s">
        <v>1760</v>
      </c>
      <c r="H316" s="11" t="str">
        <f>HYPERLINK("http://dx.doi.org/10.1038/s41586-023-06160-y","http://dx.doi.org/10.1038/s41586-023-06160-y")</f>
        <v>http://dx.doi.org/10.1038/s41586-023-06160-y</v>
      </c>
      <c r="I316" s="11" t="s">
        <v>4681</v>
      </c>
      <c r="J316" s="11" t="s">
        <v>1507</v>
      </c>
      <c r="K316" s="11" t="s">
        <v>42</v>
      </c>
      <c r="L316" s="11" t="s">
        <v>56</v>
      </c>
      <c r="M316" s="9" t="s">
        <v>12142</v>
      </c>
    </row>
    <row r="317" spans="1:13" x14ac:dyDescent="0.25">
      <c r="A317" s="11">
        <v>115</v>
      </c>
      <c r="B317" s="12" t="s">
        <v>12118</v>
      </c>
      <c r="C317" s="12">
        <v>120</v>
      </c>
      <c r="D317" s="11" t="s">
        <v>4813</v>
      </c>
      <c r="E317" s="11" t="s">
        <v>4815</v>
      </c>
      <c r="F317" s="11">
        <v>2023</v>
      </c>
      <c r="G317" s="11" t="s">
        <v>4816</v>
      </c>
      <c r="H317" s="11" t="str">
        <f>HYPERLINK("http://dx.doi.org/10.1002/ps.7557","http://dx.doi.org/10.1002/ps.7557")</f>
        <v>http://dx.doi.org/10.1002/ps.7557</v>
      </c>
      <c r="I317" s="11" t="s">
        <v>4819</v>
      </c>
      <c r="J317" s="11" t="s">
        <v>4817</v>
      </c>
      <c r="K317" s="11" t="s">
        <v>42</v>
      </c>
      <c r="L317" s="11" t="s">
        <v>56</v>
      </c>
      <c r="M317" s="9" t="s">
        <v>12142</v>
      </c>
    </row>
    <row r="318" spans="1:13" x14ac:dyDescent="0.25">
      <c r="A318" s="11">
        <v>107</v>
      </c>
      <c r="B318" s="12" t="s">
        <v>12118</v>
      </c>
      <c r="C318" s="12">
        <v>111</v>
      </c>
      <c r="D318" s="11" t="s">
        <v>5163</v>
      </c>
      <c r="E318" s="11" t="s">
        <v>5165</v>
      </c>
      <c r="F318" s="11">
        <v>2023</v>
      </c>
      <c r="G318" s="11" t="s">
        <v>5166</v>
      </c>
      <c r="H318" s="11" t="str">
        <f>HYPERLINK("http://dx.doi.org/10.1108/JMLC-01-2023-0016","http://dx.doi.org/10.1108/JMLC-01-2023-0016")</f>
        <v>http://dx.doi.org/10.1108/JMLC-01-2023-0016</v>
      </c>
      <c r="I318" s="11" t="s">
        <v>5168</v>
      </c>
      <c r="J318" s="11" t="s">
        <v>5167</v>
      </c>
      <c r="K318" s="11" t="s">
        <v>42</v>
      </c>
      <c r="L318" s="11" t="s">
        <v>56</v>
      </c>
      <c r="M318" s="9" t="s">
        <v>12142</v>
      </c>
    </row>
    <row r="319" spans="1:13" x14ac:dyDescent="0.25">
      <c r="A319" s="11">
        <v>308</v>
      </c>
      <c r="B319" s="12" t="s">
        <v>12118</v>
      </c>
      <c r="C319" s="12">
        <v>345</v>
      </c>
      <c r="D319" s="11" t="s">
        <v>11570</v>
      </c>
      <c r="E319" s="11" t="s">
        <v>11572</v>
      </c>
      <c r="F319" s="11">
        <v>2018</v>
      </c>
      <c r="G319" s="11" t="s">
        <v>11573</v>
      </c>
      <c r="H319" s="11" t="str">
        <f>HYPERLINK("http://dx.doi.org/10.1140/epjc/s10052-018-6324-9","http://dx.doi.org/10.1140/epjc/s10052-018-6324-9")</f>
        <v>http://dx.doi.org/10.1140/epjc/s10052-018-6324-9</v>
      </c>
      <c r="I319" s="11" t="s">
        <v>11575</v>
      </c>
      <c r="J319" s="11" t="s">
        <v>1507</v>
      </c>
      <c r="K319" s="11" t="s">
        <v>42</v>
      </c>
      <c r="L319" s="11" t="s">
        <v>56</v>
      </c>
      <c r="M319" s="9" t="s">
        <v>12142</v>
      </c>
    </row>
    <row r="320" spans="1:13" x14ac:dyDescent="0.25">
      <c r="A320" s="11">
        <v>148</v>
      </c>
      <c r="B320" s="12" t="s">
        <v>12118</v>
      </c>
      <c r="C320" s="12">
        <v>159</v>
      </c>
      <c r="D320" s="11" t="s">
        <v>10529</v>
      </c>
      <c r="E320" s="11" t="s">
        <v>10531</v>
      </c>
      <c r="F320" s="11">
        <v>2019</v>
      </c>
      <c r="G320" s="11" t="s">
        <v>10532</v>
      </c>
      <c r="H320" s="11" t="str">
        <f>HYPERLINK("http://dx.doi.org/10.1016/j.ajhg.2019.09.025","http://dx.doi.org/10.1016/j.ajhg.2019.09.025")</f>
        <v>http://dx.doi.org/10.1016/j.ajhg.2019.09.025</v>
      </c>
      <c r="I320" s="11" t="s">
        <v>10534</v>
      </c>
      <c r="J320" s="11" t="s">
        <v>1507</v>
      </c>
      <c r="K320" s="11" t="s">
        <v>42</v>
      </c>
      <c r="L320" s="11" t="s">
        <v>56</v>
      </c>
      <c r="M320" s="9" t="s">
        <v>12142</v>
      </c>
    </row>
    <row r="321" spans="1:13" x14ac:dyDescent="0.25">
      <c r="A321" s="11">
        <v>15</v>
      </c>
      <c r="B321" s="12" t="s">
        <v>12118</v>
      </c>
      <c r="C321" s="12">
        <v>16</v>
      </c>
      <c r="D321" s="11" t="s">
        <v>11869</v>
      </c>
      <c r="E321" s="11" t="s">
        <v>11872</v>
      </c>
      <c r="F321" s="11">
        <v>2018</v>
      </c>
      <c r="G321" s="11" t="s">
        <v>11873</v>
      </c>
      <c r="H321" s="11" t="s">
        <v>1507</v>
      </c>
      <c r="I321" s="11" t="s">
        <v>1507</v>
      </c>
      <c r="J321" s="11" t="s">
        <v>1507</v>
      </c>
      <c r="K321" s="11" t="s">
        <v>42</v>
      </c>
      <c r="L321" s="11" t="s">
        <v>5888</v>
      </c>
      <c r="M321" s="9" t="s">
        <v>12142</v>
      </c>
    </row>
    <row r="322" spans="1:13" x14ac:dyDescent="0.25">
      <c r="A322" s="11">
        <v>510</v>
      </c>
      <c r="B322" s="12" t="s">
        <v>12118</v>
      </c>
      <c r="C322" s="12">
        <v>564</v>
      </c>
      <c r="D322" s="11" t="s">
        <v>6383</v>
      </c>
      <c r="E322" s="11" t="s">
        <v>6385</v>
      </c>
      <c r="F322" s="11">
        <v>2023</v>
      </c>
      <c r="G322" s="11" t="s">
        <v>6386</v>
      </c>
      <c r="H322" s="11" t="str">
        <f>HYPERLINK("http://dx.doi.org/10.1145/3593856.3595910","http://dx.doi.org/10.1145/3593856.3595910")</f>
        <v>http://dx.doi.org/10.1145/3593856.3595910</v>
      </c>
      <c r="I322" s="11" t="s">
        <v>6393</v>
      </c>
      <c r="J322" s="11" t="s">
        <v>6392</v>
      </c>
      <c r="K322" s="11" t="s">
        <v>42</v>
      </c>
      <c r="L322" s="11" t="s">
        <v>5552</v>
      </c>
      <c r="M322" s="9" t="s">
        <v>12142</v>
      </c>
    </row>
    <row r="323" spans="1:13" x14ac:dyDescent="0.25">
      <c r="A323" s="11">
        <v>570</v>
      </c>
      <c r="B323" s="12" t="s">
        <v>12118</v>
      </c>
      <c r="C323" s="12">
        <v>639</v>
      </c>
      <c r="D323" s="11" t="s">
        <v>2539</v>
      </c>
      <c r="E323" s="11" t="s">
        <v>2541</v>
      </c>
      <c r="F323" s="11">
        <v>2023</v>
      </c>
      <c r="G323" s="11" t="s">
        <v>1538</v>
      </c>
      <c r="H323" s="11" t="str">
        <f>HYPERLINK("http://dx.doi.org/10.1162/tacl_a_00608","http://dx.doi.org/10.1162/tacl_a_00608")</f>
        <v>http://dx.doi.org/10.1162/tacl_a_00608</v>
      </c>
      <c r="I323" s="11" t="s">
        <v>2542</v>
      </c>
      <c r="J323" s="11" t="s">
        <v>1507</v>
      </c>
      <c r="K323" s="11" t="s">
        <v>42</v>
      </c>
      <c r="L323" s="11" t="s">
        <v>56</v>
      </c>
      <c r="M323" s="9">
        <v>1</v>
      </c>
    </row>
    <row r="324" spans="1:13" x14ac:dyDescent="0.25">
      <c r="A324" s="12">
        <v>135</v>
      </c>
      <c r="B324" s="12" t="s">
        <v>12204</v>
      </c>
      <c r="C324" s="12">
        <v>489</v>
      </c>
      <c r="D324" s="12" t="s">
        <v>13263</v>
      </c>
      <c r="E324" s="12" t="s">
        <v>757</v>
      </c>
      <c r="F324" s="12">
        <v>2023</v>
      </c>
      <c r="G324" s="12" t="s">
        <v>366</v>
      </c>
      <c r="H324" s="12" t="s">
        <v>759</v>
      </c>
      <c r="I324" s="12" t="s">
        <v>761</v>
      </c>
      <c r="K324" s="12" t="s">
        <v>42</v>
      </c>
      <c r="L324" s="12" t="s">
        <v>56</v>
      </c>
      <c r="M324" s="9" t="s">
        <v>12142</v>
      </c>
    </row>
    <row r="325" spans="1:13" x14ac:dyDescent="0.25">
      <c r="A325" s="12">
        <v>118</v>
      </c>
      <c r="B325" s="12" t="s">
        <v>12204</v>
      </c>
      <c r="C325" s="12">
        <v>417</v>
      </c>
      <c r="D325" s="12" t="s">
        <v>13177</v>
      </c>
      <c r="E325" s="12" t="s">
        <v>304</v>
      </c>
      <c r="F325" s="12">
        <v>2023</v>
      </c>
      <c r="G325" s="12" t="s">
        <v>305</v>
      </c>
      <c r="H325" s="12" t="s">
        <v>306</v>
      </c>
      <c r="I325" s="12" t="s">
        <v>309</v>
      </c>
      <c r="J325" s="12" t="s">
        <v>310</v>
      </c>
      <c r="K325" s="12" t="s">
        <v>42</v>
      </c>
      <c r="L325" s="12" t="s">
        <v>56</v>
      </c>
      <c r="M325" s="10">
        <v>1</v>
      </c>
    </row>
    <row r="326" spans="1:13" x14ac:dyDescent="0.25">
      <c r="A326" s="11">
        <v>398</v>
      </c>
      <c r="B326" s="12" t="s">
        <v>12118</v>
      </c>
      <c r="C326" s="12">
        <v>441</v>
      </c>
      <c r="D326" s="11" t="s">
        <v>9489</v>
      </c>
      <c r="E326" s="11" t="s">
        <v>9491</v>
      </c>
      <c r="F326" s="11">
        <v>2021</v>
      </c>
      <c r="G326" s="11" t="s">
        <v>9492</v>
      </c>
      <c r="H326" s="11" t="str">
        <f>HYPERLINK("http://dx.doi.org/10.1111/ijfs.14833","http://dx.doi.org/10.1111/ijfs.14833")</f>
        <v>http://dx.doi.org/10.1111/ijfs.14833</v>
      </c>
      <c r="I326" s="11" t="s">
        <v>9495</v>
      </c>
      <c r="J326" s="11" t="s">
        <v>9493</v>
      </c>
      <c r="K326" s="11" t="s">
        <v>42</v>
      </c>
      <c r="L326" s="11" t="s">
        <v>56</v>
      </c>
      <c r="M326" s="9" t="s">
        <v>12142</v>
      </c>
    </row>
    <row r="327" spans="1:13" x14ac:dyDescent="0.25">
      <c r="A327" s="11">
        <v>483</v>
      </c>
      <c r="B327" s="12" t="s">
        <v>12118</v>
      </c>
      <c r="C327" s="12">
        <v>536</v>
      </c>
      <c r="D327" s="11" t="s">
        <v>1954</v>
      </c>
      <c r="E327" s="11" t="s">
        <v>1956</v>
      </c>
      <c r="F327" s="11">
        <v>2023</v>
      </c>
      <c r="G327" s="11" t="s">
        <v>1957</v>
      </c>
      <c r="H327" s="11" t="str">
        <f>HYPERLINK("http://dx.doi.org/10.1111/all.15976","http://dx.doi.org/10.1111/all.15976")</f>
        <v>http://dx.doi.org/10.1111/all.15976</v>
      </c>
      <c r="I327" s="11" t="s">
        <v>1507</v>
      </c>
      <c r="J327" s="11" t="s">
        <v>1507</v>
      </c>
      <c r="K327" s="11" t="s">
        <v>42</v>
      </c>
      <c r="L327" s="11" t="s">
        <v>1509</v>
      </c>
      <c r="M327" s="9" t="s">
        <v>12142</v>
      </c>
    </row>
    <row r="328" spans="1:13" x14ac:dyDescent="0.25">
      <c r="A328" s="11">
        <v>223</v>
      </c>
      <c r="B328" s="12" t="s">
        <v>12118</v>
      </c>
      <c r="C328" s="12">
        <v>246</v>
      </c>
      <c r="D328" s="11" t="s">
        <v>3398</v>
      </c>
      <c r="E328" s="11" t="s">
        <v>3400</v>
      </c>
      <c r="F328" s="11">
        <v>2023</v>
      </c>
      <c r="G328" s="11" t="s">
        <v>3401</v>
      </c>
      <c r="H328" s="11" t="str">
        <f>HYPERLINK("http://dx.doi.org/10.1038/s43588-023-00527-x","http://dx.doi.org/10.1038/s43588-023-00527-x")</f>
        <v>http://dx.doi.org/10.1038/s43588-023-00527-x</v>
      </c>
      <c r="I328" s="11" t="s">
        <v>3403</v>
      </c>
      <c r="J328" s="11" t="s">
        <v>1507</v>
      </c>
      <c r="K328" s="11" t="s">
        <v>42</v>
      </c>
      <c r="L328" s="11" t="s">
        <v>56</v>
      </c>
      <c r="M328" s="9" t="s">
        <v>12142</v>
      </c>
    </row>
    <row r="329" spans="1:13" x14ac:dyDescent="0.25">
      <c r="A329" s="11">
        <v>365</v>
      </c>
      <c r="B329" s="12" t="s">
        <v>12118</v>
      </c>
      <c r="C329" s="12">
        <v>406</v>
      </c>
      <c r="D329" s="11" t="s">
        <v>9328</v>
      </c>
      <c r="E329" s="11" t="s">
        <v>9330</v>
      </c>
      <c r="F329" s="11">
        <v>2020</v>
      </c>
      <c r="G329" s="11" t="s">
        <v>3251</v>
      </c>
      <c r="H329" s="11" t="str">
        <f>HYPERLINK("http://dx.doi.org/10.1073/pnas.2010738117","http://dx.doi.org/10.1073/pnas.2010738117")</f>
        <v>http://dx.doi.org/10.1073/pnas.2010738117</v>
      </c>
      <c r="I329" s="11" t="s">
        <v>9333</v>
      </c>
      <c r="J329" s="11" t="s">
        <v>9331</v>
      </c>
      <c r="K329" s="11" t="s">
        <v>42</v>
      </c>
      <c r="L329" s="11" t="s">
        <v>56</v>
      </c>
      <c r="M329" s="9" t="s">
        <v>12142</v>
      </c>
    </row>
    <row r="330" spans="1:13" x14ac:dyDescent="0.25">
      <c r="A330" s="11">
        <v>377</v>
      </c>
      <c r="B330" s="12" t="s">
        <v>12118</v>
      </c>
      <c r="C330" s="12">
        <v>418</v>
      </c>
      <c r="D330" s="11" t="s">
        <v>9532</v>
      </c>
      <c r="E330" s="11" t="s">
        <v>9534</v>
      </c>
      <c r="F330" s="11">
        <v>2020</v>
      </c>
      <c r="G330" s="11" t="s">
        <v>9535</v>
      </c>
      <c r="H330" s="11" t="str">
        <f>HYPERLINK("http://dx.doi.org/10.1163/22119000-12340191","http://dx.doi.org/10.1163/22119000-12340191")</f>
        <v>http://dx.doi.org/10.1163/22119000-12340191</v>
      </c>
      <c r="I330" s="11" t="s">
        <v>9538</v>
      </c>
      <c r="J330" s="11" t="s">
        <v>9536</v>
      </c>
      <c r="K330" s="11" t="s">
        <v>42</v>
      </c>
      <c r="L330" s="11" t="s">
        <v>56</v>
      </c>
      <c r="M330" s="9" t="s">
        <v>12142</v>
      </c>
    </row>
    <row r="331" spans="1:13" x14ac:dyDescent="0.25">
      <c r="A331" s="11">
        <v>75</v>
      </c>
      <c r="B331" s="12" t="s">
        <v>12118</v>
      </c>
      <c r="C331" s="12">
        <v>81</v>
      </c>
      <c r="D331" s="11" t="s">
        <v>4510</v>
      </c>
      <c r="E331" s="11" t="s">
        <v>8176</v>
      </c>
      <c r="F331" s="11">
        <v>2021</v>
      </c>
      <c r="G331" s="11" t="s">
        <v>5077</v>
      </c>
      <c r="H331" s="11" t="str">
        <f>HYPERLINK("http://dx.doi.org/10.1016/j.system.2021.102645","http://dx.doi.org/10.1016/j.system.2021.102645")</f>
        <v>http://dx.doi.org/10.1016/j.system.2021.102645</v>
      </c>
      <c r="I331" s="11" t="s">
        <v>8179</v>
      </c>
      <c r="J331" s="11" t="s">
        <v>8177</v>
      </c>
      <c r="K331" s="11" t="s">
        <v>42</v>
      </c>
      <c r="L331" s="11" t="s">
        <v>56</v>
      </c>
      <c r="M331" s="9" t="s">
        <v>12142</v>
      </c>
    </row>
    <row r="332" spans="1:13" x14ac:dyDescent="0.25">
      <c r="A332" s="12">
        <v>103</v>
      </c>
      <c r="B332" s="12" t="s">
        <v>12204</v>
      </c>
      <c r="C332" s="12">
        <v>361</v>
      </c>
      <c r="D332" s="12" t="s">
        <v>13081</v>
      </c>
      <c r="E332" s="12" t="s">
        <v>13079</v>
      </c>
      <c r="F332" s="12">
        <v>2023</v>
      </c>
      <c r="G332" s="12" t="s">
        <v>13078</v>
      </c>
      <c r="H332" s="12" t="s">
        <v>13077</v>
      </c>
      <c r="I332" s="12" t="s">
        <v>13073</v>
      </c>
      <c r="J332" s="12" t="s">
        <v>13072</v>
      </c>
      <c r="K332" s="12" t="s">
        <v>55</v>
      </c>
      <c r="L332" s="12" t="s">
        <v>12252</v>
      </c>
      <c r="M332" s="9" t="s">
        <v>12142</v>
      </c>
    </row>
    <row r="333" spans="1:13" x14ac:dyDescent="0.25">
      <c r="A333" s="11">
        <v>21</v>
      </c>
      <c r="B333" s="12" t="s">
        <v>12118</v>
      </c>
      <c r="C333" s="12">
        <v>24</v>
      </c>
      <c r="D333" s="11" t="s">
        <v>11244</v>
      </c>
      <c r="E333" s="11" t="s">
        <v>11246</v>
      </c>
      <c r="F333" s="11">
        <v>2019</v>
      </c>
      <c r="G333" s="11" t="s">
        <v>11247</v>
      </c>
      <c r="H333" s="11" t="str">
        <f>HYPERLINK("http://dx.doi.org/10.1017/S0020589318000398","http://dx.doi.org/10.1017/S0020589318000398")</f>
        <v>http://dx.doi.org/10.1017/S0020589318000398</v>
      </c>
      <c r="I333" s="11" t="s">
        <v>11249</v>
      </c>
      <c r="J333" s="11" t="s">
        <v>11248</v>
      </c>
      <c r="K333" s="11" t="s">
        <v>42</v>
      </c>
      <c r="L333" s="11" t="s">
        <v>56</v>
      </c>
      <c r="M333" s="9" t="s">
        <v>12142</v>
      </c>
    </row>
    <row r="334" spans="1:13" x14ac:dyDescent="0.25">
      <c r="A334" s="11">
        <v>519</v>
      </c>
      <c r="B334" s="12" t="s">
        <v>12118</v>
      </c>
      <c r="C334" s="12">
        <v>576</v>
      </c>
      <c r="D334" s="11" t="s">
        <v>11795</v>
      </c>
      <c r="E334" s="11" t="s">
        <v>11797</v>
      </c>
      <c r="F334" s="11">
        <v>2018</v>
      </c>
      <c r="G334" s="11" t="s">
        <v>11798</v>
      </c>
      <c r="H334" s="11" t="str">
        <f>HYPERLINK("http://dx.doi.org/10.1093/cid/cix900","http://dx.doi.org/10.1093/cid/cix900")</f>
        <v>http://dx.doi.org/10.1093/cid/cix900</v>
      </c>
      <c r="I334" s="11" t="s">
        <v>11801</v>
      </c>
      <c r="J334" s="11" t="s">
        <v>11799</v>
      </c>
      <c r="K334" s="11" t="s">
        <v>42</v>
      </c>
      <c r="L334" s="11" t="s">
        <v>56</v>
      </c>
      <c r="M334" s="9" t="s">
        <v>12142</v>
      </c>
    </row>
    <row r="335" spans="1:13" x14ac:dyDescent="0.25">
      <c r="A335" s="11">
        <v>185</v>
      </c>
      <c r="B335" s="12" t="s">
        <v>12118</v>
      </c>
      <c r="C335" s="12">
        <v>201</v>
      </c>
      <c r="D335" s="11" t="s">
        <v>5450</v>
      </c>
      <c r="E335" s="11" t="s">
        <v>5452</v>
      </c>
      <c r="F335" s="11">
        <v>2023</v>
      </c>
      <c r="G335" s="11" t="s">
        <v>5453</v>
      </c>
      <c r="H335" s="11" t="str">
        <f>HYPERLINK("http://dx.doi.org/10.1029/2022GL100005","http://dx.doi.org/10.1029/2022GL100005")</f>
        <v>http://dx.doi.org/10.1029/2022GL100005</v>
      </c>
      <c r="I335" s="11" t="s">
        <v>5456</v>
      </c>
      <c r="J335" s="11" t="s">
        <v>5454</v>
      </c>
      <c r="K335" s="11" t="s">
        <v>42</v>
      </c>
      <c r="L335" s="11" t="s">
        <v>56</v>
      </c>
      <c r="M335" s="9" t="s">
        <v>12142</v>
      </c>
    </row>
    <row r="336" spans="1:13" x14ac:dyDescent="0.25">
      <c r="A336" s="11">
        <v>300</v>
      </c>
      <c r="B336" s="12" t="s">
        <v>12118</v>
      </c>
      <c r="C336" s="12">
        <v>333</v>
      </c>
      <c r="D336" s="11" t="s">
        <v>7236</v>
      </c>
      <c r="E336" s="11" t="s">
        <v>7238</v>
      </c>
      <c r="F336" s="11">
        <v>2022</v>
      </c>
      <c r="G336" s="11" t="s">
        <v>7239</v>
      </c>
      <c r="H336" s="11" t="str">
        <f>HYPERLINK("http://dx.doi.org/10.3390/fib10050039","http://dx.doi.org/10.3390/fib10050039")</f>
        <v>http://dx.doi.org/10.3390/fib10050039</v>
      </c>
      <c r="I336" s="11" t="s">
        <v>7242</v>
      </c>
      <c r="J336" s="11" t="s">
        <v>7240</v>
      </c>
      <c r="K336" s="11" t="s">
        <v>42</v>
      </c>
      <c r="L336" s="11" t="s">
        <v>56</v>
      </c>
      <c r="M336" s="9" t="s">
        <v>12142</v>
      </c>
    </row>
    <row r="337" spans="1:13" x14ac:dyDescent="0.25">
      <c r="A337" s="12">
        <v>15</v>
      </c>
      <c r="B337" s="12" t="s">
        <v>12204</v>
      </c>
      <c r="C337" s="12">
        <v>32</v>
      </c>
      <c r="D337" s="12" t="s">
        <v>12964</v>
      </c>
      <c r="E337" s="12" t="s">
        <v>12962</v>
      </c>
      <c r="F337" s="12">
        <v>2023</v>
      </c>
      <c r="G337" s="12" t="s">
        <v>12961</v>
      </c>
      <c r="H337" s="12" t="s">
        <v>12959</v>
      </c>
      <c r="I337" s="12" t="s">
        <v>12955</v>
      </c>
      <c r="J337" s="12" t="s">
        <v>12954</v>
      </c>
      <c r="K337" s="12" t="s">
        <v>42</v>
      </c>
      <c r="L337" s="12" t="s">
        <v>12252</v>
      </c>
      <c r="M337" s="9">
        <v>1</v>
      </c>
    </row>
    <row r="338" spans="1:13" x14ac:dyDescent="0.25">
      <c r="A338" s="11">
        <v>554</v>
      </c>
      <c r="B338" s="12" t="s">
        <v>12118</v>
      </c>
      <c r="C338" s="12">
        <v>621</v>
      </c>
      <c r="D338" s="11" t="s">
        <v>6994</v>
      </c>
      <c r="E338" s="11" t="s">
        <v>6996</v>
      </c>
      <c r="F338" s="11">
        <v>2022</v>
      </c>
      <c r="G338" s="11" t="s">
        <v>6997</v>
      </c>
      <c r="H338" s="11" t="s">
        <v>1507</v>
      </c>
      <c r="I338" s="11" t="s">
        <v>6999</v>
      </c>
      <c r="J338" s="11" t="s">
        <v>6998</v>
      </c>
      <c r="K338" s="11" t="s">
        <v>42</v>
      </c>
      <c r="L338" s="11" t="s">
        <v>56</v>
      </c>
      <c r="M338" s="9" t="s">
        <v>12142</v>
      </c>
    </row>
    <row r="339" spans="1:13" x14ac:dyDescent="0.25">
      <c r="A339" s="11">
        <v>38</v>
      </c>
      <c r="B339" s="12" t="s">
        <v>12118</v>
      </c>
      <c r="C339" s="12">
        <v>38</v>
      </c>
      <c r="D339" s="11" t="s">
        <v>4101</v>
      </c>
      <c r="E339" s="11" t="s">
        <v>4103</v>
      </c>
      <c r="F339" s="11">
        <v>2023</v>
      </c>
      <c r="G339" s="11" t="s">
        <v>4104</v>
      </c>
      <c r="H339" s="11" t="str">
        <f>HYPERLINK("http://dx.doi.org/10.1017/S1351324923000438","http://dx.doi.org/10.1017/S1351324923000438")</f>
        <v>http://dx.doi.org/10.1017/S1351324923000438</v>
      </c>
      <c r="I339" s="11" t="s">
        <v>4107</v>
      </c>
      <c r="J339" s="11" t="s">
        <v>4105</v>
      </c>
      <c r="K339" s="11" t="s">
        <v>42</v>
      </c>
      <c r="L339" s="11" t="s">
        <v>1509</v>
      </c>
      <c r="M339" s="9" t="s">
        <v>12142</v>
      </c>
    </row>
    <row r="340" spans="1:13" x14ac:dyDescent="0.25">
      <c r="A340" s="11">
        <v>466</v>
      </c>
      <c r="B340" s="12" t="s">
        <v>12118</v>
      </c>
      <c r="C340" s="12">
        <v>517</v>
      </c>
      <c r="D340" s="11" t="s">
        <v>10428</v>
      </c>
      <c r="E340" s="11" t="s">
        <v>10430</v>
      </c>
      <c r="F340" s="11">
        <v>2019</v>
      </c>
      <c r="G340" s="11" t="s">
        <v>10431</v>
      </c>
      <c r="H340" s="11" t="str">
        <f>HYPERLINK("http://dx.doi.org/10.1186/s12884-019-2602-2","http://dx.doi.org/10.1186/s12884-019-2602-2")</f>
        <v>http://dx.doi.org/10.1186/s12884-019-2602-2</v>
      </c>
      <c r="I340" s="11" t="s">
        <v>10434</v>
      </c>
      <c r="J340" s="11" t="s">
        <v>10432</v>
      </c>
      <c r="K340" s="11" t="s">
        <v>42</v>
      </c>
      <c r="L340" s="11" t="s">
        <v>56</v>
      </c>
      <c r="M340" s="9" t="s">
        <v>12142</v>
      </c>
    </row>
    <row r="341" spans="1:13" x14ac:dyDescent="0.25">
      <c r="A341" s="11">
        <v>489</v>
      </c>
      <c r="B341" s="12" t="s">
        <v>12118</v>
      </c>
      <c r="C341" s="12">
        <v>541</v>
      </c>
      <c r="D341" s="11" t="s">
        <v>9933</v>
      </c>
      <c r="E341" s="11" t="s">
        <v>9935</v>
      </c>
      <c r="F341" s="11">
        <v>2020</v>
      </c>
      <c r="G341" s="11" t="s">
        <v>1760</v>
      </c>
      <c r="H341" s="11" t="str">
        <f>HYPERLINK("http://dx.doi.org/10.1038/s41586-020-2334-5","http://dx.doi.org/10.1038/s41586-020-2334-5")</f>
        <v>http://dx.doi.org/10.1038/s41586-020-2334-5</v>
      </c>
      <c r="I341" s="11" t="s">
        <v>9936</v>
      </c>
      <c r="J341" s="11" t="s">
        <v>1507</v>
      </c>
      <c r="K341" s="11" t="s">
        <v>42</v>
      </c>
      <c r="L341" s="11" t="s">
        <v>56</v>
      </c>
      <c r="M341" s="9" t="s">
        <v>12142</v>
      </c>
    </row>
    <row r="342" spans="1:13" x14ac:dyDescent="0.25">
      <c r="A342" s="11">
        <v>422</v>
      </c>
      <c r="B342" s="12" t="s">
        <v>12118</v>
      </c>
      <c r="C342" s="12">
        <v>468</v>
      </c>
      <c r="D342" s="11" t="s">
        <v>3472</v>
      </c>
      <c r="E342" s="11" t="s">
        <v>3474</v>
      </c>
      <c r="F342" s="11">
        <v>2023</v>
      </c>
      <c r="G342" s="11" t="s">
        <v>3475</v>
      </c>
      <c r="H342" s="11" t="str">
        <f>HYPERLINK("http://dx.doi.org/10.1038/s42256-023-00720-7","http://dx.doi.org/10.1038/s42256-023-00720-7")</f>
        <v>http://dx.doi.org/10.1038/s42256-023-00720-7</v>
      </c>
      <c r="I342" s="11" t="s">
        <v>3477</v>
      </c>
      <c r="J342" s="11" t="s">
        <v>1507</v>
      </c>
      <c r="K342" s="11" t="s">
        <v>42</v>
      </c>
      <c r="L342" s="11" t="s">
        <v>56</v>
      </c>
      <c r="M342" s="9" t="s">
        <v>12142</v>
      </c>
    </row>
    <row r="343" spans="1:13" x14ac:dyDescent="0.25">
      <c r="A343" s="11">
        <v>57</v>
      </c>
      <c r="B343" s="12" t="s">
        <v>12118</v>
      </c>
      <c r="C343" s="12">
        <v>61</v>
      </c>
      <c r="D343" s="11" t="s">
        <v>11885</v>
      </c>
      <c r="E343" s="11" t="s">
        <v>11887</v>
      </c>
      <c r="F343" s="11">
        <v>2018</v>
      </c>
      <c r="G343" s="11" t="s">
        <v>11888</v>
      </c>
      <c r="H343" s="11" t="s">
        <v>1507</v>
      </c>
      <c r="I343" s="11" t="s">
        <v>11890</v>
      </c>
      <c r="J343" s="11" t="s">
        <v>1507</v>
      </c>
      <c r="K343" s="11" t="s">
        <v>42</v>
      </c>
      <c r="L343" s="11" t="s">
        <v>56</v>
      </c>
      <c r="M343" s="9" t="s">
        <v>12142</v>
      </c>
    </row>
    <row r="344" spans="1:13" x14ac:dyDescent="0.25">
      <c r="A344" s="11">
        <v>627</v>
      </c>
      <c r="B344" s="12" t="s">
        <v>12118</v>
      </c>
      <c r="C344" s="12">
        <v>696</v>
      </c>
      <c r="D344" s="11" t="s">
        <v>11507</v>
      </c>
      <c r="E344" s="11" t="s">
        <v>11510</v>
      </c>
      <c r="F344" s="11">
        <v>2019</v>
      </c>
      <c r="G344" s="11" t="s">
        <v>11511</v>
      </c>
      <c r="H344" s="11" t="str">
        <f>HYPERLINK("http://dx.doi.org/10.1007/978-3-030-11935-5_28","http://dx.doi.org/10.1007/978-3-030-11935-5_28")</f>
        <v>http://dx.doi.org/10.1007/978-3-030-11935-5_28</v>
      </c>
      <c r="I344" s="11" t="s">
        <v>11519</v>
      </c>
      <c r="J344" s="11" t="s">
        <v>11517</v>
      </c>
      <c r="K344" s="11" t="s">
        <v>42</v>
      </c>
      <c r="L344" s="11" t="s">
        <v>5552</v>
      </c>
      <c r="M344" s="9" t="s">
        <v>12142</v>
      </c>
    </row>
    <row r="345" spans="1:13" x14ac:dyDescent="0.25">
      <c r="A345" s="12">
        <v>176</v>
      </c>
      <c r="B345" s="12" t="s">
        <v>12204</v>
      </c>
      <c r="C345" s="12">
        <v>670</v>
      </c>
      <c r="D345" s="12" t="s">
        <v>12996</v>
      </c>
      <c r="E345" s="12" t="s">
        <v>12994</v>
      </c>
      <c r="F345" s="12">
        <v>2023</v>
      </c>
      <c r="G345" s="12" t="s">
        <v>12984</v>
      </c>
      <c r="H345" s="12" t="s">
        <v>12993</v>
      </c>
      <c r="I345" s="12" t="s">
        <v>12989</v>
      </c>
      <c r="J345" s="12" t="s">
        <v>12988</v>
      </c>
      <c r="K345" s="12" t="s">
        <v>42</v>
      </c>
      <c r="L345" s="12" t="s">
        <v>12252</v>
      </c>
      <c r="M345" s="10">
        <v>1</v>
      </c>
    </row>
    <row r="346" spans="1:13" x14ac:dyDescent="0.25">
      <c r="A346" s="11">
        <v>578</v>
      </c>
      <c r="B346" s="12" t="s">
        <v>12118</v>
      </c>
      <c r="C346" s="12">
        <v>646</v>
      </c>
      <c r="D346" s="11" t="s">
        <v>9578</v>
      </c>
      <c r="E346" s="11" t="s">
        <v>9580</v>
      </c>
      <c r="F346" s="11">
        <v>2020</v>
      </c>
      <c r="G346" s="11" t="s">
        <v>9581</v>
      </c>
      <c r="H346" s="11" t="str">
        <f>HYPERLINK("http://dx.doi.org/10.3389/fpsyg.2020.02230","http://dx.doi.org/10.3389/fpsyg.2020.02230")</f>
        <v>http://dx.doi.org/10.3389/fpsyg.2020.02230</v>
      </c>
      <c r="I346" s="11" t="s">
        <v>9584</v>
      </c>
      <c r="J346" s="11" t="s">
        <v>9582</v>
      </c>
      <c r="K346" s="11" t="s">
        <v>42</v>
      </c>
      <c r="L346" s="11" t="s">
        <v>56</v>
      </c>
      <c r="M346" s="9" t="s">
        <v>12142</v>
      </c>
    </row>
    <row r="347" spans="1:13" x14ac:dyDescent="0.25">
      <c r="A347" s="12">
        <v>125</v>
      </c>
      <c r="B347" s="12" t="s">
        <v>12204</v>
      </c>
      <c r="C347" s="12">
        <v>452</v>
      </c>
      <c r="D347" s="12" t="s">
        <v>12980</v>
      </c>
      <c r="E347" s="12" t="s">
        <v>12978</v>
      </c>
      <c r="F347" s="12">
        <v>2023</v>
      </c>
      <c r="G347" s="12" t="s">
        <v>12977</v>
      </c>
      <c r="H347" s="12" t="s">
        <v>12976</v>
      </c>
      <c r="I347" s="12" t="s">
        <v>12972</v>
      </c>
      <c r="J347" s="12" t="s">
        <v>12971</v>
      </c>
      <c r="K347" s="12" t="s">
        <v>42</v>
      </c>
      <c r="L347" s="12" t="s">
        <v>56</v>
      </c>
      <c r="M347" s="10">
        <v>1</v>
      </c>
    </row>
    <row r="348" spans="1:13" x14ac:dyDescent="0.25">
      <c r="A348" s="12">
        <v>90</v>
      </c>
      <c r="B348" s="12" t="s">
        <v>12204</v>
      </c>
      <c r="C348" s="12">
        <v>316</v>
      </c>
      <c r="D348" s="12" t="s">
        <v>1126</v>
      </c>
      <c r="E348" s="12" t="s">
        <v>1127</v>
      </c>
      <c r="F348" s="12">
        <v>2021</v>
      </c>
      <c r="G348" s="12" t="s">
        <v>1016</v>
      </c>
      <c r="H348" s="12" t="s">
        <v>1128</v>
      </c>
      <c r="I348" s="12" t="s">
        <v>1131</v>
      </c>
      <c r="J348" s="12" t="s">
        <v>1132</v>
      </c>
      <c r="K348" s="12" t="s">
        <v>42</v>
      </c>
      <c r="L348" s="12" t="s">
        <v>56</v>
      </c>
      <c r="M348" s="9">
        <v>1</v>
      </c>
    </row>
    <row r="349" spans="1:13" x14ac:dyDescent="0.25">
      <c r="A349" s="11">
        <v>562</v>
      </c>
      <c r="B349" s="12" t="s">
        <v>12118</v>
      </c>
      <c r="C349" s="12">
        <v>628</v>
      </c>
      <c r="D349" s="11" t="s">
        <v>15457</v>
      </c>
      <c r="E349" s="11" t="s">
        <v>15459</v>
      </c>
      <c r="F349" s="11">
        <v>2023</v>
      </c>
      <c r="G349" s="11" t="s">
        <v>15263</v>
      </c>
      <c r="H349" s="11" t="str">
        <f>HYPERLINK("http://dx.doi.org/10.1109/ICTAI59109.2023.00124","http://dx.doi.org/10.1109/ICTAI59109.2023.00124")</f>
        <v>http://dx.doi.org/10.1109/ICTAI59109.2023.00124</v>
      </c>
      <c r="I349" s="11" t="s">
        <v>15461</v>
      </c>
      <c r="J349" s="11" t="s">
        <v>15460</v>
      </c>
      <c r="K349" s="11" t="s">
        <v>42</v>
      </c>
      <c r="L349" s="11" t="s">
        <v>5552</v>
      </c>
      <c r="M349" s="9" t="s">
        <v>12142</v>
      </c>
    </row>
    <row r="350" spans="1:13" x14ac:dyDescent="0.25">
      <c r="A350" s="11">
        <v>435</v>
      </c>
      <c r="B350" s="12" t="s">
        <v>12118</v>
      </c>
      <c r="C350" s="12">
        <v>486</v>
      </c>
      <c r="D350" s="11" t="s">
        <v>5205</v>
      </c>
      <c r="E350" s="11" t="s">
        <v>5207</v>
      </c>
      <c r="F350" s="11">
        <v>2023</v>
      </c>
      <c r="G350" s="11" t="s">
        <v>5208</v>
      </c>
      <c r="H350" s="11" t="str">
        <f>HYPERLINK("http://dx.doi.org/10.3390/buildings13040857","http://dx.doi.org/10.3390/buildings13040857")</f>
        <v>http://dx.doi.org/10.3390/buildings13040857</v>
      </c>
      <c r="I350" s="11" t="s">
        <v>5210</v>
      </c>
      <c r="J350" s="11" t="s">
        <v>5209</v>
      </c>
      <c r="K350" s="11" t="s">
        <v>42</v>
      </c>
      <c r="L350" s="11" t="s">
        <v>56</v>
      </c>
      <c r="M350" s="9">
        <v>1</v>
      </c>
    </row>
    <row r="351" spans="1:13" x14ac:dyDescent="0.25">
      <c r="A351" s="11">
        <v>467</v>
      </c>
      <c r="B351" s="12" t="s">
        <v>12118</v>
      </c>
      <c r="C351" s="12">
        <v>518</v>
      </c>
      <c r="D351" s="11" t="s">
        <v>15340</v>
      </c>
      <c r="E351" s="11" t="s">
        <v>15343</v>
      </c>
      <c r="F351" s="11">
        <v>2023</v>
      </c>
      <c r="G351" s="11" t="s">
        <v>15344</v>
      </c>
      <c r="H351" s="11" t="str">
        <f>HYPERLINK("http://dx.doi.org/10.1007/978-3-031-44198-1_34","http://dx.doi.org/10.1007/978-3-031-44198-1_34")</f>
        <v>http://dx.doi.org/10.1007/978-3-031-44198-1_34</v>
      </c>
      <c r="I351" s="11" t="s">
        <v>15348</v>
      </c>
      <c r="J351" s="11" t="s">
        <v>15347</v>
      </c>
      <c r="K351" s="11" t="s">
        <v>42</v>
      </c>
      <c r="L351" s="11" t="s">
        <v>5552</v>
      </c>
      <c r="M351" s="9" t="s">
        <v>12142</v>
      </c>
    </row>
    <row r="352" spans="1:13" x14ac:dyDescent="0.25">
      <c r="A352" s="11">
        <v>576</v>
      </c>
      <c r="B352" s="12" t="s">
        <v>12118</v>
      </c>
      <c r="C352" s="12">
        <v>645</v>
      </c>
      <c r="D352" s="11" t="s">
        <v>10945</v>
      </c>
      <c r="E352" s="11" t="s">
        <v>10947</v>
      </c>
      <c r="F352" s="11">
        <v>2019</v>
      </c>
      <c r="G352" s="11" t="s">
        <v>10948</v>
      </c>
      <c r="H352" s="11" t="str">
        <f>HYPERLINK("http://dx.doi.org/10.1103/PhysRevFluids.4.063101","http://dx.doi.org/10.1103/PhysRevFluids.4.063101")</f>
        <v>http://dx.doi.org/10.1103/PhysRevFluids.4.063101</v>
      </c>
      <c r="I352" s="11" t="s">
        <v>10950</v>
      </c>
      <c r="J352" s="11" t="s">
        <v>1507</v>
      </c>
      <c r="K352" s="11" t="s">
        <v>42</v>
      </c>
      <c r="L352" s="11" t="s">
        <v>56</v>
      </c>
      <c r="M352" s="9" t="s">
        <v>12142</v>
      </c>
    </row>
    <row r="353" spans="1:13" x14ac:dyDescent="0.25">
      <c r="A353" s="11">
        <v>452</v>
      </c>
      <c r="B353" s="12" t="s">
        <v>12118</v>
      </c>
      <c r="C353" s="12">
        <v>505</v>
      </c>
      <c r="D353" s="11" t="s">
        <v>6968</v>
      </c>
      <c r="E353" s="11" t="s">
        <v>6970</v>
      </c>
      <c r="F353" s="11">
        <v>2022</v>
      </c>
      <c r="G353" s="11" t="s">
        <v>6971</v>
      </c>
      <c r="H353" s="11" t="str">
        <f>HYPERLINK("http://dx.doi.org/10.1103/PhysRevB.106.115301","http://dx.doi.org/10.1103/PhysRevB.106.115301")</f>
        <v>http://dx.doi.org/10.1103/PhysRevB.106.115301</v>
      </c>
      <c r="I353" s="11" t="s">
        <v>6973</v>
      </c>
      <c r="J353" s="11" t="s">
        <v>1507</v>
      </c>
      <c r="K353" s="11" t="s">
        <v>42</v>
      </c>
      <c r="L353" s="11" t="s">
        <v>56</v>
      </c>
      <c r="M353" s="9" t="s">
        <v>12142</v>
      </c>
    </row>
    <row r="354" spans="1:13" x14ac:dyDescent="0.25">
      <c r="A354" s="11">
        <v>596</v>
      </c>
      <c r="B354" s="12" t="s">
        <v>12118</v>
      </c>
      <c r="C354" s="12">
        <v>666</v>
      </c>
      <c r="D354" s="11" t="s">
        <v>15491</v>
      </c>
      <c r="E354" s="11" t="s">
        <v>15494</v>
      </c>
      <c r="F354" s="11">
        <v>2023</v>
      </c>
      <c r="G354" s="11" t="s">
        <v>15495</v>
      </c>
      <c r="H354" s="11" t="str">
        <f>HYPERLINK("http://dx.doi.org/10.1145/3615890.3628538","http://dx.doi.org/10.1145/3615890.3628538")</f>
        <v>http://dx.doi.org/10.1145/3615890.3628538</v>
      </c>
      <c r="I354" s="11" t="s">
        <v>15501</v>
      </c>
      <c r="J354" s="11" t="s">
        <v>15499</v>
      </c>
      <c r="K354" s="11" t="s">
        <v>42</v>
      </c>
      <c r="L354" s="11" t="s">
        <v>5552</v>
      </c>
      <c r="M354" s="9">
        <v>1</v>
      </c>
    </row>
    <row r="355" spans="1:13" x14ac:dyDescent="0.25">
      <c r="A355" s="12">
        <v>165</v>
      </c>
      <c r="B355" s="12" t="s">
        <v>12204</v>
      </c>
      <c r="C355" s="12">
        <v>613</v>
      </c>
      <c r="D355" s="12" t="s">
        <v>12822</v>
      </c>
      <c r="E355" s="12" t="s">
        <v>656</v>
      </c>
      <c r="F355" s="12">
        <v>2023</v>
      </c>
      <c r="G355" s="12" t="s">
        <v>540</v>
      </c>
      <c r="H355" s="12" t="s">
        <v>657</v>
      </c>
      <c r="I355" s="12" t="s">
        <v>660</v>
      </c>
      <c r="J355" s="12" t="s">
        <v>661</v>
      </c>
      <c r="K355" s="12" t="s">
        <v>42</v>
      </c>
      <c r="L355" s="12" t="s">
        <v>12252</v>
      </c>
      <c r="M355" s="10">
        <v>1</v>
      </c>
    </row>
    <row r="356" spans="1:13" x14ac:dyDescent="0.25">
      <c r="A356" s="12">
        <v>68</v>
      </c>
      <c r="B356" s="12" t="s">
        <v>12204</v>
      </c>
      <c r="C356" s="12">
        <v>244</v>
      </c>
      <c r="D356" s="12" t="s">
        <v>12775</v>
      </c>
      <c r="E356" s="12" t="s">
        <v>531</v>
      </c>
      <c r="F356" s="12">
        <v>2023</v>
      </c>
      <c r="G356" s="12" t="s">
        <v>335</v>
      </c>
      <c r="H356" s="12" t="s">
        <v>532</v>
      </c>
      <c r="I356" s="12" t="s">
        <v>535</v>
      </c>
      <c r="J356" s="12" t="s">
        <v>536</v>
      </c>
      <c r="K356" s="12" t="s">
        <v>42</v>
      </c>
      <c r="L356" s="12" t="s">
        <v>56</v>
      </c>
      <c r="M356" s="10">
        <v>1</v>
      </c>
    </row>
    <row r="357" spans="1:13" x14ac:dyDescent="0.25">
      <c r="A357" s="12">
        <v>87</v>
      </c>
      <c r="B357" s="12" t="s">
        <v>12204</v>
      </c>
      <c r="C357" s="12">
        <v>306</v>
      </c>
      <c r="D357" s="12" t="s">
        <v>12749</v>
      </c>
      <c r="E357" s="12" t="s">
        <v>497</v>
      </c>
      <c r="F357" s="12">
        <v>2023</v>
      </c>
      <c r="G357" s="12" t="s">
        <v>498</v>
      </c>
      <c r="I357" s="12" t="s">
        <v>502</v>
      </c>
      <c r="J357" s="12" t="s">
        <v>503</v>
      </c>
      <c r="K357" s="12" t="s">
        <v>42</v>
      </c>
      <c r="L357" s="12" t="s">
        <v>12252</v>
      </c>
      <c r="M357" s="10">
        <v>1</v>
      </c>
    </row>
    <row r="358" spans="1:13" x14ac:dyDescent="0.25">
      <c r="A358" s="11">
        <v>612</v>
      </c>
      <c r="B358" s="12" t="s">
        <v>12118</v>
      </c>
      <c r="C358" s="12">
        <v>681</v>
      </c>
      <c r="D358" s="11" t="s">
        <v>15528</v>
      </c>
      <c r="E358" s="11" t="s">
        <v>15530</v>
      </c>
      <c r="F358" s="11">
        <v>2023</v>
      </c>
      <c r="G358" s="11" t="s">
        <v>14946</v>
      </c>
      <c r="H358" s="11" t="str">
        <f>HYPERLINK("http://dx.doi.org/10.1145/3580305.3599850","http://dx.doi.org/10.1145/3580305.3599850")</f>
        <v>http://dx.doi.org/10.1145/3580305.3599850</v>
      </c>
      <c r="I358" s="11" t="s">
        <v>15532</v>
      </c>
      <c r="J358" s="11" t="s">
        <v>15531</v>
      </c>
      <c r="K358" s="11" t="s">
        <v>42</v>
      </c>
      <c r="L358" s="11" t="s">
        <v>5552</v>
      </c>
      <c r="M358" s="9">
        <v>1</v>
      </c>
    </row>
    <row r="359" spans="1:13" x14ac:dyDescent="0.25">
      <c r="A359" s="11">
        <v>239</v>
      </c>
      <c r="B359" s="12" t="s">
        <v>12118</v>
      </c>
      <c r="C359" s="12">
        <v>264</v>
      </c>
      <c r="D359" s="11" t="s">
        <v>10904</v>
      </c>
      <c r="E359" s="11" t="s">
        <v>10906</v>
      </c>
      <c r="F359" s="11">
        <v>2019</v>
      </c>
      <c r="G359" s="11" t="s">
        <v>10907</v>
      </c>
      <c r="H359" s="11" t="str">
        <f>HYPERLINK("http://dx.doi.org/10.1080/09654313.2019.1626351","http://dx.doi.org/10.1080/09654313.2019.1626351")</f>
        <v>http://dx.doi.org/10.1080/09654313.2019.1626351</v>
      </c>
      <c r="I359" s="11" t="s">
        <v>10910</v>
      </c>
      <c r="J359" s="11" t="s">
        <v>10908</v>
      </c>
      <c r="K359" s="11" t="s">
        <v>42</v>
      </c>
      <c r="L359" s="11" t="s">
        <v>56</v>
      </c>
      <c r="M359" s="9" t="s">
        <v>12142</v>
      </c>
    </row>
    <row r="360" spans="1:13" x14ac:dyDescent="0.25">
      <c r="A360" s="11">
        <v>556</v>
      </c>
      <c r="B360" s="12" t="s">
        <v>12118</v>
      </c>
      <c r="C360" s="12">
        <v>623</v>
      </c>
      <c r="D360" s="11" t="s">
        <v>2477</v>
      </c>
      <c r="E360" s="11" t="s">
        <v>2479</v>
      </c>
      <c r="F360" s="11">
        <v>2023</v>
      </c>
      <c r="G360" s="11" t="s">
        <v>2480</v>
      </c>
      <c r="H360" s="11" t="str">
        <f>HYPERLINK("http://dx.doi.org/10.1007/s11196-023-10068-1","http://dx.doi.org/10.1007/s11196-023-10068-1")</f>
        <v>http://dx.doi.org/10.1007/s11196-023-10068-1</v>
      </c>
      <c r="I360" s="11" t="s">
        <v>2482</v>
      </c>
      <c r="J360" s="11" t="s">
        <v>2481</v>
      </c>
      <c r="K360" s="11" t="s">
        <v>42</v>
      </c>
      <c r="L360" s="11" t="s">
        <v>1509</v>
      </c>
      <c r="M360" s="9" t="s">
        <v>12142</v>
      </c>
    </row>
    <row r="361" spans="1:13" x14ac:dyDescent="0.25">
      <c r="A361" s="11">
        <v>66</v>
      </c>
      <c r="B361" s="12" t="s">
        <v>12118</v>
      </c>
      <c r="C361" s="12">
        <v>71</v>
      </c>
      <c r="D361" s="11" t="s">
        <v>2175</v>
      </c>
      <c r="E361" s="11" t="s">
        <v>2177</v>
      </c>
      <c r="F361" s="11">
        <v>2023</v>
      </c>
      <c r="G361" s="11" t="s">
        <v>2178</v>
      </c>
      <c r="H361" s="11" t="str">
        <f>HYPERLINK("http://dx.doi.org/10.1007/s10846-023-01991-3","http://dx.doi.org/10.1007/s10846-023-01991-3")</f>
        <v>http://dx.doi.org/10.1007/s10846-023-01991-3</v>
      </c>
      <c r="I361" s="11" t="s">
        <v>2180</v>
      </c>
      <c r="J361" s="11" t="s">
        <v>2179</v>
      </c>
      <c r="K361" s="11" t="s">
        <v>42</v>
      </c>
      <c r="L361" s="11" t="s">
        <v>56</v>
      </c>
      <c r="M361" s="10">
        <v>1</v>
      </c>
    </row>
    <row r="362" spans="1:13" x14ac:dyDescent="0.25">
      <c r="A362" s="11">
        <v>290</v>
      </c>
      <c r="B362" s="12" t="s">
        <v>12118</v>
      </c>
      <c r="C362" s="12">
        <v>324</v>
      </c>
      <c r="D362" s="11" t="s">
        <v>4908</v>
      </c>
      <c r="E362" s="11" t="s">
        <v>4910</v>
      </c>
      <c r="F362" s="11">
        <v>2023</v>
      </c>
      <c r="G362" s="11" t="s">
        <v>4911</v>
      </c>
      <c r="H362" s="11" t="str">
        <f>HYPERLINK("http://dx.doi.org/10.1123/jtpe.2023-0058","http://dx.doi.org/10.1123/jtpe.2023-0058")</f>
        <v>http://dx.doi.org/10.1123/jtpe.2023-0058</v>
      </c>
      <c r="I362" s="11" t="s">
        <v>4914</v>
      </c>
      <c r="J362" s="11" t="s">
        <v>4912</v>
      </c>
      <c r="K362" s="11" t="s">
        <v>42</v>
      </c>
      <c r="L362" s="11" t="s">
        <v>56</v>
      </c>
      <c r="M362" s="9">
        <v>1</v>
      </c>
    </row>
    <row r="363" spans="1:13" x14ac:dyDescent="0.25">
      <c r="A363" s="11">
        <v>594</v>
      </c>
      <c r="B363" s="12" t="s">
        <v>12118</v>
      </c>
      <c r="C363" s="12">
        <v>662</v>
      </c>
      <c r="D363" s="11" t="s">
        <v>3231</v>
      </c>
      <c r="E363" s="11" t="s">
        <v>3233</v>
      </c>
      <c r="F363" s="11">
        <v>2023</v>
      </c>
      <c r="G363" s="11" t="s">
        <v>1999</v>
      </c>
      <c r="H363" s="11" t="str">
        <f>HYPERLINK("http://dx.doi.org/10.1371/journal.pone.0292903","http://dx.doi.org/10.1371/journal.pone.0292903")</f>
        <v>http://dx.doi.org/10.1371/journal.pone.0292903</v>
      </c>
      <c r="I363" s="11" t="s">
        <v>3235</v>
      </c>
      <c r="J363" s="11" t="s">
        <v>1507</v>
      </c>
      <c r="K363" s="11" t="s">
        <v>42</v>
      </c>
      <c r="L363" s="11" t="s">
        <v>56</v>
      </c>
      <c r="M363" s="10">
        <v>1</v>
      </c>
    </row>
    <row r="364" spans="1:13" x14ac:dyDescent="0.25">
      <c r="A364" s="11">
        <v>210</v>
      </c>
      <c r="B364" s="12" t="s">
        <v>12118</v>
      </c>
      <c r="C364" s="12">
        <v>232</v>
      </c>
      <c r="D364" s="11" t="s">
        <v>2197</v>
      </c>
      <c r="E364" s="11" t="s">
        <v>2199</v>
      </c>
      <c r="F364" s="11">
        <v>2023</v>
      </c>
      <c r="G364" s="11" t="s">
        <v>2200</v>
      </c>
      <c r="H364" s="11" t="str">
        <f>HYPERLINK("http://dx.doi.org/10.3390/informatics10040089","http://dx.doi.org/10.3390/informatics10040089")</f>
        <v>http://dx.doi.org/10.3390/informatics10040089</v>
      </c>
      <c r="I364" s="11" t="s">
        <v>2203</v>
      </c>
      <c r="J364" s="11" t="s">
        <v>2201</v>
      </c>
      <c r="K364" s="11" t="s">
        <v>42</v>
      </c>
      <c r="L364" s="11" t="s">
        <v>56</v>
      </c>
      <c r="M364" s="9">
        <v>1</v>
      </c>
    </row>
    <row r="365" spans="1:13" x14ac:dyDescent="0.25">
      <c r="A365" s="12">
        <v>86</v>
      </c>
      <c r="B365" s="12" t="s">
        <v>12204</v>
      </c>
      <c r="C365" s="12">
        <v>304</v>
      </c>
      <c r="D365" s="12" t="s">
        <v>12462</v>
      </c>
      <c r="E365" s="12" t="s">
        <v>1238</v>
      </c>
      <c r="F365" s="12">
        <v>2023</v>
      </c>
      <c r="G365" s="12" t="s">
        <v>91</v>
      </c>
      <c r="H365" s="12" t="s">
        <v>1240</v>
      </c>
      <c r="I365" s="12" t="s">
        <v>1243</v>
      </c>
      <c r="J365" s="12" t="s">
        <v>1244</v>
      </c>
      <c r="K365" s="12" t="s">
        <v>42</v>
      </c>
      <c r="L365" s="12" t="s">
        <v>12252</v>
      </c>
      <c r="M365" s="10">
        <v>1</v>
      </c>
    </row>
    <row r="366" spans="1:13" x14ac:dyDescent="0.25">
      <c r="A366" s="12">
        <v>98</v>
      </c>
      <c r="B366" s="12" t="s">
        <v>12204</v>
      </c>
      <c r="C366" s="12">
        <v>344</v>
      </c>
      <c r="D366" s="12" t="s">
        <v>13546</v>
      </c>
      <c r="E366" s="12" t="s">
        <v>131</v>
      </c>
      <c r="F366" s="12">
        <v>2023</v>
      </c>
      <c r="G366" s="12" t="s">
        <v>132</v>
      </c>
      <c r="H366" s="12" t="s">
        <v>133</v>
      </c>
      <c r="I366" s="12" t="s">
        <v>136</v>
      </c>
      <c r="J366" s="12" t="s">
        <v>137</v>
      </c>
      <c r="K366" s="12" t="s">
        <v>42</v>
      </c>
      <c r="L366" s="12" t="s">
        <v>12252</v>
      </c>
      <c r="M366" s="10">
        <v>1</v>
      </c>
    </row>
    <row r="367" spans="1:13" x14ac:dyDescent="0.25">
      <c r="A367" s="12">
        <v>74</v>
      </c>
      <c r="B367" s="12" t="s">
        <v>12204</v>
      </c>
      <c r="C367" s="12">
        <v>269</v>
      </c>
      <c r="D367" s="12" t="s">
        <v>13017</v>
      </c>
      <c r="E367" s="12" t="s">
        <v>13015</v>
      </c>
      <c r="F367" s="12">
        <v>2023</v>
      </c>
      <c r="G367" s="12" t="s">
        <v>13014</v>
      </c>
      <c r="H367" s="12" t="s">
        <v>13013</v>
      </c>
      <c r="I367" s="12" t="s">
        <v>13009</v>
      </c>
      <c r="J367" s="12" t="s">
        <v>13008</v>
      </c>
      <c r="K367" s="12" t="s">
        <v>42</v>
      </c>
      <c r="L367" s="12" t="s">
        <v>12252</v>
      </c>
      <c r="M367" s="10" t="s">
        <v>12142</v>
      </c>
    </row>
    <row r="368" spans="1:13" x14ac:dyDescent="0.25">
      <c r="A368" s="11">
        <v>212</v>
      </c>
      <c r="B368" s="12" t="s">
        <v>12118</v>
      </c>
      <c r="C368" s="12">
        <v>233</v>
      </c>
      <c r="D368" s="11" t="s">
        <v>7757</v>
      </c>
      <c r="E368" s="11" t="s">
        <v>7759</v>
      </c>
      <c r="F368" s="11">
        <v>2022</v>
      </c>
      <c r="G368" s="11" t="s">
        <v>7760</v>
      </c>
      <c r="H368" s="11" t="str">
        <f>HYPERLINK("http://dx.doi.org/10.1145/3517428.3544819","http://dx.doi.org/10.1145/3517428.3544819")</f>
        <v>http://dx.doi.org/10.1145/3517428.3544819</v>
      </c>
      <c r="I368" s="11" t="s">
        <v>7767</v>
      </c>
      <c r="J368" s="11" t="s">
        <v>7765</v>
      </c>
      <c r="K368" s="11" t="s">
        <v>42</v>
      </c>
      <c r="L368" s="11" t="s">
        <v>5552</v>
      </c>
      <c r="M368" s="10">
        <v>1</v>
      </c>
    </row>
    <row r="369" spans="1:13" x14ac:dyDescent="0.25">
      <c r="A369" s="11">
        <v>140</v>
      </c>
      <c r="B369" s="12" t="s">
        <v>12118</v>
      </c>
      <c r="C369" s="12">
        <v>151</v>
      </c>
      <c r="D369" s="11" t="s">
        <v>3312</v>
      </c>
      <c r="E369" s="11" t="s">
        <v>3314</v>
      </c>
      <c r="F369" s="11">
        <v>2023</v>
      </c>
      <c r="G369" s="11" t="s">
        <v>3315</v>
      </c>
      <c r="H369" s="11" t="str">
        <f>HYPERLINK("http://dx.doi.org/10.1001/jamanetworkopen.2023.36997","http://dx.doi.org/10.1001/jamanetworkopen.2023.36997")</f>
        <v>http://dx.doi.org/10.1001/jamanetworkopen.2023.36997</v>
      </c>
      <c r="I369" s="11" t="s">
        <v>3317</v>
      </c>
      <c r="J369" s="11" t="s">
        <v>1507</v>
      </c>
      <c r="K369" s="11" t="s">
        <v>42</v>
      </c>
      <c r="L369" s="11" t="s">
        <v>56</v>
      </c>
      <c r="M369" s="9">
        <v>1</v>
      </c>
    </row>
    <row r="370" spans="1:13" x14ac:dyDescent="0.25">
      <c r="A370" s="11">
        <v>547</v>
      </c>
      <c r="B370" s="12" t="s">
        <v>12118</v>
      </c>
      <c r="C370" s="12">
        <v>612</v>
      </c>
      <c r="D370" s="11" t="s">
        <v>10387</v>
      </c>
      <c r="E370" s="11" t="s">
        <v>10390</v>
      </c>
      <c r="F370" s="11">
        <v>2020</v>
      </c>
      <c r="G370" s="11" t="s">
        <v>10391</v>
      </c>
      <c r="H370" s="11" t="str">
        <f>HYPERLINK("http://dx.doi.org/10.3233/FAIA200603","http://dx.doi.org/10.3233/FAIA200603")</f>
        <v>http://dx.doi.org/10.3233/FAIA200603</v>
      </c>
      <c r="I370" s="11" t="s">
        <v>10399</v>
      </c>
      <c r="J370" s="11" t="s">
        <v>10398</v>
      </c>
      <c r="K370" s="11" t="s">
        <v>42</v>
      </c>
      <c r="L370" s="11" t="s">
        <v>5552</v>
      </c>
      <c r="M370" s="9">
        <v>1</v>
      </c>
    </row>
    <row r="371" spans="1:13" x14ac:dyDescent="0.25">
      <c r="A371" s="12">
        <v>10</v>
      </c>
      <c r="B371" s="12" t="s">
        <v>12204</v>
      </c>
      <c r="C371" s="12">
        <v>6</v>
      </c>
      <c r="D371" s="12" t="s">
        <v>12897</v>
      </c>
      <c r="E371" s="12" t="s">
        <v>382</v>
      </c>
      <c r="F371" s="12">
        <v>2023</v>
      </c>
      <c r="G371" s="12" t="s">
        <v>383</v>
      </c>
      <c r="I371" s="12" t="s">
        <v>386</v>
      </c>
      <c r="J371" s="12" t="s">
        <v>387</v>
      </c>
      <c r="K371" s="12" t="s">
        <v>42</v>
      </c>
      <c r="L371" s="12" t="s">
        <v>12252</v>
      </c>
      <c r="M371" s="10">
        <v>1</v>
      </c>
    </row>
    <row r="372" spans="1:13" x14ac:dyDescent="0.25">
      <c r="A372" s="11">
        <v>355</v>
      </c>
      <c r="B372" s="12" t="s">
        <v>12118</v>
      </c>
      <c r="C372" s="12">
        <v>396</v>
      </c>
      <c r="D372" s="11" t="s">
        <v>5429</v>
      </c>
      <c r="E372" s="11" t="s">
        <v>5431</v>
      </c>
      <c r="F372" s="11">
        <v>2023</v>
      </c>
      <c r="G372" s="11" t="s">
        <v>5432</v>
      </c>
      <c r="H372" s="11" t="str">
        <f>HYPERLINK("http://dx.doi.org/10.1038/s41587-022-01618-2","http://dx.doi.org/10.1038/s41587-022-01618-2")</f>
        <v>http://dx.doi.org/10.1038/s41587-022-01618-2</v>
      </c>
      <c r="I372" s="11" t="s">
        <v>5434</v>
      </c>
      <c r="J372" s="11" t="s">
        <v>1507</v>
      </c>
      <c r="K372" s="11" t="s">
        <v>42</v>
      </c>
      <c r="L372" s="11" t="s">
        <v>56</v>
      </c>
      <c r="M372" s="9" t="s">
        <v>12142</v>
      </c>
    </row>
    <row r="373" spans="1:13" x14ac:dyDescent="0.25">
      <c r="A373" s="12">
        <v>96</v>
      </c>
      <c r="B373" s="12" t="s">
        <v>12204</v>
      </c>
      <c r="C373" s="12">
        <v>341</v>
      </c>
      <c r="D373" s="12" t="s">
        <v>12935</v>
      </c>
      <c r="E373" s="12" t="s">
        <v>767</v>
      </c>
      <c r="F373" s="12">
        <v>2023</v>
      </c>
      <c r="G373" s="12" t="s">
        <v>768</v>
      </c>
      <c r="I373" s="12" t="s">
        <v>771</v>
      </c>
      <c r="K373" s="12" t="s">
        <v>42</v>
      </c>
      <c r="L373" s="12" t="s">
        <v>12252</v>
      </c>
      <c r="M373" s="10">
        <v>1</v>
      </c>
    </row>
    <row r="374" spans="1:13" x14ac:dyDescent="0.25">
      <c r="A374" s="11">
        <v>2</v>
      </c>
      <c r="B374" s="12" t="s">
        <v>12118</v>
      </c>
      <c r="C374" s="12">
        <v>2</v>
      </c>
      <c r="D374" s="11" t="s">
        <v>14164</v>
      </c>
      <c r="E374" s="11" t="s">
        <v>14166</v>
      </c>
      <c r="F374" s="11">
        <v>2023</v>
      </c>
      <c r="G374" s="11" t="s">
        <v>3251</v>
      </c>
      <c r="H374" s="11" t="str">
        <f>HYPERLINK("http://dx.doi.org/10.1073/pnas.2313790120","http://dx.doi.org/10.1073/pnas.2313790120")</f>
        <v>http://dx.doi.org/10.1073/pnas.2313790120</v>
      </c>
      <c r="I374" s="11" t="s">
        <v>14169</v>
      </c>
      <c r="J374" s="11" t="s">
        <v>14167</v>
      </c>
      <c r="K374" s="11" t="s">
        <v>42</v>
      </c>
      <c r="L374" s="11" t="s">
        <v>56</v>
      </c>
      <c r="M374" s="9" t="s">
        <v>12142</v>
      </c>
    </row>
    <row r="375" spans="1:13" x14ac:dyDescent="0.25">
      <c r="A375" s="11">
        <v>472</v>
      </c>
      <c r="B375" s="12" t="s">
        <v>12118</v>
      </c>
      <c r="C375" s="12">
        <v>524</v>
      </c>
      <c r="D375" s="11" t="s">
        <v>7459</v>
      </c>
      <c r="E375" s="11" t="s">
        <v>7461</v>
      </c>
      <c r="F375" s="11">
        <v>2022</v>
      </c>
      <c r="G375" s="11" t="s">
        <v>3475</v>
      </c>
      <c r="H375" s="11" t="str">
        <f>HYPERLINK("http://dx.doi.org/10.1038/s42256-022-00458-8","http://dx.doi.org/10.1038/s42256-022-00458-8")</f>
        <v>http://dx.doi.org/10.1038/s42256-022-00458-8</v>
      </c>
      <c r="I375" s="11" t="s">
        <v>7462</v>
      </c>
      <c r="J375" s="11" t="s">
        <v>1507</v>
      </c>
      <c r="K375" s="11" t="s">
        <v>42</v>
      </c>
      <c r="L375" s="11" t="s">
        <v>56</v>
      </c>
      <c r="M375" s="9">
        <v>1</v>
      </c>
    </row>
    <row r="376" spans="1:13" x14ac:dyDescent="0.25">
      <c r="A376" s="12">
        <v>39</v>
      </c>
      <c r="B376" s="12" t="s">
        <v>12204</v>
      </c>
      <c r="C376" s="12">
        <v>126</v>
      </c>
      <c r="D376" s="12" t="s">
        <v>12357</v>
      </c>
      <c r="E376" s="12" t="s">
        <v>1221</v>
      </c>
      <c r="F376" s="12">
        <v>2023</v>
      </c>
      <c r="G376" s="12" t="s">
        <v>797</v>
      </c>
      <c r="H376" s="12" t="s">
        <v>1222</v>
      </c>
      <c r="I376" s="12" t="s">
        <v>1225</v>
      </c>
      <c r="J376" s="12" t="s">
        <v>1226</v>
      </c>
      <c r="K376" s="12" t="s">
        <v>42</v>
      </c>
      <c r="L376" s="12" t="s">
        <v>56</v>
      </c>
      <c r="M376" s="10">
        <v>1</v>
      </c>
    </row>
    <row r="377" spans="1:13" x14ac:dyDescent="0.25">
      <c r="A377" s="11">
        <v>267</v>
      </c>
      <c r="B377" s="12" t="s">
        <v>12118</v>
      </c>
      <c r="C377" s="12">
        <v>296</v>
      </c>
      <c r="D377" s="11" t="s">
        <v>5987</v>
      </c>
      <c r="E377" s="11" t="s">
        <v>5989</v>
      </c>
      <c r="F377" s="11">
        <v>2023</v>
      </c>
      <c r="G377" s="11" t="s">
        <v>5990</v>
      </c>
      <c r="H377" s="11" t="str">
        <f>HYPERLINK("http://dx.doi.org/10.1145/3594536.3595170","http://dx.doi.org/10.1145/3594536.3595170")</f>
        <v>http://dx.doi.org/10.1145/3594536.3595170</v>
      </c>
      <c r="I377" s="11" t="s">
        <v>5997</v>
      </c>
      <c r="J377" s="11" t="s">
        <v>5996</v>
      </c>
      <c r="K377" s="11" t="s">
        <v>42</v>
      </c>
      <c r="L377" s="11" t="s">
        <v>5552</v>
      </c>
      <c r="M377" s="9">
        <v>1</v>
      </c>
    </row>
    <row r="378" spans="1:13" x14ac:dyDescent="0.25">
      <c r="A378" s="11">
        <v>323</v>
      </c>
      <c r="B378" s="12" t="s">
        <v>12118</v>
      </c>
      <c r="C378" s="12">
        <v>363</v>
      </c>
      <c r="D378" s="11" t="s">
        <v>9226</v>
      </c>
      <c r="E378" s="11" t="s">
        <v>9228</v>
      </c>
      <c r="F378" s="11">
        <v>2021</v>
      </c>
      <c r="G378" s="11" t="s">
        <v>9229</v>
      </c>
      <c r="H378" s="11" t="s">
        <v>1507</v>
      </c>
      <c r="I378" s="11" t="s">
        <v>9231</v>
      </c>
      <c r="J378" s="11" t="s">
        <v>1507</v>
      </c>
      <c r="K378" s="11" t="s">
        <v>42</v>
      </c>
      <c r="L378" s="11" t="s">
        <v>56</v>
      </c>
      <c r="M378" s="9" t="s">
        <v>12142</v>
      </c>
    </row>
    <row r="379" spans="1:13" x14ac:dyDescent="0.25">
      <c r="A379" s="11">
        <v>24</v>
      </c>
      <c r="B379" s="12" t="s">
        <v>12118</v>
      </c>
      <c r="C379" s="12">
        <v>27</v>
      </c>
      <c r="D379" s="11" t="s">
        <v>3248</v>
      </c>
      <c r="E379" s="11" t="s">
        <v>3250</v>
      </c>
      <c r="F379" s="11">
        <v>2023</v>
      </c>
      <c r="G379" s="11" t="s">
        <v>3251</v>
      </c>
      <c r="H379" s="11" t="str">
        <f>HYPERLINK("http://dx.doi.org/10.1073/pnas.2311627120","http://dx.doi.org/10.1073/pnas.2311627120")</f>
        <v>http://dx.doi.org/10.1073/pnas.2311627120</v>
      </c>
      <c r="I379" s="11" t="s">
        <v>3254</v>
      </c>
      <c r="J379" s="11" t="s">
        <v>3252</v>
      </c>
      <c r="K379" s="11" t="s">
        <v>42</v>
      </c>
      <c r="L379" s="11" t="s">
        <v>56</v>
      </c>
      <c r="M379" s="9">
        <v>1</v>
      </c>
    </row>
    <row r="380" spans="1:13" x14ac:dyDescent="0.25">
      <c r="A380" s="12">
        <v>67</v>
      </c>
      <c r="B380" s="12" t="s">
        <v>12204</v>
      </c>
      <c r="C380" s="12">
        <v>240</v>
      </c>
      <c r="D380" s="12" t="s">
        <v>13701</v>
      </c>
      <c r="E380" s="12" t="s">
        <v>293</v>
      </c>
      <c r="F380" s="12">
        <v>2023</v>
      </c>
      <c r="G380" s="12" t="s">
        <v>294</v>
      </c>
      <c r="H380" s="12" t="s">
        <v>295</v>
      </c>
      <c r="I380" s="12" t="s">
        <v>297</v>
      </c>
      <c r="J380" s="12" t="s">
        <v>298</v>
      </c>
      <c r="K380" s="12" t="s">
        <v>42</v>
      </c>
      <c r="L380" s="12" t="s">
        <v>56</v>
      </c>
      <c r="M380" s="10">
        <v>1</v>
      </c>
    </row>
    <row r="381" spans="1:13" x14ac:dyDescent="0.25">
      <c r="A381" s="11">
        <v>433</v>
      </c>
      <c r="B381" s="12" t="s">
        <v>12118</v>
      </c>
      <c r="C381" s="12">
        <v>482</v>
      </c>
      <c r="D381" s="11" t="s">
        <v>15283</v>
      </c>
      <c r="E381" s="11" t="s">
        <v>15285</v>
      </c>
      <c r="F381" s="11">
        <v>2023</v>
      </c>
      <c r="G381" s="11" t="s">
        <v>15286</v>
      </c>
      <c r="H381" s="11" t="str">
        <f>HYPERLINK("http://dx.doi.org/10.1145/3583133.3596401","http://dx.doi.org/10.1145/3583133.3596401")</f>
        <v>http://dx.doi.org/10.1145/3583133.3596401</v>
      </c>
      <c r="I381" s="11" t="s">
        <v>15292</v>
      </c>
      <c r="J381" s="11" t="s">
        <v>15291</v>
      </c>
      <c r="K381" s="11" t="s">
        <v>42</v>
      </c>
      <c r="L381" s="11" t="s">
        <v>5552</v>
      </c>
      <c r="M381" s="9" t="s">
        <v>12142</v>
      </c>
    </row>
    <row r="382" spans="1:13" x14ac:dyDescent="0.25">
      <c r="A382" s="11">
        <v>581</v>
      </c>
      <c r="B382" s="12" t="s">
        <v>12118</v>
      </c>
      <c r="C382" s="12">
        <v>649</v>
      </c>
      <c r="D382" s="11" t="s">
        <v>10591</v>
      </c>
      <c r="E382" s="11" t="s">
        <v>10593</v>
      </c>
      <c r="F382" s="11">
        <v>2019</v>
      </c>
      <c r="G382" s="11" t="s">
        <v>8410</v>
      </c>
      <c r="H382" s="11" t="str">
        <f>HYPERLINK("http://dx.doi.org/10.1063/1.5132692","http://dx.doi.org/10.1063/1.5132692")</f>
        <v>http://dx.doi.org/10.1063/1.5132692</v>
      </c>
      <c r="I382" s="11" t="s">
        <v>10595</v>
      </c>
      <c r="J382" s="11" t="s">
        <v>1507</v>
      </c>
      <c r="K382" s="11" t="s">
        <v>42</v>
      </c>
      <c r="L382" s="11" t="s">
        <v>56</v>
      </c>
      <c r="M382" s="9" t="s">
        <v>12142</v>
      </c>
    </row>
    <row r="383" spans="1:13" x14ac:dyDescent="0.25">
      <c r="A383" s="11">
        <v>138</v>
      </c>
      <c r="B383" s="12" t="s">
        <v>12118</v>
      </c>
      <c r="C383" s="12">
        <v>148</v>
      </c>
      <c r="D383" s="11" t="s">
        <v>2757</v>
      </c>
      <c r="E383" s="11" t="s">
        <v>4560</v>
      </c>
      <c r="F383" s="11">
        <v>2023</v>
      </c>
      <c r="G383" s="11" t="s">
        <v>2760</v>
      </c>
      <c r="H383" s="11" t="str">
        <f>HYPERLINK("http://dx.doi.org/10.3390/s23135899","http://dx.doi.org/10.3390/s23135899")</f>
        <v>http://dx.doi.org/10.3390/s23135899</v>
      </c>
      <c r="I383" s="11" t="s">
        <v>4563</v>
      </c>
      <c r="J383" s="11" t="s">
        <v>4561</v>
      </c>
      <c r="K383" s="11" t="s">
        <v>42</v>
      </c>
      <c r="L383" s="11" t="s">
        <v>56</v>
      </c>
      <c r="M383" s="9" t="s">
        <v>12142</v>
      </c>
    </row>
    <row r="384" spans="1:13" x14ac:dyDescent="0.25">
      <c r="A384" s="11">
        <v>137</v>
      </c>
      <c r="B384" s="12" t="s">
        <v>12118</v>
      </c>
      <c r="C384" s="12">
        <v>147</v>
      </c>
      <c r="D384" s="11" t="s">
        <v>2757</v>
      </c>
      <c r="E384" s="11" t="s">
        <v>2759</v>
      </c>
      <c r="F384" s="11">
        <v>2023</v>
      </c>
      <c r="G384" s="11" t="s">
        <v>2760</v>
      </c>
      <c r="H384" s="11" t="str">
        <f>HYPERLINK("http://dx.doi.org/10.3390/s23229225","http://dx.doi.org/10.3390/s23229225")</f>
        <v>http://dx.doi.org/10.3390/s23229225</v>
      </c>
      <c r="I384" s="11" t="s">
        <v>2762</v>
      </c>
      <c r="J384" s="11" t="s">
        <v>2761</v>
      </c>
      <c r="K384" s="11" t="s">
        <v>42</v>
      </c>
      <c r="L384" s="11" t="s">
        <v>56</v>
      </c>
      <c r="M384" s="9" t="s">
        <v>12142</v>
      </c>
    </row>
    <row r="385" spans="1:13" x14ac:dyDescent="0.25">
      <c r="A385" s="11">
        <v>181</v>
      </c>
      <c r="B385" s="12" t="s">
        <v>12118</v>
      </c>
      <c r="C385" s="12">
        <v>197</v>
      </c>
      <c r="D385" s="11" t="s">
        <v>9172</v>
      </c>
      <c r="E385" s="11" t="s">
        <v>9174</v>
      </c>
      <c r="F385" s="11">
        <v>2021</v>
      </c>
      <c r="G385" s="11" t="s">
        <v>9175</v>
      </c>
      <c r="H385" s="11" t="str">
        <f>HYPERLINK("http://dx.doi.org/10.1109/LSP.2021.3107209","http://dx.doi.org/10.1109/LSP.2021.3107209")</f>
        <v>http://dx.doi.org/10.1109/LSP.2021.3107209</v>
      </c>
      <c r="I385" s="11" t="s">
        <v>9177</v>
      </c>
      <c r="J385" s="11" t="s">
        <v>9176</v>
      </c>
      <c r="K385" s="11" t="s">
        <v>42</v>
      </c>
      <c r="L385" s="11" t="s">
        <v>56</v>
      </c>
      <c r="M385" s="9" t="s">
        <v>12142</v>
      </c>
    </row>
    <row r="386" spans="1:13" x14ac:dyDescent="0.25">
      <c r="A386" s="11">
        <v>175</v>
      </c>
      <c r="B386" s="12" t="s">
        <v>12118</v>
      </c>
      <c r="C386" s="12">
        <v>190</v>
      </c>
      <c r="D386" s="11" t="s">
        <v>7736</v>
      </c>
      <c r="E386" s="11" t="s">
        <v>7739</v>
      </c>
      <c r="F386" s="11">
        <v>2022</v>
      </c>
      <c r="G386" s="11" t="s">
        <v>7740</v>
      </c>
      <c r="H386" s="11" t="str">
        <f>HYPERLINK("http://dx.doi.org/10.1007/978-3-031-07312-0_3","http://dx.doi.org/10.1007/978-3-031-07312-0_3")</f>
        <v>http://dx.doi.org/10.1007/978-3-031-07312-0_3</v>
      </c>
      <c r="I386" s="11" t="s">
        <v>7744</v>
      </c>
      <c r="J386" s="11" t="s">
        <v>1507</v>
      </c>
      <c r="K386" s="11" t="s">
        <v>42</v>
      </c>
      <c r="L386" s="11" t="s">
        <v>5552</v>
      </c>
      <c r="M386" s="9" t="s">
        <v>12142</v>
      </c>
    </row>
    <row r="387" spans="1:13" x14ac:dyDescent="0.25">
      <c r="A387" s="11">
        <v>344</v>
      </c>
      <c r="B387" s="12" t="s">
        <v>12118</v>
      </c>
      <c r="C387" s="12">
        <v>385</v>
      </c>
      <c r="D387" s="11" t="s">
        <v>11144</v>
      </c>
      <c r="E387" s="11" t="s">
        <v>11146</v>
      </c>
      <c r="F387" s="11">
        <v>2019</v>
      </c>
      <c r="G387" s="11" t="s">
        <v>11147</v>
      </c>
      <c r="H387" s="11" t="str">
        <f>HYPERLINK("http://dx.doi.org/10.1007/s10973-019-08079-x","http://dx.doi.org/10.1007/s10973-019-08079-x")</f>
        <v>http://dx.doi.org/10.1007/s10973-019-08079-x</v>
      </c>
      <c r="I387" s="11" t="s">
        <v>11150</v>
      </c>
      <c r="J387" s="11" t="s">
        <v>11148</v>
      </c>
      <c r="K387" s="11" t="s">
        <v>42</v>
      </c>
      <c r="L387" s="11" t="s">
        <v>56</v>
      </c>
      <c r="M387" s="9" t="s">
        <v>12142</v>
      </c>
    </row>
    <row r="388" spans="1:13" x14ac:dyDescent="0.25">
      <c r="A388" s="11">
        <v>43</v>
      </c>
      <c r="B388" s="12" t="s">
        <v>12118</v>
      </c>
      <c r="C388" s="12">
        <v>45</v>
      </c>
      <c r="D388" s="11" t="s">
        <v>11816</v>
      </c>
      <c r="E388" s="11" t="s">
        <v>11818</v>
      </c>
      <c r="F388" s="11">
        <v>2018</v>
      </c>
      <c r="G388" s="11" t="s">
        <v>11819</v>
      </c>
      <c r="H388" s="11" t="str">
        <f>HYPERLINK("http://dx.doi.org/10.1105/tpc.17.00947","http://dx.doi.org/10.1105/tpc.17.00947")</f>
        <v>http://dx.doi.org/10.1105/tpc.17.00947</v>
      </c>
      <c r="I388" s="11" t="s">
        <v>1507</v>
      </c>
      <c r="J388" s="11" t="s">
        <v>1507</v>
      </c>
      <c r="K388" s="11" t="s">
        <v>42</v>
      </c>
      <c r="L388" s="11" t="s">
        <v>56</v>
      </c>
      <c r="M388" s="9" t="s">
        <v>12142</v>
      </c>
    </row>
    <row r="389" spans="1:13" x14ac:dyDescent="0.25">
      <c r="A389" s="11">
        <v>133</v>
      </c>
      <c r="B389" s="12" t="s">
        <v>12118</v>
      </c>
      <c r="C389" s="12">
        <v>141</v>
      </c>
      <c r="D389" s="11" t="s">
        <v>4544</v>
      </c>
      <c r="E389" s="11" t="s">
        <v>4546</v>
      </c>
      <c r="F389" s="11">
        <v>2023</v>
      </c>
      <c r="G389" s="11" t="s">
        <v>1617</v>
      </c>
      <c r="H389" s="11" t="str">
        <f>HYPERLINK("http://dx.doi.org/10.3390/electronics12132814","http://dx.doi.org/10.3390/electronics12132814")</f>
        <v>http://dx.doi.org/10.3390/electronics12132814</v>
      </c>
      <c r="I389" s="11" t="s">
        <v>4548</v>
      </c>
      <c r="J389" s="11" t="s">
        <v>4547</v>
      </c>
      <c r="K389" s="11" t="s">
        <v>42</v>
      </c>
      <c r="L389" s="11" t="s">
        <v>56</v>
      </c>
      <c r="M389" s="9" t="s">
        <v>12142</v>
      </c>
    </row>
    <row r="390" spans="1:13" x14ac:dyDescent="0.25">
      <c r="A390" s="12">
        <v>18</v>
      </c>
      <c r="B390" s="12" t="s">
        <v>12204</v>
      </c>
      <c r="C390" s="12">
        <v>40</v>
      </c>
      <c r="D390" s="12" t="s">
        <v>12232</v>
      </c>
      <c r="E390" s="12" t="s">
        <v>1427</v>
      </c>
      <c r="F390" s="12">
        <v>2018</v>
      </c>
      <c r="G390" s="12" t="s">
        <v>1428</v>
      </c>
      <c r="H390" s="12" t="s">
        <v>1429</v>
      </c>
      <c r="I390" s="12" t="s">
        <v>1431</v>
      </c>
      <c r="J390" s="12" t="s">
        <v>1432</v>
      </c>
      <c r="K390" s="12" t="s">
        <v>42</v>
      </c>
      <c r="L390" s="12" t="s">
        <v>56</v>
      </c>
      <c r="M390" s="9" t="s">
        <v>12142</v>
      </c>
    </row>
    <row r="391" spans="1:13" x14ac:dyDescent="0.25">
      <c r="A391" s="11">
        <v>316</v>
      </c>
      <c r="B391" s="12" t="s">
        <v>12118</v>
      </c>
      <c r="C391" s="12">
        <v>354</v>
      </c>
      <c r="D391" s="11" t="s">
        <v>8131</v>
      </c>
      <c r="E391" s="11" t="s">
        <v>8133</v>
      </c>
      <c r="F391" s="11">
        <v>2021</v>
      </c>
      <c r="G391" s="11" t="s">
        <v>8134</v>
      </c>
      <c r="H391" s="11" t="str">
        <f>HYPERLINK("http://dx.doi.org/10.1016/j.eclinm.2021.101174","http://dx.doi.org/10.1016/j.eclinm.2021.101174")</f>
        <v>http://dx.doi.org/10.1016/j.eclinm.2021.101174</v>
      </c>
      <c r="I391" s="11" t="s">
        <v>8137</v>
      </c>
      <c r="J391" s="11" t="s">
        <v>8135</v>
      </c>
      <c r="K391" s="11" t="s">
        <v>42</v>
      </c>
      <c r="L391" s="11" t="s">
        <v>56</v>
      </c>
      <c r="M391" s="9" t="s">
        <v>12142</v>
      </c>
    </row>
    <row r="392" spans="1:13" x14ac:dyDescent="0.25">
      <c r="A392" s="11">
        <v>206</v>
      </c>
      <c r="B392" s="12" t="s">
        <v>12118</v>
      </c>
      <c r="C392" s="12">
        <v>226</v>
      </c>
      <c r="D392" s="11" t="s">
        <v>8858</v>
      </c>
      <c r="E392" s="11" t="s">
        <v>8860</v>
      </c>
      <c r="F392" s="11">
        <v>2021</v>
      </c>
      <c r="G392" s="11" t="s">
        <v>8861</v>
      </c>
      <c r="H392" s="11" t="str">
        <f>HYPERLINK("http://dx.doi.org/10.1007/s40520-021-01835-w","http://dx.doi.org/10.1007/s40520-021-01835-w")</f>
        <v>http://dx.doi.org/10.1007/s40520-021-01835-w</v>
      </c>
      <c r="I392" s="11" t="s">
        <v>8863</v>
      </c>
      <c r="J392" s="11" t="s">
        <v>8862</v>
      </c>
      <c r="K392" s="11" t="s">
        <v>42</v>
      </c>
      <c r="L392" s="11" t="s">
        <v>56</v>
      </c>
      <c r="M392" s="9" t="s">
        <v>12142</v>
      </c>
    </row>
    <row r="393" spans="1:13" x14ac:dyDescent="0.25">
      <c r="A393" s="11">
        <v>482</v>
      </c>
      <c r="B393" s="12" t="s">
        <v>12118</v>
      </c>
      <c r="C393" s="12">
        <v>535</v>
      </c>
      <c r="D393" s="11" t="s">
        <v>7486</v>
      </c>
      <c r="E393" s="11" t="s">
        <v>7488</v>
      </c>
      <c r="F393" s="11">
        <v>2022</v>
      </c>
      <c r="G393" s="11" t="s">
        <v>7489</v>
      </c>
      <c r="H393" s="11" t="str">
        <f>HYPERLINK("http://dx.doi.org/10.1177/09567976211036075","http://dx.doi.org/10.1177/09567976211036075")</f>
        <v>http://dx.doi.org/10.1177/09567976211036075</v>
      </c>
      <c r="I393" s="11" t="s">
        <v>7492</v>
      </c>
      <c r="J393" s="11" t="s">
        <v>7490</v>
      </c>
      <c r="K393" s="11" t="s">
        <v>42</v>
      </c>
      <c r="L393" s="11" t="s">
        <v>56</v>
      </c>
      <c r="M393" s="9" t="s">
        <v>12142</v>
      </c>
    </row>
    <row r="394" spans="1:13" x14ac:dyDescent="0.25">
      <c r="A394" s="11">
        <v>430</v>
      </c>
      <c r="B394" s="12" t="s">
        <v>12118</v>
      </c>
      <c r="C394" s="12">
        <v>479</v>
      </c>
      <c r="D394" s="11" t="s">
        <v>11166</v>
      </c>
      <c r="E394" s="11" t="s">
        <v>11168</v>
      </c>
      <c r="F394" s="11">
        <v>2019</v>
      </c>
      <c r="G394" s="11" t="s">
        <v>11110</v>
      </c>
      <c r="H394" s="11" t="s">
        <v>1507</v>
      </c>
      <c r="I394" s="11" t="s">
        <v>11169</v>
      </c>
      <c r="J394" s="11" t="s">
        <v>1507</v>
      </c>
      <c r="K394" s="11" t="s">
        <v>42</v>
      </c>
      <c r="L394" s="11" t="s">
        <v>56</v>
      </c>
      <c r="M394" s="9" t="s">
        <v>12142</v>
      </c>
    </row>
    <row r="395" spans="1:13" x14ac:dyDescent="0.25">
      <c r="A395" s="11">
        <v>23</v>
      </c>
      <c r="B395" s="12" t="s">
        <v>12118</v>
      </c>
      <c r="C395" s="12">
        <v>26</v>
      </c>
      <c r="D395" s="11" t="s">
        <v>9345</v>
      </c>
      <c r="E395" s="11" t="s">
        <v>9347</v>
      </c>
      <c r="F395" s="11">
        <v>2021</v>
      </c>
      <c r="G395" s="11" t="s">
        <v>9348</v>
      </c>
      <c r="H395" s="11" t="str">
        <f>HYPERLINK("http://dx.doi.org/10.1007/s10980-020-01161-y","http://dx.doi.org/10.1007/s10980-020-01161-y")</f>
        <v>http://dx.doi.org/10.1007/s10980-020-01161-y</v>
      </c>
      <c r="I395" s="11" t="s">
        <v>9351</v>
      </c>
      <c r="J395" s="11" t="s">
        <v>9349</v>
      </c>
      <c r="K395" s="11" t="s">
        <v>42</v>
      </c>
      <c r="L395" s="11" t="s">
        <v>56</v>
      </c>
      <c r="M395" s="9" t="s">
        <v>12142</v>
      </c>
    </row>
    <row r="396" spans="1:13" x14ac:dyDescent="0.25">
      <c r="A396" s="11">
        <v>625</v>
      </c>
      <c r="B396" s="12" t="s">
        <v>12118</v>
      </c>
      <c r="C396" s="12">
        <v>694</v>
      </c>
      <c r="D396" s="11" t="s">
        <v>9316</v>
      </c>
      <c r="E396" s="11" t="s">
        <v>9318</v>
      </c>
      <c r="F396" s="11">
        <v>2021</v>
      </c>
      <c r="G396" s="11" t="s">
        <v>7697</v>
      </c>
      <c r="H396" s="11" t="s">
        <v>1507</v>
      </c>
      <c r="I396" s="11" t="s">
        <v>9319</v>
      </c>
      <c r="J396" s="11" t="s">
        <v>1507</v>
      </c>
      <c r="K396" s="11" t="s">
        <v>42</v>
      </c>
      <c r="L396" s="11" t="s">
        <v>56</v>
      </c>
      <c r="M396" s="9" t="s">
        <v>12142</v>
      </c>
    </row>
    <row r="397" spans="1:13" x14ac:dyDescent="0.25">
      <c r="A397" s="11">
        <v>202</v>
      </c>
      <c r="B397" s="12" t="s">
        <v>12118</v>
      </c>
      <c r="C397" s="12">
        <v>220</v>
      </c>
      <c r="D397" s="11" t="s">
        <v>14983</v>
      </c>
      <c r="E397" s="11" t="s">
        <v>14986</v>
      </c>
      <c r="F397" s="11">
        <v>2023</v>
      </c>
      <c r="G397" s="11" t="s">
        <v>14987</v>
      </c>
      <c r="H397" s="11" t="str">
        <f>HYPERLINK("http://dx.doi.org/10.1109/ICDMW60847.2023.00035","http://dx.doi.org/10.1109/ICDMW60847.2023.00035")</f>
        <v>http://dx.doi.org/10.1109/ICDMW60847.2023.00035</v>
      </c>
      <c r="I397" s="11" t="s">
        <v>14994</v>
      </c>
      <c r="J397" s="11" t="s">
        <v>14993</v>
      </c>
      <c r="K397" s="11" t="s">
        <v>42</v>
      </c>
      <c r="L397" s="11" t="s">
        <v>5552</v>
      </c>
      <c r="M397" s="9" t="s">
        <v>12142</v>
      </c>
    </row>
    <row r="398" spans="1:13" x14ac:dyDescent="0.25">
      <c r="A398" s="11">
        <v>431</v>
      </c>
      <c r="B398" s="12" t="s">
        <v>12118</v>
      </c>
      <c r="C398" s="12">
        <v>480</v>
      </c>
      <c r="D398" s="11" t="s">
        <v>6242</v>
      </c>
      <c r="E398" s="11" t="s">
        <v>6244</v>
      </c>
      <c r="F398" s="11">
        <v>2023</v>
      </c>
      <c r="G398" s="11" t="s">
        <v>6245</v>
      </c>
      <c r="H398" s="11" t="s">
        <v>1507</v>
      </c>
      <c r="I398" s="11" t="s">
        <v>6248</v>
      </c>
      <c r="J398" s="11" t="s">
        <v>6246</v>
      </c>
      <c r="K398" s="11" t="s">
        <v>42</v>
      </c>
      <c r="L398" s="11" t="s">
        <v>56</v>
      </c>
      <c r="M398" s="9" t="s">
        <v>12142</v>
      </c>
    </row>
    <row r="399" spans="1:13" x14ac:dyDescent="0.25">
      <c r="A399" s="11">
        <v>46</v>
      </c>
      <c r="B399" s="12" t="s">
        <v>12118</v>
      </c>
      <c r="C399" s="12">
        <v>48</v>
      </c>
      <c r="D399" s="11" t="s">
        <v>10769</v>
      </c>
      <c r="E399" s="11" t="s">
        <v>10771</v>
      </c>
      <c r="F399" s="11">
        <v>2019</v>
      </c>
      <c r="G399" s="11" t="s">
        <v>10772</v>
      </c>
      <c r="H399" s="11" t="str">
        <f>HYPERLINK("http://dx.doi.org/10.1038/s41567-019-0505-9","http://dx.doi.org/10.1038/s41567-019-0505-9")</f>
        <v>http://dx.doi.org/10.1038/s41567-019-0505-9</v>
      </c>
      <c r="I399" s="11" t="s">
        <v>10774</v>
      </c>
      <c r="J399" s="11" t="s">
        <v>1507</v>
      </c>
      <c r="K399" s="11" t="s">
        <v>42</v>
      </c>
      <c r="L399" s="11" t="s">
        <v>56</v>
      </c>
      <c r="M399" s="9" t="s">
        <v>12142</v>
      </c>
    </row>
    <row r="400" spans="1:13" x14ac:dyDescent="0.25">
      <c r="A400" s="11">
        <v>276</v>
      </c>
      <c r="B400" s="12" t="s">
        <v>12118</v>
      </c>
      <c r="C400" s="12">
        <v>305</v>
      </c>
      <c r="D400" s="11" t="s">
        <v>15065</v>
      </c>
      <c r="E400" s="11" t="s">
        <v>15067</v>
      </c>
      <c r="F400" s="11">
        <v>2023</v>
      </c>
      <c r="G400" s="11" t="s">
        <v>15068</v>
      </c>
      <c r="H400" s="11" t="str">
        <f>HYPERLINK("http://dx.doi.org/10.1109/VLSI-SoC57769.2023.10321880","http://dx.doi.org/10.1109/VLSI-SoC57769.2023.10321880")</f>
        <v>http://dx.doi.org/10.1109/VLSI-SoC57769.2023.10321880</v>
      </c>
      <c r="I400" s="11" t="s">
        <v>15076</v>
      </c>
      <c r="J400" s="11" t="s">
        <v>15074</v>
      </c>
      <c r="K400" s="11" t="s">
        <v>42</v>
      </c>
      <c r="L400" s="11" t="s">
        <v>5552</v>
      </c>
      <c r="M400" s="9" t="s">
        <v>12142</v>
      </c>
    </row>
    <row r="401" spans="1:13" x14ac:dyDescent="0.25">
      <c r="A401" s="11">
        <v>499</v>
      </c>
      <c r="B401" s="12" t="s">
        <v>12118</v>
      </c>
      <c r="C401" s="12">
        <v>553</v>
      </c>
      <c r="D401" s="11" t="s">
        <v>12056</v>
      </c>
      <c r="E401" s="11" t="s">
        <v>12058</v>
      </c>
      <c r="F401" s="11">
        <v>2018</v>
      </c>
      <c r="G401" s="11" t="s">
        <v>12059</v>
      </c>
      <c r="H401" s="11" t="str">
        <f>HYPERLINK("http://dx.doi.org/10.1080/15592294.2018.1518100","http://dx.doi.org/10.1080/15592294.2018.1518100")</f>
        <v>http://dx.doi.org/10.1080/15592294.2018.1518100</v>
      </c>
      <c r="I401" s="11" t="s">
        <v>12062</v>
      </c>
      <c r="J401" s="11" t="s">
        <v>12060</v>
      </c>
      <c r="K401" s="11" t="s">
        <v>42</v>
      </c>
      <c r="L401" s="11" t="s">
        <v>56</v>
      </c>
      <c r="M401" s="9" t="s">
        <v>12142</v>
      </c>
    </row>
    <row r="402" spans="1:13" x14ac:dyDescent="0.25">
      <c r="A402" s="11">
        <v>528</v>
      </c>
      <c r="B402" s="12" t="s">
        <v>12118</v>
      </c>
      <c r="C402" s="12">
        <v>587</v>
      </c>
      <c r="D402" s="11" t="s">
        <v>11554</v>
      </c>
      <c r="E402" s="11" t="s">
        <v>11556</v>
      </c>
      <c r="F402" s="11">
        <v>2018</v>
      </c>
      <c r="G402" s="11" t="s">
        <v>11557</v>
      </c>
      <c r="H402" s="11" t="str">
        <f>HYPERLINK("http://dx.doi.org/10.1038/s41564-018-0240-5","http://dx.doi.org/10.1038/s41564-018-0240-5")</f>
        <v>http://dx.doi.org/10.1038/s41564-018-0240-5</v>
      </c>
      <c r="I402" s="11" t="s">
        <v>11559</v>
      </c>
      <c r="J402" s="11" t="s">
        <v>1507</v>
      </c>
      <c r="K402" s="11" t="s">
        <v>42</v>
      </c>
      <c r="L402" s="11" t="s">
        <v>56</v>
      </c>
      <c r="M402" s="9" t="s">
        <v>12142</v>
      </c>
    </row>
    <row r="403" spans="1:13" x14ac:dyDescent="0.25">
      <c r="A403" s="11">
        <v>470</v>
      </c>
      <c r="B403" s="12" t="s">
        <v>12118</v>
      </c>
      <c r="C403" s="12">
        <v>522</v>
      </c>
      <c r="D403" s="11" t="s">
        <v>7278</v>
      </c>
      <c r="E403" s="11" t="s">
        <v>7280</v>
      </c>
      <c r="F403" s="11">
        <v>2022</v>
      </c>
      <c r="G403" s="11" t="s">
        <v>7281</v>
      </c>
      <c r="H403" s="11" t="str">
        <f>HYPERLINK("http://dx.doi.org/10.1021/acsearthspacechem.2c00017","http://dx.doi.org/10.1021/acsearthspacechem.2c00017")</f>
        <v>http://dx.doi.org/10.1021/acsearthspacechem.2c00017</v>
      </c>
      <c r="I403" s="11" t="s">
        <v>7284</v>
      </c>
      <c r="J403" s="11" t="s">
        <v>7282</v>
      </c>
      <c r="K403" s="11" t="s">
        <v>42</v>
      </c>
      <c r="L403" s="11" t="s">
        <v>56</v>
      </c>
      <c r="M403" s="9" t="s">
        <v>12142</v>
      </c>
    </row>
    <row r="404" spans="1:13" x14ac:dyDescent="0.25">
      <c r="A404" s="11">
        <v>571</v>
      </c>
      <c r="B404" s="12" t="s">
        <v>12118</v>
      </c>
      <c r="C404" s="12">
        <v>640</v>
      </c>
      <c r="D404" s="11" t="s">
        <v>5222</v>
      </c>
      <c r="E404" s="11" t="s">
        <v>5224</v>
      </c>
      <c r="F404" s="11">
        <v>2023</v>
      </c>
      <c r="G404" s="11" t="s">
        <v>2811</v>
      </c>
      <c r="H404" s="11" t="str">
        <f>HYPERLINK("http://dx.doi.org/10.1111/cogs.13254","http://dx.doi.org/10.1111/cogs.13254")</f>
        <v>http://dx.doi.org/10.1111/cogs.13254</v>
      </c>
      <c r="I404" s="11" t="s">
        <v>5227</v>
      </c>
      <c r="J404" s="11" t="s">
        <v>5225</v>
      </c>
      <c r="K404" s="11" t="s">
        <v>42</v>
      </c>
      <c r="L404" s="11" t="s">
        <v>56</v>
      </c>
      <c r="M404" s="9">
        <v>1</v>
      </c>
    </row>
    <row r="405" spans="1:13" x14ac:dyDescent="0.25">
      <c r="A405" s="11">
        <v>7</v>
      </c>
      <c r="B405" s="12" t="s">
        <v>12118</v>
      </c>
      <c r="C405" s="12">
        <v>7</v>
      </c>
      <c r="D405" s="11" t="s">
        <v>4611</v>
      </c>
      <c r="E405" s="11" t="s">
        <v>4613</v>
      </c>
      <c r="F405" s="11">
        <v>2023</v>
      </c>
      <c r="G405" s="11" t="s">
        <v>4614</v>
      </c>
      <c r="H405" s="11" t="str">
        <f>HYPERLINK("http://dx.doi.org/10.1007/s12559-023-10165-0","http://dx.doi.org/10.1007/s12559-023-10165-0")</f>
        <v>http://dx.doi.org/10.1007/s12559-023-10165-0</v>
      </c>
      <c r="I405" s="11" t="s">
        <v>4617</v>
      </c>
      <c r="J405" s="11" t="s">
        <v>4615</v>
      </c>
      <c r="K405" s="11" t="s">
        <v>42</v>
      </c>
      <c r="L405" s="11" t="s">
        <v>56</v>
      </c>
      <c r="M405" s="9" t="s">
        <v>12142</v>
      </c>
    </row>
    <row r="406" spans="1:13" x14ac:dyDescent="0.25">
      <c r="A406" s="11">
        <v>95</v>
      </c>
      <c r="B406" s="12" t="s">
        <v>12118</v>
      </c>
      <c r="C406" s="12">
        <v>96</v>
      </c>
      <c r="D406" s="11" t="s">
        <v>11926</v>
      </c>
      <c r="E406" s="11" t="s">
        <v>11928</v>
      </c>
      <c r="F406" s="11">
        <v>2018</v>
      </c>
      <c r="G406" s="11" t="s">
        <v>11929</v>
      </c>
      <c r="H406" s="11" t="s">
        <v>1507</v>
      </c>
      <c r="I406" s="11" t="s">
        <v>11932</v>
      </c>
      <c r="J406" s="11" t="s">
        <v>11930</v>
      </c>
      <c r="K406" s="11" t="s">
        <v>42</v>
      </c>
      <c r="L406" s="11" t="s">
        <v>56</v>
      </c>
      <c r="M406" s="9" t="s">
        <v>12142</v>
      </c>
    </row>
    <row r="407" spans="1:13" x14ac:dyDescent="0.25">
      <c r="A407" s="11">
        <v>172</v>
      </c>
      <c r="B407" s="12" t="s">
        <v>12118</v>
      </c>
      <c r="C407" s="12">
        <v>186</v>
      </c>
      <c r="D407" s="11" t="s">
        <v>9390</v>
      </c>
      <c r="E407" s="11" t="s">
        <v>9392</v>
      </c>
      <c r="F407" s="11">
        <v>2020</v>
      </c>
      <c r="G407" s="11" t="s">
        <v>9393</v>
      </c>
      <c r="H407" s="11" t="str">
        <f>HYPERLINK("http://dx.doi.org/10.1021/acssensors.0c01908","http://dx.doi.org/10.1021/acssensors.0c01908")</f>
        <v>http://dx.doi.org/10.1021/acssensors.0c01908</v>
      </c>
      <c r="I407" s="11" t="s">
        <v>9396</v>
      </c>
      <c r="J407" s="11" t="s">
        <v>9394</v>
      </c>
      <c r="K407" s="11" t="s">
        <v>42</v>
      </c>
      <c r="L407" s="11" t="s">
        <v>56</v>
      </c>
      <c r="M407" s="9" t="s">
        <v>12142</v>
      </c>
    </row>
    <row r="408" spans="1:13" x14ac:dyDescent="0.25">
      <c r="A408" s="11">
        <v>98</v>
      </c>
      <c r="B408" s="12" t="s">
        <v>12118</v>
      </c>
      <c r="C408" s="12">
        <v>99</v>
      </c>
      <c r="D408" s="11" t="s">
        <v>9156</v>
      </c>
      <c r="E408" s="11" t="s">
        <v>9158</v>
      </c>
      <c r="F408" s="11">
        <v>2021</v>
      </c>
      <c r="G408" s="11" t="s">
        <v>1625</v>
      </c>
      <c r="H408" s="11" t="str">
        <f>HYPERLINK("http://dx.doi.org/10.1109/ACCESS.2021.3100299","http://dx.doi.org/10.1109/ACCESS.2021.3100299")</f>
        <v>http://dx.doi.org/10.1109/ACCESS.2021.3100299</v>
      </c>
      <c r="I408" s="11" t="s">
        <v>9160</v>
      </c>
      <c r="J408" s="11" t="s">
        <v>9159</v>
      </c>
      <c r="K408" s="11" t="s">
        <v>42</v>
      </c>
      <c r="L408" s="11" t="s">
        <v>56</v>
      </c>
      <c r="M408" s="9">
        <v>1</v>
      </c>
    </row>
    <row r="409" spans="1:13" x14ac:dyDescent="0.25">
      <c r="A409" s="11">
        <v>602</v>
      </c>
      <c r="B409" s="12" t="s">
        <v>12118</v>
      </c>
      <c r="C409" s="12">
        <v>673</v>
      </c>
      <c r="D409" s="11" t="s">
        <v>6615</v>
      </c>
      <c r="E409" s="11" t="s">
        <v>6618</v>
      </c>
      <c r="F409" s="11">
        <v>2023</v>
      </c>
      <c r="G409" s="11" t="s">
        <v>6619</v>
      </c>
      <c r="H409" s="11" t="str">
        <f>HYPERLINK("http://dx.doi.org/10.1145/3611643.3616350","http://dx.doi.org/10.1145/3611643.3616350")</f>
        <v>http://dx.doi.org/10.1145/3611643.3616350</v>
      </c>
      <c r="I409" s="11" t="s">
        <v>6625</v>
      </c>
      <c r="J409" s="11" t="s">
        <v>6624</v>
      </c>
      <c r="K409" s="11" t="s">
        <v>42</v>
      </c>
      <c r="L409" s="11" t="s">
        <v>5552</v>
      </c>
      <c r="M409" s="9">
        <v>1</v>
      </c>
    </row>
    <row r="410" spans="1:13" x14ac:dyDescent="0.25">
      <c r="A410" s="11">
        <v>85</v>
      </c>
      <c r="B410" s="12" t="s">
        <v>12118</v>
      </c>
      <c r="C410" s="12">
        <v>89</v>
      </c>
      <c r="D410" s="11" t="s">
        <v>11591</v>
      </c>
      <c r="E410" s="11" t="s">
        <v>11593</v>
      </c>
      <c r="F410" s="11">
        <v>2018</v>
      </c>
      <c r="G410" s="11" t="s">
        <v>7674</v>
      </c>
      <c r="H410" s="11" t="str">
        <f>HYPERLINK("http://dx.doi.org/10.1371/journal.pbio.2005513","http://dx.doi.org/10.1371/journal.pbio.2005513")</f>
        <v>http://dx.doi.org/10.1371/journal.pbio.2005513</v>
      </c>
      <c r="I410" s="11" t="s">
        <v>11595</v>
      </c>
      <c r="J410" s="11" t="s">
        <v>1507</v>
      </c>
      <c r="K410" s="11" t="s">
        <v>42</v>
      </c>
      <c r="L410" s="11" t="s">
        <v>56</v>
      </c>
      <c r="M410" s="9" t="s">
        <v>12142</v>
      </c>
    </row>
    <row r="411" spans="1:13" x14ac:dyDescent="0.25">
      <c r="A411" s="11">
        <v>391</v>
      </c>
      <c r="B411" s="12" t="s">
        <v>12118</v>
      </c>
      <c r="C411" s="12">
        <v>433</v>
      </c>
      <c r="D411" s="11" t="s">
        <v>8880</v>
      </c>
      <c r="E411" s="11" t="s">
        <v>8882</v>
      </c>
      <c r="F411" s="11">
        <v>2021</v>
      </c>
      <c r="G411" s="11" t="s">
        <v>8883</v>
      </c>
      <c r="H411" s="11" t="str">
        <f>HYPERLINK("http://dx.doi.org/10.1016/j.cropro.2021.105618","http://dx.doi.org/10.1016/j.cropro.2021.105618")</f>
        <v>http://dx.doi.org/10.1016/j.cropro.2021.105618</v>
      </c>
      <c r="I411" s="11" t="s">
        <v>8886</v>
      </c>
      <c r="J411" s="11" t="s">
        <v>8884</v>
      </c>
      <c r="K411" s="11" t="s">
        <v>42</v>
      </c>
      <c r="L411" s="11" t="s">
        <v>56</v>
      </c>
      <c r="M411" s="9" t="s">
        <v>12142</v>
      </c>
    </row>
    <row r="412" spans="1:13" x14ac:dyDescent="0.25">
      <c r="A412" s="11">
        <v>599</v>
      </c>
      <c r="B412" s="12" t="s">
        <v>12118</v>
      </c>
      <c r="C412" s="12">
        <v>669</v>
      </c>
      <c r="D412" s="11" t="s">
        <v>10999</v>
      </c>
      <c r="E412" s="11" t="s">
        <v>11001</v>
      </c>
      <c r="F412" s="11">
        <v>2019</v>
      </c>
      <c r="G412" s="11" t="s">
        <v>11002</v>
      </c>
      <c r="H412" s="11" t="str">
        <f>HYPERLINK("http://dx.doi.org/10.1089/zeb.2019.1731","http://dx.doi.org/10.1089/zeb.2019.1731")</f>
        <v>http://dx.doi.org/10.1089/zeb.2019.1731</v>
      </c>
      <c r="I412" s="11" t="s">
        <v>11005</v>
      </c>
      <c r="J412" s="11" t="s">
        <v>11003</v>
      </c>
      <c r="K412" s="11" t="s">
        <v>42</v>
      </c>
      <c r="L412" s="11" t="s">
        <v>56</v>
      </c>
      <c r="M412" s="9" t="s">
        <v>12142</v>
      </c>
    </row>
    <row r="413" spans="1:13" x14ac:dyDescent="0.25">
      <c r="A413" s="11">
        <v>434</v>
      </c>
      <c r="B413" s="12" t="s">
        <v>12118</v>
      </c>
      <c r="C413" s="12">
        <v>484</v>
      </c>
      <c r="D413" s="11" t="s">
        <v>3630</v>
      </c>
      <c r="E413" s="11" t="s">
        <v>3632</v>
      </c>
      <c r="F413" s="11">
        <v>2023</v>
      </c>
      <c r="G413" s="11" t="s">
        <v>3633</v>
      </c>
      <c r="H413" s="11" t="str">
        <f>HYPERLINK("http://dx.doi.org/10.3390/jcm12196390","http://dx.doi.org/10.3390/jcm12196390")</f>
        <v>http://dx.doi.org/10.3390/jcm12196390</v>
      </c>
      <c r="I413" s="11" t="s">
        <v>3635</v>
      </c>
      <c r="J413" s="11" t="s">
        <v>3634</v>
      </c>
      <c r="K413" s="11" t="s">
        <v>42</v>
      </c>
      <c r="L413" s="11" t="s">
        <v>56</v>
      </c>
      <c r="M413" s="9" t="s">
        <v>12142</v>
      </c>
    </row>
    <row r="414" spans="1:13" x14ac:dyDescent="0.25">
      <c r="A414" s="11">
        <v>542</v>
      </c>
      <c r="B414" s="12" t="s">
        <v>12118</v>
      </c>
      <c r="C414" s="12">
        <v>606</v>
      </c>
      <c r="D414" s="11" t="s">
        <v>3373</v>
      </c>
      <c r="E414" s="11" t="s">
        <v>3375</v>
      </c>
      <c r="F414" s="11">
        <v>2023</v>
      </c>
      <c r="G414" s="11" t="s">
        <v>3376</v>
      </c>
      <c r="H414" s="11" t="str">
        <f>HYPERLINK("http://dx.doi.org/10.1002/prep.202300109","http://dx.doi.org/10.1002/prep.202300109")</f>
        <v>http://dx.doi.org/10.1002/prep.202300109</v>
      </c>
      <c r="I414" s="11" t="s">
        <v>3378</v>
      </c>
      <c r="J414" s="11" t="s">
        <v>3377</v>
      </c>
      <c r="K414" s="11" t="s">
        <v>42</v>
      </c>
      <c r="L414" s="11" t="s">
        <v>1509</v>
      </c>
      <c r="M414" s="9" t="s">
        <v>12142</v>
      </c>
    </row>
    <row r="415" spans="1:13" x14ac:dyDescent="0.25">
      <c r="A415" s="11">
        <v>240</v>
      </c>
      <c r="B415" s="12" t="s">
        <v>12118</v>
      </c>
      <c r="C415" s="12">
        <v>265</v>
      </c>
      <c r="D415" s="11" t="s">
        <v>7798</v>
      </c>
      <c r="E415" s="11" t="s">
        <v>7800</v>
      </c>
      <c r="F415" s="11">
        <v>2022</v>
      </c>
      <c r="G415" s="11" t="s">
        <v>7801</v>
      </c>
      <c r="H415" s="11" t="str">
        <f>HYPERLINK("http://dx.doi.org/10.1145/3560905.3568431","http://dx.doi.org/10.1145/3560905.3568431")</f>
        <v>http://dx.doi.org/10.1145/3560905.3568431</v>
      </c>
      <c r="I415" s="11" t="s">
        <v>7807</v>
      </c>
      <c r="J415" s="11" t="s">
        <v>7806</v>
      </c>
      <c r="K415" s="11" t="s">
        <v>42</v>
      </c>
      <c r="L415" s="11" t="s">
        <v>5552</v>
      </c>
      <c r="M415" s="9" t="s">
        <v>12142</v>
      </c>
    </row>
    <row r="416" spans="1:13" x14ac:dyDescent="0.25">
      <c r="A416" s="11">
        <v>367</v>
      </c>
      <c r="B416" s="12" t="s">
        <v>12118</v>
      </c>
      <c r="C416" s="12">
        <v>408</v>
      </c>
      <c r="D416" s="11" t="s">
        <v>7258</v>
      </c>
      <c r="E416" s="11" t="s">
        <v>7260</v>
      </c>
      <c r="F416" s="11">
        <v>2022</v>
      </c>
      <c r="G416" s="11" t="s">
        <v>7261</v>
      </c>
      <c r="H416" s="11" t="str">
        <f>HYPERLINK("http://dx.doi.org/10.1016/j.ceca.2022.102582","http://dx.doi.org/10.1016/j.ceca.2022.102582")</f>
        <v>http://dx.doi.org/10.1016/j.ceca.2022.102582</v>
      </c>
      <c r="I416" s="11" t="s">
        <v>7263</v>
      </c>
      <c r="J416" s="11" t="s">
        <v>1507</v>
      </c>
      <c r="K416" s="11" t="s">
        <v>42</v>
      </c>
      <c r="L416" s="11" t="s">
        <v>56</v>
      </c>
      <c r="M416" s="9" t="s">
        <v>12142</v>
      </c>
    </row>
    <row r="417" spans="1:13" x14ac:dyDescent="0.25">
      <c r="A417" s="11">
        <v>73</v>
      </c>
      <c r="B417" s="12" t="s">
        <v>12118</v>
      </c>
      <c r="C417" s="12">
        <v>78</v>
      </c>
      <c r="D417" s="11" t="s">
        <v>7321</v>
      </c>
      <c r="E417" s="11" t="s">
        <v>7323</v>
      </c>
      <c r="F417" s="11">
        <v>2022</v>
      </c>
      <c r="G417" s="11" t="s">
        <v>3922</v>
      </c>
      <c r="H417" s="11" t="str">
        <f>HYPERLINK("http://dx.doi.org/10.1126/sciadv.abl5209","http://dx.doi.org/10.1126/sciadv.abl5209")</f>
        <v>http://dx.doi.org/10.1126/sciadv.abl5209</v>
      </c>
      <c r="I417" s="11" t="s">
        <v>7325</v>
      </c>
      <c r="J417" s="11" t="s">
        <v>1507</v>
      </c>
      <c r="K417" s="11" t="s">
        <v>42</v>
      </c>
      <c r="L417" s="11" t="s">
        <v>56</v>
      </c>
      <c r="M417" s="9" t="s">
        <v>12142</v>
      </c>
    </row>
    <row r="418" spans="1:13" x14ac:dyDescent="0.25">
      <c r="A418" s="11">
        <v>3</v>
      </c>
      <c r="B418" s="12" t="s">
        <v>12118</v>
      </c>
      <c r="C418" s="12">
        <v>3</v>
      </c>
      <c r="D418" s="11" t="s">
        <v>11225</v>
      </c>
      <c r="E418" s="11" t="s">
        <v>11227</v>
      </c>
      <c r="F418" s="11">
        <v>2019</v>
      </c>
      <c r="G418" s="11" t="s">
        <v>11228</v>
      </c>
      <c r="H418" s="11" t="s">
        <v>1507</v>
      </c>
      <c r="I418" s="11" t="s">
        <v>11229</v>
      </c>
      <c r="J418" s="11" t="s">
        <v>1507</v>
      </c>
      <c r="K418" s="11" t="s">
        <v>42</v>
      </c>
      <c r="L418" s="11" t="s">
        <v>56</v>
      </c>
      <c r="M418" s="9" t="s">
        <v>12142</v>
      </c>
    </row>
    <row r="419" spans="1:13" x14ac:dyDescent="0.25">
      <c r="A419" s="12">
        <v>19</v>
      </c>
      <c r="B419" s="12" t="s">
        <v>12204</v>
      </c>
      <c r="C419" s="12">
        <v>43</v>
      </c>
      <c r="D419" s="12" t="s">
        <v>13627</v>
      </c>
      <c r="E419" s="12" t="s">
        <v>104</v>
      </c>
      <c r="F419" s="12">
        <v>2023</v>
      </c>
      <c r="G419" s="12" t="s">
        <v>105</v>
      </c>
      <c r="H419" s="12" t="s">
        <v>106</v>
      </c>
      <c r="I419" s="12" t="s">
        <v>108</v>
      </c>
      <c r="J419" s="12" t="s">
        <v>109</v>
      </c>
      <c r="K419" s="12" t="s">
        <v>42</v>
      </c>
      <c r="L419" s="12" t="s">
        <v>56</v>
      </c>
      <c r="M419" s="10">
        <v>1</v>
      </c>
    </row>
    <row r="420" spans="1:13" x14ac:dyDescent="0.25">
      <c r="A420" s="11">
        <v>561</v>
      </c>
      <c r="B420" s="12" t="s">
        <v>12118</v>
      </c>
      <c r="C420" s="12">
        <v>627</v>
      </c>
      <c r="D420" s="11" t="s">
        <v>15443</v>
      </c>
      <c r="E420" s="11" t="s">
        <v>15445</v>
      </c>
      <c r="F420" s="11">
        <v>2023</v>
      </c>
      <c r="G420" s="11" t="s">
        <v>15092</v>
      </c>
      <c r="H420" s="11" t="str">
        <f>HYPERLINK("http://dx.doi.org/10.1145/3583780.3614993","http://dx.doi.org/10.1145/3583780.3614993")</f>
        <v>http://dx.doi.org/10.1145/3583780.3614993</v>
      </c>
      <c r="I420" s="11" t="s">
        <v>15447</v>
      </c>
      <c r="J420" s="11" t="s">
        <v>15446</v>
      </c>
      <c r="K420" s="11" t="s">
        <v>42</v>
      </c>
      <c r="L420" s="11" t="s">
        <v>5552</v>
      </c>
      <c r="M420" s="9" t="s">
        <v>12142</v>
      </c>
    </row>
    <row r="421" spans="1:13" x14ac:dyDescent="0.25">
      <c r="A421" s="11">
        <v>271</v>
      </c>
      <c r="B421" s="12" t="s">
        <v>12118</v>
      </c>
      <c r="C421" s="12">
        <v>299</v>
      </c>
      <c r="D421" s="11" t="s">
        <v>6038</v>
      </c>
      <c r="E421" s="11" t="s">
        <v>6040</v>
      </c>
      <c r="F421" s="11">
        <v>2023</v>
      </c>
      <c r="G421" s="11" t="s">
        <v>1625</v>
      </c>
      <c r="H421" s="11" t="str">
        <f>HYPERLINK("http://dx.doi.org/10.1109/ACCESS.2023.3341007","http://dx.doi.org/10.1109/ACCESS.2023.3341007")</f>
        <v>http://dx.doi.org/10.1109/ACCESS.2023.3341007</v>
      </c>
      <c r="I421" s="11" t="s">
        <v>6042</v>
      </c>
      <c r="J421" s="11" t="s">
        <v>6041</v>
      </c>
      <c r="K421" s="11" t="s">
        <v>42</v>
      </c>
      <c r="L421" s="11" t="s">
        <v>56</v>
      </c>
      <c r="M421" s="9" t="s">
        <v>12142</v>
      </c>
    </row>
    <row r="422" spans="1:13" x14ac:dyDescent="0.25">
      <c r="A422" s="11">
        <v>333</v>
      </c>
      <c r="B422" s="12" t="s">
        <v>12118</v>
      </c>
      <c r="C422" s="12">
        <v>375</v>
      </c>
      <c r="D422" s="11" t="s">
        <v>6131</v>
      </c>
      <c r="E422" s="11" t="s">
        <v>6133</v>
      </c>
      <c r="F422" s="11">
        <v>2023</v>
      </c>
      <c r="G422" s="11" t="s">
        <v>6014</v>
      </c>
      <c r="H422" s="11" t="str">
        <f>HYPERLINK("http://dx.doi.org/10.1109/ASE56229.2023.00089","http://dx.doi.org/10.1109/ASE56229.2023.00089")</f>
        <v>http://dx.doi.org/10.1109/ASE56229.2023.00089</v>
      </c>
      <c r="I422" s="11" t="s">
        <v>6135</v>
      </c>
      <c r="J422" s="11" t="s">
        <v>6134</v>
      </c>
      <c r="K422" s="11" t="s">
        <v>42</v>
      </c>
      <c r="L422" s="11" t="s">
        <v>5552</v>
      </c>
      <c r="M422" s="9" t="s">
        <v>12142</v>
      </c>
    </row>
    <row r="423" spans="1:13" x14ac:dyDescent="0.25">
      <c r="A423" s="11">
        <v>459</v>
      </c>
      <c r="B423" s="12" t="s">
        <v>12118</v>
      </c>
      <c r="C423" s="12">
        <v>511</v>
      </c>
      <c r="D423" s="11" t="s">
        <v>11084</v>
      </c>
      <c r="E423" s="11" t="s">
        <v>11086</v>
      </c>
      <c r="F423" s="11">
        <v>2019</v>
      </c>
      <c r="G423" s="11" t="s">
        <v>11087</v>
      </c>
      <c r="H423" s="11" t="str">
        <f>HYPERLINK("http://dx.doi.org/10.1007/s12046-019-1058-4","http://dx.doi.org/10.1007/s12046-019-1058-4")</f>
        <v>http://dx.doi.org/10.1007/s12046-019-1058-4</v>
      </c>
      <c r="I423" s="11" t="s">
        <v>11090</v>
      </c>
      <c r="J423" s="11" t="s">
        <v>11088</v>
      </c>
      <c r="K423" s="11" t="s">
        <v>42</v>
      </c>
      <c r="L423" s="11" t="s">
        <v>56</v>
      </c>
      <c r="M423" s="9" t="s">
        <v>12142</v>
      </c>
    </row>
    <row r="424" spans="1:13" x14ac:dyDescent="0.25">
      <c r="A424" s="11">
        <v>532</v>
      </c>
      <c r="B424" s="12" t="s">
        <v>12118</v>
      </c>
      <c r="C424" s="12">
        <v>593</v>
      </c>
      <c r="D424" s="11" t="s">
        <v>5049</v>
      </c>
      <c r="E424" s="11" t="s">
        <v>5051</v>
      </c>
      <c r="F424" s="11">
        <v>2023</v>
      </c>
      <c r="G424" s="11" t="s">
        <v>5052</v>
      </c>
      <c r="H424" s="11" t="str">
        <f>HYPERLINK("http://dx.doi.org/10.1353/hrq.2023.0015","http://dx.doi.org/10.1353/hrq.2023.0015")</f>
        <v>http://dx.doi.org/10.1353/hrq.2023.0015</v>
      </c>
      <c r="I424" s="11" t="s">
        <v>5054</v>
      </c>
      <c r="J424" s="11" t="s">
        <v>1507</v>
      </c>
      <c r="K424" s="11" t="s">
        <v>42</v>
      </c>
      <c r="L424" s="11" t="s">
        <v>56</v>
      </c>
      <c r="M424" s="9" t="s">
        <v>12142</v>
      </c>
    </row>
    <row r="425" spans="1:13" x14ac:dyDescent="0.25">
      <c r="A425" s="11">
        <v>515</v>
      </c>
      <c r="B425" s="12" t="s">
        <v>12118</v>
      </c>
      <c r="C425" s="12">
        <v>571</v>
      </c>
      <c r="D425" s="11" t="s">
        <v>8278</v>
      </c>
      <c r="E425" s="11" t="s">
        <v>8280</v>
      </c>
      <c r="F425" s="11">
        <v>2021</v>
      </c>
      <c r="G425" s="11" t="s">
        <v>8281</v>
      </c>
      <c r="H425" s="11" t="str">
        <f>HYPERLINK("http://dx.doi.org/10.1016/j.asr.2021.06.034","http://dx.doi.org/10.1016/j.asr.2021.06.034")</f>
        <v>http://dx.doi.org/10.1016/j.asr.2021.06.034</v>
      </c>
      <c r="I425" s="11" t="s">
        <v>8284</v>
      </c>
      <c r="J425" s="11" t="s">
        <v>8282</v>
      </c>
      <c r="K425" s="11" t="s">
        <v>42</v>
      </c>
      <c r="L425" s="11" t="s">
        <v>56</v>
      </c>
      <c r="M425" s="9" t="s">
        <v>12142</v>
      </c>
    </row>
    <row r="426" spans="1:13" x14ac:dyDescent="0.25">
      <c r="A426" s="11">
        <v>448</v>
      </c>
      <c r="B426" s="12" t="s">
        <v>12118</v>
      </c>
      <c r="C426" s="12">
        <v>501</v>
      </c>
      <c r="D426" s="11" t="s">
        <v>3168</v>
      </c>
      <c r="E426" s="11" t="s">
        <v>3170</v>
      </c>
      <c r="F426" s="11">
        <v>2023</v>
      </c>
      <c r="G426" s="11" t="s">
        <v>3171</v>
      </c>
      <c r="H426" s="11" t="str">
        <f>HYPERLINK("http://dx.doi.org/10.1177/00905917231200826","http://dx.doi.org/10.1177/00905917231200826")</f>
        <v>http://dx.doi.org/10.1177/00905917231200826</v>
      </c>
      <c r="I426" s="11" t="s">
        <v>3174</v>
      </c>
      <c r="J426" s="11" t="s">
        <v>3172</v>
      </c>
      <c r="K426" s="11" t="s">
        <v>42</v>
      </c>
      <c r="L426" s="11" t="s">
        <v>1509</v>
      </c>
      <c r="M426" s="10">
        <v>1</v>
      </c>
    </row>
    <row r="427" spans="1:13" x14ac:dyDescent="0.25">
      <c r="A427" s="11">
        <v>394</v>
      </c>
      <c r="B427" s="12" t="s">
        <v>12118</v>
      </c>
      <c r="C427" s="12">
        <v>437</v>
      </c>
      <c r="D427" s="11" t="s">
        <v>10707</v>
      </c>
      <c r="E427" s="11" t="s">
        <v>10709</v>
      </c>
      <c r="F427" s="11">
        <v>2020</v>
      </c>
      <c r="G427" s="11" t="s">
        <v>10710</v>
      </c>
      <c r="H427" s="11" t="str">
        <f>HYPERLINK("http://dx.doi.org/10.1002/smll.201902889","http://dx.doi.org/10.1002/smll.201902889")</f>
        <v>http://dx.doi.org/10.1002/smll.201902889</v>
      </c>
      <c r="I427" s="11" t="s">
        <v>10713</v>
      </c>
      <c r="J427" s="11" t="s">
        <v>10711</v>
      </c>
      <c r="K427" s="11" t="s">
        <v>42</v>
      </c>
      <c r="L427" s="11" t="s">
        <v>56</v>
      </c>
      <c r="M427" s="9" t="s">
        <v>12142</v>
      </c>
    </row>
    <row r="428" spans="1:13" x14ac:dyDescent="0.25">
      <c r="A428" s="12">
        <v>173</v>
      </c>
      <c r="B428" s="12" t="s">
        <v>12204</v>
      </c>
      <c r="C428" s="12">
        <v>650</v>
      </c>
      <c r="D428" s="12" t="s">
        <v>13034</v>
      </c>
      <c r="E428" s="12" t="s">
        <v>13032</v>
      </c>
      <c r="F428" s="12">
        <v>2023</v>
      </c>
      <c r="G428" s="12" t="s">
        <v>13031</v>
      </c>
      <c r="H428" s="12" t="s">
        <v>13030</v>
      </c>
      <c r="I428" s="12" t="s">
        <v>13026</v>
      </c>
      <c r="J428" s="12" t="s">
        <v>13025</v>
      </c>
      <c r="K428" s="12" t="s">
        <v>42</v>
      </c>
      <c r="L428" s="12" t="s">
        <v>12252</v>
      </c>
      <c r="M428" s="9" t="s">
        <v>12142</v>
      </c>
    </row>
    <row r="429" spans="1:13" x14ac:dyDescent="0.25">
      <c r="A429" s="11">
        <v>221</v>
      </c>
      <c r="B429" s="12" t="s">
        <v>12118</v>
      </c>
      <c r="C429" s="12">
        <v>243</v>
      </c>
      <c r="D429" s="11" t="s">
        <v>9637</v>
      </c>
      <c r="E429" s="11" t="s">
        <v>9639</v>
      </c>
      <c r="F429" s="11">
        <v>2020</v>
      </c>
      <c r="G429" s="11" t="s">
        <v>9640</v>
      </c>
      <c r="H429" s="11" t="str">
        <f>HYPERLINK("http://dx.doi.org/10.1038/s41590-020-0773-7","http://dx.doi.org/10.1038/s41590-020-0773-7")</f>
        <v>http://dx.doi.org/10.1038/s41590-020-0773-7</v>
      </c>
      <c r="I429" s="11" t="s">
        <v>9641</v>
      </c>
      <c r="J429" s="11" t="s">
        <v>1507</v>
      </c>
      <c r="K429" s="11" t="s">
        <v>42</v>
      </c>
      <c r="L429" s="11" t="s">
        <v>56</v>
      </c>
      <c r="M429" s="9" t="s">
        <v>12142</v>
      </c>
    </row>
    <row r="430" spans="1:13" x14ac:dyDescent="0.25">
      <c r="A430" s="11">
        <v>109</v>
      </c>
      <c r="B430" s="12" t="s">
        <v>12118</v>
      </c>
      <c r="C430" s="12">
        <v>110</v>
      </c>
      <c r="D430" s="11" t="s">
        <v>5163</v>
      </c>
      <c r="E430" s="11" t="s">
        <v>6913</v>
      </c>
      <c r="F430" s="11">
        <v>2022</v>
      </c>
      <c r="G430" s="11" t="s">
        <v>5166</v>
      </c>
      <c r="H430" s="11" t="str">
        <f>HYPERLINK("http://dx.doi.org/10.1108/JMLC-07-2022-0102","http://dx.doi.org/10.1108/JMLC-07-2022-0102")</f>
        <v>http://dx.doi.org/10.1108/JMLC-07-2022-0102</v>
      </c>
      <c r="I430" s="11" t="s">
        <v>6915</v>
      </c>
      <c r="J430" s="11" t="s">
        <v>6914</v>
      </c>
      <c r="K430" s="11" t="s">
        <v>42</v>
      </c>
      <c r="L430" s="11" t="s">
        <v>56</v>
      </c>
      <c r="M430" s="9" t="s">
        <v>12142</v>
      </c>
    </row>
    <row r="431" spans="1:13" x14ac:dyDescent="0.25">
      <c r="A431" s="11">
        <v>64</v>
      </c>
      <c r="B431" s="12" t="s">
        <v>12118</v>
      </c>
      <c r="C431" s="12">
        <v>69</v>
      </c>
      <c r="D431" s="11" t="s">
        <v>7426</v>
      </c>
      <c r="E431" s="11" t="s">
        <v>7428</v>
      </c>
      <c r="F431" s="11">
        <v>2022</v>
      </c>
      <c r="G431" s="11" t="s">
        <v>7429</v>
      </c>
      <c r="H431" s="11" t="str">
        <f>HYPERLINK("http://dx.doi.org/10.1002/cplu.202200049","http://dx.doi.org/10.1002/cplu.202200049")</f>
        <v>http://dx.doi.org/10.1002/cplu.202200049</v>
      </c>
      <c r="I431" s="11" t="s">
        <v>7431</v>
      </c>
      <c r="J431" s="11" t="s">
        <v>7430</v>
      </c>
      <c r="K431" s="11" t="s">
        <v>42</v>
      </c>
      <c r="L431" s="11" t="s">
        <v>56</v>
      </c>
      <c r="M431" s="9" t="s">
        <v>12142</v>
      </c>
    </row>
    <row r="432" spans="1:13" x14ac:dyDescent="0.25">
      <c r="A432" s="11">
        <v>498</v>
      </c>
      <c r="B432" s="12" t="s">
        <v>12118</v>
      </c>
      <c r="C432" s="12">
        <v>552</v>
      </c>
      <c r="D432" s="11" t="s">
        <v>6363</v>
      </c>
      <c r="E432" s="11" t="s">
        <v>6366</v>
      </c>
      <c r="F432" s="11">
        <v>2023</v>
      </c>
      <c r="G432" s="11" t="s">
        <v>6367</v>
      </c>
      <c r="H432" s="11" t="str">
        <f>HYPERLINK("http://dx.doi.org/10.1007/978-3-031-42608-7_16","http://dx.doi.org/10.1007/978-3-031-42608-7_16")</f>
        <v>http://dx.doi.org/10.1007/978-3-031-42608-7_16</v>
      </c>
      <c r="I432" s="11" t="s">
        <v>6373</v>
      </c>
      <c r="J432" s="11" t="s">
        <v>1253</v>
      </c>
      <c r="K432" s="11" t="s">
        <v>42</v>
      </c>
      <c r="L432" s="11" t="s">
        <v>5552</v>
      </c>
      <c r="M432" s="9">
        <v>1</v>
      </c>
    </row>
    <row r="433" spans="1:13" x14ac:dyDescent="0.25">
      <c r="A433" s="12">
        <v>27</v>
      </c>
      <c r="B433" s="12" t="s">
        <v>12204</v>
      </c>
      <c r="C433" s="12">
        <v>74</v>
      </c>
      <c r="D433" s="12" t="s">
        <v>12250</v>
      </c>
      <c r="E433" s="12" t="s">
        <v>868</v>
      </c>
      <c r="F433" s="12">
        <v>2019</v>
      </c>
      <c r="G433" s="12" t="s">
        <v>831</v>
      </c>
      <c r="H433" s="12" t="s">
        <v>869</v>
      </c>
      <c r="I433" s="12" t="s">
        <v>872</v>
      </c>
      <c r="J433" s="12" t="s">
        <v>873</v>
      </c>
      <c r="K433" s="12" t="s">
        <v>42</v>
      </c>
      <c r="L433" s="12" t="s">
        <v>56</v>
      </c>
      <c r="M433" s="9" t="s">
        <v>12142</v>
      </c>
    </row>
    <row r="434" spans="1:13" x14ac:dyDescent="0.25">
      <c r="A434" s="11">
        <v>235</v>
      </c>
      <c r="B434" s="12" t="s">
        <v>12118</v>
      </c>
      <c r="C434" s="12">
        <v>259</v>
      </c>
      <c r="D434" s="11" t="s">
        <v>11694</v>
      </c>
      <c r="E434" s="11" t="s">
        <v>11696</v>
      </c>
      <c r="F434" s="11">
        <v>2018</v>
      </c>
      <c r="G434" s="11" t="s">
        <v>11697</v>
      </c>
      <c r="H434" s="11" t="str">
        <f>HYPERLINK("http://dx.doi.org/10.1089/blr.2018.29073.cmh","http://dx.doi.org/10.1089/blr.2018.29073.cmh")</f>
        <v>http://dx.doi.org/10.1089/blr.2018.29073.cmh</v>
      </c>
      <c r="I434" s="11" t="s">
        <v>11700</v>
      </c>
      <c r="J434" s="11" t="s">
        <v>11698</v>
      </c>
      <c r="K434" s="11" t="s">
        <v>42</v>
      </c>
      <c r="L434" s="11" t="s">
        <v>56</v>
      </c>
      <c r="M434" s="9" t="s">
        <v>12142</v>
      </c>
    </row>
    <row r="435" spans="1:13" x14ac:dyDescent="0.25">
      <c r="A435" s="11">
        <v>484</v>
      </c>
      <c r="B435" s="12" t="s">
        <v>12118</v>
      </c>
      <c r="C435" s="12">
        <v>537</v>
      </c>
      <c r="D435" s="11" t="s">
        <v>9918</v>
      </c>
      <c r="E435" s="11" t="s">
        <v>9920</v>
      </c>
      <c r="F435" s="11">
        <v>2020</v>
      </c>
      <c r="G435" s="11" t="s">
        <v>1760</v>
      </c>
      <c r="H435" s="11" t="str">
        <f>HYPERLINK("http://dx.doi.org/10.1038/s41586-020-2342-5","http://dx.doi.org/10.1038/s41586-020-2342-5")</f>
        <v>http://dx.doi.org/10.1038/s41586-020-2342-5</v>
      </c>
      <c r="I435" s="11" t="s">
        <v>9922</v>
      </c>
      <c r="J435" s="11" t="s">
        <v>1507</v>
      </c>
      <c r="K435" s="11" t="s">
        <v>42</v>
      </c>
      <c r="L435" s="11" t="s">
        <v>56</v>
      </c>
      <c r="M435" s="9" t="s">
        <v>12142</v>
      </c>
    </row>
    <row r="436" spans="1:13" x14ac:dyDescent="0.25">
      <c r="A436" s="11">
        <v>218</v>
      </c>
      <c r="B436" s="12" t="s">
        <v>12118</v>
      </c>
      <c r="C436" s="12">
        <v>239</v>
      </c>
      <c r="D436" s="11" t="s">
        <v>2520</v>
      </c>
      <c r="E436" s="11" t="s">
        <v>2522</v>
      </c>
      <c r="F436" s="11">
        <v>2023</v>
      </c>
      <c r="G436" s="11" t="s">
        <v>2523</v>
      </c>
      <c r="H436" s="11" t="str">
        <f>HYPERLINK("http://dx.doi.org/10.1021/acs.jpclett.3c02398","http://dx.doi.org/10.1021/acs.jpclett.3c02398")</f>
        <v>http://dx.doi.org/10.1021/acs.jpclett.3c02398</v>
      </c>
      <c r="I436" s="11" t="s">
        <v>2525</v>
      </c>
      <c r="J436" s="11" t="s">
        <v>1507</v>
      </c>
      <c r="K436" s="11" t="s">
        <v>42</v>
      </c>
      <c r="L436" s="11" t="s">
        <v>56</v>
      </c>
      <c r="M436" s="9" t="s">
        <v>12142</v>
      </c>
    </row>
    <row r="437" spans="1:13" x14ac:dyDescent="0.25">
      <c r="A437" s="12">
        <v>78</v>
      </c>
      <c r="B437" s="12" t="s">
        <v>12204</v>
      </c>
      <c r="C437" s="12">
        <v>286</v>
      </c>
      <c r="D437" s="12" t="s">
        <v>13615</v>
      </c>
      <c r="E437" s="12" t="s">
        <v>553</v>
      </c>
      <c r="F437" s="12">
        <v>2023</v>
      </c>
      <c r="G437" s="12" t="s">
        <v>124</v>
      </c>
      <c r="H437" s="12" t="s">
        <v>554</v>
      </c>
      <c r="I437" s="12" t="s">
        <v>557</v>
      </c>
      <c r="K437" s="12" t="s">
        <v>42</v>
      </c>
      <c r="L437" s="12" t="s">
        <v>56</v>
      </c>
      <c r="M437" s="10">
        <v>1</v>
      </c>
    </row>
    <row r="438" spans="1:13" x14ac:dyDescent="0.25">
      <c r="A438" s="11">
        <v>437</v>
      </c>
      <c r="B438" s="12" t="s">
        <v>12118</v>
      </c>
      <c r="C438" s="12">
        <v>487</v>
      </c>
      <c r="D438" s="11" t="s">
        <v>6265</v>
      </c>
      <c r="E438" s="11" t="s">
        <v>6267</v>
      </c>
      <c r="F438" s="11">
        <v>2023</v>
      </c>
      <c r="G438" s="11" t="s">
        <v>6268</v>
      </c>
      <c r="H438" s="11" t="str">
        <f>HYPERLINK("http://dx.doi.org/10.1109/HOTI59126.2023.00022","http://dx.doi.org/10.1109/HOTI59126.2023.00022")</f>
        <v>http://dx.doi.org/10.1109/HOTI59126.2023.00022</v>
      </c>
      <c r="I438" s="11" t="s">
        <v>6275</v>
      </c>
      <c r="J438" s="11" t="s">
        <v>6274</v>
      </c>
      <c r="K438" s="11" t="s">
        <v>42</v>
      </c>
      <c r="L438" s="11" t="s">
        <v>5552</v>
      </c>
      <c r="M438" s="9" t="s">
        <v>12142</v>
      </c>
    </row>
    <row r="439" spans="1:13" x14ac:dyDescent="0.25">
      <c r="A439" s="12">
        <v>57</v>
      </c>
      <c r="B439" s="12" t="s">
        <v>12204</v>
      </c>
      <c r="C439" s="12">
        <v>204</v>
      </c>
      <c r="D439" s="12" t="s">
        <v>12683</v>
      </c>
      <c r="E439" s="12" t="s">
        <v>1298</v>
      </c>
      <c r="F439" s="12">
        <v>2023</v>
      </c>
      <c r="G439" s="12" t="s">
        <v>1299</v>
      </c>
      <c r="H439" s="12" t="s">
        <v>1301</v>
      </c>
      <c r="I439" s="12" t="s">
        <v>1304</v>
      </c>
      <c r="J439" s="12" t="s">
        <v>1305</v>
      </c>
      <c r="K439" s="12" t="s">
        <v>42</v>
      </c>
      <c r="L439" s="12" t="s">
        <v>56</v>
      </c>
      <c r="M439" s="10">
        <v>1</v>
      </c>
    </row>
    <row r="440" spans="1:13" x14ac:dyDescent="0.25">
      <c r="A440" s="12">
        <v>23</v>
      </c>
      <c r="B440" s="12" t="s">
        <v>12204</v>
      </c>
      <c r="C440" s="12">
        <v>56</v>
      </c>
      <c r="D440" s="12" t="s">
        <v>13255</v>
      </c>
      <c r="E440" s="12" t="s">
        <v>723</v>
      </c>
      <c r="F440" s="12">
        <v>2023</v>
      </c>
      <c r="G440" s="12" t="s">
        <v>366</v>
      </c>
      <c r="H440" s="12" t="s">
        <v>725</v>
      </c>
      <c r="I440" s="12" t="s">
        <v>727</v>
      </c>
      <c r="K440" s="12" t="s">
        <v>42</v>
      </c>
      <c r="L440" s="12" t="s">
        <v>56</v>
      </c>
      <c r="M440" s="9" t="s">
        <v>12142</v>
      </c>
    </row>
    <row r="441" spans="1:13" x14ac:dyDescent="0.25">
      <c r="A441" s="12">
        <v>65</v>
      </c>
      <c r="B441" s="12" t="s">
        <v>12204</v>
      </c>
      <c r="C441" s="12">
        <v>230</v>
      </c>
      <c r="D441" s="13" t="s">
        <v>763</v>
      </c>
      <c r="E441" s="13" t="s">
        <v>764</v>
      </c>
      <c r="F441" s="13">
        <v>2024</v>
      </c>
      <c r="G441" s="13" t="s">
        <v>44</v>
      </c>
      <c r="H441" s="13" t="s">
        <v>765</v>
      </c>
      <c r="I441" s="13" t="s">
        <v>766</v>
      </c>
      <c r="J441" s="13"/>
      <c r="K441" s="12" t="s">
        <v>42</v>
      </c>
      <c r="L441" s="12" t="s">
        <v>56</v>
      </c>
      <c r="M441" s="10">
        <v>1</v>
      </c>
    </row>
    <row r="442" spans="1:13" ht="13.8" customHeight="1" x14ac:dyDescent="0.25">
      <c r="A442" s="11">
        <v>624</v>
      </c>
      <c r="B442" s="12" t="s">
        <v>12118</v>
      </c>
      <c r="C442" s="12">
        <v>692</v>
      </c>
      <c r="D442" s="11" t="s">
        <v>8444</v>
      </c>
      <c r="E442" s="11" t="s">
        <v>8446</v>
      </c>
      <c r="F442" s="11">
        <v>2021</v>
      </c>
      <c r="G442" s="11" t="s">
        <v>3251</v>
      </c>
      <c r="H442" s="11" t="str">
        <f>HYPERLINK("http://dx.doi.org/10.1073/pnas.2103984118","http://dx.doi.org/10.1073/pnas.2103984118")</f>
        <v>http://dx.doi.org/10.1073/pnas.2103984118</v>
      </c>
      <c r="I442" s="11" t="s">
        <v>8449</v>
      </c>
      <c r="J442" s="11" t="s">
        <v>8447</v>
      </c>
      <c r="K442" s="11" t="s">
        <v>42</v>
      </c>
      <c r="L442" s="11" t="s">
        <v>56</v>
      </c>
      <c r="M442" s="9" t="s">
        <v>12142</v>
      </c>
    </row>
    <row r="443" spans="1:13" x14ac:dyDescent="0.25">
      <c r="A443" s="11">
        <v>371</v>
      </c>
      <c r="B443" s="12" t="s">
        <v>12118</v>
      </c>
      <c r="C443" s="12">
        <v>412</v>
      </c>
      <c r="D443" s="11" t="s">
        <v>9795</v>
      </c>
      <c r="E443" s="11" t="s">
        <v>9797</v>
      </c>
      <c r="F443" s="11">
        <v>2020</v>
      </c>
      <c r="G443" s="11" t="s">
        <v>9798</v>
      </c>
      <c r="H443" s="11" t="str">
        <f>HYPERLINK("http://dx.doi.org/10.1097/SLA.0000000000003084","http://dx.doi.org/10.1097/SLA.0000000000003084")</f>
        <v>http://dx.doi.org/10.1097/SLA.0000000000003084</v>
      </c>
      <c r="I443" s="11" t="s">
        <v>9800</v>
      </c>
      <c r="J443" s="11" t="s">
        <v>9799</v>
      </c>
      <c r="K443" s="11" t="s">
        <v>42</v>
      </c>
      <c r="L443" s="11" t="s">
        <v>56</v>
      </c>
      <c r="M443" s="9" t="s">
        <v>12142</v>
      </c>
    </row>
    <row r="444" spans="1:13" x14ac:dyDescent="0.25">
      <c r="A444" s="11">
        <v>492</v>
      </c>
      <c r="B444" s="12" t="s">
        <v>12118</v>
      </c>
      <c r="C444" s="12">
        <v>545</v>
      </c>
      <c r="D444" s="11" t="s">
        <v>4771</v>
      </c>
      <c r="E444" s="11" t="s">
        <v>522</v>
      </c>
      <c r="F444" s="11">
        <v>2023</v>
      </c>
      <c r="G444" s="11" t="s">
        <v>4773</v>
      </c>
      <c r="H444" s="11" t="str">
        <f>HYPERLINK("http://dx.doi.org/10.1215/00029831-10575035","http://dx.doi.org/10.1215/00029831-10575035")</f>
        <v>http://dx.doi.org/10.1215/00029831-10575035</v>
      </c>
      <c r="I444" s="11" t="s">
        <v>4775</v>
      </c>
      <c r="J444" s="11" t="s">
        <v>4774</v>
      </c>
      <c r="K444" s="11" t="s">
        <v>42</v>
      </c>
      <c r="L444" s="11" t="s">
        <v>56</v>
      </c>
      <c r="M444" s="10">
        <v>1</v>
      </c>
    </row>
    <row r="445" spans="1:13" x14ac:dyDescent="0.25">
      <c r="A445" s="11">
        <v>352</v>
      </c>
      <c r="B445" s="12" t="s">
        <v>12118</v>
      </c>
      <c r="C445" s="12">
        <v>393</v>
      </c>
      <c r="D445" s="11" t="s">
        <v>6145</v>
      </c>
      <c r="E445" s="11" t="s">
        <v>6147</v>
      </c>
      <c r="F445" s="11">
        <v>2023</v>
      </c>
      <c r="G445" s="11" t="s">
        <v>6148</v>
      </c>
      <c r="H445" s="11" t="str">
        <f>HYPERLINK("http://dx.doi.org/10.1145/3603269.3610856","http://dx.doi.org/10.1145/3603269.3610856")</f>
        <v>http://dx.doi.org/10.1145/3603269.3610856</v>
      </c>
      <c r="I445" s="11" t="s">
        <v>6154</v>
      </c>
      <c r="J445" s="11" t="s">
        <v>6153</v>
      </c>
      <c r="K445" s="11" t="s">
        <v>42</v>
      </c>
      <c r="L445" s="11" t="s">
        <v>5552</v>
      </c>
      <c r="M445" s="9" t="s">
        <v>12142</v>
      </c>
    </row>
    <row r="446" spans="1:13" x14ac:dyDescent="0.25">
      <c r="A446" s="11">
        <v>298</v>
      </c>
      <c r="B446" s="12" t="s">
        <v>12118</v>
      </c>
      <c r="C446" s="12">
        <v>331</v>
      </c>
      <c r="D446" s="11" t="s">
        <v>11607</v>
      </c>
      <c r="E446" s="11" t="s">
        <v>11609</v>
      </c>
      <c r="F446" s="11">
        <v>2018</v>
      </c>
      <c r="G446" s="11" t="s">
        <v>11610</v>
      </c>
      <c r="H446" s="11" t="str">
        <f>HYPERLINK("http://dx.doi.org/10.1016/j.postharvbio.2018.04.018","http://dx.doi.org/10.1016/j.postharvbio.2018.04.018")</f>
        <v>http://dx.doi.org/10.1016/j.postharvbio.2018.04.018</v>
      </c>
      <c r="I446" s="11" t="s">
        <v>11613</v>
      </c>
      <c r="J446" s="11" t="s">
        <v>11611</v>
      </c>
      <c r="K446" s="11" t="s">
        <v>42</v>
      </c>
      <c r="L446" s="11" t="s">
        <v>56</v>
      </c>
      <c r="M446" s="9" t="s">
        <v>12142</v>
      </c>
    </row>
    <row r="447" spans="1:13" x14ac:dyDescent="0.25">
      <c r="A447" s="12">
        <v>43</v>
      </c>
      <c r="B447" s="12" t="s">
        <v>12204</v>
      </c>
      <c r="C447" s="12">
        <v>143</v>
      </c>
      <c r="D447" s="13" t="s">
        <v>285</v>
      </c>
      <c r="E447" s="13" t="s">
        <v>286</v>
      </c>
      <c r="F447" s="13">
        <v>2024</v>
      </c>
      <c r="G447" s="13" t="s">
        <v>287</v>
      </c>
      <c r="H447" s="13" t="s">
        <v>288</v>
      </c>
      <c r="I447" s="13" t="s">
        <v>289</v>
      </c>
      <c r="J447" s="13" t="s">
        <v>290</v>
      </c>
      <c r="K447" s="12" t="s">
        <v>42</v>
      </c>
      <c r="L447" s="12" t="s">
        <v>56</v>
      </c>
      <c r="M447" s="10">
        <v>1</v>
      </c>
    </row>
    <row r="448" spans="1:13" x14ac:dyDescent="0.25">
      <c r="A448" s="11">
        <v>502</v>
      </c>
      <c r="B448" s="12" t="s">
        <v>12118</v>
      </c>
      <c r="C448" s="12">
        <v>557</v>
      </c>
      <c r="D448" s="11" t="s">
        <v>12076</v>
      </c>
      <c r="E448" s="11" t="s">
        <v>12078</v>
      </c>
      <c r="F448" s="11">
        <v>2018</v>
      </c>
      <c r="G448" s="11" t="s">
        <v>11438</v>
      </c>
      <c r="H448" s="11" t="str">
        <f>HYPERLINK("http://dx.doi.org/10.1007/s00227-017-3269-8","http://dx.doi.org/10.1007/s00227-017-3269-8")</f>
        <v>http://dx.doi.org/10.1007/s00227-017-3269-8</v>
      </c>
      <c r="I448" s="11" t="s">
        <v>12080</v>
      </c>
      <c r="J448" s="11" t="s">
        <v>1507</v>
      </c>
      <c r="K448" s="11" t="s">
        <v>42</v>
      </c>
      <c r="L448" s="11" t="s">
        <v>56</v>
      </c>
      <c r="M448" s="9" t="s">
        <v>12142</v>
      </c>
    </row>
    <row r="449" spans="1:13" x14ac:dyDescent="0.25">
      <c r="A449" s="11">
        <v>449</v>
      </c>
      <c r="B449" s="12" t="s">
        <v>12118</v>
      </c>
      <c r="C449" s="12">
        <v>502</v>
      </c>
      <c r="D449" s="11" t="s">
        <v>5412</v>
      </c>
      <c r="E449" s="11" t="s">
        <v>5414</v>
      </c>
      <c r="F449" s="11">
        <v>2023</v>
      </c>
      <c r="G449" s="11" t="s">
        <v>1999</v>
      </c>
      <c r="H449" s="11" t="str">
        <f>HYPERLINK("http://dx.doi.org/10.1371/journal.pone.0281581","http://dx.doi.org/10.1371/journal.pone.0281581")</f>
        <v>http://dx.doi.org/10.1371/journal.pone.0281581</v>
      </c>
      <c r="I449" s="11" t="s">
        <v>5415</v>
      </c>
      <c r="J449" s="11" t="s">
        <v>1507</v>
      </c>
      <c r="K449" s="11" t="s">
        <v>42</v>
      </c>
      <c r="L449" s="11" t="s">
        <v>56</v>
      </c>
      <c r="M449" s="9" t="s">
        <v>12142</v>
      </c>
    </row>
    <row r="450" spans="1:13" x14ac:dyDescent="0.25">
      <c r="A450" s="11">
        <v>597</v>
      </c>
      <c r="B450" s="12" t="s">
        <v>12118</v>
      </c>
      <c r="C450" s="12">
        <v>667</v>
      </c>
      <c r="D450" s="11" t="s">
        <v>4368</v>
      </c>
      <c r="E450" s="11" t="s">
        <v>4370</v>
      </c>
      <c r="F450" s="11">
        <v>2023</v>
      </c>
      <c r="G450" s="11" t="s">
        <v>4371</v>
      </c>
      <c r="H450" s="11" t="str">
        <f>HYPERLINK("http://dx.doi.org/10.1016/j.saa.2023.123170","http://dx.doi.org/10.1016/j.saa.2023.123170")</f>
        <v>http://dx.doi.org/10.1016/j.saa.2023.123170</v>
      </c>
      <c r="I450" s="11" t="s">
        <v>4374</v>
      </c>
      <c r="J450" s="11" t="s">
        <v>4372</v>
      </c>
      <c r="K450" s="11" t="s">
        <v>42</v>
      </c>
      <c r="L450" s="11" t="s">
        <v>56</v>
      </c>
      <c r="M450" s="9" t="s">
        <v>12142</v>
      </c>
    </row>
    <row r="451" spans="1:13" x14ac:dyDescent="0.25">
      <c r="A451" s="11">
        <v>555</v>
      </c>
      <c r="B451" s="12" t="s">
        <v>12118</v>
      </c>
      <c r="C451" s="12">
        <v>622</v>
      </c>
      <c r="D451" s="11" t="s">
        <v>7940</v>
      </c>
      <c r="E451" s="11" t="s">
        <v>7942</v>
      </c>
      <c r="F451" s="11">
        <v>2022</v>
      </c>
      <c r="G451" s="11" t="s">
        <v>7943</v>
      </c>
      <c r="H451" s="11" t="str">
        <f>HYPERLINK("http://dx.doi.org/10.1039/d1cp04076f","http://dx.doi.org/10.1039/d1cp04076f")</f>
        <v>http://dx.doi.org/10.1039/d1cp04076f</v>
      </c>
      <c r="I451" s="11" t="s">
        <v>7945</v>
      </c>
      <c r="J451" s="11" t="s">
        <v>1507</v>
      </c>
      <c r="K451" s="11" t="s">
        <v>42</v>
      </c>
      <c r="L451" s="11" t="s">
        <v>56</v>
      </c>
      <c r="M451" s="9" t="s">
        <v>12142</v>
      </c>
    </row>
    <row r="452" spans="1:13" x14ac:dyDescent="0.25">
      <c r="A452" s="11">
        <v>421</v>
      </c>
      <c r="B452" s="12" t="s">
        <v>12118</v>
      </c>
      <c r="C452" s="12">
        <v>467</v>
      </c>
      <c r="D452" s="11" t="s">
        <v>10929</v>
      </c>
      <c r="E452" s="11" t="s">
        <v>10931</v>
      </c>
      <c r="F452" s="11">
        <v>2019</v>
      </c>
      <c r="G452" s="11" t="s">
        <v>2502</v>
      </c>
      <c r="H452" s="11" t="str">
        <f>HYPERLINK("http://dx.doi.org/10.1186/s12909-019-1621-z","http://dx.doi.org/10.1186/s12909-019-1621-z")</f>
        <v>http://dx.doi.org/10.1186/s12909-019-1621-z</v>
      </c>
      <c r="I452" s="11" t="s">
        <v>10934</v>
      </c>
      <c r="J452" s="11" t="s">
        <v>10932</v>
      </c>
      <c r="K452" s="11" t="s">
        <v>42</v>
      </c>
      <c r="L452" s="11" t="s">
        <v>56</v>
      </c>
      <c r="M452" s="9" t="s">
        <v>12142</v>
      </c>
    </row>
    <row r="453" spans="1:13" x14ac:dyDescent="0.25">
      <c r="A453" s="11">
        <v>36</v>
      </c>
      <c r="B453" s="12" t="s">
        <v>12118</v>
      </c>
      <c r="C453" s="12">
        <v>36</v>
      </c>
      <c r="D453" s="11" t="s">
        <v>7579</v>
      </c>
      <c r="E453" s="11" t="s">
        <v>7581</v>
      </c>
      <c r="F453" s="11">
        <v>2022</v>
      </c>
      <c r="G453" s="11" t="s">
        <v>6825</v>
      </c>
      <c r="H453" s="11" t="str">
        <f>HYPERLINK("http://dx.doi.org/10.1186/s12889-022-12595-1","http://dx.doi.org/10.1186/s12889-022-12595-1")</f>
        <v>http://dx.doi.org/10.1186/s12889-022-12595-1</v>
      </c>
      <c r="I453" s="11" t="s">
        <v>7584</v>
      </c>
      <c r="J453" s="11" t="s">
        <v>7582</v>
      </c>
      <c r="K453" s="11" t="s">
        <v>42</v>
      </c>
      <c r="L453" s="11" t="s">
        <v>56</v>
      </c>
      <c r="M453" s="9" t="s">
        <v>12142</v>
      </c>
    </row>
    <row r="454" spans="1:13" x14ac:dyDescent="0.25">
      <c r="A454" s="11">
        <v>550</v>
      </c>
      <c r="B454" s="12" t="s">
        <v>12118</v>
      </c>
      <c r="C454" s="12">
        <v>616</v>
      </c>
      <c r="D454" s="11" t="s">
        <v>8663</v>
      </c>
      <c r="E454" s="11" t="s">
        <v>8665</v>
      </c>
      <c r="F454" s="11">
        <v>2021</v>
      </c>
      <c r="G454" s="11" t="s">
        <v>8666</v>
      </c>
      <c r="H454" s="11" t="str">
        <f>HYPERLINK("http://dx.doi.org/10.1172/jci.insight.147832","http://dx.doi.org/10.1172/jci.insight.147832")</f>
        <v>http://dx.doi.org/10.1172/jci.insight.147832</v>
      </c>
      <c r="I454" s="11" t="s">
        <v>8668</v>
      </c>
      <c r="J454" s="11" t="s">
        <v>1507</v>
      </c>
      <c r="K454" s="11" t="s">
        <v>42</v>
      </c>
      <c r="L454" s="11" t="s">
        <v>56</v>
      </c>
      <c r="M454" s="9" t="s">
        <v>12142</v>
      </c>
    </row>
    <row r="455" spans="1:13" x14ac:dyDescent="0.25">
      <c r="A455" s="12">
        <v>55</v>
      </c>
      <c r="B455" s="12" t="s">
        <v>12204</v>
      </c>
      <c r="C455" s="12">
        <v>194</v>
      </c>
      <c r="D455" s="12" t="s">
        <v>829</v>
      </c>
      <c r="E455" s="12" t="s">
        <v>830</v>
      </c>
      <c r="F455" s="12">
        <v>2018</v>
      </c>
      <c r="G455" s="12" t="s">
        <v>831</v>
      </c>
      <c r="H455" s="12" t="s">
        <v>832</v>
      </c>
      <c r="I455" s="12" t="s">
        <v>835</v>
      </c>
      <c r="J455" s="12" t="s">
        <v>836</v>
      </c>
      <c r="K455" s="12" t="s">
        <v>42</v>
      </c>
      <c r="L455" s="12" t="s">
        <v>56</v>
      </c>
      <c r="M455" s="9" t="s">
        <v>12142</v>
      </c>
    </row>
    <row r="456" spans="1:13" x14ac:dyDescent="0.25">
      <c r="A456" s="11">
        <v>126</v>
      </c>
      <c r="B456" s="12" t="s">
        <v>12118</v>
      </c>
      <c r="C456" s="12">
        <v>135</v>
      </c>
      <c r="D456" s="11" t="s">
        <v>10865</v>
      </c>
      <c r="E456" s="11" t="s">
        <v>10867</v>
      </c>
      <c r="F456" s="11">
        <v>2019</v>
      </c>
      <c r="G456" s="11" t="s">
        <v>10868</v>
      </c>
      <c r="H456" s="11" t="str">
        <f>HYPERLINK("http://dx.doi.org/10.1186/s13054-019-2505-7","http://dx.doi.org/10.1186/s13054-019-2505-7")</f>
        <v>http://dx.doi.org/10.1186/s13054-019-2505-7</v>
      </c>
      <c r="I456" s="11" t="s">
        <v>10871</v>
      </c>
      <c r="J456" s="11" t="s">
        <v>10869</v>
      </c>
      <c r="K456" s="11" t="s">
        <v>42</v>
      </c>
      <c r="L456" s="11" t="s">
        <v>56</v>
      </c>
      <c r="M456" s="9" t="s">
        <v>12142</v>
      </c>
    </row>
    <row r="457" spans="1:13" x14ac:dyDescent="0.25">
      <c r="A457" s="11">
        <v>330</v>
      </c>
      <c r="B457" s="12" t="s">
        <v>12118</v>
      </c>
      <c r="C457" s="12">
        <v>372</v>
      </c>
      <c r="D457" s="11" t="s">
        <v>15168</v>
      </c>
      <c r="E457" s="11" t="s">
        <v>15170</v>
      </c>
      <c r="F457" s="11">
        <v>2023</v>
      </c>
      <c r="G457" s="11" t="s">
        <v>15092</v>
      </c>
      <c r="H457" s="11" t="str">
        <f>HYPERLINK("http://dx.doi.org/10.1145/3583780.3615017","http://dx.doi.org/10.1145/3583780.3615017")</f>
        <v>http://dx.doi.org/10.1145/3583780.3615017</v>
      </c>
      <c r="I457" s="11" t="s">
        <v>15172</v>
      </c>
      <c r="J457" s="11" t="s">
        <v>15171</v>
      </c>
      <c r="K457" s="11" t="s">
        <v>42</v>
      </c>
      <c r="L457" s="11" t="s">
        <v>5552</v>
      </c>
      <c r="M457" s="9" t="s">
        <v>12142</v>
      </c>
    </row>
    <row r="458" spans="1:13" x14ac:dyDescent="0.25">
      <c r="A458" s="12">
        <v>48</v>
      </c>
      <c r="B458" s="12" t="s">
        <v>12204</v>
      </c>
      <c r="C458" s="12">
        <v>173</v>
      </c>
      <c r="D458" s="12" t="s">
        <v>12399</v>
      </c>
      <c r="E458" s="12" t="s">
        <v>1319</v>
      </c>
      <c r="F458" s="12">
        <v>2023</v>
      </c>
      <c r="G458" s="12" t="s">
        <v>797</v>
      </c>
      <c r="H458" s="12" t="s">
        <v>1320</v>
      </c>
      <c r="I458" s="12" t="s">
        <v>1323</v>
      </c>
      <c r="J458" s="12" t="s">
        <v>1324</v>
      </c>
      <c r="K458" s="12" t="s">
        <v>42</v>
      </c>
      <c r="L458" s="12" t="s">
        <v>56</v>
      </c>
      <c r="M458" s="10">
        <v>1</v>
      </c>
    </row>
    <row r="459" spans="1:13" x14ac:dyDescent="0.25">
      <c r="A459" s="11">
        <v>174</v>
      </c>
      <c r="B459" s="12" t="s">
        <v>12118</v>
      </c>
      <c r="C459" s="12">
        <v>189</v>
      </c>
      <c r="D459" s="11" t="s">
        <v>14961</v>
      </c>
      <c r="E459" s="11" t="s">
        <v>14964</v>
      </c>
      <c r="F459" s="11">
        <v>2023</v>
      </c>
      <c r="G459" s="11" t="s">
        <v>14965</v>
      </c>
      <c r="H459" s="11" t="str">
        <f>HYPERLINK("http://dx.doi.org/10.1007/978-981-99-8385-8_14","http://dx.doi.org/10.1007/978-981-99-8385-8_14")</f>
        <v>http://dx.doi.org/10.1007/978-981-99-8385-8_14</v>
      </c>
      <c r="I459" s="11" t="s">
        <v>14971</v>
      </c>
      <c r="J459" s="11" t="s">
        <v>14970</v>
      </c>
      <c r="K459" s="11" t="s">
        <v>42</v>
      </c>
      <c r="L459" s="11" t="s">
        <v>5552</v>
      </c>
      <c r="M459" s="9">
        <v>1</v>
      </c>
    </row>
    <row r="460" spans="1:13" x14ac:dyDescent="0.25">
      <c r="A460" s="11">
        <v>229</v>
      </c>
      <c r="B460" s="12" t="s">
        <v>12118</v>
      </c>
      <c r="C460" s="12">
        <v>252</v>
      </c>
      <c r="D460" s="11" t="s">
        <v>3940</v>
      </c>
      <c r="E460" s="11" t="s">
        <v>3942</v>
      </c>
      <c r="F460" s="11">
        <v>2023</v>
      </c>
      <c r="G460" s="11" t="s">
        <v>2982</v>
      </c>
      <c r="H460" s="11" t="str">
        <f>HYPERLINK("http://dx.doi.org/10.1007/s00146-023-01752-8","http://dx.doi.org/10.1007/s00146-023-01752-8")</f>
        <v>http://dx.doi.org/10.1007/s00146-023-01752-8</v>
      </c>
      <c r="I460" s="11" t="s">
        <v>3944</v>
      </c>
      <c r="J460" s="11" t="s">
        <v>3943</v>
      </c>
      <c r="K460" s="11" t="s">
        <v>42</v>
      </c>
      <c r="L460" s="11" t="s">
        <v>1509</v>
      </c>
      <c r="M460" s="9" t="s">
        <v>12142</v>
      </c>
    </row>
    <row r="461" spans="1:13" x14ac:dyDescent="0.25">
      <c r="A461" s="11">
        <v>187</v>
      </c>
      <c r="B461" s="12" t="s">
        <v>12118</v>
      </c>
      <c r="C461" s="12">
        <v>202</v>
      </c>
      <c r="D461" s="11" t="s">
        <v>10694</v>
      </c>
      <c r="E461" s="11" t="s">
        <v>10696</v>
      </c>
      <c r="F461" s="11">
        <v>2019</v>
      </c>
      <c r="G461" s="11" t="s">
        <v>2324</v>
      </c>
      <c r="H461" s="11" t="s">
        <v>1507</v>
      </c>
      <c r="I461" s="11" t="s">
        <v>10698</v>
      </c>
      <c r="J461" s="11" t="s">
        <v>1507</v>
      </c>
      <c r="K461" s="11" t="s">
        <v>42</v>
      </c>
      <c r="L461" s="11" t="s">
        <v>56</v>
      </c>
      <c r="M461" s="9" t="s">
        <v>12142</v>
      </c>
    </row>
    <row r="462" spans="1:13" x14ac:dyDescent="0.25">
      <c r="A462" s="12">
        <v>152</v>
      </c>
      <c r="B462" s="12" t="s">
        <v>12204</v>
      </c>
      <c r="C462" s="12">
        <v>568</v>
      </c>
      <c r="D462" s="12" t="s">
        <v>12921</v>
      </c>
      <c r="E462" s="12" t="s">
        <v>256</v>
      </c>
      <c r="F462" s="12">
        <v>2023</v>
      </c>
      <c r="G462" s="12" t="s">
        <v>257</v>
      </c>
      <c r="H462" s="12" t="s">
        <v>258</v>
      </c>
      <c r="I462" s="12" t="s">
        <v>261</v>
      </c>
      <c r="J462" s="12" t="s">
        <v>262</v>
      </c>
      <c r="K462" s="12" t="s">
        <v>42</v>
      </c>
      <c r="L462" s="12" t="s">
        <v>12252</v>
      </c>
      <c r="M462" s="9" t="s">
        <v>12142</v>
      </c>
    </row>
    <row r="463" spans="1:13" x14ac:dyDescent="0.25">
      <c r="A463" s="11">
        <v>453</v>
      </c>
      <c r="B463" s="12" t="s">
        <v>12118</v>
      </c>
      <c r="C463" s="12">
        <v>506</v>
      </c>
      <c r="D463" s="11" t="s">
        <v>13917</v>
      </c>
      <c r="E463" s="11" t="s">
        <v>13651</v>
      </c>
      <c r="F463" s="11">
        <v>2023</v>
      </c>
      <c r="G463" s="11" t="s">
        <v>13919</v>
      </c>
      <c r="H463" s="11" t="str">
        <f>HYPERLINK("http://dx.doi.org/10.2519/jospt.2023.12000","http://dx.doi.org/10.2519/jospt.2023.12000")</f>
        <v>http://dx.doi.org/10.2519/jospt.2023.12000</v>
      </c>
      <c r="I463" s="11" t="s">
        <v>13920</v>
      </c>
      <c r="J463" s="11" t="s">
        <v>13644</v>
      </c>
      <c r="K463" s="11" t="s">
        <v>42</v>
      </c>
      <c r="L463" s="11" t="s">
        <v>56</v>
      </c>
      <c r="M463" s="9" t="s">
        <v>12142</v>
      </c>
    </row>
    <row r="464" spans="1:13" x14ac:dyDescent="0.25">
      <c r="A464" s="12">
        <v>110</v>
      </c>
      <c r="B464" s="12" t="s">
        <v>12204</v>
      </c>
      <c r="C464" s="12">
        <v>383</v>
      </c>
      <c r="D464" s="12" t="s">
        <v>12725</v>
      </c>
      <c r="E464" s="12" t="s">
        <v>806</v>
      </c>
      <c r="F464" s="12">
        <v>2023</v>
      </c>
      <c r="G464" s="12" t="s">
        <v>807</v>
      </c>
      <c r="H464" s="12" t="s">
        <v>809</v>
      </c>
      <c r="I464" s="12" t="s">
        <v>812</v>
      </c>
      <c r="J464" s="12" t="s">
        <v>813</v>
      </c>
      <c r="K464" s="12" t="s">
        <v>42</v>
      </c>
      <c r="L464" s="12" t="s">
        <v>12252</v>
      </c>
      <c r="M464" s="10">
        <v>1</v>
      </c>
    </row>
    <row r="465" spans="1:13" x14ac:dyDescent="0.25">
      <c r="A465" s="11">
        <v>480</v>
      </c>
      <c r="B465" s="12" t="s">
        <v>12118</v>
      </c>
      <c r="C465" s="12">
        <v>533</v>
      </c>
      <c r="D465" s="11" t="s">
        <v>9598</v>
      </c>
      <c r="E465" s="11" t="s">
        <v>9600</v>
      </c>
      <c r="F465" s="11">
        <v>2020</v>
      </c>
      <c r="G465" s="11" t="s">
        <v>8155</v>
      </c>
      <c r="H465" s="11" t="str">
        <f>HYPERLINK("http://dx.doi.org/10.1016/j.psyneuen.2020.104733","http://dx.doi.org/10.1016/j.psyneuen.2020.104733")</f>
        <v>http://dx.doi.org/10.1016/j.psyneuen.2020.104733</v>
      </c>
      <c r="I465" s="11" t="s">
        <v>9603</v>
      </c>
      <c r="J465" s="11" t="s">
        <v>9601</v>
      </c>
      <c r="K465" s="11" t="s">
        <v>42</v>
      </c>
      <c r="L465" s="11" t="s">
        <v>56</v>
      </c>
      <c r="M465" s="9" t="s">
        <v>12142</v>
      </c>
    </row>
    <row r="466" spans="1:13" x14ac:dyDescent="0.25">
      <c r="A466" s="11">
        <v>525</v>
      </c>
      <c r="B466" s="12" t="s">
        <v>12118</v>
      </c>
      <c r="C466" s="12">
        <v>583</v>
      </c>
      <c r="D466" s="11" t="s">
        <v>6889</v>
      </c>
      <c r="E466" s="11" t="s">
        <v>6891</v>
      </c>
      <c r="F466" s="11">
        <v>2022</v>
      </c>
      <c r="G466" s="11" t="s">
        <v>6892</v>
      </c>
      <c r="H466" s="11" t="str">
        <f>HYPERLINK("http://dx.doi.org/10.1021/acs.est.2c01973","http://dx.doi.org/10.1021/acs.est.2c01973")</f>
        <v>http://dx.doi.org/10.1021/acs.est.2c01973</v>
      </c>
      <c r="I466" s="11" t="s">
        <v>6895</v>
      </c>
      <c r="J466" s="11" t="s">
        <v>6893</v>
      </c>
      <c r="K466" s="11" t="s">
        <v>42</v>
      </c>
      <c r="L466" s="11" t="s">
        <v>56</v>
      </c>
      <c r="M466" s="9" t="s">
        <v>12142</v>
      </c>
    </row>
    <row r="467" spans="1:13" x14ac:dyDescent="0.25">
      <c r="A467" s="11">
        <v>607</v>
      </c>
      <c r="B467" s="12" t="s">
        <v>12118</v>
      </c>
      <c r="C467" s="12">
        <v>677</v>
      </c>
      <c r="D467" s="11" t="s">
        <v>8352</v>
      </c>
      <c r="E467" s="11" t="s">
        <v>8354</v>
      </c>
      <c r="F467" s="11">
        <v>2021</v>
      </c>
      <c r="G467" s="11" t="s">
        <v>4793</v>
      </c>
      <c r="H467" s="11" t="str">
        <f>HYPERLINK("http://dx.doi.org/10.4337/qmjip.2021.03.05","http://dx.doi.org/10.4337/qmjip.2021.03.05")</f>
        <v>http://dx.doi.org/10.4337/qmjip.2021.03.05</v>
      </c>
      <c r="I467" s="11" t="s">
        <v>8356</v>
      </c>
      <c r="J467" s="11" t="s">
        <v>8355</v>
      </c>
      <c r="K467" s="11" t="s">
        <v>42</v>
      </c>
      <c r="L467" s="11" t="s">
        <v>56</v>
      </c>
      <c r="M467" s="9" t="s">
        <v>12142</v>
      </c>
    </row>
    <row r="468" spans="1:13" x14ac:dyDescent="0.25">
      <c r="A468" s="11">
        <v>200</v>
      </c>
      <c r="B468" s="12" t="s">
        <v>12118</v>
      </c>
      <c r="C468" s="12">
        <v>218</v>
      </c>
      <c r="D468" s="11" t="s">
        <v>10492</v>
      </c>
      <c r="E468" s="11" t="s">
        <v>10494</v>
      </c>
      <c r="F468" s="11">
        <v>2019</v>
      </c>
      <c r="G468" s="11" t="s">
        <v>7943</v>
      </c>
      <c r="H468" s="11" t="str">
        <f>HYPERLINK("http://dx.doi.org/10.1039/c9cp04032c","http://dx.doi.org/10.1039/c9cp04032c")</f>
        <v>http://dx.doi.org/10.1039/c9cp04032c</v>
      </c>
      <c r="I468" s="11" t="s">
        <v>10496</v>
      </c>
      <c r="J468" s="11" t="s">
        <v>1507</v>
      </c>
      <c r="K468" s="11" t="s">
        <v>42</v>
      </c>
      <c r="L468" s="11" t="s">
        <v>56</v>
      </c>
      <c r="M468" s="9" t="s">
        <v>12142</v>
      </c>
    </row>
    <row r="469" spans="1:13" x14ac:dyDescent="0.25">
      <c r="A469" s="11">
        <v>152</v>
      </c>
      <c r="B469" s="12" t="s">
        <v>12118</v>
      </c>
      <c r="C469" s="12">
        <v>161</v>
      </c>
      <c r="D469" s="11" t="s">
        <v>11947</v>
      </c>
      <c r="E469" s="11" t="s">
        <v>11949</v>
      </c>
      <c r="F469" s="11">
        <v>2018</v>
      </c>
      <c r="G469" s="11" t="s">
        <v>11950</v>
      </c>
      <c r="H469" s="11" t="str">
        <f>HYPERLINK("http://dx.doi.org/10.1590/1678-4499.2016307","http://dx.doi.org/10.1590/1678-4499.2016307")</f>
        <v>http://dx.doi.org/10.1590/1678-4499.2016307</v>
      </c>
      <c r="I469" s="11" t="s">
        <v>11953</v>
      </c>
      <c r="J469" s="11" t="s">
        <v>11951</v>
      </c>
      <c r="K469" s="11" t="s">
        <v>42</v>
      </c>
      <c r="L469" s="11" t="s">
        <v>56</v>
      </c>
      <c r="M469" s="9" t="s">
        <v>12142</v>
      </c>
    </row>
    <row r="470" spans="1:13" x14ac:dyDescent="0.25">
      <c r="A470" s="11">
        <v>195</v>
      </c>
      <c r="B470" s="12" t="s">
        <v>12118</v>
      </c>
      <c r="C470" s="12">
        <v>212</v>
      </c>
      <c r="D470" s="11" t="s">
        <v>8900</v>
      </c>
      <c r="E470" s="11" t="s">
        <v>8902</v>
      </c>
      <c r="F470" s="11">
        <v>2021</v>
      </c>
      <c r="G470" s="11" t="s">
        <v>8903</v>
      </c>
      <c r="H470" s="11" t="str">
        <f>HYPERLINK("http://dx.doi.org/10.1021/acsnano.0c10897","http://dx.doi.org/10.1021/acsnano.0c10897")</f>
        <v>http://dx.doi.org/10.1021/acsnano.0c10897</v>
      </c>
      <c r="I470" s="11" t="s">
        <v>8906</v>
      </c>
      <c r="J470" s="11" t="s">
        <v>8904</v>
      </c>
      <c r="K470" s="11" t="s">
        <v>42</v>
      </c>
      <c r="L470" s="11" t="s">
        <v>56</v>
      </c>
      <c r="M470" s="9" t="s">
        <v>12142</v>
      </c>
    </row>
    <row r="471" spans="1:13" x14ac:dyDescent="0.25">
      <c r="A471" s="11">
        <v>616</v>
      </c>
      <c r="B471" s="12" t="s">
        <v>12118</v>
      </c>
      <c r="C471" s="12">
        <v>685</v>
      </c>
      <c r="D471" s="11" t="s">
        <v>7138</v>
      </c>
      <c r="E471" s="11" t="s">
        <v>7140</v>
      </c>
      <c r="F471" s="11">
        <v>2022</v>
      </c>
      <c r="G471" s="11" t="s">
        <v>7141</v>
      </c>
      <c r="H471" s="11" t="str">
        <f>HYPERLINK("http://dx.doi.org/10.1016/j.scitotenv.2022.157121","http://dx.doi.org/10.1016/j.scitotenv.2022.157121")</f>
        <v>http://dx.doi.org/10.1016/j.scitotenv.2022.157121</v>
      </c>
      <c r="I471" s="11" t="s">
        <v>7144</v>
      </c>
      <c r="J471" s="11" t="s">
        <v>7142</v>
      </c>
      <c r="K471" s="11" t="s">
        <v>42</v>
      </c>
      <c r="L471" s="11" t="s">
        <v>56</v>
      </c>
      <c r="M471" s="9" t="s">
        <v>12142</v>
      </c>
    </row>
    <row r="472" spans="1:13" x14ac:dyDescent="0.25">
      <c r="A472" s="11">
        <v>465</v>
      </c>
      <c r="B472" s="12" t="s">
        <v>12118</v>
      </c>
      <c r="C472" s="12">
        <v>516</v>
      </c>
      <c r="D472" s="11" t="s">
        <v>6803</v>
      </c>
      <c r="E472" s="11" t="s">
        <v>6805</v>
      </c>
      <c r="F472" s="11">
        <v>2022</v>
      </c>
      <c r="G472" s="11" t="s">
        <v>3251</v>
      </c>
      <c r="H472" s="11" t="str">
        <f>HYPERLINK("http://dx.doi.org/10.1073/pnas.2211715119","http://dx.doi.org/10.1073/pnas.2211715119")</f>
        <v>http://dx.doi.org/10.1073/pnas.2211715119</v>
      </c>
      <c r="I472" s="11" t="s">
        <v>6808</v>
      </c>
      <c r="J472" s="11" t="s">
        <v>6806</v>
      </c>
      <c r="K472" s="11" t="s">
        <v>42</v>
      </c>
      <c r="L472" s="11" t="s">
        <v>56</v>
      </c>
      <c r="M472" s="9" t="s">
        <v>12142</v>
      </c>
    </row>
    <row r="473" spans="1:13" x14ac:dyDescent="0.25">
      <c r="A473" s="11">
        <v>500</v>
      </c>
      <c r="B473" s="12" t="s">
        <v>12118</v>
      </c>
      <c r="C473" s="12">
        <v>554</v>
      </c>
      <c r="D473" s="11" t="s">
        <v>8019</v>
      </c>
      <c r="E473" s="11" t="s">
        <v>8021</v>
      </c>
      <c r="F473" s="11">
        <v>2021</v>
      </c>
      <c r="G473" s="11" t="s">
        <v>8022</v>
      </c>
      <c r="H473" s="11" t="str">
        <f>HYPERLINK("http://dx.doi.org/10.1186/s13148-021-01171-w","http://dx.doi.org/10.1186/s13148-021-01171-w")</f>
        <v>http://dx.doi.org/10.1186/s13148-021-01171-w</v>
      </c>
      <c r="I473" s="11" t="s">
        <v>8024</v>
      </c>
      <c r="J473" s="11" t="s">
        <v>1507</v>
      </c>
      <c r="K473" s="11" t="s">
        <v>42</v>
      </c>
      <c r="L473" s="11" t="s">
        <v>56</v>
      </c>
      <c r="M473" s="9" t="s">
        <v>12142</v>
      </c>
    </row>
    <row r="474" spans="1:13" x14ac:dyDescent="0.25">
      <c r="A474" s="12">
        <v>139</v>
      </c>
      <c r="B474" s="12" t="s">
        <v>12204</v>
      </c>
      <c r="C474" s="12">
        <v>496</v>
      </c>
      <c r="D474" s="12" t="s">
        <v>13525</v>
      </c>
      <c r="E474" s="12" t="s">
        <v>590</v>
      </c>
      <c r="F474" s="12">
        <v>2023</v>
      </c>
      <c r="G474" s="12" t="s">
        <v>591</v>
      </c>
      <c r="H474" s="12" t="s">
        <v>592</v>
      </c>
      <c r="I474" s="12" t="s">
        <v>595</v>
      </c>
      <c r="J474" s="12" t="s">
        <v>596</v>
      </c>
      <c r="K474" s="12" t="s">
        <v>42</v>
      </c>
      <c r="L474" s="12" t="s">
        <v>12252</v>
      </c>
      <c r="M474" s="10">
        <v>1</v>
      </c>
    </row>
    <row r="475" spans="1:13" x14ac:dyDescent="0.25">
      <c r="A475" s="11">
        <v>303</v>
      </c>
      <c r="B475" s="12" t="s">
        <v>12118</v>
      </c>
      <c r="C475" s="12">
        <v>337</v>
      </c>
      <c r="D475" s="11" t="s">
        <v>6780</v>
      </c>
      <c r="E475" s="11" t="s">
        <v>6782</v>
      </c>
      <c r="F475" s="11">
        <v>2022</v>
      </c>
      <c r="G475" s="11" t="s">
        <v>6783</v>
      </c>
      <c r="H475" s="11" t="str">
        <f>HYPERLINK("http://dx.doi.org/10.1021/acs.analchem.2c03972","http://dx.doi.org/10.1021/acs.analchem.2c03972")</f>
        <v>http://dx.doi.org/10.1021/acs.analchem.2c03972</v>
      </c>
      <c r="I475" s="11" t="s">
        <v>6785</v>
      </c>
      <c r="J475" s="11" t="s">
        <v>1507</v>
      </c>
      <c r="K475" s="11" t="s">
        <v>42</v>
      </c>
      <c r="L475" s="11" t="s">
        <v>1509</v>
      </c>
      <c r="M475" s="9" t="s">
        <v>12142</v>
      </c>
    </row>
    <row r="476" spans="1:13" x14ac:dyDescent="0.25">
      <c r="A476" s="11">
        <v>476</v>
      </c>
      <c r="B476" s="12" t="s">
        <v>12118</v>
      </c>
      <c r="C476" s="12">
        <v>529</v>
      </c>
      <c r="D476" s="11" t="s">
        <v>8990</v>
      </c>
      <c r="E476" s="11" t="s">
        <v>8992</v>
      </c>
      <c r="F476" s="11">
        <v>2021</v>
      </c>
      <c r="G476" s="11" t="s">
        <v>7964</v>
      </c>
      <c r="H476" s="11" t="str">
        <f>HYPERLINK("http://dx.doi.org/10.1016/j.chemosphere.2021.129928","http://dx.doi.org/10.1016/j.chemosphere.2021.129928")</f>
        <v>http://dx.doi.org/10.1016/j.chemosphere.2021.129928</v>
      </c>
      <c r="I476" s="11" t="s">
        <v>8995</v>
      </c>
      <c r="J476" s="11" t="s">
        <v>8993</v>
      </c>
      <c r="K476" s="11" t="s">
        <v>42</v>
      </c>
      <c r="L476" s="11" t="s">
        <v>56</v>
      </c>
      <c r="M476" s="9" t="s">
        <v>12142</v>
      </c>
    </row>
    <row r="477" spans="1:13" x14ac:dyDescent="0.25">
      <c r="A477" s="11">
        <v>395</v>
      </c>
      <c r="B477" s="12" t="s">
        <v>12118</v>
      </c>
      <c r="C477" s="12">
        <v>438</v>
      </c>
      <c r="D477" s="11" t="s">
        <v>9836</v>
      </c>
      <c r="E477" s="11" t="s">
        <v>9838</v>
      </c>
      <c r="F477" s="11">
        <v>2020</v>
      </c>
      <c r="G477" s="11" t="s">
        <v>9839</v>
      </c>
      <c r="H477" s="11" t="s">
        <v>1507</v>
      </c>
      <c r="I477" s="11" t="s">
        <v>9842</v>
      </c>
      <c r="J477" s="11" t="s">
        <v>9840</v>
      </c>
      <c r="K477" s="11" t="s">
        <v>42</v>
      </c>
      <c r="L477" s="11" t="s">
        <v>56</v>
      </c>
      <c r="M477" s="9" t="s">
        <v>12142</v>
      </c>
    </row>
    <row r="478" spans="1:13" x14ac:dyDescent="0.25">
      <c r="A478" s="11">
        <v>104</v>
      </c>
      <c r="B478" s="12" t="s">
        <v>12118</v>
      </c>
      <c r="C478" s="12">
        <v>106</v>
      </c>
      <c r="D478" s="11" t="s">
        <v>5674</v>
      </c>
      <c r="E478" s="11" t="s">
        <v>5676</v>
      </c>
      <c r="F478" s="11">
        <v>2023</v>
      </c>
      <c r="G478" s="11" t="s">
        <v>5677</v>
      </c>
      <c r="H478" s="11" t="str">
        <f>HYPERLINK("http://dx.doi.org/10.1145/3604930.3605705","http://dx.doi.org/10.1145/3604930.3605705")</f>
        <v>http://dx.doi.org/10.1145/3604930.3605705</v>
      </c>
      <c r="I478" s="11" t="s">
        <v>5684</v>
      </c>
      <c r="J478" s="11" t="s">
        <v>5683</v>
      </c>
      <c r="K478" s="11" t="s">
        <v>42</v>
      </c>
      <c r="L478" s="11" t="s">
        <v>5552</v>
      </c>
      <c r="M478" s="9" t="s">
        <v>12142</v>
      </c>
    </row>
    <row r="479" spans="1:13" x14ac:dyDescent="0.25">
      <c r="A479" s="11">
        <v>134</v>
      </c>
      <c r="B479" s="12" t="s">
        <v>12118</v>
      </c>
      <c r="C479" s="12">
        <v>142</v>
      </c>
      <c r="D479" s="11" t="s">
        <v>7158</v>
      </c>
      <c r="E479" s="11" t="s">
        <v>7160</v>
      </c>
      <c r="F479" s="11">
        <v>2022</v>
      </c>
      <c r="G479" s="11" t="s">
        <v>2324</v>
      </c>
      <c r="H479" s="11" t="s">
        <v>1507</v>
      </c>
      <c r="I479" s="11" t="s">
        <v>7162</v>
      </c>
      <c r="J479" s="11" t="s">
        <v>1507</v>
      </c>
      <c r="K479" s="11" t="s">
        <v>42</v>
      </c>
      <c r="L479" s="11" t="s">
        <v>56</v>
      </c>
      <c r="M479" s="9" t="s">
        <v>12142</v>
      </c>
    </row>
    <row r="480" spans="1:13" x14ac:dyDescent="0.25">
      <c r="A480" s="11">
        <v>546</v>
      </c>
      <c r="B480" s="12" t="s">
        <v>12118</v>
      </c>
      <c r="C480" s="12">
        <v>611</v>
      </c>
      <c r="D480" s="11" t="s">
        <v>10790</v>
      </c>
      <c r="E480" s="11" t="s">
        <v>10792</v>
      </c>
      <c r="F480" s="11">
        <v>2019</v>
      </c>
      <c r="G480" s="11" t="s">
        <v>10793</v>
      </c>
      <c r="H480" s="11" t="str">
        <f>HYPERLINK("http://dx.doi.org/10.21577/0103-5053.20190083","http://dx.doi.org/10.21577/0103-5053.20190083")</f>
        <v>http://dx.doi.org/10.21577/0103-5053.20190083</v>
      </c>
      <c r="I480" s="11" t="s">
        <v>10796</v>
      </c>
      <c r="J480" s="11" t="s">
        <v>10794</v>
      </c>
      <c r="K480" s="11" t="s">
        <v>42</v>
      </c>
      <c r="L480" s="11" t="s">
        <v>56</v>
      </c>
      <c r="M480" s="9" t="s">
        <v>12142</v>
      </c>
    </row>
    <row r="481" spans="1:13" x14ac:dyDescent="0.25">
      <c r="A481" s="11">
        <v>257</v>
      </c>
      <c r="B481" s="12" t="s">
        <v>12118</v>
      </c>
      <c r="C481" s="12">
        <v>284</v>
      </c>
      <c r="D481" s="11" t="s">
        <v>4739</v>
      </c>
      <c r="E481" s="11" t="s">
        <v>4741</v>
      </c>
      <c r="F481" s="11">
        <v>2023</v>
      </c>
      <c r="G481" s="11" t="s">
        <v>4742</v>
      </c>
      <c r="H481" s="11" t="str">
        <f>HYPERLINK("http://dx.doi.org/10.3201/eid2906.221680","http://dx.doi.org/10.3201/eid2906.221680")</f>
        <v>http://dx.doi.org/10.3201/eid2906.221680</v>
      </c>
      <c r="I481" s="11" t="s">
        <v>1507</v>
      </c>
      <c r="J481" s="11" t="s">
        <v>1507</v>
      </c>
      <c r="K481" s="11" t="s">
        <v>42</v>
      </c>
      <c r="L481" s="11" t="s">
        <v>56</v>
      </c>
      <c r="M481" s="9" t="s">
        <v>12142</v>
      </c>
    </row>
    <row r="482" spans="1:13" x14ac:dyDescent="0.25">
      <c r="A482" s="11">
        <v>258</v>
      </c>
      <c r="B482" s="12" t="s">
        <v>12118</v>
      </c>
      <c r="C482" s="12">
        <v>285</v>
      </c>
      <c r="D482" s="11" t="s">
        <v>7055</v>
      </c>
      <c r="E482" s="11" t="s">
        <v>7057</v>
      </c>
      <c r="F482" s="11">
        <v>2022</v>
      </c>
      <c r="G482" s="11" t="s">
        <v>7058</v>
      </c>
      <c r="H482" s="11" t="str">
        <f>HYPERLINK("http://dx.doi.org/10.1016/j.ebiom.2022.104232","http://dx.doi.org/10.1016/j.ebiom.2022.104232")</f>
        <v>http://dx.doi.org/10.1016/j.ebiom.2022.104232</v>
      </c>
      <c r="I482" s="11" t="s">
        <v>7060</v>
      </c>
      <c r="J482" s="11" t="s">
        <v>7059</v>
      </c>
      <c r="K482" s="11" t="s">
        <v>42</v>
      </c>
      <c r="L482" s="11" t="s">
        <v>56</v>
      </c>
      <c r="M482" s="9" t="s">
        <v>12142</v>
      </c>
    </row>
    <row r="483" spans="1:13" x14ac:dyDescent="0.25">
      <c r="A483" s="11">
        <v>511</v>
      </c>
      <c r="B483" s="12" t="s">
        <v>12118</v>
      </c>
      <c r="C483" s="12">
        <v>565</v>
      </c>
      <c r="D483" s="11" t="s">
        <v>8407</v>
      </c>
      <c r="E483" s="11" t="s">
        <v>8409</v>
      </c>
      <c r="F483" s="11">
        <v>2021</v>
      </c>
      <c r="G483" s="11" t="s">
        <v>8410</v>
      </c>
      <c r="H483" s="11" t="str">
        <f>HYPERLINK("http://dx.doi.org/10.1063/4.0000087","http://dx.doi.org/10.1063/4.0000087")</f>
        <v>http://dx.doi.org/10.1063/4.0000087</v>
      </c>
      <c r="I483" s="11" t="s">
        <v>8412</v>
      </c>
      <c r="J483" s="11" t="s">
        <v>1507</v>
      </c>
      <c r="K483" s="11" t="s">
        <v>42</v>
      </c>
      <c r="L483" s="11" t="s">
        <v>56</v>
      </c>
      <c r="M483" s="9" t="s">
        <v>12142</v>
      </c>
    </row>
    <row r="484" spans="1:13" x14ac:dyDescent="0.25">
      <c r="A484" s="11">
        <v>579</v>
      </c>
      <c r="B484" s="12" t="s">
        <v>12118</v>
      </c>
      <c r="C484" s="12">
        <v>647</v>
      </c>
      <c r="D484" s="11" t="s">
        <v>8604</v>
      </c>
      <c r="E484" s="11" t="s">
        <v>8606</v>
      </c>
      <c r="F484" s="11">
        <v>2023</v>
      </c>
      <c r="G484" s="11" t="s">
        <v>1508</v>
      </c>
      <c r="H484" s="11" t="str">
        <f>HYPERLINK("http://dx.doi.org/10.1007/s12144-021-01836-y","http://dx.doi.org/10.1007/s12144-021-01836-y")</f>
        <v>http://dx.doi.org/10.1007/s12144-021-01836-y</v>
      </c>
      <c r="I484" s="11" t="s">
        <v>8609</v>
      </c>
      <c r="J484" s="11" t="s">
        <v>8607</v>
      </c>
      <c r="K484" s="11" t="s">
        <v>42</v>
      </c>
      <c r="L484" s="11" t="s">
        <v>56</v>
      </c>
      <c r="M484" s="9" t="s">
        <v>12142</v>
      </c>
    </row>
    <row r="485" spans="1:13" x14ac:dyDescent="0.25">
      <c r="A485" s="11">
        <v>207</v>
      </c>
      <c r="B485" s="12" t="s">
        <v>12118</v>
      </c>
      <c r="C485" s="12">
        <v>227</v>
      </c>
      <c r="D485" s="11" t="s">
        <v>5883</v>
      </c>
      <c r="E485" s="11" t="s">
        <v>5886</v>
      </c>
      <c r="F485" s="11">
        <v>2023</v>
      </c>
      <c r="G485" s="11" t="s">
        <v>5887</v>
      </c>
      <c r="H485" s="11" t="s">
        <v>1507</v>
      </c>
      <c r="I485" s="11" t="s">
        <v>1507</v>
      </c>
      <c r="J485" s="11" t="s">
        <v>1507</v>
      </c>
      <c r="K485" s="11" t="s">
        <v>42</v>
      </c>
      <c r="L485" s="11" t="s">
        <v>5888</v>
      </c>
      <c r="M485" s="9" t="s">
        <v>12142</v>
      </c>
    </row>
    <row r="486" spans="1:13" x14ac:dyDescent="0.25">
      <c r="A486" s="12">
        <v>155</v>
      </c>
      <c r="B486" s="12" t="s">
        <v>12204</v>
      </c>
      <c r="C486" s="12">
        <v>578</v>
      </c>
      <c r="D486" s="12" t="s">
        <v>12768</v>
      </c>
      <c r="E486" s="12" t="s">
        <v>81</v>
      </c>
      <c r="F486" s="12">
        <v>2023</v>
      </c>
      <c r="G486" s="12" t="s">
        <v>82</v>
      </c>
      <c r="H486" s="12" t="s">
        <v>83</v>
      </c>
      <c r="I486" s="12" t="s">
        <v>86</v>
      </c>
      <c r="K486" s="12" t="s">
        <v>42</v>
      </c>
      <c r="L486" s="12" t="s">
        <v>12252</v>
      </c>
      <c r="M486" s="10">
        <v>1</v>
      </c>
    </row>
    <row r="487" spans="1:13" x14ac:dyDescent="0.25">
      <c r="A487" s="11">
        <v>583</v>
      </c>
      <c r="B487" s="12" t="s">
        <v>12118</v>
      </c>
      <c r="C487" s="12">
        <v>652</v>
      </c>
      <c r="D487" s="11" t="s">
        <v>7019</v>
      </c>
      <c r="E487" s="11" t="s">
        <v>7021</v>
      </c>
      <c r="F487" s="11">
        <v>2022</v>
      </c>
      <c r="G487" s="11" t="s">
        <v>7022</v>
      </c>
      <c r="H487" s="11" t="str">
        <f>HYPERLINK("http://dx.doi.org/10.1016/j.envint.2022.107484","http://dx.doi.org/10.1016/j.envint.2022.107484")</f>
        <v>http://dx.doi.org/10.1016/j.envint.2022.107484</v>
      </c>
      <c r="I487" s="11" t="s">
        <v>7025</v>
      </c>
      <c r="J487" s="11" t="s">
        <v>7023</v>
      </c>
      <c r="K487" s="11" t="s">
        <v>42</v>
      </c>
      <c r="L487" s="11" t="s">
        <v>56</v>
      </c>
      <c r="M487" s="9" t="s">
        <v>12142</v>
      </c>
    </row>
    <row r="488" spans="1:13" x14ac:dyDescent="0.25">
      <c r="A488" s="12">
        <v>177</v>
      </c>
      <c r="B488" s="12" t="s">
        <v>12204</v>
      </c>
      <c r="C488" s="12">
        <v>693</v>
      </c>
      <c r="D488" s="12" t="s">
        <v>12835</v>
      </c>
      <c r="E488" s="12" t="s">
        <v>141</v>
      </c>
      <c r="F488" s="12">
        <v>2023</v>
      </c>
      <c r="G488" s="12" t="s">
        <v>142</v>
      </c>
      <c r="H488" s="12" t="s">
        <v>143</v>
      </c>
      <c r="I488" s="12" t="s">
        <v>146</v>
      </c>
      <c r="J488" s="12" t="s">
        <v>147</v>
      </c>
      <c r="K488" s="12" t="s">
        <v>42</v>
      </c>
      <c r="L488" s="12" t="s">
        <v>12252</v>
      </c>
      <c r="M488" s="10">
        <v>1</v>
      </c>
    </row>
    <row r="489" spans="1:13" x14ac:dyDescent="0.25">
      <c r="A489" s="11">
        <v>577</v>
      </c>
      <c r="B489" s="12" t="s">
        <v>12118</v>
      </c>
      <c r="C489" s="12">
        <v>644</v>
      </c>
      <c r="D489" s="11" t="s">
        <v>10945</v>
      </c>
      <c r="E489" s="11" t="s">
        <v>11840</v>
      </c>
      <c r="F489" s="11">
        <v>2018</v>
      </c>
      <c r="G489" s="11" t="s">
        <v>10948</v>
      </c>
      <c r="H489" s="11" t="str">
        <f>HYPERLINK("http://dx.doi.org/10.1103/PhysRevFluids.3.031101","http://dx.doi.org/10.1103/PhysRevFluids.3.031101")</f>
        <v>http://dx.doi.org/10.1103/PhysRevFluids.3.031101</v>
      </c>
      <c r="I489" s="11" t="s">
        <v>11842</v>
      </c>
      <c r="J489" s="11" t="s">
        <v>1507</v>
      </c>
      <c r="K489" s="11" t="s">
        <v>42</v>
      </c>
      <c r="L489" s="11" t="s">
        <v>56</v>
      </c>
      <c r="M489" s="9" t="s">
        <v>12142</v>
      </c>
    </row>
    <row r="490" spans="1:13" x14ac:dyDescent="0.25">
      <c r="A490" s="11">
        <v>415</v>
      </c>
      <c r="B490" s="12" t="s">
        <v>12118</v>
      </c>
      <c r="C490" s="12">
        <v>461</v>
      </c>
      <c r="D490" s="11" t="s">
        <v>15260</v>
      </c>
      <c r="E490" s="11" t="s">
        <v>15262</v>
      </c>
      <c r="F490" s="11">
        <v>2023</v>
      </c>
      <c r="G490" s="11" t="s">
        <v>15263</v>
      </c>
      <c r="H490" s="11" t="str">
        <f>HYPERLINK("http://dx.doi.org/10.1109/ICTAI59109.2023.00018","http://dx.doi.org/10.1109/ICTAI59109.2023.00018")</f>
        <v>http://dx.doi.org/10.1109/ICTAI59109.2023.00018</v>
      </c>
      <c r="I490" s="11" t="s">
        <v>15270</v>
      </c>
      <c r="J490" s="11" t="s">
        <v>15269</v>
      </c>
      <c r="K490" s="11" t="s">
        <v>42</v>
      </c>
      <c r="L490" s="11" t="s">
        <v>5552</v>
      </c>
      <c r="M490" s="9" t="s">
        <v>12142</v>
      </c>
    </row>
    <row r="491" spans="1:13" x14ac:dyDescent="0.25">
      <c r="A491" s="11">
        <v>102</v>
      </c>
      <c r="B491" s="12" t="s">
        <v>12118</v>
      </c>
      <c r="C491" s="12">
        <v>103</v>
      </c>
      <c r="D491" s="11" t="s">
        <v>7214</v>
      </c>
      <c r="E491" s="11" t="s">
        <v>7216</v>
      </c>
      <c r="F491" s="11">
        <v>2022</v>
      </c>
      <c r="G491" s="11" t="s">
        <v>7217</v>
      </c>
      <c r="H491" s="11" t="str">
        <f>HYPERLINK("http://dx.doi.org/10.2807/1560-7917.ES.2022.27.18.2200178","http://dx.doi.org/10.2807/1560-7917.ES.2022.27.18.2200178")</f>
        <v>http://dx.doi.org/10.2807/1560-7917.ES.2022.27.18.2200178</v>
      </c>
      <c r="I491" s="11" t="s">
        <v>7218</v>
      </c>
      <c r="J491" s="11" t="s">
        <v>1507</v>
      </c>
      <c r="K491" s="11" t="s">
        <v>42</v>
      </c>
      <c r="L491" s="11" t="s">
        <v>56</v>
      </c>
      <c r="M491" s="9" t="s">
        <v>12142</v>
      </c>
    </row>
    <row r="492" spans="1:13" x14ac:dyDescent="0.25">
      <c r="A492" s="11">
        <v>269</v>
      </c>
      <c r="B492" s="12" t="s">
        <v>12118</v>
      </c>
      <c r="C492" s="12">
        <v>298</v>
      </c>
      <c r="D492" s="11" t="s">
        <v>6011</v>
      </c>
      <c r="E492" s="11" t="s">
        <v>6013</v>
      </c>
      <c r="F492" s="11">
        <v>2023</v>
      </c>
      <c r="G492" s="11" t="s">
        <v>6014</v>
      </c>
      <c r="H492" s="11" t="str">
        <f>HYPERLINK("http://dx.doi.org/10.1109/ASE56229.2023.00040","http://dx.doi.org/10.1109/ASE56229.2023.00040")</f>
        <v>http://dx.doi.org/10.1109/ASE56229.2023.00040</v>
      </c>
      <c r="I492" s="11" t="s">
        <v>6020</v>
      </c>
      <c r="J492" s="11" t="s">
        <v>1507</v>
      </c>
      <c r="K492" s="11" t="s">
        <v>42</v>
      </c>
      <c r="L492" s="11" t="s">
        <v>5552</v>
      </c>
      <c r="M492" s="9" t="s">
        <v>12142</v>
      </c>
    </row>
    <row r="493" spans="1:13" x14ac:dyDescent="0.25">
      <c r="A493" s="12">
        <v>34</v>
      </c>
      <c r="B493" s="12" t="s">
        <v>12204</v>
      </c>
      <c r="C493" s="12">
        <v>107</v>
      </c>
      <c r="D493" s="12" t="s">
        <v>12244</v>
      </c>
      <c r="E493" s="12" t="s">
        <v>839</v>
      </c>
      <c r="F493" s="12">
        <v>2019</v>
      </c>
      <c r="G493" s="12" t="s">
        <v>840</v>
      </c>
      <c r="I493" s="12" t="s">
        <v>844</v>
      </c>
      <c r="J493" s="12" t="s">
        <v>845</v>
      </c>
      <c r="K493" s="12" t="s">
        <v>42</v>
      </c>
      <c r="L493" s="12" t="s">
        <v>56</v>
      </c>
      <c r="M493" s="10">
        <v>1</v>
      </c>
    </row>
    <row r="494" spans="1:13" x14ac:dyDescent="0.25">
      <c r="A494" s="11">
        <v>105</v>
      </c>
      <c r="B494" s="12" t="s">
        <v>12118</v>
      </c>
      <c r="C494" s="12">
        <v>108</v>
      </c>
      <c r="D494" s="11" t="s">
        <v>10979</v>
      </c>
      <c r="E494" s="11" t="s">
        <v>10981</v>
      </c>
      <c r="F494" s="11">
        <v>2019</v>
      </c>
      <c r="G494" s="11" t="s">
        <v>10982</v>
      </c>
      <c r="H494" s="11" t="str">
        <f>HYPERLINK("http://dx.doi.org/10.22055/RALS.2019.14672","http://dx.doi.org/10.22055/RALS.2019.14672")</f>
        <v>http://dx.doi.org/10.22055/RALS.2019.14672</v>
      </c>
      <c r="I494" s="11" t="s">
        <v>10984</v>
      </c>
      <c r="J494" s="11" t="s">
        <v>10983</v>
      </c>
      <c r="K494" s="11" t="s">
        <v>42</v>
      </c>
      <c r="L494" s="11" t="s">
        <v>56</v>
      </c>
      <c r="M494" s="9" t="s">
        <v>12142</v>
      </c>
    </row>
    <row r="495" spans="1:13" x14ac:dyDescent="0.25">
      <c r="A495" s="11">
        <v>513</v>
      </c>
      <c r="B495" s="12" t="s">
        <v>12118</v>
      </c>
      <c r="C495" s="12">
        <v>567</v>
      </c>
      <c r="D495" s="11" t="s">
        <v>6844</v>
      </c>
      <c r="E495" s="11" t="s">
        <v>6846</v>
      </c>
      <c r="F495" s="11">
        <v>2023</v>
      </c>
      <c r="G495" s="11" t="s">
        <v>6847</v>
      </c>
      <c r="H495" s="11" t="str">
        <f>HYPERLINK("http://dx.doi.org/10.1016/j.fuel.2022.126283","http://dx.doi.org/10.1016/j.fuel.2022.126283")</f>
        <v>http://dx.doi.org/10.1016/j.fuel.2022.126283</v>
      </c>
      <c r="I495" s="11" t="s">
        <v>6850</v>
      </c>
      <c r="J495" s="11" t="s">
        <v>6848</v>
      </c>
      <c r="K495" s="11" t="s">
        <v>42</v>
      </c>
      <c r="L495" s="11" t="s">
        <v>56</v>
      </c>
      <c r="M495" s="9" t="s">
        <v>12142</v>
      </c>
    </row>
    <row r="496" spans="1:13" x14ac:dyDescent="0.25">
      <c r="A496" s="12">
        <v>111</v>
      </c>
      <c r="B496" s="12" t="s">
        <v>12204</v>
      </c>
      <c r="C496" s="12">
        <v>389</v>
      </c>
      <c r="D496" s="12" t="s">
        <v>12530</v>
      </c>
      <c r="E496" s="12" t="s">
        <v>1025</v>
      </c>
      <c r="F496" s="12">
        <v>2023</v>
      </c>
      <c r="G496" s="12" t="s">
        <v>1026</v>
      </c>
      <c r="H496" s="12" t="s">
        <v>1027</v>
      </c>
      <c r="I496" s="12" t="s">
        <v>12527</v>
      </c>
      <c r="J496" s="12" t="s">
        <v>1030</v>
      </c>
      <c r="K496" s="12" t="s">
        <v>42</v>
      </c>
      <c r="L496" s="12" t="s">
        <v>12252</v>
      </c>
      <c r="M496" s="10">
        <v>1</v>
      </c>
    </row>
    <row r="497" spans="1:13" x14ac:dyDescent="0.25">
      <c r="A497" s="11">
        <v>166</v>
      </c>
      <c r="B497" s="12" t="s">
        <v>12118</v>
      </c>
      <c r="C497" s="12">
        <v>178</v>
      </c>
      <c r="D497" s="11" t="s">
        <v>3060</v>
      </c>
      <c r="E497" s="11" t="s">
        <v>3062</v>
      </c>
      <c r="F497" s="11">
        <v>2023</v>
      </c>
      <c r="G497" s="11" t="s">
        <v>3063</v>
      </c>
      <c r="H497" s="11" t="str">
        <f>HYPERLINK("http://dx.doi.org/10.1007/s10514-023-10132-6","http://dx.doi.org/10.1007/s10514-023-10132-6")</f>
        <v>http://dx.doi.org/10.1007/s10514-023-10132-6</v>
      </c>
      <c r="I497" s="11" t="s">
        <v>3065</v>
      </c>
      <c r="J497" s="11" t="s">
        <v>3064</v>
      </c>
      <c r="K497" s="11" t="s">
        <v>42</v>
      </c>
      <c r="L497" s="11" t="s">
        <v>56</v>
      </c>
      <c r="M497" s="9" t="s">
        <v>12142</v>
      </c>
    </row>
    <row r="498" spans="1:13" x14ac:dyDescent="0.25">
      <c r="A498" s="11">
        <v>130</v>
      </c>
      <c r="B498" s="12" t="s">
        <v>12118</v>
      </c>
      <c r="C498" s="12">
        <v>138</v>
      </c>
      <c r="D498" s="11" t="s">
        <v>5791</v>
      </c>
      <c r="E498" s="11" t="s">
        <v>5793</v>
      </c>
      <c r="F498" s="11">
        <v>2023</v>
      </c>
      <c r="G498" s="11" t="s">
        <v>5794</v>
      </c>
      <c r="H498" s="11" t="str">
        <f>HYPERLINK("http://dx.doi.org/10.1145/3628356.3630117","http://dx.doi.org/10.1145/3628356.3630117")</f>
        <v>http://dx.doi.org/10.1145/3628356.3630117</v>
      </c>
      <c r="I498" s="11" t="s">
        <v>5799</v>
      </c>
      <c r="J498" s="11" t="s">
        <v>5798</v>
      </c>
      <c r="K498" s="11" t="s">
        <v>42</v>
      </c>
      <c r="L498" s="11" t="s">
        <v>5552</v>
      </c>
      <c r="M498" s="9" t="s">
        <v>12142</v>
      </c>
    </row>
    <row r="499" spans="1:13" x14ac:dyDescent="0.25">
      <c r="A499" s="11">
        <v>474</v>
      </c>
      <c r="B499" s="12" t="s">
        <v>12118</v>
      </c>
      <c r="C499" s="12">
        <v>526</v>
      </c>
      <c r="D499" s="11" t="s">
        <v>2439</v>
      </c>
      <c r="E499" s="11" t="s">
        <v>2441</v>
      </c>
      <c r="F499" s="11">
        <v>2023</v>
      </c>
      <c r="G499" s="11" t="s">
        <v>2442</v>
      </c>
      <c r="H499" s="11" t="str">
        <f>HYPERLINK("http://dx.doi.org/10.1016/j.heliyon.2023.e22457","http://dx.doi.org/10.1016/j.heliyon.2023.e22457")</f>
        <v>http://dx.doi.org/10.1016/j.heliyon.2023.e22457</v>
      </c>
      <c r="I499" s="11" t="s">
        <v>2443</v>
      </c>
      <c r="J499" s="11" t="s">
        <v>1507</v>
      </c>
      <c r="K499" s="11" t="s">
        <v>42</v>
      </c>
      <c r="L499" s="11" t="s">
        <v>56</v>
      </c>
      <c r="M499" s="9" t="s">
        <v>12142</v>
      </c>
    </row>
    <row r="500" spans="1:13" x14ac:dyDescent="0.25">
      <c r="A500" s="11">
        <v>426</v>
      </c>
      <c r="B500" s="12" t="s">
        <v>12118</v>
      </c>
      <c r="C500" s="12">
        <v>474</v>
      </c>
      <c r="D500" s="11" t="s">
        <v>9967</v>
      </c>
      <c r="E500" s="11" t="s">
        <v>9969</v>
      </c>
      <c r="F500" s="11">
        <v>2020</v>
      </c>
      <c r="G500" s="11" t="s">
        <v>7217</v>
      </c>
      <c r="H500" s="11" t="str">
        <f>HYPERLINK("http://dx.doi.org/10.2807/1560-7917.ES.2020.25.16.2000421","http://dx.doi.org/10.2807/1560-7917.ES.2020.25.16.2000421")</f>
        <v>http://dx.doi.org/10.2807/1560-7917.ES.2020.25.16.2000421</v>
      </c>
      <c r="I500" s="11" t="s">
        <v>9971</v>
      </c>
      <c r="J500" s="11" t="s">
        <v>1507</v>
      </c>
      <c r="K500" s="11" t="s">
        <v>42</v>
      </c>
      <c r="L500" s="11" t="s">
        <v>56</v>
      </c>
      <c r="M500" s="9" t="s">
        <v>12142</v>
      </c>
    </row>
    <row r="501" spans="1:13" x14ac:dyDescent="0.25">
      <c r="A501" s="11">
        <v>169</v>
      </c>
      <c r="B501" s="12" t="s">
        <v>12118</v>
      </c>
      <c r="C501" s="12">
        <v>182</v>
      </c>
      <c r="D501" s="11" t="s">
        <v>9002</v>
      </c>
      <c r="E501" s="11" t="s">
        <v>9004</v>
      </c>
      <c r="F501" s="11">
        <v>2021</v>
      </c>
      <c r="G501" s="11" t="s">
        <v>9005</v>
      </c>
      <c r="H501" s="11" t="str">
        <f>HYPERLINK("http://dx.doi.org/10.1093/jiel/jgab004","http://dx.doi.org/10.1093/jiel/jgab004")</f>
        <v>http://dx.doi.org/10.1093/jiel/jgab004</v>
      </c>
      <c r="I501" s="11" t="s">
        <v>9007</v>
      </c>
      <c r="J501" s="11" t="s">
        <v>1507</v>
      </c>
      <c r="K501" s="11" t="s">
        <v>42</v>
      </c>
      <c r="L501" s="11" t="s">
        <v>56</v>
      </c>
      <c r="M501" s="9" t="s">
        <v>12142</v>
      </c>
    </row>
    <row r="502" spans="1:13" x14ac:dyDescent="0.25">
      <c r="A502" s="11">
        <v>469</v>
      </c>
      <c r="B502" s="12" t="s">
        <v>12118</v>
      </c>
      <c r="C502" s="12">
        <v>521</v>
      </c>
      <c r="D502" s="11" t="s">
        <v>10815</v>
      </c>
      <c r="E502" s="11" t="s">
        <v>10817</v>
      </c>
      <c r="F502" s="11">
        <v>2019</v>
      </c>
      <c r="G502" s="11" t="s">
        <v>8666</v>
      </c>
      <c r="H502" s="11" t="str">
        <f>HYPERLINK("http://dx.doi.org/10.1172/jci.insight.122998","http://dx.doi.org/10.1172/jci.insight.122998")</f>
        <v>http://dx.doi.org/10.1172/jci.insight.122998</v>
      </c>
      <c r="I502" s="11" t="s">
        <v>10819</v>
      </c>
      <c r="J502" s="11" t="s">
        <v>1507</v>
      </c>
      <c r="K502" s="11" t="s">
        <v>42</v>
      </c>
      <c r="L502" s="11" t="s">
        <v>56</v>
      </c>
      <c r="M502" s="9" t="s">
        <v>12142</v>
      </c>
    </row>
    <row r="503" spans="1:13" x14ac:dyDescent="0.25">
      <c r="A503" s="11">
        <v>370</v>
      </c>
      <c r="B503" s="12" t="s">
        <v>12118</v>
      </c>
      <c r="C503" s="12">
        <v>411</v>
      </c>
      <c r="D503" s="11" t="s">
        <v>4853</v>
      </c>
      <c r="E503" s="11" t="s">
        <v>4855</v>
      </c>
      <c r="F503" s="11">
        <v>2023</v>
      </c>
      <c r="G503" s="11" t="s">
        <v>4856</v>
      </c>
      <c r="H503" s="11" t="str">
        <f>HYPERLINK("http://dx.doi.org/10.1037/ebs0000328","http://dx.doi.org/10.1037/ebs0000328")</f>
        <v>http://dx.doi.org/10.1037/ebs0000328</v>
      </c>
      <c r="I503" s="11" t="s">
        <v>4859</v>
      </c>
      <c r="J503" s="11" t="s">
        <v>4857</v>
      </c>
      <c r="K503" s="11" t="s">
        <v>42</v>
      </c>
      <c r="L503" s="11" t="s">
        <v>1509</v>
      </c>
      <c r="M503" s="9" t="s">
        <v>12142</v>
      </c>
    </row>
    <row r="504" spans="1:13" x14ac:dyDescent="0.25">
      <c r="A504" s="11">
        <v>378</v>
      </c>
      <c r="B504" s="12" t="s">
        <v>12118</v>
      </c>
      <c r="C504" s="12">
        <v>419</v>
      </c>
      <c r="D504" s="11" t="s">
        <v>9815</v>
      </c>
      <c r="E504" s="11" t="s">
        <v>9817</v>
      </c>
      <c r="F504" s="11">
        <v>2020</v>
      </c>
      <c r="G504" s="11" t="s">
        <v>9818</v>
      </c>
      <c r="H504" s="11" t="str">
        <f>HYPERLINK("http://dx.doi.org/10.1016/j.jsxm.2020.02.018","http://dx.doi.org/10.1016/j.jsxm.2020.02.018")</f>
        <v>http://dx.doi.org/10.1016/j.jsxm.2020.02.018</v>
      </c>
      <c r="I504" s="11" t="s">
        <v>9821</v>
      </c>
      <c r="J504" s="11" t="s">
        <v>9819</v>
      </c>
      <c r="K504" s="11" t="s">
        <v>42</v>
      </c>
      <c r="L504" s="11" t="s">
        <v>56</v>
      </c>
      <c r="M504" s="9" t="s">
        <v>12142</v>
      </c>
    </row>
    <row r="505" spans="1:13" x14ac:dyDescent="0.25">
      <c r="A505" s="11">
        <v>173</v>
      </c>
      <c r="B505" s="12" t="s">
        <v>12118</v>
      </c>
      <c r="C505" s="12">
        <v>187</v>
      </c>
      <c r="D505" s="11" t="s">
        <v>7444</v>
      </c>
      <c r="E505" s="11" t="s">
        <v>7446</v>
      </c>
      <c r="F505" s="11">
        <v>2022</v>
      </c>
      <c r="G505" s="11" t="s">
        <v>6997</v>
      </c>
      <c r="H505" s="11" t="s">
        <v>1507</v>
      </c>
      <c r="I505" s="11" t="s">
        <v>7449</v>
      </c>
      <c r="J505" s="11" t="s">
        <v>7447</v>
      </c>
      <c r="K505" s="11" t="s">
        <v>42</v>
      </c>
      <c r="L505" s="11" t="s">
        <v>56</v>
      </c>
      <c r="M505" s="9" t="s">
        <v>12142</v>
      </c>
    </row>
    <row r="506" spans="1:13" x14ac:dyDescent="0.25">
      <c r="A506" s="12">
        <v>168</v>
      </c>
      <c r="B506" s="12" t="s">
        <v>12204</v>
      </c>
      <c r="C506" s="12">
        <v>620</v>
      </c>
      <c r="D506" s="12" t="s">
        <v>12615</v>
      </c>
      <c r="E506" s="12" t="s">
        <v>1084</v>
      </c>
      <c r="F506" s="12">
        <v>2023</v>
      </c>
      <c r="G506" s="12" t="s">
        <v>1085</v>
      </c>
      <c r="I506" s="12" t="s">
        <v>1088</v>
      </c>
      <c r="K506" s="12" t="s">
        <v>42</v>
      </c>
      <c r="L506" s="12" t="s">
        <v>12252</v>
      </c>
      <c r="M506" s="10">
        <v>1</v>
      </c>
    </row>
    <row r="507" spans="1:13" x14ac:dyDescent="0.25">
      <c r="A507" s="11">
        <v>614</v>
      </c>
      <c r="B507" s="12" t="s">
        <v>12118</v>
      </c>
      <c r="C507" s="12">
        <v>683</v>
      </c>
      <c r="D507" s="11" t="s">
        <v>3919</v>
      </c>
      <c r="E507" s="11" t="s">
        <v>3921</v>
      </c>
      <c r="F507" s="11">
        <v>2023</v>
      </c>
      <c r="G507" s="11" t="s">
        <v>3922</v>
      </c>
      <c r="H507" s="11" t="str">
        <f>HYPERLINK("http://dx.doi.org/10.1126/sciadv.adg3469","http://dx.doi.org/10.1126/sciadv.adg3469")</f>
        <v>http://dx.doi.org/10.1126/sciadv.adg3469</v>
      </c>
      <c r="I507" s="11" t="s">
        <v>3924</v>
      </c>
      <c r="J507" s="11" t="s">
        <v>1507</v>
      </c>
      <c r="K507" s="11" t="s">
        <v>42</v>
      </c>
      <c r="L507" s="11" t="s">
        <v>56</v>
      </c>
      <c r="M507" s="9" t="s">
        <v>12142</v>
      </c>
    </row>
    <row r="508" spans="1:13" x14ac:dyDescent="0.25">
      <c r="A508" s="11">
        <v>574</v>
      </c>
      <c r="B508" s="12" t="s">
        <v>12118</v>
      </c>
      <c r="C508" s="12">
        <v>642</v>
      </c>
      <c r="D508" s="11" t="s">
        <v>8063</v>
      </c>
      <c r="E508" s="11" t="s">
        <v>8065</v>
      </c>
      <c r="F508" s="11">
        <v>2022</v>
      </c>
      <c r="G508" s="11" t="s">
        <v>8066</v>
      </c>
      <c r="H508" s="11" t="str">
        <f>HYPERLINK("http://dx.doi.org/10.1016/j.canlet.2021.10.039","http://dx.doi.org/10.1016/j.canlet.2021.10.039")</f>
        <v>http://dx.doi.org/10.1016/j.canlet.2021.10.039</v>
      </c>
      <c r="I508" s="11" t="s">
        <v>8069</v>
      </c>
      <c r="J508" s="11" t="s">
        <v>8067</v>
      </c>
      <c r="K508" s="11" t="s">
        <v>42</v>
      </c>
      <c r="L508" s="11" t="s">
        <v>56</v>
      </c>
      <c r="M508" s="9" t="s">
        <v>12142</v>
      </c>
    </row>
    <row r="509" spans="1:13" x14ac:dyDescent="0.25">
      <c r="A509" s="11">
        <v>18</v>
      </c>
      <c r="B509" s="12" t="s">
        <v>12118</v>
      </c>
      <c r="C509" s="12">
        <v>19</v>
      </c>
      <c r="D509" s="11" t="s">
        <v>8685</v>
      </c>
      <c r="E509" s="11" t="s">
        <v>8687</v>
      </c>
      <c r="F509" s="11">
        <v>2021</v>
      </c>
      <c r="G509" s="11" t="s">
        <v>1609</v>
      </c>
      <c r="H509" s="11" t="str">
        <f>HYPERLINK("http://dx.doi.org/10.3390/math9101102","http://dx.doi.org/10.3390/math9101102")</f>
        <v>http://dx.doi.org/10.3390/math9101102</v>
      </c>
      <c r="I509" s="11" t="s">
        <v>8690</v>
      </c>
      <c r="J509" s="11" t="s">
        <v>8688</v>
      </c>
      <c r="K509" s="11" t="s">
        <v>42</v>
      </c>
      <c r="L509" s="11" t="s">
        <v>56</v>
      </c>
      <c r="M509" s="9" t="s">
        <v>12142</v>
      </c>
    </row>
    <row r="510" spans="1:13" x14ac:dyDescent="0.25">
      <c r="A510" s="11">
        <v>161</v>
      </c>
      <c r="B510" s="12" t="s">
        <v>12118</v>
      </c>
      <c r="C510" s="12">
        <v>171</v>
      </c>
      <c r="D510" s="11" t="s">
        <v>5289</v>
      </c>
      <c r="E510" s="11" t="s">
        <v>14801</v>
      </c>
      <c r="F510" s="11">
        <v>2023</v>
      </c>
      <c r="G510" s="11" t="s">
        <v>5291</v>
      </c>
      <c r="H510" s="11" t="str">
        <f>HYPERLINK("http://dx.doi.org/10.1016/j.ijinfomgt.2023.102642","http://dx.doi.org/10.1016/j.ijinfomgt.2023.102642")</f>
        <v>http://dx.doi.org/10.1016/j.ijinfomgt.2023.102642</v>
      </c>
      <c r="I510" s="11" t="s">
        <v>5294</v>
      </c>
      <c r="J510" s="11" t="s">
        <v>5292</v>
      </c>
      <c r="K510" s="11" t="s">
        <v>42</v>
      </c>
      <c r="L510" s="11" t="s">
        <v>56</v>
      </c>
      <c r="M510" s="9">
        <v>1</v>
      </c>
    </row>
    <row r="511" spans="1:13" x14ac:dyDescent="0.25">
      <c r="A511" s="11">
        <v>26</v>
      </c>
      <c r="B511" s="12" t="s">
        <v>12118</v>
      </c>
      <c r="C511" s="12">
        <v>28</v>
      </c>
      <c r="D511" s="11" t="s">
        <v>9871</v>
      </c>
      <c r="E511" s="11" t="s">
        <v>9873</v>
      </c>
      <c r="F511" s="11">
        <v>2021</v>
      </c>
      <c r="G511" s="11" t="s">
        <v>9874</v>
      </c>
      <c r="H511" s="11" t="str">
        <f>HYPERLINK("http://dx.doi.org/10.1007/s12237-020-00765-6","http://dx.doi.org/10.1007/s12237-020-00765-6")</f>
        <v>http://dx.doi.org/10.1007/s12237-020-00765-6</v>
      </c>
      <c r="I511" s="11" t="s">
        <v>9877</v>
      </c>
      <c r="J511" s="11" t="s">
        <v>9875</v>
      </c>
      <c r="K511" s="11" t="s">
        <v>42</v>
      </c>
      <c r="L511" s="11" t="s">
        <v>56</v>
      </c>
      <c r="M511" s="9" t="s">
        <v>12142</v>
      </c>
    </row>
    <row r="512" spans="1:13" x14ac:dyDescent="0.25">
      <c r="A512" s="12">
        <v>106</v>
      </c>
      <c r="B512" s="12" t="s">
        <v>12204</v>
      </c>
      <c r="C512" s="12">
        <v>366</v>
      </c>
      <c r="D512" s="12" t="s">
        <v>12327</v>
      </c>
      <c r="E512" s="12" t="s">
        <v>1035</v>
      </c>
      <c r="F512" s="12">
        <v>2022</v>
      </c>
      <c r="G512" s="12" t="s">
        <v>1036</v>
      </c>
      <c r="I512" s="12" t="s">
        <v>1039</v>
      </c>
      <c r="K512" s="12" t="s">
        <v>42</v>
      </c>
      <c r="L512" s="12" t="s">
        <v>12252</v>
      </c>
      <c r="M512" s="10">
        <v>1</v>
      </c>
    </row>
    <row r="513" spans="1:67" x14ac:dyDescent="0.25">
      <c r="A513" s="11">
        <v>416</v>
      </c>
      <c r="B513" s="12" t="s">
        <v>12118</v>
      </c>
      <c r="C513" s="12">
        <v>462</v>
      </c>
      <c r="D513" s="11" t="s">
        <v>8537</v>
      </c>
      <c r="E513" s="11" t="s">
        <v>8539</v>
      </c>
      <c r="F513" s="11">
        <v>2021</v>
      </c>
      <c r="G513" s="11" t="s">
        <v>8540</v>
      </c>
      <c r="H513" s="11" t="str">
        <f>HYPERLINK("http://dx.doi.org/10.1002/ecs2.3552","http://dx.doi.org/10.1002/ecs2.3552")</f>
        <v>http://dx.doi.org/10.1002/ecs2.3552</v>
      </c>
      <c r="I513" s="11" t="s">
        <v>8543</v>
      </c>
      <c r="J513" s="11" t="s">
        <v>8541</v>
      </c>
      <c r="K513" s="11" t="s">
        <v>42</v>
      </c>
      <c r="L513" s="11" t="s">
        <v>56</v>
      </c>
      <c r="M513" s="9" t="s">
        <v>12142</v>
      </c>
    </row>
    <row r="514" spans="1:67" x14ac:dyDescent="0.25">
      <c r="A514" s="11">
        <v>17</v>
      </c>
      <c r="B514" s="12" t="s">
        <v>12118</v>
      </c>
      <c r="C514" s="12">
        <v>18</v>
      </c>
      <c r="D514" s="11" t="s">
        <v>11025</v>
      </c>
      <c r="E514" s="11" t="s">
        <v>11027</v>
      </c>
      <c r="F514" s="11">
        <v>2020</v>
      </c>
      <c r="G514" s="11" t="s">
        <v>9616</v>
      </c>
      <c r="H514" s="11" t="str">
        <f>HYPERLINK("http://dx.doi.org/10.1080/03610926.2019.1620781","http://dx.doi.org/10.1080/03610926.2019.1620781")</f>
        <v>http://dx.doi.org/10.1080/03610926.2019.1620781</v>
      </c>
      <c r="I514" s="11" t="s">
        <v>11029</v>
      </c>
      <c r="J514" s="11" t="s">
        <v>9617</v>
      </c>
      <c r="K514" s="11" t="s">
        <v>42</v>
      </c>
      <c r="L514" s="11" t="s">
        <v>56</v>
      </c>
      <c r="M514" s="9" t="s">
        <v>12142</v>
      </c>
    </row>
    <row r="515" spans="1:67" x14ac:dyDescent="0.25">
      <c r="A515" s="11">
        <v>287</v>
      </c>
      <c r="B515" s="12" t="s">
        <v>12118</v>
      </c>
      <c r="C515" s="12">
        <v>319</v>
      </c>
      <c r="D515" s="11" t="s">
        <v>8490</v>
      </c>
      <c r="E515" s="11" t="s">
        <v>8492</v>
      </c>
      <c r="F515" s="11">
        <v>2021</v>
      </c>
      <c r="G515" s="11" t="s">
        <v>8493</v>
      </c>
      <c r="H515" s="11" t="str">
        <f>HYPERLINK("http://dx.doi.org/10.1016/j.lfs.2021.119674","http://dx.doi.org/10.1016/j.lfs.2021.119674")</f>
        <v>http://dx.doi.org/10.1016/j.lfs.2021.119674</v>
      </c>
      <c r="I515" s="11" t="s">
        <v>8496</v>
      </c>
      <c r="J515" s="11" t="s">
        <v>8494</v>
      </c>
      <c r="K515" s="11" t="s">
        <v>42</v>
      </c>
      <c r="L515" s="11" t="s">
        <v>56</v>
      </c>
      <c r="M515" s="9" t="s">
        <v>12142</v>
      </c>
    </row>
    <row r="516" spans="1:67" x14ac:dyDescent="0.25">
      <c r="A516" s="11">
        <v>475</v>
      </c>
      <c r="B516" s="12" t="s">
        <v>12118</v>
      </c>
      <c r="C516" s="12">
        <v>528</v>
      </c>
      <c r="D516" s="11" t="s">
        <v>7961</v>
      </c>
      <c r="E516" s="11" t="s">
        <v>7963</v>
      </c>
      <c r="F516" s="11">
        <v>2022</v>
      </c>
      <c r="G516" s="11" t="s">
        <v>7964</v>
      </c>
      <c r="H516" s="11" t="str">
        <f>HYPERLINK("http://dx.doi.org/10.1016/j.chemosphere.2021.132652","http://dx.doi.org/10.1016/j.chemosphere.2021.132652")</f>
        <v>http://dx.doi.org/10.1016/j.chemosphere.2021.132652</v>
      </c>
      <c r="I516" s="11" t="s">
        <v>7967</v>
      </c>
      <c r="J516" s="11" t="s">
        <v>7965</v>
      </c>
      <c r="K516" s="11" t="s">
        <v>42</v>
      </c>
      <c r="L516" s="11" t="s">
        <v>56</v>
      </c>
      <c r="M516" s="9" t="s">
        <v>12142</v>
      </c>
    </row>
    <row r="517" spans="1:67" x14ac:dyDescent="0.25">
      <c r="A517" s="11">
        <v>65</v>
      </c>
      <c r="B517" s="12" t="s">
        <v>12118</v>
      </c>
      <c r="C517" s="12">
        <v>70</v>
      </c>
      <c r="D517" s="11" t="s">
        <v>5496</v>
      </c>
      <c r="E517" s="11" t="s">
        <v>5498</v>
      </c>
      <c r="F517" s="11">
        <v>2023</v>
      </c>
      <c r="G517" s="11" t="s">
        <v>5499</v>
      </c>
      <c r="H517" s="11" t="str">
        <f>HYPERLINK("http://dx.doi.org/10.1016/j.idm.2022.12.005","http://dx.doi.org/10.1016/j.idm.2022.12.005")</f>
        <v>http://dx.doi.org/10.1016/j.idm.2022.12.005</v>
      </c>
      <c r="I517" s="11" t="s">
        <v>5502</v>
      </c>
      <c r="J517" s="11" t="s">
        <v>5500</v>
      </c>
      <c r="K517" s="11" t="s">
        <v>42</v>
      </c>
      <c r="L517" s="11" t="s">
        <v>56</v>
      </c>
      <c r="M517" s="9" t="s">
        <v>12142</v>
      </c>
    </row>
    <row r="518" spans="1:67" x14ac:dyDescent="0.25">
      <c r="A518" s="11">
        <v>118</v>
      </c>
      <c r="B518" s="12" t="s">
        <v>12118</v>
      </c>
      <c r="C518" s="12">
        <v>124</v>
      </c>
      <c r="D518" s="11" t="s">
        <v>7117</v>
      </c>
      <c r="E518" s="11" t="s">
        <v>7119</v>
      </c>
      <c r="F518" s="11">
        <v>2022</v>
      </c>
      <c r="G518" s="11" t="s">
        <v>7120</v>
      </c>
      <c r="H518" s="11" t="str">
        <f>HYPERLINK("http://dx.doi.org/10.1016/j.vaccine.2022.05.033","http://dx.doi.org/10.1016/j.vaccine.2022.05.033")</f>
        <v>http://dx.doi.org/10.1016/j.vaccine.2022.05.033</v>
      </c>
      <c r="I518" s="11" t="s">
        <v>7123</v>
      </c>
      <c r="J518" s="11" t="s">
        <v>7121</v>
      </c>
      <c r="K518" s="11" t="s">
        <v>42</v>
      </c>
      <c r="L518" s="11" t="s">
        <v>56</v>
      </c>
      <c r="M518" s="9" t="s">
        <v>12142</v>
      </c>
    </row>
    <row r="519" spans="1:67" x14ac:dyDescent="0.25">
      <c r="A519" s="12">
        <v>22</v>
      </c>
      <c r="B519" s="12" t="s">
        <v>12204</v>
      </c>
      <c r="C519" s="12">
        <v>52</v>
      </c>
      <c r="D519" s="12" t="s">
        <v>12535</v>
      </c>
      <c r="E519" s="12" t="s">
        <v>1048</v>
      </c>
      <c r="F519" s="12">
        <v>2023</v>
      </c>
      <c r="G519" s="12" t="s">
        <v>252</v>
      </c>
      <c r="H519" s="12" t="s">
        <v>1049</v>
      </c>
      <c r="I519" s="12" t="s">
        <v>1052</v>
      </c>
      <c r="J519" s="12" t="s">
        <v>1053</v>
      </c>
      <c r="K519" s="12" t="s">
        <v>42</v>
      </c>
      <c r="L519" s="12" t="s">
        <v>56</v>
      </c>
      <c r="M519" s="10">
        <v>1</v>
      </c>
      <c r="AZ519" s="12" t="s">
        <v>311</v>
      </c>
      <c r="BE519" s="12" t="s">
        <v>312</v>
      </c>
      <c r="BI519" s="12" t="s">
        <v>42</v>
      </c>
      <c r="BJ519" s="12" t="s">
        <v>313</v>
      </c>
      <c r="BK519" s="12" t="s">
        <v>56</v>
      </c>
      <c r="BL519" s="12" t="s">
        <v>45</v>
      </c>
      <c r="BM519" s="12" t="s">
        <v>12349</v>
      </c>
      <c r="BN519" s="12" t="s">
        <v>46</v>
      </c>
      <c r="BO519" s="12" t="s">
        <v>333</v>
      </c>
    </row>
    <row r="520" spans="1:67" x14ac:dyDescent="0.25">
      <c r="A520" s="11">
        <v>281</v>
      </c>
      <c r="B520" s="12" t="s">
        <v>12118</v>
      </c>
      <c r="C520" s="12">
        <v>313</v>
      </c>
      <c r="D520" s="11" t="s">
        <v>6051</v>
      </c>
      <c r="E520" s="11" t="s">
        <v>6053</v>
      </c>
      <c r="F520" s="11">
        <v>2023</v>
      </c>
      <c r="G520" s="11" t="s">
        <v>6054</v>
      </c>
      <c r="H520" s="11" t="str">
        <f>HYPERLINK("http://dx.doi.org/10.1145/3544548.3580919","http://dx.doi.org/10.1145/3544548.3580919")</f>
        <v>http://dx.doi.org/10.1145/3544548.3580919</v>
      </c>
      <c r="I520" s="11" t="s">
        <v>6061</v>
      </c>
      <c r="J520" s="11" t="s">
        <v>6059</v>
      </c>
      <c r="K520" s="11" t="s">
        <v>42</v>
      </c>
      <c r="L520" s="11" t="s">
        <v>5552</v>
      </c>
      <c r="M520" s="9">
        <v>1</v>
      </c>
    </row>
    <row r="521" spans="1:67" x14ac:dyDescent="0.25">
      <c r="A521" s="11">
        <v>563</v>
      </c>
      <c r="B521" s="12" t="s">
        <v>12118</v>
      </c>
      <c r="C521" s="12">
        <v>629</v>
      </c>
      <c r="D521" s="11" t="s">
        <v>8837</v>
      </c>
      <c r="E521" s="11" t="s">
        <v>8839</v>
      </c>
      <c r="F521" s="11">
        <v>2021</v>
      </c>
      <c r="G521" s="11" t="s">
        <v>8840</v>
      </c>
      <c r="H521" s="11" t="s">
        <v>1507</v>
      </c>
      <c r="I521" s="11" t="s">
        <v>8841</v>
      </c>
      <c r="J521" s="11" t="s">
        <v>1507</v>
      </c>
      <c r="K521" s="11" t="s">
        <v>42</v>
      </c>
      <c r="L521" s="11" t="s">
        <v>56</v>
      </c>
      <c r="M521" s="9" t="s">
        <v>12142</v>
      </c>
    </row>
    <row r="522" spans="1:67" x14ac:dyDescent="0.25">
      <c r="A522" s="11">
        <v>141</v>
      </c>
      <c r="B522" s="12" t="s">
        <v>12118</v>
      </c>
      <c r="C522" s="12">
        <v>152</v>
      </c>
      <c r="D522" s="11" t="s">
        <v>10267</v>
      </c>
      <c r="E522" s="11" t="s">
        <v>10269</v>
      </c>
      <c r="F522" s="11">
        <v>2020</v>
      </c>
      <c r="G522" s="11" t="s">
        <v>10270</v>
      </c>
      <c r="H522" s="11" t="s">
        <v>1507</v>
      </c>
      <c r="I522" s="11" t="s">
        <v>10272</v>
      </c>
      <c r="J522" s="11" t="s">
        <v>1507</v>
      </c>
      <c r="K522" s="11" t="s">
        <v>42</v>
      </c>
      <c r="L522" s="11" t="s">
        <v>56</v>
      </c>
      <c r="M522" s="9" t="s">
        <v>12142</v>
      </c>
    </row>
    <row r="523" spans="1:67" x14ac:dyDescent="0.25">
      <c r="A523" s="11">
        <v>132</v>
      </c>
      <c r="B523" s="12" t="s">
        <v>12118</v>
      </c>
      <c r="C523" s="12">
        <v>140</v>
      </c>
      <c r="D523" s="11" t="s">
        <v>5190</v>
      </c>
      <c r="E523" s="11" t="s">
        <v>5192</v>
      </c>
      <c r="F523" s="11">
        <v>2023</v>
      </c>
      <c r="G523" s="11" t="s">
        <v>1617</v>
      </c>
      <c r="H523" s="11" t="str">
        <f>HYPERLINK("http://dx.doi.org/10.3390/electronics12071735","http://dx.doi.org/10.3390/electronics12071735")</f>
        <v>http://dx.doi.org/10.3390/electronics12071735</v>
      </c>
      <c r="I523" s="11" t="s">
        <v>5194</v>
      </c>
      <c r="J523" s="11" t="s">
        <v>5193</v>
      </c>
      <c r="K523" s="11" t="s">
        <v>42</v>
      </c>
      <c r="L523" s="11" t="s">
        <v>56</v>
      </c>
      <c r="M523" s="9" t="s">
        <v>12142</v>
      </c>
    </row>
    <row r="524" spans="1:67" x14ac:dyDescent="0.25">
      <c r="A524" s="11">
        <v>473</v>
      </c>
      <c r="B524" s="12" t="s">
        <v>12118</v>
      </c>
      <c r="C524" s="12">
        <v>525</v>
      </c>
      <c r="D524" s="11" t="s">
        <v>6327</v>
      </c>
      <c r="E524" s="11" t="s">
        <v>6330</v>
      </c>
      <c r="F524" s="11">
        <v>2023</v>
      </c>
      <c r="G524" s="11" t="s">
        <v>6331</v>
      </c>
      <c r="H524" s="11" t="str">
        <f>HYPERLINK("http://dx.doi.org/10.1007/978-3-031-43996-4_27","http://dx.doi.org/10.1007/978-3-031-43996-4_27")</f>
        <v>http://dx.doi.org/10.1007/978-3-031-43996-4_27</v>
      </c>
      <c r="I524" s="11" t="s">
        <v>6335</v>
      </c>
      <c r="J524" s="11" t="s">
        <v>1507</v>
      </c>
      <c r="K524" s="11" t="s">
        <v>42</v>
      </c>
      <c r="L524" s="11" t="s">
        <v>5552</v>
      </c>
      <c r="M524" s="9" t="s">
        <v>12142</v>
      </c>
    </row>
    <row r="525" spans="1:67" x14ac:dyDescent="0.25">
      <c r="A525" s="11">
        <v>479</v>
      </c>
      <c r="B525" s="12" t="s">
        <v>12118</v>
      </c>
      <c r="C525" s="12">
        <v>532</v>
      </c>
      <c r="D525" s="11" t="s">
        <v>5351</v>
      </c>
      <c r="E525" s="11" t="s">
        <v>5353</v>
      </c>
      <c r="F525" s="11">
        <v>2023</v>
      </c>
      <c r="G525" s="11" t="s">
        <v>5013</v>
      </c>
      <c r="H525" s="11" t="str">
        <f>HYPERLINK("http://dx.doi.org/10.3390/app13052892","http://dx.doi.org/10.3390/app13052892")</f>
        <v>http://dx.doi.org/10.3390/app13052892</v>
      </c>
      <c r="I525" s="11" t="s">
        <v>5355</v>
      </c>
      <c r="J525" s="11" t="s">
        <v>5354</v>
      </c>
      <c r="K525" s="11" t="s">
        <v>42</v>
      </c>
      <c r="L525" s="11" t="s">
        <v>56</v>
      </c>
      <c r="M525" s="9" t="s">
        <v>12142</v>
      </c>
    </row>
    <row r="526" spans="1:67" x14ac:dyDescent="0.25">
      <c r="A526" s="11">
        <v>241</v>
      </c>
      <c r="B526" s="12" t="s">
        <v>12118</v>
      </c>
      <c r="C526" s="12">
        <v>267</v>
      </c>
      <c r="D526" s="11" t="s">
        <v>10308</v>
      </c>
      <c r="E526" s="11" t="s">
        <v>10310</v>
      </c>
      <c r="F526" s="11">
        <v>2020</v>
      </c>
      <c r="G526" s="11" t="s">
        <v>10311</v>
      </c>
      <c r="H526" s="11" t="str">
        <f>HYPERLINK("http://dx.doi.org/10.22584/nr50.2020.006","http://dx.doi.org/10.22584/nr50.2020.006")</f>
        <v>http://dx.doi.org/10.22584/nr50.2020.006</v>
      </c>
      <c r="I526" s="11" t="s">
        <v>10312</v>
      </c>
      <c r="J526" s="11" t="s">
        <v>1507</v>
      </c>
      <c r="K526" s="11" t="s">
        <v>42</v>
      </c>
      <c r="L526" s="11" t="s">
        <v>56</v>
      </c>
      <c r="M526" s="9" t="s">
        <v>12142</v>
      </c>
    </row>
    <row r="527" spans="1:67" x14ac:dyDescent="0.25">
      <c r="A527" s="11">
        <v>534</v>
      </c>
      <c r="B527" s="12" t="s">
        <v>12118</v>
      </c>
      <c r="C527" s="12">
        <v>596</v>
      </c>
      <c r="D527" s="11" t="s">
        <v>8813</v>
      </c>
      <c r="E527" s="11" t="s">
        <v>8815</v>
      </c>
      <c r="F527" s="11">
        <v>2021</v>
      </c>
      <c r="G527" s="11" t="s">
        <v>8816</v>
      </c>
      <c r="H527" s="11" t="str">
        <f>HYPERLINK("http://dx.doi.org/10.1016/j.oceano.2020.11.004","http://dx.doi.org/10.1016/j.oceano.2020.11.004")</f>
        <v>http://dx.doi.org/10.1016/j.oceano.2020.11.004</v>
      </c>
      <c r="I527" s="11" t="s">
        <v>8818</v>
      </c>
      <c r="J527" s="11" t="s">
        <v>8817</v>
      </c>
      <c r="K527" s="11" t="s">
        <v>42</v>
      </c>
      <c r="L527" s="11" t="s">
        <v>56</v>
      </c>
      <c r="M527" s="9" t="s">
        <v>12142</v>
      </c>
    </row>
    <row r="528" spans="1:67" x14ac:dyDescent="0.25">
      <c r="A528" s="11">
        <v>369</v>
      </c>
      <c r="B528" s="12" t="s">
        <v>12118</v>
      </c>
      <c r="C528" s="12">
        <v>410</v>
      </c>
      <c r="D528" s="11" t="s">
        <v>8251</v>
      </c>
      <c r="E528" s="11" t="s">
        <v>8253</v>
      </c>
      <c r="F528" s="11">
        <v>2021</v>
      </c>
      <c r="G528" s="11" t="s">
        <v>8254</v>
      </c>
      <c r="H528" s="11" t="str">
        <f>HYPERLINK("http://dx.doi.org/10.1016/j.bmcl.2021.128313","http://dx.doi.org/10.1016/j.bmcl.2021.128313")</f>
        <v>http://dx.doi.org/10.1016/j.bmcl.2021.128313</v>
      </c>
      <c r="I528" s="11" t="s">
        <v>8257</v>
      </c>
      <c r="J528" s="11" t="s">
        <v>8255</v>
      </c>
      <c r="K528" s="11" t="s">
        <v>42</v>
      </c>
      <c r="L528" s="11" t="s">
        <v>56</v>
      </c>
      <c r="M528" s="9" t="s">
        <v>12142</v>
      </c>
    </row>
    <row r="529" spans="1:13" x14ac:dyDescent="0.25">
      <c r="A529" s="11">
        <v>228</v>
      </c>
      <c r="B529" s="12" t="s">
        <v>12118</v>
      </c>
      <c r="C529" s="12">
        <v>251</v>
      </c>
      <c r="D529" s="11" t="s">
        <v>7778</v>
      </c>
      <c r="E529" s="11" t="s">
        <v>7781</v>
      </c>
      <c r="F529" s="11">
        <v>2022</v>
      </c>
      <c r="G529" s="11" t="s">
        <v>7782</v>
      </c>
      <c r="H529" s="11" t="str">
        <f>HYPERLINK("http://dx.doi.org/10.4324/9781003025115-4","http://dx.doi.org/10.4324/9781003025115-4")</f>
        <v>http://dx.doi.org/10.4324/9781003025115-4</v>
      </c>
      <c r="I529" s="11" t="s">
        <v>7785</v>
      </c>
      <c r="J529" s="11" t="s">
        <v>1507</v>
      </c>
      <c r="K529" s="11" t="s">
        <v>42</v>
      </c>
      <c r="L529" s="11" t="s">
        <v>5888</v>
      </c>
      <c r="M529" s="9" t="s">
        <v>12142</v>
      </c>
    </row>
    <row r="530" spans="1:13" x14ac:dyDescent="0.25">
      <c r="A530" s="12">
        <v>171</v>
      </c>
      <c r="B530" s="12" t="s">
        <v>12204</v>
      </c>
      <c r="C530" s="12">
        <v>636</v>
      </c>
      <c r="D530" s="12" t="s">
        <v>12557</v>
      </c>
      <c r="E530" s="12" t="s">
        <v>1142</v>
      </c>
      <c r="F530" s="12">
        <v>2023</v>
      </c>
      <c r="G530" s="12" t="s">
        <v>1143</v>
      </c>
      <c r="H530" s="12" t="s">
        <v>1144</v>
      </c>
      <c r="I530" s="12" t="s">
        <v>1147</v>
      </c>
      <c r="J530" s="12" t="s">
        <v>1148</v>
      </c>
      <c r="K530" s="12" t="s">
        <v>42</v>
      </c>
      <c r="L530" s="12" t="s">
        <v>56</v>
      </c>
      <c r="M530" s="10">
        <v>1</v>
      </c>
    </row>
    <row r="531" spans="1:13" x14ac:dyDescent="0.25">
      <c r="A531" s="12">
        <v>100</v>
      </c>
      <c r="B531" s="12" t="s">
        <v>12204</v>
      </c>
      <c r="C531" s="12">
        <v>349</v>
      </c>
      <c r="D531" s="12" t="s">
        <v>13325</v>
      </c>
      <c r="E531" s="12" t="s">
        <v>685</v>
      </c>
      <c r="F531" s="12">
        <v>2023</v>
      </c>
      <c r="G531" s="12" t="s">
        <v>686</v>
      </c>
      <c r="H531" s="12" t="s">
        <v>687</v>
      </c>
      <c r="I531" s="12" t="s">
        <v>13322</v>
      </c>
      <c r="K531" s="12" t="s">
        <v>42</v>
      </c>
      <c r="L531" s="12" t="s">
        <v>56</v>
      </c>
      <c r="M531" s="10">
        <v>1</v>
      </c>
    </row>
    <row r="532" spans="1:13" x14ac:dyDescent="0.25">
      <c r="A532" s="11">
        <v>506</v>
      </c>
      <c r="B532" s="12" t="s">
        <v>12118</v>
      </c>
      <c r="C532" s="12">
        <v>561</v>
      </c>
      <c r="D532" s="11" t="s">
        <v>9295</v>
      </c>
      <c r="E532" s="11" t="s">
        <v>9297</v>
      </c>
      <c r="F532" s="11">
        <v>2021</v>
      </c>
      <c r="G532" s="11" t="s">
        <v>9298</v>
      </c>
      <c r="H532" s="11" t="str">
        <f>HYPERLINK("http://dx.doi.org/10.1016/j.chb.2020.106486","http://dx.doi.org/10.1016/j.chb.2020.106486")</f>
        <v>http://dx.doi.org/10.1016/j.chb.2020.106486</v>
      </c>
      <c r="I532" s="11" t="s">
        <v>9300</v>
      </c>
      <c r="J532" s="11" t="s">
        <v>1507</v>
      </c>
      <c r="K532" s="11" t="s">
        <v>42</v>
      </c>
      <c r="L532" s="11" t="s">
        <v>56</v>
      </c>
      <c r="M532" s="9" t="s">
        <v>12142</v>
      </c>
    </row>
    <row r="533" spans="1:13" x14ac:dyDescent="0.25">
      <c r="A533" s="11">
        <v>564</v>
      </c>
      <c r="B533" s="12" t="s">
        <v>12118</v>
      </c>
      <c r="C533" s="12">
        <v>631</v>
      </c>
      <c r="D533" s="11" t="s">
        <v>1713</v>
      </c>
      <c r="E533" s="11" t="s">
        <v>1715</v>
      </c>
      <c r="F533" s="11">
        <v>2023</v>
      </c>
      <c r="G533" s="11" t="s">
        <v>1716</v>
      </c>
      <c r="H533" s="11" t="str">
        <f>HYPERLINK("http://dx.doi.org/10.1007/s40979-023-00146-z","http://dx.doi.org/10.1007/s40979-023-00146-z")</f>
        <v>http://dx.doi.org/10.1007/s40979-023-00146-z</v>
      </c>
      <c r="I533" s="11" t="s">
        <v>1718</v>
      </c>
      <c r="J533" s="11" t="s">
        <v>1717</v>
      </c>
      <c r="K533" s="11" t="s">
        <v>42</v>
      </c>
      <c r="L533" s="11" t="s">
        <v>56</v>
      </c>
      <c r="M533" s="9">
        <v>1</v>
      </c>
    </row>
    <row r="534" spans="1:13" x14ac:dyDescent="0.25">
      <c r="A534" s="11">
        <v>329</v>
      </c>
      <c r="B534" s="12" t="s">
        <v>12118</v>
      </c>
      <c r="C534" s="12">
        <v>371</v>
      </c>
      <c r="D534" s="11" t="s">
        <v>4411</v>
      </c>
      <c r="E534" s="11" t="s">
        <v>4413</v>
      </c>
      <c r="F534" s="11">
        <v>2023</v>
      </c>
      <c r="G534" s="11" t="s">
        <v>4414</v>
      </c>
      <c r="H534" s="11" t="str">
        <f>HYPERLINK("http://dx.doi.org/10.1038/s43856-023-00334-5","http://dx.doi.org/10.1038/s43856-023-00334-5")</f>
        <v>http://dx.doi.org/10.1038/s43856-023-00334-5</v>
      </c>
      <c r="I534" s="11" t="s">
        <v>4416</v>
      </c>
      <c r="J534" s="11" t="s">
        <v>1507</v>
      </c>
      <c r="K534" s="11" t="s">
        <v>42</v>
      </c>
      <c r="L534" s="11" t="s">
        <v>56</v>
      </c>
      <c r="M534" s="9" t="s">
        <v>12142</v>
      </c>
    </row>
    <row r="535" spans="1:13" x14ac:dyDescent="0.25">
      <c r="A535" s="11">
        <v>424</v>
      </c>
      <c r="B535" s="12" t="s">
        <v>12118</v>
      </c>
      <c r="C535" s="12">
        <v>471</v>
      </c>
      <c r="D535" s="11" t="s">
        <v>9679</v>
      </c>
      <c r="E535" s="11" t="s">
        <v>9681</v>
      </c>
      <c r="F535" s="11">
        <v>2020</v>
      </c>
      <c r="G535" s="11" t="s">
        <v>9682</v>
      </c>
      <c r="H535" s="11" t="str">
        <f>HYPERLINK("http://dx.doi.org/10.1093/jwelb/jwaa027","http://dx.doi.org/10.1093/jwelb/jwaa027")</f>
        <v>http://dx.doi.org/10.1093/jwelb/jwaa027</v>
      </c>
      <c r="I535" s="11" t="s">
        <v>9683</v>
      </c>
      <c r="J535" s="11" t="s">
        <v>1507</v>
      </c>
      <c r="K535" s="11" t="s">
        <v>42</v>
      </c>
      <c r="L535" s="11" t="s">
        <v>56</v>
      </c>
      <c r="M535" s="9" t="s">
        <v>12142</v>
      </c>
    </row>
    <row r="536" spans="1:13" x14ac:dyDescent="0.25">
      <c r="A536" s="11">
        <v>201</v>
      </c>
      <c r="B536" s="12" t="s">
        <v>12118</v>
      </c>
      <c r="C536" s="12">
        <v>219</v>
      </c>
      <c r="D536" s="11" t="s">
        <v>8969</v>
      </c>
      <c r="E536" s="11" t="s">
        <v>8971</v>
      </c>
      <c r="F536" s="11">
        <v>2021</v>
      </c>
      <c r="G536" s="11" t="s">
        <v>8972</v>
      </c>
      <c r="H536" s="11" t="str">
        <f>HYPERLINK("http://dx.doi.org/10.3390/min11030323","http://dx.doi.org/10.3390/min11030323")</f>
        <v>http://dx.doi.org/10.3390/min11030323</v>
      </c>
      <c r="I536" s="11" t="s">
        <v>8975</v>
      </c>
      <c r="J536" s="11" t="s">
        <v>8973</v>
      </c>
      <c r="K536" s="11" t="s">
        <v>42</v>
      </c>
      <c r="L536" s="11" t="s">
        <v>56</v>
      </c>
      <c r="M536" s="9" t="s">
        <v>12142</v>
      </c>
    </row>
    <row r="537" spans="1:13" x14ac:dyDescent="0.25">
      <c r="A537" s="11">
        <v>504</v>
      </c>
      <c r="B537" s="12" t="s">
        <v>12118</v>
      </c>
      <c r="C537" s="12">
        <v>559</v>
      </c>
      <c r="D537" s="11" t="s">
        <v>5117</v>
      </c>
      <c r="E537" s="11" t="s">
        <v>5119</v>
      </c>
      <c r="F537" s="11">
        <v>2022</v>
      </c>
      <c r="G537" s="11" t="s">
        <v>5120</v>
      </c>
      <c r="H537" s="11" t="str">
        <f>HYPERLINK("http://dx.doi.org/10.1080/1460728x.2023.2206291","http://dx.doi.org/10.1080/1460728x.2023.2206291")</f>
        <v>http://dx.doi.org/10.1080/1460728x.2023.2206291</v>
      </c>
      <c r="I537" s="11" t="s">
        <v>5123</v>
      </c>
      <c r="J537" s="11" t="s">
        <v>5121</v>
      </c>
      <c r="K537" s="11" t="s">
        <v>42</v>
      </c>
      <c r="L537" s="11" t="s">
        <v>56</v>
      </c>
      <c r="M537" s="9" t="s">
        <v>12142</v>
      </c>
    </row>
    <row r="538" spans="1:13" x14ac:dyDescent="0.25">
      <c r="A538" s="11">
        <v>93</v>
      </c>
      <c r="B538" s="12" t="s">
        <v>12118</v>
      </c>
      <c r="C538" s="12">
        <v>93</v>
      </c>
      <c r="D538" s="11" t="s">
        <v>9033</v>
      </c>
      <c r="E538" s="11" t="s">
        <v>9035</v>
      </c>
      <c r="F538" s="11">
        <v>2021</v>
      </c>
      <c r="G538" s="11" t="s">
        <v>9036</v>
      </c>
      <c r="H538" s="11" t="s">
        <v>1507</v>
      </c>
      <c r="I538" s="11" t="s">
        <v>9038</v>
      </c>
      <c r="J538" s="11" t="s">
        <v>9037</v>
      </c>
      <c r="K538" s="11" t="s">
        <v>42</v>
      </c>
      <c r="L538" s="11" t="s">
        <v>56</v>
      </c>
      <c r="M538" s="9" t="s">
        <v>12142</v>
      </c>
    </row>
    <row r="539" spans="1:13" x14ac:dyDescent="0.25">
      <c r="A539" s="11">
        <v>593</v>
      </c>
      <c r="B539" s="12" t="s">
        <v>12118</v>
      </c>
      <c r="C539" s="12">
        <v>661</v>
      </c>
      <c r="D539" s="11" t="s">
        <v>7979</v>
      </c>
      <c r="E539" s="11" t="s">
        <v>7981</v>
      </c>
      <c r="F539" s="11">
        <v>2022</v>
      </c>
      <c r="G539" s="11" t="s">
        <v>7982</v>
      </c>
      <c r="H539" s="11" t="str">
        <f>HYPERLINK("http://dx.doi.org/10.1093/jxb/erab430","http://dx.doi.org/10.1093/jxb/erab430")</f>
        <v>http://dx.doi.org/10.1093/jxb/erab430</v>
      </c>
      <c r="I539" s="11" t="s">
        <v>7985</v>
      </c>
      <c r="J539" s="11" t="s">
        <v>7983</v>
      </c>
      <c r="K539" s="11" t="s">
        <v>42</v>
      </c>
      <c r="L539" s="11" t="s">
        <v>56</v>
      </c>
      <c r="M539" s="9" t="s">
        <v>12142</v>
      </c>
    </row>
    <row r="540" spans="1:13" x14ac:dyDescent="0.25">
      <c r="A540" s="12">
        <v>36</v>
      </c>
      <c r="B540" s="12" t="s">
        <v>12204</v>
      </c>
      <c r="C540" s="12">
        <v>116</v>
      </c>
      <c r="D540" s="12" t="s">
        <v>13494</v>
      </c>
      <c r="E540" s="12" t="s">
        <v>714</v>
      </c>
      <c r="F540" s="12">
        <v>2023</v>
      </c>
      <c r="G540" s="12" t="s">
        <v>715</v>
      </c>
      <c r="H540" s="12" t="s">
        <v>716</v>
      </c>
      <c r="I540" s="12" t="s">
        <v>718</v>
      </c>
      <c r="J540" s="12" t="s">
        <v>719</v>
      </c>
      <c r="K540" s="12" t="s">
        <v>42</v>
      </c>
      <c r="L540" s="12" t="s">
        <v>56</v>
      </c>
      <c r="M540" s="10">
        <v>1</v>
      </c>
    </row>
    <row r="541" spans="1:13" x14ac:dyDescent="0.25">
      <c r="A541" s="11">
        <v>289</v>
      </c>
      <c r="B541" s="12" t="s">
        <v>12118</v>
      </c>
      <c r="C541" s="12">
        <v>322</v>
      </c>
      <c r="D541" s="11" t="s">
        <v>9070</v>
      </c>
      <c r="E541" s="11" t="s">
        <v>9072</v>
      </c>
      <c r="F541" s="11">
        <v>2021</v>
      </c>
      <c r="G541" s="11" t="s">
        <v>3555</v>
      </c>
      <c r="H541" s="11" t="str">
        <f>HYPERLINK("http://dx.doi.org/10.1017/S0021855320000236","http://dx.doi.org/10.1017/S0021855320000236")</f>
        <v>http://dx.doi.org/10.1017/S0021855320000236</v>
      </c>
      <c r="I541" s="11" t="s">
        <v>9074</v>
      </c>
      <c r="J541" s="11" t="s">
        <v>9073</v>
      </c>
      <c r="K541" s="11" t="s">
        <v>42</v>
      </c>
      <c r="L541" s="11" t="s">
        <v>56</v>
      </c>
      <c r="M541" s="9" t="s">
        <v>12142</v>
      </c>
    </row>
    <row r="542" spans="1:13" x14ac:dyDescent="0.25">
      <c r="A542" s="11">
        <v>565</v>
      </c>
      <c r="B542" s="12" t="s">
        <v>12118</v>
      </c>
      <c r="C542" s="12">
        <v>632</v>
      </c>
      <c r="D542" s="11" t="s">
        <v>7301</v>
      </c>
      <c r="E542" s="11" t="s">
        <v>7303</v>
      </c>
      <c r="F542" s="11">
        <v>2022</v>
      </c>
      <c r="G542" s="11" t="s">
        <v>7304</v>
      </c>
      <c r="H542" s="11" t="str">
        <f>HYPERLINK("http://dx.doi.org/10.1108/IJSE-02-2021-0114","http://dx.doi.org/10.1108/IJSE-02-2021-0114")</f>
        <v>http://dx.doi.org/10.1108/IJSE-02-2021-0114</v>
      </c>
      <c r="I542" s="11" t="s">
        <v>7307</v>
      </c>
      <c r="J542" s="11" t="s">
        <v>7305</v>
      </c>
      <c r="K542" s="11" t="s">
        <v>42</v>
      </c>
      <c r="L542" s="11" t="s">
        <v>56</v>
      </c>
      <c r="M542" s="9" t="s">
        <v>12142</v>
      </c>
    </row>
    <row r="543" spans="1:13" x14ac:dyDescent="0.25">
      <c r="A543" s="12">
        <v>89</v>
      </c>
      <c r="B543" s="12" t="s">
        <v>12204</v>
      </c>
      <c r="C543" s="12">
        <v>311</v>
      </c>
      <c r="D543" s="12" t="s">
        <v>12348</v>
      </c>
      <c r="E543" s="12" t="s">
        <v>943</v>
      </c>
      <c r="F543" s="12">
        <v>2023</v>
      </c>
      <c r="G543" s="12" t="s">
        <v>944</v>
      </c>
      <c r="H543" s="12" t="s">
        <v>945</v>
      </c>
      <c r="I543" s="12" t="s">
        <v>948</v>
      </c>
      <c r="J543" s="12" t="s">
        <v>949</v>
      </c>
      <c r="K543" s="12" t="s">
        <v>42</v>
      </c>
      <c r="L543" s="12" t="s">
        <v>56</v>
      </c>
      <c r="M543" s="10">
        <v>1</v>
      </c>
    </row>
    <row r="544" spans="1:13" x14ac:dyDescent="0.25">
      <c r="A544" s="11">
        <v>97</v>
      </c>
      <c r="B544" s="12" t="s">
        <v>12118</v>
      </c>
      <c r="C544" s="12">
        <v>98</v>
      </c>
      <c r="D544" s="11" t="s">
        <v>13807</v>
      </c>
      <c r="E544" s="11" t="s">
        <v>13809</v>
      </c>
      <c r="F544" s="11">
        <v>2023</v>
      </c>
      <c r="G544" s="11" t="s">
        <v>3251</v>
      </c>
      <c r="H544" s="11" t="str">
        <f>HYPERLINK("http://dx.doi.org/10.1073/pnas.2316205120","http://dx.doi.org/10.1073/pnas.2316205120")</f>
        <v>http://dx.doi.org/10.1073/pnas.2316205120</v>
      </c>
      <c r="I544" s="11" t="s">
        <v>13812</v>
      </c>
      <c r="J544" s="11" t="s">
        <v>13810</v>
      </c>
      <c r="K544" s="11" t="s">
        <v>42</v>
      </c>
      <c r="L544" s="11" t="s">
        <v>56</v>
      </c>
      <c r="M544" s="9" t="s">
        <v>12142</v>
      </c>
    </row>
    <row r="545" spans="1:13" x14ac:dyDescent="0.25">
      <c r="A545" s="11">
        <v>19</v>
      </c>
      <c r="B545" s="12" t="s">
        <v>12118</v>
      </c>
      <c r="C545" s="12">
        <v>21</v>
      </c>
      <c r="D545" s="11" t="s">
        <v>4393</v>
      </c>
      <c r="E545" s="11" t="s">
        <v>4395</v>
      </c>
      <c r="F545" s="11">
        <v>2023</v>
      </c>
      <c r="G545" s="11" t="s">
        <v>4396</v>
      </c>
      <c r="H545" s="11" t="str">
        <f>HYPERLINK("http://dx.doi.org/10.1016/j.sapharm.2023.05.016","http://dx.doi.org/10.1016/j.sapharm.2023.05.016")</f>
        <v>http://dx.doi.org/10.1016/j.sapharm.2023.05.016</v>
      </c>
      <c r="I545" s="11" t="s">
        <v>4399</v>
      </c>
      <c r="J545" s="11" t="s">
        <v>4397</v>
      </c>
      <c r="K545" s="11" t="s">
        <v>42</v>
      </c>
      <c r="L545" s="11" t="s">
        <v>56</v>
      </c>
      <c r="M545" s="9">
        <v>1</v>
      </c>
    </row>
    <row r="546" spans="1:13" x14ac:dyDescent="0.25">
      <c r="A546" s="11">
        <v>582</v>
      </c>
      <c r="B546" s="12" t="s">
        <v>12118</v>
      </c>
      <c r="C546" s="12">
        <v>651</v>
      </c>
      <c r="D546" s="11" t="s">
        <v>14226</v>
      </c>
      <c r="E546" s="11" t="s">
        <v>14228</v>
      </c>
      <c r="F546" s="11">
        <v>2023</v>
      </c>
      <c r="G546" s="11" t="s">
        <v>1760</v>
      </c>
      <c r="H546" s="11" t="str">
        <f>HYPERLINK("http://dx.doi.org/10.1038/s41586-023-06631-2","http://dx.doi.org/10.1038/s41586-023-06631-2")</f>
        <v>http://dx.doi.org/10.1038/s41586-023-06631-2</v>
      </c>
      <c r="I546" s="11" t="s">
        <v>14230</v>
      </c>
      <c r="J546" s="11" t="s">
        <v>1507</v>
      </c>
      <c r="K546" s="11" t="s">
        <v>42</v>
      </c>
      <c r="L546" s="11" t="s">
        <v>56</v>
      </c>
      <c r="M546" s="9" t="s">
        <v>12142</v>
      </c>
    </row>
    <row r="547" spans="1:13" x14ac:dyDescent="0.25">
      <c r="A547" s="11">
        <v>299</v>
      </c>
      <c r="B547" s="12" t="s">
        <v>12118</v>
      </c>
      <c r="C547" s="12">
        <v>332</v>
      </c>
      <c r="D547" s="11" t="s">
        <v>10115</v>
      </c>
      <c r="E547" s="11" t="s">
        <v>10117</v>
      </c>
      <c r="F547" s="11">
        <v>2020</v>
      </c>
      <c r="G547" s="11" t="s">
        <v>9535</v>
      </c>
      <c r="H547" s="11" t="str">
        <f>HYPERLINK("http://dx.doi.org/10.1163/22119000-12340169","http://dx.doi.org/10.1163/22119000-12340169")</f>
        <v>http://dx.doi.org/10.1163/22119000-12340169</v>
      </c>
      <c r="I547" s="11" t="s">
        <v>10119</v>
      </c>
      <c r="J547" s="11" t="s">
        <v>10118</v>
      </c>
      <c r="K547" s="11" t="s">
        <v>42</v>
      </c>
      <c r="L547" s="11" t="s">
        <v>56</v>
      </c>
      <c r="M547" s="9" t="s">
        <v>12142</v>
      </c>
    </row>
    <row r="548" spans="1:13" x14ac:dyDescent="0.25">
      <c r="A548" s="11">
        <v>586</v>
      </c>
      <c r="B548" s="12" t="s">
        <v>12118</v>
      </c>
      <c r="C548" s="12">
        <v>655</v>
      </c>
      <c r="D548" s="11" t="s">
        <v>8472</v>
      </c>
      <c r="E548" s="11" t="s">
        <v>8474</v>
      </c>
      <c r="F548" s="11">
        <v>2021</v>
      </c>
      <c r="G548" s="11" t="s">
        <v>7141</v>
      </c>
      <c r="H548" s="11" t="str">
        <f>HYPERLINK("http://dx.doi.org/10.1016/j.scitotenv.2021.148000","http://dx.doi.org/10.1016/j.scitotenv.2021.148000")</f>
        <v>http://dx.doi.org/10.1016/j.scitotenv.2021.148000</v>
      </c>
      <c r="I548" s="11" t="s">
        <v>8477</v>
      </c>
      <c r="J548" s="11" t="s">
        <v>8475</v>
      </c>
      <c r="K548" s="11" t="s">
        <v>42</v>
      </c>
      <c r="L548" s="11" t="s">
        <v>56</v>
      </c>
      <c r="M548" s="9" t="s">
        <v>12142</v>
      </c>
    </row>
    <row r="549" spans="1:13" x14ac:dyDescent="0.25">
      <c r="A549" s="11">
        <v>242</v>
      </c>
      <c r="B549" s="12" t="s">
        <v>12118</v>
      </c>
      <c r="C549" s="12">
        <v>266</v>
      </c>
      <c r="D549" s="11" t="s">
        <v>10308</v>
      </c>
      <c r="E549" s="11" t="s">
        <v>11363</v>
      </c>
      <c r="F549" s="11">
        <v>2019</v>
      </c>
      <c r="G549" s="11" t="s">
        <v>9248</v>
      </c>
      <c r="H549" s="11" t="s">
        <v>1507</v>
      </c>
      <c r="I549" s="11" t="s">
        <v>11364</v>
      </c>
      <c r="J549" s="11" t="s">
        <v>1507</v>
      </c>
      <c r="K549" s="11" t="s">
        <v>42</v>
      </c>
      <c r="L549" s="11" t="s">
        <v>56</v>
      </c>
      <c r="M549" s="9" t="s">
        <v>12142</v>
      </c>
    </row>
    <row r="550" spans="1:13" x14ac:dyDescent="0.25">
      <c r="A550" s="11">
        <v>156</v>
      </c>
      <c r="B550" s="12" t="s">
        <v>12118</v>
      </c>
      <c r="C550" s="12">
        <v>165</v>
      </c>
      <c r="D550" s="11" t="s">
        <v>8642</v>
      </c>
      <c r="E550" s="11" t="s">
        <v>8644</v>
      </c>
      <c r="F550" s="11">
        <v>2021</v>
      </c>
      <c r="G550" s="11" t="s">
        <v>8645</v>
      </c>
      <c r="H550" s="11" t="str">
        <f>HYPERLINK("http://dx.doi.org/10.1093/jicj/mqab019","http://dx.doi.org/10.1093/jicj/mqab019")</f>
        <v>http://dx.doi.org/10.1093/jicj/mqab019</v>
      </c>
      <c r="I550" s="11" t="s">
        <v>8647</v>
      </c>
      <c r="J550" s="11" t="s">
        <v>1507</v>
      </c>
      <c r="K550" s="11" t="s">
        <v>42</v>
      </c>
      <c r="L550" s="11" t="s">
        <v>56</v>
      </c>
      <c r="M550" s="9" t="s">
        <v>12142</v>
      </c>
    </row>
    <row r="551" spans="1:13" x14ac:dyDescent="0.25">
      <c r="A551" s="12">
        <v>85</v>
      </c>
      <c r="B551" s="12" t="s">
        <v>12204</v>
      </c>
      <c r="C551" s="12">
        <v>300</v>
      </c>
      <c r="D551" s="13" t="s">
        <v>375</v>
      </c>
      <c r="E551" s="13" t="s">
        <v>376</v>
      </c>
      <c r="F551" s="13">
        <v>2024</v>
      </c>
      <c r="G551" s="13" t="s">
        <v>377</v>
      </c>
      <c r="H551" s="13" t="s">
        <v>378</v>
      </c>
      <c r="I551" s="13" t="s">
        <v>379</v>
      </c>
      <c r="J551" s="13" t="s">
        <v>380</v>
      </c>
      <c r="K551" s="12" t="s">
        <v>42</v>
      </c>
      <c r="L551" s="11" t="s">
        <v>56</v>
      </c>
      <c r="M551" s="10">
        <v>1</v>
      </c>
    </row>
    <row r="552" spans="1:13" x14ac:dyDescent="0.25">
      <c r="A552" s="11">
        <v>600</v>
      </c>
      <c r="B552" s="12" t="s">
        <v>12118</v>
      </c>
      <c r="C552" s="12">
        <v>671</v>
      </c>
      <c r="D552" s="11" t="s">
        <v>4790</v>
      </c>
      <c r="E552" s="11" t="s">
        <v>4792</v>
      </c>
      <c r="F552" s="11">
        <v>2023</v>
      </c>
      <c r="G552" s="11" t="s">
        <v>4793</v>
      </c>
      <c r="H552" s="11" t="s">
        <v>1507</v>
      </c>
      <c r="I552" s="11" t="s">
        <v>4796</v>
      </c>
      <c r="J552" s="11" t="s">
        <v>4794</v>
      </c>
      <c r="K552" s="11" t="s">
        <v>42</v>
      </c>
      <c r="L552" s="11" t="s">
        <v>56</v>
      </c>
      <c r="M552" s="9" t="s">
        <v>12142</v>
      </c>
    </row>
    <row r="553" spans="1:13" x14ac:dyDescent="0.25">
      <c r="A553" s="11">
        <v>231</v>
      </c>
      <c r="B553" s="12" t="s">
        <v>12118</v>
      </c>
      <c r="C553" s="12">
        <v>254</v>
      </c>
      <c r="D553" s="11" t="s">
        <v>8702</v>
      </c>
      <c r="E553" s="11" t="s">
        <v>8704</v>
      </c>
      <c r="F553" s="11">
        <v>2021</v>
      </c>
      <c r="G553" s="11" t="s">
        <v>5034</v>
      </c>
      <c r="H553" s="11" t="str">
        <f>HYPERLINK("http://dx.doi.org/10.3366/ajicl.2021.0363","http://dx.doi.org/10.3366/ajicl.2021.0363")</f>
        <v>http://dx.doi.org/10.3366/ajicl.2021.0363</v>
      </c>
      <c r="I553" s="11" t="s">
        <v>1507</v>
      </c>
      <c r="J553" s="11" t="s">
        <v>1507</v>
      </c>
      <c r="K553" s="11" t="s">
        <v>42</v>
      </c>
      <c r="L553" s="11" t="s">
        <v>56</v>
      </c>
      <c r="M553" s="9" t="s">
        <v>12142</v>
      </c>
    </row>
    <row r="554" spans="1:13" x14ac:dyDescent="0.25">
      <c r="A554" s="11">
        <v>318</v>
      </c>
      <c r="B554" s="12" t="s">
        <v>12118</v>
      </c>
      <c r="C554" s="12">
        <v>357</v>
      </c>
      <c r="D554" s="11" t="s">
        <v>8793</v>
      </c>
      <c r="E554" s="11" t="s">
        <v>8795</v>
      </c>
      <c r="F554" s="11">
        <v>2021</v>
      </c>
      <c r="G554" s="11" t="s">
        <v>8796</v>
      </c>
      <c r="H554" s="11" t="str">
        <f>HYPERLINK("http://dx.doi.org/10.1093/tandt/ttab013","http://dx.doi.org/10.1093/tandt/ttab013")</f>
        <v>http://dx.doi.org/10.1093/tandt/ttab013</v>
      </c>
      <c r="I554" s="11" t="s">
        <v>8797</v>
      </c>
      <c r="J554" s="11" t="s">
        <v>1507</v>
      </c>
      <c r="K554" s="11" t="s">
        <v>42</v>
      </c>
      <c r="L554" s="11" t="s">
        <v>56</v>
      </c>
      <c r="M554" s="9" t="s">
        <v>12142</v>
      </c>
    </row>
    <row r="555" spans="1:13" x14ac:dyDescent="0.25">
      <c r="A555" s="11">
        <v>549</v>
      </c>
      <c r="B555" s="12" t="s">
        <v>12118</v>
      </c>
      <c r="C555" s="12">
        <v>615</v>
      </c>
      <c r="D555" s="11" t="s">
        <v>10415</v>
      </c>
      <c r="E555" s="11" t="s">
        <v>10417</v>
      </c>
      <c r="F555" s="11">
        <v>2020</v>
      </c>
      <c r="G555" s="11" t="s">
        <v>10418</v>
      </c>
      <c r="H555" s="11" t="s">
        <v>1507</v>
      </c>
      <c r="I555" s="11" t="s">
        <v>10419</v>
      </c>
      <c r="J555" s="11" t="s">
        <v>1507</v>
      </c>
      <c r="K555" s="11" t="s">
        <v>42</v>
      </c>
      <c r="L555" s="11" t="s">
        <v>56</v>
      </c>
      <c r="M555" s="9" t="s">
        <v>12142</v>
      </c>
    </row>
    <row r="556" spans="1:13" x14ac:dyDescent="0.25">
      <c r="A556" s="11">
        <v>380</v>
      </c>
      <c r="B556" s="12" t="s">
        <v>12118</v>
      </c>
      <c r="C556" s="12">
        <v>420</v>
      </c>
      <c r="D556" s="11" t="s">
        <v>3552</v>
      </c>
      <c r="E556" s="11" t="s">
        <v>3554</v>
      </c>
      <c r="F556" s="11">
        <v>2023</v>
      </c>
      <c r="G556" s="11" t="s">
        <v>3555</v>
      </c>
      <c r="H556" s="11" t="str">
        <f>HYPERLINK("http://dx.doi.org/10.1017/S0021855323000244","http://dx.doi.org/10.1017/S0021855323000244")</f>
        <v>http://dx.doi.org/10.1017/S0021855323000244</v>
      </c>
      <c r="I556" s="11" t="s">
        <v>3557</v>
      </c>
      <c r="J556" s="11" t="s">
        <v>3556</v>
      </c>
      <c r="K556" s="11" t="s">
        <v>42</v>
      </c>
      <c r="L556" s="11" t="s">
        <v>56</v>
      </c>
      <c r="M556" s="9" t="s">
        <v>12142</v>
      </c>
    </row>
    <row r="557" spans="1:13" x14ac:dyDescent="0.25">
      <c r="A557" s="11">
        <v>326</v>
      </c>
      <c r="B557" s="12" t="s">
        <v>12118</v>
      </c>
      <c r="C557" s="12">
        <v>369</v>
      </c>
      <c r="D557" s="11" t="s">
        <v>6921</v>
      </c>
      <c r="E557" s="11" t="s">
        <v>6923</v>
      </c>
      <c r="F557" s="11">
        <v>2023</v>
      </c>
      <c r="G557" s="11" t="s">
        <v>6924</v>
      </c>
      <c r="H557" s="11" t="str">
        <f>HYPERLINK("http://dx.doi.org/10.1111/odi.14340","http://dx.doi.org/10.1111/odi.14340")</f>
        <v>http://dx.doi.org/10.1111/odi.14340</v>
      </c>
      <c r="I557" s="11" t="s">
        <v>6927</v>
      </c>
      <c r="J557" s="11" t="s">
        <v>6925</v>
      </c>
      <c r="K557" s="11" t="s">
        <v>42</v>
      </c>
      <c r="L557" s="11" t="s">
        <v>56</v>
      </c>
      <c r="M557" s="9" t="s">
        <v>12142</v>
      </c>
    </row>
    <row r="558" spans="1:13" x14ac:dyDescent="0.25">
      <c r="A558" s="11">
        <v>408</v>
      </c>
      <c r="B558" s="12" t="s">
        <v>12118</v>
      </c>
      <c r="C558" s="12">
        <v>451</v>
      </c>
      <c r="D558" s="11" t="s">
        <v>11370</v>
      </c>
      <c r="E558" s="11" t="s">
        <v>11372</v>
      </c>
      <c r="F558" s="11">
        <v>2019</v>
      </c>
      <c r="G558" s="11" t="s">
        <v>11373</v>
      </c>
      <c r="H558" s="11" t="str">
        <f>HYPERLINK("http://dx.doi.org/10.1080/17441048.2019.1684917","http://dx.doi.org/10.1080/17441048.2019.1684917")</f>
        <v>http://dx.doi.org/10.1080/17441048.2019.1684917</v>
      </c>
      <c r="I558" s="11" t="s">
        <v>11376</v>
      </c>
      <c r="J558" s="11" t="s">
        <v>11374</v>
      </c>
      <c r="K558" s="11" t="s">
        <v>42</v>
      </c>
      <c r="L558" s="11" t="s">
        <v>56</v>
      </c>
      <c r="M558" s="9" t="s">
        <v>12142</v>
      </c>
    </row>
    <row r="559" spans="1:13" x14ac:dyDescent="0.25">
      <c r="A559" s="11">
        <v>419</v>
      </c>
      <c r="B559" s="12" t="s">
        <v>12118</v>
      </c>
      <c r="C559" s="12">
        <v>465</v>
      </c>
      <c r="D559" s="11" t="s">
        <v>12049</v>
      </c>
      <c r="E559" s="11" t="s">
        <v>12051</v>
      </c>
      <c r="F559" s="11">
        <v>2018</v>
      </c>
      <c r="G559" s="11" t="s">
        <v>11888</v>
      </c>
      <c r="H559" s="11" t="s">
        <v>1507</v>
      </c>
      <c r="I559" s="11" t="s">
        <v>12052</v>
      </c>
      <c r="J559" s="11" t="s">
        <v>1507</v>
      </c>
      <c r="K559" s="11" t="s">
        <v>42</v>
      </c>
      <c r="L559" s="11" t="s">
        <v>56</v>
      </c>
      <c r="M559" s="9">
        <v>1</v>
      </c>
    </row>
    <row r="560" spans="1:13" x14ac:dyDescent="0.25">
      <c r="A560" s="11">
        <v>154</v>
      </c>
      <c r="B560" s="12" t="s">
        <v>12118</v>
      </c>
      <c r="C560" s="12">
        <v>163</v>
      </c>
      <c r="D560" s="11" t="s">
        <v>10664</v>
      </c>
      <c r="E560" s="11" t="s">
        <v>10666</v>
      </c>
      <c r="F560" s="11">
        <v>2019</v>
      </c>
      <c r="G560" s="11" t="s">
        <v>10667</v>
      </c>
      <c r="H560" s="11" t="str">
        <f>HYPERLINK("http://dx.doi.org/10.1111/1468-2230.12438","http://dx.doi.org/10.1111/1468-2230.12438")</f>
        <v>http://dx.doi.org/10.1111/1468-2230.12438</v>
      </c>
      <c r="I560" s="11" t="s">
        <v>10668</v>
      </c>
      <c r="J560" s="11" t="s">
        <v>1507</v>
      </c>
      <c r="K560" s="11" t="s">
        <v>42</v>
      </c>
      <c r="L560" s="11" t="s">
        <v>56</v>
      </c>
      <c r="M560" s="9" t="s">
        <v>12142</v>
      </c>
    </row>
    <row r="561" spans="1:13" x14ac:dyDescent="0.25">
      <c r="A561" s="11">
        <v>205</v>
      </c>
      <c r="B561" s="12" t="s">
        <v>12118</v>
      </c>
      <c r="C561" s="12">
        <v>224</v>
      </c>
      <c r="D561" s="11" t="s">
        <v>15764</v>
      </c>
      <c r="E561" s="11" t="s">
        <v>9194</v>
      </c>
      <c r="F561" s="11">
        <v>2021</v>
      </c>
      <c r="G561" s="11" t="s">
        <v>9195</v>
      </c>
      <c r="H561" s="11" t="str">
        <f>HYPERLINK("http://dx.doi.org/10.3390/antiox10010135","http://dx.doi.org/10.3390/antiox10010135")</f>
        <v>http://dx.doi.org/10.3390/antiox10010135</v>
      </c>
      <c r="I561" s="11" t="s">
        <v>9198</v>
      </c>
      <c r="J561" s="11" t="s">
        <v>9196</v>
      </c>
      <c r="K561" s="11" t="s">
        <v>42</v>
      </c>
      <c r="L561" s="11" t="s">
        <v>56</v>
      </c>
      <c r="M561" s="9" t="s">
        <v>12142</v>
      </c>
    </row>
    <row r="562" spans="1:13" x14ac:dyDescent="0.25">
      <c r="A562" s="12">
        <v>175</v>
      </c>
      <c r="B562" s="12" t="s">
        <v>12204</v>
      </c>
      <c r="C562" s="12">
        <v>664</v>
      </c>
      <c r="D562" s="12" t="s">
        <v>12309</v>
      </c>
      <c r="E562" s="12" t="s">
        <v>1093</v>
      </c>
      <c r="F562" s="12">
        <v>2021</v>
      </c>
      <c r="G562" s="12" t="s">
        <v>1094</v>
      </c>
      <c r="H562" s="12" t="s">
        <v>1095</v>
      </c>
      <c r="I562" s="12" t="s">
        <v>1098</v>
      </c>
      <c r="J562" s="12" t="s">
        <v>1099</v>
      </c>
      <c r="K562" s="12" t="s">
        <v>42</v>
      </c>
      <c r="L562" s="12" t="s">
        <v>56</v>
      </c>
      <c r="M562" s="9" t="s">
        <v>12142</v>
      </c>
    </row>
    <row r="563" spans="1:13" x14ac:dyDescent="0.25">
      <c r="A563" s="12">
        <v>32</v>
      </c>
      <c r="B563" s="12" t="s">
        <v>12204</v>
      </c>
      <c r="C563" s="12">
        <v>104</v>
      </c>
      <c r="D563" s="12" t="s">
        <v>13438</v>
      </c>
      <c r="E563" s="12" t="s">
        <v>646</v>
      </c>
      <c r="F563" s="12">
        <v>2023</v>
      </c>
      <c r="G563" s="12" t="s">
        <v>647</v>
      </c>
      <c r="H563" s="12" t="s">
        <v>648</v>
      </c>
      <c r="I563" s="12" t="s">
        <v>651</v>
      </c>
      <c r="J563" s="12" t="s">
        <v>652</v>
      </c>
      <c r="K563" s="12" t="s">
        <v>42</v>
      </c>
      <c r="L563" s="12" t="s">
        <v>56</v>
      </c>
      <c r="M563" s="9" t="s">
        <v>12142</v>
      </c>
    </row>
    <row r="564" spans="1:13" x14ac:dyDescent="0.25">
      <c r="A564" s="11">
        <v>179</v>
      </c>
      <c r="B564" s="12" t="s">
        <v>12118</v>
      </c>
      <c r="C564" s="12">
        <v>195</v>
      </c>
      <c r="D564" s="11" t="s">
        <v>8321</v>
      </c>
      <c r="E564" s="11" t="s">
        <v>8323</v>
      </c>
      <c r="F564" s="11">
        <v>2021</v>
      </c>
      <c r="G564" s="11" t="s">
        <v>4793</v>
      </c>
      <c r="H564" s="11" t="str">
        <f>HYPERLINK("http://dx.doi.org/10.4337/qmjip.2021.03.03","http://dx.doi.org/10.4337/qmjip.2021.03.03")</f>
        <v>http://dx.doi.org/10.4337/qmjip.2021.03.03</v>
      </c>
      <c r="I564" s="11" t="s">
        <v>8325</v>
      </c>
      <c r="J564" s="11" t="s">
        <v>8324</v>
      </c>
      <c r="K564" s="11" t="s">
        <v>42</v>
      </c>
      <c r="L564" s="11" t="s">
        <v>56</v>
      </c>
      <c r="M564" s="9" t="s">
        <v>12142</v>
      </c>
    </row>
    <row r="565" spans="1:13" x14ac:dyDescent="0.25">
      <c r="A565" s="12">
        <v>137</v>
      </c>
      <c r="B565" s="12" t="s">
        <v>12204</v>
      </c>
      <c r="C565" s="12">
        <v>492</v>
      </c>
      <c r="D565" s="12" t="s">
        <v>13173</v>
      </c>
      <c r="E565" s="12" t="s">
        <v>442</v>
      </c>
      <c r="F565" s="12">
        <v>2023</v>
      </c>
      <c r="G565" s="12" t="s">
        <v>305</v>
      </c>
      <c r="H565" s="12" t="s">
        <v>443</v>
      </c>
      <c r="I565" s="12" t="s">
        <v>446</v>
      </c>
      <c r="J565" s="12" t="s">
        <v>447</v>
      </c>
      <c r="K565" s="12" t="s">
        <v>42</v>
      </c>
      <c r="L565" s="12" t="s">
        <v>56</v>
      </c>
      <c r="M565" s="10">
        <v>1</v>
      </c>
    </row>
    <row r="566" spans="1:13" x14ac:dyDescent="0.25">
      <c r="A566" s="11">
        <v>397</v>
      </c>
      <c r="B566" s="12" t="s">
        <v>12118</v>
      </c>
      <c r="C566" s="12">
        <v>440</v>
      </c>
      <c r="D566" s="11" t="s">
        <v>10027</v>
      </c>
      <c r="E566" s="11" t="s">
        <v>10029</v>
      </c>
      <c r="F566" s="11">
        <v>2020</v>
      </c>
      <c r="G566" s="11" t="s">
        <v>10030</v>
      </c>
      <c r="H566" s="11" t="s">
        <v>1507</v>
      </c>
      <c r="I566" s="11" t="s">
        <v>10032</v>
      </c>
      <c r="J566" s="11" t="s">
        <v>10031</v>
      </c>
      <c r="K566" s="11" t="s">
        <v>42</v>
      </c>
      <c r="L566" s="11" t="s">
        <v>56</v>
      </c>
      <c r="M566" s="9" t="s">
        <v>12142</v>
      </c>
    </row>
    <row r="567" spans="1:13" x14ac:dyDescent="0.25">
      <c r="A567" s="11">
        <v>100</v>
      </c>
      <c r="B567" s="12" t="s">
        <v>12118</v>
      </c>
      <c r="C567" s="12">
        <v>101</v>
      </c>
      <c r="D567" s="11" t="s">
        <v>7694</v>
      </c>
      <c r="E567" s="11" t="s">
        <v>7696</v>
      </c>
      <c r="F567" s="11">
        <v>2022</v>
      </c>
      <c r="G567" s="11" t="s">
        <v>7697</v>
      </c>
      <c r="H567" s="11" t="s">
        <v>1507</v>
      </c>
      <c r="I567" s="11" t="s">
        <v>7699</v>
      </c>
      <c r="J567" s="11" t="s">
        <v>1507</v>
      </c>
      <c r="K567" s="11" t="s">
        <v>42</v>
      </c>
      <c r="L567" s="11" t="s">
        <v>56</v>
      </c>
      <c r="M567" s="9" t="s">
        <v>12142</v>
      </c>
    </row>
    <row r="568" spans="1:13" x14ac:dyDescent="0.25">
      <c r="A568" s="12">
        <v>25</v>
      </c>
      <c r="B568" s="12" t="s">
        <v>12204</v>
      </c>
      <c r="C568" s="12">
        <v>66</v>
      </c>
      <c r="D568" s="12" t="s">
        <v>12794</v>
      </c>
      <c r="E568" s="12" t="s">
        <v>639</v>
      </c>
      <c r="F568" s="12">
        <v>2023</v>
      </c>
      <c r="G568" s="12" t="s">
        <v>383</v>
      </c>
      <c r="I568" s="12" t="s">
        <v>642</v>
      </c>
      <c r="J568" s="12" t="s">
        <v>643</v>
      </c>
      <c r="K568" s="12" t="s">
        <v>42</v>
      </c>
      <c r="L568" s="12" t="s">
        <v>12252</v>
      </c>
      <c r="M568" s="10">
        <v>1</v>
      </c>
    </row>
    <row r="569" spans="1:13" x14ac:dyDescent="0.25">
      <c r="A569" s="11">
        <v>388</v>
      </c>
      <c r="B569" s="12" t="s">
        <v>12118</v>
      </c>
      <c r="C569" s="12">
        <v>429</v>
      </c>
      <c r="D569" s="11" t="s">
        <v>4153</v>
      </c>
      <c r="E569" s="11" t="s">
        <v>4155</v>
      </c>
      <c r="F569" s="11">
        <v>2023</v>
      </c>
      <c r="G569" s="11" t="s">
        <v>4156</v>
      </c>
      <c r="H569" s="11" t="str">
        <f>HYPERLINK("http://dx.doi.org/10.3389/fneur.2023.1225223","http://dx.doi.org/10.3389/fneur.2023.1225223")</f>
        <v>http://dx.doi.org/10.3389/fneur.2023.1225223</v>
      </c>
      <c r="I569" s="11" t="s">
        <v>4158</v>
      </c>
      <c r="J569" s="11" t="s">
        <v>4157</v>
      </c>
      <c r="K569" s="11" t="s">
        <v>42</v>
      </c>
      <c r="L569" s="11" t="s">
        <v>56</v>
      </c>
      <c r="M569" s="9">
        <v>1</v>
      </c>
    </row>
    <row r="570" spans="1:13" x14ac:dyDescent="0.25">
      <c r="A570" s="11">
        <v>346</v>
      </c>
      <c r="B570" s="12" t="s">
        <v>12118</v>
      </c>
      <c r="C570" s="12">
        <v>387</v>
      </c>
      <c r="D570" s="11" t="s">
        <v>10349</v>
      </c>
      <c r="E570" s="11" t="s">
        <v>10351</v>
      </c>
      <c r="F570" s="11">
        <v>2020</v>
      </c>
      <c r="G570" s="11" t="s">
        <v>7982</v>
      </c>
      <c r="H570" s="11" t="str">
        <f>HYPERLINK("http://dx.doi.org/10.1093/jxb/erz409","http://dx.doi.org/10.1093/jxb/erz409")</f>
        <v>http://dx.doi.org/10.1093/jxb/erz409</v>
      </c>
      <c r="I570" s="11" t="s">
        <v>10354</v>
      </c>
      <c r="J570" s="11" t="s">
        <v>10352</v>
      </c>
      <c r="K570" s="11" t="s">
        <v>42</v>
      </c>
      <c r="L570" s="11" t="s">
        <v>56</v>
      </c>
      <c r="M570" s="9">
        <v>1</v>
      </c>
    </row>
    <row r="571" spans="1:13" x14ac:dyDescent="0.25">
      <c r="A571" s="11">
        <v>490</v>
      </c>
      <c r="B571" s="12" t="s">
        <v>12118</v>
      </c>
      <c r="C571" s="12">
        <v>542</v>
      </c>
      <c r="D571" s="11" t="s">
        <v>9474</v>
      </c>
      <c r="E571" s="11" t="s">
        <v>9476</v>
      </c>
      <c r="F571" s="11">
        <v>2020</v>
      </c>
      <c r="G571" s="11" t="s">
        <v>8043</v>
      </c>
      <c r="H571" s="11" t="str">
        <f>HYPERLINK("http://dx.doi.org/10.1186/s10020-020-00224-9","http://dx.doi.org/10.1186/s10020-020-00224-9")</f>
        <v>http://dx.doi.org/10.1186/s10020-020-00224-9</v>
      </c>
      <c r="I571" s="11" t="s">
        <v>9479</v>
      </c>
      <c r="J571" s="11" t="s">
        <v>9477</v>
      </c>
      <c r="K571" s="11" t="s">
        <v>42</v>
      </c>
      <c r="L571" s="11" t="s">
        <v>56</v>
      </c>
      <c r="M571" s="9" t="s">
        <v>12142</v>
      </c>
    </row>
    <row r="572" spans="1:13" x14ac:dyDescent="0.25">
      <c r="A572" s="11">
        <v>16</v>
      </c>
      <c r="B572" s="12" t="s">
        <v>12118</v>
      </c>
      <c r="C572" s="12">
        <v>17</v>
      </c>
      <c r="D572" s="11" t="s">
        <v>9613</v>
      </c>
      <c r="E572" s="11" t="s">
        <v>9615</v>
      </c>
      <c r="F572" s="11">
        <v>2022</v>
      </c>
      <c r="G572" s="11" t="s">
        <v>9616</v>
      </c>
      <c r="H572" s="11" t="str">
        <f>HYPERLINK("http://dx.doi.org/10.1080/03610926.2020.1811870","http://dx.doi.org/10.1080/03610926.2020.1811870")</f>
        <v>http://dx.doi.org/10.1080/03610926.2020.1811870</v>
      </c>
      <c r="I572" s="11" t="s">
        <v>9619</v>
      </c>
      <c r="J572" s="11" t="s">
        <v>9617</v>
      </c>
      <c r="K572" s="11" t="s">
        <v>42</v>
      </c>
      <c r="L572" s="11" t="s">
        <v>56</v>
      </c>
      <c r="M572" s="9" t="s">
        <v>12142</v>
      </c>
    </row>
    <row r="573" spans="1:13" x14ac:dyDescent="0.25">
      <c r="A573" s="11">
        <v>226</v>
      </c>
      <c r="B573" s="12" t="s">
        <v>12118</v>
      </c>
      <c r="C573" s="12">
        <v>249</v>
      </c>
      <c r="D573" s="11" t="s">
        <v>7338</v>
      </c>
      <c r="E573" s="11" t="s">
        <v>7340</v>
      </c>
      <c r="F573" s="11">
        <v>2022</v>
      </c>
      <c r="G573" s="11" t="s">
        <v>7341</v>
      </c>
      <c r="H573" s="11" t="str">
        <f>HYPERLINK("http://dx.doi.org/10.1007/s00214-022-02886-6","http://dx.doi.org/10.1007/s00214-022-02886-6")</f>
        <v>http://dx.doi.org/10.1007/s00214-022-02886-6</v>
      </c>
      <c r="I573" s="11" t="s">
        <v>7344</v>
      </c>
      <c r="J573" s="11" t="s">
        <v>7342</v>
      </c>
      <c r="K573" s="11" t="s">
        <v>42</v>
      </c>
      <c r="L573" s="11" t="s">
        <v>56</v>
      </c>
      <c r="M573" s="9" t="s">
        <v>12142</v>
      </c>
    </row>
    <row r="574" spans="1:13" x14ac:dyDescent="0.25">
      <c r="A574" s="11">
        <v>334</v>
      </c>
      <c r="B574" s="12" t="s">
        <v>12118</v>
      </c>
      <c r="C574" s="12">
        <v>376</v>
      </c>
      <c r="D574" s="11" t="s">
        <v>8922</v>
      </c>
      <c r="E574" s="11" t="s">
        <v>8924</v>
      </c>
      <c r="F574" s="11">
        <v>2021</v>
      </c>
      <c r="G574" s="11" t="s">
        <v>8925</v>
      </c>
      <c r="H574" s="11" t="str">
        <f>HYPERLINK("http://dx.doi.org/10.1021/acs.oprd.0c00529","http://dx.doi.org/10.1021/acs.oprd.0c00529")</f>
        <v>http://dx.doi.org/10.1021/acs.oprd.0c00529</v>
      </c>
      <c r="I574" s="11" t="s">
        <v>8928</v>
      </c>
      <c r="J574" s="11" t="s">
        <v>8926</v>
      </c>
      <c r="K574" s="11" t="s">
        <v>42</v>
      </c>
      <c r="L574" s="11" t="s">
        <v>56</v>
      </c>
      <c r="M574" s="9" t="s">
        <v>12142</v>
      </c>
    </row>
    <row r="575" spans="1:13" x14ac:dyDescent="0.25">
      <c r="A575" s="11">
        <v>501</v>
      </c>
      <c r="B575" s="12" t="s">
        <v>12118</v>
      </c>
      <c r="C575" s="12">
        <v>556</v>
      </c>
      <c r="D575" s="11" t="s">
        <v>11435</v>
      </c>
      <c r="E575" s="11" t="s">
        <v>11437</v>
      </c>
      <c r="F575" s="11">
        <v>2019</v>
      </c>
      <c r="G575" s="11" t="s">
        <v>11438</v>
      </c>
      <c r="H575" s="11" t="str">
        <f>HYPERLINK("http://dx.doi.org/10.1007/s00227-018-3452-6","http://dx.doi.org/10.1007/s00227-018-3452-6")</f>
        <v>http://dx.doi.org/10.1007/s00227-018-3452-6</v>
      </c>
      <c r="I575" s="11" t="s">
        <v>11440</v>
      </c>
      <c r="J575" s="11" t="s">
        <v>1507</v>
      </c>
      <c r="K575" s="11" t="s">
        <v>42</v>
      </c>
      <c r="L575" s="11" t="s">
        <v>56</v>
      </c>
      <c r="M575" s="9" t="s">
        <v>12142</v>
      </c>
    </row>
    <row r="576" spans="1:13" x14ac:dyDescent="0.25">
      <c r="A576" s="12">
        <v>144</v>
      </c>
      <c r="B576" s="12" t="s">
        <v>12204</v>
      </c>
      <c r="C576" s="12">
        <v>519</v>
      </c>
      <c r="D576" s="12" t="s">
        <v>13371</v>
      </c>
      <c r="E576" s="12" t="s">
        <v>33</v>
      </c>
      <c r="F576" s="12">
        <v>2023</v>
      </c>
      <c r="G576" s="12" t="s">
        <v>34</v>
      </c>
      <c r="H576" s="12" t="s">
        <v>35</v>
      </c>
      <c r="I576" s="12" t="s">
        <v>38</v>
      </c>
      <c r="J576" s="12" t="s">
        <v>39</v>
      </c>
      <c r="K576" s="12" t="s">
        <v>42</v>
      </c>
      <c r="L576" s="12" t="s">
        <v>12252</v>
      </c>
      <c r="M576" s="10">
        <v>1</v>
      </c>
    </row>
    <row r="577" spans="1:13" x14ac:dyDescent="0.25">
      <c r="A577" s="11">
        <v>147</v>
      </c>
      <c r="B577" s="12" t="s">
        <v>12118</v>
      </c>
      <c r="C577" s="12">
        <v>158</v>
      </c>
      <c r="D577" s="11" t="s">
        <v>3190</v>
      </c>
      <c r="E577" s="11" t="s">
        <v>3193</v>
      </c>
      <c r="F577" s="11">
        <v>2023</v>
      </c>
      <c r="G577" s="11" t="s">
        <v>3194</v>
      </c>
      <c r="H577" s="11" t="str">
        <f>HYPERLINK("http://dx.doi.org/10.1186/s12887-023-04262-0","http://dx.doi.org/10.1186/s12887-023-04262-0")</f>
        <v>http://dx.doi.org/10.1186/s12887-023-04262-0</v>
      </c>
      <c r="I577" s="11" t="s">
        <v>3197</v>
      </c>
      <c r="J577" s="11" t="s">
        <v>3195</v>
      </c>
      <c r="K577" s="11" t="s">
        <v>42</v>
      </c>
      <c r="L577" s="11" t="s">
        <v>56</v>
      </c>
      <c r="M577" s="9" t="s">
        <v>12142</v>
      </c>
    </row>
    <row r="578" spans="1:13" x14ac:dyDescent="0.25">
      <c r="A578" s="11">
        <v>288</v>
      </c>
      <c r="B578" s="12" t="s">
        <v>12118</v>
      </c>
      <c r="C578" s="12">
        <v>320</v>
      </c>
      <c r="D578" s="11" t="s">
        <v>3776</v>
      </c>
      <c r="E578" s="11" t="s">
        <v>3778</v>
      </c>
      <c r="F578" s="11">
        <v>2023</v>
      </c>
      <c r="G578" s="11" t="s">
        <v>3779</v>
      </c>
      <c r="H578" s="11" t="str">
        <f>HYPERLINK("http://dx.doi.org/10.1080/14703297.2023.2258842","http://dx.doi.org/10.1080/14703297.2023.2258842")</f>
        <v>http://dx.doi.org/10.1080/14703297.2023.2258842</v>
      </c>
      <c r="I578" s="11" t="s">
        <v>3782</v>
      </c>
      <c r="J578" s="11" t="s">
        <v>3780</v>
      </c>
      <c r="K578" s="11" t="s">
        <v>42</v>
      </c>
      <c r="L578" s="11" t="s">
        <v>1509</v>
      </c>
      <c r="M578" s="9" t="s">
        <v>12142</v>
      </c>
    </row>
    <row r="579" spans="1:13" x14ac:dyDescent="0.25">
      <c r="A579" s="11">
        <v>129</v>
      </c>
      <c r="B579" s="12" t="s">
        <v>12118</v>
      </c>
      <c r="C579" s="12">
        <v>137</v>
      </c>
      <c r="D579" s="11" t="s">
        <v>7716</v>
      </c>
      <c r="E579" s="11" t="s">
        <v>7718</v>
      </c>
      <c r="F579" s="11">
        <v>2022</v>
      </c>
      <c r="G579" s="11" t="s">
        <v>7719</v>
      </c>
      <c r="H579" s="11" t="str">
        <f>HYPERLINK("http://dx.doi.org/10.1109/HST56032.2022.10025459","http://dx.doi.org/10.1109/HST56032.2022.10025459")</f>
        <v>http://dx.doi.org/10.1109/HST56032.2022.10025459</v>
      </c>
      <c r="I579" s="11" t="s">
        <v>7723</v>
      </c>
      <c r="J579" s="11" t="s">
        <v>1507</v>
      </c>
      <c r="K579" s="11" t="s">
        <v>42</v>
      </c>
      <c r="L579" s="11" t="s">
        <v>5552</v>
      </c>
      <c r="M579" s="9" t="s">
        <v>12142</v>
      </c>
    </row>
    <row r="580" spans="1:13" x14ac:dyDescent="0.25">
      <c r="A580" s="11">
        <v>8</v>
      </c>
      <c r="B580" s="12" t="s">
        <v>12118</v>
      </c>
      <c r="C580" s="12">
        <v>8</v>
      </c>
      <c r="D580" s="11" t="s">
        <v>5547</v>
      </c>
      <c r="E580" s="11" t="s">
        <v>5550</v>
      </c>
      <c r="F580" s="11">
        <v>2023</v>
      </c>
      <c r="G580" s="11" t="s">
        <v>5551</v>
      </c>
      <c r="H580" s="11" t="str">
        <f>HYPERLINK("http://dx.doi.org/10.1145/3593434.3593468","http://dx.doi.org/10.1145/3593434.3593468")</f>
        <v>http://dx.doi.org/10.1145/3593434.3593468</v>
      </c>
      <c r="I580" s="11" t="s">
        <v>5557</v>
      </c>
      <c r="J580" s="11" t="s">
        <v>5556</v>
      </c>
      <c r="K580" s="11" t="s">
        <v>42</v>
      </c>
      <c r="L580" s="11" t="s">
        <v>5552</v>
      </c>
      <c r="M580" s="10">
        <v>1</v>
      </c>
    </row>
    <row r="581" spans="1:13" x14ac:dyDescent="0.25">
      <c r="A581" s="11">
        <v>623</v>
      </c>
      <c r="B581" s="12" t="s">
        <v>12118</v>
      </c>
      <c r="C581" s="12">
        <v>691</v>
      </c>
      <c r="D581" s="11" t="s">
        <v>6664</v>
      </c>
      <c r="E581" s="11" t="s">
        <v>6666</v>
      </c>
      <c r="F581" s="11">
        <v>2023</v>
      </c>
      <c r="G581" s="11" t="s">
        <v>6170</v>
      </c>
      <c r="H581" s="11" t="str">
        <f>HYPERLINK("http://dx.doi.org/10.1145/3626111.3628212","http://dx.doi.org/10.1145/3626111.3628212")</f>
        <v>http://dx.doi.org/10.1145/3626111.3628212</v>
      </c>
      <c r="I581" s="11" t="s">
        <v>6668</v>
      </c>
      <c r="J581" s="11" t="s">
        <v>6667</v>
      </c>
      <c r="K581" s="11" t="s">
        <v>42</v>
      </c>
      <c r="L581" s="11" t="s">
        <v>5552</v>
      </c>
      <c r="M581" s="9">
        <v>1</v>
      </c>
    </row>
    <row r="582" spans="1:13" x14ac:dyDescent="0.25">
      <c r="A582" s="11">
        <v>343</v>
      </c>
      <c r="B582" s="12" t="s">
        <v>12118</v>
      </c>
      <c r="C582" s="12">
        <v>384</v>
      </c>
      <c r="D582" s="11" t="s">
        <v>11122</v>
      </c>
      <c r="E582" s="11" t="s">
        <v>11124</v>
      </c>
      <c r="F582" s="11">
        <v>2019</v>
      </c>
      <c r="G582" s="11" t="s">
        <v>11125</v>
      </c>
      <c r="H582" s="11" t="str">
        <f>HYPERLINK("http://dx.doi.org/10.1017/S2047102518000298","http://dx.doi.org/10.1017/S2047102518000298")</f>
        <v>http://dx.doi.org/10.1017/S2047102518000298</v>
      </c>
      <c r="I582" s="11" t="s">
        <v>11128</v>
      </c>
      <c r="J582" s="11" t="s">
        <v>11126</v>
      </c>
      <c r="K582" s="11" t="s">
        <v>42</v>
      </c>
      <c r="L582" s="11" t="s">
        <v>56</v>
      </c>
      <c r="M582" s="9" t="s">
        <v>12142</v>
      </c>
    </row>
    <row r="583" spans="1:13" x14ac:dyDescent="0.25">
      <c r="A583" s="11">
        <v>162</v>
      </c>
      <c r="B583" s="12" t="s">
        <v>12118</v>
      </c>
      <c r="C583" s="12">
        <v>172</v>
      </c>
      <c r="D583" s="11" t="s">
        <v>10286</v>
      </c>
      <c r="E583" s="11" t="s">
        <v>10289</v>
      </c>
      <c r="F583" s="11">
        <v>2020</v>
      </c>
      <c r="G583" s="11" t="s">
        <v>10290</v>
      </c>
      <c r="H583" s="11" t="str">
        <f>HYPERLINK("http://dx.doi.org/10.1007/978-3-030-27049-0_6","http://dx.doi.org/10.1007/978-3-030-27049-0_6")</f>
        <v>http://dx.doi.org/10.1007/978-3-030-27049-0_6</v>
      </c>
      <c r="I583" s="11" t="s">
        <v>1507</v>
      </c>
      <c r="J583" s="11" t="s">
        <v>1507</v>
      </c>
      <c r="K583" s="11" t="s">
        <v>42</v>
      </c>
      <c r="L583" s="11" t="s">
        <v>5888</v>
      </c>
      <c r="M583" s="9" t="s">
        <v>12142</v>
      </c>
    </row>
    <row r="584" spans="1:13" x14ac:dyDescent="0.25">
      <c r="A584" s="11">
        <v>493</v>
      </c>
      <c r="B584" s="12" t="s">
        <v>12118</v>
      </c>
      <c r="C584" s="12">
        <v>546</v>
      </c>
      <c r="D584" s="11" t="s">
        <v>10365</v>
      </c>
      <c r="E584" s="11" t="s">
        <v>10368</v>
      </c>
      <c r="F584" s="11">
        <v>2020</v>
      </c>
      <c r="G584" s="11" t="s">
        <v>10369</v>
      </c>
      <c r="H584" s="11" t="s">
        <v>1507</v>
      </c>
      <c r="I584" s="11" t="s">
        <v>10374</v>
      </c>
      <c r="J584" s="11" t="s">
        <v>10373</v>
      </c>
      <c r="K584" s="11" t="s">
        <v>42</v>
      </c>
      <c r="L584" s="11" t="s">
        <v>5552</v>
      </c>
      <c r="M584" s="9" t="s">
        <v>12142</v>
      </c>
    </row>
    <row r="585" spans="1:13" x14ac:dyDescent="0.25">
      <c r="A585" s="11">
        <v>286</v>
      </c>
      <c r="B585" s="12" t="s">
        <v>12118</v>
      </c>
      <c r="C585" s="12">
        <v>318</v>
      </c>
      <c r="D585" s="11" t="s">
        <v>4572</v>
      </c>
      <c r="E585" s="11" t="s">
        <v>4574</v>
      </c>
      <c r="F585" s="11">
        <v>2023</v>
      </c>
      <c r="G585" s="11" t="s">
        <v>4575</v>
      </c>
      <c r="H585" s="11" t="str">
        <f>HYPERLINK("http://dx.doi.org/10.3390/su151410828","http://dx.doi.org/10.3390/su151410828")</f>
        <v>http://dx.doi.org/10.3390/su151410828</v>
      </c>
      <c r="I585" s="11" t="s">
        <v>4577</v>
      </c>
      <c r="J585" s="11" t="s">
        <v>4576</v>
      </c>
      <c r="K585" s="11" t="s">
        <v>42</v>
      </c>
      <c r="L585" s="11" t="s">
        <v>56</v>
      </c>
      <c r="M585" s="9" t="s">
        <v>12142</v>
      </c>
    </row>
    <row r="586" spans="1:13" x14ac:dyDescent="0.25">
      <c r="A586" s="11">
        <v>124</v>
      </c>
      <c r="B586" s="12" t="s">
        <v>12118</v>
      </c>
      <c r="C586" s="12">
        <v>133</v>
      </c>
      <c r="D586" s="11" t="s">
        <v>4529</v>
      </c>
      <c r="E586" s="11" t="s">
        <v>4531</v>
      </c>
      <c r="F586" s="11">
        <v>2023</v>
      </c>
      <c r="G586" s="11" t="s">
        <v>3083</v>
      </c>
      <c r="H586" s="11" t="str">
        <f>HYPERLINK("http://dx.doi.org/10.7759/cureus.41399","http://dx.doi.org/10.7759/cureus.41399")</f>
        <v>http://dx.doi.org/10.7759/cureus.41399</v>
      </c>
      <c r="I586" s="11" t="s">
        <v>4533</v>
      </c>
      <c r="J586" s="11" t="s">
        <v>4532</v>
      </c>
      <c r="K586" s="11" t="s">
        <v>42</v>
      </c>
      <c r="L586" s="11" t="s">
        <v>56</v>
      </c>
      <c r="M586" s="9">
        <v>1</v>
      </c>
    </row>
    <row r="587" spans="1:13" x14ac:dyDescent="0.25">
      <c r="A587" s="11">
        <v>237</v>
      </c>
      <c r="B587" s="12" t="s">
        <v>12118</v>
      </c>
      <c r="C587" s="12">
        <v>262</v>
      </c>
      <c r="D587" s="11" t="s">
        <v>7535</v>
      </c>
      <c r="E587" s="11" t="s">
        <v>7537</v>
      </c>
      <c r="F587" s="11">
        <v>2022</v>
      </c>
      <c r="G587" s="11" t="s">
        <v>7538</v>
      </c>
      <c r="H587" s="11" t="str">
        <f>HYPERLINK("http://dx.doi.org/10.1021/acsami.1c20872","http://dx.doi.org/10.1021/acsami.1c20872")</f>
        <v>http://dx.doi.org/10.1021/acsami.1c20872</v>
      </c>
      <c r="I587" s="11" t="s">
        <v>7541</v>
      </c>
      <c r="J587" s="11" t="s">
        <v>7539</v>
      </c>
      <c r="K587" s="11" t="s">
        <v>42</v>
      </c>
      <c r="L587" s="11" t="s">
        <v>56</v>
      </c>
      <c r="M587" s="9" t="s">
        <v>12142</v>
      </c>
    </row>
    <row r="588" spans="1:13" x14ac:dyDescent="0.25">
      <c r="A588" s="11">
        <v>71</v>
      </c>
      <c r="B588" s="12" t="s">
        <v>12118</v>
      </c>
      <c r="C588" s="12">
        <v>76</v>
      </c>
      <c r="D588" s="11" t="s">
        <v>11046</v>
      </c>
      <c r="E588" s="11" t="s">
        <v>11048</v>
      </c>
      <c r="F588" s="11">
        <v>2019</v>
      </c>
      <c r="G588" s="11" t="s">
        <v>11049</v>
      </c>
      <c r="H588" s="11" t="str">
        <f>HYPERLINK("http://dx.doi.org/10.1002/ece3.5192","http://dx.doi.org/10.1002/ece3.5192")</f>
        <v>http://dx.doi.org/10.1002/ece3.5192</v>
      </c>
      <c r="I588" s="11" t="s">
        <v>11052</v>
      </c>
      <c r="J588" s="11" t="s">
        <v>11050</v>
      </c>
      <c r="K588" s="11" t="s">
        <v>42</v>
      </c>
      <c r="L588" s="11" t="s">
        <v>56</v>
      </c>
      <c r="M588" s="9" t="s">
        <v>12142</v>
      </c>
    </row>
    <row r="589" spans="1:13" x14ac:dyDescent="0.25">
      <c r="A589" s="12">
        <v>158</v>
      </c>
      <c r="B589" s="12" t="s">
        <v>12204</v>
      </c>
      <c r="C589" s="12">
        <v>591</v>
      </c>
      <c r="D589" s="12" t="s">
        <v>12390</v>
      </c>
      <c r="E589" s="12" t="s">
        <v>1377</v>
      </c>
      <c r="F589" s="12">
        <v>2023</v>
      </c>
      <c r="G589" s="12" t="s">
        <v>996</v>
      </c>
      <c r="H589" s="12" t="s">
        <v>1379</v>
      </c>
      <c r="I589" s="12" t="s">
        <v>1382</v>
      </c>
      <c r="J589" s="12" t="s">
        <v>1383</v>
      </c>
      <c r="K589" s="12" t="s">
        <v>42</v>
      </c>
      <c r="L589" s="12" t="s">
        <v>56</v>
      </c>
      <c r="M589" s="10">
        <v>1</v>
      </c>
    </row>
    <row r="590" spans="1:13" x14ac:dyDescent="0.25">
      <c r="A590" s="11">
        <v>255</v>
      </c>
      <c r="B590" s="12" t="s">
        <v>12118</v>
      </c>
      <c r="C590" s="12">
        <v>282</v>
      </c>
      <c r="D590" s="11" t="s">
        <v>9696</v>
      </c>
      <c r="E590" s="11" t="s">
        <v>9698</v>
      </c>
      <c r="F590" s="11">
        <v>2020</v>
      </c>
      <c r="G590" s="11" t="s">
        <v>9699</v>
      </c>
      <c r="H590" s="11" t="str">
        <f>HYPERLINK("http://dx.doi.org/10.1016/S2213-2600(20)30193-4","http://dx.doi.org/10.1016/S2213-2600(20)30193-4")</f>
        <v>http://dx.doi.org/10.1016/S2213-2600(20)30193-4</v>
      </c>
      <c r="I590" s="11" t="s">
        <v>9701</v>
      </c>
      <c r="J590" s="11" t="s">
        <v>1507</v>
      </c>
      <c r="K590" s="11" t="s">
        <v>42</v>
      </c>
      <c r="L590" s="11" t="s">
        <v>56</v>
      </c>
      <c r="M590" s="9" t="s">
        <v>12142</v>
      </c>
    </row>
    <row r="591" spans="1:13" x14ac:dyDescent="0.25">
      <c r="A591" s="11">
        <v>264</v>
      </c>
      <c r="B591" s="12" t="s">
        <v>12118</v>
      </c>
      <c r="C591" s="12">
        <v>294</v>
      </c>
      <c r="D591" s="11" t="s">
        <v>3121</v>
      </c>
      <c r="E591" s="11" t="s">
        <v>3123</v>
      </c>
      <c r="F591" s="11">
        <v>2023</v>
      </c>
      <c r="G591" s="11" t="s">
        <v>3124</v>
      </c>
      <c r="H591" s="11" t="str">
        <f>HYPERLINK("http://dx.doi.org/10.1016/j.jasrep.2023.104238","http://dx.doi.org/10.1016/j.jasrep.2023.104238")</f>
        <v>http://dx.doi.org/10.1016/j.jasrep.2023.104238</v>
      </c>
      <c r="I591" s="11" t="s">
        <v>3127</v>
      </c>
      <c r="J591" s="11" t="s">
        <v>3125</v>
      </c>
      <c r="K591" s="11" t="s">
        <v>42</v>
      </c>
      <c r="L591" s="11" t="s">
        <v>56</v>
      </c>
      <c r="M591" s="9" t="s">
        <v>12142</v>
      </c>
    </row>
    <row r="592" spans="1:13" x14ac:dyDescent="0.25">
      <c r="A592" s="11">
        <v>128</v>
      </c>
      <c r="B592" s="12" t="s">
        <v>12118</v>
      </c>
      <c r="C592" s="12">
        <v>136</v>
      </c>
      <c r="D592" s="11" t="s">
        <v>14896</v>
      </c>
      <c r="E592" s="11" t="s">
        <v>14898</v>
      </c>
      <c r="F592" s="11">
        <v>2023</v>
      </c>
      <c r="G592" s="11" t="s">
        <v>14899</v>
      </c>
      <c r="H592" s="11" t="str">
        <f>HYPERLINK("http://dx.doi.org/10.1145/3604915.3610646","http://dx.doi.org/10.1145/3604915.3610646")</f>
        <v>http://dx.doi.org/10.1145/3604915.3610646</v>
      </c>
      <c r="I592" s="11" t="s">
        <v>14903</v>
      </c>
      <c r="J592" s="11" t="s">
        <v>14902</v>
      </c>
      <c r="K592" s="11" t="s">
        <v>42</v>
      </c>
      <c r="L592" s="11" t="s">
        <v>5552</v>
      </c>
      <c r="M592" s="9" t="s">
        <v>12142</v>
      </c>
    </row>
    <row r="593" spans="1:13" x14ac:dyDescent="0.25">
      <c r="A593" s="11">
        <v>450</v>
      </c>
      <c r="B593" s="12" t="s">
        <v>12118</v>
      </c>
      <c r="C593" s="12">
        <v>503</v>
      </c>
      <c r="D593" s="11" t="s">
        <v>10571</v>
      </c>
      <c r="E593" s="11" t="s">
        <v>10573</v>
      </c>
      <c r="F593" s="11">
        <v>2019</v>
      </c>
      <c r="G593" s="11" t="s">
        <v>10574</v>
      </c>
      <c r="H593" s="11" t="str">
        <f>HYPERLINK("http://dx.doi.org/10.1007/s42161-019-00281-y","http://dx.doi.org/10.1007/s42161-019-00281-y")</f>
        <v>http://dx.doi.org/10.1007/s42161-019-00281-y</v>
      </c>
      <c r="I593" s="11" t="s">
        <v>10577</v>
      </c>
      <c r="J593" s="11" t="s">
        <v>10575</v>
      </c>
      <c r="K593" s="11" t="s">
        <v>42</v>
      </c>
      <c r="L593" s="11" t="s">
        <v>56</v>
      </c>
      <c r="M593" s="9" t="s">
        <v>12142</v>
      </c>
    </row>
    <row r="594" spans="1:13" x14ac:dyDescent="0.25">
      <c r="A594" s="11">
        <v>412</v>
      </c>
      <c r="B594" s="12" t="s">
        <v>12118</v>
      </c>
      <c r="C594" s="12">
        <v>458</v>
      </c>
      <c r="D594" s="11" t="s">
        <v>8713</v>
      </c>
      <c r="E594" s="11" t="s">
        <v>8715</v>
      </c>
      <c r="F594" s="11">
        <v>2021</v>
      </c>
      <c r="G594" s="11" t="s">
        <v>3555</v>
      </c>
      <c r="H594" s="11" t="str">
        <f>HYPERLINK("http://dx.doi.org/10.1017/S0021855321000036","http://dx.doi.org/10.1017/S0021855321000036")</f>
        <v>http://dx.doi.org/10.1017/S0021855321000036</v>
      </c>
      <c r="I594" s="11" t="s">
        <v>8717</v>
      </c>
      <c r="J594" s="11" t="s">
        <v>8716</v>
      </c>
      <c r="K594" s="11" t="s">
        <v>42</v>
      </c>
      <c r="L594" s="11" t="s">
        <v>56</v>
      </c>
      <c r="M594" s="9" t="s">
        <v>12142</v>
      </c>
    </row>
    <row r="595" spans="1:13" x14ac:dyDescent="0.25">
      <c r="A595" s="12">
        <v>26</v>
      </c>
      <c r="B595" s="12" t="s">
        <v>12204</v>
      </c>
      <c r="C595" s="12">
        <v>73</v>
      </c>
      <c r="D595" s="12" t="s">
        <v>13054</v>
      </c>
      <c r="E595" s="12" t="s">
        <v>13052</v>
      </c>
      <c r="F595" s="12">
        <v>2023</v>
      </c>
      <c r="G595" s="12" t="s">
        <v>13051</v>
      </c>
      <c r="H595" s="12" t="s">
        <v>13050</v>
      </c>
      <c r="I595" s="12" t="s">
        <v>13046</v>
      </c>
      <c r="J595" s="12" t="s">
        <v>13045</v>
      </c>
      <c r="K595" s="12" t="s">
        <v>42</v>
      </c>
      <c r="L595" s="12" t="s">
        <v>56</v>
      </c>
      <c r="M595" s="9" t="s">
        <v>12142</v>
      </c>
    </row>
    <row r="596" spans="1:13" x14ac:dyDescent="0.25">
      <c r="A596" s="11">
        <v>487</v>
      </c>
      <c r="B596" s="12" t="s">
        <v>12118</v>
      </c>
      <c r="C596" s="12">
        <v>538</v>
      </c>
      <c r="D596" s="11" t="s">
        <v>11677</v>
      </c>
      <c r="E596" s="11" t="s">
        <v>11679</v>
      </c>
      <c r="F596" s="11">
        <v>2018</v>
      </c>
      <c r="G596" s="11" t="s">
        <v>11413</v>
      </c>
      <c r="H596" s="11" t="str">
        <f>HYPERLINK("http://dx.doi.org/10.2514/1.C034696","http://dx.doi.org/10.2514/1.C034696")</f>
        <v>http://dx.doi.org/10.2514/1.C034696</v>
      </c>
      <c r="I596" s="11" t="s">
        <v>11686</v>
      </c>
      <c r="J596" s="11" t="s">
        <v>1507</v>
      </c>
      <c r="K596" s="11" t="s">
        <v>42</v>
      </c>
      <c r="L596" s="11" t="s">
        <v>11680</v>
      </c>
      <c r="M596" s="9" t="s">
        <v>12142</v>
      </c>
    </row>
    <row r="597" spans="1:13" x14ac:dyDescent="0.25">
      <c r="A597" s="11">
        <v>545</v>
      </c>
      <c r="B597" s="12" t="s">
        <v>12118</v>
      </c>
      <c r="C597" s="12">
        <v>610</v>
      </c>
      <c r="D597" s="11" t="s">
        <v>6515</v>
      </c>
      <c r="E597" s="11" t="s">
        <v>6517</v>
      </c>
      <c r="F597" s="11">
        <v>2023</v>
      </c>
      <c r="G597" s="11" t="s">
        <v>6518</v>
      </c>
      <c r="H597" s="11" t="str">
        <f>HYPERLINK("http://dx.doi.org/10.2196/51873","http://dx.doi.org/10.2196/51873")</f>
        <v>http://dx.doi.org/10.2196/51873</v>
      </c>
      <c r="I597" s="11" t="s">
        <v>6520</v>
      </c>
      <c r="J597" s="11" t="s">
        <v>6519</v>
      </c>
      <c r="K597" s="11" t="s">
        <v>42</v>
      </c>
      <c r="L597" s="11" t="s">
        <v>56</v>
      </c>
      <c r="M597" s="9">
        <v>1</v>
      </c>
    </row>
    <row r="598" spans="1:13" x14ac:dyDescent="0.25">
      <c r="A598" s="11">
        <v>396</v>
      </c>
      <c r="B598" s="12" t="s">
        <v>12118</v>
      </c>
      <c r="C598" s="12">
        <v>439</v>
      </c>
      <c r="D598" s="11" t="s">
        <v>2917</v>
      </c>
      <c r="E598" s="11" t="s">
        <v>2919</v>
      </c>
      <c r="F598" s="11">
        <v>2023</v>
      </c>
      <c r="G598" s="11" t="s">
        <v>2874</v>
      </c>
      <c r="H598" s="11" t="str">
        <f>HYPERLINK("http://dx.doi.org/10.1016/j.jacr.2023.06.008","http://dx.doi.org/10.1016/j.jacr.2023.06.008")</f>
        <v>http://dx.doi.org/10.1016/j.jacr.2023.06.008</v>
      </c>
      <c r="I598" s="11" t="s">
        <v>2921</v>
      </c>
      <c r="J598" s="11" t="s">
        <v>2920</v>
      </c>
      <c r="K598" s="11" t="s">
        <v>42</v>
      </c>
      <c r="L598" s="11" t="s">
        <v>56</v>
      </c>
      <c r="M598" s="9" t="s">
        <v>12142</v>
      </c>
    </row>
    <row r="599" spans="1:13" x14ac:dyDescent="0.25">
      <c r="A599" s="11">
        <v>145</v>
      </c>
      <c r="B599" s="12" t="s">
        <v>12118</v>
      </c>
      <c r="C599" s="12">
        <v>155</v>
      </c>
      <c r="D599" s="11" t="s">
        <v>7611</v>
      </c>
      <c r="E599" s="11" t="s">
        <v>7613</v>
      </c>
      <c r="F599" s="11">
        <v>2022</v>
      </c>
      <c r="G599" s="11" t="s">
        <v>7141</v>
      </c>
      <c r="H599" s="11" t="str">
        <f>HYPERLINK("http://dx.doi.org/10.1016/j.scitotenv.2022.153250","http://dx.doi.org/10.1016/j.scitotenv.2022.153250")</f>
        <v>http://dx.doi.org/10.1016/j.scitotenv.2022.153250</v>
      </c>
      <c r="I599" s="11" t="s">
        <v>7616</v>
      </c>
      <c r="J599" s="11" t="s">
        <v>7614</v>
      </c>
      <c r="K599" s="11" t="s">
        <v>42</v>
      </c>
      <c r="L599" s="11" t="s">
        <v>56</v>
      </c>
      <c r="M599" s="9" t="s">
        <v>12142</v>
      </c>
    </row>
    <row r="600" spans="1:13" x14ac:dyDescent="0.25">
      <c r="A600" s="11">
        <v>305</v>
      </c>
      <c r="B600" s="12" t="s">
        <v>12118</v>
      </c>
      <c r="C600" s="12">
        <v>339</v>
      </c>
      <c r="D600" s="11" t="s">
        <v>2019</v>
      </c>
      <c r="E600" s="11" t="s">
        <v>2021</v>
      </c>
      <c r="F600" s="11">
        <v>2023</v>
      </c>
      <c r="G600" s="11" t="s">
        <v>2022</v>
      </c>
      <c r="H600" s="11" t="str">
        <f>HYPERLINK("http://dx.doi.org/10.1016/j.patter.2023.100865","http://dx.doi.org/10.1016/j.patter.2023.100865")</f>
        <v>http://dx.doi.org/10.1016/j.patter.2023.100865</v>
      </c>
      <c r="I600" s="11" t="s">
        <v>2024</v>
      </c>
      <c r="J600" s="11" t="s">
        <v>1507</v>
      </c>
      <c r="K600" s="11" t="s">
        <v>42</v>
      </c>
      <c r="L600" s="11" t="s">
        <v>56</v>
      </c>
      <c r="M600" s="9" t="s">
        <v>12142</v>
      </c>
    </row>
    <row r="601" spans="1:13" x14ac:dyDescent="0.25">
      <c r="A601" s="12">
        <v>21</v>
      </c>
      <c r="B601" s="12" t="s">
        <v>12204</v>
      </c>
      <c r="C601" s="12">
        <v>49</v>
      </c>
      <c r="D601" s="12" t="s">
        <v>183</v>
      </c>
      <c r="E601" s="12" t="s">
        <v>184</v>
      </c>
      <c r="F601" s="12">
        <v>2023</v>
      </c>
      <c r="G601" s="12" t="s">
        <v>185</v>
      </c>
      <c r="H601" s="12" t="s">
        <v>186</v>
      </c>
      <c r="I601" s="12" t="s">
        <v>189</v>
      </c>
      <c r="J601" s="12" t="s">
        <v>190</v>
      </c>
      <c r="K601" s="12" t="s">
        <v>42</v>
      </c>
      <c r="L601" s="12" t="s">
        <v>12252</v>
      </c>
      <c r="M601" s="10">
        <v>1</v>
      </c>
    </row>
    <row r="602" spans="1:13" x14ac:dyDescent="0.25">
      <c r="A602" s="11">
        <v>405</v>
      </c>
      <c r="B602" s="12" t="s">
        <v>12118</v>
      </c>
      <c r="C602" s="12">
        <v>448</v>
      </c>
      <c r="D602" s="11" t="s">
        <v>6203</v>
      </c>
      <c r="E602" s="11" t="s">
        <v>6206</v>
      </c>
      <c r="F602" s="11">
        <v>2023</v>
      </c>
      <c r="G602" s="11" t="s">
        <v>6207</v>
      </c>
      <c r="H602" s="11" t="str">
        <f>HYPERLINK("http://dx.doi.org/10.1007/978-3-031-29956-8_14","http://dx.doi.org/10.1007/978-3-031-29956-8_14")</f>
        <v>http://dx.doi.org/10.1007/978-3-031-29956-8_14</v>
      </c>
      <c r="I602" s="11" t="s">
        <v>6213</v>
      </c>
      <c r="J602" s="11" t="s">
        <v>6212</v>
      </c>
      <c r="K602" s="11" t="s">
        <v>42</v>
      </c>
      <c r="L602" s="11" t="s">
        <v>5552</v>
      </c>
      <c r="M602" s="9" t="s">
        <v>12142</v>
      </c>
    </row>
    <row r="603" spans="1:13" x14ac:dyDescent="0.25">
      <c r="A603" s="11">
        <v>142</v>
      </c>
      <c r="B603" s="12" t="s">
        <v>12118</v>
      </c>
      <c r="C603" s="12">
        <v>153</v>
      </c>
      <c r="D603" s="11" t="s">
        <v>2777</v>
      </c>
      <c r="E603" s="11" t="s">
        <v>2779</v>
      </c>
      <c r="F603" s="11">
        <v>2023</v>
      </c>
      <c r="G603" s="11" t="s">
        <v>2780</v>
      </c>
      <c r="H603" s="11" t="str">
        <f>HYPERLINK("http://dx.doi.org/10.1038/s44159-023-00241-5","http://dx.doi.org/10.1038/s44159-023-00241-5")</f>
        <v>http://dx.doi.org/10.1038/s44159-023-00241-5</v>
      </c>
      <c r="I603" s="11" t="s">
        <v>2782</v>
      </c>
      <c r="J603" s="11" t="s">
        <v>1507</v>
      </c>
      <c r="K603" s="11" t="s">
        <v>42</v>
      </c>
      <c r="L603" s="11" t="s">
        <v>56</v>
      </c>
      <c r="M603" s="10">
        <v>1</v>
      </c>
    </row>
    <row r="604" spans="1:13" x14ac:dyDescent="0.25">
      <c r="A604" s="12">
        <v>38</v>
      </c>
      <c r="B604" s="12" t="s">
        <v>12204</v>
      </c>
      <c r="C604" s="12">
        <v>123</v>
      </c>
      <c r="D604" s="12" t="s">
        <v>12703</v>
      </c>
      <c r="E604" s="12" t="s">
        <v>933</v>
      </c>
      <c r="F604" s="12">
        <v>2023</v>
      </c>
      <c r="G604" s="12" t="s">
        <v>934</v>
      </c>
      <c r="H604" s="12" t="s">
        <v>935</v>
      </c>
      <c r="I604" s="12" t="s">
        <v>938</v>
      </c>
      <c r="J604" s="12" t="s">
        <v>939</v>
      </c>
      <c r="K604" s="12" t="s">
        <v>42</v>
      </c>
      <c r="L604" s="12" t="s">
        <v>56</v>
      </c>
      <c r="M604" s="10">
        <v>1</v>
      </c>
    </row>
    <row r="605" spans="1:13" x14ac:dyDescent="0.25">
      <c r="A605" s="11">
        <v>418</v>
      </c>
      <c r="B605" s="12" t="s">
        <v>12118</v>
      </c>
      <c r="C605" s="12">
        <v>464</v>
      </c>
      <c r="D605" s="11" t="s">
        <v>5010</v>
      </c>
      <c r="E605" s="11" t="s">
        <v>5012</v>
      </c>
      <c r="F605" s="11">
        <v>2023</v>
      </c>
      <c r="G605" s="11" t="s">
        <v>5013</v>
      </c>
      <c r="H605" s="11" t="str">
        <f>HYPERLINK("http://dx.doi.org/10.3390/app13095771","http://dx.doi.org/10.3390/app13095771")</f>
        <v>http://dx.doi.org/10.3390/app13095771</v>
      </c>
      <c r="I605" s="11" t="s">
        <v>5015</v>
      </c>
      <c r="J605" s="11" t="s">
        <v>5014</v>
      </c>
      <c r="K605" s="11" t="s">
        <v>42</v>
      </c>
      <c r="L605" s="11" t="s">
        <v>56</v>
      </c>
      <c r="M605" s="9" t="s">
        <v>12142</v>
      </c>
    </row>
    <row r="606" spans="1:13" x14ac:dyDescent="0.25">
      <c r="A606" s="11">
        <v>45</v>
      </c>
      <c r="B606" s="12" t="s">
        <v>12118</v>
      </c>
      <c r="C606" s="12">
        <v>47</v>
      </c>
      <c r="D606" s="11" t="s">
        <v>4965</v>
      </c>
      <c r="E606" s="11" t="s">
        <v>69</v>
      </c>
      <c r="F606" s="11">
        <v>2023</v>
      </c>
      <c r="G606" s="11" t="s">
        <v>4967</v>
      </c>
      <c r="H606" s="11" t="str">
        <f>HYPERLINK("http://dx.doi.org/10.1111/bjet.13336","http://dx.doi.org/10.1111/bjet.13336")</f>
        <v>http://dx.doi.org/10.1111/bjet.13336</v>
      </c>
      <c r="I606" s="11" t="s">
        <v>4969</v>
      </c>
      <c r="J606" s="11" t="s">
        <v>75</v>
      </c>
      <c r="K606" s="11" t="s">
        <v>42</v>
      </c>
      <c r="L606" s="11" t="s">
        <v>1509</v>
      </c>
      <c r="M606" s="9">
        <v>1</v>
      </c>
    </row>
    <row r="607" spans="1:13" x14ac:dyDescent="0.25">
      <c r="A607" s="11">
        <v>304</v>
      </c>
      <c r="B607" s="12" t="s">
        <v>12118</v>
      </c>
      <c r="C607" s="12">
        <v>338</v>
      </c>
      <c r="D607" s="11" t="s">
        <v>8429</v>
      </c>
      <c r="E607" s="11" t="s">
        <v>8431</v>
      </c>
      <c r="F607" s="11">
        <v>2021</v>
      </c>
      <c r="G607" s="11" t="s">
        <v>6783</v>
      </c>
      <c r="H607" s="11" t="str">
        <f>HYPERLINK("http://dx.doi.org/10.1021/acs.analchem.1c01018","http://dx.doi.org/10.1021/acs.analchem.1c01018")</f>
        <v>http://dx.doi.org/10.1021/acs.analchem.1c01018</v>
      </c>
      <c r="I607" s="11" t="s">
        <v>8433</v>
      </c>
      <c r="J607" s="11" t="s">
        <v>1507</v>
      </c>
      <c r="K607" s="11" t="s">
        <v>42</v>
      </c>
      <c r="L607" s="11" t="s">
        <v>56</v>
      </c>
      <c r="M607" s="9" t="s">
        <v>12142</v>
      </c>
    </row>
    <row r="608" spans="1:13" x14ac:dyDescent="0.25">
      <c r="A608" s="11">
        <v>477</v>
      </c>
      <c r="B608" s="12" t="s">
        <v>12118</v>
      </c>
      <c r="C608" s="12">
        <v>530</v>
      </c>
      <c r="D608" s="11" t="s">
        <v>4431</v>
      </c>
      <c r="E608" s="11" t="s">
        <v>4433</v>
      </c>
      <c r="F608" s="11">
        <v>2023</v>
      </c>
      <c r="G608" s="11" t="s">
        <v>1999</v>
      </c>
      <c r="H608" s="11" t="str">
        <f>HYPERLINK("http://dx.doi.org/10.1371/journal.pone.0288768","http://dx.doi.org/10.1371/journal.pone.0288768")</f>
        <v>http://dx.doi.org/10.1371/journal.pone.0288768</v>
      </c>
      <c r="I608" s="11" t="s">
        <v>4435</v>
      </c>
      <c r="J608" s="11" t="s">
        <v>1507</v>
      </c>
      <c r="K608" s="11" t="s">
        <v>42</v>
      </c>
      <c r="L608" s="11" t="s">
        <v>56</v>
      </c>
      <c r="M608" s="9" t="s">
        <v>12142</v>
      </c>
    </row>
    <row r="609" spans="1:13" x14ac:dyDescent="0.25">
      <c r="A609" s="11">
        <v>540</v>
      </c>
      <c r="B609" s="12" t="s">
        <v>12118</v>
      </c>
      <c r="C609" s="12">
        <v>604</v>
      </c>
      <c r="D609" s="11" t="s">
        <v>5366</v>
      </c>
      <c r="E609" s="11" t="s">
        <v>5368</v>
      </c>
      <c r="F609" s="11">
        <v>2023</v>
      </c>
      <c r="G609" s="11" t="s">
        <v>5369</v>
      </c>
      <c r="H609" s="11" t="str">
        <f>HYPERLINK("http://dx.doi.org/10.1055/s-0043-1761280","http://dx.doi.org/10.1055/s-0043-1761280")</f>
        <v>http://dx.doi.org/10.1055/s-0043-1761280</v>
      </c>
      <c r="I609" s="11" t="s">
        <v>5372</v>
      </c>
      <c r="J609" s="11" t="s">
        <v>5370</v>
      </c>
      <c r="K609" s="11" t="s">
        <v>42</v>
      </c>
      <c r="L609" s="11" t="s">
        <v>1509</v>
      </c>
      <c r="M609" s="9" t="s">
        <v>12142</v>
      </c>
    </row>
    <row r="610" spans="1:13" x14ac:dyDescent="0.25">
      <c r="A610" s="11">
        <v>387</v>
      </c>
      <c r="B610" s="12" t="s">
        <v>12118</v>
      </c>
      <c r="C610" s="12">
        <v>428</v>
      </c>
      <c r="D610" s="11" t="s">
        <v>10005</v>
      </c>
      <c r="E610" s="11" t="s">
        <v>10007</v>
      </c>
      <c r="F610" s="11">
        <v>2020</v>
      </c>
      <c r="G610" s="11" t="s">
        <v>10008</v>
      </c>
      <c r="H610" s="11" t="str">
        <f>HYPERLINK("http://dx.doi.org/10.1111/mmi.14497","http://dx.doi.org/10.1111/mmi.14497")</f>
        <v>http://dx.doi.org/10.1111/mmi.14497</v>
      </c>
      <c r="I610" s="11" t="s">
        <v>10011</v>
      </c>
      <c r="J610" s="11" t="s">
        <v>10009</v>
      </c>
      <c r="K610" s="11" t="s">
        <v>42</v>
      </c>
      <c r="L610" s="11" t="s">
        <v>56</v>
      </c>
      <c r="M610" s="9" t="s">
        <v>12142</v>
      </c>
    </row>
    <row r="611" spans="1:13" x14ac:dyDescent="0.25">
      <c r="A611" s="11">
        <v>266</v>
      </c>
      <c r="B611" s="12" t="s">
        <v>12118</v>
      </c>
      <c r="C611" s="12">
        <v>295</v>
      </c>
      <c r="D611" s="11" t="s">
        <v>7820</v>
      </c>
      <c r="E611" s="11" t="s">
        <v>7823</v>
      </c>
      <c r="F611" s="11">
        <v>2022</v>
      </c>
      <c r="G611" s="11" t="s">
        <v>7824</v>
      </c>
      <c r="H611" s="11" t="str">
        <f>HYPERLINK("http://dx.doi.org/10.1007/978-3-031-19827-4_41","http://dx.doi.org/10.1007/978-3-031-19827-4_41")</f>
        <v>http://dx.doi.org/10.1007/978-3-031-19827-4_41</v>
      </c>
      <c r="I611" s="11" t="s">
        <v>7828</v>
      </c>
      <c r="J611" s="11" t="s">
        <v>1507</v>
      </c>
      <c r="K611" s="11" t="s">
        <v>42</v>
      </c>
      <c r="L611" s="11" t="s">
        <v>5552</v>
      </c>
      <c r="M611" s="9" t="s">
        <v>12142</v>
      </c>
    </row>
    <row r="612" spans="1:13" x14ac:dyDescent="0.25">
      <c r="A612" s="11">
        <v>621</v>
      </c>
      <c r="B612" s="12" t="s">
        <v>12118</v>
      </c>
      <c r="C612" s="12">
        <v>690</v>
      </c>
      <c r="D612" s="11" t="s">
        <v>5313</v>
      </c>
      <c r="E612" s="11" t="s">
        <v>5315</v>
      </c>
      <c r="F612" s="11">
        <v>2023</v>
      </c>
      <c r="G612" s="11" t="s">
        <v>5316</v>
      </c>
      <c r="H612" s="11" t="str">
        <f>HYPERLINK("http://dx.doi.org/10.1007/s11694-023-01873-0","http://dx.doi.org/10.1007/s11694-023-01873-0")</f>
        <v>http://dx.doi.org/10.1007/s11694-023-01873-0</v>
      </c>
      <c r="I612" s="11" t="s">
        <v>5319</v>
      </c>
      <c r="J612" s="11" t="s">
        <v>5317</v>
      </c>
      <c r="K612" s="11" t="s">
        <v>42</v>
      </c>
      <c r="L612" s="11" t="s">
        <v>56</v>
      </c>
      <c r="M612" s="9" t="s">
        <v>12142</v>
      </c>
    </row>
    <row r="613" spans="1:13" x14ac:dyDescent="0.25">
      <c r="A613" s="11">
        <v>553</v>
      </c>
      <c r="B613" s="12" t="s">
        <v>12118</v>
      </c>
      <c r="C613" s="12">
        <v>618</v>
      </c>
      <c r="D613" s="11" t="s">
        <v>2321</v>
      </c>
      <c r="E613" s="11" t="s">
        <v>2323</v>
      </c>
      <c r="F613" s="11">
        <v>2023</v>
      </c>
      <c r="G613" s="11" t="s">
        <v>2324</v>
      </c>
      <c r="H613" s="11" t="s">
        <v>1507</v>
      </c>
      <c r="I613" s="11" t="s">
        <v>2325</v>
      </c>
      <c r="J613" s="11" t="s">
        <v>1507</v>
      </c>
      <c r="K613" s="11" t="s">
        <v>42</v>
      </c>
      <c r="L613" s="11" t="s">
        <v>56</v>
      </c>
      <c r="M613" s="9" t="s">
        <v>12142</v>
      </c>
    </row>
    <row r="614" spans="1:13" x14ac:dyDescent="0.25">
      <c r="A614" s="11">
        <v>43</v>
      </c>
      <c r="B614" s="12" t="s">
        <v>12204</v>
      </c>
      <c r="C614" s="12">
        <v>131</v>
      </c>
      <c r="D614" s="13" t="s">
        <v>326</v>
      </c>
      <c r="E614" s="13" t="s">
        <v>327</v>
      </c>
      <c r="F614" s="13">
        <v>2023</v>
      </c>
      <c r="G614" s="13" t="s">
        <v>305</v>
      </c>
      <c r="H614" s="13" t="s">
        <v>328</v>
      </c>
      <c r="I614" s="13" t="s">
        <v>331</v>
      </c>
      <c r="J614" s="13" t="s">
        <v>332</v>
      </c>
      <c r="K614" s="11" t="s">
        <v>42</v>
      </c>
      <c r="L614" s="13" t="s">
        <v>56</v>
      </c>
      <c r="M614" s="10">
        <v>1</v>
      </c>
    </row>
    <row r="615" spans="1:13" x14ac:dyDescent="0.25">
      <c r="A615" s="12">
        <v>122</v>
      </c>
      <c r="B615" s="12" t="s">
        <v>12204</v>
      </c>
      <c r="C615" s="12">
        <v>442</v>
      </c>
      <c r="D615" s="12" t="s">
        <v>12444</v>
      </c>
      <c r="E615" s="12" t="s">
        <v>1418</v>
      </c>
      <c r="F615" s="12">
        <v>2023</v>
      </c>
      <c r="G615" s="12" t="s">
        <v>1419</v>
      </c>
      <c r="H615" s="12" t="s">
        <v>1420</v>
      </c>
      <c r="I615" s="12" t="s">
        <v>12441</v>
      </c>
      <c r="J615" s="12" t="s">
        <v>1423</v>
      </c>
      <c r="K615" s="12" t="s">
        <v>42</v>
      </c>
      <c r="L615" s="12" t="s">
        <v>12252</v>
      </c>
      <c r="M615" s="9">
        <v>1</v>
      </c>
    </row>
    <row r="616" spans="1:13" x14ac:dyDescent="0.25">
      <c r="A616" s="11">
        <v>90</v>
      </c>
      <c r="B616" s="12" t="s">
        <v>12118</v>
      </c>
      <c r="C616" s="12">
        <v>91</v>
      </c>
      <c r="D616" s="11" t="s">
        <v>11656</v>
      </c>
      <c r="E616" s="11" t="s">
        <v>11658</v>
      </c>
      <c r="F616" s="11">
        <v>2018</v>
      </c>
      <c r="G616" s="11" t="s">
        <v>11659</v>
      </c>
      <c r="H616" s="11" t="s">
        <v>1507</v>
      </c>
      <c r="I616" s="11" t="s">
        <v>11661</v>
      </c>
      <c r="J616" s="11" t="s">
        <v>1507</v>
      </c>
      <c r="K616" s="11" t="s">
        <v>42</v>
      </c>
      <c r="L616" s="11" t="s">
        <v>56</v>
      </c>
      <c r="M616" s="9" t="s">
        <v>12142</v>
      </c>
    </row>
    <row r="617" spans="1:13" x14ac:dyDescent="0.25">
      <c r="A617" s="11">
        <v>44</v>
      </c>
      <c r="B617" s="12" t="s">
        <v>12118</v>
      </c>
      <c r="C617" s="12">
        <v>46</v>
      </c>
      <c r="D617" s="11" t="s">
        <v>9656</v>
      </c>
      <c r="E617" s="11" t="s">
        <v>9658</v>
      </c>
      <c r="F617" s="11">
        <v>2020</v>
      </c>
      <c r="G617" s="11" t="s">
        <v>9659</v>
      </c>
      <c r="H617" s="11" t="str">
        <f>HYPERLINK("http://dx.doi.org/10.1016/j.clnu.2019.10.032","http://dx.doi.org/10.1016/j.clnu.2019.10.032")</f>
        <v>http://dx.doi.org/10.1016/j.clnu.2019.10.032</v>
      </c>
      <c r="I617" s="11" t="s">
        <v>9662</v>
      </c>
      <c r="J617" s="11" t="s">
        <v>9660</v>
      </c>
      <c r="K617" s="11" t="s">
        <v>42</v>
      </c>
      <c r="L617" s="11" t="s">
        <v>56</v>
      </c>
      <c r="M617" s="9" t="s">
        <v>12142</v>
      </c>
    </row>
    <row r="618" spans="1:13" x14ac:dyDescent="0.25">
      <c r="A618" s="11">
        <v>548</v>
      </c>
      <c r="B618" s="12" t="s">
        <v>12118</v>
      </c>
      <c r="C618" s="12">
        <v>614</v>
      </c>
      <c r="D618" s="11" t="s">
        <v>15422</v>
      </c>
      <c r="E618" s="11" t="s">
        <v>15424</v>
      </c>
      <c r="F618" s="11">
        <v>2023</v>
      </c>
      <c r="G618" s="11" t="s">
        <v>15425</v>
      </c>
      <c r="H618" s="11" t="s">
        <v>1507</v>
      </c>
      <c r="I618" s="11" t="s">
        <v>15431</v>
      </c>
      <c r="J618" s="11" t="s">
        <v>15430</v>
      </c>
      <c r="K618" s="11" t="s">
        <v>42</v>
      </c>
      <c r="L618" s="11" t="s">
        <v>5552</v>
      </c>
      <c r="M618" s="9" t="s">
        <v>12142</v>
      </c>
    </row>
    <row r="619" spans="1:13" x14ac:dyDescent="0.25">
      <c r="A619" s="11">
        <v>293</v>
      </c>
      <c r="B619" s="12" t="s">
        <v>12118</v>
      </c>
      <c r="C619" s="12">
        <v>326</v>
      </c>
      <c r="D619" s="11" t="s">
        <v>3143</v>
      </c>
      <c r="E619" s="11" t="s">
        <v>3145</v>
      </c>
      <c r="F619" s="11">
        <v>2023</v>
      </c>
      <c r="G619" s="11" t="s">
        <v>3146</v>
      </c>
      <c r="H619" s="11" t="str">
        <f>HYPERLINK("http://dx.doi.org/10.1016/j.frl.2023.104580","http://dx.doi.org/10.1016/j.frl.2023.104580")</f>
        <v>http://dx.doi.org/10.1016/j.frl.2023.104580</v>
      </c>
      <c r="I619" s="11" t="s">
        <v>3148</v>
      </c>
      <c r="J619" s="11" t="s">
        <v>3147</v>
      </c>
      <c r="K619" s="11" t="s">
        <v>42</v>
      </c>
      <c r="L619" s="11" t="s">
        <v>56</v>
      </c>
      <c r="M619" s="9" t="s">
        <v>12142</v>
      </c>
    </row>
    <row r="620" spans="1:13" x14ac:dyDescent="0.25">
      <c r="A620" s="11">
        <v>447</v>
      </c>
      <c r="B620" s="12" t="s">
        <v>12118</v>
      </c>
      <c r="C620" s="12">
        <v>500</v>
      </c>
      <c r="D620" s="11" t="s">
        <v>4651</v>
      </c>
      <c r="E620" s="11" t="s">
        <v>4653</v>
      </c>
      <c r="F620" s="11">
        <v>2023</v>
      </c>
      <c r="G620" s="11" t="s">
        <v>3083</v>
      </c>
      <c r="H620" s="11" t="str">
        <f>HYPERLINK("http://dx.doi.org/10.7759/cureus.40546","http://dx.doi.org/10.7759/cureus.40546")</f>
        <v>http://dx.doi.org/10.7759/cureus.40546</v>
      </c>
      <c r="I620" s="11" t="s">
        <v>4655</v>
      </c>
      <c r="J620" s="11" t="s">
        <v>4654</v>
      </c>
      <c r="K620" s="11" t="s">
        <v>42</v>
      </c>
      <c r="L620" s="11" t="s">
        <v>56</v>
      </c>
      <c r="M620" s="9" t="s">
        <v>12142</v>
      </c>
    </row>
    <row r="621" spans="1:13" x14ac:dyDescent="0.25">
      <c r="A621" s="11">
        <v>488</v>
      </c>
      <c r="B621" s="12" t="s">
        <v>12118</v>
      </c>
      <c r="C621" s="12">
        <v>539</v>
      </c>
      <c r="D621" s="11" t="s">
        <v>11410</v>
      </c>
      <c r="E621" s="11" t="s">
        <v>11412</v>
      </c>
      <c r="F621" s="11">
        <v>2019</v>
      </c>
      <c r="G621" s="11" t="s">
        <v>11413</v>
      </c>
      <c r="H621" s="11" t="str">
        <f>HYPERLINK("http://dx.doi.org/10.2514/1.C034978","http://dx.doi.org/10.2514/1.C034978")</f>
        <v>http://dx.doi.org/10.2514/1.C034978</v>
      </c>
      <c r="I621" s="11" t="s">
        <v>11415</v>
      </c>
      <c r="J621" s="11" t="s">
        <v>1507</v>
      </c>
      <c r="K621" s="11" t="s">
        <v>42</v>
      </c>
      <c r="L621" s="11" t="s">
        <v>56</v>
      </c>
      <c r="M621" s="9" t="s">
        <v>12142</v>
      </c>
    </row>
    <row r="622" spans="1:13" x14ac:dyDescent="0.25">
      <c r="A622" s="11">
        <v>458</v>
      </c>
      <c r="B622" s="12" t="s">
        <v>12118</v>
      </c>
      <c r="C622" s="12">
        <v>510</v>
      </c>
      <c r="D622" s="11" t="s">
        <v>15325</v>
      </c>
      <c r="E622" s="11" t="s">
        <v>15327</v>
      </c>
      <c r="F622" s="11">
        <v>2023</v>
      </c>
      <c r="G622" s="11" t="s">
        <v>15092</v>
      </c>
      <c r="H622" s="11" t="str">
        <f>HYPERLINK("http://dx.doi.org/10.1145/3583780.3615311","http://dx.doi.org/10.1145/3583780.3615311")</f>
        <v>http://dx.doi.org/10.1145/3583780.3615311</v>
      </c>
      <c r="I622" s="11" t="s">
        <v>15329</v>
      </c>
      <c r="J622" s="11" t="s">
        <v>15328</v>
      </c>
      <c r="K622" s="11" t="s">
        <v>42</v>
      </c>
      <c r="L622" s="11" t="s">
        <v>5552</v>
      </c>
      <c r="M622" s="9" t="s">
        <v>12142</v>
      </c>
    </row>
    <row r="623" spans="1:13" x14ac:dyDescent="0.25">
      <c r="A623" s="11">
        <v>5</v>
      </c>
      <c r="B623" s="12" t="s">
        <v>12118</v>
      </c>
      <c r="C623" s="12">
        <v>5</v>
      </c>
      <c r="D623" s="11" t="s">
        <v>5031</v>
      </c>
      <c r="E623" s="11" t="s">
        <v>5033</v>
      </c>
      <c r="F623" s="11">
        <v>2023</v>
      </c>
      <c r="G623" s="11" t="s">
        <v>5034</v>
      </c>
      <c r="H623" s="11" t="str">
        <f>HYPERLINK("http://dx.doi.org/10.3366/ajicl.2023.0441","http://dx.doi.org/10.3366/ajicl.2023.0441")</f>
        <v>http://dx.doi.org/10.3366/ajicl.2023.0441</v>
      </c>
      <c r="I623" s="11" t="s">
        <v>1507</v>
      </c>
      <c r="J623" s="11" t="s">
        <v>1507</v>
      </c>
      <c r="K623" s="11" t="s">
        <v>42</v>
      </c>
      <c r="L623" s="11" t="s">
        <v>56</v>
      </c>
      <c r="M623" s="9" t="s">
        <v>12142</v>
      </c>
    </row>
    <row r="624" spans="1:13" x14ac:dyDescent="0.25">
      <c r="A624" s="12">
        <v>42</v>
      </c>
      <c r="B624" s="12" t="s">
        <v>12204</v>
      </c>
      <c r="C624" s="12">
        <v>132</v>
      </c>
      <c r="D624" s="12" t="s">
        <v>12815</v>
      </c>
      <c r="E624" s="12" t="s">
        <v>233</v>
      </c>
      <c r="F624" s="12">
        <v>2023</v>
      </c>
      <c r="G624" s="12" t="s">
        <v>234</v>
      </c>
      <c r="H624" s="12" t="s">
        <v>235</v>
      </c>
      <c r="I624" s="12" t="s">
        <v>238</v>
      </c>
      <c r="J624" s="12" t="s">
        <v>239</v>
      </c>
      <c r="K624" s="12" t="s">
        <v>42</v>
      </c>
      <c r="L624" s="12" t="s">
        <v>56</v>
      </c>
      <c r="M624" s="10">
        <v>1</v>
      </c>
    </row>
    <row r="625" spans="1:13" x14ac:dyDescent="0.25">
      <c r="A625" s="11">
        <v>136</v>
      </c>
      <c r="B625" s="12" t="s">
        <v>12118</v>
      </c>
      <c r="C625" s="12">
        <v>146</v>
      </c>
      <c r="D625" s="11" t="s">
        <v>3511</v>
      </c>
      <c r="E625" s="11" t="s">
        <v>3513</v>
      </c>
      <c r="F625" s="11">
        <v>2023</v>
      </c>
      <c r="G625" s="11" t="s">
        <v>3514</v>
      </c>
      <c r="H625" s="11" t="str">
        <f>HYPERLINK("http://dx.doi.org/10.3916/C77-2023-04","http://dx.doi.org/10.3916/C77-2023-04")</f>
        <v>http://dx.doi.org/10.3916/C77-2023-04</v>
      </c>
      <c r="I625" s="11" t="s">
        <v>3516</v>
      </c>
      <c r="J625" s="11" t="s">
        <v>3515</v>
      </c>
      <c r="K625" s="11" t="s">
        <v>55</v>
      </c>
      <c r="L625" s="11" t="s">
        <v>56</v>
      </c>
      <c r="M625" s="9">
        <v>1</v>
      </c>
    </row>
    <row r="626" spans="1:13" x14ac:dyDescent="0.25">
      <c r="A626" s="11">
        <v>328</v>
      </c>
      <c r="B626" s="12" t="s">
        <v>12118</v>
      </c>
      <c r="C626" s="12">
        <v>370</v>
      </c>
      <c r="D626" s="11" t="s">
        <v>7844</v>
      </c>
      <c r="E626" s="11" t="s">
        <v>7847</v>
      </c>
      <c r="F626" s="11">
        <v>2022</v>
      </c>
      <c r="G626" s="11" t="s">
        <v>7848</v>
      </c>
      <c r="H626" s="11" t="s">
        <v>1507</v>
      </c>
      <c r="I626" s="11" t="s">
        <v>7853</v>
      </c>
      <c r="J626" s="11" t="s">
        <v>1507</v>
      </c>
      <c r="K626" s="11" t="s">
        <v>42</v>
      </c>
      <c r="L626" s="11" t="s">
        <v>5552</v>
      </c>
      <c r="M626" s="9" t="s">
        <v>12142</v>
      </c>
    </row>
    <row r="627" spans="1:13" x14ac:dyDescent="0.25">
      <c r="A627" s="11">
        <v>529</v>
      </c>
      <c r="B627" s="12" t="s">
        <v>12118</v>
      </c>
      <c r="C627" s="12">
        <v>588</v>
      </c>
      <c r="D627" s="11" t="s">
        <v>7876</v>
      </c>
      <c r="E627" s="11" t="s">
        <v>7879</v>
      </c>
      <c r="F627" s="11">
        <v>2022</v>
      </c>
      <c r="G627" s="11" t="s">
        <v>7880</v>
      </c>
      <c r="H627" s="11" t="str">
        <f>HYPERLINK("http://dx.doi.org/10.1109/CVPR52688.2022.01739","http://dx.doi.org/10.1109/CVPR52688.2022.01739")</f>
        <v>http://dx.doi.org/10.1109/CVPR52688.2022.01739</v>
      </c>
      <c r="I627" s="11" t="s">
        <v>7883</v>
      </c>
      <c r="J627" s="11" t="s">
        <v>1507</v>
      </c>
      <c r="K627" s="11" t="s">
        <v>42</v>
      </c>
      <c r="L627" s="11" t="s">
        <v>5552</v>
      </c>
      <c r="M627" s="9" t="s">
        <v>12142</v>
      </c>
    </row>
    <row r="632" spans="1:13" x14ac:dyDescent="0.25">
      <c r="M632" s="9"/>
    </row>
  </sheetData>
  <autoFilter ref="A1:DC627" xr:uid="{F11861F2-DD74-439C-A719-81C2E8B70792}">
    <sortState xmlns:xlrd2="http://schemas.microsoft.com/office/spreadsheetml/2017/richdata2" ref="A2:BO627">
      <sortCondition ref="E1:E627"/>
    </sortState>
  </autoFilter>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7A832-BE50-4001-AC25-6C1183E7CE6F}">
  <dimension ref="A1:BP188"/>
  <sheetViews>
    <sheetView zoomScale="80" zoomScaleNormal="80" workbookViewId="0">
      <selection sqref="A1:XFD1048576"/>
    </sheetView>
  </sheetViews>
  <sheetFormatPr baseColWidth="10" defaultRowHeight="13.2" x14ac:dyDescent="0.25"/>
  <cols>
    <col min="1" max="1" width="5.109375" style="12" customWidth="1"/>
    <col min="2" max="2" width="4.21875" style="12" customWidth="1"/>
    <col min="3" max="3" width="9.5546875" style="12" customWidth="1"/>
    <col min="4" max="4" width="3.77734375" style="12" customWidth="1"/>
    <col min="5" max="5" width="2.77734375" style="12" customWidth="1"/>
    <col min="6" max="6" width="74.21875" style="12" customWidth="1"/>
    <col min="7" max="7" width="6.6640625" style="12" customWidth="1"/>
    <col min="8" max="8" width="3.44140625" style="12" customWidth="1"/>
    <col min="9" max="9" width="3.5546875" style="12" customWidth="1"/>
    <col min="10" max="10" width="2.44140625" style="12" customWidth="1"/>
    <col min="11" max="11" width="3.21875" style="12" customWidth="1"/>
    <col min="12" max="12" width="6.6640625" style="12" customWidth="1"/>
    <col min="13" max="13" width="9.77734375" style="12" customWidth="1"/>
    <col min="14" max="14" width="2.21875" style="12" customWidth="1"/>
    <col min="15" max="15" width="3.44140625" style="12" customWidth="1"/>
    <col min="16" max="16384" width="11.5546875" style="12"/>
  </cols>
  <sheetData>
    <row r="1" spans="1:15" s="12" customFormat="1" x14ac:dyDescent="0.25">
      <c r="A1" s="12" t="s">
        <v>1445</v>
      </c>
      <c r="B1" s="12" t="s">
        <v>16065</v>
      </c>
      <c r="C1" s="12" t="s">
        <v>16064</v>
      </c>
      <c r="D1" s="12" t="s">
        <v>1445</v>
      </c>
      <c r="E1" s="12" t="s">
        <v>0</v>
      </c>
      <c r="F1" s="12" t="s">
        <v>2</v>
      </c>
      <c r="G1" s="12" t="s">
        <v>3</v>
      </c>
      <c r="H1" s="12" t="s">
        <v>4</v>
      </c>
      <c r="I1" s="12" t="s">
        <v>12</v>
      </c>
      <c r="J1" s="12" t="s">
        <v>16</v>
      </c>
      <c r="K1" s="12" t="s">
        <v>17</v>
      </c>
      <c r="L1" s="12" t="s">
        <v>26</v>
      </c>
      <c r="M1" s="12" t="s">
        <v>28</v>
      </c>
      <c r="N1" s="12" t="s">
        <v>16067</v>
      </c>
      <c r="O1" s="12" t="s">
        <v>16068</v>
      </c>
    </row>
    <row r="2" spans="1:15" s="12" customFormat="1" x14ac:dyDescent="0.25">
      <c r="A2" s="12">
        <v>1</v>
      </c>
      <c r="B2" s="11">
        <v>591</v>
      </c>
      <c r="C2" s="12" t="s">
        <v>12118</v>
      </c>
      <c r="D2" s="12">
        <v>660</v>
      </c>
      <c r="E2" s="11" t="s">
        <v>6579</v>
      </c>
      <c r="F2" s="11" t="s">
        <v>6581</v>
      </c>
      <c r="G2" s="11">
        <v>2023</v>
      </c>
      <c r="H2" s="11" t="s">
        <v>6014</v>
      </c>
      <c r="I2" s="11" t="str">
        <f>HYPERLINK("http://dx.doi.org/10.1109/ASE56229.2023.00096","http://dx.doi.org/10.1109/ASE56229.2023.00096")</f>
        <v>http://dx.doi.org/10.1109/ASE56229.2023.00096</v>
      </c>
      <c r="J2" s="11" t="s">
        <v>6583</v>
      </c>
      <c r="K2" s="11" t="s">
        <v>6582</v>
      </c>
      <c r="L2" s="11" t="s">
        <v>42</v>
      </c>
      <c r="M2" s="11" t="s">
        <v>5552</v>
      </c>
      <c r="N2" s="12">
        <v>1</v>
      </c>
      <c r="O2" s="12" t="s">
        <v>12142</v>
      </c>
    </row>
    <row r="3" spans="1:15" s="12" customFormat="1" x14ac:dyDescent="0.25">
      <c r="A3" s="12">
        <v>2</v>
      </c>
      <c r="B3" s="11">
        <v>580</v>
      </c>
      <c r="C3" s="12" t="s">
        <v>12118</v>
      </c>
      <c r="D3" s="12">
        <v>648</v>
      </c>
      <c r="E3" s="11" t="s">
        <v>9122</v>
      </c>
      <c r="F3" s="11" t="s">
        <v>9124</v>
      </c>
      <c r="G3" s="11">
        <v>2022</v>
      </c>
      <c r="H3" s="11" t="s">
        <v>1508</v>
      </c>
      <c r="I3" s="11" t="str">
        <f>HYPERLINK("http://dx.doi.org/10.1007/s12144-020-01230-0","http://dx.doi.org/10.1007/s12144-020-01230-0")</f>
        <v>http://dx.doi.org/10.1007/s12144-020-01230-0</v>
      </c>
      <c r="J3" s="11" t="s">
        <v>9127</v>
      </c>
      <c r="K3" s="11" t="s">
        <v>9125</v>
      </c>
      <c r="L3" s="11" t="s">
        <v>42</v>
      </c>
      <c r="M3" s="11" t="s">
        <v>56</v>
      </c>
      <c r="N3" s="11">
        <v>1</v>
      </c>
      <c r="O3" s="11" t="s">
        <v>12142</v>
      </c>
    </row>
    <row r="4" spans="1:15" s="12" customFormat="1" x14ac:dyDescent="0.25">
      <c r="A4" s="12">
        <v>3</v>
      </c>
      <c r="B4" s="11">
        <v>117</v>
      </c>
      <c r="C4" s="12" t="s">
        <v>12118</v>
      </c>
      <c r="D4" s="12">
        <v>122</v>
      </c>
      <c r="E4" s="11" t="s">
        <v>4293</v>
      </c>
      <c r="F4" s="11" t="s">
        <v>4295</v>
      </c>
      <c r="G4" s="11">
        <v>2023</v>
      </c>
      <c r="H4" s="11" t="s">
        <v>4296</v>
      </c>
      <c r="I4" s="11" t="str">
        <f>HYPERLINK("http://dx.doi.org/10.3847/1538-4365/acdee1","http://dx.doi.org/10.3847/1538-4365/acdee1")</f>
        <v>http://dx.doi.org/10.3847/1538-4365/acdee1</v>
      </c>
      <c r="J4" s="11" t="s">
        <v>4298</v>
      </c>
      <c r="K4" s="11" t="s">
        <v>1507</v>
      </c>
      <c r="L4" s="11" t="s">
        <v>42</v>
      </c>
      <c r="M4" s="11" t="s">
        <v>56</v>
      </c>
      <c r="N4" s="12">
        <v>1</v>
      </c>
      <c r="O4" s="12" t="s">
        <v>12142</v>
      </c>
    </row>
    <row r="5" spans="1:15" s="12" customFormat="1" x14ac:dyDescent="0.25">
      <c r="A5" s="12">
        <v>4</v>
      </c>
      <c r="B5" s="11">
        <v>39</v>
      </c>
      <c r="C5" s="12" t="s">
        <v>12118</v>
      </c>
      <c r="D5" s="12">
        <v>39</v>
      </c>
      <c r="E5" s="11" t="s">
        <v>10748</v>
      </c>
      <c r="F5" s="11" t="s">
        <v>10750</v>
      </c>
      <c r="G5" s="11">
        <v>2019</v>
      </c>
      <c r="H5" s="11" t="s">
        <v>10751</v>
      </c>
      <c r="I5" s="11" t="str">
        <f>HYPERLINK("http://dx.doi.org/10.1017/lsi.2018.12","http://dx.doi.org/10.1017/lsi.2018.12")</f>
        <v>http://dx.doi.org/10.1017/lsi.2018.12</v>
      </c>
      <c r="J5" s="11" t="s">
        <v>10753</v>
      </c>
      <c r="K5" s="11" t="s">
        <v>1507</v>
      </c>
      <c r="L5" s="11" t="s">
        <v>42</v>
      </c>
      <c r="M5" s="11" t="s">
        <v>56</v>
      </c>
      <c r="N5" s="11">
        <v>1</v>
      </c>
      <c r="O5" s="11" t="s">
        <v>12142</v>
      </c>
    </row>
    <row r="6" spans="1:15" s="12" customFormat="1" x14ac:dyDescent="0.25">
      <c r="A6" s="12">
        <v>5</v>
      </c>
      <c r="B6" s="11">
        <v>351</v>
      </c>
      <c r="C6" s="12" t="s">
        <v>12118</v>
      </c>
      <c r="D6" s="12">
        <v>392</v>
      </c>
      <c r="E6" s="11" t="s">
        <v>2251</v>
      </c>
      <c r="F6" s="11" t="s">
        <v>2253</v>
      </c>
      <c r="G6" s="11">
        <v>2023</v>
      </c>
      <c r="H6" s="11" t="s">
        <v>2254</v>
      </c>
      <c r="I6" s="11" t="str">
        <f>HYPERLINK("http://dx.doi.org/10.3390/fi15120375","http://dx.doi.org/10.3390/fi15120375")</f>
        <v>http://dx.doi.org/10.3390/fi15120375</v>
      </c>
      <c r="J6" s="11" t="s">
        <v>2257</v>
      </c>
      <c r="K6" s="11" t="s">
        <v>2255</v>
      </c>
      <c r="L6" s="11" t="s">
        <v>42</v>
      </c>
      <c r="M6" s="11" t="s">
        <v>56</v>
      </c>
      <c r="N6" s="11">
        <v>1</v>
      </c>
      <c r="O6" s="11" t="s">
        <v>12142</v>
      </c>
    </row>
    <row r="7" spans="1:15" s="12" customFormat="1" x14ac:dyDescent="0.25">
      <c r="A7" s="12">
        <v>6</v>
      </c>
      <c r="B7" s="12">
        <v>130</v>
      </c>
      <c r="C7" s="12" t="s">
        <v>12204</v>
      </c>
      <c r="D7" s="12">
        <v>472</v>
      </c>
      <c r="E7" s="12" t="s">
        <v>13635</v>
      </c>
      <c r="F7" s="12" t="s">
        <v>433</v>
      </c>
      <c r="G7" s="12">
        <v>2023</v>
      </c>
      <c r="H7" s="12" t="s">
        <v>434</v>
      </c>
      <c r="I7" s="12" t="s">
        <v>435</v>
      </c>
      <c r="J7" s="12" t="s">
        <v>438</v>
      </c>
      <c r="L7" s="12" t="s">
        <v>42</v>
      </c>
      <c r="M7" s="12" t="s">
        <v>56</v>
      </c>
      <c r="N7" s="11">
        <v>1</v>
      </c>
      <c r="O7" s="11" t="s">
        <v>12142</v>
      </c>
    </row>
    <row r="8" spans="1:15" s="12" customFormat="1" x14ac:dyDescent="0.25">
      <c r="A8" s="12">
        <v>7</v>
      </c>
      <c r="B8" s="12">
        <v>69</v>
      </c>
      <c r="C8" s="12" t="s">
        <v>12204</v>
      </c>
      <c r="D8" s="12">
        <v>247</v>
      </c>
      <c r="E8" s="12" t="s">
        <v>12662</v>
      </c>
      <c r="F8" s="12" t="s">
        <v>1170</v>
      </c>
      <c r="G8" s="12">
        <v>2023</v>
      </c>
      <c r="H8" s="12" t="s">
        <v>797</v>
      </c>
      <c r="I8" s="12" t="s">
        <v>1171</v>
      </c>
      <c r="J8" s="12" t="s">
        <v>1174</v>
      </c>
      <c r="K8" s="12" t="s">
        <v>1175</v>
      </c>
      <c r="L8" s="12" t="s">
        <v>42</v>
      </c>
      <c r="M8" s="12" t="s">
        <v>56</v>
      </c>
      <c r="N8" s="12">
        <v>1</v>
      </c>
      <c r="O8" s="12" t="s">
        <v>12142</v>
      </c>
    </row>
    <row r="9" spans="1:15" s="12" customFormat="1" x14ac:dyDescent="0.25">
      <c r="A9" s="12">
        <v>8</v>
      </c>
      <c r="B9" s="11">
        <v>131</v>
      </c>
      <c r="C9" s="12" t="s">
        <v>12118</v>
      </c>
      <c r="D9" s="12">
        <v>139</v>
      </c>
      <c r="E9" s="11" t="s">
        <v>11320</v>
      </c>
      <c r="F9" s="11" t="s">
        <v>11322</v>
      </c>
      <c r="G9" s="11">
        <v>2019</v>
      </c>
      <c r="H9" s="11" t="s">
        <v>11323</v>
      </c>
      <c r="I9" s="11" t="str">
        <f>HYPERLINK("http://dx.doi.org/10.22481/praxis.v15i31.4681","http://dx.doi.org/10.22481/praxis.v15i31.4681")</f>
        <v>http://dx.doi.org/10.22481/praxis.v15i31.4681</v>
      </c>
      <c r="J9" s="11" t="s">
        <v>11326</v>
      </c>
      <c r="K9" s="11" t="s">
        <v>11325</v>
      </c>
      <c r="L9" s="11" t="s">
        <v>11324</v>
      </c>
      <c r="M9" s="11" t="s">
        <v>56</v>
      </c>
      <c r="N9" s="11">
        <v>1</v>
      </c>
      <c r="O9" s="11" t="s">
        <v>12142</v>
      </c>
    </row>
    <row r="10" spans="1:15" s="12" customFormat="1" x14ac:dyDescent="0.25">
      <c r="A10" s="12">
        <v>9</v>
      </c>
      <c r="B10" s="12">
        <v>131</v>
      </c>
      <c r="C10" s="12" t="s">
        <v>12204</v>
      </c>
      <c r="D10" s="12">
        <v>476</v>
      </c>
      <c r="E10" s="12" t="s">
        <v>794</v>
      </c>
      <c r="F10" s="12" t="s">
        <v>796</v>
      </c>
      <c r="G10" s="12">
        <v>2023</v>
      </c>
      <c r="H10" s="12" t="s">
        <v>797</v>
      </c>
      <c r="I10" s="12" t="s">
        <v>798</v>
      </c>
      <c r="J10" s="12" t="s">
        <v>801</v>
      </c>
      <c r="K10" s="12" t="s">
        <v>802</v>
      </c>
      <c r="L10" s="12" t="s">
        <v>42</v>
      </c>
      <c r="M10" s="12" t="s">
        <v>56</v>
      </c>
      <c r="N10" s="12">
        <v>1</v>
      </c>
      <c r="O10" s="12">
        <v>1</v>
      </c>
    </row>
    <row r="11" spans="1:15" s="12" customFormat="1" x14ac:dyDescent="0.25">
      <c r="A11" s="12">
        <v>10</v>
      </c>
      <c r="B11" s="12">
        <v>112</v>
      </c>
      <c r="C11" s="12" t="s">
        <v>12204</v>
      </c>
      <c r="D11" s="12">
        <v>399</v>
      </c>
      <c r="E11" s="12" t="s">
        <v>12709</v>
      </c>
      <c r="F11" s="12" t="s">
        <v>849</v>
      </c>
      <c r="G11" s="12">
        <v>2023</v>
      </c>
      <c r="H11" s="12" t="s">
        <v>127</v>
      </c>
      <c r="I11" s="12" t="s">
        <v>851</v>
      </c>
      <c r="J11" s="12" t="s">
        <v>854</v>
      </c>
      <c r="K11" s="12" t="s">
        <v>855</v>
      </c>
      <c r="L11" s="12" t="s">
        <v>42</v>
      </c>
      <c r="M11" s="12" t="s">
        <v>12252</v>
      </c>
      <c r="N11" s="12">
        <v>1</v>
      </c>
      <c r="O11" s="12" t="s">
        <v>12142</v>
      </c>
    </row>
    <row r="12" spans="1:15" s="12" customFormat="1" x14ac:dyDescent="0.25">
      <c r="A12" s="12">
        <v>11</v>
      </c>
      <c r="B12" s="11">
        <v>196</v>
      </c>
      <c r="C12" s="12" t="s">
        <v>12118</v>
      </c>
      <c r="D12" s="12">
        <v>213</v>
      </c>
      <c r="E12" s="11" t="s">
        <v>2794</v>
      </c>
      <c r="F12" s="11" t="s">
        <v>2796</v>
      </c>
      <c r="G12" s="11">
        <v>2023</v>
      </c>
      <c r="H12" s="11" t="s">
        <v>1617</v>
      </c>
      <c r="I12" s="11" t="str">
        <f>HYPERLINK("http://dx.doi.org/10.3390/electronics12224694","http://dx.doi.org/10.3390/electronics12224694")</f>
        <v>http://dx.doi.org/10.3390/electronics12224694</v>
      </c>
      <c r="J12" s="11" t="s">
        <v>2798</v>
      </c>
      <c r="K12" s="11" t="s">
        <v>2797</v>
      </c>
      <c r="L12" s="11" t="s">
        <v>42</v>
      </c>
      <c r="M12" s="11" t="s">
        <v>56</v>
      </c>
      <c r="N12" s="11">
        <v>1</v>
      </c>
      <c r="O12" s="11" t="s">
        <v>12142</v>
      </c>
    </row>
    <row r="13" spans="1:15" s="12" customFormat="1" x14ac:dyDescent="0.25">
      <c r="A13" s="12">
        <v>12</v>
      </c>
      <c r="B13" s="11">
        <v>311</v>
      </c>
      <c r="C13" s="12" t="s">
        <v>12118</v>
      </c>
      <c r="D13" s="12">
        <v>348</v>
      </c>
      <c r="E13" s="11" t="s">
        <v>6088</v>
      </c>
      <c r="F13" s="11" t="s">
        <v>6091</v>
      </c>
      <c r="G13" s="11">
        <v>2023</v>
      </c>
      <c r="H13" s="11" t="s">
        <v>6092</v>
      </c>
      <c r="I13" s="11" t="str">
        <f>HYPERLINK("http://dx.doi.org/10.1109/ICALT58122.2023.00072","http://dx.doi.org/10.1109/ICALT58122.2023.00072")</f>
        <v>http://dx.doi.org/10.1109/ICALT58122.2023.00072</v>
      </c>
      <c r="J13" s="11" t="s">
        <v>6099</v>
      </c>
      <c r="K13" s="11" t="s">
        <v>6098</v>
      </c>
      <c r="L13" s="11" t="s">
        <v>42</v>
      </c>
      <c r="M13" s="11" t="s">
        <v>5552</v>
      </c>
      <c r="N13" s="11">
        <v>1</v>
      </c>
      <c r="O13" s="11">
        <v>1</v>
      </c>
    </row>
    <row r="14" spans="1:15" s="12" customFormat="1" x14ac:dyDescent="0.25">
      <c r="A14" s="12">
        <v>13</v>
      </c>
      <c r="B14" s="11">
        <v>31</v>
      </c>
      <c r="C14" s="12" t="s">
        <v>12118</v>
      </c>
      <c r="D14" s="12">
        <v>34</v>
      </c>
      <c r="E14" s="11" t="s">
        <v>5607</v>
      </c>
      <c r="F14" s="11" t="s">
        <v>266</v>
      </c>
      <c r="G14" s="11">
        <v>2023</v>
      </c>
      <c r="H14" s="11" t="s">
        <v>5609</v>
      </c>
      <c r="I14" s="11" t="str">
        <f>HYPERLINK("http://dx.doi.org/10.3991/ijep.v13i8.45621","http://dx.doi.org/10.3991/ijep.v13i8.45621")</f>
        <v>http://dx.doi.org/10.3991/ijep.v13i8.45621</v>
      </c>
      <c r="J14" s="11" t="s">
        <v>5611</v>
      </c>
      <c r="K14" s="11" t="s">
        <v>5610</v>
      </c>
      <c r="L14" s="11" t="s">
        <v>42</v>
      </c>
      <c r="M14" s="11" t="s">
        <v>56</v>
      </c>
      <c r="N14" s="11">
        <v>1</v>
      </c>
      <c r="O14" s="11">
        <v>1</v>
      </c>
    </row>
    <row r="15" spans="1:15" s="12" customFormat="1" x14ac:dyDescent="0.25">
      <c r="A15" s="12">
        <v>14</v>
      </c>
      <c r="B15" s="11">
        <v>168</v>
      </c>
      <c r="C15" s="12" t="s">
        <v>12118</v>
      </c>
      <c r="D15" s="12">
        <v>181</v>
      </c>
      <c r="E15" s="11" t="s">
        <v>2946</v>
      </c>
      <c r="F15" s="11" t="s">
        <v>515</v>
      </c>
      <c r="G15" s="11">
        <v>2023</v>
      </c>
      <c r="H15" s="11" t="s">
        <v>2579</v>
      </c>
      <c r="I15" s="11" t="str">
        <f>HYPERLINK("http://dx.doi.org/10.1186/s41239-023-00425-2","http://dx.doi.org/10.1186/s41239-023-00425-2")</f>
        <v>http://dx.doi.org/10.1186/s41239-023-00425-2</v>
      </c>
      <c r="J15" s="11" t="s">
        <v>2949</v>
      </c>
      <c r="K15" s="11" t="s">
        <v>2948</v>
      </c>
      <c r="L15" s="11" t="s">
        <v>42</v>
      </c>
      <c r="M15" s="11" t="s">
        <v>56</v>
      </c>
      <c r="N15" s="11">
        <v>1</v>
      </c>
      <c r="O15" s="11">
        <v>1</v>
      </c>
    </row>
    <row r="16" spans="1:15" s="12" customFormat="1" x14ac:dyDescent="0.25">
      <c r="A16" s="12">
        <v>15</v>
      </c>
      <c r="B16" s="12">
        <v>154</v>
      </c>
      <c r="C16" s="12" t="s">
        <v>12204</v>
      </c>
      <c r="D16" s="12">
        <v>575</v>
      </c>
      <c r="E16" s="12" t="s">
        <v>12844</v>
      </c>
      <c r="F16" s="12" t="s">
        <v>163</v>
      </c>
      <c r="G16" s="12">
        <v>2023</v>
      </c>
      <c r="H16" s="12" t="s">
        <v>164</v>
      </c>
      <c r="I16" s="12" t="s">
        <v>165</v>
      </c>
      <c r="J16" s="12" t="s">
        <v>12841</v>
      </c>
      <c r="K16" s="12" t="s">
        <v>169</v>
      </c>
      <c r="L16" s="12" t="s">
        <v>42</v>
      </c>
      <c r="M16" s="12" t="s">
        <v>12252</v>
      </c>
      <c r="N16" s="12">
        <v>1</v>
      </c>
      <c r="O16" s="12">
        <v>1</v>
      </c>
    </row>
    <row r="17" spans="1:15" s="12" customFormat="1" x14ac:dyDescent="0.25">
      <c r="A17" s="12">
        <v>16</v>
      </c>
      <c r="B17" s="12">
        <v>11</v>
      </c>
      <c r="C17" s="12" t="s">
        <v>12204</v>
      </c>
      <c r="D17" s="12">
        <v>11</v>
      </c>
      <c r="E17" s="12" t="s">
        <v>13462</v>
      </c>
      <c r="F17" s="12" t="s">
        <v>415</v>
      </c>
      <c r="G17" s="12">
        <v>2023</v>
      </c>
      <c r="H17" s="12" t="s">
        <v>416</v>
      </c>
      <c r="I17" s="12" t="s">
        <v>417</v>
      </c>
      <c r="J17" s="12" t="s">
        <v>419</v>
      </c>
      <c r="K17" s="12" t="s">
        <v>420</v>
      </c>
      <c r="L17" s="12" t="s">
        <v>42</v>
      </c>
      <c r="M17" s="12" t="s">
        <v>56</v>
      </c>
      <c r="N17" s="12">
        <v>1</v>
      </c>
      <c r="O17" s="12">
        <v>1</v>
      </c>
    </row>
    <row r="18" spans="1:15" s="12" customFormat="1" x14ac:dyDescent="0.25">
      <c r="A18" s="12">
        <v>17</v>
      </c>
      <c r="B18" s="11">
        <v>178</v>
      </c>
      <c r="C18" s="12" t="s">
        <v>12118</v>
      </c>
      <c r="D18" s="12">
        <v>193</v>
      </c>
      <c r="E18" s="11" t="s">
        <v>3840</v>
      </c>
      <c r="F18" s="11" t="s">
        <v>3843</v>
      </c>
      <c r="G18" s="11">
        <v>2023</v>
      </c>
      <c r="H18" s="11" t="s">
        <v>3844</v>
      </c>
      <c r="I18" s="11" t="str">
        <f>HYPERLINK("http://dx.doi.org/10.1017/cts.2023.619","http://dx.doi.org/10.1017/cts.2023.619")</f>
        <v>http://dx.doi.org/10.1017/cts.2023.619</v>
      </c>
      <c r="J18" s="11" t="s">
        <v>3846</v>
      </c>
      <c r="K18" s="11" t="s">
        <v>3845</v>
      </c>
      <c r="L18" s="11" t="s">
        <v>42</v>
      </c>
      <c r="M18" s="11" t="s">
        <v>56</v>
      </c>
      <c r="N18" s="12">
        <v>1</v>
      </c>
      <c r="O18" s="12" t="s">
        <v>12142</v>
      </c>
    </row>
    <row r="19" spans="1:15" s="12" customFormat="1" x14ac:dyDescent="0.25">
      <c r="A19" s="12">
        <v>18</v>
      </c>
      <c r="B19" s="11">
        <v>108</v>
      </c>
      <c r="C19" s="12" t="s">
        <v>12118</v>
      </c>
      <c r="D19" s="12">
        <v>112</v>
      </c>
      <c r="E19" s="11" t="s">
        <v>5163</v>
      </c>
      <c r="F19" s="11" t="s">
        <v>5306</v>
      </c>
      <c r="G19" s="11">
        <v>2023</v>
      </c>
      <c r="H19" s="11" t="s">
        <v>5166</v>
      </c>
      <c r="I19" s="11" t="str">
        <f>HYPERLINK("http://dx.doi.org/10.1108/JMLC-01-2023-0004","http://dx.doi.org/10.1108/JMLC-01-2023-0004")</f>
        <v>http://dx.doi.org/10.1108/JMLC-01-2023-0004</v>
      </c>
      <c r="J19" s="11" t="s">
        <v>5308</v>
      </c>
      <c r="K19" s="11" t="s">
        <v>5307</v>
      </c>
      <c r="L19" s="11" t="s">
        <v>42</v>
      </c>
      <c r="M19" s="11" t="s">
        <v>56</v>
      </c>
      <c r="N19" s="11">
        <v>1</v>
      </c>
      <c r="O19" s="11" t="s">
        <v>12142</v>
      </c>
    </row>
    <row r="20" spans="1:15" s="12" customFormat="1" x14ac:dyDescent="0.25">
      <c r="A20" s="12">
        <v>19</v>
      </c>
      <c r="B20" s="12">
        <v>73</v>
      </c>
      <c r="C20" s="12" t="s">
        <v>12204</v>
      </c>
      <c r="D20" s="12">
        <v>260</v>
      </c>
      <c r="E20" s="12" t="s">
        <v>13482</v>
      </c>
      <c r="F20" s="12" t="s">
        <v>485</v>
      </c>
      <c r="G20" s="12">
        <v>2023</v>
      </c>
      <c r="H20" s="12" t="s">
        <v>486</v>
      </c>
      <c r="I20" s="12" t="s">
        <v>489</v>
      </c>
      <c r="J20" s="12" t="s">
        <v>492</v>
      </c>
      <c r="L20" s="12" t="s">
        <v>42</v>
      </c>
      <c r="M20" s="12" t="s">
        <v>56</v>
      </c>
      <c r="N20" s="12">
        <v>1</v>
      </c>
      <c r="O20" s="12">
        <v>1</v>
      </c>
    </row>
    <row r="21" spans="1:15" s="12" customFormat="1" x14ac:dyDescent="0.25">
      <c r="A21" s="12">
        <v>20</v>
      </c>
      <c r="B21" s="12">
        <v>121</v>
      </c>
      <c r="C21" s="12" t="s">
        <v>12204</v>
      </c>
      <c r="D21" s="12">
        <v>435</v>
      </c>
      <c r="E21" s="12" t="s">
        <v>112</v>
      </c>
      <c r="F21" s="12" t="s">
        <v>114</v>
      </c>
      <c r="G21" s="12">
        <v>2023</v>
      </c>
      <c r="H21" s="12" t="s">
        <v>115</v>
      </c>
      <c r="I21" s="12" t="s">
        <v>116</v>
      </c>
      <c r="J21" s="12" t="s">
        <v>12850</v>
      </c>
      <c r="K21" s="12" t="s">
        <v>120</v>
      </c>
      <c r="L21" s="12" t="s">
        <v>42</v>
      </c>
      <c r="M21" s="12" t="s">
        <v>12252</v>
      </c>
      <c r="N21" s="12">
        <v>1</v>
      </c>
      <c r="O21" s="12">
        <v>1</v>
      </c>
    </row>
    <row r="22" spans="1:15" s="12" customFormat="1" x14ac:dyDescent="0.25">
      <c r="A22" s="12">
        <v>21</v>
      </c>
      <c r="B22" s="11">
        <v>404</v>
      </c>
      <c r="C22" s="12" t="s">
        <v>12118</v>
      </c>
      <c r="D22" s="12">
        <v>447</v>
      </c>
      <c r="E22" s="11" t="s">
        <v>14144</v>
      </c>
      <c r="F22" s="11" t="s">
        <v>14146</v>
      </c>
      <c r="G22" s="11">
        <v>2023</v>
      </c>
      <c r="H22" s="11" t="s">
        <v>14147</v>
      </c>
      <c r="I22" s="11" t="str">
        <f>HYPERLINK("http://dx.doi.org/10.20339/PhS.6s-23.003","http://dx.doi.org/10.20339/PhS.6s-23.003")</f>
        <v>http://dx.doi.org/10.20339/PhS.6s-23.003</v>
      </c>
      <c r="J22" s="11" t="s">
        <v>14150</v>
      </c>
      <c r="K22" s="11" t="s">
        <v>14149</v>
      </c>
      <c r="L22" s="11" t="s">
        <v>14148</v>
      </c>
      <c r="M22" s="11" t="s">
        <v>56</v>
      </c>
      <c r="N22" s="11">
        <v>1</v>
      </c>
      <c r="O22" s="11" t="s">
        <v>12142</v>
      </c>
    </row>
    <row r="23" spans="1:15" s="12" customFormat="1" x14ac:dyDescent="0.25">
      <c r="A23" s="12">
        <v>22</v>
      </c>
      <c r="B23" s="11">
        <v>189</v>
      </c>
      <c r="C23" s="12" t="s">
        <v>12118</v>
      </c>
      <c r="D23" s="12">
        <v>206</v>
      </c>
      <c r="E23" s="11" t="s">
        <v>5841</v>
      </c>
      <c r="F23" s="11" t="s">
        <v>5843</v>
      </c>
      <c r="G23" s="11">
        <v>2023</v>
      </c>
      <c r="H23" s="11" t="s">
        <v>5844</v>
      </c>
      <c r="I23" s="11" t="str">
        <f>HYPERLINK("http://dx.doi.org/10.1145/3599696.3612895","http://dx.doi.org/10.1145/3599696.3612895")</f>
        <v>http://dx.doi.org/10.1145/3599696.3612895</v>
      </c>
      <c r="J23" s="11" t="s">
        <v>5849</v>
      </c>
      <c r="K23" s="11" t="s">
        <v>5848</v>
      </c>
      <c r="L23" s="11" t="s">
        <v>42</v>
      </c>
      <c r="M23" s="11" t="s">
        <v>5552</v>
      </c>
      <c r="N23" s="11">
        <v>1</v>
      </c>
      <c r="O23" s="11" t="s">
        <v>12142</v>
      </c>
    </row>
    <row r="24" spans="1:15" s="12" customFormat="1" x14ac:dyDescent="0.25">
      <c r="A24" s="12">
        <v>23</v>
      </c>
      <c r="B24" s="12">
        <v>174</v>
      </c>
      <c r="C24" s="12" t="s">
        <v>12204</v>
      </c>
      <c r="D24" s="12">
        <v>663</v>
      </c>
      <c r="E24" s="12" t="s">
        <v>12858</v>
      </c>
      <c r="F24" s="12" t="s">
        <v>675</v>
      </c>
      <c r="G24" s="12">
        <v>2023</v>
      </c>
      <c r="H24" s="12" t="s">
        <v>676</v>
      </c>
      <c r="I24" s="12" t="s">
        <v>677</v>
      </c>
      <c r="J24" s="12" t="s">
        <v>680</v>
      </c>
      <c r="K24" s="12" t="s">
        <v>681</v>
      </c>
      <c r="L24" s="12" t="s">
        <v>42</v>
      </c>
      <c r="M24" s="12" t="s">
        <v>12252</v>
      </c>
      <c r="N24" s="12">
        <v>1</v>
      </c>
      <c r="O24" s="12" t="s">
        <v>12142</v>
      </c>
    </row>
    <row r="25" spans="1:15" s="12" customFormat="1" x14ac:dyDescent="0.25">
      <c r="A25" s="12">
        <v>24</v>
      </c>
      <c r="B25" s="12">
        <v>40</v>
      </c>
      <c r="C25" s="12" t="s">
        <v>12204</v>
      </c>
      <c r="D25" s="12">
        <v>127</v>
      </c>
      <c r="E25" s="12" t="s">
        <v>12403</v>
      </c>
      <c r="F25" s="12" t="s">
        <v>1285</v>
      </c>
      <c r="G25" s="12">
        <v>2023</v>
      </c>
      <c r="H25" s="12" t="s">
        <v>797</v>
      </c>
      <c r="I25" s="12" t="s">
        <v>1286</v>
      </c>
      <c r="J25" s="12" t="s">
        <v>1289</v>
      </c>
      <c r="K25" s="12" t="s">
        <v>1290</v>
      </c>
      <c r="L25" s="12" t="s">
        <v>42</v>
      </c>
      <c r="M25" s="12" t="s">
        <v>56</v>
      </c>
      <c r="N25" s="12">
        <v>1</v>
      </c>
      <c r="O25" s="12">
        <v>1</v>
      </c>
    </row>
    <row r="26" spans="1:15" s="12" customFormat="1" x14ac:dyDescent="0.25">
      <c r="A26" s="12">
        <v>25</v>
      </c>
      <c r="B26" s="11">
        <v>360</v>
      </c>
      <c r="C26" s="12" t="s">
        <v>12118</v>
      </c>
      <c r="D26" s="12">
        <v>402</v>
      </c>
      <c r="E26" s="11" t="s">
        <v>4836</v>
      </c>
      <c r="F26" s="11" t="s">
        <v>4838</v>
      </c>
      <c r="G26" s="11">
        <v>2023</v>
      </c>
      <c r="H26" s="11" t="s">
        <v>1657</v>
      </c>
      <c r="I26" s="11" t="str">
        <f>HYPERLINK("http://dx.doi.org/10.2196/46924","http://dx.doi.org/10.2196/46924")</f>
        <v>http://dx.doi.org/10.2196/46924</v>
      </c>
      <c r="J26" s="11" t="s">
        <v>4840</v>
      </c>
      <c r="K26" s="11" t="s">
        <v>4839</v>
      </c>
      <c r="L26" s="11" t="s">
        <v>42</v>
      </c>
      <c r="M26" s="11" t="s">
        <v>56</v>
      </c>
      <c r="N26" s="11">
        <v>1</v>
      </c>
      <c r="O26" s="11" t="s">
        <v>12142</v>
      </c>
    </row>
    <row r="27" spans="1:15" s="12" customFormat="1" x14ac:dyDescent="0.25">
      <c r="A27" s="12">
        <v>26</v>
      </c>
      <c r="B27" s="12">
        <v>109</v>
      </c>
      <c r="C27" s="12" t="s">
        <v>12204</v>
      </c>
      <c r="D27" s="12">
        <v>381</v>
      </c>
      <c r="E27" s="12" t="s">
        <v>12408</v>
      </c>
      <c r="F27" s="12" t="s">
        <v>1187</v>
      </c>
      <c r="G27" s="12">
        <v>2023</v>
      </c>
      <c r="H27" s="12" t="s">
        <v>1188</v>
      </c>
      <c r="I27" s="12" t="s">
        <v>1189</v>
      </c>
      <c r="J27" s="12" t="s">
        <v>1192</v>
      </c>
      <c r="K27" s="12" t="s">
        <v>1193</v>
      </c>
      <c r="L27" s="12" t="s">
        <v>42</v>
      </c>
      <c r="M27" s="12" t="s">
        <v>56</v>
      </c>
      <c r="N27" s="12">
        <v>1</v>
      </c>
      <c r="O27" s="12" t="s">
        <v>12142</v>
      </c>
    </row>
    <row r="28" spans="1:15" s="12" customFormat="1" x14ac:dyDescent="0.25">
      <c r="A28" s="12">
        <v>27</v>
      </c>
      <c r="B28" s="12">
        <v>80</v>
      </c>
      <c r="C28" s="12" t="s">
        <v>12204</v>
      </c>
      <c r="D28" s="12">
        <v>290</v>
      </c>
      <c r="E28" s="12" t="s">
        <v>13293</v>
      </c>
      <c r="F28" s="12" t="s">
        <v>610</v>
      </c>
      <c r="G28" s="12">
        <v>2023</v>
      </c>
      <c r="H28" s="12" t="s">
        <v>305</v>
      </c>
      <c r="I28" s="12" t="s">
        <v>611</v>
      </c>
      <c r="J28" s="12" t="s">
        <v>614</v>
      </c>
      <c r="K28" s="12" t="s">
        <v>615</v>
      </c>
      <c r="L28" s="12" t="s">
        <v>42</v>
      </c>
      <c r="M28" s="12" t="s">
        <v>56</v>
      </c>
      <c r="N28" s="12">
        <v>1</v>
      </c>
      <c r="O28" s="12" t="s">
        <v>12142</v>
      </c>
    </row>
    <row r="29" spans="1:15" s="12" customFormat="1" x14ac:dyDescent="0.25">
      <c r="A29" s="12">
        <v>28</v>
      </c>
      <c r="B29" s="12">
        <v>161</v>
      </c>
      <c r="C29" s="12" t="s">
        <v>12204</v>
      </c>
      <c r="D29" s="12">
        <v>598</v>
      </c>
      <c r="E29" s="12" t="s">
        <v>13560</v>
      </c>
      <c r="F29" s="12" t="s">
        <v>13558</v>
      </c>
      <c r="G29" s="12">
        <v>2023</v>
      </c>
      <c r="H29" s="12" t="s">
        <v>13557</v>
      </c>
      <c r="I29" s="12" t="s">
        <v>6482</v>
      </c>
      <c r="J29" s="12" t="s">
        <v>13553</v>
      </c>
      <c r="K29" s="12" t="s">
        <v>13552</v>
      </c>
      <c r="L29" s="12" t="s">
        <v>42</v>
      </c>
      <c r="M29" s="12" t="s">
        <v>56</v>
      </c>
      <c r="N29" s="12">
        <v>1</v>
      </c>
      <c r="O29" s="12">
        <v>1</v>
      </c>
    </row>
    <row r="30" spans="1:15" s="12" customFormat="1" x14ac:dyDescent="0.25">
      <c r="A30" s="12">
        <v>29</v>
      </c>
      <c r="B30" s="11">
        <v>420</v>
      </c>
      <c r="C30" s="12" t="s">
        <v>12118</v>
      </c>
      <c r="D30" s="12">
        <v>466</v>
      </c>
      <c r="E30" s="11" t="s">
        <v>3614</v>
      </c>
      <c r="F30" s="11" t="s">
        <v>3616</v>
      </c>
      <c r="G30" s="11">
        <v>2023</v>
      </c>
      <c r="H30" s="11" t="s">
        <v>1617</v>
      </c>
      <c r="I30" s="11" t="str">
        <f>HYPERLINK("http://dx.doi.org/10.3390/electronics12193996","http://dx.doi.org/10.3390/electronics12193996")</f>
        <v>http://dx.doi.org/10.3390/electronics12193996</v>
      </c>
      <c r="J30" s="11" t="s">
        <v>3619</v>
      </c>
      <c r="K30" s="11" t="s">
        <v>3617</v>
      </c>
      <c r="L30" s="11" t="s">
        <v>42</v>
      </c>
      <c r="M30" s="11" t="s">
        <v>56</v>
      </c>
      <c r="N30" s="12">
        <v>1</v>
      </c>
      <c r="O30" s="12">
        <v>1</v>
      </c>
    </row>
    <row r="31" spans="1:15" s="12" customFormat="1" x14ac:dyDescent="0.25">
      <c r="A31" s="12">
        <v>30</v>
      </c>
      <c r="B31" s="12">
        <v>143</v>
      </c>
      <c r="C31" s="12" t="s">
        <v>12204</v>
      </c>
      <c r="D31" s="12">
        <v>514</v>
      </c>
      <c r="E31" s="12" t="s">
        <v>12541</v>
      </c>
      <c r="F31" s="12" t="s">
        <v>1057</v>
      </c>
      <c r="G31" s="12">
        <v>2023</v>
      </c>
      <c r="H31" s="12" t="s">
        <v>996</v>
      </c>
      <c r="I31" s="12" t="s">
        <v>1059</v>
      </c>
      <c r="J31" s="12" t="s">
        <v>1062</v>
      </c>
      <c r="K31" s="12" t="s">
        <v>1063</v>
      </c>
      <c r="L31" s="12" t="s">
        <v>42</v>
      </c>
      <c r="M31" s="12" t="s">
        <v>56</v>
      </c>
      <c r="N31" s="12">
        <v>1</v>
      </c>
      <c r="O31" s="12">
        <v>1</v>
      </c>
    </row>
    <row r="32" spans="1:15" s="12" customFormat="1" x14ac:dyDescent="0.25">
      <c r="A32" s="12">
        <v>31</v>
      </c>
      <c r="B32" s="12">
        <v>56</v>
      </c>
      <c r="C32" s="12" t="s">
        <v>12204</v>
      </c>
      <c r="D32" s="12">
        <v>203</v>
      </c>
      <c r="E32" s="12" t="s">
        <v>12718</v>
      </c>
      <c r="F32" s="12" t="s">
        <v>12716</v>
      </c>
      <c r="G32" s="12">
        <v>2023</v>
      </c>
      <c r="H32" s="12" t="s">
        <v>923</v>
      </c>
      <c r="I32" s="12" t="s">
        <v>924</v>
      </c>
      <c r="J32" s="12" t="s">
        <v>927</v>
      </c>
      <c r="K32" s="12" t="s">
        <v>928</v>
      </c>
      <c r="L32" s="12" t="s">
        <v>12712</v>
      </c>
      <c r="M32" s="12" t="s">
        <v>56</v>
      </c>
      <c r="N32" s="12">
        <v>1</v>
      </c>
      <c r="O32" s="12" t="s">
        <v>12142</v>
      </c>
    </row>
    <row r="33" spans="1:15" s="12" customFormat="1" x14ac:dyDescent="0.25">
      <c r="A33" s="12">
        <v>32</v>
      </c>
      <c r="B33" s="12">
        <v>134</v>
      </c>
      <c r="C33" s="12" t="s">
        <v>12204</v>
      </c>
      <c r="D33" s="12">
        <v>485</v>
      </c>
      <c r="E33" s="12" t="s">
        <v>12827</v>
      </c>
      <c r="F33" s="12" t="s">
        <v>539</v>
      </c>
      <c r="G33" s="12">
        <v>2023</v>
      </c>
      <c r="H33" s="12" t="s">
        <v>540</v>
      </c>
      <c r="I33" s="12" t="s">
        <v>541</v>
      </c>
      <c r="J33" s="12" t="s">
        <v>544</v>
      </c>
      <c r="K33" s="12" t="s">
        <v>545</v>
      </c>
      <c r="L33" s="12" t="s">
        <v>42</v>
      </c>
      <c r="M33" s="12" t="s">
        <v>12252</v>
      </c>
      <c r="N33" s="12">
        <v>1</v>
      </c>
      <c r="O33" s="12">
        <v>1</v>
      </c>
    </row>
    <row r="34" spans="1:15" s="12" customFormat="1" x14ac:dyDescent="0.25">
      <c r="A34" s="12">
        <v>33</v>
      </c>
      <c r="B34" s="11">
        <v>56</v>
      </c>
      <c r="C34" s="12" t="s">
        <v>12118</v>
      </c>
      <c r="D34" s="12">
        <v>60</v>
      </c>
      <c r="E34" s="11" t="s">
        <v>3080</v>
      </c>
      <c r="F34" s="11" t="s">
        <v>3082</v>
      </c>
      <c r="G34" s="11">
        <v>2023</v>
      </c>
      <c r="H34" s="11" t="s">
        <v>3083</v>
      </c>
      <c r="I34" s="11" t="str">
        <f>HYPERLINK("http://dx.doi.org/10.7759/cureus.47468","http://dx.doi.org/10.7759/cureus.47468")</f>
        <v>http://dx.doi.org/10.7759/cureus.47468</v>
      </c>
      <c r="J34" s="11" t="s">
        <v>3085</v>
      </c>
      <c r="K34" s="11" t="s">
        <v>3084</v>
      </c>
      <c r="L34" s="11" t="s">
        <v>42</v>
      </c>
      <c r="M34" s="11" t="s">
        <v>56</v>
      </c>
      <c r="N34" s="11">
        <v>1</v>
      </c>
      <c r="O34" s="11">
        <v>1</v>
      </c>
    </row>
    <row r="35" spans="1:15" s="12" customFormat="1" x14ac:dyDescent="0.25">
      <c r="A35" s="12">
        <v>34</v>
      </c>
      <c r="B35" s="12">
        <v>75</v>
      </c>
      <c r="C35" s="12" t="s">
        <v>12204</v>
      </c>
      <c r="D35" s="12">
        <v>270</v>
      </c>
      <c r="E35" s="12" t="s">
        <v>12667</v>
      </c>
      <c r="F35" s="12" t="s">
        <v>995</v>
      </c>
      <c r="G35" s="12">
        <v>2023</v>
      </c>
      <c r="H35" s="12" t="s">
        <v>996</v>
      </c>
      <c r="I35" s="12" t="s">
        <v>998</v>
      </c>
      <c r="J35" s="12" t="s">
        <v>1001</v>
      </c>
      <c r="K35" s="12" t="s">
        <v>1002</v>
      </c>
      <c r="L35" s="12" t="s">
        <v>42</v>
      </c>
      <c r="M35" s="12" t="s">
        <v>56</v>
      </c>
      <c r="N35" s="12">
        <v>1</v>
      </c>
      <c r="O35" s="12">
        <v>1</v>
      </c>
    </row>
    <row r="36" spans="1:15" s="12" customFormat="1" x14ac:dyDescent="0.25">
      <c r="A36" s="12">
        <v>35</v>
      </c>
      <c r="B36" s="11">
        <v>111</v>
      </c>
      <c r="C36" s="12" t="s">
        <v>12118</v>
      </c>
      <c r="D36" s="12">
        <v>113</v>
      </c>
      <c r="E36" s="11" t="s">
        <v>2499</v>
      </c>
      <c r="F36" s="11" t="s">
        <v>2501</v>
      </c>
      <c r="G36" s="11">
        <v>2023</v>
      </c>
      <c r="H36" s="11" t="s">
        <v>2502</v>
      </c>
      <c r="I36" s="11" t="str">
        <f>HYPERLINK("http://dx.doi.org/10.1186/s12909-023-04832-x","http://dx.doi.org/10.1186/s12909-023-04832-x")</f>
        <v>http://dx.doi.org/10.1186/s12909-023-04832-x</v>
      </c>
      <c r="J36" s="11" t="s">
        <v>2504</v>
      </c>
      <c r="K36" s="11" t="s">
        <v>2503</v>
      </c>
      <c r="L36" s="11" t="s">
        <v>42</v>
      </c>
      <c r="M36" s="11" t="s">
        <v>56</v>
      </c>
      <c r="N36" s="11">
        <v>1</v>
      </c>
      <c r="O36" s="11" t="s">
        <v>12142</v>
      </c>
    </row>
    <row r="37" spans="1:15" s="12" customFormat="1" x14ac:dyDescent="0.25">
      <c r="A37" s="12">
        <v>36</v>
      </c>
      <c r="B37" s="12">
        <v>157</v>
      </c>
      <c r="C37" s="12" t="s">
        <v>12204</v>
      </c>
      <c r="D37" s="12">
        <v>589</v>
      </c>
      <c r="E37" s="12" t="s">
        <v>903</v>
      </c>
      <c r="F37" s="12" t="s">
        <v>904</v>
      </c>
      <c r="G37" s="12">
        <v>2023</v>
      </c>
      <c r="H37" s="12" t="s">
        <v>287</v>
      </c>
      <c r="I37" s="12" t="s">
        <v>905</v>
      </c>
      <c r="J37" s="12" t="s">
        <v>908</v>
      </c>
      <c r="K37" s="12" t="s">
        <v>909</v>
      </c>
      <c r="L37" s="12" t="s">
        <v>42</v>
      </c>
      <c r="M37" s="12" t="s">
        <v>56</v>
      </c>
      <c r="N37" s="12">
        <v>1</v>
      </c>
      <c r="O37" s="12" t="s">
        <v>12142</v>
      </c>
    </row>
    <row r="38" spans="1:15" s="12" customFormat="1" x14ac:dyDescent="0.25">
      <c r="A38" s="12">
        <v>37</v>
      </c>
      <c r="B38" s="12">
        <v>76</v>
      </c>
      <c r="C38" s="12" t="s">
        <v>12204</v>
      </c>
      <c r="D38" s="12">
        <v>271</v>
      </c>
      <c r="E38" s="12" t="s">
        <v>12495</v>
      </c>
      <c r="F38" s="12" t="s">
        <v>966</v>
      </c>
      <c r="G38" s="12">
        <v>2023</v>
      </c>
      <c r="H38" s="12" t="s">
        <v>967</v>
      </c>
      <c r="I38" s="12" t="s">
        <v>968</v>
      </c>
      <c r="J38" s="12" t="s">
        <v>971</v>
      </c>
      <c r="K38" s="12" t="s">
        <v>972</v>
      </c>
      <c r="L38" s="12" t="s">
        <v>42</v>
      </c>
      <c r="M38" s="12" t="s">
        <v>56</v>
      </c>
      <c r="N38" s="12">
        <v>1</v>
      </c>
      <c r="O38" s="12">
        <v>1</v>
      </c>
    </row>
    <row r="39" spans="1:15" s="12" customFormat="1" x14ac:dyDescent="0.25">
      <c r="A39" s="12">
        <v>38</v>
      </c>
      <c r="B39" s="12">
        <v>105</v>
      </c>
      <c r="C39" s="12" t="s">
        <v>12204</v>
      </c>
      <c r="D39" s="12">
        <v>365</v>
      </c>
      <c r="E39" s="12" t="s">
        <v>12480</v>
      </c>
      <c r="F39" s="12" t="s">
        <v>1163</v>
      </c>
      <c r="G39" s="12">
        <v>2023</v>
      </c>
      <c r="H39" s="12" t="s">
        <v>996</v>
      </c>
      <c r="I39" s="12" t="s">
        <v>1165</v>
      </c>
      <c r="J39" s="12" t="s">
        <v>1167</v>
      </c>
      <c r="K39" s="12" t="s">
        <v>1168</v>
      </c>
      <c r="L39" s="12" t="s">
        <v>42</v>
      </c>
      <c r="M39" s="12" t="s">
        <v>56</v>
      </c>
      <c r="N39" s="12">
        <v>1</v>
      </c>
      <c r="O39" s="12">
        <v>1</v>
      </c>
    </row>
    <row r="40" spans="1:15" s="12" customFormat="1" x14ac:dyDescent="0.25">
      <c r="A40" s="12">
        <v>39</v>
      </c>
      <c r="B40" s="12">
        <v>172</v>
      </c>
      <c r="C40" s="12" t="s">
        <v>12204</v>
      </c>
      <c r="D40" s="12">
        <v>637</v>
      </c>
      <c r="E40" s="12" t="s">
        <v>13356</v>
      </c>
      <c r="F40" s="12" t="s">
        <v>204</v>
      </c>
      <c r="G40" s="12">
        <v>2023</v>
      </c>
      <c r="H40" s="12" t="s">
        <v>205</v>
      </c>
      <c r="I40" s="12" t="s">
        <v>206</v>
      </c>
      <c r="J40" s="12" t="s">
        <v>209</v>
      </c>
      <c r="K40" s="12" t="s">
        <v>210</v>
      </c>
      <c r="L40" s="12" t="s">
        <v>42</v>
      </c>
      <c r="M40" s="12" t="s">
        <v>56</v>
      </c>
      <c r="N40" s="12">
        <v>1</v>
      </c>
      <c r="O40" s="12">
        <v>1</v>
      </c>
    </row>
    <row r="41" spans="1:15" s="12" customFormat="1" x14ac:dyDescent="0.25">
      <c r="A41" s="12">
        <v>40</v>
      </c>
      <c r="B41" s="11">
        <v>12</v>
      </c>
      <c r="C41" s="12" t="s">
        <v>12118</v>
      </c>
      <c r="D41" s="12">
        <v>13</v>
      </c>
      <c r="E41" s="11" t="s">
        <v>5573</v>
      </c>
      <c r="F41" s="11" t="s">
        <v>5575</v>
      </c>
      <c r="G41" s="11">
        <v>2023</v>
      </c>
      <c r="H41" s="11" t="s">
        <v>5576</v>
      </c>
      <c r="I41" s="11" t="str">
        <f>HYPERLINK("http://dx.doi.org/10.1145/3539618.3591960","http://dx.doi.org/10.1145/3539618.3591960")</f>
        <v>http://dx.doi.org/10.1145/3539618.3591960</v>
      </c>
      <c r="J41" s="11" t="s">
        <v>5582</v>
      </c>
      <c r="K41" s="11" t="s">
        <v>5581</v>
      </c>
      <c r="L41" s="11" t="s">
        <v>42</v>
      </c>
      <c r="M41" s="11" t="s">
        <v>5552</v>
      </c>
      <c r="N41" s="11">
        <v>1</v>
      </c>
      <c r="O41" s="11" t="s">
        <v>12142</v>
      </c>
    </row>
    <row r="42" spans="1:15" s="12" customFormat="1" x14ac:dyDescent="0.25">
      <c r="A42" s="12">
        <v>41</v>
      </c>
      <c r="B42" s="11">
        <v>96</v>
      </c>
      <c r="C42" s="12" t="s">
        <v>12118</v>
      </c>
      <c r="D42" s="12">
        <v>97</v>
      </c>
      <c r="E42" s="11" t="s">
        <v>5653</v>
      </c>
      <c r="F42" s="11" t="s">
        <v>5655</v>
      </c>
      <c r="G42" s="11">
        <v>2023</v>
      </c>
      <c r="H42" s="11" t="s">
        <v>5656</v>
      </c>
      <c r="I42" s="11" t="str">
        <f>HYPERLINK("http://dx.doi.org/10.1145/3627106.3627196","http://dx.doi.org/10.1145/3627106.3627196")</f>
        <v>http://dx.doi.org/10.1145/3627106.3627196</v>
      </c>
      <c r="J42" s="11" t="s">
        <v>5662</v>
      </c>
      <c r="K42" s="11" t="s">
        <v>5661</v>
      </c>
      <c r="L42" s="11" t="s">
        <v>42</v>
      </c>
      <c r="M42" s="11" t="s">
        <v>5552</v>
      </c>
      <c r="N42" s="11">
        <v>1</v>
      </c>
      <c r="O42" s="11" t="s">
        <v>12142</v>
      </c>
    </row>
    <row r="43" spans="1:15" s="12" customFormat="1" x14ac:dyDescent="0.25">
      <c r="A43" s="12">
        <v>42</v>
      </c>
      <c r="B43" s="12">
        <v>108</v>
      </c>
      <c r="C43" s="12" t="s">
        <v>12204</v>
      </c>
      <c r="D43" s="12">
        <v>368</v>
      </c>
      <c r="E43" s="12" t="s">
        <v>12384</v>
      </c>
      <c r="F43" s="12" t="s">
        <v>888</v>
      </c>
      <c r="G43" s="12">
        <v>2023</v>
      </c>
      <c r="H43" s="12" t="s">
        <v>252</v>
      </c>
      <c r="I43" s="12" t="s">
        <v>889</v>
      </c>
      <c r="J43" s="12" t="s">
        <v>892</v>
      </c>
      <c r="K43" s="12" t="s">
        <v>893</v>
      </c>
      <c r="L43" s="12" t="s">
        <v>42</v>
      </c>
      <c r="M43" s="12" t="s">
        <v>56</v>
      </c>
      <c r="N43" s="12">
        <v>1</v>
      </c>
      <c r="O43" s="12">
        <v>1</v>
      </c>
    </row>
    <row r="44" spans="1:15" s="12" customFormat="1" x14ac:dyDescent="0.25">
      <c r="A44" s="12">
        <v>43</v>
      </c>
      <c r="B44" s="12">
        <v>28</v>
      </c>
      <c r="C44" s="12" t="s">
        <v>12204</v>
      </c>
      <c r="D44" s="12">
        <v>79</v>
      </c>
      <c r="E44" s="12" t="s">
        <v>404</v>
      </c>
      <c r="F44" s="12" t="s">
        <v>405</v>
      </c>
      <c r="G44" s="12">
        <v>2023</v>
      </c>
      <c r="H44" s="12" t="s">
        <v>406</v>
      </c>
      <c r="I44" s="12" t="s">
        <v>407</v>
      </c>
      <c r="J44" s="12" t="s">
        <v>410</v>
      </c>
      <c r="K44" s="12" t="s">
        <v>411</v>
      </c>
      <c r="L44" s="12" t="s">
        <v>42</v>
      </c>
      <c r="M44" s="12" t="s">
        <v>56</v>
      </c>
      <c r="N44" s="11">
        <v>1</v>
      </c>
      <c r="O44" s="11" t="s">
        <v>12142</v>
      </c>
    </row>
    <row r="45" spans="1:15" s="12" customFormat="1" x14ac:dyDescent="0.25">
      <c r="A45" s="12">
        <v>44</v>
      </c>
      <c r="B45" s="11">
        <v>125</v>
      </c>
      <c r="C45" s="12" t="s">
        <v>12118</v>
      </c>
      <c r="D45" s="12">
        <v>134</v>
      </c>
      <c r="E45" s="11" t="s">
        <v>2703</v>
      </c>
      <c r="F45" s="11" t="s">
        <v>2705</v>
      </c>
      <c r="G45" s="11">
        <v>2023</v>
      </c>
      <c r="H45" s="11" t="s">
        <v>2706</v>
      </c>
      <c r="I45" s="11" t="str">
        <f>HYPERLINK("http://dx.doi.org/10.1128/jmbe.00153-23","http://dx.doi.org/10.1128/jmbe.00153-23")</f>
        <v>http://dx.doi.org/10.1128/jmbe.00153-23</v>
      </c>
      <c r="J45" s="11" t="s">
        <v>2709</v>
      </c>
      <c r="K45" s="11" t="s">
        <v>2707</v>
      </c>
      <c r="L45" s="11" t="s">
        <v>42</v>
      </c>
      <c r="M45" s="11" t="s">
        <v>56</v>
      </c>
      <c r="N45" s="11">
        <v>1</v>
      </c>
      <c r="O45" s="11" t="s">
        <v>12142</v>
      </c>
    </row>
    <row r="46" spans="1:15" s="12" customFormat="1" x14ac:dyDescent="0.25">
      <c r="A46" s="12">
        <v>45</v>
      </c>
      <c r="B46" s="12">
        <v>72</v>
      </c>
      <c r="C46" s="12" t="s">
        <v>12204</v>
      </c>
      <c r="D46" s="12">
        <v>258</v>
      </c>
      <c r="E46" s="12" t="s">
        <v>1213</v>
      </c>
      <c r="F46" s="12" t="s">
        <v>1214</v>
      </c>
      <c r="G46" s="12">
        <v>2023</v>
      </c>
      <c r="H46" s="12" t="s">
        <v>1215</v>
      </c>
      <c r="I46" s="12" t="s">
        <v>1216</v>
      </c>
      <c r="J46" s="12" t="s">
        <v>1218</v>
      </c>
      <c r="L46" s="12" t="s">
        <v>42</v>
      </c>
      <c r="M46" s="12" t="s">
        <v>12262</v>
      </c>
      <c r="N46" s="12">
        <v>1</v>
      </c>
      <c r="O46" s="12">
        <v>1</v>
      </c>
    </row>
    <row r="47" spans="1:15" s="12" customFormat="1" x14ac:dyDescent="0.25">
      <c r="A47" s="12">
        <v>46</v>
      </c>
      <c r="B47" s="12">
        <v>93</v>
      </c>
      <c r="C47" s="12" t="s">
        <v>12204</v>
      </c>
      <c r="D47" s="12">
        <v>329</v>
      </c>
      <c r="E47" s="12" t="s">
        <v>1346</v>
      </c>
      <c r="F47" s="12" t="s">
        <v>1347</v>
      </c>
      <c r="G47" s="12">
        <v>2023</v>
      </c>
      <c r="H47" s="12" t="s">
        <v>1348</v>
      </c>
      <c r="I47" s="12" t="s">
        <v>1349</v>
      </c>
      <c r="J47" s="12" t="s">
        <v>1352</v>
      </c>
      <c r="K47" s="12" t="s">
        <v>1353</v>
      </c>
      <c r="L47" s="12" t="s">
        <v>42</v>
      </c>
      <c r="M47" s="12" t="s">
        <v>56</v>
      </c>
      <c r="N47" s="12">
        <v>1</v>
      </c>
      <c r="O47" s="12">
        <v>1</v>
      </c>
    </row>
    <row r="48" spans="1:15" s="12" customFormat="1" x14ac:dyDescent="0.25">
      <c r="A48" s="12">
        <v>47</v>
      </c>
      <c r="B48" s="12">
        <v>83</v>
      </c>
      <c r="C48" s="12" t="s">
        <v>12204</v>
      </c>
      <c r="D48" s="12">
        <v>292</v>
      </c>
      <c r="E48" s="12" t="s">
        <v>12762</v>
      </c>
      <c r="F48" s="12" t="s">
        <v>1327</v>
      </c>
      <c r="G48" s="12">
        <v>2023</v>
      </c>
      <c r="H48" s="12" t="s">
        <v>1328</v>
      </c>
      <c r="I48" s="12" t="s">
        <v>1329</v>
      </c>
      <c r="J48" s="12" t="s">
        <v>1332</v>
      </c>
      <c r="K48" s="12" t="s">
        <v>1333</v>
      </c>
      <c r="L48" s="12" t="s">
        <v>42</v>
      </c>
      <c r="M48" s="12" t="s">
        <v>12252</v>
      </c>
      <c r="N48" s="12">
        <v>1</v>
      </c>
      <c r="O48" s="12">
        <v>1</v>
      </c>
    </row>
    <row r="49" spans="1:15" s="12" customFormat="1" x14ac:dyDescent="0.25">
      <c r="A49" s="12">
        <v>48</v>
      </c>
      <c r="B49" s="11">
        <v>619</v>
      </c>
      <c r="C49" s="12" t="s">
        <v>12118</v>
      </c>
      <c r="D49" s="12">
        <v>688</v>
      </c>
      <c r="E49" s="11" t="s">
        <v>4239</v>
      </c>
      <c r="F49" s="11" t="s">
        <v>4241</v>
      </c>
      <c r="G49" s="11">
        <v>2023</v>
      </c>
      <c r="H49" s="11" t="s">
        <v>4242</v>
      </c>
      <c r="I49" s="11" t="str">
        <f>HYPERLINK("http://dx.doi.org/10.1021/jacs.3c05819","http://dx.doi.org/10.1021/jacs.3c05819")</f>
        <v>http://dx.doi.org/10.1021/jacs.3c05819</v>
      </c>
      <c r="J49" s="11" t="s">
        <v>4244</v>
      </c>
      <c r="K49" s="11" t="s">
        <v>1507</v>
      </c>
      <c r="L49" s="11" t="s">
        <v>42</v>
      </c>
      <c r="M49" s="11" t="s">
        <v>56</v>
      </c>
      <c r="N49" s="11">
        <v>1</v>
      </c>
      <c r="O49" s="11" t="s">
        <v>12142</v>
      </c>
    </row>
    <row r="50" spans="1:15" s="12" customFormat="1" x14ac:dyDescent="0.25">
      <c r="A50" s="12">
        <v>49</v>
      </c>
      <c r="B50" s="12">
        <v>116</v>
      </c>
      <c r="C50" s="12" t="s">
        <v>12204</v>
      </c>
      <c r="D50" s="12">
        <v>415</v>
      </c>
      <c r="E50" s="12" t="s">
        <v>13476</v>
      </c>
      <c r="F50" s="12" t="s">
        <v>571</v>
      </c>
      <c r="G50" s="12">
        <v>2023</v>
      </c>
      <c r="H50" s="12" t="s">
        <v>572</v>
      </c>
      <c r="I50" s="12" t="s">
        <v>573</v>
      </c>
      <c r="J50" s="12" t="s">
        <v>576</v>
      </c>
      <c r="K50" s="12" t="s">
        <v>577</v>
      </c>
      <c r="L50" s="12" t="s">
        <v>42</v>
      </c>
      <c r="M50" s="12" t="s">
        <v>56</v>
      </c>
      <c r="N50" s="12">
        <v>1</v>
      </c>
      <c r="O50" s="12">
        <v>1</v>
      </c>
    </row>
    <row r="51" spans="1:15" s="12" customFormat="1" x14ac:dyDescent="0.25">
      <c r="A51" s="12">
        <v>50</v>
      </c>
      <c r="B51" s="12">
        <v>33</v>
      </c>
      <c r="C51" s="12" t="s">
        <v>12204</v>
      </c>
      <c r="D51" s="12">
        <v>105</v>
      </c>
      <c r="E51" s="12" t="s">
        <v>13344</v>
      </c>
      <c r="F51" s="12" t="s">
        <v>581</v>
      </c>
      <c r="G51" s="12">
        <v>2023</v>
      </c>
      <c r="H51" s="12" t="s">
        <v>486</v>
      </c>
      <c r="I51" s="12" t="s">
        <v>584</v>
      </c>
      <c r="J51" s="12" t="s">
        <v>587</v>
      </c>
      <c r="L51" s="12" t="s">
        <v>42</v>
      </c>
      <c r="M51" s="12" t="s">
        <v>56</v>
      </c>
      <c r="N51" s="12">
        <v>1</v>
      </c>
      <c r="O51" s="12">
        <v>1</v>
      </c>
    </row>
    <row r="52" spans="1:15" s="12" customFormat="1" x14ac:dyDescent="0.25">
      <c r="A52" s="12">
        <v>51</v>
      </c>
      <c r="B52" s="12">
        <v>163</v>
      </c>
      <c r="C52" s="12" t="s">
        <v>12204</v>
      </c>
      <c r="D52" s="12">
        <v>605</v>
      </c>
      <c r="E52" s="12" t="s">
        <v>12484</v>
      </c>
      <c r="F52" s="12" t="s">
        <v>1408</v>
      </c>
      <c r="G52" s="12">
        <v>2023</v>
      </c>
      <c r="H52" s="12" t="s">
        <v>1409</v>
      </c>
      <c r="I52" s="12" t="s">
        <v>1410</v>
      </c>
      <c r="J52" s="12" t="s">
        <v>1413</v>
      </c>
      <c r="K52" s="12" t="s">
        <v>1414</v>
      </c>
      <c r="L52" s="12" t="s">
        <v>42</v>
      </c>
      <c r="M52" s="12" t="s">
        <v>56</v>
      </c>
      <c r="N52" s="12">
        <v>1</v>
      </c>
      <c r="O52" s="12">
        <v>1</v>
      </c>
    </row>
    <row r="53" spans="1:15" s="12" customFormat="1" x14ac:dyDescent="0.25">
      <c r="A53" s="12">
        <v>52</v>
      </c>
      <c r="B53" s="11">
        <v>217</v>
      </c>
      <c r="C53" s="12" t="s">
        <v>12118</v>
      </c>
      <c r="D53" s="12">
        <v>238</v>
      </c>
      <c r="E53" s="11" t="s">
        <v>3995</v>
      </c>
      <c r="F53" s="11" t="s">
        <v>3997</v>
      </c>
      <c r="G53" s="11">
        <v>2023</v>
      </c>
      <c r="H53" s="11" t="s">
        <v>3998</v>
      </c>
      <c r="I53" s="11" t="str">
        <f>HYPERLINK("http://dx.doi.org/10.3855/jidc.18738","http://dx.doi.org/10.3855/jidc.18738")</f>
        <v>http://dx.doi.org/10.3855/jidc.18738</v>
      </c>
      <c r="J53" s="11" t="s">
        <v>4000</v>
      </c>
      <c r="K53" s="11" t="s">
        <v>3999</v>
      </c>
      <c r="L53" s="11" t="s">
        <v>42</v>
      </c>
      <c r="M53" s="11" t="s">
        <v>56</v>
      </c>
      <c r="N53" s="11">
        <v>1</v>
      </c>
      <c r="O53" s="11">
        <v>1</v>
      </c>
    </row>
    <row r="54" spans="1:15" s="12" customFormat="1" x14ac:dyDescent="0.25">
      <c r="A54" s="12">
        <v>53</v>
      </c>
      <c r="B54" s="11">
        <v>410</v>
      </c>
      <c r="C54" s="12" t="s">
        <v>12118</v>
      </c>
      <c r="D54" s="12">
        <v>454</v>
      </c>
      <c r="E54" s="11" t="s">
        <v>3594</v>
      </c>
      <c r="F54" s="11" t="s">
        <v>3596</v>
      </c>
      <c r="G54" s="11">
        <v>2023</v>
      </c>
      <c r="H54" s="11" t="s">
        <v>3597</v>
      </c>
      <c r="I54" s="11" t="str">
        <f>HYPERLINK("http://dx.doi.org/10.29271/jcpsp.2023.10.1198","http://dx.doi.org/10.29271/jcpsp.2023.10.1198")</f>
        <v>http://dx.doi.org/10.29271/jcpsp.2023.10.1198</v>
      </c>
      <c r="J54" s="11" t="s">
        <v>3599</v>
      </c>
      <c r="K54" s="11" t="s">
        <v>3598</v>
      </c>
      <c r="L54" s="11" t="s">
        <v>42</v>
      </c>
      <c r="M54" s="11" t="s">
        <v>56</v>
      </c>
      <c r="N54" s="11">
        <v>1</v>
      </c>
      <c r="O54" s="11" t="s">
        <v>12142</v>
      </c>
    </row>
    <row r="55" spans="1:15" s="12" customFormat="1" x14ac:dyDescent="0.25">
      <c r="A55" s="12">
        <v>54</v>
      </c>
      <c r="B55" s="12">
        <v>140</v>
      </c>
      <c r="C55" s="12" t="s">
        <v>12204</v>
      </c>
      <c r="D55" s="12">
        <v>497</v>
      </c>
      <c r="E55" s="12" t="s">
        <v>12786</v>
      </c>
      <c r="F55" s="12" t="s">
        <v>617</v>
      </c>
      <c r="G55" s="12">
        <v>2023</v>
      </c>
      <c r="H55" s="12" t="s">
        <v>618</v>
      </c>
      <c r="I55" s="12" t="s">
        <v>619</v>
      </c>
      <c r="J55" s="12" t="s">
        <v>622</v>
      </c>
      <c r="K55" s="12" t="s">
        <v>623</v>
      </c>
      <c r="L55" s="12" t="s">
        <v>42</v>
      </c>
      <c r="M55" s="12" t="s">
        <v>56</v>
      </c>
      <c r="N55" s="11">
        <v>1</v>
      </c>
      <c r="O55" s="11" t="s">
        <v>12142</v>
      </c>
    </row>
    <row r="56" spans="1:15" s="12" customFormat="1" x14ac:dyDescent="0.25">
      <c r="A56" s="12">
        <v>55</v>
      </c>
      <c r="B56" s="11">
        <v>445</v>
      </c>
      <c r="C56" s="12" t="s">
        <v>12118</v>
      </c>
      <c r="D56" s="12">
        <v>498</v>
      </c>
      <c r="E56" s="11" t="s">
        <v>1935</v>
      </c>
      <c r="F56" s="11" t="s">
        <v>1937</v>
      </c>
      <c r="G56" s="11">
        <v>2023</v>
      </c>
      <c r="H56" s="11" t="s">
        <v>1938</v>
      </c>
      <c r="I56" s="11" t="str">
        <f>HYPERLINK("http://dx.doi.org/10.3389/fmed.2023.1296615","http://dx.doi.org/10.3389/fmed.2023.1296615")</f>
        <v>http://dx.doi.org/10.3389/fmed.2023.1296615</v>
      </c>
      <c r="J56" s="11" t="s">
        <v>1940</v>
      </c>
      <c r="K56" s="11" t="s">
        <v>1939</v>
      </c>
      <c r="L56" s="11" t="s">
        <v>42</v>
      </c>
      <c r="M56" s="11" t="s">
        <v>56</v>
      </c>
      <c r="N56" s="11">
        <v>1</v>
      </c>
      <c r="O56" s="11">
        <v>1</v>
      </c>
    </row>
    <row r="57" spans="1:15" s="12" customFormat="1" x14ac:dyDescent="0.25">
      <c r="A57" s="12">
        <v>56</v>
      </c>
      <c r="B57" s="12">
        <v>150</v>
      </c>
      <c r="C57" s="12" t="s">
        <v>12204</v>
      </c>
      <c r="D57" s="12">
        <v>555</v>
      </c>
      <c r="E57" s="12" t="s">
        <v>12906</v>
      </c>
      <c r="F57" s="12" t="s">
        <v>95</v>
      </c>
      <c r="G57" s="12">
        <v>2023</v>
      </c>
      <c r="H57" s="12" t="s">
        <v>96</v>
      </c>
      <c r="J57" s="12" t="s">
        <v>99</v>
      </c>
      <c r="L57" s="12" t="s">
        <v>42</v>
      </c>
      <c r="M57" s="12" t="s">
        <v>12252</v>
      </c>
      <c r="N57" s="12">
        <v>1</v>
      </c>
      <c r="O57" s="12">
        <v>1</v>
      </c>
    </row>
    <row r="58" spans="1:15" s="12" customFormat="1" x14ac:dyDescent="0.25">
      <c r="A58" s="12">
        <v>57</v>
      </c>
      <c r="B58" s="12">
        <v>35</v>
      </c>
      <c r="C58" s="12" t="s">
        <v>12204</v>
      </c>
      <c r="D58" s="12">
        <v>114</v>
      </c>
      <c r="E58" s="12" t="s">
        <v>12946</v>
      </c>
      <c r="F58" s="12" t="s">
        <v>195</v>
      </c>
      <c r="G58" s="12">
        <v>2023</v>
      </c>
      <c r="H58" s="12" t="s">
        <v>196</v>
      </c>
      <c r="I58" s="12" t="s">
        <v>197</v>
      </c>
      <c r="J58" s="12" t="s">
        <v>12943</v>
      </c>
      <c r="K58" s="12" t="s">
        <v>201</v>
      </c>
      <c r="L58" s="12" t="s">
        <v>42</v>
      </c>
      <c r="M58" s="12" t="s">
        <v>12252</v>
      </c>
      <c r="N58" s="12">
        <v>1</v>
      </c>
      <c r="O58" s="12">
        <v>1</v>
      </c>
    </row>
    <row r="59" spans="1:15" s="12" customFormat="1" x14ac:dyDescent="0.25">
      <c r="A59" s="12">
        <v>58</v>
      </c>
      <c r="B59" s="11">
        <v>446</v>
      </c>
      <c r="C59" s="12" t="s">
        <v>12118</v>
      </c>
      <c r="D59" s="12">
        <v>499</v>
      </c>
      <c r="E59" s="11" t="s">
        <v>3649</v>
      </c>
      <c r="F59" s="11" t="s">
        <v>3651</v>
      </c>
      <c r="G59" s="11">
        <v>2023</v>
      </c>
      <c r="H59" s="11" t="s">
        <v>3652</v>
      </c>
      <c r="I59" s="11" t="str">
        <f>HYPERLINK("http://dx.doi.org/10.1136/bmjhci-2023-100830","http://dx.doi.org/10.1136/bmjhci-2023-100830")</f>
        <v>http://dx.doi.org/10.1136/bmjhci-2023-100830</v>
      </c>
      <c r="J59" s="11" t="s">
        <v>3654</v>
      </c>
      <c r="K59" s="11" t="s">
        <v>3653</v>
      </c>
      <c r="L59" s="11" t="s">
        <v>42</v>
      </c>
      <c r="M59" s="11" t="s">
        <v>56</v>
      </c>
      <c r="N59" s="11">
        <v>1</v>
      </c>
      <c r="O59" s="11" t="s">
        <v>12142</v>
      </c>
    </row>
    <row r="60" spans="1:15" s="12" customFormat="1" x14ac:dyDescent="0.25">
      <c r="A60" s="12">
        <v>59</v>
      </c>
      <c r="B60" s="11">
        <v>302</v>
      </c>
      <c r="C60" s="12" t="s">
        <v>12118</v>
      </c>
      <c r="D60" s="12">
        <v>336</v>
      </c>
      <c r="E60" s="11" t="s">
        <v>3669</v>
      </c>
      <c r="F60" s="11" t="s">
        <v>3671</v>
      </c>
      <c r="G60" s="11">
        <v>2023</v>
      </c>
      <c r="H60" s="11" t="s">
        <v>3672</v>
      </c>
      <c r="I60" s="11" t="str">
        <f>HYPERLINK("http://dx.doi.org/10.1016/j.dche.2023.100126","http://dx.doi.org/10.1016/j.dche.2023.100126")</f>
        <v>http://dx.doi.org/10.1016/j.dche.2023.100126</v>
      </c>
      <c r="J60" s="11" t="s">
        <v>3675</v>
      </c>
      <c r="K60" s="11" t="s">
        <v>3673</v>
      </c>
      <c r="L60" s="11" t="s">
        <v>42</v>
      </c>
      <c r="M60" s="11" t="s">
        <v>56</v>
      </c>
      <c r="N60" s="11">
        <v>1</v>
      </c>
      <c r="O60" s="11">
        <v>1</v>
      </c>
    </row>
    <row r="61" spans="1:15" s="12" customFormat="1" x14ac:dyDescent="0.25">
      <c r="A61" s="12">
        <v>60</v>
      </c>
      <c r="B61" s="11">
        <v>260</v>
      </c>
      <c r="C61" s="12" t="s">
        <v>12118</v>
      </c>
      <c r="D61" s="12">
        <v>289</v>
      </c>
      <c r="E61" s="11" t="s">
        <v>2217</v>
      </c>
      <c r="F61" s="11" t="s">
        <v>2219</v>
      </c>
      <c r="G61" s="11">
        <v>2023</v>
      </c>
      <c r="H61" s="11" t="s">
        <v>2220</v>
      </c>
      <c r="I61" s="11" t="str">
        <f>HYPERLINK("http://dx.doi.org/10.3390/bdcc7040182","http://dx.doi.org/10.3390/bdcc7040182")</f>
        <v>http://dx.doi.org/10.3390/bdcc7040182</v>
      </c>
      <c r="J61" s="11" t="s">
        <v>2222</v>
      </c>
      <c r="K61" s="11" t="s">
        <v>2221</v>
      </c>
      <c r="L61" s="11" t="s">
        <v>42</v>
      </c>
      <c r="M61" s="11" t="s">
        <v>56</v>
      </c>
      <c r="N61" s="11">
        <v>1</v>
      </c>
      <c r="O61" s="11">
        <v>1</v>
      </c>
    </row>
    <row r="62" spans="1:15" s="12" customFormat="1" x14ac:dyDescent="0.25">
      <c r="A62" s="12">
        <v>61</v>
      </c>
      <c r="B62" s="12">
        <v>146</v>
      </c>
      <c r="C62" s="12" t="s">
        <v>12204</v>
      </c>
      <c r="D62" s="12">
        <v>540</v>
      </c>
      <c r="E62" s="12" t="s">
        <v>12697</v>
      </c>
      <c r="F62" s="12" t="s">
        <v>1119</v>
      </c>
      <c r="G62" s="12">
        <v>2023</v>
      </c>
      <c r="H62" s="12" t="s">
        <v>383</v>
      </c>
      <c r="J62" s="12" t="s">
        <v>12694</v>
      </c>
      <c r="K62" s="12" t="s">
        <v>1123</v>
      </c>
      <c r="L62" s="12" t="s">
        <v>42</v>
      </c>
      <c r="M62" s="12" t="s">
        <v>12252</v>
      </c>
      <c r="N62" s="12">
        <v>1</v>
      </c>
      <c r="O62" s="12">
        <v>1</v>
      </c>
    </row>
    <row r="63" spans="1:15" s="12" customFormat="1" x14ac:dyDescent="0.25">
      <c r="A63" s="12">
        <v>62</v>
      </c>
      <c r="B63" s="12">
        <v>58</v>
      </c>
      <c r="C63" s="12" t="s">
        <v>12204</v>
      </c>
      <c r="D63" s="12">
        <v>209</v>
      </c>
      <c r="E63" s="12" t="s">
        <v>13349</v>
      </c>
      <c r="F63" s="12" t="s">
        <v>173</v>
      </c>
      <c r="G63" s="12">
        <v>2023</v>
      </c>
      <c r="H63" s="12" t="s">
        <v>174</v>
      </c>
      <c r="I63" s="12" t="s">
        <v>175</v>
      </c>
      <c r="J63" s="12" t="s">
        <v>178</v>
      </c>
      <c r="K63" s="12" t="s">
        <v>179</v>
      </c>
      <c r="L63" s="12" t="s">
        <v>42</v>
      </c>
      <c r="M63" s="12" t="s">
        <v>56</v>
      </c>
      <c r="N63" s="12">
        <v>1</v>
      </c>
      <c r="O63" s="12">
        <v>1</v>
      </c>
    </row>
    <row r="64" spans="1:15" s="12" customFormat="1" x14ac:dyDescent="0.25">
      <c r="A64" s="12">
        <v>63</v>
      </c>
      <c r="B64" s="11">
        <v>497</v>
      </c>
      <c r="C64" s="12" t="s">
        <v>12118</v>
      </c>
      <c r="D64" s="12">
        <v>550</v>
      </c>
      <c r="E64" s="11" t="s">
        <v>4018</v>
      </c>
      <c r="F64" s="11" t="s">
        <v>4020</v>
      </c>
      <c r="G64" s="11">
        <v>2023</v>
      </c>
      <c r="H64" s="11" t="s">
        <v>4021</v>
      </c>
      <c r="I64" s="11" t="str">
        <f>HYPERLINK("http://dx.doi.org/10.1016/j.jksuci.2023.101675","http://dx.doi.org/10.1016/j.jksuci.2023.101675")</f>
        <v>http://dx.doi.org/10.1016/j.jksuci.2023.101675</v>
      </c>
      <c r="J64" s="11" t="s">
        <v>4024</v>
      </c>
      <c r="K64" s="11" t="s">
        <v>4022</v>
      </c>
      <c r="L64" s="11" t="s">
        <v>42</v>
      </c>
      <c r="M64" s="11" t="s">
        <v>56</v>
      </c>
      <c r="N64" s="11">
        <v>1</v>
      </c>
      <c r="O64" s="11">
        <v>1</v>
      </c>
    </row>
    <row r="65" spans="1:15" s="12" customFormat="1" x14ac:dyDescent="0.25">
      <c r="A65" s="12">
        <v>64</v>
      </c>
      <c r="B65" s="11">
        <v>531</v>
      </c>
      <c r="C65" s="12" t="s">
        <v>12118</v>
      </c>
      <c r="D65" s="12">
        <v>592</v>
      </c>
      <c r="E65" s="11" t="s">
        <v>3213</v>
      </c>
      <c r="F65" s="11" t="s">
        <v>3215</v>
      </c>
      <c r="G65" s="11">
        <v>2023</v>
      </c>
      <c r="H65" s="11" t="s">
        <v>1657</v>
      </c>
      <c r="I65" s="11" t="str">
        <f>HYPERLINK("http://dx.doi.org/10.2196/49949","http://dx.doi.org/10.2196/49949")</f>
        <v>http://dx.doi.org/10.2196/49949</v>
      </c>
      <c r="J65" s="11" t="s">
        <v>3218</v>
      </c>
      <c r="K65" s="11" t="s">
        <v>3216</v>
      </c>
      <c r="L65" s="11" t="s">
        <v>42</v>
      </c>
      <c r="M65" s="11" t="s">
        <v>56</v>
      </c>
      <c r="N65" s="12">
        <v>1</v>
      </c>
      <c r="O65" s="12">
        <v>1</v>
      </c>
    </row>
    <row r="66" spans="1:15" s="12" customFormat="1" x14ac:dyDescent="0.25">
      <c r="A66" s="12">
        <v>65</v>
      </c>
      <c r="B66" s="11">
        <v>478</v>
      </c>
      <c r="C66" s="12" t="s">
        <v>12118</v>
      </c>
      <c r="D66" s="12">
        <v>531</v>
      </c>
      <c r="E66" s="11" t="s">
        <v>6349</v>
      </c>
      <c r="F66" s="11" t="s">
        <v>6351</v>
      </c>
      <c r="G66" s="11">
        <v>2023</v>
      </c>
      <c r="H66" s="11" t="s">
        <v>5976</v>
      </c>
      <c r="I66" s="11" t="str">
        <f>HYPERLINK("http://dx.doi.org/10.2196/53466","http://dx.doi.org/10.2196/53466")</f>
        <v>http://dx.doi.org/10.2196/53466</v>
      </c>
      <c r="J66" s="11" t="s">
        <v>6354</v>
      </c>
      <c r="K66" s="11" t="s">
        <v>6352</v>
      </c>
      <c r="L66" s="11" t="s">
        <v>42</v>
      </c>
      <c r="M66" s="11" t="s">
        <v>56</v>
      </c>
      <c r="N66" s="11">
        <v>1</v>
      </c>
      <c r="O66" s="11">
        <v>1</v>
      </c>
    </row>
    <row r="67" spans="1:15" s="12" customFormat="1" x14ac:dyDescent="0.25">
      <c r="A67" s="12">
        <v>66</v>
      </c>
      <c r="B67" s="12">
        <v>14</v>
      </c>
      <c r="C67" s="12" t="s">
        <v>12204</v>
      </c>
      <c r="D67" s="12">
        <v>22</v>
      </c>
      <c r="E67" s="12" t="s">
        <v>12546</v>
      </c>
      <c r="F67" s="12" t="s">
        <v>1005</v>
      </c>
      <c r="G67" s="12">
        <v>2023</v>
      </c>
      <c r="H67" s="12" t="s">
        <v>1006</v>
      </c>
      <c r="I67" s="12" t="s">
        <v>1007</v>
      </c>
      <c r="J67" s="12" t="s">
        <v>1010</v>
      </c>
      <c r="K67" s="12" t="s">
        <v>1011</v>
      </c>
      <c r="L67" s="12" t="s">
        <v>42</v>
      </c>
      <c r="M67" s="12" t="s">
        <v>56</v>
      </c>
      <c r="N67" s="11">
        <v>1</v>
      </c>
      <c r="O67" s="11" t="s">
        <v>12142</v>
      </c>
    </row>
    <row r="68" spans="1:15" s="12" customFormat="1" x14ac:dyDescent="0.25">
      <c r="A68" s="12">
        <v>67</v>
      </c>
      <c r="B68" s="11">
        <v>613</v>
      </c>
      <c r="C68" s="12" t="s">
        <v>12118</v>
      </c>
      <c r="D68" s="12">
        <v>682</v>
      </c>
      <c r="E68" s="11" t="s">
        <v>4061</v>
      </c>
      <c r="F68" s="11" t="s">
        <v>4063</v>
      </c>
      <c r="G68" s="11">
        <v>2023</v>
      </c>
      <c r="H68" s="11" t="s">
        <v>4064</v>
      </c>
      <c r="I68" s="11" t="str">
        <f>HYPERLINK("http://dx.doi.org/10.1016/j.autcon.2023.105067","http://dx.doi.org/10.1016/j.autcon.2023.105067")</f>
        <v>http://dx.doi.org/10.1016/j.autcon.2023.105067</v>
      </c>
      <c r="J68" s="11" t="s">
        <v>4067</v>
      </c>
      <c r="K68" s="11" t="s">
        <v>4065</v>
      </c>
      <c r="L68" s="11" t="s">
        <v>42</v>
      </c>
      <c r="M68" s="11" t="s">
        <v>56</v>
      </c>
      <c r="N68" s="11">
        <v>1</v>
      </c>
      <c r="O68" s="11" t="s">
        <v>12142</v>
      </c>
    </row>
    <row r="69" spans="1:15" s="12" customFormat="1" x14ac:dyDescent="0.25">
      <c r="A69" s="12">
        <v>68</v>
      </c>
      <c r="B69" s="11">
        <v>122</v>
      </c>
      <c r="C69" s="12" t="s">
        <v>12118</v>
      </c>
      <c r="D69" s="12">
        <v>130</v>
      </c>
      <c r="E69" s="11" t="s">
        <v>5737</v>
      </c>
      <c r="F69" s="11" t="s">
        <v>5739</v>
      </c>
      <c r="G69" s="11">
        <v>2023</v>
      </c>
      <c r="H69" s="11" t="s">
        <v>5740</v>
      </c>
      <c r="I69" s="11" t="str">
        <f>HYPERLINK("http://dx.doi.org/10.53761/1.20.7.01","http://dx.doi.org/10.53761/1.20.7.01")</f>
        <v>http://dx.doi.org/10.53761/1.20.7.01</v>
      </c>
      <c r="J69" s="11" t="s">
        <v>5743</v>
      </c>
      <c r="K69" s="11" t="s">
        <v>5741</v>
      </c>
      <c r="L69" s="11" t="s">
        <v>42</v>
      </c>
      <c r="M69" s="11" t="s">
        <v>56</v>
      </c>
      <c r="N69" s="12">
        <v>1</v>
      </c>
      <c r="O69" s="12">
        <v>1</v>
      </c>
    </row>
    <row r="70" spans="1:15" s="12" customFormat="1" x14ac:dyDescent="0.25">
      <c r="A70" s="12">
        <v>69</v>
      </c>
      <c r="B70" s="11">
        <v>514</v>
      </c>
      <c r="C70" s="12" t="s">
        <v>12118</v>
      </c>
      <c r="D70" s="12">
        <v>570</v>
      </c>
      <c r="E70" s="11" t="s">
        <v>11457</v>
      </c>
      <c r="F70" s="11" t="s">
        <v>913</v>
      </c>
      <c r="G70" s="11">
        <v>2019</v>
      </c>
      <c r="H70" s="11" t="s">
        <v>11460</v>
      </c>
      <c r="I70" s="11" t="str">
        <f>HYPERLINK("http://dx.doi.org/10.1088/1742-6596/1171/1/012004","http://dx.doi.org/10.1088/1742-6596/1171/1/012004")</f>
        <v>http://dx.doi.org/10.1088/1742-6596/1171/1/012004</v>
      </c>
      <c r="J70" s="11" t="s">
        <v>11466</v>
      </c>
      <c r="K70" s="11" t="s">
        <v>1507</v>
      </c>
      <c r="L70" s="11" t="s">
        <v>42</v>
      </c>
      <c r="M70" s="11" t="s">
        <v>5552</v>
      </c>
      <c r="N70" s="12">
        <v>1</v>
      </c>
      <c r="O70" s="12">
        <v>1</v>
      </c>
    </row>
    <row r="71" spans="1:15" s="12" customFormat="1" x14ac:dyDescent="0.25">
      <c r="A71" s="12">
        <v>70</v>
      </c>
      <c r="B71" s="12">
        <v>170</v>
      </c>
      <c r="C71" s="12" t="s">
        <v>12204</v>
      </c>
      <c r="D71" s="12">
        <v>635</v>
      </c>
      <c r="E71" s="12" t="s">
        <v>12489</v>
      </c>
      <c r="F71" s="12" t="s">
        <v>1153</v>
      </c>
      <c r="G71" s="12">
        <v>2023</v>
      </c>
      <c r="H71" s="12" t="s">
        <v>1154</v>
      </c>
      <c r="I71" s="12" t="s">
        <v>1155</v>
      </c>
      <c r="J71" s="12" t="s">
        <v>1158</v>
      </c>
      <c r="K71" s="12" t="s">
        <v>1159</v>
      </c>
      <c r="L71" s="12" t="s">
        <v>42</v>
      </c>
      <c r="M71" s="12" t="s">
        <v>56</v>
      </c>
      <c r="N71" s="12">
        <v>1</v>
      </c>
      <c r="O71" s="12">
        <v>1</v>
      </c>
    </row>
    <row r="72" spans="1:15" s="12" customFormat="1" x14ac:dyDescent="0.25">
      <c r="A72" s="12">
        <v>71</v>
      </c>
      <c r="B72" s="11">
        <v>559</v>
      </c>
      <c r="C72" s="12" t="s">
        <v>12118</v>
      </c>
      <c r="D72" s="12">
        <v>625</v>
      </c>
      <c r="E72" s="11" t="s">
        <v>6535</v>
      </c>
      <c r="F72" s="11" t="s">
        <v>6537</v>
      </c>
      <c r="G72" s="11">
        <v>2023</v>
      </c>
      <c r="H72" s="11" t="s">
        <v>6538</v>
      </c>
      <c r="I72" s="11" t="str">
        <f>HYPERLINK("http://dx.doi.org/10.1177/18344909231213958","http://dx.doi.org/10.1177/18344909231213958")</f>
        <v>http://dx.doi.org/10.1177/18344909231213958</v>
      </c>
      <c r="J72" s="11" t="s">
        <v>6540</v>
      </c>
      <c r="K72" s="11" t="s">
        <v>6539</v>
      </c>
      <c r="L72" s="11" t="s">
        <v>42</v>
      </c>
      <c r="M72" s="11" t="s">
        <v>56</v>
      </c>
      <c r="N72" s="11">
        <v>1</v>
      </c>
      <c r="O72" s="11" t="s">
        <v>12142</v>
      </c>
    </row>
    <row r="73" spans="1:15" s="12" customFormat="1" x14ac:dyDescent="0.25">
      <c r="A73" s="12">
        <v>72</v>
      </c>
      <c r="B73" s="12">
        <v>60</v>
      </c>
      <c r="C73" s="12" t="s">
        <v>12204</v>
      </c>
      <c r="D73" s="12">
        <v>214</v>
      </c>
      <c r="E73" s="12" t="s">
        <v>12628</v>
      </c>
      <c r="F73" s="12" t="s">
        <v>1111</v>
      </c>
      <c r="G73" s="12">
        <v>2023</v>
      </c>
      <c r="H73" s="12" t="s">
        <v>383</v>
      </c>
      <c r="J73" s="12" t="s">
        <v>1114</v>
      </c>
      <c r="K73" s="12" t="s">
        <v>1115</v>
      </c>
      <c r="L73" s="12" t="s">
        <v>42</v>
      </c>
      <c r="M73" s="12" t="s">
        <v>12252</v>
      </c>
      <c r="N73" s="12">
        <v>1</v>
      </c>
      <c r="O73" s="12" t="s">
        <v>12142</v>
      </c>
    </row>
    <row r="74" spans="1:15" s="12" customFormat="1" x14ac:dyDescent="0.25">
      <c r="A74" s="12">
        <v>73</v>
      </c>
      <c r="B74" s="11">
        <v>361</v>
      </c>
      <c r="C74" s="12" t="s">
        <v>12118</v>
      </c>
      <c r="D74" s="12">
        <v>403</v>
      </c>
      <c r="E74" s="11" t="s">
        <v>6167</v>
      </c>
      <c r="F74" s="11" t="s">
        <v>6169</v>
      </c>
      <c r="G74" s="11">
        <v>2023</v>
      </c>
      <c r="H74" s="11" t="s">
        <v>6170</v>
      </c>
      <c r="I74" s="11" t="str">
        <f>HYPERLINK("http://dx.doi.org/10.1145/3626111.3628183","http://dx.doi.org/10.1145/3626111.3628183")</f>
        <v>http://dx.doi.org/10.1145/3626111.3628183</v>
      </c>
      <c r="J74" s="11" t="s">
        <v>6177</v>
      </c>
      <c r="K74" s="11" t="s">
        <v>6175</v>
      </c>
      <c r="L74" s="11" t="s">
        <v>42</v>
      </c>
      <c r="M74" s="11" t="s">
        <v>5552</v>
      </c>
      <c r="N74" s="11">
        <v>1</v>
      </c>
      <c r="O74" s="11" t="s">
        <v>12142</v>
      </c>
    </row>
    <row r="75" spans="1:15" s="12" customFormat="1" x14ac:dyDescent="0.25">
      <c r="A75" s="12">
        <v>74</v>
      </c>
      <c r="B75" s="12">
        <v>30</v>
      </c>
      <c r="C75" s="12" t="s">
        <v>12204</v>
      </c>
      <c r="D75" s="12">
        <v>83</v>
      </c>
      <c r="E75" s="12" t="s">
        <v>13288</v>
      </c>
      <c r="F75" s="12" t="s">
        <v>467</v>
      </c>
      <c r="G75" s="12">
        <v>2023</v>
      </c>
      <c r="H75" s="12" t="s">
        <v>305</v>
      </c>
      <c r="I75" s="12" t="s">
        <v>468</v>
      </c>
      <c r="J75" s="12" t="s">
        <v>471</v>
      </c>
      <c r="K75" s="12" t="s">
        <v>472</v>
      </c>
      <c r="L75" s="12" t="s">
        <v>42</v>
      </c>
      <c r="M75" s="12" t="s">
        <v>56</v>
      </c>
      <c r="N75" s="12">
        <v>1</v>
      </c>
      <c r="O75" s="12">
        <v>1</v>
      </c>
    </row>
    <row r="76" spans="1:15" s="12" customFormat="1" x14ac:dyDescent="0.25">
      <c r="A76" s="12">
        <v>75</v>
      </c>
      <c r="B76" s="11">
        <v>198</v>
      </c>
      <c r="C76" s="12" t="s">
        <v>12118</v>
      </c>
      <c r="D76" s="12">
        <v>216</v>
      </c>
      <c r="E76" s="11" t="s">
        <v>6944</v>
      </c>
      <c r="F76" s="11" t="s">
        <v>6946</v>
      </c>
      <c r="G76" s="11">
        <v>2022</v>
      </c>
      <c r="H76" s="11" t="s">
        <v>6947</v>
      </c>
      <c r="I76" s="11" t="str">
        <f>HYPERLINK("http://dx.doi.org/10.26342/2022-69-13","http://dx.doi.org/10.26342/2022-69-13")</f>
        <v>http://dx.doi.org/10.26342/2022-69-13</v>
      </c>
      <c r="J76" s="11" t="s">
        <v>6949</v>
      </c>
      <c r="K76" s="11" t="s">
        <v>6948</v>
      </c>
      <c r="L76" s="11" t="s">
        <v>42</v>
      </c>
      <c r="M76" s="11" t="s">
        <v>56</v>
      </c>
      <c r="N76" s="11">
        <v>1</v>
      </c>
      <c r="O76" s="11">
        <v>1</v>
      </c>
    </row>
    <row r="77" spans="1:15" s="12" customFormat="1" x14ac:dyDescent="0.25">
      <c r="A77" s="12">
        <v>76</v>
      </c>
      <c r="B77" s="12">
        <v>107</v>
      </c>
      <c r="C77" s="12" t="s">
        <v>12204</v>
      </c>
      <c r="D77" s="12">
        <v>367</v>
      </c>
      <c r="E77" s="12" t="s">
        <v>12739</v>
      </c>
      <c r="F77" s="12" t="s">
        <v>876</v>
      </c>
      <c r="G77" s="12">
        <v>2023</v>
      </c>
      <c r="H77" s="12" t="s">
        <v>877</v>
      </c>
      <c r="I77" s="12" t="s">
        <v>878</v>
      </c>
      <c r="J77" s="12" t="s">
        <v>12736</v>
      </c>
      <c r="K77" s="12" t="s">
        <v>882</v>
      </c>
      <c r="L77" s="12" t="s">
        <v>42</v>
      </c>
      <c r="M77" s="12" t="s">
        <v>12252</v>
      </c>
      <c r="N77" s="12">
        <v>1</v>
      </c>
      <c r="O77" s="12">
        <v>1</v>
      </c>
    </row>
    <row r="78" spans="1:15" s="12" customFormat="1" x14ac:dyDescent="0.25">
      <c r="A78" s="12">
        <v>77</v>
      </c>
      <c r="B78" s="12">
        <v>88</v>
      </c>
      <c r="C78" s="12" t="s">
        <v>12204</v>
      </c>
      <c r="D78" s="12">
        <v>308</v>
      </c>
      <c r="E78" s="12" t="s">
        <v>12239</v>
      </c>
      <c r="F78" s="12" t="s">
        <v>895</v>
      </c>
      <c r="G78" s="12">
        <v>2018</v>
      </c>
      <c r="H78" s="12" t="s">
        <v>896</v>
      </c>
      <c r="I78" s="12" t="s">
        <v>897</v>
      </c>
      <c r="J78" s="12" t="s">
        <v>899</v>
      </c>
      <c r="K78" s="12" t="s">
        <v>900</v>
      </c>
      <c r="L78" s="12" t="s">
        <v>42</v>
      </c>
      <c r="M78" s="12" t="s">
        <v>56</v>
      </c>
      <c r="N78" s="12">
        <v>1</v>
      </c>
      <c r="O78" s="12" t="s">
        <v>12142</v>
      </c>
    </row>
    <row r="79" spans="1:15" s="12" customFormat="1" x14ac:dyDescent="0.25">
      <c r="A79" s="12">
        <v>78</v>
      </c>
      <c r="B79" s="12">
        <v>123</v>
      </c>
      <c r="C79" s="12" t="s">
        <v>12204</v>
      </c>
      <c r="D79" s="12">
        <v>445</v>
      </c>
      <c r="E79" s="12" t="s">
        <v>12780</v>
      </c>
      <c r="F79" s="12" t="s">
        <v>223</v>
      </c>
      <c r="G79" s="12">
        <v>2023</v>
      </c>
      <c r="H79" s="12" t="s">
        <v>224</v>
      </c>
      <c r="I79" s="12" t="s">
        <v>225</v>
      </c>
      <c r="J79" s="12" t="s">
        <v>228</v>
      </c>
      <c r="L79" s="12" t="s">
        <v>42</v>
      </c>
      <c r="M79" s="12" t="s">
        <v>56</v>
      </c>
      <c r="N79" s="12">
        <v>1</v>
      </c>
      <c r="O79" s="12" t="s">
        <v>12142</v>
      </c>
    </row>
    <row r="80" spans="1:15" s="12" customFormat="1" x14ac:dyDescent="0.25">
      <c r="A80" s="12">
        <v>79</v>
      </c>
      <c r="B80" s="12">
        <v>64</v>
      </c>
      <c r="C80" s="12" t="s">
        <v>12204</v>
      </c>
      <c r="D80" s="12">
        <v>228</v>
      </c>
      <c r="E80" s="12" t="s">
        <v>12810</v>
      </c>
      <c r="F80" s="12" t="s">
        <v>559</v>
      </c>
      <c r="G80" s="12">
        <v>2023</v>
      </c>
      <c r="H80" s="12" t="s">
        <v>560</v>
      </c>
      <c r="I80" s="12" t="s">
        <v>562</v>
      </c>
      <c r="J80" s="12" t="s">
        <v>565</v>
      </c>
      <c r="K80" s="12" t="s">
        <v>566</v>
      </c>
      <c r="L80" s="12" t="s">
        <v>42</v>
      </c>
      <c r="M80" s="12" t="s">
        <v>56</v>
      </c>
      <c r="N80" s="12">
        <v>1</v>
      </c>
      <c r="O80" s="12" t="s">
        <v>12142</v>
      </c>
    </row>
    <row r="81" spans="1:15" s="12" customFormat="1" x14ac:dyDescent="0.25">
      <c r="A81" s="12">
        <v>80</v>
      </c>
      <c r="B81" s="11">
        <v>389</v>
      </c>
      <c r="C81" s="12" t="s">
        <v>12118</v>
      </c>
      <c r="D81" s="12">
        <v>431</v>
      </c>
      <c r="E81" s="11" t="s">
        <v>15223</v>
      </c>
      <c r="F81" s="11" t="s">
        <v>12137</v>
      </c>
      <c r="G81" s="11">
        <v>2023</v>
      </c>
      <c r="H81" s="11" t="s">
        <v>15225</v>
      </c>
      <c r="I81" s="11" t="str">
        <f>HYPERLINK("http://dx.doi.org/10.30827/relieve.v29i2.29295","http://dx.doi.org/10.30827/relieve.v29i2.29295")</f>
        <v>http://dx.doi.org/10.30827/relieve.v29i2.29295</v>
      </c>
      <c r="J81" s="11" t="s">
        <v>15228</v>
      </c>
      <c r="K81" s="11" t="s">
        <v>15226</v>
      </c>
      <c r="L81" s="11" t="s">
        <v>42</v>
      </c>
      <c r="M81" s="11" t="s">
        <v>56</v>
      </c>
      <c r="N81" s="11">
        <v>1</v>
      </c>
      <c r="O81" s="11">
        <v>1</v>
      </c>
    </row>
    <row r="82" spans="1:15" s="12" customFormat="1" x14ac:dyDescent="0.25">
      <c r="A82" s="12">
        <v>81</v>
      </c>
      <c r="B82" s="12">
        <v>167</v>
      </c>
      <c r="C82" s="12" t="s">
        <v>12204</v>
      </c>
      <c r="D82" s="12">
        <v>619</v>
      </c>
      <c r="E82" s="12" t="s">
        <v>12928</v>
      </c>
      <c r="F82" s="12" t="s">
        <v>334</v>
      </c>
      <c r="G82" s="12">
        <v>2023</v>
      </c>
      <c r="H82" s="12" t="s">
        <v>335</v>
      </c>
      <c r="I82" s="12" t="s">
        <v>336</v>
      </c>
      <c r="J82" s="12" t="s">
        <v>338</v>
      </c>
      <c r="K82" s="12" t="s">
        <v>339</v>
      </c>
      <c r="L82" s="12" t="s">
        <v>42</v>
      </c>
      <c r="M82" s="12" t="s">
        <v>56</v>
      </c>
      <c r="N82" s="12">
        <v>1</v>
      </c>
      <c r="O82" s="12">
        <v>1</v>
      </c>
    </row>
    <row r="83" spans="1:15" s="12" customFormat="1" x14ac:dyDescent="0.25">
      <c r="A83" s="12">
        <v>82</v>
      </c>
      <c r="B83" s="11">
        <v>598</v>
      </c>
      <c r="C83" s="12" t="s">
        <v>12118</v>
      </c>
      <c r="D83" s="12">
        <v>668</v>
      </c>
      <c r="E83" s="11" t="s">
        <v>6593</v>
      </c>
      <c r="F83" s="11" t="s">
        <v>6595</v>
      </c>
      <c r="G83" s="11">
        <v>2023</v>
      </c>
      <c r="H83" s="11" t="s">
        <v>6596</v>
      </c>
      <c r="I83" s="11" t="s">
        <v>1507</v>
      </c>
      <c r="J83" s="11" t="s">
        <v>6599</v>
      </c>
      <c r="K83" s="11" t="s">
        <v>6597</v>
      </c>
      <c r="L83" s="11" t="s">
        <v>42</v>
      </c>
      <c r="M83" s="11" t="s">
        <v>56</v>
      </c>
      <c r="N83" s="12">
        <v>1</v>
      </c>
      <c r="O83" s="12">
        <v>1</v>
      </c>
    </row>
    <row r="84" spans="1:15" s="12" customFormat="1" x14ac:dyDescent="0.25">
      <c r="A84" s="12">
        <v>83</v>
      </c>
      <c r="B84" s="12">
        <v>95</v>
      </c>
      <c r="C84" s="12" t="s">
        <v>12204</v>
      </c>
      <c r="D84" s="12">
        <v>340</v>
      </c>
      <c r="E84" s="12" t="s">
        <v>13572</v>
      </c>
      <c r="F84" s="12" t="s">
        <v>748</v>
      </c>
      <c r="G84" s="12">
        <v>2023</v>
      </c>
      <c r="H84" s="12" t="s">
        <v>749</v>
      </c>
      <c r="I84" s="12" t="s">
        <v>750</v>
      </c>
      <c r="J84" s="12" t="s">
        <v>753</v>
      </c>
      <c r="K84" s="12" t="s">
        <v>754</v>
      </c>
      <c r="L84" s="12" t="s">
        <v>42</v>
      </c>
      <c r="M84" s="12" t="s">
        <v>56</v>
      </c>
      <c r="N84" s="12">
        <v>1</v>
      </c>
      <c r="O84" s="12">
        <v>1</v>
      </c>
    </row>
    <row r="85" spans="1:15" s="12" customFormat="1" x14ac:dyDescent="0.25">
      <c r="A85" s="12">
        <v>84</v>
      </c>
      <c r="B85" s="11">
        <v>366</v>
      </c>
      <c r="C85" s="12" t="s">
        <v>12118</v>
      </c>
      <c r="D85" s="12">
        <v>407</v>
      </c>
      <c r="E85" s="11" t="s">
        <v>3732</v>
      </c>
      <c r="F85" s="11" t="s">
        <v>3734</v>
      </c>
      <c r="G85" s="11">
        <v>2023</v>
      </c>
      <c r="H85" s="11" t="s">
        <v>3735</v>
      </c>
      <c r="I85" s="11" t="str">
        <f>HYPERLINK("http://dx.doi.org/10.1002/tea.21903","http://dx.doi.org/10.1002/tea.21903")</f>
        <v>http://dx.doi.org/10.1002/tea.21903</v>
      </c>
      <c r="J85" s="11" t="s">
        <v>3738</v>
      </c>
      <c r="K85" s="11" t="s">
        <v>3736</v>
      </c>
      <c r="L85" s="11" t="s">
        <v>42</v>
      </c>
      <c r="M85" s="11" t="s">
        <v>1509</v>
      </c>
      <c r="N85" s="12">
        <v>1</v>
      </c>
      <c r="O85" s="12">
        <v>1</v>
      </c>
    </row>
    <row r="86" spans="1:15" s="12" customFormat="1" x14ac:dyDescent="0.25">
      <c r="A86" s="12">
        <v>85</v>
      </c>
      <c r="B86" s="12">
        <v>102</v>
      </c>
      <c r="C86" s="12" t="s">
        <v>12204</v>
      </c>
      <c r="D86" s="12">
        <v>356</v>
      </c>
      <c r="E86" s="12" t="s">
        <v>13668</v>
      </c>
      <c r="F86" s="12" t="s">
        <v>344</v>
      </c>
      <c r="G86" s="12">
        <v>2023</v>
      </c>
      <c r="H86" s="12" t="s">
        <v>345</v>
      </c>
      <c r="I86" s="12" t="s">
        <v>346</v>
      </c>
      <c r="J86" s="12" t="s">
        <v>349</v>
      </c>
      <c r="K86" s="12" t="s">
        <v>350</v>
      </c>
      <c r="L86" s="12" t="s">
        <v>42</v>
      </c>
      <c r="M86" s="12" t="s">
        <v>56</v>
      </c>
      <c r="N86" s="12">
        <v>1</v>
      </c>
      <c r="O86" s="12">
        <v>1</v>
      </c>
    </row>
    <row r="87" spans="1:15" s="12" customFormat="1" x14ac:dyDescent="0.25">
      <c r="A87" s="12">
        <v>86</v>
      </c>
      <c r="B87" s="12">
        <v>97</v>
      </c>
      <c r="C87" s="12" t="s">
        <v>12204</v>
      </c>
      <c r="D87" s="12">
        <v>343</v>
      </c>
      <c r="E87" s="12" t="s">
        <v>13184</v>
      </c>
      <c r="F87" s="12" t="s">
        <v>355</v>
      </c>
      <c r="G87" s="12">
        <v>2023</v>
      </c>
      <c r="H87" s="12" t="s">
        <v>356</v>
      </c>
      <c r="I87" s="12" t="s">
        <v>357</v>
      </c>
      <c r="J87" s="12" t="s">
        <v>360</v>
      </c>
      <c r="K87" s="12" t="s">
        <v>361</v>
      </c>
      <c r="L87" s="12" t="s">
        <v>42</v>
      </c>
      <c r="M87" s="12" t="s">
        <v>12252</v>
      </c>
      <c r="N87" s="12">
        <v>1</v>
      </c>
      <c r="O87" s="12">
        <v>1</v>
      </c>
    </row>
    <row r="88" spans="1:15" s="12" customFormat="1" x14ac:dyDescent="0.25">
      <c r="A88" s="12">
        <v>87</v>
      </c>
      <c r="B88" s="12">
        <v>104</v>
      </c>
      <c r="C88" s="12" t="s">
        <v>12204</v>
      </c>
      <c r="D88" s="12">
        <v>362</v>
      </c>
      <c r="E88" s="12" t="s">
        <v>12745</v>
      </c>
      <c r="F88" s="12" t="s">
        <v>1104</v>
      </c>
      <c r="G88" s="12">
        <v>2023</v>
      </c>
      <c r="H88" s="12" t="s">
        <v>498</v>
      </c>
      <c r="J88" s="12" t="s">
        <v>1107</v>
      </c>
      <c r="K88" s="12" t="s">
        <v>1108</v>
      </c>
      <c r="L88" s="12" t="s">
        <v>42</v>
      </c>
      <c r="M88" s="12" t="s">
        <v>12252</v>
      </c>
      <c r="N88" s="12">
        <v>1</v>
      </c>
      <c r="O88" s="12">
        <v>1</v>
      </c>
    </row>
    <row r="89" spans="1:15" s="12" customFormat="1" x14ac:dyDescent="0.25">
      <c r="A89" s="12">
        <v>88</v>
      </c>
      <c r="B89" s="12">
        <v>159</v>
      </c>
      <c r="C89" s="12" t="s">
        <v>12204</v>
      </c>
      <c r="D89" s="12">
        <v>594</v>
      </c>
      <c r="E89" s="12" t="s">
        <v>13306</v>
      </c>
      <c r="F89" s="12" t="s">
        <v>316</v>
      </c>
      <c r="G89" s="12">
        <v>2023</v>
      </c>
      <c r="H89" s="12" t="s">
        <v>317</v>
      </c>
      <c r="I89" s="12" t="s">
        <v>318</v>
      </c>
      <c r="J89" s="12" t="s">
        <v>321</v>
      </c>
      <c r="K89" s="12" t="s">
        <v>322</v>
      </c>
      <c r="L89" s="12" t="s">
        <v>42</v>
      </c>
      <c r="M89" s="12" t="s">
        <v>56</v>
      </c>
      <c r="N89" s="12">
        <v>1</v>
      </c>
      <c r="O89" s="12">
        <v>1</v>
      </c>
    </row>
    <row r="90" spans="1:15" s="12" customFormat="1" x14ac:dyDescent="0.25">
      <c r="A90" s="12">
        <v>89</v>
      </c>
      <c r="B90" s="12">
        <v>132</v>
      </c>
      <c r="C90" s="12" t="s">
        <v>12204</v>
      </c>
      <c r="D90" s="12">
        <v>478</v>
      </c>
      <c r="E90" s="12" t="s">
        <v>12413</v>
      </c>
      <c r="F90" s="12" t="s">
        <v>1309</v>
      </c>
      <c r="G90" s="12">
        <v>2023</v>
      </c>
      <c r="H90" s="12" t="s">
        <v>1310</v>
      </c>
      <c r="I90" s="12" t="s">
        <v>1312</v>
      </c>
      <c r="J90" s="12" t="s">
        <v>1315</v>
      </c>
      <c r="K90" s="12" t="s">
        <v>1316</v>
      </c>
      <c r="L90" s="12" t="s">
        <v>42</v>
      </c>
      <c r="M90" s="12" t="s">
        <v>12262</v>
      </c>
      <c r="N90" s="12">
        <v>1</v>
      </c>
      <c r="O90" s="12" t="s">
        <v>12142</v>
      </c>
    </row>
    <row r="91" spans="1:15" s="12" customFormat="1" x14ac:dyDescent="0.25">
      <c r="A91" s="12">
        <v>90</v>
      </c>
      <c r="B91" s="11">
        <v>244</v>
      </c>
      <c r="C91" s="12" t="s">
        <v>12118</v>
      </c>
      <c r="D91" s="12">
        <v>272</v>
      </c>
      <c r="E91" s="11" t="s">
        <v>5475</v>
      </c>
      <c r="F91" s="11" t="s">
        <v>5477</v>
      </c>
      <c r="G91" s="11">
        <v>2023</v>
      </c>
      <c r="H91" s="11" t="s">
        <v>5478</v>
      </c>
      <c r="I91" s="11" t="str">
        <f>HYPERLINK("http://dx.doi.org/10.1111/1911-3846.12832","http://dx.doi.org/10.1111/1911-3846.12832")</f>
        <v>http://dx.doi.org/10.1111/1911-3846.12832</v>
      </c>
      <c r="J91" s="11" t="s">
        <v>5481</v>
      </c>
      <c r="K91" s="11" t="s">
        <v>5479</v>
      </c>
      <c r="L91" s="11" t="s">
        <v>42</v>
      </c>
      <c r="M91" s="11" t="s">
        <v>56</v>
      </c>
      <c r="N91" s="11">
        <v>1</v>
      </c>
      <c r="O91" s="11" t="s">
        <v>12142</v>
      </c>
    </row>
    <row r="92" spans="1:15" s="12" customFormat="1" x14ac:dyDescent="0.25">
      <c r="A92" s="12">
        <v>91</v>
      </c>
      <c r="B92" s="11">
        <v>340</v>
      </c>
      <c r="C92" s="12" t="s">
        <v>12118</v>
      </c>
      <c r="D92" s="12">
        <v>380</v>
      </c>
      <c r="E92" s="11" t="s">
        <v>3956</v>
      </c>
      <c r="F92" s="11" t="s">
        <v>3958</v>
      </c>
      <c r="G92" s="11">
        <v>2023</v>
      </c>
      <c r="H92" s="11" t="s">
        <v>3959</v>
      </c>
      <c r="I92" s="11" t="str">
        <f>HYPERLINK("http://dx.doi.org/10.1016/j.clsr.2023.105864","http://dx.doi.org/10.1016/j.clsr.2023.105864")</f>
        <v>http://dx.doi.org/10.1016/j.clsr.2023.105864</v>
      </c>
      <c r="J92" s="11" t="s">
        <v>3962</v>
      </c>
      <c r="K92" s="11" t="s">
        <v>3960</v>
      </c>
      <c r="L92" s="11" t="s">
        <v>42</v>
      </c>
      <c r="M92" s="11" t="s">
        <v>56</v>
      </c>
      <c r="N92" s="11">
        <v>1</v>
      </c>
      <c r="O92" s="11" t="s">
        <v>12142</v>
      </c>
    </row>
    <row r="93" spans="1:15" s="12" customFormat="1" x14ac:dyDescent="0.25">
      <c r="A93" s="12">
        <v>92</v>
      </c>
      <c r="B93" s="11">
        <v>386</v>
      </c>
      <c r="C93" s="12" t="s">
        <v>12118</v>
      </c>
      <c r="D93" s="12">
        <v>427</v>
      </c>
      <c r="E93" s="11" t="s">
        <v>4138</v>
      </c>
      <c r="F93" s="11" t="s">
        <v>4140</v>
      </c>
      <c r="G93" s="11">
        <v>2023</v>
      </c>
      <c r="H93" s="11" t="s">
        <v>1562</v>
      </c>
      <c r="I93" s="11" t="str">
        <f>HYPERLINK("http://dx.doi.org/10.3389/feduc.2023.1250461","http://dx.doi.org/10.3389/feduc.2023.1250461")</f>
        <v>http://dx.doi.org/10.3389/feduc.2023.1250461</v>
      </c>
      <c r="J93" s="11" t="s">
        <v>4143</v>
      </c>
      <c r="K93" s="11" t="s">
        <v>4141</v>
      </c>
      <c r="L93" s="11" t="s">
        <v>42</v>
      </c>
      <c r="M93" s="11" t="s">
        <v>56</v>
      </c>
      <c r="N93" s="12">
        <v>1</v>
      </c>
      <c r="O93" s="12">
        <v>1</v>
      </c>
    </row>
    <row r="94" spans="1:15" s="12" customFormat="1" x14ac:dyDescent="0.25">
      <c r="A94" s="12">
        <v>93</v>
      </c>
      <c r="B94" s="11">
        <v>177</v>
      </c>
      <c r="C94" s="12" t="s">
        <v>12118</v>
      </c>
      <c r="D94" s="12">
        <v>192</v>
      </c>
      <c r="E94" s="11" t="s">
        <v>2980</v>
      </c>
      <c r="F94" s="11" t="s">
        <v>1177</v>
      </c>
      <c r="G94" s="11">
        <v>2023</v>
      </c>
      <c r="H94" s="11" t="s">
        <v>2982</v>
      </c>
      <c r="I94" s="11" t="str">
        <f>HYPERLINK("http://dx.doi.org/10.1007/s00146-023-01791-1","http://dx.doi.org/10.1007/s00146-023-01791-1")</f>
        <v>http://dx.doi.org/10.1007/s00146-023-01791-1</v>
      </c>
      <c r="J94" s="11" t="s">
        <v>2984</v>
      </c>
      <c r="K94" s="11" t="s">
        <v>2983</v>
      </c>
      <c r="L94" s="11" t="s">
        <v>42</v>
      </c>
      <c r="M94" s="11" t="s">
        <v>1509</v>
      </c>
      <c r="N94" s="11">
        <v>1</v>
      </c>
      <c r="O94" s="11">
        <v>1</v>
      </c>
    </row>
    <row r="95" spans="1:15" s="12" customFormat="1" x14ac:dyDescent="0.25">
      <c r="A95" s="12">
        <v>94</v>
      </c>
      <c r="B95" s="12">
        <v>101</v>
      </c>
      <c r="C95" s="12" t="s">
        <v>12204</v>
      </c>
      <c r="D95" s="12">
        <v>353</v>
      </c>
      <c r="E95" s="12" t="s">
        <v>13377</v>
      </c>
      <c r="F95" s="12" t="s">
        <v>449</v>
      </c>
      <c r="G95" s="12">
        <v>2023</v>
      </c>
      <c r="H95" s="12" t="s">
        <v>34</v>
      </c>
      <c r="I95" s="12" t="s">
        <v>450</v>
      </c>
      <c r="J95" s="12" t="s">
        <v>452</v>
      </c>
      <c r="K95" s="12" t="s">
        <v>453</v>
      </c>
      <c r="L95" s="12" t="s">
        <v>42</v>
      </c>
      <c r="M95" s="12" t="s">
        <v>12252</v>
      </c>
      <c r="N95" s="12">
        <v>1</v>
      </c>
      <c r="O95" s="12">
        <v>1</v>
      </c>
    </row>
    <row r="96" spans="1:15" s="12" customFormat="1" x14ac:dyDescent="0.25">
      <c r="A96" s="12">
        <v>95</v>
      </c>
      <c r="B96" s="11">
        <v>158</v>
      </c>
      <c r="C96" s="12" t="s">
        <v>12118</v>
      </c>
      <c r="D96" s="12">
        <v>168</v>
      </c>
      <c r="E96" s="11" t="s">
        <v>14944</v>
      </c>
      <c r="F96" s="11" t="s">
        <v>776</v>
      </c>
      <c r="G96" s="11">
        <v>2023</v>
      </c>
      <c r="H96" s="11" t="s">
        <v>14946</v>
      </c>
      <c r="I96" s="11" t="str">
        <f>HYPERLINK("http://dx.doi.org/10.1145/3580305.3599827","http://dx.doi.org/10.1145/3580305.3599827")</f>
        <v>http://dx.doi.org/10.1145/3580305.3599827</v>
      </c>
      <c r="J96" s="11" t="s">
        <v>14951</v>
      </c>
      <c r="K96" s="11" t="s">
        <v>14950</v>
      </c>
      <c r="L96" s="11" t="s">
        <v>42</v>
      </c>
      <c r="M96" s="11" t="s">
        <v>5552</v>
      </c>
      <c r="N96" s="11">
        <v>1</v>
      </c>
      <c r="O96" s="11">
        <v>1</v>
      </c>
    </row>
    <row r="97" spans="1:15" s="12" customFormat="1" x14ac:dyDescent="0.25">
      <c r="A97" s="12">
        <v>96</v>
      </c>
      <c r="B97" s="11">
        <v>146</v>
      </c>
      <c r="C97" s="12" t="s">
        <v>12118</v>
      </c>
      <c r="D97" s="12">
        <v>157</v>
      </c>
      <c r="E97" s="11" t="s">
        <v>5811</v>
      </c>
      <c r="F97" s="11" t="s">
        <v>984</v>
      </c>
      <c r="G97" s="11">
        <v>2023</v>
      </c>
      <c r="H97" s="11" t="s">
        <v>5813</v>
      </c>
      <c r="I97" s="11" t="str">
        <f>HYPERLINK("http://dx.doi.org/10.5114/biolsport.2023.125623","http://dx.doi.org/10.5114/biolsport.2023.125623")</f>
        <v>http://dx.doi.org/10.5114/biolsport.2023.125623</v>
      </c>
      <c r="J97" s="11" t="s">
        <v>5815</v>
      </c>
      <c r="K97" s="11" t="s">
        <v>5814</v>
      </c>
      <c r="L97" s="11" t="s">
        <v>42</v>
      </c>
      <c r="M97" s="11" t="s">
        <v>56</v>
      </c>
      <c r="N97" s="11">
        <v>1</v>
      </c>
      <c r="O97" s="11">
        <v>1</v>
      </c>
    </row>
    <row r="98" spans="1:15" s="12" customFormat="1" x14ac:dyDescent="0.25">
      <c r="A98" s="12">
        <v>97</v>
      </c>
      <c r="B98" s="12">
        <v>81</v>
      </c>
      <c r="C98" s="12" t="s">
        <v>12204</v>
      </c>
      <c r="D98" s="12">
        <v>291</v>
      </c>
      <c r="E98" s="12" t="s">
        <v>13224</v>
      </c>
      <c r="F98" s="12" t="s">
        <v>152</v>
      </c>
      <c r="G98" s="12">
        <v>2023</v>
      </c>
      <c r="H98" s="12" t="s">
        <v>153</v>
      </c>
      <c r="I98" s="12" t="s">
        <v>154</v>
      </c>
      <c r="J98" s="12" t="s">
        <v>157</v>
      </c>
      <c r="K98" s="12" t="s">
        <v>158</v>
      </c>
      <c r="L98" s="12" t="s">
        <v>42</v>
      </c>
      <c r="M98" s="12" t="s">
        <v>56</v>
      </c>
      <c r="N98" s="12">
        <v>1</v>
      </c>
      <c r="O98" s="12">
        <v>1</v>
      </c>
    </row>
    <row r="99" spans="1:15" s="12" customFormat="1" ht="13.8" customHeight="1" x14ac:dyDescent="0.25">
      <c r="A99" s="12">
        <v>98</v>
      </c>
      <c r="B99" s="12">
        <v>126</v>
      </c>
      <c r="C99" s="12" t="s">
        <v>12204</v>
      </c>
      <c r="D99" s="12">
        <v>453</v>
      </c>
      <c r="E99" s="12" t="s">
        <v>786</v>
      </c>
      <c r="F99" s="12" t="s">
        <v>788</v>
      </c>
      <c r="G99" s="12">
        <v>2023</v>
      </c>
      <c r="H99" s="12" t="s">
        <v>383</v>
      </c>
      <c r="J99" s="12" t="s">
        <v>790</v>
      </c>
      <c r="K99" s="12" t="s">
        <v>791</v>
      </c>
      <c r="L99" s="12" t="s">
        <v>42</v>
      </c>
      <c r="M99" s="12" t="s">
        <v>12252</v>
      </c>
      <c r="N99" s="12">
        <v>1</v>
      </c>
      <c r="O99" s="12">
        <v>1</v>
      </c>
    </row>
    <row r="100" spans="1:15" s="12" customFormat="1" x14ac:dyDescent="0.25">
      <c r="A100" s="12">
        <v>99</v>
      </c>
      <c r="B100" s="12">
        <v>169</v>
      </c>
      <c r="C100" s="12" t="s">
        <v>12204</v>
      </c>
      <c r="D100" s="12">
        <v>630</v>
      </c>
      <c r="E100" s="12" t="s">
        <v>12640</v>
      </c>
      <c r="F100" s="12" t="s">
        <v>818</v>
      </c>
      <c r="G100" s="12">
        <v>2023</v>
      </c>
      <c r="H100" s="12" t="s">
        <v>819</v>
      </c>
      <c r="I100" s="12" t="s">
        <v>820</v>
      </c>
      <c r="J100" s="12" t="s">
        <v>823</v>
      </c>
      <c r="K100" s="12" t="s">
        <v>824</v>
      </c>
      <c r="L100" s="12" t="s">
        <v>42</v>
      </c>
      <c r="M100" s="12" t="s">
        <v>56</v>
      </c>
      <c r="N100" s="11">
        <v>1</v>
      </c>
      <c r="O100" s="11" t="s">
        <v>12142</v>
      </c>
    </row>
    <row r="101" spans="1:15" s="12" customFormat="1" x14ac:dyDescent="0.25">
      <c r="A101" s="12">
        <v>100</v>
      </c>
      <c r="B101" s="11">
        <v>522</v>
      </c>
      <c r="C101" s="12" t="s">
        <v>12118</v>
      </c>
      <c r="D101" s="12">
        <v>580</v>
      </c>
      <c r="E101" s="11" t="s">
        <v>3019</v>
      </c>
      <c r="F101" s="11" t="s">
        <v>3021</v>
      </c>
      <c r="G101" s="11">
        <v>2023</v>
      </c>
      <c r="H101" s="11" t="s">
        <v>3022</v>
      </c>
      <c r="I101" s="11" t="str">
        <f>HYPERLINK("http://dx.doi.org/10.1016/j.xops.2023.100394","http://dx.doi.org/10.1016/j.xops.2023.100394")</f>
        <v>http://dx.doi.org/10.1016/j.xops.2023.100394</v>
      </c>
      <c r="J101" s="11" t="s">
        <v>3023</v>
      </c>
      <c r="K101" s="11" t="s">
        <v>1507</v>
      </c>
      <c r="L101" s="11" t="s">
        <v>42</v>
      </c>
      <c r="M101" s="11" t="s">
        <v>56</v>
      </c>
      <c r="N101" s="11">
        <v>1</v>
      </c>
      <c r="O101" s="11" t="s">
        <v>12142</v>
      </c>
    </row>
    <row r="102" spans="1:15" s="12" customFormat="1" x14ac:dyDescent="0.25">
      <c r="A102" s="12">
        <v>101</v>
      </c>
      <c r="B102" s="11">
        <v>572</v>
      </c>
      <c r="C102" s="12" t="s">
        <v>12118</v>
      </c>
      <c r="D102" s="12">
        <v>641</v>
      </c>
      <c r="E102" s="11" t="s">
        <v>15471</v>
      </c>
      <c r="F102" s="11" t="s">
        <v>15473</v>
      </c>
      <c r="G102" s="11">
        <v>2023</v>
      </c>
      <c r="H102" s="11" t="s">
        <v>15474</v>
      </c>
      <c r="I102" s="11" t="str">
        <f>HYPERLINK("http://dx.doi.org/10.15219/em100.1617","http://dx.doi.org/10.15219/em100.1617")</f>
        <v>http://dx.doi.org/10.15219/em100.1617</v>
      </c>
      <c r="J102" s="11" t="s">
        <v>15477</v>
      </c>
      <c r="K102" s="11" t="s">
        <v>15476</v>
      </c>
      <c r="L102" s="11" t="s">
        <v>15475</v>
      </c>
      <c r="M102" s="11" t="s">
        <v>56</v>
      </c>
      <c r="N102" s="11">
        <v>1</v>
      </c>
      <c r="O102" s="11" t="s">
        <v>12142</v>
      </c>
    </row>
    <row r="103" spans="1:15" s="12" customFormat="1" x14ac:dyDescent="0.25">
      <c r="A103" s="12">
        <v>102</v>
      </c>
      <c r="B103" s="12">
        <v>37</v>
      </c>
      <c r="C103" s="12" t="s">
        <v>12204</v>
      </c>
      <c r="D103" s="12">
        <v>118</v>
      </c>
      <c r="E103" s="12" t="s">
        <v>13284</v>
      </c>
      <c r="F103" s="12" t="s">
        <v>58</v>
      </c>
      <c r="G103" s="12">
        <v>2023</v>
      </c>
      <c r="H103" s="12" t="s">
        <v>59</v>
      </c>
      <c r="I103" s="12" t="s">
        <v>60</v>
      </c>
      <c r="J103" s="12" t="s">
        <v>13281</v>
      </c>
      <c r="K103" s="12" t="s">
        <v>63</v>
      </c>
      <c r="L103" s="12" t="s">
        <v>42</v>
      </c>
      <c r="M103" s="12" t="s">
        <v>12252</v>
      </c>
      <c r="N103" s="12">
        <v>1</v>
      </c>
      <c r="O103" s="12">
        <v>1</v>
      </c>
    </row>
    <row r="104" spans="1:15" s="12" customFormat="1" x14ac:dyDescent="0.25">
      <c r="A104" s="12">
        <v>103</v>
      </c>
      <c r="B104" s="12">
        <v>52</v>
      </c>
      <c r="C104" s="12" t="s">
        <v>12204</v>
      </c>
      <c r="D104" s="12">
        <v>185</v>
      </c>
      <c r="E104" s="12" t="s">
        <v>12605</v>
      </c>
      <c r="F104" s="12" t="s">
        <v>1337</v>
      </c>
      <c r="G104" s="12">
        <v>2023</v>
      </c>
      <c r="H104" s="12" t="s">
        <v>127</v>
      </c>
      <c r="I104" s="12" t="s">
        <v>1339</v>
      </c>
      <c r="J104" s="12" t="s">
        <v>1342</v>
      </c>
      <c r="K104" s="12" t="s">
        <v>1343</v>
      </c>
      <c r="L104" s="12" t="s">
        <v>42</v>
      </c>
      <c r="M104" s="12" t="s">
        <v>12252</v>
      </c>
      <c r="N104" s="12">
        <v>1</v>
      </c>
      <c r="O104" s="12" t="s">
        <v>12142</v>
      </c>
    </row>
    <row r="105" spans="1:15" s="12" customFormat="1" x14ac:dyDescent="0.25">
      <c r="A105" s="12">
        <v>104</v>
      </c>
      <c r="B105" s="12">
        <v>151</v>
      </c>
      <c r="C105" s="12" t="s">
        <v>12204</v>
      </c>
      <c r="D105" s="12">
        <v>560</v>
      </c>
      <c r="E105" s="12" t="s">
        <v>12423</v>
      </c>
      <c r="F105" s="12" t="s">
        <v>1391</v>
      </c>
      <c r="G105" s="12">
        <v>2023</v>
      </c>
      <c r="H105" s="12" t="s">
        <v>383</v>
      </c>
      <c r="J105" s="12" t="s">
        <v>1394</v>
      </c>
      <c r="K105" s="12" t="s">
        <v>1395</v>
      </c>
      <c r="L105" s="12" t="s">
        <v>42</v>
      </c>
      <c r="M105" s="12" t="s">
        <v>12252</v>
      </c>
      <c r="N105" s="12">
        <v>1</v>
      </c>
      <c r="O105" s="12">
        <v>1</v>
      </c>
    </row>
    <row r="106" spans="1:15" s="12" customFormat="1" x14ac:dyDescent="0.25">
      <c r="A106" s="12">
        <v>105</v>
      </c>
      <c r="B106" s="11">
        <v>570</v>
      </c>
      <c r="C106" s="12" t="s">
        <v>12118</v>
      </c>
      <c r="D106" s="12">
        <v>639</v>
      </c>
      <c r="E106" s="11" t="s">
        <v>2539</v>
      </c>
      <c r="F106" s="11" t="s">
        <v>2541</v>
      </c>
      <c r="G106" s="11">
        <v>2023</v>
      </c>
      <c r="H106" s="11" t="s">
        <v>1538</v>
      </c>
      <c r="I106" s="11" t="str">
        <f>HYPERLINK("http://dx.doi.org/10.1162/tacl_a_00608","http://dx.doi.org/10.1162/tacl_a_00608")</f>
        <v>http://dx.doi.org/10.1162/tacl_a_00608</v>
      </c>
      <c r="J106" s="11" t="s">
        <v>2542</v>
      </c>
      <c r="K106" s="11" t="s">
        <v>1507</v>
      </c>
      <c r="L106" s="11" t="s">
        <v>42</v>
      </c>
      <c r="M106" s="11" t="s">
        <v>56</v>
      </c>
      <c r="N106" s="11">
        <v>1</v>
      </c>
      <c r="O106" s="11" t="s">
        <v>12142</v>
      </c>
    </row>
    <row r="107" spans="1:15" s="12" customFormat="1" x14ac:dyDescent="0.25">
      <c r="A107" s="12">
        <v>106</v>
      </c>
      <c r="B107" s="12">
        <v>118</v>
      </c>
      <c r="C107" s="12" t="s">
        <v>12204</v>
      </c>
      <c r="D107" s="12">
        <v>417</v>
      </c>
      <c r="E107" s="12" t="s">
        <v>13177</v>
      </c>
      <c r="F107" s="12" t="s">
        <v>304</v>
      </c>
      <c r="G107" s="12">
        <v>2023</v>
      </c>
      <c r="H107" s="12" t="s">
        <v>305</v>
      </c>
      <c r="I107" s="12" t="s">
        <v>306</v>
      </c>
      <c r="J107" s="12" t="s">
        <v>309</v>
      </c>
      <c r="K107" s="12" t="s">
        <v>310</v>
      </c>
      <c r="L107" s="12" t="s">
        <v>42</v>
      </c>
      <c r="M107" s="12" t="s">
        <v>56</v>
      </c>
      <c r="N107" s="12">
        <v>1</v>
      </c>
      <c r="O107" s="12">
        <v>1</v>
      </c>
    </row>
    <row r="108" spans="1:15" s="12" customFormat="1" x14ac:dyDescent="0.25">
      <c r="A108" s="12">
        <v>107</v>
      </c>
      <c r="B108" s="12">
        <v>15</v>
      </c>
      <c r="C108" s="12" t="s">
        <v>12204</v>
      </c>
      <c r="D108" s="12">
        <v>32</v>
      </c>
      <c r="E108" s="12" t="s">
        <v>12964</v>
      </c>
      <c r="F108" s="12" t="s">
        <v>12962</v>
      </c>
      <c r="G108" s="12">
        <v>2023</v>
      </c>
      <c r="H108" s="12" t="s">
        <v>12961</v>
      </c>
      <c r="I108" s="12" t="s">
        <v>12959</v>
      </c>
      <c r="J108" s="12" t="s">
        <v>12955</v>
      </c>
      <c r="K108" s="12" t="s">
        <v>12954</v>
      </c>
      <c r="L108" s="12" t="s">
        <v>42</v>
      </c>
      <c r="M108" s="12" t="s">
        <v>12252</v>
      </c>
      <c r="N108" s="11">
        <v>1</v>
      </c>
      <c r="O108" s="11" t="s">
        <v>12142</v>
      </c>
    </row>
    <row r="109" spans="1:15" s="12" customFormat="1" x14ac:dyDescent="0.25">
      <c r="A109" s="12">
        <v>108</v>
      </c>
      <c r="B109" s="12">
        <v>176</v>
      </c>
      <c r="C109" s="12" t="s">
        <v>12204</v>
      </c>
      <c r="D109" s="12">
        <v>670</v>
      </c>
      <c r="E109" s="12" t="s">
        <v>12996</v>
      </c>
      <c r="F109" s="12" t="s">
        <v>12994</v>
      </c>
      <c r="G109" s="12">
        <v>2023</v>
      </c>
      <c r="H109" s="12" t="s">
        <v>12984</v>
      </c>
      <c r="I109" s="12" t="s">
        <v>12993</v>
      </c>
      <c r="J109" s="12" t="s">
        <v>12989</v>
      </c>
      <c r="K109" s="12" t="s">
        <v>12988</v>
      </c>
      <c r="L109" s="12" t="s">
        <v>42</v>
      </c>
      <c r="M109" s="12" t="s">
        <v>12252</v>
      </c>
      <c r="N109" s="12">
        <v>1</v>
      </c>
      <c r="O109" s="12">
        <v>1</v>
      </c>
    </row>
    <row r="110" spans="1:15" s="12" customFormat="1" x14ac:dyDescent="0.25">
      <c r="A110" s="12">
        <v>109</v>
      </c>
      <c r="B110" s="12">
        <v>125</v>
      </c>
      <c r="C110" s="12" t="s">
        <v>12204</v>
      </c>
      <c r="D110" s="12">
        <v>452</v>
      </c>
      <c r="E110" s="12" t="s">
        <v>12980</v>
      </c>
      <c r="F110" s="12" t="s">
        <v>12978</v>
      </c>
      <c r="G110" s="12">
        <v>2023</v>
      </c>
      <c r="H110" s="12" t="s">
        <v>12977</v>
      </c>
      <c r="I110" s="12" t="s">
        <v>12976</v>
      </c>
      <c r="J110" s="12" t="s">
        <v>12972</v>
      </c>
      <c r="K110" s="12" t="s">
        <v>12971</v>
      </c>
      <c r="L110" s="12" t="s">
        <v>42</v>
      </c>
      <c r="M110" s="12" t="s">
        <v>56</v>
      </c>
      <c r="N110" s="12">
        <v>1</v>
      </c>
      <c r="O110" s="12">
        <v>1</v>
      </c>
    </row>
    <row r="111" spans="1:15" s="12" customFormat="1" x14ac:dyDescent="0.25">
      <c r="A111" s="12">
        <v>110</v>
      </c>
      <c r="B111" s="12">
        <v>90</v>
      </c>
      <c r="C111" s="12" t="s">
        <v>12204</v>
      </c>
      <c r="D111" s="12">
        <v>316</v>
      </c>
      <c r="E111" s="12" t="s">
        <v>1126</v>
      </c>
      <c r="F111" s="12" t="s">
        <v>1127</v>
      </c>
      <c r="G111" s="12">
        <v>2021</v>
      </c>
      <c r="H111" s="12" t="s">
        <v>1016</v>
      </c>
      <c r="I111" s="12" t="s">
        <v>1128</v>
      </c>
      <c r="J111" s="12" t="s">
        <v>1131</v>
      </c>
      <c r="K111" s="12" t="s">
        <v>1132</v>
      </c>
      <c r="L111" s="12" t="s">
        <v>42</v>
      </c>
      <c r="M111" s="12" t="s">
        <v>56</v>
      </c>
      <c r="N111" s="11">
        <v>1</v>
      </c>
      <c r="O111" s="11" t="s">
        <v>12142</v>
      </c>
    </row>
    <row r="112" spans="1:15" s="12" customFormat="1" x14ac:dyDescent="0.25">
      <c r="A112" s="12">
        <v>111</v>
      </c>
      <c r="B112" s="11">
        <v>435</v>
      </c>
      <c r="C112" s="12" t="s">
        <v>12118</v>
      </c>
      <c r="D112" s="12">
        <v>486</v>
      </c>
      <c r="E112" s="11" t="s">
        <v>5205</v>
      </c>
      <c r="F112" s="11" t="s">
        <v>5207</v>
      </c>
      <c r="G112" s="11">
        <v>2023</v>
      </c>
      <c r="H112" s="11" t="s">
        <v>5208</v>
      </c>
      <c r="I112" s="11" t="str">
        <f>HYPERLINK("http://dx.doi.org/10.3390/buildings13040857","http://dx.doi.org/10.3390/buildings13040857")</f>
        <v>http://dx.doi.org/10.3390/buildings13040857</v>
      </c>
      <c r="J112" s="11" t="s">
        <v>5210</v>
      </c>
      <c r="K112" s="11" t="s">
        <v>5209</v>
      </c>
      <c r="L112" s="11" t="s">
        <v>42</v>
      </c>
      <c r="M112" s="11" t="s">
        <v>56</v>
      </c>
      <c r="N112" s="11">
        <v>1</v>
      </c>
      <c r="O112" s="11" t="s">
        <v>12142</v>
      </c>
    </row>
    <row r="113" spans="1:15" s="12" customFormat="1" x14ac:dyDescent="0.25">
      <c r="A113" s="12">
        <v>112</v>
      </c>
      <c r="B113" s="11">
        <v>596</v>
      </c>
      <c r="C113" s="12" t="s">
        <v>12118</v>
      </c>
      <c r="D113" s="12">
        <v>666</v>
      </c>
      <c r="E113" s="11" t="s">
        <v>15491</v>
      </c>
      <c r="F113" s="11" t="s">
        <v>15494</v>
      </c>
      <c r="G113" s="11">
        <v>2023</v>
      </c>
      <c r="H113" s="11" t="s">
        <v>15495</v>
      </c>
      <c r="I113" s="11" t="str">
        <f>HYPERLINK("http://dx.doi.org/10.1145/3615890.3628538","http://dx.doi.org/10.1145/3615890.3628538")</f>
        <v>http://dx.doi.org/10.1145/3615890.3628538</v>
      </c>
      <c r="J113" s="11" t="s">
        <v>15501</v>
      </c>
      <c r="K113" s="11" t="s">
        <v>15499</v>
      </c>
      <c r="L113" s="11" t="s">
        <v>42</v>
      </c>
      <c r="M113" s="11" t="s">
        <v>5552</v>
      </c>
      <c r="N113" s="11">
        <v>1</v>
      </c>
      <c r="O113" s="11" t="s">
        <v>12142</v>
      </c>
    </row>
    <row r="114" spans="1:15" s="12" customFormat="1" x14ac:dyDescent="0.25">
      <c r="A114" s="12">
        <v>113</v>
      </c>
      <c r="B114" s="12">
        <v>165</v>
      </c>
      <c r="C114" s="12" t="s">
        <v>12204</v>
      </c>
      <c r="D114" s="12">
        <v>613</v>
      </c>
      <c r="E114" s="12" t="s">
        <v>12822</v>
      </c>
      <c r="F114" s="12" t="s">
        <v>656</v>
      </c>
      <c r="G114" s="12">
        <v>2023</v>
      </c>
      <c r="H114" s="12" t="s">
        <v>540</v>
      </c>
      <c r="I114" s="12" t="s">
        <v>657</v>
      </c>
      <c r="J114" s="12" t="s">
        <v>660</v>
      </c>
      <c r="K114" s="12" t="s">
        <v>661</v>
      </c>
      <c r="L114" s="12" t="s">
        <v>42</v>
      </c>
      <c r="M114" s="12" t="s">
        <v>12252</v>
      </c>
      <c r="N114" s="12">
        <v>1</v>
      </c>
      <c r="O114" s="12" t="s">
        <v>12142</v>
      </c>
    </row>
    <row r="115" spans="1:15" s="12" customFormat="1" x14ac:dyDescent="0.25">
      <c r="A115" s="12">
        <v>114</v>
      </c>
      <c r="B115" s="12">
        <v>68</v>
      </c>
      <c r="C115" s="12" t="s">
        <v>12204</v>
      </c>
      <c r="D115" s="12">
        <v>244</v>
      </c>
      <c r="E115" s="12" t="s">
        <v>12775</v>
      </c>
      <c r="F115" s="12" t="s">
        <v>531</v>
      </c>
      <c r="G115" s="12">
        <v>2023</v>
      </c>
      <c r="H115" s="12" t="s">
        <v>335</v>
      </c>
      <c r="I115" s="12" t="s">
        <v>532</v>
      </c>
      <c r="J115" s="12" t="s">
        <v>535</v>
      </c>
      <c r="K115" s="12" t="s">
        <v>536</v>
      </c>
      <c r="L115" s="12" t="s">
        <v>42</v>
      </c>
      <c r="M115" s="12" t="s">
        <v>56</v>
      </c>
      <c r="N115" s="12">
        <v>1</v>
      </c>
      <c r="O115" s="12">
        <v>1</v>
      </c>
    </row>
    <row r="116" spans="1:15" s="12" customFormat="1" x14ac:dyDescent="0.25">
      <c r="A116" s="12">
        <v>115</v>
      </c>
      <c r="B116" s="12">
        <v>87</v>
      </c>
      <c r="C116" s="12" t="s">
        <v>12204</v>
      </c>
      <c r="D116" s="12">
        <v>306</v>
      </c>
      <c r="E116" s="12" t="s">
        <v>12749</v>
      </c>
      <c r="F116" s="12" t="s">
        <v>497</v>
      </c>
      <c r="G116" s="12">
        <v>2023</v>
      </c>
      <c r="H116" s="12" t="s">
        <v>498</v>
      </c>
      <c r="J116" s="12" t="s">
        <v>502</v>
      </c>
      <c r="K116" s="12" t="s">
        <v>503</v>
      </c>
      <c r="L116" s="12" t="s">
        <v>42</v>
      </c>
      <c r="M116" s="12" t="s">
        <v>12252</v>
      </c>
      <c r="N116" s="12">
        <v>1</v>
      </c>
      <c r="O116" s="12">
        <v>1</v>
      </c>
    </row>
    <row r="117" spans="1:15" s="12" customFormat="1" x14ac:dyDescent="0.25">
      <c r="A117" s="12">
        <v>116</v>
      </c>
      <c r="B117" s="11">
        <v>612</v>
      </c>
      <c r="C117" s="12" t="s">
        <v>12118</v>
      </c>
      <c r="D117" s="12">
        <v>681</v>
      </c>
      <c r="E117" s="11" t="s">
        <v>15528</v>
      </c>
      <c r="F117" s="11" t="s">
        <v>15530</v>
      </c>
      <c r="G117" s="11">
        <v>2023</v>
      </c>
      <c r="H117" s="11" t="s">
        <v>14946</v>
      </c>
      <c r="I117" s="11" t="str">
        <f>HYPERLINK("http://dx.doi.org/10.1145/3580305.3599850","http://dx.doi.org/10.1145/3580305.3599850")</f>
        <v>http://dx.doi.org/10.1145/3580305.3599850</v>
      </c>
      <c r="J117" s="11" t="s">
        <v>15532</v>
      </c>
      <c r="K117" s="11" t="s">
        <v>15531</v>
      </c>
      <c r="L117" s="11" t="s">
        <v>42</v>
      </c>
      <c r="M117" s="11" t="s">
        <v>5552</v>
      </c>
      <c r="N117" s="11">
        <v>1</v>
      </c>
      <c r="O117" s="11" t="s">
        <v>12142</v>
      </c>
    </row>
    <row r="118" spans="1:15" s="12" customFormat="1" x14ac:dyDescent="0.25">
      <c r="A118" s="12">
        <v>117</v>
      </c>
      <c r="B118" s="11">
        <v>66</v>
      </c>
      <c r="C118" s="12" t="s">
        <v>12118</v>
      </c>
      <c r="D118" s="12">
        <v>71</v>
      </c>
      <c r="E118" s="11" t="s">
        <v>2175</v>
      </c>
      <c r="F118" s="11" t="s">
        <v>2177</v>
      </c>
      <c r="G118" s="11">
        <v>2023</v>
      </c>
      <c r="H118" s="11" t="s">
        <v>2178</v>
      </c>
      <c r="I118" s="11" t="str">
        <f>HYPERLINK("http://dx.doi.org/10.1007/s10846-023-01991-3","http://dx.doi.org/10.1007/s10846-023-01991-3")</f>
        <v>http://dx.doi.org/10.1007/s10846-023-01991-3</v>
      </c>
      <c r="J118" s="11" t="s">
        <v>2180</v>
      </c>
      <c r="K118" s="11" t="s">
        <v>2179</v>
      </c>
      <c r="L118" s="11" t="s">
        <v>42</v>
      </c>
      <c r="M118" s="11" t="s">
        <v>56</v>
      </c>
      <c r="N118" s="12">
        <v>1</v>
      </c>
      <c r="O118" s="12">
        <v>1</v>
      </c>
    </row>
    <row r="119" spans="1:15" s="12" customFormat="1" x14ac:dyDescent="0.25">
      <c r="A119" s="12">
        <v>118</v>
      </c>
      <c r="B119" s="11">
        <v>290</v>
      </c>
      <c r="C119" s="12" t="s">
        <v>12118</v>
      </c>
      <c r="D119" s="12">
        <v>324</v>
      </c>
      <c r="E119" s="11" t="s">
        <v>4908</v>
      </c>
      <c r="F119" s="11" t="s">
        <v>4910</v>
      </c>
      <c r="G119" s="11">
        <v>2023</v>
      </c>
      <c r="H119" s="11" t="s">
        <v>4911</v>
      </c>
      <c r="I119" s="11" t="str">
        <f>HYPERLINK("http://dx.doi.org/10.1123/jtpe.2023-0058","http://dx.doi.org/10.1123/jtpe.2023-0058")</f>
        <v>http://dx.doi.org/10.1123/jtpe.2023-0058</v>
      </c>
      <c r="J119" s="11" t="s">
        <v>4914</v>
      </c>
      <c r="K119" s="11" t="s">
        <v>4912</v>
      </c>
      <c r="L119" s="11" t="s">
        <v>42</v>
      </c>
      <c r="M119" s="11" t="s">
        <v>56</v>
      </c>
      <c r="N119" s="11">
        <v>1</v>
      </c>
      <c r="O119" s="11">
        <v>1</v>
      </c>
    </row>
    <row r="120" spans="1:15" s="12" customFormat="1" x14ac:dyDescent="0.25">
      <c r="A120" s="12">
        <v>119</v>
      </c>
      <c r="B120" s="11">
        <v>594</v>
      </c>
      <c r="C120" s="12" t="s">
        <v>12118</v>
      </c>
      <c r="D120" s="12">
        <v>662</v>
      </c>
      <c r="E120" s="11" t="s">
        <v>3231</v>
      </c>
      <c r="F120" s="11" t="s">
        <v>3233</v>
      </c>
      <c r="G120" s="11">
        <v>2023</v>
      </c>
      <c r="H120" s="11" t="s">
        <v>1999</v>
      </c>
      <c r="I120" s="11" t="str">
        <f>HYPERLINK("http://dx.doi.org/10.1371/journal.pone.0292903","http://dx.doi.org/10.1371/journal.pone.0292903")</f>
        <v>http://dx.doi.org/10.1371/journal.pone.0292903</v>
      </c>
      <c r="J120" s="11" t="s">
        <v>3235</v>
      </c>
      <c r="K120" s="11" t="s">
        <v>1507</v>
      </c>
      <c r="L120" s="11" t="s">
        <v>42</v>
      </c>
      <c r="M120" s="11" t="s">
        <v>56</v>
      </c>
      <c r="N120" s="12">
        <v>1</v>
      </c>
      <c r="O120" s="12" t="s">
        <v>12142</v>
      </c>
    </row>
    <row r="121" spans="1:15" s="12" customFormat="1" x14ac:dyDescent="0.25">
      <c r="A121" s="12">
        <v>120</v>
      </c>
      <c r="B121" s="11">
        <v>210</v>
      </c>
      <c r="C121" s="12" t="s">
        <v>12118</v>
      </c>
      <c r="D121" s="12">
        <v>232</v>
      </c>
      <c r="E121" s="11" t="s">
        <v>2197</v>
      </c>
      <c r="F121" s="11" t="s">
        <v>2199</v>
      </c>
      <c r="G121" s="11">
        <v>2023</v>
      </c>
      <c r="H121" s="11" t="s">
        <v>2200</v>
      </c>
      <c r="I121" s="11" t="str">
        <f>HYPERLINK("http://dx.doi.org/10.3390/informatics10040089","http://dx.doi.org/10.3390/informatics10040089")</f>
        <v>http://dx.doi.org/10.3390/informatics10040089</v>
      </c>
      <c r="J121" s="11" t="s">
        <v>2203</v>
      </c>
      <c r="K121" s="11" t="s">
        <v>2201</v>
      </c>
      <c r="L121" s="11" t="s">
        <v>42</v>
      </c>
      <c r="M121" s="11" t="s">
        <v>56</v>
      </c>
      <c r="N121" s="11">
        <v>1</v>
      </c>
      <c r="O121" s="11" t="s">
        <v>12142</v>
      </c>
    </row>
    <row r="122" spans="1:15" s="12" customFormat="1" x14ac:dyDescent="0.25">
      <c r="A122" s="12">
        <v>121</v>
      </c>
      <c r="B122" s="12">
        <v>86</v>
      </c>
      <c r="C122" s="12" t="s">
        <v>12204</v>
      </c>
      <c r="D122" s="12">
        <v>304</v>
      </c>
      <c r="E122" s="12" t="s">
        <v>12462</v>
      </c>
      <c r="F122" s="12" t="s">
        <v>1238</v>
      </c>
      <c r="G122" s="12">
        <v>2023</v>
      </c>
      <c r="H122" s="12" t="s">
        <v>91</v>
      </c>
      <c r="I122" s="12" t="s">
        <v>1240</v>
      </c>
      <c r="J122" s="12" t="s">
        <v>1243</v>
      </c>
      <c r="K122" s="12" t="s">
        <v>1244</v>
      </c>
      <c r="L122" s="12" t="s">
        <v>42</v>
      </c>
      <c r="M122" s="12" t="s">
        <v>12252</v>
      </c>
      <c r="N122" s="12">
        <v>1</v>
      </c>
      <c r="O122" s="12" t="s">
        <v>12142</v>
      </c>
    </row>
    <row r="123" spans="1:15" s="12" customFormat="1" x14ac:dyDescent="0.25">
      <c r="A123" s="12">
        <v>122</v>
      </c>
      <c r="B123" s="12">
        <v>98</v>
      </c>
      <c r="C123" s="12" t="s">
        <v>12204</v>
      </c>
      <c r="D123" s="12">
        <v>344</v>
      </c>
      <c r="E123" s="12" t="s">
        <v>13546</v>
      </c>
      <c r="F123" s="12" t="s">
        <v>131</v>
      </c>
      <c r="G123" s="12">
        <v>2023</v>
      </c>
      <c r="H123" s="12" t="s">
        <v>132</v>
      </c>
      <c r="I123" s="12" t="s">
        <v>133</v>
      </c>
      <c r="J123" s="12" t="s">
        <v>136</v>
      </c>
      <c r="K123" s="12" t="s">
        <v>137</v>
      </c>
      <c r="L123" s="12" t="s">
        <v>42</v>
      </c>
      <c r="M123" s="12" t="s">
        <v>12252</v>
      </c>
      <c r="N123" s="12">
        <v>1</v>
      </c>
      <c r="O123" s="12">
        <v>1</v>
      </c>
    </row>
    <row r="124" spans="1:15" s="12" customFormat="1" x14ac:dyDescent="0.25">
      <c r="A124" s="12">
        <v>123</v>
      </c>
      <c r="B124" s="11">
        <v>212</v>
      </c>
      <c r="C124" s="12" t="s">
        <v>12118</v>
      </c>
      <c r="D124" s="12">
        <v>233</v>
      </c>
      <c r="E124" s="11" t="s">
        <v>7757</v>
      </c>
      <c r="F124" s="11" t="s">
        <v>7759</v>
      </c>
      <c r="G124" s="11">
        <v>2022</v>
      </c>
      <c r="H124" s="11" t="s">
        <v>7760</v>
      </c>
      <c r="I124" s="11" t="str">
        <f>HYPERLINK("http://dx.doi.org/10.1145/3517428.3544819","http://dx.doi.org/10.1145/3517428.3544819")</f>
        <v>http://dx.doi.org/10.1145/3517428.3544819</v>
      </c>
      <c r="J124" s="11" t="s">
        <v>7767</v>
      </c>
      <c r="K124" s="11" t="s">
        <v>7765</v>
      </c>
      <c r="L124" s="11" t="s">
        <v>42</v>
      </c>
      <c r="M124" s="11" t="s">
        <v>5552</v>
      </c>
      <c r="N124" s="12">
        <v>1</v>
      </c>
      <c r="O124" s="12" t="s">
        <v>12142</v>
      </c>
    </row>
    <row r="125" spans="1:15" s="12" customFormat="1" x14ac:dyDescent="0.25">
      <c r="A125" s="12">
        <v>124</v>
      </c>
      <c r="B125" s="11">
        <v>140</v>
      </c>
      <c r="C125" s="12" t="s">
        <v>12118</v>
      </c>
      <c r="D125" s="12">
        <v>151</v>
      </c>
      <c r="E125" s="11" t="s">
        <v>3312</v>
      </c>
      <c r="F125" s="11" t="s">
        <v>3314</v>
      </c>
      <c r="G125" s="11">
        <v>2023</v>
      </c>
      <c r="H125" s="11" t="s">
        <v>3315</v>
      </c>
      <c r="I125" s="11" t="str">
        <f>HYPERLINK("http://dx.doi.org/10.1001/jamanetworkopen.2023.36997","http://dx.doi.org/10.1001/jamanetworkopen.2023.36997")</f>
        <v>http://dx.doi.org/10.1001/jamanetworkopen.2023.36997</v>
      </c>
      <c r="J125" s="11" t="s">
        <v>3317</v>
      </c>
      <c r="K125" s="11" t="s">
        <v>1507</v>
      </c>
      <c r="L125" s="11" t="s">
        <v>42</v>
      </c>
      <c r="M125" s="11" t="s">
        <v>56</v>
      </c>
      <c r="N125" s="11">
        <v>1</v>
      </c>
      <c r="O125" s="11" t="s">
        <v>12142</v>
      </c>
    </row>
    <row r="126" spans="1:15" s="12" customFormat="1" x14ac:dyDescent="0.25">
      <c r="A126" s="12">
        <v>125</v>
      </c>
      <c r="B126" s="11">
        <v>547</v>
      </c>
      <c r="C126" s="12" t="s">
        <v>12118</v>
      </c>
      <c r="D126" s="12">
        <v>612</v>
      </c>
      <c r="E126" s="11" t="s">
        <v>10387</v>
      </c>
      <c r="F126" s="11" t="s">
        <v>10390</v>
      </c>
      <c r="G126" s="11">
        <v>2020</v>
      </c>
      <c r="H126" s="11" t="s">
        <v>10391</v>
      </c>
      <c r="I126" s="11" t="str">
        <f>HYPERLINK("http://dx.doi.org/10.3233/FAIA200603","http://dx.doi.org/10.3233/FAIA200603")</f>
        <v>http://dx.doi.org/10.3233/FAIA200603</v>
      </c>
      <c r="J126" s="11" t="s">
        <v>10399</v>
      </c>
      <c r="K126" s="11" t="s">
        <v>10398</v>
      </c>
      <c r="L126" s="11" t="s">
        <v>42</v>
      </c>
      <c r="M126" s="11" t="s">
        <v>5552</v>
      </c>
      <c r="N126" s="11">
        <v>1</v>
      </c>
      <c r="O126" s="11" t="s">
        <v>12142</v>
      </c>
    </row>
    <row r="127" spans="1:15" s="12" customFormat="1" x14ac:dyDescent="0.25">
      <c r="A127" s="12">
        <v>126</v>
      </c>
      <c r="B127" s="12">
        <v>10</v>
      </c>
      <c r="C127" s="12" t="s">
        <v>12204</v>
      </c>
      <c r="D127" s="12">
        <v>6</v>
      </c>
      <c r="E127" s="12" t="s">
        <v>12897</v>
      </c>
      <c r="F127" s="12" t="s">
        <v>382</v>
      </c>
      <c r="G127" s="12">
        <v>2023</v>
      </c>
      <c r="H127" s="12" t="s">
        <v>383</v>
      </c>
      <c r="J127" s="12" t="s">
        <v>386</v>
      </c>
      <c r="K127" s="12" t="s">
        <v>387</v>
      </c>
      <c r="L127" s="12" t="s">
        <v>42</v>
      </c>
      <c r="M127" s="12" t="s">
        <v>12252</v>
      </c>
      <c r="N127" s="12">
        <v>1</v>
      </c>
      <c r="O127" s="12">
        <v>1</v>
      </c>
    </row>
    <row r="128" spans="1:15" s="12" customFormat="1" x14ac:dyDescent="0.25">
      <c r="A128" s="12">
        <v>127</v>
      </c>
      <c r="B128" s="12">
        <v>96</v>
      </c>
      <c r="C128" s="12" t="s">
        <v>12204</v>
      </c>
      <c r="D128" s="12">
        <v>341</v>
      </c>
      <c r="E128" s="12" t="s">
        <v>12935</v>
      </c>
      <c r="F128" s="12" t="s">
        <v>767</v>
      </c>
      <c r="G128" s="12">
        <v>2023</v>
      </c>
      <c r="H128" s="12" t="s">
        <v>768</v>
      </c>
      <c r="J128" s="12" t="s">
        <v>771</v>
      </c>
      <c r="L128" s="12" t="s">
        <v>42</v>
      </c>
      <c r="M128" s="12" t="s">
        <v>12252</v>
      </c>
      <c r="N128" s="12">
        <v>1</v>
      </c>
      <c r="O128" s="12" t="s">
        <v>12142</v>
      </c>
    </row>
    <row r="129" spans="1:15" s="12" customFormat="1" x14ac:dyDescent="0.25">
      <c r="A129" s="12">
        <v>128</v>
      </c>
      <c r="B129" s="11">
        <v>472</v>
      </c>
      <c r="C129" s="12" t="s">
        <v>12118</v>
      </c>
      <c r="D129" s="12">
        <v>524</v>
      </c>
      <c r="E129" s="11" t="s">
        <v>7459</v>
      </c>
      <c r="F129" s="11" t="s">
        <v>7461</v>
      </c>
      <c r="G129" s="11">
        <v>2022</v>
      </c>
      <c r="H129" s="11" t="s">
        <v>3475</v>
      </c>
      <c r="I129" s="11" t="str">
        <f>HYPERLINK("http://dx.doi.org/10.1038/s42256-022-00458-8","http://dx.doi.org/10.1038/s42256-022-00458-8")</f>
        <v>http://dx.doi.org/10.1038/s42256-022-00458-8</v>
      </c>
      <c r="J129" s="11" t="s">
        <v>7462</v>
      </c>
      <c r="K129" s="11" t="s">
        <v>1507</v>
      </c>
      <c r="L129" s="11" t="s">
        <v>42</v>
      </c>
      <c r="M129" s="11" t="s">
        <v>56</v>
      </c>
      <c r="N129" s="11">
        <v>1</v>
      </c>
      <c r="O129" s="11" t="s">
        <v>12142</v>
      </c>
    </row>
    <row r="130" spans="1:15" s="12" customFormat="1" x14ac:dyDescent="0.25">
      <c r="A130" s="12">
        <v>129</v>
      </c>
      <c r="B130" s="12">
        <v>39</v>
      </c>
      <c r="C130" s="12" t="s">
        <v>12204</v>
      </c>
      <c r="D130" s="12">
        <v>126</v>
      </c>
      <c r="E130" s="12" t="s">
        <v>12357</v>
      </c>
      <c r="F130" s="12" t="s">
        <v>1221</v>
      </c>
      <c r="G130" s="12">
        <v>2023</v>
      </c>
      <c r="H130" s="12" t="s">
        <v>797</v>
      </c>
      <c r="I130" s="12" t="s">
        <v>1222</v>
      </c>
      <c r="J130" s="12" t="s">
        <v>1225</v>
      </c>
      <c r="K130" s="12" t="s">
        <v>1226</v>
      </c>
      <c r="L130" s="12" t="s">
        <v>42</v>
      </c>
      <c r="M130" s="12" t="s">
        <v>56</v>
      </c>
      <c r="N130" s="12">
        <v>1</v>
      </c>
      <c r="O130" s="12">
        <v>1</v>
      </c>
    </row>
    <row r="131" spans="1:15" s="12" customFormat="1" x14ac:dyDescent="0.25">
      <c r="A131" s="12">
        <v>130</v>
      </c>
      <c r="B131" s="11">
        <v>267</v>
      </c>
      <c r="C131" s="12" t="s">
        <v>12118</v>
      </c>
      <c r="D131" s="12">
        <v>296</v>
      </c>
      <c r="E131" s="11" t="s">
        <v>5987</v>
      </c>
      <c r="F131" s="11" t="s">
        <v>5989</v>
      </c>
      <c r="G131" s="11">
        <v>2023</v>
      </c>
      <c r="H131" s="11" t="s">
        <v>5990</v>
      </c>
      <c r="I131" s="11" t="str">
        <f>HYPERLINK("http://dx.doi.org/10.1145/3594536.3595170","http://dx.doi.org/10.1145/3594536.3595170")</f>
        <v>http://dx.doi.org/10.1145/3594536.3595170</v>
      </c>
      <c r="J131" s="11" t="s">
        <v>5997</v>
      </c>
      <c r="K131" s="11" t="s">
        <v>5996</v>
      </c>
      <c r="L131" s="11" t="s">
        <v>42</v>
      </c>
      <c r="M131" s="11" t="s">
        <v>5552</v>
      </c>
      <c r="N131" s="11">
        <v>1</v>
      </c>
      <c r="O131" s="11" t="s">
        <v>12142</v>
      </c>
    </row>
    <row r="132" spans="1:15" s="12" customFormat="1" x14ac:dyDescent="0.25">
      <c r="A132" s="12">
        <v>131</v>
      </c>
      <c r="B132" s="11">
        <v>24</v>
      </c>
      <c r="C132" s="12" t="s">
        <v>12118</v>
      </c>
      <c r="D132" s="12">
        <v>27</v>
      </c>
      <c r="E132" s="11" t="s">
        <v>3248</v>
      </c>
      <c r="F132" s="11" t="s">
        <v>3250</v>
      </c>
      <c r="G132" s="11">
        <v>2023</v>
      </c>
      <c r="H132" s="11" t="s">
        <v>3251</v>
      </c>
      <c r="I132" s="11" t="str">
        <f>HYPERLINK("http://dx.doi.org/10.1073/pnas.2311627120","http://dx.doi.org/10.1073/pnas.2311627120")</f>
        <v>http://dx.doi.org/10.1073/pnas.2311627120</v>
      </c>
      <c r="J132" s="11" t="s">
        <v>3254</v>
      </c>
      <c r="K132" s="11" t="s">
        <v>3252</v>
      </c>
      <c r="L132" s="11" t="s">
        <v>42</v>
      </c>
      <c r="M132" s="11" t="s">
        <v>56</v>
      </c>
      <c r="N132" s="11">
        <v>1</v>
      </c>
      <c r="O132" s="11" t="s">
        <v>12142</v>
      </c>
    </row>
    <row r="133" spans="1:15" s="12" customFormat="1" x14ac:dyDescent="0.25">
      <c r="A133" s="12">
        <v>132</v>
      </c>
      <c r="B133" s="12">
        <v>67</v>
      </c>
      <c r="C133" s="12" t="s">
        <v>12204</v>
      </c>
      <c r="D133" s="12">
        <v>240</v>
      </c>
      <c r="E133" s="12" t="s">
        <v>13701</v>
      </c>
      <c r="F133" s="12" t="s">
        <v>293</v>
      </c>
      <c r="G133" s="12">
        <v>2023</v>
      </c>
      <c r="H133" s="12" t="s">
        <v>294</v>
      </c>
      <c r="I133" s="12" t="s">
        <v>295</v>
      </c>
      <c r="J133" s="12" t="s">
        <v>297</v>
      </c>
      <c r="K133" s="12" t="s">
        <v>298</v>
      </c>
      <c r="L133" s="12" t="s">
        <v>42</v>
      </c>
      <c r="M133" s="12" t="s">
        <v>56</v>
      </c>
      <c r="N133" s="12">
        <v>1</v>
      </c>
      <c r="O133" s="12">
        <v>1</v>
      </c>
    </row>
    <row r="134" spans="1:15" s="12" customFormat="1" x14ac:dyDescent="0.25">
      <c r="A134" s="12">
        <v>133</v>
      </c>
      <c r="B134" s="11">
        <v>571</v>
      </c>
      <c r="C134" s="12" t="s">
        <v>12118</v>
      </c>
      <c r="D134" s="12">
        <v>640</v>
      </c>
      <c r="E134" s="11" t="s">
        <v>5222</v>
      </c>
      <c r="F134" s="11" t="s">
        <v>5224</v>
      </c>
      <c r="G134" s="11">
        <v>2023</v>
      </c>
      <c r="H134" s="11" t="s">
        <v>2811</v>
      </c>
      <c r="I134" s="11" t="str">
        <f>HYPERLINK("http://dx.doi.org/10.1111/cogs.13254","http://dx.doi.org/10.1111/cogs.13254")</f>
        <v>http://dx.doi.org/10.1111/cogs.13254</v>
      </c>
      <c r="J134" s="11" t="s">
        <v>5227</v>
      </c>
      <c r="K134" s="11" t="s">
        <v>5225</v>
      </c>
      <c r="L134" s="11" t="s">
        <v>42</v>
      </c>
      <c r="M134" s="11" t="s">
        <v>56</v>
      </c>
      <c r="N134" s="11">
        <v>1</v>
      </c>
      <c r="O134" s="11" t="s">
        <v>12142</v>
      </c>
    </row>
    <row r="135" spans="1:15" s="12" customFormat="1" x14ac:dyDescent="0.25">
      <c r="A135" s="12">
        <v>134</v>
      </c>
      <c r="B135" s="11">
        <v>98</v>
      </c>
      <c r="C135" s="12" t="s">
        <v>12118</v>
      </c>
      <c r="D135" s="12">
        <v>99</v>
      </c>
      <c r="E135" s="11" t="s">
        <v>9156</v>
      </c>
      <c r="F135" s="11" t="s">
        <v>9158</v>
      </c>
      <c r="G135" s="11">
        <v>2021</v>
      </c>
      <c r="H135" s="11" t="s">
        <v>1625</v>
      </c>
      <c r="I135" s="11" t="str">
        <f>HYPERLINK("http://dx.doi.org/10.1109/ACCESS.2021.3100299","http://dx.doi.org/10.1109/ACCESS.2021.3100299")</f>
        <v>http://dx.doi.org/10.1109/ACCESS.2021.3100299</v>
      </c>
      <c r="J135" s="11" t="s">
        <v>9160</v>
      </c>
      <c r="K135" s="11" t="s">
        <v>9159</v>
      </c>
      <c r="L135" s="11" t="s">
        <v>42</v>
      </c>
      <c r="M135" s="11" t="s">
        <v>56</v>
      </c>
      <c r="N135" s="11">
        <v>1</v>
      </c>
      <c r="O135" s="11" t="s">
        <v>12142</v>
      </c>
    </row>
    <row r="136" spans="1:15" s="12" customFormat="1" x14ac:dyDescent="0.25">
      <c r="A136" s="12">
        <v>135</v>
      </c>
      <c r="B136" s="11">
        <v>602</v>
      </c>
      <c r="C136" s="12" t="s">
        <v>12118</v>
      </c>
      <c r="D136" s="12">
        <v>673</v>
      </c>
      <c r="E136" s="11" t="s">
        <v>6615</v>
      </c>
      <c r="F136" s="11" t="s">
        <v>6618</v>
      </c>
      <c r="G136" s="11">
        <v>2023</v>
      </c>
      <c r="H136" s="11" t="s">
        <v>6619</v>
      </c>
      <c r="I136" s="11" t="str">
        <f>HYPERLINK("http://dx.doi.org/10.1145/3611643.3616350","http://dx.doi.org/10.1145/3611643.3616350")</f>
        <v>http://dx.doi.org/10.1145/3611643.3616350</v>
      </c>
      <c r="J136" s="11" t="s">
        <v>6625</v>
      </c>
      <c r="K136" s="11" t="s">
        <v>6624</v>
      </c>
      <c r="L136" s="11" t="s">
        <v>42</v>
      </c>
      <c r="M136" s="11" t="s">
        <v>5552</v>
      </c>
      <c r="N136" s="11">
        <v>1</v>
      </c>
      <c r="O136" s="11" t="s">
        <v>12142</v>
      </c>
    </row>
    <row r="137" spans="1:15" s="12" customFormat="1" x14ac:dyDescent="0.25">
      <c r="A137" s="12">
        <v>136</v>
      </c>
      <c r="B137" s="12">
        <v>19</v>
      </c>
      <c r="C137" s="12" t="s">
        <v>12204</v>
      </c>
      <c r="D137" s="12">
        <v>43</v>
      </c>
      <c r="E137" s="12" t="s">
        <v>13627</v>
      </c>
      <c r="F137" s="12" t="s">
        <v>104</v>
      </c>
      <c r="G137" s="12">
        <v>2023</v>
      </c>
      <c r="H137" s="12" t="s">
        <v>105</v>
      </c>
      <c r="I137" s="12" t="s">
        <v>106</v>
      </c>
      <c r="J137" s="12" t="s">
        <v>108</v>
      </c>
      <c r="K137" s="12" t="s">
        <v>109</v>
      </c>
      <c r="L137" s="12" t="s">
        <v>42</v>
      </c>
      <c r="M137" s="12" t="s">
        <v>56</v>
      </c>
      <c r="N137" s="12">
        <v>1</v>
      </c>
      <c r="O137" s="12">
        <v>1</v>
      </c>
    </row>
    <row r="138" spans="1:15" s="12" customFormat="1" x14ac:dyDescent="0.25">
      <c r="A138" s="12">
        <v>137</v>
      </c>
      <c r="B138" s="11">
        <v>448</v>
      </c>
      <c r="C138" s="12" t="s">
        <v>12118</v>
      </c>
      <c r="D138" s="12">
        <v>501</v>
      </c>
      <c r="E138" s="11" t="s">
        <v>3168</v>
      </c>
      <c r="F138" s="11" t="s">
        <v>3170</v>
      </c>
      <c r="G138" s="11">
        <v>2023</v>
      </c>
      <c r="H138" s="11" t="s">
        <v>3171</v>
      </c>
      <c r="I138" s="11" t="str">
        <f>HYPERLINK("http://dx.doi.org/10.1177/00905917231200826","http://dx.doi.org/10.1177/00905917231200826")</f>
        <v>http://dx.doi.org/10.1177/00905917231200826</v>
      </c>
      <c r="J138" s="11" t="s">
        <v>3174</v>
      </c>
      <c r="K138" s="11" t="s">
        <v>3172</v>
      </c>
      <c r="L138" s="11" t="s">
        <v>42</v>
      </c>
      <c r="M138" s="11" t="s">
        <v>1509</v>
      </c>
      <c r="N138" s="12">
        <v>1</v>
      </c>
      <c r="O138" s="12" t="s">
        <v>12142</v>
      </c>
    </row>
    <row r="139" spans="1:15" s="12" customFormat="1" x14ac:dyDescent="0.25">
      <c r="A139" s="12">
        <v>138</v>
      </c>
      <c r="B139" s="11">
        <v>498</v>
      </c>
      <c r="C139" s="12" t="s">
        <v>12118</v>
      </c>
      <c r="D139" s="12">
        <v>552</v>
      </c>
      <c r="E139" s="11" t="s">
        <v>6363</v>
      </c>
      <c r="F139" s="11" t="s">
        <v>6366</v>
      </c>
      <c r="G139" s="11">
        <v>2023</v>
      </c>
      <c r="H139" s="11" t="s">
        <v>6367</v>
      </c>
      <c r="I139" s="11" t="str">
        <f>HYPERLINK("http://dx.doi.org/10.1007/978-3-031-42608-7_16","http://dx.doi.org/10.1007/978-3-031-42608-7_16")</f>
        <v>http://dx.doi.org/10.1007/978-3-031-42608-7_16</v>
      </c>
      <c r="J139" s="11" t="s">
        <v>6373</v>
      </c>
      <c r="K139" s="11" t="s">
        <v>1253</v>
      </c>
      <c r="L139" s="11" t="s">
        <v>42</v>
      </c>
      <c r="M139" s="11" t="s">
        <v>5552</v>
      </c>
      <c r="N139" s="11">
        <v>1</v>
      </c>
      <c r="O139" s="11">
        <v>1</v>
      </c>
    </row>
    <row r="140" spans="1:15" s="12" customFormat="1" x14ac:dyDescent="0.25">
      <c r="A140" s="12">
        <v>139</v>
      </c>
      <c r="B140" s="12">
        <v>78</v>
      </c>
      <c r="C140" s="12" t="s">
        <v>12204</v>
      </c>
      <c r="D140" s="12">
        <v>286</v>
      </c>
      <c r="E140" s="12" t="s">
        <v>13615</v>
      </c>
      <c r="F140" s="12" t="s">
        <v>553</v>
      </c>
      <c r="G140" s="12">
        <v>2023</v>
      </c>
      <c r="H140" s="12" t="s">
        <v>124</v>
      </c>
      <c r="I140" s="12" t="s">
        <v>554</v>
      </c>
      <c r="J140" s="12" t="s">
        <v>557</v>
      </c>
      <c r="L140" s="12" t="s">
        <v>42</v>
      </c>
      <c r="M140" s="12" t="s">
        <v>56</v>
      </c>
      <c r="N140" s="12">
        <v>1</v>
      </c>
      <c r="O140" s="12">
        <v>1</v>
      </c>
    </row>
    <row r="141" spans="1:15" s="12" customFormat="1" x14ac:dyDescent="0.25">
      <c r="A141" s="12">
        <v>140</v>
      </c>
      <c r="B141" s="12">
        <v>57</v>
      </c>
      <c r="C141" s="12" t="s">
        <v>12204</v>
      </c>
      <c r="D141" s="12">
        <v>204</v>
      </c>
      <c r="E141" s="12" t="s">
        <v>12683</v>
      </c>
      <c r="F141" s="12" t="s">
        <v>1298</v>
      </c>
      <c r="G141" s="12">
        <v>2023</v>
      </c>
      <c r="H141" s="12" t="s">
        <v>1299</v>
      </c>
      <c r="I141" s="12" t="s">
        <v>1301</v>
      </c>
      <c r="J141" s="12" t="s">
        <v>1304</v>
      </c>
      <c r="K141" s="12" t="s">
        <v>1305</v>
      </c>
      <c r="L141" s="12" t="s">
        <v>42</v>
      </c>
      <c r="M141" s="12" t="s">
        <v>56</v>
      </c>
      <c r="N141" s="12">
        <v>1</v>
      </c>
      <c r="O141" s="12" t="s">
        <v>12142</v>
      </c>
    </row>
    <row r="142" spans="1:15" s="12" customFormat="1" x14ac:dyDescent="0.25">
      <c r="A142" s="12">
        <v>141</v>
      </c>
      <c r="B142" s="12">
        <v>65</v>
      </c>
      <c r="C142" s="12" t="s">
        <v>12204</v>
      </c>
      <c r="D142" s="12">
        <v>230</v>
      </c>
      <c r="E142" s="13" t="s">
        <v>763</v>
      </c>
      <c r="F142" s="13" t="s">
        <v>764</v>
      </c>
      <c r="G142" s="13">
        <v>2024</v>
      </c>
      <c r="H142" s="13" t="s">
        <v>44</v>
      </c>
      <c r="I142" s="13" t="s">
        <v>765</v>
      </c>
      <c r="J142" s="13" t="s">
        <v>766</v>
      </c>
      <c r="K142" s="13"/>
      <c r="L142" s="12" t="s">
        <v>42</v>
      </c>
      <c r="M142" s="12" t="s">
        <v>56</v>
      </c>
      <c r="N142" s="12">
        <v>1</v>
      </c>
      <c r="O142" s="12">
        <v>1</v>
      </c>
    </row>
    <row r="143" spans="1:15" s="12" customFormat="1" x14ac:dyDescent="0.25">
      <c r="A143" s="12">
        <v>142</v>
      </c>
      <c r="B143" s="11">
        <v>492</v>
      </c>
      <c r="C143" s="12" t="s">
        <v>12118</v>
      </c>
      <c r="D143" s="12">
        <v>545</v>
      </c>
      <c r="E143" s="11" t="s">
        <v>4771</v>
      </c>
      <c r="F143" s="11" t="s">
        <v>522</v>
      </c>
      <c r="G143" s="11">
        <v>2023</v>
      </c>
      <c r="H143" s="11" t="s">
        <v>4773</v>
      </c>
      <c r="I143" s="11" t="str">
        <f>HYPERLINK("http://dx.doi.org/10.1215/00029831-10575035","http://dx.doi.org/10.1215/00029831-10575035")</f>
        <v>http://dx.doi.org/10.1215/00029831-10575035</v>
      </c>
      <c r="J143" s="11" t="s">
        <v>4775</v>
      </c>
      <c r="K143" s="11" t="s">
        <v>4774</v>
      </c>
      <c r="L143" s="11" t="s">
        <v>42</v>
      </c>
      <c r="M143" s="11" t="s">
        <v>56</v>
      </c>
      <c r="N143" s="12">
        <v>1</v>
      </c>
      <c r="O143" s="12">
        <v>1</v>
      </c>
    </row>
    <row r="144" spans="1:15" s="12" customFormat="1" x14ac:dyDescent="0.25">
      <c r="A144" s="12">
        <v>143</v>
      </c>
      <c r="B144" s="12">
        <v>43</v>
      </c>
      <c r="C144" s="12" t="s">
        <v>12204</v>
      </c>
      <c r="D144" s="12">
        <v>143</v>
      </c>
      <c r="E144" s="13" t="s">
        <v>285</v>
      </c>
      <c r="F144" s="13" t="s">
        <v>286</v>
      </c>
      <c r="G144" s="13">
        <v>2024</v>
      </c>
      <c r="H144" s="13" t="s">
        <v>287</v>
      </c>
      <c r="I144" s="13" t="s">
        <v>288</v>
      </c>
      <c r="J144" s="13" t="s">
        <v>289</v>
      </c>
      <c r="K144" s="13" t="s">
        <v>290</v>
      </c>
      <c r="L144" s="12" t="s">
        <v>42</v>
      </c>
      <c r="M144" s="12" t="s">
        <v>56</v>
      </c>
      <c r="N144" s="12">
        <v>1</v>
      </c>
      <c r="O144" s="12">
        <v>1</v>
      </c>
    </row>
    <row r="145" spans="1:68" s="12" customFormat="1" x14ac:dyDescent="0.25">
      <c r="A145" s="12">
        <v>144</v>
      </c>
      <c r="B145" s="12">
        <v>48</v>
      </c>
      <c r="C145" s="12" t="s">
        <v>12204</v>
      </c>
      <c r="D145" s="12">
        <v>173</v>
      </c>
      <c r="E145" s="12" t="s">
        <v>12399</v>
      </c>
      <c r="F145" s="12" t="s">
        <v>1319</v>
      </c>
      <c r="G145" s="12">
        <v>2023</v>
      </c>
      <c r="H145" s="12" t="s">
        <v>797</v>
      </c>
      <c r="I145" s="12" t="s">
        <v>1320</v>
      </c>
      <c r="J145" s="12" t="s">
        <v>1323</v>
      </c>
      <c r="K145" s="12" t="s">
        <v>1324</v>
      </c>
      <c r="L145" s="12" t="s">
        <v>42</v>
      </c>
      <c r="M145" s="12" t="s">
        <v>56</v>
      </c>
      <c r="N145" s="12">
        <v>1</v>
      </c>
      <c r="O145" s="12">
        <v>1</v>
      </c>
    </row>
    <row r="146" spans="1:68" s="12" customFormat="1" x14ac:dyDescent="0.25">
      <c r="A146" s="12">
        <v>145</v>
      </c>
      <c r="B146" s="11">
        <v>174</v>
      </c>
      <c r="C146" s="12" t="s">
        <v>12118</v>
      </c>
      <c r="D146" s="12">
        <v>189</v>
      </c>
      <c r="E146" s="11" t="s">
        <v>14961</v>
      </c>
      <c r="F146" s="11" t="s">
        <v>14964</v>
      </c>
      <c r="G146" s="11">
        <v>2023</v>
      </c>
      <c r="H146" s="11" t="s">
        <v>14965</v>
      </c>
      <c r="I146" s="11" t="str">
        <f>HYPERLINK("http://dx.doi.org/10.1007/978-981-99-8385-8_14","http://dx.doi.org/10.1007/978-981-99-8385-8_14")</f>
        <v>http://dx.doi.org/10.1007/978-981-99-8385-8_14</v>
      </c>
      <c r="J146" s="11" t="s">
        <v>14971</v>
      </c>
      <c r="K146" s="11" t="s">
        <v>14970</v>
      </c>
      <c r="L146" s="11" t="s">
        <v>42</v>
      </c>
      <c r="M146" s="11" t="s">
        <v>5552</v>
      </c>
      <c r="N146" s="11">
        <v>1</v>
      </c>
      <c r="O146" s="11">
        <v>1</v>
      </c>
    </row>
    <row r="147" spans="1:68" s="12" customFormat="1" x14ac:dyDescent="0.25">
      <c r="A147" s="12">
        <v>146</v>
      </c>
      <c r="B147" s="12">
        <v>110</v>
      </c>
      <c r="C147" s="12" t="s">
        <v>12204</v>
      </c>
      <c r="D147" s="12">
        <v>383</v>
      </c>
      <c r="E147" s="12" t="s">
        <v>12725</v>
      </c>
      <c r="F147" s="12" t="s">
        <v>806</v>
      </c>
      <c r="G147" s="12">
        <v>2023</v>
      </c>
      <c r="H147" s="12" t="s">
        <v>807</v>
      </c>
      <c r="I147" s="12" t="s">
        <v>809</v>
      </c>
      <c r="J147" s="12" t="s">
        <v>812</v>
      </c>
      <c r="K147" s="12" t="s">
        <v>813</v>
      </c>
      <c r="L147" s="12" t="s">
        <v>42</v>
      </c>
      <c r="M147" s="12" t="s">
        <v>12252</v>
      </c>
      <c r="N147" s="12">
        <v>1</v>
      </c>
      <c r="O147" s="12" t="s">
        <v>12142</v>
      </c>
    </row>
    <row r="148" spans="1:68" s="12" customFormat="1" x14ac:dyDescent="0.25">
      <c r="A148" s="12">
        <v>147</v>
      </c>
      <c r="B148" s="12">
        <v>139</v>
      </c>
      <c r="C148" s="12" t="s">
        <v>12204</v>
      </c>
      <c r="D148" s="12">
        <v>496</v>
      </c>
      <c r="E148" s="12" t="s">
        <v>13525</v>
      </c>
      <c r="F148" s="12" t="s">
        <v>590</v>
      </c>
      <c r="G148" s="12">
        <v>2023</v>
      </c>
      <c r="H148" s="12" t="s">
        <v>591</v>
      </c>
      <c r="I148" s="12" t="s">
        <v>592</v>
      </c>
      <c r="J148" s="12" t="s">
        <v>595</v>
      </c>
      <c r="K148" s="12" t="s">
        <v>596</v>
      </c>
      <c r="L148" s="12" t="s">
        <v>42</v>
      </c>
      <c r="M148" s="12" t="s">
        <v>12252</v>
      </c>
      <c r="N148" s="12">
        <v>1</v>
      </c>
      <c r="O148" s="12">
        <v>1</v>
      </c>
    </row>
    <row r="149" spans="1:68" s="12" customFormat="1" x14ac:dyDescent="0.25">
      <c r="A149" s="12">
        <v>148</v>
      </c>
      <c r="B149" s="12">
        <v>155</v>
      </c>
      <c r="C149" s="12" t="s">
        <v>12204</v>
      </c>
      <c r="D149" s="12">
        <v>578</v>
      </c>
      <c r="E149" s="12" t="s">
        <v>12768</v>
      </c>
      <c r="F149" s="12" t="s">
        <v>81</v>
      </c>
      <c r="G149" s="12">
        <v>2023</v>
      </c>
      <c r="H149" s="12" t="s">
        <v>82</v>
      </c>
      <c r="I149" s="12" t="s">
        <v>83</v>
      </c>
      <c r="J149" s="12" t="s">
        <v>86</v>
      </c>
      <c r="L149" s="12" t="s">
        <v>42</v>
      </c>
      <c r="M149" s="12" t="s">
        <v>12252</v>
      </c>
      <c r="N149" s="12">
        <v>1</v>
      </c>
      <c r="O149" s="12">
        <v>1</v>
      </c>
    </row>
    <row r="150" spans="1:68" s="12" customFormat="1" x14ac:dyDescent="0.25">
      <c r="A150" s="12">
        <v>149</v>
      </c>
      <c r="B150" s="12">
        <v>177</v>
      </c>
      <c r="C150" s="12" t="s">
        <v>12204</v>
      </c>
      <c r="D150" s="12">
        <v>693</v>
      </c>
      <c r="E150" s="12" t="s">
        <v>12835</v>
      </c>
      <c r="F150" s="12" t="s">
        <v>141</v>
      </c>
      <c r="G150" s="12">
        <v>2023</v>
      </c>
      <c r="H150" s="12" t="s">
        <v>142</v>
      </c>
      <c r="I150" s="12" t="s">
        <v>143</v>
      </c>
      <c r="J150" s="12" t="s">
        <v>146</v>
      </c>
      <c r="K150" s="12" t="s">
        <v>147</v>
      </c>
      <c r="L150" s="12" t="s">
        <v>42</v>
      </c>
      <c r="M150" s="12" t="s">
        <v>12252</v>
      </c>
      <c r="N150" s="12">
        <v>1</v>
      </c>
      <c r="O150" s="12" t="s">
        <v>12142</v>
      </c>
    </row>
    <row r="151" spans="1:68" s="12" customFormat="1" x14ac:dyDescent="0.25">
      <c r="A151" s="12">
        <v>150</v>
      </c>
      <c r="B151" s="12">
        <v>34</v>
      </c>
      <c r="C151" s="12" t="s">
        <v>12204</v>
      </c>
      <c r="D151" s="12">
        <v>107</v>
      </c>
      <c r="E151" s="12" t="s">
        <v>12244</v>
      </c>
      <c r="F151" s="12" t="s">
        <v>839</v>
      </c>
      <c r="G151" s="12">
        <v>2019</v>
      </c>
      <c r="H151" s="12" t="s">
        <v>840</v>
      </c>
      <c r="J151" s="12" t="s">
        <v>844</v>
      </c>
      <c r="K151" s="12" t="s">
        <v>845</v>
      </c>
      <c r="L151" s="12" t="s">
        <v>42</v>
      </c>
      <c r="M151" s="12" t="s">
        <v>56</v>
      </c>
      <c r="N151" s="12">
        <v>1</v>
      </c>
      <c r="O151" s="12" t="s">
        <v>12142</v>
      </c>
    </row>
    <row r="152" spans="1:68" s="12" customFormat="1" x14ac:dyDescent="0.25">
      <c r="A152" s="12">
        <v>151</v>
      </c>
      <c r="B152" s="12">
        <v>111</v>
      </c>
      <c r="C152" s="12" t="s">
        <v>12204</v>
      </c>
      <c r="D152" s="12">
        <v>389</v>
      </c>
      <c r="E152" s="12" t="s">
        <v>12530</v>
      </c>
      <c r="F152" s="12" t="s">
        <v>1025</v>
      </c>
      <c r="G152" s="12">
        <v>2023</v>
      </c>
      <c r="H152" s="12" t="s">
        <v>1026</v>
      </c>
      <c r="I152" s="12" t="s">
        <v>1027</v>
      </c>
      <c r="J152" s="12" t="s">
        <v>12527</v>
      </c>
      <c r="K152" s="12" t="s">
        <v>1030</v>
      </c>
      <c r="L152" s="12" t="s">
        <v>42</v>
      </c>
      <c r="M152" s="12" t="s">
        <v>12252</v>
      </c>
      <c r="N152" s="12">
        <v>1</v>
      </c>
      <c r="O152" s="12" t="s">
        <v>12142</v>
      </c>
    </row>
    <row r="153" spans="1:68" s="12" customFormat="1" x14ac:dyDescent="0.25">
      <c r="A153" s="12">
        <v>152</v>
      </c>
      <c r="B153" s="12">
        <v>168</v>
      </c>
      <c r="C153" s="12" t="s">
        <v>12204</v>
      </c>
      <c r="D153" s="12">
        <v>620</v>
      </c>
      <c r="E153" s="12" t="s">
        <v>12615</v>
      </c>
      <c r="F153" s="12" t="s">
        <v>1084</v>
      </c>
      <c r="G153" s="12">
        <v>2023</v>
      </c>
      <c r="H153" s="12" t="s">
        <v>1085</v>
      </c>
      <c r="J153" s="12" t="s">
        <v>1088</v>
      </c>
      <c r="L153" s="12" t="s">
        <v>42</v>
      </c>
      <c r="M153" s="12" t="s">
        <v>12252</v>
      </c>
      <c r="N153" s="12">
        <v>1</v>
      </c>
      <c r="O153" s="12">
        <v>1</v>
      </c>
    </row>
    <row r="154" spans="1:68" s="12" customFormat="1" x14ac:dyDescent="0.25">
      <c r="A154" s="12">
        <v>153</v>
      </c>
      <c r="B154" s="11">
        <v>161</v>
      </c>
      <c r="C154" s="12" t="s">
        <v>12118</v>
      </c>
      <c r="D154" s="12">
        <v>171</v>
      </c>
      <c r="E154" s="11" t="s">
        <v>5289</v>
      </c>
      <c r="F154" s="11" t="s">
        <v>14801</v>
      </c>
      <c r="G154" s="11">
        <v>2023</v>
      </c>
      <c r="H154" s="11" t="s">
        <v>5291</v>
      </c>
      <c r="I154" s="11" t="str">
        <f>HYPERLINK("http://dx.doi.org/10.1016/j.ijinfomgt.2023.102642","http://dx.doi.org/10.1016/j.ijinfomgt.2023.102642")</f>
        <v>http://dx.doi.org/10.1016/j.ijinfomgt.2023.102642</v>
      </c>
      <c r="J154" s="11" t="s">
        <v>5294</v>
      </c>
      <c r="K154" s="11" t="s">
        <v>5292</v>
      </c>
      <c r="L154" s="11" t="s">
        <v>42</v>
      </c>
      <c r="M154" s="11" t="s">
        <v>56</v>
      </c>
      <c r="N154" s="11">
        <v>1</v>
      </c>
      <c r="O154" s="11">
        <v>1</v>
      </c>
    </row>
    <row r="155" spans="1:68" s="12" customFormat="1" x14ac:dyDescent="0.25">
      <c r="A155" s="12">
        <v>154</v>
      </c>
      <c r="B155" s="12">
        <v>106</v>
      </c>
      <c r="C155" s="12" t="s">
        <v>12204</v>
      </c>
      <c r="D155" s="12">
        <v>366</v>
      </c>
      <c r="E155" s="12" t="s">
        <v>12327</v>
      </c>
      <c r="F155" s="12" t="s">
        <v>1035</v>
      </c>
      <c r="G155" s="12">
        <v>2022</v>
      </c>
      <c r="H155" s="12" t="s">
        <v>1036</v>
      </c>
      <c r="J155" s="12" t="s">
        <v>1039</v>
      </c>
      <c r="L155" s="12" t="s">
        <v>42</v>
      </c>
      <c r="M155" s="12" t="s">
        <v>12252</v>
      </c>
      <c r="N155" s="12">
        <v>1</v>
      </c>
      <c r="O155" s="12">
        <v>1</v>
      </c>
    </row>
    <row r="156" spans="1:68" s="12" customFormat="1" x14ac:dyDescent="0.25">
      <c r="A156" s="12">
        <v>155</v>
      </c>
      <c r="B156" s="12">
        <v>22</v>
      </c>
      <c r="C156" s="12" t="s">
        <v>12204</v>
      </c>
      <c r="D156" s="12">
        <v>52</v>
      </c>
      <c r="E156" s="12" t="s">
        <v>12535</v>
      </c>
      <c r="F156" s="12" t="s">
        <v>1048</v>
      </c>
      <c r="G156" s="12">
        <v>2023</v>
      </c>
      <c r="H156" s="12" t="s">
        <v>252</v>
      </c>
      <c r="I156" s="12" t="s">
        <v>1049</v>
      </c>
      <c r="J156" s="12" t="s">
        <v>1052</v>
      </c>
      <c r="K156" s="12" t="s">
        <v>1053</v>
      </c>
      <c r="L156" s="12" t="s">
        <v>42</v>
      </c>
      <c r="M156" s="12" t="s">
        <v>56</v>
      </c>
      <c r="N156" s="12">
        <v>1</v>
      </c>
      <c r="O156" s="12">
        <v>1</v>
      </c>
      <c r="BA156" s="12" t="s">
        <v>311</v>
      </c>
      <c r="BF156" s="12" t="s">
        <v>312</v>
      </c>
      <c r="BJ156" s="12" t="s">
        <v>42</v>
      </c>
      <c r="BK156" s="12" t="s">
        <v>313</v>
      </c>
      <c r="BL156" s="12" t="s">
        <v>56</v>
      </c>
      <c r="BM156" s="12" t="s">
        <v>45</v>
      </c>
      <c r="BN156" s="12" t="s">
        <v>12349</v>
      </c>
      <c r="BO156" s="12" t="s">
        <v>46</v>
      </c>
      <c r="BP156" s="12" t="s">
        <v>333</v>
      </c>
    </row>
    <row r="157" spans="1:68" s="12" customFormat="1" x14ac:dyDescent="0.25">
      <c r="A157" s="12">
        <v>156</v>
      </c>
      <c r="B157" s="11">
        <v>281</v>
      </c>
      <c r="C157" s="12" t="s">
        <v>12118</v>
      </c>
      <c r="D157" s="12">
        <v>313</v>
      </c>
      <c r="E157" s="11" t="s">
        <v>6051</v>
      </c>
      <c r="F157" s="11" t="s">
        <v>6053</v>
      </c>
      <c r="G157" s="11">
        <v>2023</v>
      </c>
      <c r="H157" s="11" t="s">
        <v>6054</v>
      </c>
      <c r="I157" s="11" t="str">
        <f>HYPERLINK("http://dx.doi.org/10.1145/3544548.3580919","http://dx.doi.org/10.1145/3544548.3580919")</f>
        <v>http://dx.doi.org/10.1145/3544548.3580919</v>
      </c>
      <c r="J157" s="11" t="s">
        <v>6061</v>
      </c>
      <c r="K157" s="11" t="s">
        <v>6059</v>
      </c>
      <c r="L157" s="11" t="s">
        <v>42</v>
      </c>
      <c r="M157" s="11" t="s">
        <v>5552</v>
      </c>
      <c r="N157" s="11">
        <v>1</v>
      </c>
      <c r="O157" s="11">
        <v>1</v>
      </c>
    </row>
    <row r="158" spans="1:68" s="12" customFormat="1" x14ac:dyDescent="0.25">
      <c r="A158" s="12">
        <v>157</v>
      </c>
      <c r="B158" s="12">
        <v>171</v>
      </c>
      <c r="C158" s="12" t="s">
        <v>12204</v>
      </c>
      <c r="D158" s="12">
        <v>636</v>
      </c>
      <c r="E158" s="12" t="s">
        <v>12557</v>
      </c>
      <c r="F158" s="12" t="s">
        <v>1142</v>
      </c>
      <c r="G158" s="12">
        <v>2023</v>
      </c>
      <c r="H158" s="12" t="s">
        <v>1143</v>
      </c>
      <c r="I158" s="12" t="s">
        <v>1144</v>
      </c>
      <c r="J158" s="12" t="s">
        <v>1147</v>
      </c>
      <c r="K158" s="12" t="s">
        <v>1148</v>
      </c>
      <c r="L158" s="12" t="s">
        <v>42</v>
      </c>
      <c r="M158" s="12" t="s">
        <v>56</v>
      </c>
      <c r="N158" s="12">
        <v>1</v>
      </c>
      <c r="O158" s="12">
        <v>1</v>
      </c>
    </row>
    <row r="159" spans="1:68" s="12" customFormat="1" x14ac:dyDescent="0.25">
      <c r="A159" s="12">
        <v>158</v>
      </c>
      <c r="B159" s="12">
        <v>100</v>
      </c>
      <c r="C159" s="12" t="s">
        <v>12204</v>
      </c>
      <c r="D159" s="12">
        <v>349</v>
      </c>
      <c r="E159" s="12" t="s">
        <v>13325</v>
      </c>
      <c r="F159" s="12" t="s">
        <v>685</v>
      </c>
      <c r="G159" s="12">
        <v>2023</v>
      </c>
      <c r="H159" s="12" t="s">
        <v>686</v>
      </c>
      <c r="I159" s="12" t="s">
        <v>687</v>
      </c>
      <c r="J159" s="12" t="s">
        <v>13322</v>
      </c>
      <c r="L159" s="12" t="s">
        <v>42</v>
      </c>
      <c r="M159" s="12" t="s">
        <v>56</v>
      </c>
      <c r="N159" s="12">
        <v>1</v>
      </c>
      <c r="O159" s="12" t="s">
        <v>12142</v>
      </c>
    </row>
    <row r="160" spans="1:68" s="12" customFormat="1" x14ac:dyDescent="0.25">
      <c r="A160" s="12">
        <v>159</v>
      </c>
      <c r="B160" s="11">
        <v>564</v>
      </c>
      <c r="C160" s="12" t="s">
        <v>12118</v>
      </c>
      <c r="D160" s="12">
        <v>631</v>
      </c>
      <c r="E160" s="11" t="s">
        <v>1713</v>
      </c>
      <c r="F160" s="11" t="s">
        <v>1715</v>
      </c>
      <c r="G160" s="11">
        <v>2023</v>
      </c>
      <c r="H160" s="11" t="s">
        <v>1716</v>
      </c>
      <c r="I160" s="11" t="str">
        <f>HYPERLINK("http://dx.doi.org/10.1007/s40979-023-00146-z","http://dx.doi.org/10.1007/s40979-023-00146-z")</f>
        <v>http://dx.doi.org/10.1007/s40979-023-00146-z</v>
      </c>
      <c r="J160" s="11" t="s">
        <v>1718</v>
      </c>
      <c r="K160" s="11" t="s">
        <v>1717</v>
      </c>
      <c r="L160" s="11" t="s">
        <v>42</v>
      </c>
      <c r="M160" s="11" t="s">
        <v>56</v>
      </c>
      <c r="N160" s="11">
        <v>1</v>
      </c>
      <c r="O160" s="11" t="s">
        <v>12142</v>
      </c>
    </row>
    <row r="161" spans="1:15" s="12" customFormat="1" x14ac:dyDescent="0.25">
      <c r="A161" s="12">
        <v>160</v>
      </c>
      <c r="B161" s="12">
        <v>36</v>
      </c>
      <c r="C161" s="12" t="s">
        <v>12204</v>
      </c>
      <c r="D161" s="12">
        <v>116</v>
      </c>
      <c r="E161" s="12" t="s">
        <v>13494</v>
      </c>
      <c r="F161" s="12" t="s">
        <v>714</v>
      </c>
      <c r="G161" s="12">
        <v>2023</v>
      </c>
      <c r="H161" s="12" t="s">
        <v>715</v>
      </c>
      <c r="I161" s="12" t="s">
        <v>716</v>
      </c>
      <c r="J161" s="12" t="s">
        <v>718</v>
      </c>
      <c r="K161" s="12" t="s">
        <v>719</v>
      </c>
      <c r="L161" s="12" t="s">
        <v>42</v>
      </c>
      <c r="M161" s="12" t="s">
        <v>56</v>
      </c>
      <c r="N161" s="12">
        <v>1</v>
      </c>
      <c r="O161" s="12">
        <v>1</v>
      </c>
    </row>
    <row r="162" spans="1:15" s="12" customFormat="1" x14ac:dyDescent="0.25">
      <c r="A162" s="12">
        <v>161</v>
      </c>
      <c r="B162" s="12">
        <v>89</v>
      </c>
      <c r="C162" s="12" t="s">
        <v>12204</v>
      </c>
      <c r="D162" s="12">
        <v>311</v>
      </c>
      <c r="E162" s="12" t="s">
        <v>12348</v>
      </c>
      <c r="F162" s="12" t="s">
        <v>943</v>
      </c>
      <c r="G162" s="12">
        <v>2023</v>
      </c>
      <c r="H162" s="12" t="s">
        <v>944</v>
      </c>
      <c r="I162" s="12" t="s">
        <v>945</v>
      </c>
      <c r="J162" s="12" t="s">
        <v>948</v>
      </c>
      <c r="K162" s="12" t="s">
        <v>949</v>
      </c>
      <c r="L162" s="12" t="s">
        <v>42</v>
      </c>
      <c r="M162" s="12" t="s">
        <v>56</v>
      </c>
      <c r="N162" s="12">
        <v>1</v>
      </c>
      <c r="O162" s="12" t="s">
        <v>12142</v>
      </c>
    </row>
    <row r="163" spans="1:15" s="12" customFormat="1" x14ac:dyDescent="0.25">
      <c r="A163" s="12">
        <v>162</v>
      </c>
      <c r="B163" s="11">
        <v>19</v>
      </c>
      <c r="C163" s="12" t="s">
        <v>12118</v>
      </c>
      <c r="D163" s="12">
        <v>21</v>
      </c>
      <c r="E163" s="11" t="s">
        <v>4393</v>
      </c>
      <c r="F163" s="11" t="s">
        <v>4395</v>
      </c>
      <c r="G163" s="11">
        <v>2023</v>
      </c>
      <c r="H163" s="11" t="s">
        <v>4396</v>
      </c>
      <c r="I163" s="11" t="str">
        <f>HYPERLINK("http://dx.doi.org/10.1016/j.sapharm.2023.05.016","http://dx.doi.org/10.1016/j.sapharm.2023.05.016")</f>
        <v>http://dx.doi.org/10.1016/j.sapharm.2023.05.016</v>
      </c>
      <c r="J163" s="11" t="s">
        <v>4399</v>
      </c>
      <c r="K163" s="11" t="s">
        <v>4397</v>
      </c>
      <c r="L163" s="11" t="s">
        <v>42</v>
      </c>
      <c r="M163" s="11" t="s">
        <v>56</v>
      </c>
      <c r="N163" s="11">
        <v>1</v>
      </c>
      <c r="O163" s="11">
        <v>1</v>
      </c>
    </row>
    <row r="164" spans="1:15" s="12" customFormat="1" x14ac:dyDescent="0.25">
      <c r="A164" s="12">
        <v>163</v>
      </c>
      <c r="B164" s="12">
        <v>85</v>
      </c>
      <c r="C164" s="12" t="s">
        <v>12204</v>
      </c>
      <c r="D164" s="12">
        <v>300</v>
      </c>
      <c r="E164" s="13" t="s">
        <v>375</v>
      </c>
      <c r="F164" s="13" t="s">
        <v>376</v>
      </c>
      <c r="G164" s="13">
        <v>2024</v>
      </c>
      <c r="H164" s="13" t="s">
        <v>377</v>
      </c>
      <c r="I164" s="13" t="s">
        <v>378</v>
      </c>
      <c r="J164" s="13" t="s">
        <v>379</v>
      </c>
      <c r="K164" s="13" t="s">
        <v>380</v>
      </c>
      <c r="L164" s="12" t="s">
        <v>42</v>
      </c>
      <c r="M164" s="11" t="s">
        <v>56</v>
      </c>
      <c r="N164" s="12">
        <v>1</v>
      </c>
      <c r="O164" s="12" t="s">
        <v>12142</v>
      </c>
    </row>
    <row r="165" spans="1:15" s="12" customFormat="1" x14ac:dyDescent="0.25">
      <c r="A165" s="12">
        <v>164</v>
      </c>
      <c r="B165" s="11">
        <v>419</v>
      </c>
      <c r="C165" s="12" t="s">
        <v>12118</v>
      </c>
      <c r="D165" s="12">
        <v>465</v>
      </c>
      <c r="E165" s="11" t="s">
        <v>12049</v>
      </c>
      <c r="F165" s="11" t="s">
        <v>12051</v>
      </c>
      <c r="G165" s="11">
        <v>2018</v>
      </c>
      <c r="H165" s="11" t="s">
        <v>11888</v>
      </c>
      <c r="I165" s="11" t="s">
        <v>1507</v>
      </c>
      <c r="J165" s="11" t="s">
        <v>12052</v>
      </c>
      <c r="K165" s="11" t="s">
        <v>1507</v>
      </c>
      <c r="L165" s="11" t="s">
        <v>42</v>
      </c>
      <c r="M165" s="11" t="s">
        <v>56</v>
      </c>
      <c r="N165" s="11">
        <v>1</v>
      </c>
      <c r="O165" s="11" t="s">
        <v>12142</v>
      </c>
    </row>
    <row r="166" spans="1:15" s="12" customFormat="1" x14ac:dyDescent="0.25">
      <c r="A166" s="12">
        <v>165</v>
      </c>
      <c r="B166" s="12">
        <v>137</v>
      </c>
      <c r="C166" s="12" t="s">
        <v>12204</v>
      </c>
      <c r="D166" s="12">
        <v>492</v>
      </c>
      <c r="E166" s="12" t="s">
        <v>13173</v>
      </c>
      <c r="F166" s="12" t="s">
        <v>442</v>
      </c>
      <c r="G166" s="12">
        <v>2023</v>
      </c>
      <c r="H166" s="12" t="s">
        <v>305</v>
      </c>
      <c r="I166" s="12" t="s">
        <v>443</v>
      </c>
      <c r="J166" s="12" t="s">
        <v>446</v>
      </c>
      <c r="K166" s="12" t="s">
        <v>447</v>
      </c>
      <c r="L166" s="12" t="s">
        <v>42</v>
      </c>
      <c r="M166" s="12" t="s">
        <v>56</v>
      </c>
      <c r="N166" s="12">
        <v>1</v>
      </c>
      <c r="O166" s="12">
        <v>1</v>
      </c>
    </row>
    <row r="167" spans="1:15" s="12" customFormat="1" x14ac:dyDescent="0.25">
      <c r="A167" s="12">
        <v>166</v>
      </c>
      <c r="B167" s="12">
        <v>25</v>
      </c>
      <c r="C167" s="12" t="s">
        <v>12204</v>
      </c>
      <c r="D167" s="12">
        <v>66</v>
      </c>
      <c r="E167" s="12" t="s">
        <v>12794</v>
      </c>
      <c r="F167" s="12" t="s">
        <v>639</v>
      </c>
      <c r="G167" s="12">
        <v>2023</v>
      </c>
      <c r="H167" s="12" t="s">
        <v>383</v>
      </c>
      <c r="J167" s="12" t="s">
        <v>642</v>
      </c>
      <c r="K167" s="12" t="s">
        <v>643</v>
      </c>
      <c r="L167" s="12" t="s">
        <v>42</v>
      </c>
      <c r="M167" s="12" t="s">
        <v>12252</v>
      </c>
      <c r="N167" s="12">
        <v>1</v>
      </c>
      <c r="O167" s="12">
        <v>1</v>
      </c>
    </row>
    <row r="168" spans="1:15" s="12" customFormat="1" x14ac:dyDescent="0.25">
      <c r="A168" s="12">
        <v>167</v>
      </c>
      <c r="B168" s="11">
        <v>388</v>
      </c>
      <c r="C168" s="12" t="s">
        <v>12118</v>
      </c>
      <c r="D168" s="12">
        <v>429</v>
      </c>
      <c r="E168" s="11" t="s">
        <v>4153</v>
      </c>
      <c r="F168" s="11" t="s">
        <v>4155</v>
      </c>
      <c r="G168" s="11">
        <v>2023</v>
      </c>
      <c r="H168" s="11" t="s">
        <v>4156</v>
      </c>
      <c r="I168" s="11" t="str">
        <f>HYPERLINK("http://dx.doi.org/10.3389/fneur.2023.1225223","http://dx.doi.org/10.3389/fneur.2023.1225223")</f>
        <v>http://dx.doi.org/10.3389/fneur.2023.1225223</v>
      </c>
      <c r="J168" s="11" t="s">
        <v>4158</v>
      </c>
      <c r="K168" s="11" t="s">
        <v>4157</v>
      </c>
      <c r="L168" s="11" t="s">
        <v>42</v>
      </c>
      <c r="M168" s="11" t="s">
        <v>56</v>
      </c>
      <c r="N168" s="11">
        <v>1</v>
      </c>
      <c r="O168" s="11" t="s">
        <v>12142</v>
      </c>
    </row>
    <row r="169" spans="1:15" s="12" customFormat="1" x14ac:dyDescent="0.25">
      <c r="A169" s="12">
        <v>168</v>
      </c>
      <c r="B169" s="11">
        <v>346</v>
      </c>
      <c r="C169" s="12" t="s">
        <v>12118</v>
      </c>
      <c r="D169" s="12">
        <v>387</v>
      </c>
      <c r="E169" s="11" t="s">
        <v>10349</v>
      </c>
      <c r="F169" s="11" t="s">
        <v>10351</v>
      </c>
      <c r="G169" s="11">
        <v>2020</v>
      </c>
      <c r="H169" s="11" t="s">
        <v>7982</v>
      </c>
      <c r="I169" s="11" t="str">
        <f>HYPERLINK("http://dx.doi.org/10.1093/jxb/erz409","http://dx.doi.org/10.1093/jxb/erz409")</f>
        <v>http://dx.doi.org/10.1093/jxb/erz409</v>
      </c>
      <c r="J169" s="11" t="s">
        <v>10354</v>
      </c>
      <c r="K169" s="11" t="s">
        <v>10352</v>
      </c>
      <c r="L169" s="11" t="s">
        <v>42</v>
      </c>
      <c r="M169" s="11" t="s">
        <v>56</v>
      </c>
      <c r="N169" s="11">
        <v>1</v>
      </c>
      <c r="O169" s="11" t="s">
        <v>12142</v>
      </c>
    </row>
    <row r="170" spans="1:15" s="12" customFormat="1" x14ac:dyDescent="0.25">
      <c r="A170" s="12">
        <v>169</v>
      </c>
      <c r="B170" s="12">
        <v>144</v>
      </c>
      <c r="C170" s="12" t="s">
        <v>12204</v>
      </c>
      <c r="D170" s="12">
        <v>519</v>
      </c>
      <c r="E170" s="12" t="s">
        <v>13371</v>
      </c>
      <c r="F170" s="12" t="s">
        <v>33</v>
      </c>
      <c r="G170" s="12">
        <v>2023</v>
      </c>
      <c r="H170" s="12" t="s">
        <v>34</v>
      </c>
      <c r="I170" s="12" t="s">
        <v>35</v>
      </c>
      <c r="J170" s="12" t="s">
        <v>38</v>
      </c>
      <c r="K170" s="12" t="s">
        <v>39</v>
      </c>
      <c r="L170" s="12" t="s">
        <v>42</v>
      </c>
      <c r="M170" s="12" t="s">
        <v>12252</v>
      </c>
      <c r="N170" s="12">
        <v>1</v>
      </c>
      <c r="O170" s="12">
        <v>1</v>
      </c>
    </row>
    <row r="171" spans="1:15" s="12" customFormat="1" x14ac:dyDescent="0.25">
      <c r="A171" s="12">
        <v>170</v>
      </c>
      <c r="B171" s="11">
        <v>8</v>
      </c>
      <c r="C171" s="12" t="s">
        <v>12118</v>
      </c>
      <c r="D171" s="12">
        <v>8</v>
      </c>
      <c r="E171" s="11" t="s">
        <v>5547</v>
      </c>
      <c r="F171" s="11" t="s">
        <v>5550</v>
      </c>
      <c r="G171" s="11">
        <v>2023</v>
      </c>
      <c r="H171" s="11" t="s">
        <v>5551</v>
      </c>
      <c r="I171" s="11" t="str">
        <f>HYPERLINK("http://dx.doi.org/10.1145/3593434.3593468","http://dx.doi.org/10.1145/3593434.3593468")</f>
        <v>http://dx.doi.org/10.1145/3593434.3593468</v>
      </c>
      <c r="J171" s="11" t="s">
        <v>5557</v>
      </c>
      <c r="K171" s="11" t="s">
        <v>5556</v>
      </c>
      <c r="L171" s="11" t="s">
        <v>42</v>
      </c>
      <c r="M171" s="11" t="s">
        <v>5552</v>
      </c>
      <c r="N171" s="12">
        <v>1</v>
      </c>
      <c r="O171" s="12" t="s">
        <v>12142</v>
      </c>
    </row>
    <row r="172" spans="1:15" s="12" customFormat="1" x14ac:dyDescent="0.25">
      <c r="A172" s="12">
        <v>171</v>
      </c>
      <c r="B172" s="11">
        <v>623</v>
      </c>
      <c r="C172" s="12" t="s">
        <v>12118</v>
      </c>
      <c r="D172" s="12">
        <v>691</v>
      </c>
      <c r="E172" s="11" t="s">
        <v>6664</v>
      </c>
      <c r="F172" s="11" t="s">
        <v>6666</v>
      </c>
      <c r="G172" s="11">
        <v>2023</v>
      </c>
      <c r="H172" s="11" t="s">
        <v>6170</v>
      </c>
      <c r="I172" s="11" t="str">
        <f>HYPERLINK("http://dx.doi.org/10.1145/3626111.3628212","http://dx.doi.org/10.1145/3626111.3628212")</f>
        <v>http://dx.doi.org/10.1145/3626111.3628212</v>
      </c>
      <c r="J172" s="11" t="s">
        <v>6668</v>
      </c>
      <c r="K172" s="11" t="s">
        <v>6667</v>
      </c>
      <c r="L172" s="11" t="s">
        <v>42</v>
      </c>
      <c r="M172" s="11" t="s">
        <v>5552</v>
      </c>
      <c r="N172" s="11">
        <v>1</v>
      </c>
      <c r="O172" s="11" t="s">
        <v>12142</v>
      </c>
    </row>
    <row r="173" spans="1:15" s="12" customFormat="1" x14ac:dyDescent="0.25">
      <c r="A173" s="12">
        <v>172</v>
      </c>
      <c r="B173" s="11">
        <v>124</v>
      </c>
      <c r="C173" s="12" t="s">
        <v>12118</v>
      </c>
      <c r="D173" s="12">
        <v>133</v>
      </c>
      <c r="E173" s="11" t="s">
        <v>4529</v>
      </c>
      <c r="F173" s="11" t="s">
        <v>4531</v>
      </c>
      <c r="G173" s="11">
        <v>2023</v>
      </c>
      <c r="H173" s="11" t="s">
        <v>3083</v>
      </c>
      <c r="I173" s="11" t="str">
        <f>HYPERLINK("http://dx.doi.org/10.7759/cureus.41399","http://dx.doi.org/10.7759/cureus.41399")</f>
        <v>http://dx.doi.org/10.7759/cureus.41399</v>
      </c>
      <c r="J173" s="11" t="s">
        <v>4533</v>
      </c>
      <c r="K173" s="11" t="s">
        <v>4532</v>
      </c>
      <c r="L173" s="11" t="s">
        <v>42</v>
      </c>
      <c r="M173" s="11" t="s">
        <v>56</v>
      </c>
      <c r="N173" s="11">
        <v>1</v>
      </c>
      <c r="O173" s="11">
        <v>1</v>
      </c>
    </row>
    <row r="174" spans="1:15" s="12" customFormat="1" x14ac:dyDescent="0.25">
      <c r="A174" s="12">
        <v>173</v>
      </c>
      <c r="B174" s="12">
        <v>158</v>
      </c>
      <c r="C174" s="12" t="s">
        <v>12204</v>
      </c>
      <c r="D174" s="12">
        <v>591</v>
      </c>
      <c r="E174" s="12" t="s">
        <v>12390</v>
      </c>
      <c r="F174" s="12" t="s">
        <v>1377</v>
      </c>
      <c r="G174" s="12">
        <v>2023</v>
      </c>
      <c r="H174" s="12" t="s">
        <v>996</v>
      </c>
      <c r="I174" s="12" t="s">
        <v>1379</v>
      </c>
      <c r="J174" s="12" t="s">
        <v>1382</v>
      </c>
      <c r="K174" s="12" t="s">
        <v>1383</v>
      </c>
      <c r="L174" s="12" t="s">
        <v>42</v>
      </c>
      <c r="M174" s="12" t="s">
        <v>56</v>
      </c>
      <c r="N174" s="12">
        <v>1</v>
      </c>
      <c r="O174" s="12">
        <v>1</v>
      </c>
    </row>
    <row r="175" spans="1:15" s="12" customFormat="1" x14ac:dyDescent="0.25">
      <c r="A175" s="12">
        <v>174</v>
      </c>
      <c r="B175" s="11">
        <v>545</v>
      </c>
      <c r="C175" s="12" t="s">
        <v>12118</v>
      </c>
      <c r="D175" s="12">
        <v>610</v>
      </c>
      <c r="E175" s="11" t="s">
        <v>6515</v>
      </c>
      <c r="F175" s="11" t="s">
        <v>6517</v>
      </c>
      <c r="G175" s="11">
        <v>2023</v>
      </c>
      <c r="H175" s="11" t="s">
        <v>6518</v>
      </c>
      <c r="I175" s="11" t="str">
        <f>HYPERLINK("http://dx.doi.org/10.2196/51873","http://dx.doi.org/10.2196/51873")</f>
        <v>http://dx.doi.org/10.2196/51873</v>
      </c>
      <c r="J175" s="11" t="s">
        <v>6520</v>
      </c>
      <c r="K175" s="11" t="s">
        <v>6519</v>
      </c>
      <c r="L175" s="11" t="s">
        <v>42</v>
      </c>
      <c r="M175" s="11" t="s">
        <v>56</v>
      </c>
      <c r="N175" s="11">
        <v>1</v>
      </c>
      <c r="O175" s="11">
        <v>1</v>
      </c>
    </row>
    <row r="176" spans="1:15" s="12" customFormat="1" x14ac:dyDescent="0.25">
      <c r="A176" s="12">
        <v>175</v>
      </c>
      <c r="B176" s="12">
        <v>21</v>
      </c>
      <c r="C176" s="12" t="s">
        <v>12204</v>
      </c>
      <c r="D176" s="12">
        <v>49</v>
      </c>
      <c r="E176" s="12" t="s">
        <v>183</v>
      </c>
      <c r="F176" s="12" t="s">
        <v>184</v>
      </c>
      <c r="G176" s="12">
        <v>2023</v>
      </c>
      <c r="H176" s="12" t="s">
        <v>185</v>
      </c>
      <c r="I176" s="12" t="s">
        <v>186</v>
      </c>
      <c r="J176" s="12" t="s">
        <v>189</v>
      </c>
      <c r="K176" s="12" t="s">
        <v>190</v>
      </c>
      <c r="L176" s="12" t="s">
        <v>42</v>
      </c>
      <c r="M176" s="12" t="s">
        <v>12252</v>
      </c>
      <c r="N176" s="12">
        <v>1</v>
      </c>
      <c r="O176" s="12" t="s">
        <v>12142</v>
      </c>
    </row>
    <row r="177" spans="1:15" s="12" customFormat="1" x14ac:dyDescent="0.25">
      <c r="A177" s="12">
        <v>176</v>
      </c>
      <c r="B177" s="11">
        <v>142</v>
      </c>
      <c r="C177" s="12" t="s">
        <v>12118</v>
      </c>
      <c r="D177" s="12">
        <v>153</v>
      </c>
      <c r="E177" s="11" t="s">
        <v>2777</v>
      </c>
      <c r="F177" s="11" t="s">
        <v>2779</v>
      </c>
      <c r="G177" s="11">
        <v>2023</v>
      </c>
      <c r="H177" s="11" t="s">
        <v>2780</v>
      </c>
      <c r="I177" s="11" t="str">
        <f>HYPERLINK("http://dx.doi.org/10.1038/s44159-023-00241-5","http://dx.doi.org/10.1038/s44159-023-00241-5")</f>
        <v>http://dx.doi.org/10.1038/s44159-023-00241-5</v>
      </c>
      <c r="J177" s="11" t="s">
        <v>2782</v>
      </c>
      <c r="K177" s="11" t="s">
        <v>1507</v>
      </c>
      <c r="L177" s="11" t="s">
        <v>42</v>
      </c>
      <c r="M177" s="11" t="s">
        <v>56</v>
      </c>
      <c r="N177" s="12">
        <v>1</v>
      </c>
      <c r="O177" s="12" t="s">
        <v>12142</v>
      </c>
    </row>
    <row r="178" spans="1:15" s="12" customFormat="1" x14ac:dyDescent="0.25">
      <c r="A178" s="12">
        <v>177</v>
      </c>
      <c r="B178" s="12">
        <v>38</v>
      </c>
      <c r="C178" s="12" t="s">
        <v>12204</v>
      </c>
      <c r="D178" s="12">
        <v>123</v>
      </c>
      <c r="E178" s="12" t="s">
        <v>12703</v>
      </c>
      <c r="F178" s="12" t="s">
        <v>933</v>
      </c>
      <c r="G178" s="12">
        <v>2023</v>
      </c>
      <c r="H178" s="12" t="s">
        <v>934</v>
      </c>
      <c r="I178" s="12" t="s">
        <v>935</v>
      </c>
      <c r="J178" s="12" t="s">
        <v>938</v>
      </c>
      <c r="K178" s="12" t="s">
        <v>939</v>
      </c>
      <c r="L178" s="12" t="s">
        <v>42</v>
      </c>
      <c r="M178" s="12" t="s">
        <v>56</v>
      </c>
      <c r="N178" s="12">
        <v>1</v>
      </c>
      <c r="O178" s="12">
        <v>1</v>
      </c>
    </row>
    <row r="179" spans="1:15" s="12" customFormat="1" x14ac:dyDescent="0.25">
      <c r="A179" s="12">
        <v>178</v>
      </c>
      <c r="B179" s="11">
        <v>45</v>
      </c>
      <c r="C179" s="12" t="s">
        <v>12118</v>
      </c>
      <c r="D179" s="12">
        <v>47</v>
      </c>
      <c r="E179" s="11" t="s">
        <v>4965</v>
      </c>
      <c r="F179" s="11" t="s">
        <v>69</v>
      </c>
      <c r="G179" s="11">
        <v>2023</v>
      </c>
      <c r="H179" s="11" t="s">
        <v>4967</v>
      </c>
      <c r="I179" s="11" t="str">
        <f>HYPERLINK("http://dx.doi.org/10.1111/bjet.13336","http://dx.doi.org/10.1111/bjet.13336")</f>
        <v>http://dx.doi.org/10.1111/bjet.13336</v>
      </c>
      <c r="J179" s="11" t="s">
        <v>4969</v>
      </c>
      <c r="K179" s="11" t="s">
        <v>75</v>
      </c>
      <c r="L179" s="11" t="s">
        <v>42</v>
      </c>
      <c r="M179" s="11" t="s">
        <v>1509</v>
      </c>
      <c r="N179" s="11">
        <v>1</v>
      </c>
      <c r="O179" s="11">
        <v>1</v>
      </c>
    </row>
    <row r="180" spans="1:15" s="12" customFormat="1" x14ac:dyDescent="0.25">
      <c r="A180" s="12">
        <v>179</v>
      </c>
      <c r="B180" s="11">
        <v>43</v>
      </c>
      <c r="C180" s="12" t="s">
        <v>12204</v>
      </c>
      <c r="D180" s="12">
        <v>131</v>
      </c>
      <c r="E180" s="13" t="s">
        <v>326</v>
      </c>
      <c r="F180" s="13" t="s">
        <v>327</v>
      </c>
      <c r="G180" s="13">
        <v>2023</v>
      </c>
      <c r="H180" s="13" t="s">
        <v>305</v>
      </c>
      <c r="I180" s="13" t="s">
        <v>328</v>
      </c>
      <c r="J180" s="13" t="s">
        <v>331</v>
      </c>
      <c r="K180" s="13" t="s">
        <v>332</v>
      </c>
      <c r="L180" s="11" t="s">
        <v>42</v>
      </c>
      <c r="M180" s="13" t="s">
        <v>56</v>
      </c>
      <c r="N180" s="12">
        <v>1</v>
      </c>
      <c r="O180" s="12">
        <v>1</v>
      </c>
    </row>
    <row r="181" spans="1:15" s="12" customFormat="1" x14ac:dyDescent="0.25">
      <c r="A181" s="12">
        <v>180</v>
      </c>
      <c r="B181" s="12">
        <v>122</v>
      </c>
      <c r="C181" s="12" t="s">
        <v>12204</v>
      </c>
      <c r="D181" s="12">
        <v>442</v>
      </c>
      <c r="E181" s="12" t="s">
        <v>12444</v>
      </c>
      <c r="F181" s="12" t="s">
        <v>1418</v>
      </c>
      <c r="G181" s="12">
        <v>2023</v>
      </c>
      <c r="H181" s="12" t="s">
        <v>1419</v>
      </c>
      <c r="I181" s="12" t="s">
        <v>1420</v>
      </c>
      <c r="J181" s="12" t="s">
        <v>12441</v>
      </c>
      <c r="K181" s="12" t="s">
        <v>1423</v>
      </c>
      <c r="L181" s="12" t="s">
        <v>42</v>
      </c>
      <c r="M181" s="12" t="s">
        <v>12252</v>
      </c>
      <c r="N181" s="11">
        <v>1</v>
      </c>
      <c r="O181" s="11">
        <v>1</v>
      </c>
    </row>
    <row r="182" spans="1:15" s="12" customFormat="1" x14ac:dyDescent="0.25">
      <c r="A182" s="12">
        <v>181</v>
      </c>
      <c r="B182" s="12">
        <v>42</v>
      </c>
      <c r="C182" s="12" t="s">
        <v>12204</v>
      </c>
      <c r="D182" s="12">
        <v>132</v>
      </c>
      <c r="E182" s="12" t="s">
        <v>12815</v>
      </c>
      <c r="F182" s="12" t="s">
        <v>233</v>
      </c>
      <c r="G182" s="12">
        <v>2023</v>
      </c>
      <c r="H182" s="12" t="s">
        <v>234</v>
      </c>
      <c r="I182" s="12" t="s">
        <v>235</v>
      </c>
      <c r="J182" s="12" t="s">
        <v>238</v>
      </c>
      <c r="K182" s="12" t="s">
        <v>239</v>
      </c>
      <c r="L182" s="12" t="s">
        <v>42</v>
      </c>
      <c r="M182" s="12" t="s">
        <v>56</v>
      </c>
      <c r="N182" s="12">
        <v>1</v>
      </c>
      <c r="O182" s="12">
        <v>1</v>
      </c>
    </row>
    <row r="183" spans="1:15" s="12" customFormat="1" x14ac:dyDescent="0.25">
      <c r="A183" s="12">
        <v>182</v>
      </c>
      <c r="B183" s="11">
        <v>136</v>
      </c>
      <c r="C183" s="12" t="s">
        <v>12118</v>
      </c>
      <c r="D183" s="12">
        <v>146</v>
      </c>
      <c r="E183" s="11" t="s">
        <v>3511</v>
      </c>
      <c r="F183" s="11" t="s">
        <v>3513</v>
      </c>
      <c r="G183" s="11">
        <v>2023</v>
      </c>
      <c r="H183" s="11" t="s">
        <v>3514</v>
      </c>
      <c r="I183" s="11" t="str">
        <f>HYPERLINK("http://dx.doi.org/10.3916/C77-2023-04","http://dx.doi.org/10.3916/C77-2023-04")</f>
        <v>http://dx.doi.org/10.3916/C77-2023-04</v>
      </c>
      <c r="J183" s="11" t="s">
        <v>3516</v>
      </c>
      <c r="K183" s="11" t="s">
        <v>3515</v>
      </c>
      <c r="L183" s="11" t="s">
        <v>55</v>
      </c>
      <c r="M183" s="11" t="s">
        <v>56</v>
      </c>
      <c r="N183" s="11">
        <v>1</v>
      </c>
      <c r="O183" s="11">
        <v>1</v>
      </c>
    </row>
    <row r="187" spans="1:15" s="12" customFormat="1" x14ac:dyDescent="0.25"/>
    <row r="188" spans="1:15" s="12" customFormat="1" x14ac:dyDescent="0.25">
      <c r="N188" s="11"/>
      <c r="O188" s="11"/>
    </row>
  </sheetData>
  <autoFilter ref="B1:DD183" xr:uid="{F11861F2-DD74-439C-A719-81C2E8B70792}">
    <sortState xmlns:xlrd2="http://schemas.microsoft.com/office/spreadsheetml/2017/richdata2" ref="B2:BP183">
      <sortCondition ref="F1:F183"/>
    </sortState>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88C9C-CE81-4096-8897-EA7B40FA4557}">
  <dimension ref="A1:BP188"/>
  <sheetViews>
    <sheetView topLeftCell="A91" zoomScale="80" zoomScaleNormal="80" workbookViewId="0">
      <selection activeCell="P1" sqref="P1:P1048576"/>
    </sheetView>
  </sheetViews>
  <sheetFormatPr baseColWidth="10" defaultRowHeight="13.2" x14ac:dyDescent="0.25"/>
  <cols>
    <col min="1" max="1" width="6" style="12" customWidth="1"/>
    <col min="2" max="2" width="4.21875" style="12" customWidth="1"/>
    <col min="3" max="3" width="9.5546875" style="12" customWidth="1"/>
    <col min="4" max="4" width="3.77734375" style="12" customWidth="1"/>
    <col min="5" max="5" width="2.77734375" style="12" customWidth="1"/>
    <col min="6" max="6" width="74.21875" style="12" customWidth="1"/>
    <col min="7" max="7" width="6.6640625" style="12" customWidth="1"/>
    <col min="8" max="8" width="3.44140625" style="12" customWidth="1"/>
    <col min="9" max="9" width="3.5546875" style="12" customWidth="1"/>
    <col min="10" max="10" width="2.44140625" style="12" customWidth="1"/>
    <col min="11" max="11" width="3.21875" style="12" customWidth="1"/>
    <col min="12" max="12" width="6.6640625" style="12" customWidth="1"/>
    <col min="13" max="13" width="9.77734375" style="12" customWidth="1"/>
    <col min="14" max="14" width="2.21875" style="12" customWidth="1"/>
    <col min="15" max="15" width="4" style="12" customWidth="1"/>
    <col min="16" max="16" width="6.33203125" style="10" customWidth="1"/>
    <col min="17" max="16384" width="11.5546875" style="12"/>
  </cols>
  <sheetData>
    <row r="1" spans="1:16" x14ac:dyDescent="0.25">
      <c r="A1" s="12" t="s">
        <v>1445</v>
      </c>
      <c r="B1" s="12" t="s">
        <v>16065</v>
      </c>
      <c r="C1" s="12" t="s">
        <v>16064</v>
      </c>
      <c r="D1" s="12" t="s">
        <v>1445</v>
      </c>
      <c r="E1" s="12" t="s">
        <v>0</v>
      </c>
      <c r="F1" s="12" t="s">
        <v>2</v>
      </c>
      <c r="G1" s="12" t="s">
        <v>3</v>
      </c>
      <c r="H1" s="12" t="s">
        <v>4</v>
      </c>
      <c r="I1" s="12" t="s">
        <v>12</v>
      </c>
      <c r="J1" s="12" t="s">
        <v>16</v>
      </c>
      <c r="K1" s="12" t="s">
        <v>17</v>
      </c>
      <c r="L1" s="12" t="s">
        <v>26</v>
      </c>
      <c r="M1" s="12" t="s">
        <v>28</v>
      </c>
      <c r="N1" s="12" t="s">
        <v>16067</v>
      </c>
      <c r="O1" s="12" t="s">
        <v>16068</v>
      </c>
      <c r="P1" s="10" t="s">
        <v>16069</v>
      </c>
    </row>
    <row r="2" spans="1:16" x14ac:dyDescent="0.25">
      <c r="A2" s="12">
        <v>1</v>
      </c>
      <c r="B2" s="12">
        <v>131</v>
      </c>
      <c r="C2" s="12" t="s">
        <v>12204</v>
      </c>
      <c r="D2" s="12">
        <v>476</v>
      </c>
      <c r="E2" s="12" t="s">
        <v>794</v>
      </c>
      <c r="F2" s="12" t="s">
        <v>796</v>
      </c>
      <c r="G2" s="12">
        <v>2023</v>
      </c>
      <c r="H2" s="12" t="s">
        <v>797</v>
      </c>
      <c r="I2" s="12" t="s">
        <v>798</v>
      </c>
      <c r="J2" s="12" t="s">
        <v>801</v>
      </c>
      <c r="K2" s="12" t="s">
        <v>802</v>
      </c>
      <c r="L2" s="12" t="s">
        <v>42</v>
      </c>
      <c r="M2" s="12" t="s">
        <v>56</v>
      </c>
      <c r="N2" s="12">
        <v>1</v>
      </c>
      <c r="O2" s="12">
        <v>1</v>
      </c>
      <c r="P2" s="10">
        <v>1</v>
      </c>
    </row>
    <row r="3" spans="1:16" x14ac:dyDescent="0.25">
      <c r="A3" s="12">
        <v>2</v>
      </c>
      <c r="B3" s="11">
        <v>311</v>
      </c>
      <c r="C3" s="12" t="s">
        <v>12118</v>
      </c>
      <c r="D3" s="12">
        <v>348</v>
      </c>
      <c r="E3" s="11" t="s">
        <v>6088</v>
      </c>
      <c r="F3" s="11" t="s">
        <v>6091</v>
      </c>
      <c r="G3" s="11">
        <v>2023</v>
      </c>
      <c r="H3" s="11" t="s">
        <v>6092</v>
      </c>
      <c r="I3" s="11" t="str">
        <f>HYPERLINK("http://dx.doi.org/10.1109/ICALT58122.2023.00072","http://dx.doi.org/10.1109/ICALT58122.2023.00072")</f>
        <v>http://dx.doi.org/10.1109/ICALT58122.2023.00072</v>
      </c>
      <c r="J3" s="11" t="s">
        <v>6099</v>
      </c>
      <c r="K3" s="11" t="s">
        <v>6098</v>
      </c>
      <c r="L3" s="11" t="s">
        <v>42</v>
      </c>
      <c r="M3" s="11" t="s">
        <v>5552</v>
      </c>
      <c r="N3" s="11">
        <v>1</v>
      </c>
      <c r="O3" s="11">
        <v>1</v>
      </c>
      <c r="P3" s="10">
        <v>1</v>
      </c>
    </row>
    <row r="4" spans="1:16" x14ac:dyDescent="0.25">
      <c r="A4" s="12">
        <v>3</v>
      </c>
      <c r="B4" s="11">
        <v>31</v>
      </c>
      <c r="C4" s="12" t="s">
        <v>12118</v>
      </c>
      <c r="D4" s="12">
        <v>34</v>
      </c>
      <c r="E4" s="11" t="s">
        <v>5607</v>
      </c>
      <c r="F4" s="11" t="s">
        <v>266</v>
      </c>
      <c r="G4" s="11">
        <v>2023</v>
      </c>
      <c r="H4" s="11" t="s">
        <v>5609</v>
      </c>
      <c r="I4" s="11" t="str">
        <f>HYPERLINK("http://dx.doi.org/10.3991/ijep.v13i8.45621","http://dx.doi.org/10.3991/ijep.v13i8.45621")</f>
        <v>http://dx.doi.org/10.3991/ijep.v13i8.45621</v>
      </c>
      <c r="J4" s="11" t="s">
        <v>5611</v>
      </c>
      <c r="K4" s="11" t="s">
        <v>5610</v>
      </c>
      <c r="L4" s="11" t="s">
        <v>42</v>
      </c>
      <c r="M4" s="11" t="s">
        <v>56</v>
      </c>
      <c r="N4" s="11">
        <v>1</v>
      </c>
      <c r="O4" s="11">
        <v>1</v>
      </c>
      <c r="P4" s="10">
        <v>1</v>
      </c>
    </row>
    <row r="5" spans="1:16" x14ac:dyDescent="0.25">
      <c r="A5" s="12">
        <v>4</v>
      </c>
      <c r="B5" s="11">
        <v>168</v>
      </c>
      <c r="C5" s="12" t="s">
        <v>12118</v>
      </c>
      <c r="D5" s="12">
        <v>181</v>
      </c>
      <c r="E5" s="11" t="s">
        <v>2946</v>
      </c>
      <c r="F5" s="11" t="s">
        <v>515</v>
      </c>
      <c r="G5" s="11">
        <v>2023</v>
      </c>
      <c r="H5" s="11" t="s">
        <v>2579</v>
      </c>
      <c r="I5" s="11" t="str">
        <f>HYPERLINK("http://dx.doi.org/10.1186/s41239-023-00425-2","http://dx.doi.org/10.1186/s41239-023-00425-2")</f>
        <v>http://dx.doi.org/10.1186/s41239-023-00425-2</v>
      </c>
      <c r="J5" s="11" t="s">
        <v>2949</v>
      </c>
      <c r="K5" s="11" t="s">
        <v>2948</v>
      </c>
      <c r="L5" s="11" t="s">
        <v>42</v>
      </c>
      <c r="M5" s="11" t="s">
        <v>56</v>
      </c>
      <c r="N5" s="11">
        <v>1</v>
      </c>
      <c r="O5" s="11">
        <v>1</v>
      </c>
      <c r="P5" s="10">
        <v>1</v>
      </c>
    </row>
    <row r="6" spans="1:16" x14ac:dyDescent="0.25">
      <c r="A6" s="12">
        <v>5</v>
      </c>
      <c r="B6" s="12">
        <v>154</v>
      </c>
      <c r="C6" s="12" t="s">
        <v>12204</v>
      </c>
      <c r="D6" s="12">
        <v>575</v>
      </c>
      <c r="E6" s="12" t="s">
        <v>12844</v>
      </c>
      <c r="F6" s="12" t="s">
        <v>163</v>
      </c>
      <c r="G6" s="12">
        <v>2023</v>
      </c>
      <c r="H6" s="12" t="s">
        <v>164</v>
      </c>
      <c r="I6" s="12" t="s">
        <v>165</v>
      </c>
      <c r="J6" s="12" t="s">
        <v>12841</v>
      </c>
      <c r="K6" s="12" t="s">
        <v>169</v>
      </c>
      <c r="L6" s="12" t="s">
        <v>42</v>
      </c>
      <c r="M6" s="12" t="s">
        <v>12252</v>
      </c>
      <c r="N6" s="12">
        <v>1</v>
      </c>
      <c r="O6" s="12">
        <v>1</v>
      </c>
      <c r="P6" s="10">
        <v>1</v>
      </c>
    </row>
    <row r="7" spans="1:16" x14ac:dyDescent="0.25">
      <c r="A7" s="12">
        <v>6</v>
      </c>
      <c r="B7" s="12">
        <v>11</v>
      </c>
      <c r="C7" s="12" t="s">
        <v>12204</v>
      </c>
      <c r="D7" s="12">
        <v>11</v>
      </c>
      <c r="E7" s="12" t="s">
        <v>13462</v>
      </c>
      <c r="F7" s="12" t="s">
        <v>415</v>
      </c>
      <c r="G7" s="12">
        <v>2023</v>
      </c>
      <c r="H7" s="12" t="s">
        <v>416</v>
      </c>
      <c r="I7" s="12" t="s">
        <v>417</v>
      </c>
      <c r="J7" s="12" t="s">
        <v>419</v>
      </c>
      <c r="K7" s="12" t="s">
        <v>420</v>
      </c>
      <c r="L7" s="12" t="s">
        <v>42</v>
      </c>
      <c r="M7" s="12" t="s">
        <v>56</v>
      </c>
      <c r="N7" s="12">
        <v>1</v>
      </c>
      <c r="O7" s="12">
        <v>1</v>
      </c>
      <c r="P7" s="10">
        <v>1</v>
      </c>
    </row>
    <row r="8" spans="1:16" x14ac:dyDescent="0.25">
      <c r="A8" s="12">
        <v>7</v>
      </c>
      <c r="B8" s="12">
        <v>73</v>
      </c>
      <c r="C8" s="12" t="s">
        <v>12204</v>
      </c>
      <c r="D8" s="12">
        <v>260</v>
      </c>
      <c r="E8" s="12" t="s">
        <v>13482</v>
      </c>
      <c r="F8" s="12" t="s">
        <v>485</v>
      </c>
      <c r="G8" s="12">
        <v>2023</v>
      </c>
      <c r="H8" s="12" t="s">
        <v>486</v>
      </c>
      <c r="I8" s="12" t="s">
        <v>489</v>
      </c>
      <c r="J8" s="12" t="s">
        <v>492</v>
      </c>
      <c r="L8" s="12" t="s">
        <v>42</v>
      </c>
      <c r="M8" s="12" t="s">
        <v>56</v>
      </c>
      <c r="N8" s="12">
        <v>1</v>
      </c>
      <c r="O8" s="12">
        <v>1</v>
      </c>
      <c r="P8" s="10">
        <v>1</v>
      </c>
    </row>
    <row r="9" spans="1:16" x14ac:dyDescent="0.25">
      <c r="A9" s="12">
        <v>8</v>
      </c>
      <c r="B9" s="12">
        <v>121</v>
      </c>
      <c r="C9" s="12" t="s">
        <v>12204</v>
      </c>
      <c r="D9" s="12">
        <v>435</v>
      </c>
      <c r="E9" s="12" t="s">
        <v>112</v>
      </c>
      <c r="F9" s="12" t="s">
        <v>114</v>
      </c>
      <c r="G9" s="12">
        <v>2023</v>
      </c>
      <c r="H9" s="12" t="s">
        <v>115</v>
      </c>
      <c r="I9" s="12" t="s">
        <v>116</v>
      </c>
      <c r="J9" s="12" t="s">
        <v>12850</v>
      </c>
      <c r="K9" s="12" t="s">
        <v>120</v>
      </c>
      <c r="L9" s="12" t="s">
        <v>42</v>
      </c>
      <c r="M9" s="12" t="s">
        <v>12252</v>
      </c>
      <c r="N9" s="12">
        <v>1</v>
      </c>
      <c r="O9" s="12">
        <v>1</v>
      </c>
      <c r="P9" s="10">
        <v>1</v>
      </c>
    </row>
    <row r="10" spans="1:16" x14ac:dyDescent="0.25">
      <c r="A10" s="12">
        <v>9</v>
      </c>
      <c r="B10" s="12">
        <v>40</v>
      </c>
      <c r="C10" s="12" t="s">
        <v>12204</v>
      </c>
      <c r="D10" s="12">
        <v>127</v>
      </c>
      <c r="E10" s="12" t="s">
        <v>12403</v>
      </c>
      <c r="F10" s="12" t="s">
        <v>1285</v>
      </c>
      <c r="G10" s="12">
        <v>2023</v>
      </c>
      <c r="H10" s="12" t="s">
        <v>797</v>
      </c>
      <c r="I10" s="12" t="s">
        <v>1286</v>
      </c>
      <c r="J10" s="12" t="s">
        <v>1289</v>
      </c>
      <c r="K10" s="12" t="s">
        <v>1290</v>
      </c>
      <c r="L10" s="12" t="s">
        <v>42</v>
      </c>
      <c r="M10" s="12" t="s">
        <v>56</v>
      </c>
      <c r="N10" s="12">
        <v>1</v>
      </c>
      <c r="O10" s="12">
        <v>1</v>
      </c>
      <c r="P10" s="10">
        <v>1</v>
      </c>
    </row>
    <row r="11" spans="1:16" x14ac:dyDescent="0.25">
      <c r="A11" s="12">
        <v>10</v>
      </c>
      <c r="B11" s="12">
        <v>161</v>
      </c>
      <c r="C11" s="12" t="s">
        <v>12204</v>
      </c>
      <c r="D11" s="12">
        <v>598</v>
      </c>
      <c r="E11" s="12" t="s">
        <v>13560</v>
      </c>
      <c r="F11" s="12" t="s">
        <v>13558</v>
      </c>
      <c r="G11" s="12">
        <v>2023</v>
      </c>
      <c r="H11" s="12" t="s">
        <v>13557</v>
      </c>
      <c r="I11" s="12" t="s">
        <v>6482</v>
      </c>
      <c r="J11" s="12" t="s">
        <v>13553</v>
      </c>
      <c r="K11" s="12" t="s">
        <v>13552</v>
      </c>
      <c r="L11" s="12" t="s">
        <v>42</v>
      </c>
      <c r="M11" s="12" t="s">
        <v>56</v>
      </c>
      <c r="N11" s="12">
        <v>1</v>
      </c>
      <c r="O11" s="12">
        <v>1</v>
      </c>
      <c r="P11" s="10">
        <v>1</v>
      </c>
    </row>
    <row r="12" spans="1:16" x14ac:dyDescent="0.25">
      <c r="A12" s="12">
        <v>11</v>
      </c>
      <c r="B12" s="11">
        <v>420</v>
      </c>
      <c r="C12" s="12" t="s">
        <v>12118</v>
      </c>
      <c r="D12" s="12">
        <v>466</v>
      </c>
      <c r="E12" s="11" t="s">
        <v>3614</v>
      </c>
      <c r="F12" s="11" t="s">
        <v>3616</v>
      </c>
      <c r="G12" s="11">
        <v>2023</v>
      </c>
      <c r="H12" s="11" t="s">
        <v>1617</v>
      </c>
      <c r="I12" s="11" t="str">
        <f>HYPERLINK("http://dx.doi.org/10.3390/electronics12193996","http://dx.doi.org/10.3390/electronics12193996")</f>
        <v>http://dx.doi.org/10.3390/electronics12193996</v>
      </c>
      <c r="J12" s="11" t="s">
        <v>3619</v>
      </c>
      <c r="K12" s="11" t="s">
        <v>3617</v>
      </c>
      <c r="L12" s="11" t="s">
        <v>42</v>
      </c>
      <c r="M12" s="11" t="s">
        <v>56</v>
      </c>
      <c r="N12" s="12">
        <v>1</v>
      </c>
      <c r="O12" s="12">
        <v>1</v>
      </c>
      <c r="P12" s="10" t="s">
        <v>12142</v>
      </c>
    </row>
    <row r="13" spans="1:16" x14ac:dyDescent="0.25">
      <c r="A13" s="12">
        <v>12</v>
      </c>
      <c r="B13" s="12">
        <v>143</v>
      </c>
      <c r="C13" s="12" t="s">
        <v>12204</v>
      </c>
      <c r="D13" s="12">
        <v>514</v>
      </c>
      <c r="E13" s="12" t="s">
        <v>12541</v>
      </c>
      <c r="F13" s="12" t="s">
        <v>1057</v>
      </c>
      <c r="G13" s="12">
        <v>2023</v>
      </c>
      <c r="H13" s="12" t="s">
        <v>996</v>
      </c>
      <c r="I13" s="12" t="s">
        <v>1059</v>
      </c>
      <c r="J13" s="12" t="s">
        <v>1062</v>
      </c>
      <c r="K13" s="12" t="s">
        <v>1063</v>
      </c>
      <c r="L13" s="12" t="s">
        <v>42</v>
      </c>
      <c r="M13" s="12" t="s">
        <v>56</v>
      </c>
      <c r="N13" s="12">
        <v>1</v>
      </c>
      <c r="O13" s="12">
        <v>1</v>
      </c>
      <c r="P13" s="10">
        <v>1</v>
      </c>
    </row>
    <row r="14" spans="1:16" x14ac:dyDescent="0.25">
      <c r="A14" s="12">
        <v>13</v>
      </c>
      <c r="B14" s="12">
        <v>134</v>
      </c>
      <c r="C14" s="12" t="s">
        <v>12204</v>
      </c>
      <c r="D14" s="12">
        <v>485</v>
      </c>
      <c r="E14" s="12" t="s">
        <v>12827</v>
      </c>
      <c r="F14" s="12" t="s">
        <v>539</v>
      </c>
      <c r="G14" s="12">
        <v>2023</v>
      </c>
      <c r="H14" s="12" t="s">
        <v>540</v>
      </c>
      <c r="I14" s="12" t="s">
        <v>541</v>
      </c>
      <c r="J14" s="12" t="s">
        <v>544</v>
      </c>
      <c r="K14" s="12" t="s">
        <v>545</v>
      </c>
      <c r="L14" s="12" t="s">
        <v>42</v>
      </c>
      <c r="M14" s="12" t="s">
        <v>12252</v>
      </c>
      <c r="N14" s="12">
        <v>1</v>
      </c>
      <c r="O14" s="12">
        <v>1</v>
      </c>
      <c r="P14" s="10">
        <v>1</v>
      </c>
    </row>
    <row r="15" spans="1:16" x14ac:dyDescent="0.25">
      <c r="A15" s="12">
        <v>14</v>
      </c>
      <c r="B15" s="11">
        <v>56</v>
      </c>
      <c r="C15" s="12" t="s">
        <v>12118</v>
      </c>
      <c r="D15" s="12">
        <v>60</v>
      </c>
      <c r="E15" s="11" t="s">
        <v>3080</v>
      </c>
      <c r="F15" s="11" t="s">
        <v>3082</v>
      </c>
      <c r="G15" s="11">
        <v>2023</v>
      </c>
      <c r="H15" s="11" t="s">
        <v>3083</v>
      </c>
      <c r="I15" s="11" t="str">
        <f>HYPERLINK("http://dx.doi.org/10.7759/cureus.47468","http://dx.doi.org/10.7759/cureus.47468")</f>
        <v>http://dx.doi.org/10.7759/cureus.47468</v>
      </c>
      <c r="J15" s="11" t="s">
        <v>3085</v>
      </c>
      <c r="K15" s="11" t="s">
        <v>3084</v>
      </c>
      <c r="L15" s="11" t="s">
        <v>42</v>
      </c>
      <c r="M15" s="11" t="s">
        <v>56</v>
      </c>
      <c r="N15" s="11">
        <v>1</v>
      </c>
      <c r="O15" s="11">
        <v>1</v>
      </c>
      <c r="P15" s="10">
        <v>1</v>
      </c>
    </row>
    <row r="16" spans="1:16" x14ac:dyDescent="0.25">
      <c r="A16" s="12">
        <v>15</v>
      </c>
      <c r="B16" s="12">
        <v>75</v>
      </c>
      <c r="C16" s="12" t="s">
        <v>12204</v>
      </c>
      <c r="D16" s="12">
        <v>270</v>
      </c>
      <c r="E16" s="12" t="s">
        <v>12667</v>
      </c>
      <c r="F16" s="12" t="s">
        <v>995</v>
      </c>
      <c r="G16" s="12">
        <v>2023</v>
      </c>
      <c r="H16" s="12" t="s">
        <v>996</v>
      </c>
      <c r="I16" s="12" t="s">
        <v>998</v>
      </c>
      <c r="J16" s="12" t="s">
        <v>1001</v>
      </c>
      <c r="K16" s="12" t="s">
        <v>1002</v>
      </c>
      <c r="L16" s="12" t="s">
        <v>42</v>
      </c>
      <c r="M16" s="12" t="s">
        <v>56</v>
      </c>
      <c r="N16" s="12">
        <v>1</v>
      </c>
      <c r="O16" s="12">
        <v>1</v>
      </c>
      <c r="P16" s="10">
        <v>1</v>
      </c>
    </row>
    <row r="17" spans="1:16" x14ac:dyDescent="0.25">
      <c r="A17" s="12">
        <v>16</v>
      </c>
      <c r="B17" s="12">
        <v>76</v>
      </c>
      <c r="C17" s="12" t="s">
        <v>12204</v>
      </c>
      <c r="D17" s="12">
        <v>271</v>
      </c>
      <c r="E17" s="12" t="s">
        <v>12495</v>
      </c>
      <c r="F17" s="12" t="s">
        <v>966</v>
      </c>
      <c r="G17" s="12">
        <v>2023</v>
      </c>
      <c r="H17" s="12" t="s">
        <v>967</v>
      </c>
      <c r="I17" s="12" t="s">
        <v>968</v>
      </c>
      <c r="J17" s="12" t="s">
        <v>971</v>
      </c>
      <c r="K17" s="12" t="s">
        <v>972</v>
      </c>
      <c r="L17" s="12" t="s">
        <v>42</v>
      </c>
      <c r="M17" s="12" t="s">
        <v>56</v>
      </c>
      <c r="N17" s="12">
        <v>1</v>
      </c>
      <c r="O17" s="12">
        <v>1</v>
      </c>
      <c r="P17" s="10">
        <v>1</v>
      </c>
    </row>
    <row r="18" spans="1:16" x14ac:dyDescent="0.25">
      <c r="A18" s="12">
        <v>17</v>
      </c>
      <c r="B18" s="12">
        <v>105</v>
      </c>
      <c r="C18" s="12" t="s">
        <v>12204</v>
      </c>
      <c r="D18" s="12">
        <v>365</v>
      </c>
      <c r="E18" s="12" t="s">
        <v>12480</v>
      </c>
      <c r="F18" s="12" t="s">
        <v>1163</v>
      </c>
      <c r="G18" s="12">
        <v>2023</v>
      </c>
      <c r="H18" s="12" t="s">
        <v>996</v>
      </c>
      <c r="I18" s="12" t="s">
        <v>1165</v>
      </c>
      <c r="J18" s="12" t="s">
        <v>1167</v>
      </c>
      <c r="K18" s="12" t="s">
        <v>1168</v>
      </c>
      <c r="L18" s="12" t="s">
        <v>42</v>
      </c>
      <c r="M18" s="12" t="s">
        <v>56</v>
      </c>
      <c r="N18" s="12">
        <v>1</v>
      </c>
      <c r="O18" s="12">
        <v>1</v>
      </c>
      <c r="P18" s="10">
        <v>1</v>
      </c>
    </row>
    <row r="19" spans="1:16" x14ac:dyDescent="0.25">
      <c r="A19" s="12">
        <v>18</v>
      </c>
      <c r="B19" s="12">
        <v>172</v>
      </c>
      <c r="C19" s="12" t="s">
        <v>12204</v>
      </c>
      <c r="D19" s="12">
        <v>637</v>
      </c>
      <c r="E19" s="12" t="s">
        <v>13356</v>
      </c>
      <c r="F19" s="12" t="s">
        <v>204</v>
      </c>
      <c r="G19" s="12">
        <v>2023</v>
      </c>
      <c r="H19" s="12" t="s">
        <v>205</v>
      </c>
      <c r="I19" s="12" t="s">
        <v>206</v>
      </c>
      <c r="J19" s="12" t="s">
        <v>209</v>
      </c>
      <c r="K19" s="12" t="s">
        <v>210</v>
      </c>
      <c r="L19" s="12" t="s">
        <v>42</v>
      </c>
      <c r="M19" s="12" t="s">
        <v>56</v>
      </c>
      <c r="N19" s="12">
        <v>1</v>
      </c>
      <c r="O19" s="12">
        <v>1</v>
      </c>
      <c r="P19" s="10">
        <v>1</v>
      </c>
    </row>
    <row r="20" spans="1:16" x14ac:dyDescent="0.25">
      <c r="A20" s="12">
        <v>19</v>
      </c>
      <c r="B20" s="12">
        <v>108</v>
      </c>
      <c r="C20" s="12" t="s">
        <v>12204</v>
      </c>
      <c r="D20" s="12">
        <v>368</v>
      </c>
      <c r="E20" s="12" t="s">
        <v>12384</v>
      </c>
      <c r="F20" s="12" t="s">
        <v>888</v>
      </c>
      <c r="G20" s="12">
        <v>2023</v>
      </c>
      <c r="H20" s="12" t="s">
        <v>252</v>
      </c>
      <c r="I20" s="12" t="s">
        <v>889</v>
      </c>
      <c r="J20" s="12" t="s">
        <v>892</v>
      </c>
      <c r="K20" s="12" t="s">
        <v>893</v>
      </c>
      <c r="L20" s="12" t="s">
        <v>42</v>
      </c>
      <c r="M20" s="12" t="s">
        <v>56</v>
      </c>
      <c r="N20" s="12">
        <v>1</v>
      </c>
      <c r="O20" s="12">
        <v>1</v>
      </c>
      <c r="P20" s="10">
        <v>1</v>
      </c>
    </row>
    <row r="21" spans="1:16" x14ac:dyDescent="0.25">
      <c r="A21" s="12">
        <v>20</v>
      </c>
      <c r="B21" s="12">
        <v>72</v>
      </c>
      <c r="C21" s="12" t="s">
        <v>12204</v>
      </c>
      <c r="D21" s="12">
        <v>258</v>
      </c>
      <c r="E21" s="12" t="s">
        <v>1213</v>
      </c>
      <c r="F21" s="12" t="s">
        <v>1214</v>
      </c>
      <c r="G21" s="12">
        <v>2023</v>
      </c>
      <c r="H21" s="12" t="s">
        <v>1215</v>
      </c>
      <c r="I21" s="12" t="s">
        <v>1216</v>
      </c>
      <c r="J21" s="12" t="s">
        <v>1218</v>
      </c>
      <c r="L21" s="12" t="s">
        <v>42</v>
      </c>
      <c r="M21" s="12" t="s">
        <v>12262</v>
      </c>
      <c r="N21" s="12">
        <v>1</v>
      </c>
      <c r="O21" s="12">
        <v>1</v>
      </c>
      <c r="P21" s="10" t="s">
        <v>12142</v>
      </c>
    </row>
    <row r="22" spans="1:16" x14ac:dyDescent="0.25">
      <c r="A22" s="12">
        <v>21</v>
      </c>
      <c r="B22" s="12">
        <v>93</v>
      </c>
      <c r="C22" s="12" t="s">
        <v>12204</v>
      </c>
      <c r="D22" s="12">
        <v>329</v>
      </c>
      <c r="E22" s="12" t="s">
        <v>1346</v>
      </c>
      <c r="F22" s="12" t="s">
        <v>1347</v>
      </c>
      <c r="G22" s="12">
        <v>2023</v>
      </c>
      <c r="H22" s="12" t="s">
        <v>1348</v>
      </c>
      <c r="I22" s="12" t="s">
        <v>1349</v>
      </c>
      <c r="J22" s="12" t="s">
        <v>1352</v>
      </c>
      <c r="K22" s="12" t="s">
        <v>1353</v>
      </c>
      <c r="L22" s="12" t="s">
        <v>42</v>
      </c>
      <c r="M22" s="12" t="s">
        <v>56</v>
      </c>
      <c r="N22" s="12">
        <v>1</v>
      </c>
      <c r="O22" s="12">
        <v>1</v>
      </c>
      <c r="P22" s="10">
        <v>1</v>
      </c>
    </row>
    <row r="23" spans="1:16" x14ac:dyDescent="0.25">
      <c r="A23" s="12">
        <v>22</v>
      </c>
      <c r="B23" s="12">
        <v>83</v>
      </c>
      <c r="C23" s="12" t="s">
        <v>12204</v>
      </c>
      <c r="D23" s="12">
        <v>292</v>
      </c>
      <c r="E23" s="12" t="s">
        <v>12762</v>
      </c>
      <c r="F23" s="12" t="s">
        <v>1327</v>
      </c>
      <c r="G23" s="12">
        <v>2023</v>
      </c>
      <c r="H23" s="12" t="s">
        <v>1328</v>
      </c>
      <c r="I23" s="12" t="s">
        <v>1329</v>
      </c>
      <c r="J23" s="12" t="s">
        <v>1332</v>
      </c>
      <c r="K23" s="12" t="s">
        <v>1333</v>
      </c>
      <c r="L23" s="12" t="s">
        <v>42</v>
      </c>
      <c r="M23" s="12" t="s">
        <v>12252</v>
      </c>
      <c r="N23" s="12">
        <v>1</v>
      </c>
      <c r="O23" s="12">
        <v>1</v>
      </c>
      <c r="P23" s="10">
        <v>1</v>
      </c>
    </row>
    <row r="24" spans="1:16" x14ac:dyDescent="0.25">
      <c r="A24" s="12">
        <v>23</v>
      </c>
      <c r="B24" s="12">
        <v>116</v>
      </c>
      <c r="C24" s="12" t="s">
        <v>12204</v>
      </c>
      <c r="D24" s="12">
        <v>415</v>
      </c>
      <c r="E24" s="12" t="s">
        <v>13476</v>
      </c>
      <c r="F24" s="12" t="s">
        <v>571</v>
      </c>
      <c r="G24" s="12">
        <v>2023</v>
      </c>
      <c r="H24" s="12" t="s">
        <v>572</v>
      </c>
      <c r="I24" s="12" t="s">
        <v>573</v>
      </c>
      <c r="J24" s="12" t="s">
        <v>576</v>
      </c>
      <c r="K24" s="12" t="s">
        <v>577</v>
      </c>
      <c r="L24" s="12" t="s">
        <v>42</v>
      </c>
      <c r="M24" s="12" t="s">
        <v>56</v>
      </c>
      <c r="N24" s="12">
        <v>1</v>
      </c>
      <c r="O24" s="12">
        <v>1</v>
      </c>
      <c r="P24" s="10" t="s">
        <v>12142</v>
      </c>
    </row>
    <row r="25" spans="1:16" x14ac:dyDescent="0.25">
      <c r="A25" s="12">
        <v>24</v>
      </c>
      <c r="B25" s="12">
        <v>33</v>
      </c>
      <c r="C25" s="12" t="s">
        <v>12204</v>
      </c>
      <c r="D25" s="12">
        <v>105</v>
      </c>
      <c r="E25" s="12" t="s">
        <v>13344</v>
      </c>
      <c r="F25" s="12" t="s">
        <v>581</v>
      </c>
      <c r="G25" s="12">
        <v>2023</v>
      </c>
      <c r="H25" s="12" t="s">
        <v>486</v>
      </c>
      <c r="I25" s="12" t="s">
        <v>584</v>
      </c>
      <c r="J25" s="12" t="s">
        <v>587</v>
      </c>
      <c r="L25" s="12" t="s">
        <v>42</v>
      </c>
      <c r="M25" s="12" t="s">
        <v>56</v>
      </c>
      <c r="N25" s="12">
        <v>1</v>
      </c>
      <c r="O25" s="12">
        <v>1</v>
      </c>
      <c r="P25" s="10">
        <v>1</v>
      </c>
    </row>
    <row r="26" spans="1:16" x14ac:dyDescent="0.25">
      <c r="A26" s="12">
        <v>25</v>
      </c>
      <c r="B26" s="12">
        <v>163</v>
      </c>
      <c r="C26" s="12" t="s">
        <v>12204</v>
      </c>
      <c r="D26" s="12">
        <v>605</v>
      </c>
      <c r="E26" s="12" t="s">
        <v>12484</v>
      </c>
      <c r="F26" s="12" t="s">
        <v>1408</v>
      </c>
      <c r="G26" s="12">
        <v>2023</v>
      </c>
      <c r="H26" s="12" t="s">
        <v>1409</v>
      </c>
      <c r="I26" s="12" t="s">
        <v>1410</v>
      </c>
      <c r="J26" s="12" t="s">
        <v>1413</v>
      </c>
      <c r="K26" s="12" t="s">
        <v>1414</v>
      </c>
      <c r="L26" s="12" t="s">
        <v>42</v>
      </c>
      <c r="M26" s="12" t="s">
        <v>56</v>
      </c>
      <c r="N26" s="12">
        <v>1</v>
      </c>
      <c r="O26" s="12">
        <v>1</v>
      </c>
      <c r="P26" s="10" t="s">
        <v>12142</v>
      </c>
    </row>
    <row r="27" spans="1:16" x14ac:dyDescent="0.25">
      <c r="A27" s="12">
        <v>26</v>
      </c>
      <c r="B27" s="11">
        <v>217</v>
      </c>
      <c r="C27" s="12" t="s">
        <v>12118</v>
      </c>
      <c r="D27" s="12">
        <v>238</v>
      </c>
      <c r="E27" s="11" t="s">
        <v>3995</v>
      </c>
      <c r="F27" s="11" t="s">
        <v>3997</v>
      </c>
      <c r="G27" s="11">
        <v>2023</v>
      </c>
      <c r="H27" s="11" t="s">
        <v>3998</v>
      </c>
      <c r="I27" s="11" t="str">
        <f>HYPERLINK("http://dx.doi.org/10.3855/jidc.18738","http://dx.doi.org/10.3855/jidc.18738")</f>
        <v>http://dx.doi.org/10.3855/jidc.18738</v>
      </c>
      <c r="J27" s="11" t="s">
        <v>4000</v>
      </c>
      <c r="K27" s="11" t="s">
        <v>3999</v>
      </c>
      <c r="L27" s="11" t="s">
        <v>42</v>
      </c>
      <c r="M27" s="11" t="s">
        <v>56</v>
      </c>
      <c r="N27" s="11">
        <v>1</v>
      </c>
      <c r="O27" s="11">
        <v>1</v>
      </c>
      <c r="P27" s="10">
        <v>1</v>
      </c>
    </row>
    <row r="28" spans="1:16" x14ac:dyDescent="0.25">
      <c r="A28" s="12">
        <v>27</v>
      </c>
      <c r="B28" s="11">
        <v>445</v>
      </c>
      <c r="C28" s="12" t="s">
        <v>12118</v>
      </c>
      <c r="D28" s="12">
        <v>498</v>
      </c>
      <c r="E28" s="11" t="s">
        <v>1935</v>
      </c>
      <c r="F28" s="11" t="s">
        <v>1937</v>
      </c>
      <c r="G28" s="11">
        <v>2023</v>
      </c>
      <c r="H28" s="11" t="s">
        <v>1938</v>
      </c>
      <c r="I28" s="11" t="str">
        <f>HYPERLINK("http://dx.doi.org/10.3389/fmed.2023.1296615","http://dx.doi.org/10.3389/fmed.2023.1296615")</f>
        <v>http://dx.doi.org/10.3389/fmed.2023.1296615</v>
      </c>
      <c r="J28" s="11" t="s">
        <v>1940</v>
      </c>
      <c r="K28" s="11" t="s">
        <v>1939</v>
      </c>
      <c r="L28" s="11" t="s">
        <v>42</v>
      </c>
      <c r="M28" s="11" t="s">
        <v>56</v>
      </c>
      <c r="N28" s="11">
        <v>1</v>
      </c>
      <c r="O28" s="11">
        <v>1</v>
      </c>
      <c r="P28" s="10">
        <v>1</v>
      </c>
    </row>
    <row r="29" spans="1:16" x14ac:dyDescent="0.25">
      <c r="A29" s="12">
        <v>28</v>
      </c>
      <c r="B29" s="12">
        <v>150</v>
      </c>
      <c r="C29" s="12" t="s">
        <v>12204</v>
      </c>
      <c r="D29" s="12">
        <v>555</v>
      </c>
      <c r="E29" s="12" t="s">
        <v>12906</v>
      </c>
      <c r="F29" s="12" t="s">
        <v>95</v>
      </c>
      <c r="G29" s="12">
        <v>2023</v>
      </c>
      <c r="H29" s="12" t="s">
        <v>96</v>
      </c>
      <c r="J29" s="12" t="s">
        <v>99</v>
      </c>
      <c r="L29" s="12" t="s">
        <v>42</v>
      </c>
      <c r="M29" s="12" t="s">
        <v>12252</v>
      </c>
      <c r="N29" s="12">
        <v>1</v>
      </c>
      <c r="O29" s="12">
        <v>1</v>
      </c>
      <c r="P29" s="10">
        <v>1</v>
      </c>
    </row>
    <row r="30" spans="1:16" x14ac:dyDescent="0.25">
      <c r="A30" s="12">
        <v>29</v>
      </c>
      <c r="B30" s="12">
        <v>35</v>
      </c>
      <c r="C30" s="12" t="s">
        <v>12204</v>
      </c>
      <c r="D30" s="12">
        <v>114</v>
      </c>
      <c r="E30" s="12" t="s">
        <v>12946</v>
      </c>
      <c r="F30" s="12" t="s">
        <v>195</v>
      </c>
      <c r="G30" s="12">
        <v>2023</v>
      </c>
      <c r="H30" s="12" t="s">
        <v>196</v>
      </c>
      <c r="I30" s="12" t="s">
        <v>197</v>
      </c>
      <c r="J30" s="12" t="s">
        <v>12943</v>
      </c>
      <c r="K30" s="12" t="s">
        <v>201</v>
      </c>
      <c r="L30" s="12" t="s">
        <v>42</v>
      </c>
      <c r="M30" s="12" t="s">
        <v>12252</v>
      </c>
      <c r="N30" s="12">
        <v>1</v>
      </c>
      <c r="O30" s="12">
        <v>1</v>
      </c>
      <c r="P30" s="10">
        <v>1</v>
      </c>
    </row>
    <row r="31" spans="1:16" x14ac:dyDescent="0.25">
      <c r="A31" s="12">
        <v>30</v>
      </c>
      <c r="B31" s="11">
        <v>302</v>
      </c>
      <c r="C31" s="12" t="s">
        <v>12118</v>
      </c>
      <c r="D31" s="12">
        <v>336</v>
      </c>
      <c r="E31" s="11" t="s">
        <v>3669</v>
      </c>
      <c r="F31" s="11" t="s">
        <v>3671</v>
      </c>
      <c r="G31" s="11">
        <v>2023</v>
      </c>
      <c r="H31" s="11" t="s">
        <v>3672</v>
      </c>
      <c r="I31" s="11" t="str">
        <f>HYPERLINK("http://dx.doi.org/10.1016/j.dche.2023.100126","http://dx.doi.org/10.1016/j.dche.2023.100126")</f>
        <v>http://dx.doi.org/10.1016/j.dche.2023.100126</v>
      </c>
      <c r="J31" s="11" t="s">
        <v>3675</v>
      </c>
      <c r="K31" s="11" t="s">
        <v>3673</v>
      </c>
      <c r="L31" s="11" t="s">
        <v>42</v>
      </c>
      <c r="M31" s="11" t="s">
        <v>56</v>
      </c>
      <c r="N31" s="11">
        <v>1</v>
      </c>
      <c r="O31" s="11">
        <v>1</v>
      </c>
      <c r="P31" s="10">
        <v>1</v>
      </c>
    </row>
    <row r="32" spans="1:16" x14ac:dyDescent="0.25">
      <c r="A32" s="12">
        <v>31</v>
      </c>
      <c r="B32" s="11">
        <v>260</v>
      </c>
      <c r="C32" s="12" t="s">
        <v>12118</v>
      </c>
      <c r="D32" s="12">
        <v>289</v>
      </c>
      <c r="E32" s="11" t="s">
        <v>2217</v>
      </c>
      <c r="F32" s="11" t="s">
        <v>2219</v>
      </c>
      <c r="G32" s="11">
        <v>2023</v>
      </c>
      <c r="H32" s="11" t="s">
        <v>2220</v>
      </c>
      <c r="I32" s="11" t="str">
        <f>HYPERLINK("http://dx.doi.org/10.3390/bdcc7040182","http://dx.doi.org/10.3390/bdcc7040182")</f>
        <v>http://dx.doi.org/10.3390/bdcc7040182</v>
      </c>
      <c r="J32" s="11" t="s">
        <v>2222</v>
      </c>
      <c r="K32" s="11" t="s">
        <v>2221</v>
      </c>
      <c r="L32" s="11" t="s">
        <v>42</v>
      </c>
      <c r="M32" s="11" t="s">
        <v>56</v>
      </c>
      <c r="N32" s="11">
        <v>1</v>
      </c>
      <c r="O32" s="11">
        <v>1</v>
      </c>
      <c r="P32" s="10">
        <v>1</v>
      </c>
    </row>
    <row r="33" spans="1:16" x14ac:dyDescent="0.25">
      <c r="A33" s="12">
        <v>32</v>
      </c>
      <c r="B33" s="12">
        <v>146</v>
      </c>
      <c r="C33" s="12" t="s">
        <v>12204</v>
      </c>
      <c r="D33" s="12">
        <v>540</v>
      </c>
      <c r="E33" s="12" t="s">
        <v>12697</v>
      </c>
      <c r="F33" s="12" t="s">
        <v>1119</v>
      </c>
      <c r="G33" s="12">
        <v>2023</v>
      </c>
      <c r="H33" s="12" t="s">
        <v>383</v>
      </c>
      <c r="J33" s="12" t="s">
        <v>12694</v>
      </c>
      <c r="K33" s="12" t="s">
        <v>1123</v>
      </c>
      <c r="L33" s="12" t="s">
        <v>42</v>
      </c>
      <c r="M33" s="12" t="s">
        <v>12252</v>
      </c>
      <c r="N33" s="12">
        <v>1</v>
      </c>
      <c r="O33" s="12">
        <v>1</v>
      </c>
      <c r="P33" s="10">
        <v>1</v>
      </c>
    </row>
    <row r="34" spans="1:16" x14ac:dyDescent="0.25">
      <c r="A34" s="12">
        <v>33</v>
      </c>
      <c r="B34" s="12">
        <v>58</v>
      </c>
      <c r="C34" s="12" t="s">
        <v>12204</v>
      </c>
      <c r="D34" s="12">
        <v>209</v>
      </c>
      <c r="E34" s="12" t="s">
        <v>13349</v>
      </c>
      <c r="F34" s="12" t="s">
        <v>173</v>
      </c>
      <c r="G34" s="12">
        <v>2023</v>
      </c>
      <c r="H34" s="12" t="s">
        <v>174</v>
      </c>
      <c r="I34" s="12" t="s">
        <v>175</v>
      </c>
      <c r="J34" s="12" t="s">
        <v>178</v>
      </c>
      <c r="K34" s="12" t="s">
        <v>179</v>
      </c>
      <c r="L34" s="12" t="s">
        <v>42</v>
      </c>
      <c r="M34" s="12" t="s">
        <v>56</v>
      </c>
      <c r="N34" s="12">
        <v>1</v>
      </c>
      <c r="O34" s="12">
        <v>1</v>
      </c>
      <c r="P34" s="10">
        <v>1</v>
      </c>
    </row>
    <row r="35" spans="1:16" x14ac:dyDescent="0.25">
      <c r="A35" s="12">
        <v>34</v>
      </c>
      <c r="B35" s="11">
        <v>497</v>
      </c>
      <c r="C35" s="12" t="s">
        <v>12118</v>
      </c>
      <c r="D35" s="12">
        <v>550</v>
      </c>
      <c r="E35" s="11" t="s">
        <v>4018</v>
      </c>
      <c r="F35" s="11" t="s">
        <v>4020</v>
      </c>
      <c r="G35" s="11">
        <v>2023</v>
      </c>
      <c r="H35" s="11" t="s">
        <v>4021</v>
      </c>
      <c r="I35" s="11" t="str">
        <f>HYPERLINK("http://dx.doi.org/10.1016/j.jksuci.2023.101675","http://dx.doi.org/10.1016/j.jksuci.2023.101675")</f>
        <v>http://dx.doi.org/10.1016/j.jksuci.2023.101675</v>
      </c>
      <c r="J35" s="11" t="s">
        <v>4024</v>
      </c>
      <c r="K35" s="11" t="s">
        <v>4022</v>
      </c>
      <c r="L35" s="11" t="s">
        <v>42</v>
      </c>
      <c r="M35" s="11" t="s">
        <v>56</v>
      </c>
      <c r="N35" s="11">
        <v>1</v>
      </c>
      <c r="O35" s="11">
        <v>1</v>
      </c>
      <c r="P35" s="10">
        <v>1</v>
      </c>
    </row>
    <row r="36" spans="1:16" x14ac:dyDescent="0.25">
      <c r="A36" s="12">
        <v>35</v>
      </c>
      <c r="B36" s="11">
        <v>531</v>
      </c>
      <c r="C36" s="12" t="s">
        <v>12118</v>
      </c>
      <c r="D36" s="12">
        <v>592</v>
      </c>
      <c r="E36" s="11" t="s">
        <v>3213</v>
      </c>
      <c r="F36" s="11" t="s">
        <v>3215</v>
      </c>
      <c r="G36" s="11">
        <v>2023</v>
      </c>
      <c r="H36" s="11" t="s">
        <v>1657</v>
      </c>
      <c r="I36" s="11" t="str">
        <f>HYPERLINK("http://dx.doi.org/10.2196/49949","http://dx.doi.org/10.2196/49949")</f>
        <v>http://dx.doi.org/10.2196/49949</v>
      </c>
      <c r="J36" s="11" t="s">
        <v>3218</v>
      </c>
      <c r="K36" s="11" t="s">
        <v>3216</v>
      </c>
      <c r="L36" s="11" t="s">
        <v>42</v>
      </c>
      <c r="M36" s="11" t="s">
        <v>56</v>
      </c>
      <c r="N36" s="12">
        <v>1</v>
      </c>
      <c r="O36" s="12">
        <v>1</v>
      </c>
      <c r="P36" s="10" t="s">
        <v>12142</v>
      </c>
    </row>
    <row r="37" spans="1:16" x14ac:dyDescent="0.25">
      <c r="A37" s="12">
        <v>36</v>
      </c>
      <c r="B37" s="11">
        <v>478</v>
      </c>
      <c r="C37" s="12" t="s">
        <v>12118</v>
      </c>
      <c r="D37" s="12">
        <v>531</v>
      </c>
      <c r="E37" s="11" t="s">
        <v>6349</v>
      </c>
      <c r="F37" s="11" t="s">
        <v>6351</v>
      </c>
      <c r="G37" s="11">
        <v>2023</v>
      </c>
      <c r="H37" s="11" t="s">
        <v>5976</v>
      </c>
      <c r="I37" s="11" t="str">
        <f>HYPERLINK("http://dx.doi.org/10.2196/53466","http://dx.doi.org/10.2196/53466")</f>
        <v>http://dx.doi.org/10.2196/53466</v>
      </c>
      <c r="J37" s="11" t="s">
        <v>6354</v>
      </c>
      <c r="K37" s="11" t="s">
        <v>6352</v>
      </c>
      <c r="L37" s="11" t="s">
        <v>42</v>
      </c>
      <c r="M37" s="11" t="s">
        <v>56</v>
      </c>
      <c r="N37" s="11">
        <v>1</v>
      </c>
      <c r="O37" s="11">
        <v>1</v>
      </c>
      <c r="P37" s="10">
        <v>1</v>
      </c>
    </row>
    <row r="38" spans="1:16" x14ac:dyDescent="0.25">
      <c r="A38" s="12">
        <v>37</v>
      </c>
      <c r="B38" s="11">
        <v>122</v>
      </c>
      <c r="C38" s="12" t="s">
        <v>12118</v>
      </c>
      <c r="D38" s="12">
        <v>130</v>
      </c>
      <c r="E38" s="11" t="s">
        <v>5737</v>
      </c>
      <c r="F38" s="11" t="s">
        <v>5739</v>
      </c>
      <c r="G38" s="11">
        <v>2023</v>
      </c>
      <c r="H38" s="11" t="s">
        <v>5740</v>
      </c>
      <c r="I38" s="11" t="str">
        <f>HYPERLINK("http://dx.doi.org/10.53761/1.20.7.01","http://dx.doi.org/10.53761/1.20.7.01")</f>
        <v>http://dx.doi.org/10.53761/1.20.7.01</v>
      </c>
      <c r="J38" s="11" t="s">
        <v>5743</v>
      </c>
      <c r="K38" s="11" t="s">
        <v>5741</v>
      </c>
      <c r="L38" s="11" t="s">
        <v>42</v>
      </c>
      <c r="M38" s="11" t="s">
        <v>56</v>
      </c>
      <c r="N38" s="12">
        <v>1</v>
      </c>
      <c r="O38" s="12">
        <v>1</v>
      </c>
      <c r="P38" s="10" t="s">
        <v>12142</v>
      </c>
    </row>
    <row r="39" spans="1:16" x14ac:dyDescent="0.25">
      <c r="A39" s="12">
        <v>38</v>
      </c>
      <c r="B39" s="11">
        <v>514</v>
      </c>
      <c r="C39" s="12" t="s">
        <v>12118</v>
      </c>
      <c r="D39" s="12">
        <v>570</v>
      </c>
      <c r="E39" s="11" t="s">
        <v>11457</v>
      </c>
      <c r="F39" s="11" t="s">
        <v>913</v>
      </c>
      <c r="G39" s="11">
        <v>2019</v>
      </c>
      <c r="H39" s="11" t="s">
        <v>11460</v>
      </c>
      <c r="I39" s="11" t="str">
        <f>HYPERLINK("http://dx.doi.org/10.1088/1742-6596/1171/1/012004","http://dx.doi.org/10.1088/1742-6596/1171/1/012004")</f>
        <v>http://dx.doi.org/10.1088/1742-6596/1171/1/012004</v>
      </c>
      <c r="J39" s="11" t="s">
        <v>11466</v>
      </c>
      <c r="K39" s="11" t="s">
        <v>1507</v>
      </c>
      <c r="L39" s="11" t="s">
        <v>42</v>
      </c>
      <c r="M39" s="11" t="s">
        <v>5552</v>
      </c>
      <c r="N39" s="12">
        <v>1</v>
      </c>
      <c r="O39" s="12">
        <v>1</v>
      </c>
      <c r="P39" s="10" t="s">
        <v>12142</v>
      </c>
    </row>
    <row r="40" spans="1:16" x14ac:dyDescent="0.25">
      <c r="A40" s="12">
        <v>39</v>
      </c>
      <c r="B40" s="12">
        <v>170</v>
      </c>
      <c r="C40" s="12" t="s">
        <v>12204</v>
      </c>
      <c r="D40" s="12">
        <v>635</v>
      </c>
      <c r="E40" s="12" t="s">
        <v>12489</v>
      </c>
      <c r="F40" s="12" t="s">
        <v>1153</v>
      </c>
      <c r="G40" s="12">
        <v>2023</v>
      </c>
      <c r="H40" s="12" t="s">
        <v>1154</v>
      </c>
      <c r="I40" s="12" t="s">
        <v>1155</v>
      </c>
      <c r="J40" s="12" t="s">
        <v>1158</v>
      </c>
      <c r="K40" s="12" t="s">
        <v>1159</v>
      </c>
      <c r="L40" s="12" t="s">
        <v>42</v>
      </c>
      <c r="M40" s="12" t="s">
        <v>56</v>
      </c>
      <c r="N40" s="12">
        <v>1</v>
      </c>
      <c r="O40" s="12">
        <v>1</v>
      </c>
      <c r="P40" s="10">
        <v>1</v>
      </c>
    </row>
    <row r="41" spans="1:16" x14ac:dyDescent="0.25">
      <c r="A41" s="12">
        <v>40</v>
      </c>
      <c r="B41" s="12">
        <v>30</v>
      </c>
      <c r="C41" s="12" t="s">
        <v>12204</v>
      </c>
      <c r="D41" s="12">
        <v>83</v>
      </c>
      <c r="E41" s="12" t="s">
        <v>13288</v>
      </c>
      <c r="F41" s="12" t="s">
        <v>467</v>
      </c>
      <c r="G41" s="12">
        <v>2023</v>
      </c>
      <c r="H41" s="12" t="s">
        <v>305</v>
      </c>
      <c r="I41" s="12" t="s">
        <v>468</v>
      </c>
      <c r="J41" s="12" t="s">
        <v>471</v>
      </c>
      <c r="K41" s="12" t="s">
        <v>472</v>
      </c>
      <c r="L41" s="12" t="s">
        <v>42</v>
      </c>
      <c r="M41" s="12" t="s">
        <v>56</v>
      </c>
      <c r="N41" s="12">
        <v>1</v>
      </c>
      <c r="O41" s="12">
        <v>1</v>
      </c>
      <c r="P41" s="10">
        <v>1</v>
      </c>
    </row>
    <row r="42" spans="1:16" x14ac:dyDescent="0.25">
      <c r="A42" s="12">
        <v>41</v>
      </c>
      <c r="B42" s="11">
        <v>198</v>
      </c>
      <c r="C42" s="12" t="s">
        <v>12118</v>
      </c>
      <c r="D42" s="12">
        <v>216</v>
      </c>
      <c r="E42" s="11" t="s">
        <v>6944</v>
      </c>
      <c r="F42" s="11" t="s">
        <v>6946</v>
      </c>
      <c r="G42" s="11">
        <v>2022</v>
      </c>
      <c r="H42" s="11" t="s">
        <v>6947</v>
      </c>
      <c r="I42" s="11" t="str">
        <f>HYPERLINK("http://dx.doi.org/10.26342/2022-69-13","http://dx.doi.org/10.26342/2022-69-13")</f>
        <v>http://dx.doi.org/10.26342/2022-69-13</v>
      </c>
      <c r="J42" s="11" t="s">
        <v>6949</v>
      </c>
      <c r="K42" s="11" t="s">
        <v>6948</v>
      </c>
      <c r="L42" s="11" t="s">
        <v>42</v>
      </c>
      <c r="M42" s="11" t="s">
        <v>56</v>
      </c>
      <c r="N42" s="11">
        <v>1</v>
      </c>
      <c r="O42" s="11">
        <v>1</v>
      </c>
      <c r="P42" s="10">
        <v>1</v>
      </c>
    </row>
    <row r="43" spans="1:16" x14ac:dyDescent="0.25">
      <c r="A43" s="12">
        <v>42</v>
      </c>
      <c r="B43" s="12">
        <v>107</v>
      </c>
      <c r="C43" s="12" t="s">
        <v>12204</v>
      </c>
      <c r="D43" s="12">
        <v>367</v>
      </c>
      <c r="E43" s="12" t="s">
        <v>12739</v>
      </c>
      <c r="F43" s="12" t="s">
        <v>876</v>
      </c>
      <c r="G43" s="12">
        <v>2023</v>
      </c>
      <c r="H43" s="12" t="s">
        <v>877</v>
      </c>
      <c r="I43" s="12" t="s">
        <v>878</v>
      </c>
      <c r="J43" s="12" t="s">
        <v>12736</v>
      </c>
      <c r="K43" s="12" t="s">
        <v>882</v>
      </c>
      <c r="L43" s="12" t="s">
        <v>42</v>
      </c>
      <c r="M43" s="12" t="s">
        <v>12252</v>
      </c>
      <c r="N43" s="12">
        <v>1</v>
      </c>
      <c r="O43" s="12">
        <v>1</v>
      </c>
      <c r="P43" s="10">
        <v>1</v>
      </c>
    </row>
    <row r="44" spans="1:16" x14ac:dyDescent="0.25">
      <c r="A44" s="12">
        <v>43</v>
      </c>
      <c r="B44" s="11">
        <v>389</v>
      </c>
      <c r="C44" s="12" t="s">
        <v>12118</v>
      </c>
      <c r="D44" s="12">
        <v>431</v>
      </c>
      <c r="E44" s="11" t="s">
        <v>15223</v>
      </c>
      <c r="F44" s="11" t="s">
        <v>12137</v>
      </c>
      <c r="G44" s="11">
        <v>2023</v>
      </c>
      <c r="H44" s="11" t="s">
        <v>15225</v>
      </c>
      <c r="I44" s="11" t="str">
        <f>HYPERLINK("http://dx.doi.org/10.30827/relieve.v29i2.29295","http://dx.doi.org/10.30827/relieve.v29i2.29295")</f>
        <v>http://dx.doi.org/10.30827/relieve.v29i2.29295</v>
      </c>
      <c r="J44" s="11" t="s">
        <v>15228</v>
      </c>
      <c r="K44" s="11" t="s">
        <v>15226</v>
      </c>
      <c r="L44" s="11" t="s">
        <v>42</v>
      </c>
      <c r="M44" s="11" t="s">
        <v>56</v>
      </c>
      <c r="N44" s="11">
        <v>1</v>
      </c>
      <c r="O44" s="11">
        <v>1</v>
      </c>
      <c r="P44" s="10">
        <v>1</v>
      </c>
    </row>
    <row r="45" spans="1:16" x14ac:dyDescent="0.25">
      <c r="A45" s="12">
        <v>44</v>
      </c>
      <c r="B45" s="12">
        <v>167</v>
      </c>
      <c r="C45" s="12" t="s">
        <v>12204</v>
      </c>
      <c r="D45" s="12">
        <v>619</v>
      </c>
      <c r="E45" s="12" t="s">
        <v>12928</v>
      </c>
      <c r="F45" s="12" t="s">
        <v>334</v>
      </c>
      <c r="G45" s="12">
        <v>2023</v>
      </c>
      <c r="H45" s="12" t="s">
        <v>335</v>
      </c>
      <c r="I45" s="12" t="s">
        <v>336</v>
      </c>
      <c r="J45" s="12" t="s">
        <v>338</v>
      </c>
      <c r="K45" s="12" t="s">
        <v>339</v>
      </c>
      <c r="L45" s="12" t="s">
        <v>42</v>
      </c>
      <c r="M45" s="12" t="s">
        <v>56</v>
      </c>
      <c r="N45" s="12">
        <v>1</v>
      </c>
      <c r="O45" s="12">
        <v>1</v>
      </c>
      <c r="P45" s="10" t="s">
        <v>12142</v>
      </c>
    </row>
    <row r="46" spans="1:16" x14ac:dyDescent="0.25">
      <c r="A46" s="12">
        <v>45</v>
      </c>
      <c r="B46" s="11">
        <v>598</v>
      </c>
      <c r="C46" s="12" t="s">
        <v>12118</v>
      </c>
      <c r="D46" s="12">
        <v>668</v>
      </c>
      <c r="E46" s="11" t="s">
        <v>6593</v>
      </c>
      <c r="F46" s="11" t="s">
        <v>6595</v>
      </c>
      <c r="G46" s="11">
        <v>2023</v>
      </c>
      <c r="H46" s="11" t="s">
        <v>6596</v>
      </c>
      <c r="I46" s="11" t="s">
        <v>1507</v>
      </c>
      <c r="J46" s="11" t="s">
        <v>6599</v>
      </c>
      <c r="K46" s="11" t="s">
        <v>6597</v>
      </c>
      <c r="L46" s="11" t="s">
        <v>42</v>
      </c>
      <c r="M46" s="11" t="s">
        <v>56</v>
      </c>
      <c r="N46" s="12">
        <v>1</v>
      </c>
      <c r="O46" s="12">
        <v>1</v>
      </c>
      <c r="P46" s="10" t="s">
        <v>12142</v>
      </c>
    </row>
    <row r="47" spans="1:16" x14ac:dyDescent="0.25">
      <c r="A47" s="12">
        <v>46</v>
      </c>
      <c r="B47" s="12">
        <v>95</v>
      </c>
      <c r="C47" s="12" t="s">
        <v>12204</v>
      </c>
      <c r="D47" s="12">
        <v>340</v>
      </c>
      <c r="E47" s="12" t="s">
        <v>13572</v>
      </c>
      <c r="F47" s="12" t="s">
        <v>748</v>
      </c>
      <c r="G47" s="12">
        <v>2023</v>
      </c>
      <c r="H47" s="12" t="s">
        <v>749</v>
      </c>
      <c r="I47" s="12" t="s">
        <v>750</v>
      </c>
      <c r="J47" s="12" t="s">
        <v>753</v>
      </c>
      <c r="K47" s="12" t="s">
        <v>754</v>
      </c>
      <c r="L47" s="12" t="s">
        <v>42</v>
      </c>
      <c r="M47" s="12" t="s">
        <v>56</v>
      </c>
      <c r="N47" s="12">
        <v>1</v>
      </c>
      <c r="O47" s="12">
        <v>1</v>
      </c>
      <c r="P47" s="10">
        <v>1</v>
      </c>
    </row>
    <row r="48" spans="1:16" x14ac:dyDescent="0.25">
      <c r="A48" s="12">
        <v>47</v>
      </c>
      <c r="B48" s="11">
        <v>366</v>
      </c>
      <c r="C48" s="12" t="s">
        <v>12118</v>
      </c>
      <c r="D48" s="12">
        <v>407</v>
      </c>
      <c r="E48" s="11" t="s">
        <v>3732</v>
      </c>
      <c r="F48" s="11" t="s">
        <v>3734</v>
      </c>
      <c r="G48" s="11">
        <v>2023</v>
      </c>
      <c r="H48" s="11" t="s">
        <v>3735</v>
      </c>
      <c r="I48" s="11" t="str">
        <f>HYPERLINK("http://dx.doi.org/10.1002/tea.21903","http://dx.doi.org/10.1002/tea.21903")</f>
        <v>http://dx.doi.org/10.1002/tea.21903</v>
      </c>
      <c r="J48" s="11" t="s">
        <v>3738</v>
      </c>
      <c r="K48" s="11" t="s">
        <v>3736</v>
      </c>
      <c r="L48" s="11" t="s">
        <v>42</v>
      </c>
      <c r="M48" s="11" t="s">
        <v>1509</v>
      </c>
      <c r="N48" s="12">
        <v>1</v>
      </c>
      <c r="O48" s="12">
        <v>1</v>
      </c>
      <c r="P48" s="10" t="s">
        <v>12142</v>
      </c>
    </row>
    <row r="49" spans="1:16" x14ac:dyDescent="0.25">
      <c r="A49" s="12">
        <v>48</v>
      </c>
      <c r="B49" s="12">
        <v>102</v>
      </c>
      <c r="C49" s="12" t="s">
        <v>12204</v>
      </c>
      <c r="D49" s="12">
        <v>356</v>
      </c>
      <c r="E49" s="12" t="s">
        <v>13668</v>
      </c>
      <c r="F49" s="12" t="s">
        <v>344</v>
      </c>
      <c r="G49" s="12">
        <v>2023</v>
      </c>
      <c r="H49" s="12" t="s">
        <v>345</v>
      </c>
      <c r="I49" s="12" t="s">
        <v>346</v>
      </c>
      <c r="J49" s="12" t="s">
        <v>349</v>
      </c>
      <c r="K49" s="12" t="s">
        <v>350</v>
      </c>
      <c r="L49" s="12" t="s">
        <v>42</v>
      </c>
      <c r="M49" s="12" t="s">
        <v>56</v>
      </c>
      <c r="N49" s="12">
        <v>1</v>
      </c>
      <c r="O49" s="12">
        <v>1</v>
      </c>
      <c r="P49" s="10" t="s">
        <v>12142</v>
      </c>
    </row>
    <row r="50" spans="1:16" x14ac:dyDescent="0.25">
      <c r="A50" s="12">
        <v>49</v>
      </c>
      <c r="B50" s="12">
        <v>97</v>
      </c>
      <c r="C50" s="12" t="s">
        <v>12204</v>
      </c>
      <c r="D50" s="12">
        <v>343</v>
      </c>
      <c r="E50" s="12" t="s">
        <v>13184</v>
      </c>
      <c r="F50" s="12" t="s">
        <v>355</v>
      </c>
      <c r="G50" s="12">
        <v>2023</v>
      </c>
      <c r="H50" s="12" t="s">
        <v>356</v>
      </c>
      <c r="I50" s="12" t="s">
        <v>357</v>
      </c>
      <c r="J50" s="12" t="s">
        <v>360</v>
      </c>
      <c r="K50" s="12" t="s">
        <v>361</v>
      </c>
      <c r="L50" s="12" t="s">
        <v>42</v>
      </c>
      <c r="M50" s="12" t="s">
        <v>12252</v>
      </c>
      <c r="N50" s="12">
        <v>1</v>
      </c>
      <c r="O50" s="12">
        <v>1</v>
      </c>
      <c r="P50" s="10">
        <v>1</v>
      </c>
    </row>
    <row r="51" spans="1:16" x14ac:dyDescent="0.25">
      <c r="A51" s="12">
        <v>50</v>
      </c>
      <c r="B51" s="12">
        <v>104</v>
      </c>
      <c r="C51" s="12" t="s">
        <v>12204</v>
      </c>
      <c r="D51" s="12">
        <v>362</v>
      </c>
      <c r="E51" s="12" t="s">
        <v>12745</v>
      </c>
      <c r="F51" s="12" t="s">
        <v>1104</v>
      </c>
      <c r="G51" s="12">
        <v>2023</v>
      </c>
      <c r="H51" s="12" t="s">
        <v>498</v>
      </c>
      <c r="J51" s="12" t="s">
        <v>1107</v>
      </c>
      <c r="K51" s="12" t="s">
        <v>1108</v>
      </c>
      <c r="L51" s="12" t="s">
        <v>42</v>
      </c>
      <c r="M51" s="12" t="s">
        <v>12252</v>
      </c>
      <c r="N51" s="12">
        <v>1</v>
      </c>
      <c r="O51" s="12">
        <v>1</v>
      </c>
      <c r="P51" s="10">
        <v>1</v>
      </c>
    </row>
    <row r="52" spans="1:16" x14ac:dyDescent="0.25">
      <c r="A52" s="12">
        <v>51</v>
      </c>
      <c r="B52" s="12">
        <v>159</v>
      </c>
      <c r="C52" s="12" t="s">
        <v>12204</v>
      </c>
      <c r="D52" s="12">
        <v>594</v>
      </c>
      <c r="E52" s="12" t="s">
        <v>13306</v>
      </c>
      <c r="F52" s="12" t="s">
        <v>316</v>
      </c>
      <c r="G52" s="12">
        <v>2023</v>
      </c>
      <c r="H52" s="12" t="s">
        <v>317</v>
      </c>
      <c r="I52" s="12" t="s">
        <v>318</v>
      </c>
      <c r="J52" s="12" t="s">
        <v>321</v>
      </c>
      <c r="K52" s="12" t="s">
        <v>322</v>
      </c>
      <c r="L52" s="12" t="s">
        <v>42</v>
      </c>
      <c r="M52" s="12" t="s">
        <v>56</v>
      </c>
      <c r="N52" s="12">
        <v>1</v>
      </c>
      <c r="O52" s="12">
        <v>1</v>
      </c>
      <c r="P52" s="10">
        <v>1</v>
      </c>
    </row>
    <row r="53" spans="1:16" x14ac:dyDescent="0.25">
      <c r="A53" s="12">
        <v>52</v>
      </c>
      <c r="B53" s="11">
        <v>386</v>
      </c>
      <c r="C53" s="12" t="s">
        <v>12118</v>
      </c>
      <c r="D53" s="12">
        <v>427</v>
      </c>
      <c r="E53" s="11" t="s">
        <v>4138</v>
      </c>
      <c r="F53" s="11" t="s">
        <v>4140</v>
      </c>
      <c r="G53" s="11">
        <v>2023</v>
      </c>
      <c r="H53" s="11" t="s">
        <v>1562</v>
      </c>
      <c r="I53" s="11" t="str">
        <f>HYPERLINK("http://dx.doi.org/10.3389/feduc.2023.1250461","http://dx.doi.org/10.3389/feduc.2023.1250461")</f>
        <v>http://dx.doi.org/10.3389/feduc.2023.1250461</v>
      </c>
      <c r="J53" s="11" t="s">
        <v>4143</v>
      </c>
      <c r="K53" s="11" t="s">
        <v>4141</v>
      </c>
      <c r="L53" s="11" t="s">
        <v>42</v>
      </c>
      <c r="M53" s="11" t="s">
        <v>56</v>
      </c>
      <c r="N53" s="12">
        <v>1</v>
      </c>
      <c r="O53" s="12">
        <v>1</v>
      </c>
      <c r="P53" s="10" t="s">
        <v>12142</v>
      </c>
    </row>
    <row r="54" spans="1:16" x14ac:dyDescent="0.25">
      <c r="A54" s="12">
        <v>53</v>
      </c>
      <c r="B54" s="11">
        <v>177</v>
      </c>
      <c r="C54" s="12" t="s">
        <v>12118</v>
      </c>
      <c r="D54" s="12">
        <v>192</v>
      </c>
      <c r="E54" s="11" t="s">
        <v>2980</v>
      </c>
      <c r="F54" s="11" t="s">
        <v>1177</v>
      </c>
      <c r="G54" s="11">
        <v>2023</v>
      </c>
      <c r="H54" s="11" t="s">
        <v>2982</v>
      </c>
      <c r="I54" s="11" t="str">
        <f>HYPERLINK("http://dx.doi.org/10.1007/s00146-023-01791-1","http://dx.doi.org/10.1007/s00146-023-01791-1")</f>
        <v>http://dx.doi.org/10.1007/s00146-023-01791-1</v>
      </c>
      <c r="J54" s="11" t="s">
        <v>2984</v>
      </c>
      <c r="K54" s="11" t="s">
        <v>2983</v>
      </c>
      <c r="L54" s="11" t="s">
        <v>42</v>
      </c>
      <c r="M54" s="11" t="s">
        <v>1509</v>
      </c>
      <c r="N54" s="11">
        <v>1</v>
      </c>
      <c r="O54" s="11">
        <v>1</v>
      </c>
      <c r="P54" s="10">
        <v>1</v>
      </c>
    </row>
    <row r="55" spans="1:16" x14ac:dyDescent="0.25">
      <c r="A55" s="12">
        <v>54</v>
      </c>
      <c r="B55" s="12">
        <v>101</v>
      </c>
      <c r="C55" s="12" t="s">
        <v>12204</v>
      </c>
      <c r="D55" s="12">
        <v>353</v>
      </c>
      <c r="E55" s="12" t="s">
        <v>13377</v>
      </c>
      <c r="F55" s="12" t="s">
        <v>449</v>
      </c>
      <c r="G55" s="12">
        <v>2023</v>
      </c>
      <c r="H55" s="12" t="s">
        <v>34</v>
      </c>
      <c r="I55" s="12" t="s">
        <v>450</v>
      </c>
      <c r="J55" s="12" t="s">
        <v>452</v>
      </c>
      <c r="K55" s="12" t="s">
        <v>453</v>
      </c>
      <c r="L55" s="12" t="s">
        <v>42</v>
      </c>
      <c r="M55" s="12" t="s">
        <v>12252</v>
      </c>
      <c r="N55" s="12">
        <v>1</v>
      </c>
      <c r="O55" s="12">
        <v>1</v>
      </c>
      <c r="P55" s="10">
        <v>1</v>
      </c>
    </row>
    <row r="56" spans="1:16" x14ac:dyDescent="0.25">
      <c r="A56" s="12">
        <v>55</v>
      </c>
      <c r="B56" s="11">
        <v>158</v>
      </c>
      <c r="C56" s="12" t="s">
        <v>12118</v>
      </c>
      <c r="D56" s="12">
        <v>168</v>
      </c>
      <c r="E56" s="11" t="s">
        <v>14944</v>
      </c>
      <c r="F56" s="11" t="s">
        <v>776</v>
      </c>
      <c r="G56" s="11">
        <v>2023</v>
      </c>
      <c r="H56" s="11" t="s">
        <v>14946</v>
      </c>
      <c r="I56" s="11" t="str">
        <f>HYPERLINK("http://dx.doi.org/10.1145/3580305.3599827","http://dx.doi.org/10.1145/3580305.3599827")</f>
        <v>http://dx.doi.org/10.1145/3580305.3599827</v>
      </c>
      <c r="J56" s="11" t="s">
        <v>14951</v>
      </c>
      <c r="K56" s="11" t="s">
        <v>14950</v>
      </c>
      <c r="L56" s="11" t="s">
        <v>42</v>
      </c>
      <c r="M56" s="11" t="s">
        <v>5552</v>
      </c>
      <c r="N56" s="11">
        <v>1</v>
      </c>
      <c r="O56" s="11">
        <v>1</v>
      </c>
      <c r="P56" s="10">
        <v>1</v>
      </c>
    </row>
    <row r="57" spans="1:16" x14ac:dyDescent="0.25">
      <c r="A57" s="12">
        <v>56</v>
      </c>
      <c r="B57" s="11">
        <v>146</v>
      </c>
      <c r="C57" s="12" t="s">
        <v>12118</v>
      </c>
      <c r="D57" s="12">
        <v>157</v>
      </c>
      <c r="E57" s="11" t="s">
        <v>5811</v>
      </c>
      <c r="F57" s="11" t="s">
        <v>984</v>
      </c>
      <c r="G57" s="11">
        <v>2023</v>
      </c>
      <c r="H57" s="11" t="s">
        <v>5813</v>
      </c>
      <c r="I57" s="11" t="str">
        <f>HYPERLINK("http://dx.doi.org/10.5114/biolsport.2023.125623","http://dx.doi.org/10.5114/biolsport.2023.125623")</f>
        <v>http://dx.doi.org/10.5114/biolsport.2023.125623</v>
      </c>
      <c r="J57" s="11" t="s">
        <v>5815</v>
      </c>
      <c r="K57" s="11" t="s">
        <v>5814</v>
      </c>
      <c r="L57" s="11" t="s">
        <v>42</v>
      </c>
      <c r="M57" s="11" t="s">
        <v>56</v>
      </c>
      <c r="N57" s="11">
        <v>1</v>
      </c>
      <c r="O57" s="11">
        <v>1</v>
      </c>
      <c r="P57" s="10">
        <v>1</v>
      </c>
    </row>
    <row r="58" spans="1:16" x14ac:dyDescent="0.25">
      <c r="A58" s="12">
        <v>57</v>
      </c>
      <c r="B58" s="12">
        <v>81</v>
      </c>
      <c r="C58" s="12" t="s">
        <v>12204</v>
      </c>
      <c r="D58" s="12">
        <v>291</v>
      </c>
      <c r="E58" s="12" t="s">
        <v>13224</v>
      </c>
      <c r="F58" s="12" t="s">
        <v>152</v>
      </c>
      <c r="G58" s="12">
        <v>2023</v>
      </c>
      <c r="H58" s="12" t="s">
        <v>153</v>
      </c>
      <c r="I58" s="12" t="s">
        <v>154</v>
      </c>
      <c r="J58" s="12" t="s">
        <v>157</v>
      </c>
      <c r="K58" s="12" t="s">
        <v>158</v>
      </c>
      <c r="L58" s="12" t="s">
        <v>42</v>
      </c>
      <c r="M58" s="12" t="s">
        <v>56</v>
      </c>
      <c r="N58" s="12">
        <v>1</v>
      </c>
      <c r="O58" s="12">
        <v>1</v>
      </c>
      <c r="P58" s="10">
        <v>1</v>
      </c>
    </row>
    <row r="59" spans="1:16" x14ac:dyDescent="0.25">
      <c r="A59" s="12">
        <v>58</v>
      </c>
      <c r="B59" s="12">
        <v>126</v>
      </c>
      <c r="C59" s="12" t="s">
        <v>12204</v>
      </c>
      <c r="D59" s="12">
        <v>453</v>
      </c>
      <c r="E59" s="12" t="s">
        <v>786</v>
      </c>
      <c r="F59" s="12" t="s">
        <v>788</v>
      </c>
      <c r="G59" s="12">
        <v>2023</v>
      </c>
      <c r="H59" s="12" t="s">
        <v>383</v>
      </c>
      <c r="J59" s="12" t="s">
        <v>790</v>
      </c>
      <c r="K59" s="12" t="s">
        <v>791</v>
      </c>
      <c r="L59" s="12" t="s">
        <v>42</v>
      </c>
      <c r="M59" s="12" t="s">
        <v>12252</v>
      </c>
      <c r="N59" s="12">
        <v>1</v>
      </c>
      <c r="O59" s="12">
        <v>1</v>
      </c>
      <c r="P59" s="10">
        <v>1</v>
      </c>
    </row>
    <row r="60" spans="1:16" x14ac:dyDescent="0.25">
      <c r="A60" s="12">
        <v>59</v>
      </c>
      <c r="B60" s="12">
        <v>37</v>
      </c>
      <c r="C60" s="12" t="s">
        <v>12204</v>
      </c>
      <c r="D60" s="12">
        <v>118</v>
      </c>
      <c r="E60" s="12" t="s">
        <v>13284</v>
      </c>
      <c r="F60" s="12" t="s">
        <v>58</v>
      </c>
      <c r="G60" s="12">
        <v>2023</v>
      </c>
      <c r="H60" s="12" t="s">
        <v>59</v>
      </c>
      <c r="I60" s="12" t="s">
        <v>60</v>
      </c>
      <c r="J60" s="12" t="s">
        <v>13281</v>
      </c>
      <c r="K60" s="12" t="s">
        <v>63</v>
      </c>
      <c r="L60" s="12" t="s">
        <v>42</v>
      </c>
      <c r="M60" s="12" t="s">
        <v>12252</v>
      </c>
      <c r="N60" s="12">
        <v>1</v>
      </c>
      <c r="O60" s="12">
        <v>1</v>
      </c>
      <c r="P60" s="10">
        <v>1</v>
      </c>
    </row>
    <row r="61" spans="1:16" x14ac:dyDescent="0.25">
      <c r="A61" s="12">
        <v>60</v>
      </c>
      <c r="B61" s="12">
        <v>151</v>
      </c>
      <c r="C61" s="12" t="s">
        <v>12204</v>
      </c>
      <c r="D61" s="12">
        <v>560</v>
      </c>
      <c r="E61" s="12" t="s">
        <v>12423</v>
      </c>
      <c r="F61" s="12" t="s">
        <v>1391</v>
      </c>
      <c r="G61" s="12">
        <v>2023</v>
      </c>
      <c r="H61" s="12" t="s">
        <v>383</v>
      </c>
      <c r="J61" s="12" t="s">
        <v>1394</v>
      </c>
      <c r="K61" s="12" t="s">
        <v>1395</v>
      </c>
      <c r="L61" s="12" t="s">
        <v>42</v>
      </c>
      <c r="M61" s="12" t="s">
        <v>12252</v>
      </c>
      <c r="N61" s="12">
        <v>1</v>
      </c>
      <c r="O61" s="12">
        <v>1</v>
      </c>
      <c r="P61" s="10">
        <v>1</v>
      </c>
    </row>
    <row r="62" spans="1:16" x14ac:dyDescent="0.25">
      <c r="A62" s="12">
        <v>61</v>
      </c>
      <c r="B62" s="12">
        <v>118</v>
      </c>
      <c r="C62" s="12" t="s">
        <v>12204</v>
      </c>
      <c r="D62" s="12">
        <v>417</v>
      </c>
      <c r="E62" s="12" t="s">
        <v>13177</v>
      </c>
      <c r="F62" s="12" t="s">
        <v>304</v>
      </c>
      <c r="G62" s="12">
        <v>2023</v>
      </c>
      <c r="H62" s="12" t="s">
        <v>305</v>
      </c>
      <c r="I62" s="12" t="s">
        <v>306</v>
      </c>
      <c r="J62" s="12" t="s">
        <v>309</v>
      </c>
      <c r="K62" s="12" t="s">
        <v>310</v>
      </c>
      <c r="L62" s="12" t="s">
        <v>42</v>
      </c>
      <c r="M62" s="12" t="s">
        <v>56</v>
      </c>
      <c r="N62" s="12">
        <v>1</v>
      </c>
      <c r="O62" s="12">
        <v>1</v>
      </c>
      <c r="P62" s="10">
        <v>1</v>
      </c>
    </row>
    <row r="63" spans="1:16" x14ac:dyDescent="0.25">
      <c r="A63" s="12">
        <v>62</v>
      </c>
      <c r="B63" s="12">
        <v>176</v>
      </c>
      <c r="C63" s="12" t="s">
        <v>12204</v>
      </c>
      <c r="D63" s="12">
        <v>670</v>
      </c>
      <c r="E63" s="12" t="s">
        <v>12996</v>
      </c>
      <c r="F63" s="12" t="s">
        <v>12994</v>
      </c>
      <c r="G63" s="12">
        <v>2023</v>
      </c>
      <c r="H63" s="12" t="s">
        <v>12984</v>
      </c>
      <c r="I63" s="12" t="s">
        <v>12993</v>
      </c>
      <c r="J63" s="12" t="s">
        <v>12989</v>
      </c>
      <c r="K63" s="12" t="s">
        <v>12988</v>
      </c>
      <c r="L63" s="12" t="s">
        <v>42</v>
      </c>
      <c r="M63" s="12" t="s">
        <v>12252</v>
      </c>
      <c r="N63" s="12">
        <v>1</v>
      </c>
      <c r="O63" s="12">
        <v>1</v>
      </c>
      <c r="P63" s="10" t="s">
        <v>12142</v>
      </c>
    </row>
    <row r="64" spans="1:16" x14ac:dyDescent="0.25">
      <c r="A64" s="12">
        <v>63</v>
      </c>
      <c r="B64" s="12">
        <v>125</v>
      </c>
      <c r="C64" s="12" t="s">
        <v>12204</v>
      </c>
      <c r="D64" s="12">
        <v>452</v>
      </c>
      <c r="E64" s="12" t="s">
        <v>12980</v>
      </c>
      <c r="F64" s="12" t="s">
        <v>12978</v>
      </c>
      <c r="G64" s="12">
        <v>2023</v>
      </c>
      <c r="H64" s="12" t="s">
        <v>12977</v>
      </c>
      <c r="I64" s="12" t="s">
        <v>12976</v>
      </c>
      <c r="J64" s="12" t="s">
        <v>12972</v>
      </c>
      <c r="K64" s="12" t="s">
        <v>12971</v>
      </c>
      <c r="L64" s="12" t="s">
        <v>42</v>
      </c>
      <c r="M64" s="12" t="s">
        <v>56</v>
      </c>
      <c r="N64" s="12">
        <v>1</v>
      </c>
      <c r="O64" s="12">
        <v>1</v>
      </c>
      <c r="P64" s="10" t="s">
        <v>12142</v>
      </c>
    </row>
    <row r="65" spans="1:16" x14ac:dyDescent="0.25">
      <c r="A65" s="12">
        <v>64</v>
      </c>
      <c r="B65" s="12">
        <v>68</v>
      </c>
      <c r="C65" s="12" t="s">
        <v>12204</v>
      </c>
      <c r="D65" s="12">
        <v>244</v>
      </c>
      <c r="E65" s="12" t="s">
        <v>12775</v>
      </c>
      <c r="F65" s="12" t="s">
        <v>531</v>
      </c>
      <c r="G65" s="12">
        <v>2023</v>
      </c>
      <c r="H65" s="12" t="s">
        <v>335</v>
      </c>
      <c r="I65" s="12" t="s">
        <v>532</v>
      </c>
      <c r="J65" s="12" t="s">
        <v>535</v>
      </c>
      <c r="K65" s="12" t="s">
        <v>536</v>
      </c>
      <c r="L65" s="12" t="s">
        <v>42</v>
      </c>
      <c r="M65" s="12" t="s">
        <v>56</v>
      </c>
      <c r="N65" s="12">
        <v>1</v>
      </c>
      <c r="O65" s="12">
        <v>1</v>
      </c>
      <c r="P65" s="10">
        <v>1</v>
      </c>
    </row>
    <row r="66" spans="1:16" x14ac:dyDescent="0.25">
      <c r="A66" s="12">
        <v>65</v>
      </c>
      <c r="B66" s="12">
        <v>87</v>
      </c>
      <c r="C66" s="12" t="s">
        <v>12204</v>
      </c>
      <c r="D66" s="12">
        <v>306</v>
      </c>
      <c r="E66" s="12" t="s">
        <v>12749</v>
      </c>
      <c r="F66" s="12" t="s">
        <v>497</v>
      </c>
      <c r="G66" s="12">
        <v>2023</v>
      </c>
      <c r="H66" s="12" t="s">
        <v>498</v>
      </c>
      <c r="J66" s="12" t="s">
        <v>502</v>
      </c>
      <c r="K66" s="12" t="s">
        <v>503</v>
      </c>
      <c r="L66" s="12" t="s">
        <v>42</v>
      </c>
      <c r="M66" s="12" t="s">
        <v>12252</v>
      </c>
      <c r="N66" s="12">
        <v>1</v>
      </c>
      <c r="O66" s="12">
        <v>1</v>
      </c>
      <c r="P66" s="10">
        <v>1</v>
      </c>
    </row>
    <row r="67" spans="1:16" x14ac:dyDescent="0.25">
      <c r="A67" s="12">
        <v>66</v>
      </c>
      <c r="B67" s="11">
        <v>66</v>
      </c>
      <c r="C67" s="12" t="s">
        <v>12118</v>
      </c>
      <c r="D67" s="12">
        <v>71</v>
      </c>
      <c r="E67" s="11" t="s">
        <v>2175</v>
      </c>
      <c r="F67" s="11" t="s">
        <v>2177</v>
      </c>
      <c r="G67" s="11">
        <v>2023</v>
      </c>
      <c r="H67" s="11" t="s">
        <v>2178</v>
      </c>
      <c r="I67" s="11" t="str">
        <f>HYPERLINK("http://dx.doi.org/10.1007/s10846-023-01991-3","http://dx.doi.org/10.1007/s10846-023-01991-3")</f>
        <v>http://dx.doi.org/10.1007/s10846-023-01991-3</v>
      </c>
      <c r="J67" s="11" t="s">
        <v>2180</v>
      </c>
      <c r="K67" s="11" t="s">
        <v>2179</v>
      </c>
      <c r="L67" s="11" t="s">
        <v>42</v>
      </c>
      <c r="M67" s="11" t="s">
        <v>56</v>
      </c>
      <c r="N67" s="12">
        <v>1</v>
      </c>
      <c r="O67" s="12">
        <v>1</v>
      </c>
      <c r="P67" s="10" t="s">
        <v>12142</v>
      </c>
    </row>
    <row r="68" spans="1:16" x14ac:dyDescent="0.25">
      <c r="A68" s="12">
        <v>67</v>
      </c>
      <c r="B68" s="11">
        <v>290</v>
      </c>
      <c r="C68" s="12" t="s">
        <v>12118</v>
      </c>
      <c r="D68" s="12">
        <v>324</v>
      </c>
      <c r="E68" s="11" t="s">
        <v>4908</v>
      </c>
      <c r="F68" s="11" t="s">
        <v>4910</v>
      </c>
      <c r="G68" s="11">
        <v>2023</v>
      </c>
      <c r="H68" s="11" t="s">
        <v>4911</v>
      </c>
      <c r="I68" s="11" t="str">
        <f>HYPERLINK("http://dx.doi.org/10.1123/jtpe.2023-0058","http://dx.doi.org/10.1123/jtpe.2023-0058")</f>
        <v>http://dx.doi.org/10.1123/jtpe.2023-0058</v>
      </c>
      <c r="J68" s="11" t="s">
        <v>4914</v>
      </c>
      <c r="K68" s="11" t="s">
        <v>4912</v>
      </c>
      <c r="L68" s="11" t="s">
        <v>42</v>
      </c>
      <c r="M68" s="11" t="s">
        <v>56</v>
      </c>
      <c r="N68" s="11">
        <v>1</v>
      </c>
      <c r="O68" s="11">
        <v>1</v>
      </c>
      <c r="P68" s="10">
        <v>1</v>
      </c>
    </row>
    <row r="69" spans="1:16" x14ac:dyDescent="0.25">
      <c r="A69" s="12">
        <v>68</v>
      </c>
      <c r="B69" s="12">
        <v>98</v>
      </c>
      <c r="C69" s="12" t="s">
        <v>12204</v>
      </c>
      <c r="D69" s="12">
        <v>344</v>
      </c>
      <c r="E69" s="12" t="s">
        <v>13546</v>
      </c>
      <c r="F69" s="12" t="s">
        <v>131</v>
      </c>
      <c r="G69" s="12">
        <v>2023</v>
      </c>
      <c r="H69" s="12" t="s">
        <v>132</v>
      </c>
      <c r="I69" s="12" t="s">
        <v>133</v>
      </c>
      <c r="J69" s="12" t="s">
        <v>136</v>
      </c>
      <c r="K69" s="12" t="s">
        <v>137</v>
      </c>
      <c r="L69" s="12" t="s">
        <v>42</v>
      </c>
      <c r="M69" s="12" t="s">
        <v>12252</v>
      </c>
      <c r="N69" s="12">
        <v>1</v>
      </c>
      <c r="O69" s="12">
        <v>1</v>
      </c>
      <c r="P69" s="10">
        <v>1</v>
      </c>
    </row>
    <row r="70" spans="1:16" x14ac:dyDescent="0.25">
      <c r="A70" s="12">
        <v>69</v>
      </c>
      <c r="B70" s="12">
        <v>10</v>
      </c>
      <c r="C70" s="12" t="s">
        <v>12204</v>
      </c>
      <c r="D70" s="12">
        <v>6</v>
      </c>
      <c r="E70" s="12" t="s">
        <v>12897</v>
      </c>
      <c r="F70" s="12" t="s">
        <v>382</v>
      </c>
      <c r="G70" s="12">
        <v>2023</v>
      </c>
      <c r="H70" s="12" t="s">
        <v>383</v>
      </c>
      <c r="J70" s="12" t="s">
        <v>386</v>
      </c>
      <c r="K70" s="12" t="s">
        <v>387</v>
      </c>
      <c r="L70" s="12" t="s">
        <v>42</v>
      </c>
      <c r="M70" s="12" t="s">
        <v>12252</v>
      </c>
      <c r="N70" s="12">
        <v>1</v>
      </c>
      <c r="O70" s="12">
        <v>1</v>
      </c>
      <c r="P70" s="10">
        <v>1</v>
      </c>
    </row>
    <row r="71" spans="1:16" x14ac:dyDescent="0.25">
      <c r="A71" s="12">
        <v>70</v>
      </c>
      <c r="B71" s="12">
        <v>39</v>
      </c>
      <c r="C71" s="12" t="s">
        <v>12204</v>
      </c>
      <c r="D71" s="12">
        <v>126</v>
      </c>
      <c r="E71" s="12" t="s">
        <v>12357</v>
      </c>
      <c r="F71" s="12" t="s">
        <v>1221</v>
      </c>
      <c r="G71" s="12">
        <v>2023</v>
      </c>
      <c r="H71" s="12" t="s">
        <v>797</v>
      </c>
      <c r="I71" s="12" t="s">
        <v>1222</v>
      </c>
      <c r="J71" s="12" t="s">
        <v>1225</v>
      </c>
      <c r="K71" s="12" t="s">
        <v>1226</v>
      </c>
      <c r="L71" s="12" t="s">
        <v>42</v>
      </c>
      <c r="M71" s="12" t="s">
        <v>56</v>
      </c>
      <c r="N71" s="12">
        <v>1</v>
      </c>
      <c r="O71" s="12">
        <v>1</v>
      </c>
      <c r="P71" s="10">
        <v>1</v>
      </c>
    </row>
    <row r="72" spans="1:16" x14ac:dyDescent="0.25">
      <c r="A72" s="12">
        <v>71</v>
      </c>
      <c r="B72" s="12">
        <v>67</v>
      </c>
      <c r="C72" s="12" t="s">
        <v>12204</v>
      </c>
      <c r="D72" s="12">
        <v>240</v>
      </c>
      <c r="E72" s="12" t="s">
        <v>13701</v>
      </c>
      <c r="F72" s="12" t="s">
        <v>293</v>
      </c>
      <c r="G72" s="12">
        <v>2023</v>
      </c>
      <c r="H72" s="12" t="s">
        <v>294</v>
      </c>
      <c r="I72" s="12" t="s">
        <v>295</v>
      </c>
      <c r="J72" s="12" t="s">
        <v>297</v>
      </c>
      <c r="K72" s="12" t="s">
        <v>298</v>
      </c>
      <c r="L72" s="12" t="s">
        <v>42</v>
      </c>
      <c r="M72" s="12" t="s">
        <v>56</v>
      </c>
      <c r="N72" s="12">
        <v>1</v>
      </c>
      <c r="O72" s="12">
        <v>1</v>
      </c>
      <c r="P72" s="10">
        <v>1</v>
      </c>
    </row>
    <row r="73" spans="1:16" x14ac:dyDescent="0.25">
      <c r="A73" s="12">
        <v>72</v>
      </c>
      <c r="B73" s="12">
        <v>19</v>
      </c>
      <c r="C73" s="12" t="s">
        <v>12204</v>
      </c>
      <c r="D73" s="12">
        <v>43</v>
      </c>
      <c r="E73" s="12" t="s">
        <v>13627</v>
      </c>
      <c r="F73" s="12" t="s">
        <v>104</v>
      </c>
      <c r="G73" s="12">
        <v>2023</v>
      </c>
      <c r="H73" s="12" t="s">
        <v>105</v>
      </c>
      <c r="I73" s="12" t="s">
        <v>106</v>
      </c>
      <c r="J73" s="12" t="s">
        <v>108</v>
      </c>
      <c r="K73" s="12" t="s">
        <v>109</v>
      </c>
      <c r="L73" s="12" t="s">
        <v>42</v>
      </c>
      <c r="M73" s="12" t="s">
        <v>56</v>
      </c>
      <c r="N73" s="12">
        <v>1</v>
      </c>
      <c r="O73" s="12">
        <v>1</v>
      </c>
      <c r="P73" s="10">
        <v>1</v>
      </c>
    </row>
    <row r="74" spans="1:16" x14ac:dyDescent="0.25">
      <c r="A74" s="12">
        <v>73</v>
      </c>
      <c r="B74" s="11">
        <v>498</v>
      </c>
      <c r="C74" s="12" t="s">
        <v>12118</v>
      </c>
      <c r="D74" s="12">
        <v>552</v>
      </c>
      <c r="E74" s="11" t="s">
        <v>6363</v>
      </c>
      <c r="F74" s="11" t="s">
        <v>6366</v>
      </c>
      <c r="G74" s="11">
        <v>2023</v>
      </c>
      <c r="H74" s="11" t="s">
        <v>6367</v>
      </c>
      <c r="I74" s="11" t="str">
        <f>HYPERLINK("http://dx.doi.org/10.1007/978-3-031-42608-7_16","http://dx.doi.org/10.1007/978-3-031-42608-7_16")</f>
        <v>http://dx.doi.org/10.1007/978-3-031-42608-7_16</v>
      </c>
      <c r="J74" s="11" t="s">
        <v>6373</v>
      </c>
      <c r="K74" s="11" t="s">
        <v>1253</v>
      </c>
      <c r="L74" s="11" t="s">
        <v>42</v>
      </c>
      <c r="M74" s="11" t="s">
        <v>5552</v>
      </c>
      <c r="N74" s="11">
        <v>1</v>
      </c>
      <c r="O74" s="11">
        <v>1</v>
      </c>
      <c r="P74" s="10">
        <v>1</v>
      </c>
    </row>
    <row r="75" spans="1:16" x14ac:dyDescent="0.25">
      <c r="A75" s="12">
        <v>74</v>
      </c>
      <c r="B75" s="12">
        <v>78</v>
      </c>
      <c r="C75" s="12" t="s">
        <v>12204</v>
      </c>
      <c r="D75" s="12">
        <v>286</v>
      </c>
      <c r="E75" s="12" t="s">
        <v>13615</v>
      </c>
      <c r="F75" s="12" t="s">
        <v>553</v>
      </c>
      <c r="G75" s="12">
        <v>2023</v>
      </c>
      <c r="H75" s="12" t="s">
        <v>124</v>
      </c>
      <c r="I75" s="12" t="s">
        <v>554</v>
      </c>
      <c r="J75" s="12" t="s">
        <v>557</v>
      </c>
      <c r="L75" s="12" t="s">
        <v>42</v>
      </c>
      <c r="M75" s="12" t="s">
        <v>56</v>
      </c>
      <c r="N75" s="12">
        <v>1</v>
      </c>
      <c r="O75" s="12">
        <v>1</v>
      </c>
      <c r="P75" s="10">
        <v>1</v>
      </c>
    </row>
    <row r="76" spans="1:16" x14ac:dyDescent="0.25">
      <c r="A76" s="12">
        <v>75</v>
      </c>
      <c r="B76" s="12">
        <v>65</v>
      </c>
      <c r="C76" s="12" t="s">
        <v>12204</v>
      </c>
      <c r="D76" s="12">
        <v>230</v>
      </c>
      <c r="E76" s="13" t="s">
        <v>763</v>
      </c>
      <c r="F76" s="13" t="s">
        <v>764</v>
      </c>
      <c r="G76" s="13">
        <v>2024</v>
      </c>
      <c r="H76" s="13" t="s">
        <v>44</v>
      </c>
      <c r="I76" s="13" t="s">
        <v>765</v>
      </c>
      <c r="J76" s="13" t="s">
        <v>766</v>
      </c>
      <c r="K76" s="13"/>
      <c r="L76" s="12" t="s">
        <v>42</v>
      </c>
      <c r="M76" s="12" t="s">
        <v>56</v>
      </c>
      <c r="N76" s="12">
        <v>1</v>
      </c>
      <c r="O76" s="12">
        <v>1</v>
      </c>
      <c r="P76" s="10" t="s">
        <v>12142</v>
      </c>
    </row>
    <row r="77" spans="1:16" x14ac:dyDescent="0.25">
      <c r="A77" s="12">
        <v>76</v>
      </c>
      <c r="B77" s="11">
        <v>492</v>
      </c>
      <c r="C77" s="12" t="s">
        <v>12118</v>
      </c>
      <c r="D77" s="12">
        <v>545</v>
      </c>
      <c r="E77" s="11" t="s">
        <v>4771</v>
      </c>
      <c r="F77" s="11" t="s">
        <v>522</v>
      </c>
      <c r="G77" s="11">
        <v>2023</v>
      </c>
      <c r="H77" s="11" t="s">
        <v>4773</v>
      </c>
      <c r="I77" s="11" t="str">
        <f>HYPERLINK("http://dx.doi.org/10.1215/00029831-10575035","http://dx.doi.org/10.1215/00029831-10575035")</f>
        <v>http://dx.doi.org/10.1215/00029831-10575035</v>
      </c>
      <c r="J77" s="11" t="s">
        <v>4775</v>
      </c>
      <c r="K77" s="11" t="s">
        <v>4774</v>
      </c>
      <c r="L77" s="11" t="s">
        <v>42</v>
      </c>
      <c r="M77" s="11" t="s">
        <v>56</v>
      </c>
      <c r="N77" s="12">
        <v>1</v>
      </c>
      <c r="O77" s="12">
        <v>1</v>
      </c>
      <c r="P77" s="10" t="s">
        <v>12142</v>
      </c>
    </row>
    <row r="78" spans="1:16" x14ac:dyDescent="0.25">
      <c r="A78" s="12">
        <v>77</v>
      </c>
      <c r="B78" s="12">
        <v>43</v>
      </c>
      <c r="C78" s="12" t="s">
        <v>12204</v>
      </c>
      <c r="D78" s="12">
        <v>143</v>
      </c>
      <c r="E78" s="13" t="s">
        <v>285</v>
      </c>
      <c r="F78" s="13" t="s">
        <v>286</v>
      </c>
      <c r="G78" s="13">
        <v>2024</v>
      </c>
      <c r="H78" s="13" t="s">
        <v>287</v>
      </c>
      <c r="I78" s="13" t="s">
        <v>288</v>
      </c>
      <c r="J78" s="13" t="s">
        <v>289</v>
      </c>
      <c r="K78" s="13" t="s">
        <v>290</v>
      </c>
      <c r="L78" s="12" t="s">
        <v>42</v>
      </c>
      <c r="M78" s="12" t="s">
        <v>56</v>
      </c>
      <c r="N78" s="12">
        <v>1</v>
      </c>
      <c r="O78" s="12">
        <v>1</v>
      </c>
      <c r="P78" s="10" t="s">
        <v>12142</v>
      </c>
    </row>
    <row r="79" spans="1:16" x14ac:dyDescent="0.25">
      <c r="A79" s="12">
        <v>78</v>
      </c>
      <c r="B79" s="12">
        <v>48</v>
      </c>
      <c r="C79" s="12" t="s">
        <v>12204</v>
      </c>
      <c r="D79" s="12">
        <v>173</v>
      </c>
      <c r="E79" s="12" t="s">
        <v>12399</v>
      </c>
      <c r="F79" s="12" t="s">
        <v>1319</v>
      </c>
      <c r="G79" s="12">
        <v>2023</v>
      </c>
      <c r="H79" s="12" t="s">
        <v>797</v>
      </c>
      <c r="I79" s="12" t="s">
        <v>1320</v>
      </c>
      <c r="J79" s="12" t="s">
        <v>1323</v>
      </c>
      <c r="K79" s="12" t="s">
        <v>1324</v>
      </c>
      <c r="L79" s="12" t="s">
        <v>42</v>
      </c>
      <c r="M79" s="12" t="s">
        <v>56</v>
      </c>
      <c r="N79" s="12">
        <v>1</v>
      </c>
      <c r="O79" s="12">
        <v>1</v>
      </c>
      <c r="P79" s="10">
        <v>1</v>
      </c>
    </row>
    <row r="80" spans="1:16" x14ac:dyDescent="0.25">
      <c r="A80" s="12">
        <v>79</v>
      </c>
      <c r="B80" s="11">
        <v>174</v>
      </c>
      <c r="C80" s="12" t="s">
        <v>12118</v>
      </c>
      <c r="D80" s="12">
        <v>189</v>
      </c>
      <c r="E80" s="11" t="s">
        <v>14961</v>
      </c>
      <c r="F80" s="11" t="s">
        <v>14964</v>
      </c>
      <c r="G80" s="11">
        <v>2023</v>
      </c>
      <c r="H80" s="11" t="s">
        <v>14965</v>
      </c>
      <c r="I80" s="11" t="str">
        <f>HYPERLINK("http://dx.doi.org/10.1007/978-981-99-8385-8_14","http://dx.doi.org/10.1007/978-981-99-8385-8_14")</f>
        <v>http://dx.doi.org/10.1007/978-981-99-8385-8_14</v>
      </c>
      <c r="J80" s="11" t="s">
        <v>14971</v>
      </c>
      <c r="K80" s="11" t="s">
        <v>14970</v>
      </c>
      <c r="L80" s="11" t="s">
        <v>42</v>
      </c>
      <c r="M80" s="11" t="s">
        <v>5552</v>
      </c>
      <c r="N80" s="11">
        <v>1</v>
      </c>
      <c r="O80" s="11">
        <v>1</v>
      </c>
      <c r="P80" s="10">
        <v>1</v>
      </c>
    </row>
    <row r="81" spans="1:68" x14ac:dyDescent="0.25">
      <c r="A81" s="12">
        <v>80</v>
      </c>
      <c r="B81" s="12">
        <v>139</v>
      </c>
      <c r="C81" s="12" t="s">
        <v>12204</v>
      </c>
      <c r="D81" s="12">
        <v>496</v>
      </c>
      <c r="E81" s="12" t="s">
        <v>13525</v>
      </c>
      <c r="F81" s="12" t="s">
        <v>590</v>
      </c>
      <c r="G81" s="12">
        <v>2023</v>
      </c>
      <c r="H81" s="12" t="s">
        <v>591</v>
      </c>
      <c r="I81" s="12" t="s">
        <v>592</v>
      </c>
      <c r="J81" s="12" t="s">
        <v>595</v>
      </c>
      <c r="K81" s="12" t="s">
        <v>596</v>
      </c>
      <c r="L81" s="12" t="s">
        <v>42</v>
      </c>
      <c r="M81" s="12" t="s">
        <v>12252</v>
      </c>
      <c r="N81" s="12">
        <v>1</v>
      </c>
      <c r="O81" s="12">
        <v>1</v>
      </c>
      <c r="P81" s="10">
        <v>1</v>
      </c>
    </row>
    <row r="82" spans="1:68" x14ac:dyDescent="0.25">
      <c r="A82" s="12">
        <v>81</v>
      </c>
      <c r="B82" s="12">
        <v>155</v>
      </c>
      <c r="C82" s="12" t="s">
        <v>12204</v>
      </c>
      <c r="D82" s="12">
        <v>578</v>
      </c>
      <c r="E82" s="12" t="s">
        <v>12768</v>
      </c>
      <c r="F82" s="12" t="s">
        <v>81</v>
      </c>
      <c r="G82" s="12">
        <v>2023</v>
      </c>
      <c r="H82" s="12" t="s">
        <v>82</v>
      </c>
      <c r="I82" s="12" t="s">
        <v>83</v>
      </c>
      <c r="J82" s="12" t="s">
        <v>86</v>
      </c>
      <c r="L82" s="12" t="s">
        <v>42</v>
      </c>
      <c r="M82" s="12" t="s">
        <v>12252</v>
      </c>
      <c r="N82" s="12">
        <v>1</v>
      </c>
      <c r="O82" s="12">
        <v>1</v>
      </c>
      <c r="P82" s="10">
        <v>1</v>
      </c>
    </row>
    <row r="83" spans="1:68" x14ac:dyDescent="0.25">
      <c r="A83" s="12">
        <v>82</v>
      </c>
      <c r="B83" s="12">
        <v>168</v>
      </c>
      <c r="C83" s="12" t="s">
        <v>12204</v>
      </c>
      <c r="D83" s="12">
        <v>620</v>
      </c>
      <c r="E83" s="12" t="s">
        <v>12615</v>
      </c>
      <c r="F83" s="12" t="s">
        <v>1084</v>
      </c>
      <c r="G83" s="12">
        <v>2023</v>
      </c>
      <c r="H83" s="12" t="s">
        <v>1085</v>
      </c>
      <c r="J83" s="12" t="s">
        <v>1088</v>
      </c>
      <c r="L83" s="12" t="s">
        <v>42</v>
      </c>
      <c r="M83" s="12" t="s">
        <v>12252</v>
      </c>
      <c r="N83" s="12">
        <v>1</v>
      </c>
      <c r="O83" s="12">
        <v>1</v>
      </c>
      <c r="P83" s="10">
        <v>1</v>
      </c>
    </row>
    <row r="84" spans="1:68" x14ac:dyDescent="0.25">
      <c r="A84" s="12">
        <v>83</v>
      </c>
      <c r="B84" s="11">
        <v>161</v>
      </c>
      <c r="C84" s="12" t="s">
        <v>12118</v>
      </c>
      <c r="D84" s="12">
        <v>171</v>
      </c>
      <c r="E84" s="11" t="s">
        <v>5289</v>
      </c>
      <c r="F84" s="11" t="s">
        <v>14801</v>
      </c>
      <c r="G84" s="11">
        <v>2023</v>
      </c>
      <c r="H84" s="11" t="s">
        <v>5291</v>
      </c>
      <c r="I84" s="11" t="str">
        <f>HYPERLINK("http://dx.doi.org/10.1016/j.ijinfomgt.2023.102642","http://dx.doi.org/10.1016/j.ijinfomgt.2023.102642")</f>
        <v>http://dx.doi.org/10.1016/j.ijinfomgt.2023.102642</v>
      </c>
      <c r="J84" s="11" t="s">
        <v>5294</v>
      </c>
      <c r="K84" s="11" t="s">
        <v>5292</v>
      </c>
      <c r="L84" s="11" t="s">
        <v>42</v>
      </c>
      <c r="M84" s="11" t="s">
        <v>56</v>
      </c>
      <c r="N84" s="11">
        <v>1</v>
      </c>
      <c r="O84" s="11">
        <v>1</v>
      </c>
      <c r="P84" s="10">
        <v>1</v>
      </c>
    </row>
    <row r="85" spans="1:68" x14ac:dyDescent="0.25">
      <c r="A85" s="12">
        <v>84</v>
      </c>
      <c r="B85" s="12">
        <v>106</v>
      </c>
      <c r="C85" s="12" t="s">
        <v>12204</v>
      </c>
      <c r="D85" s="12">
        <v>366</v>
      </c>
      <c r="E85" s="12" t="s">
        <v>12327</v>
      </c>
      <c r="F85" s="12" t="s">
        <v>1035</v>
      </c>
      <c r="G85" s="12">
        <v>2022</v>
      </c>
      <c r="H85" s="12" t="s">
        <v>1036</v>
      </c>
      <c r="J85" s="12" t="s">
        <v>1039</v>
      </c>
      <c r="L85" s="12" t="s">
        <v>42</v>
      </c>
      <c r="M85" s="12" t="s">
        <v>12252</v>
      </c>
      <c r="N85" s="12">
        <v>1</v>
      </c>
      <c r="O85" s="12">
        <v>1</v>
      </c>
      <c r="P85" s="10">
        <v>1</v>
      </c>
    </row>
    <row r="86" spans="1:68" x14ac:dyDescent="0.25">
      <c r="A86" s="12">
        <v>85</v>
      </c>
      <c r="B86" s="12">
        <v>22</v>
      </c>
      <c r="C86" s="12" t="s">
        <v>12204</v>
      </c>
      <c r="D86" s="12">
        <v>52</v>
      </c>
      <c r="E86" s="12" t="s">
        <v>12535</v>
      </c>
      <c r="F86" s="12" t="s">
        <v>1048</v>
      </c>
      <c r="G86" s="12">
        <v>2023</v>
      </c>
      <c r="H86" s="12" t="s">
        <v>252</v>
      </c>
      <c r="I86" s="12" t="s">
        <v>1049</v>
      </c>
      <c r="J86" s="12" t="s">
        <v>1052</v>
      </c>
      <c r="K86" s="12" t="s">
        <v>1053</v>
      </c>
      <c r="L86" s="12" t="s">
        <v>42</v>
      </c>
      <c r="M86" s="12" t="s">
        <v>56</v>
      </c>
      <c r="N86" s="12">
        <v>1</v>
      </c>
      <c r="O86" s="12">
        <v>1</v>
      </c>
      <c r="P86" s="10">
        <v>1</v>
      </c>
      <c r="BA86" s="12" t="s">
        <v>311</v>
      </c>
      <c r="BF86" s="12" t="s">
        <v>312</v>
      </c>
      <c r="BJ86" s="12" t="s">
        <v>42</v>
      </c>
      <c r="BK86" s="12" t="s">
        <v>313</v>
      </c>
      <c r="BL86" s="12" t="s">
        <v>56</v>
      </c>
      <c r="BM86" s="12" t="s">
        <v>45</v>
      </c>
      <c r="BN86" s="12" t="s">
        <v>12349</v>
      </c>
      <c r="BO86" s="12" t="s">
        <v>46</v>
      </c>
      <c r="BP86" s="12" t="s">
        <v>333</v>
      </c>
    </row>
    <row r="87" spans="1:68" x14ac:dyDescent="0.25">
      <c r="A87" s="12">
        <v>86</v>
      </c>
      <c r="B87" s="11">
        <v>281</v>
      </c>
      <c r="C87" s="12" t="s">
        <v>12118</v>
      </c>
      <c r="D87" s="12">
        <v>313</v>
      </c>
      <c r="E87" s="11" t="s">
        <v>6051</v>
      </c>
      <c r="F87" s="11" t="s">
        <v>6053</v>
      </c>
      <c r="G87" s="11">
        <v>2023</v>
      </c>
      <c r="H87" s="11" t="s">
        <v>6054</v>
      </c>
      <c r="I87" s="11" t="str">
        <f>HYPERLINK("http://dx.doi.org/10.1145/3544548.3580919","http://dx.doi.org/10.1145/3544548.3580919")</f>
        <v>http://dx.doi.org/10.1145/3544548.3580919</v>
      </c>
      <c r="J87" s="11" t="s">
        <v>6061</v>
      </c>
      <c r="K87" s="11" t="s">
        <v>6059</v>
      </c>
      <c r="L87" s="11" t="s">
        <v>42</v>
      </c>
      <c r="M87" s="11" t="s">
        <v>5552</v>
      </c>
      <c r="N87" s="11">
        <v>1</v>
      </c>
      <c r="O87" s="11">
        <v>1</v>
      </c>
      <c r="P87" s="10">
        <v>1</v>
      </c>
    </row>
    <row r="88" spans="1:68" x14ac:dyDescent="0.25">
      <c r="A88" s="12">
        <v>87</v>
      </c>
      <c r="B88" s="12">
        <v>171</v>
      </c>
      <c r="C88" s="12" t="s">
        <v>12204</v>
      </c>
      <c r="D88" s="12">
        <v>636</v>
      </c>
      <c r="E88" s="12" t="s">
        <v>12557</v>
      </c>
      <c r="F88" s="12" t="s">
        <v>1142</v>
      </c>
      <c r="G88" s="12">
        <v>2023</v>
      </c>
      <c r="H88" s="12" t="s">
        <v>1143</v>
      </c>
      <c r="I88" s="12" t="s">
        <v>1144</v>
      </c>
      <c r="J88" s="12" t="s">
        <v>1147</v>
      </c>
      <c r="K88" s="12" t="s">
        <v>1148</v>
      </c>
      <c r="L88" s="12" t="s">
        <v>42</v>
      </c>
      <c r="M88" s="12" t="s">
        <v>56</v>
      </c>
      <c r="N88" s="12">
        <v>1</v>
      </c>
      <c r="O88" s="12">
        <v>1</v>
      </c>
      <c r="P88" s="10">
        <v>1</v>
      </c>
    </row>
    <row r="89" spans="1:68" x14ac:dyDescent="0.25">
      <c r="A89" s="12">
        <v>88</v>
      </c>
      <c r="B89" s="12">
        <v>36</v>
      </c>
      <c r="C89" s="12" t="s">
        <v>12204</v>
      </c>
      <c r="D89" s="12">
        <v>116</v>
      </c>
      <c r="E89" s="12" t="s">
        <v>13494</v>
      </c>
      <c r="F89" s="12" t="s">
        <v>714</v>
      </c>
      <c r="G89" s="12">
        <v>2023</v>
      </c>
      <c r="H89" s="12" t="s">
        <v>715</v>
      </c>
      <c r="I89" s="12" t="s">
        <v>716</v>
      </c>
      <c r="J89" s="12" t="s">
        <v>718</v>
      </c>
      <c r="K89" s="12" t="s">
        <v>719</v>
      </c>
      <c r="L89" s="12" t="s">
        <v>42</v>
      </c>
      <c r="M89" s="12" t="s">
        <v>56</v>
      </c>
      <c r="N89" s="12">
        <v>1</v>
      </c>
      <c r="O89" s="12">
        <v>1</v>
      </c>
      <c r="P89" s="10">
        <v>1</v>
      </c>
    </row>
    <row r="90" spans="1:68" x14ac:dyDescent="0.25">
      <c r="A90" s="12">
        <v>89</v>
      </c>
      <c r="B90" s="11">
        <v>19</v>
      </c>
      <c r="C90" s="12" t="s">
        <v>12118</v>
      </c>
      <c r="D90" s="12">
        <v>21</v>
      </c>
      <c r="E90" s="11" t="s">
        <v>4393</v>
      </c>
      <c r="F90" s="11" t="s">
        <v>4395</v>
      </c>
      <c r="G90" s="11">
        <v>2023</v>
      </c>
      <c r="H90" s="11" t="s">
        <v>4396</v>
      </c>
      <c r="I90" s="11" t="str">
        <f>HYPERLINK("http://dx.doi.org/10.1016/j.sapharm.2023.05.016","http://dx.doi.org/10.1016/j.sapharm.2023.05.016")</f>
        <v>http://dx.doi.org/10.1016/j.sapharm.2023.05.016</v>
      </c>
      <c r="J90" s="11" t="s">
        <v>4399</v>
      </c>
      <c r="K90" s="11" t="s">
        <v>4397</v>
      </c>
      <c r="L90" s="11" t="s">
        <v>42</v>
      </c>
      <c r="M90" s="11" t="s">
        <v>56</v>
      </c>
      <c r="N90" s="11">
        <v>1</v>
      </c>
      <c r="O90" s="11">
        <v>1</v>
      </c>
      <c r="P90" s="10">
        <v>1</v>
      </c>
    </row>
    <row r="91" spans="1:68" x14ac:dyDescent="0.25">
      <c r="A91" s="12">
        <v>90</v>
      </c>
      <c r="B91" s="12">
        <v>137</v>
      </c>
      <c r="C91" s="12" t="s">
        <v>12204</v>
      </c>
      <c r="D91" s="12">
        <v>492</v>
      </c>
      <c r="E91" s="12" t="s">
        <v>13173</v>
      </c>
      <c r="F91" s="12" t="s">
        <v>442</v>
      </c>
      <c r="G91" s="12">
        <v>2023</v>
      </c>
      <c r="H91" s="12" t="s">
        <v>305</v>
      </c>
      <c r="I91" s="12" t="s">
        <v>443</v>
      </c>
      <c r="J91" s="12" t="s">
        <v>446</v>
      </c>
      <c r="K91" s="12" t="s">
        <v>447</v>
      </c>
      <c r="L91" s="12" t="s">
        <v>42</v>
      </c>
      <c r="M91" s="12" t="s">
        <v>56</v>
      </c>
      <c r="N91" s="12">
        <v>1</v>
      </c>
      <c r="O91" s="12">
        <v>1</v>
      </c>
      <c r="P91" s="10">
        <v>1</v>
      </c>
    </row>
    <row r="92" spans="1:68" x14ac:dyDescent="0.25">
      <c r="A92" s="12">
        <v>91</v>
      </c>
      <c r="B92" s="12">
        <v>25</v>
      </c>
      <c r="C92" s="12" t="s">
        <v>12204</v>
      </c>
      <c r="D92" s="12">
        <v>66</v>
      </c>
      <c r="E92" s="12" t="s">
        <v>12794</v>
      </c>
      <c r="F92" s="12" t="s">
        <v>639</v>
      </c>
      <c r="G92" s="12">
        <v>2023</v>
      </c>
      <c r="H92" s="12" t="s">
        <v>383</v>
      </c>
      <c r="J92" s="12" t="s">
        <v>642</v>
      </c>
      <c r="K92" s="12" t="s">
        <v>643</v>
      </c>
      <c r="L92" s="12" t="s">
        <v>42</v>
      </c>
      <c r="M92" s="12" t="s">
        <v>12252</v>
      </c>
      <c r="N92" s="12">
        <v>1</v>
      </c>
      <c r="O92" s="12">
        <v>1</v>
      </c>
      <c r="P92" s="10">
        <v>1</v>
      </c>
    </row>
    <row r="93" spans="1:68" x14ac:dyDescent="0.25">
      <c r="A93" s="12">
        <v>92</v>
      </c>
      <c r="B93" s="12">
        <v>144</v>
      </c>
      <c r="C93" s="12" t="s">
        <v>12204</v>
      </c>
      <c r="D93" s="12">
        <v>519</v>
      </c>
      <c r="E93" s="12" t="s">
        <v>13371</v>
      </c>
      <c r="F93" s="12" t="s">
        <v>33</v>
      </c>
      <c r="G93" s="12">
        <v>2023</v>
      </c>
      <c r="H93" s="12" t="s">
        <v>34</v>
      </c>
      <c r="I93" s="12" t="s">
        <v>35</v>
      </c>
      <c r="J93" s="12" t="s">
        <v>38</v>
      </c>
      <c r="K93" s="12" t="s">
        <v>39</v>
      </c>
      <c r="L93" s="12" t="s">
        <v>42</v>
      </c>
      <c r="M93" s="12" t="s">
        <v>12252</v>
      </c>
      <c r="N93" s="12">
        <v>1</v>
      </c>
      <c r="O93" s="12">
        <v>1</v>
      </c>
      <c r="P93" s="10">
        <v>1</v>
      </c>
    </row>
    <row r="94" spans="1:68" x14ac:dyDescent="0.25">
      <c r="A94" s="12">
        <v>93</v>
      </c>
      <c r="B94" s="11">
        <v>124</v>
      </c>
      <c r="C94" s="12" t="s">
        <v>12118</v>
      </c>
      <c r="D94" s="12">
        <v>133</v>
      </c>
      <c r="E94" s="11" t="s">
        <v>4529</v>
      </c>
      <c r="F94" s="11" t="s">
        <v>4531</v>
      </c>
      <c r="G94" s="11">
        <v>2023</v>
      </c>
      <c r="H94" s="11" t="s">
        <v>3083</v>
      </c>
      <c r="I94" s="11" t="str">
        <f>HYPERLINK("http://dx.doi.org/10.7759/cureus.41399","http://dx.doi.org/10.7759/cureus.41399")</f>
        <v>http://dx.doi.org/10.7759/cureus.41399</v>
      </c>
      <c r="J94" s="11" t="s">
        <v>4533</v>
      </c>
      <c r="K94" s="11" t="s">
        <v>4532</v>
      </c>
      <c r="L94" s="11" t="s">
        <v>42</v>
      </c>
      <c r="M94" s="11" t="s">
        <v>56</v>
      </c>
      <c r="N94" s="11">
        <v>1</v>
      </c>
      <c r="O94" s="11">
        <v>1</v>
      </c>
      <c r="P94" s="10">
        <v>1</v>
      </c>
    </row>
    <row r="95" spans="1:68" x14ac:dyDescent="0.25">
      <c r="A95" s="12">
        <v>94</v>
      </c>
      <c r="B95" s="12">
        <v>158</v>
      </c>
      <c r="C95" s="12" t="s">
        <v>12204</v>
      </c>
      <c r="D95" s="12">
        <v>591</v>
      </c>
      <c r="E95" s="12" t="s">
        <v>12390</v>
      </c>
      <c r="F95" s="12" t="s">
        <v>1377</v>
      </c>
      <c r="G95" s="12">
        <v>2023</v>
      </c>
      <c r="H95" s="12" t="s">
        <v>996</v>
      </c>
      <c r="I95" s="12" t="s">
        <v>1379</v>
      </c>
      <c r="J95" s="12" t="s">
        <v>1382</v>
      </c>
      <c r="K95" s="12" t="s">
        <v>1383</v>
      </c>
      <c r="L95" s="12" t="s">
        <v>42</v>
      </c>
      <c r="M95" s="12" t="s">
        <v>56</v>
      </c>
      <c r="N95" s="12">
        <v>1</v>
      </c>
      <c r="O95" s="12">
        <v>1</v>
      </c>
      <c r="P95" s="10">
        <v>1</v>
      </c>
    </row>
    <row r="96" spans="1:68" x14ac:dyDescent="0.25">
      <c r="A96" s="12">
        <v>95</v>
      </c>
      <c r="B96" s="11">
        <v>545</v>
      </c>
      <c r="C96" s="12" t="s">
        <v>12118</v>
      </c>
      <c r="D96" s="12">
        <v>610</v>
      </c>
      <c r="E96" s="11" t="s">
        <v>6515</v>
      </c>
      <c r="F96" s="11" t="s">
        <v>6517</v>
      </c>
      <c r="G96" s="11">
        <v>2023</v>
      </c>
      <c r="H96" s="11" t="s">
        <v>6518</v>
      </c>
      <c r="I96" s="11" t="str">
        <f>HYPERLINK("http://dx.doi.org/10.2196/51873","http://dx.doi.org/10.2196/51873")</f>
        <v>http://dx.doi.org/10.2196/51873</v>
      </c>
      <c r="J96" s="11" t="s">
        <v>6520</v>
      </c>
      <c r="K96" s="11" t="s">
        <v>6519</v>
      </c>
      <c r="L96" s="11" t="s">
        <v>42</v>
      </c>
      <c r="M96" s="11" t="s">
        <v>56</v>
      </c>
      <c r="N96" s="11">
        <v>1</v>
      </c>
      <c r="O96" s="11">
        <v>1</v>
      </c>
      <c r="P96" s="10">
        <v>1</v>
      </c>
    </row>
    <row r="97" spans="1:16" x14ac:dyDescent="0.25">
      <c r="A97" s="12">
        <v>96</v>
      </c>
      <c r="B97" s="12">
        <v>38</v>
      </c>
      <c r="C97" s="12" t="s">
        <v>12204</v>
      </c>
      <c r="D97" s="12">
        <v>123</v>
      </c>
      <c r="E97" s="12" t="s">
        <v>12703</v>
      </c>
      <c r="F97" s="12" t="s">
        <v>933</v>
      </c>
      <c r="G97" s="12">
        <v>2023</v>
      </c>
      <c r="H97" s="12" t="s">
        <v>934</v>
      </c>
      <c r="I97" s="12" t="s">
        <v>935</v>
      </c>
      <c r="J97" s="12" t="s">
        <v>938</v>
      </c>
      <c r="K97" s="12" t="s">
        <v>939</v>
      </c>
      <c r="L97" s="12" t="s">
        <v>42</v>
      </c>
      <c r="M97" s="12" t="s">
        <v>56</v>
      </c>
      <c r="N97" s="12">
        <v>1</v>
      </c>
      <c r="O97" s="12">
        <v>1</v>
      </c>
      <c r="P97" s="10">
        <v>1</v>
      </c>
    </row>
    <row r="98" spans="1:16" x14ac:dyDescent="0.25">
      <c r="A98" s="12">
        <v>97</v>
      </c>
      <c r="B98" s="11">
        <v>45</v>
      </c>
      <c r="C98" s="12" t="s">
        <v>12118</v>
      </c>
      <c r="D98" s="12">
        <v>47</v>
      </c>
      <c r="E98" s="11" t="s">
        <v>4965</v>
      </c>
      <c r="F98" s="11" t="s">
        <v>69</v>
      </c>
      <c r="G98" s="11">
        <v>2023</v>
      </c>
      <c r="H98" s="11" t="s">
        <v>4967</v>
      </c>
      <c r="I98" s="11" t="str">
        <f>HYPERLINK("http://dx.doi.org/10.1111/bjet.13336","http://dx.doi.org/10.1111/bjet.13336")</f>
        <v>http://dx.doi.org/10.1111/bjet.13336</v>
      </c>
      <c r="J98" s="11" t="s">
        <v>4969</v>
      </c>
      <c r="K98" s="11" t="s">
        <v>75</v>
      </c>
      <c r="L98" s="11" t="s">
        <v>42</v>
      </c>
      <c r="M98" s="11" t="s">
        <v>1509</v>
      </c>
      <c r="N98" s="11">
        <v>1</v>
      </c>
      <c r="O98" s="11">
        <v>1</v>
      </c>
      <c r="P98" s="10">
        <v>1</v>
      </c>
    </row>
    <row r="99" spans="1:16" ht="13.8" customHeight="1" x14ac:dyDescent="0.25">
      <c r="A99" s="12">
        <v>98</v>
      </c>
      <c r="B99" s="11">
        <v>43</v>
      </c>
      <c r="C99" s="12" t="s">
        <v>12204</v>
      </c>
      <c r="D99" s="12">
        <v>131</v>
      </c>
      <c r="E99" s="13" t="s">
        <v>326</v>
      </c>
      <c r="F99" s="13" t="s">
        <v>327</v>
      </c>
      <c r="G99" s="13">
        <v>2023</v>
      </c>
      <c r="H99" s="13" t="s">
        <v>305</v>
      </c>
      <c r="I99" s="13" t="s">
        <v>328</v>
      </c>
      <c r="J99" s="13" t="s">
        <v>331</v>
      </c>
      <c r="K99" s="13" t="s">
        <v>332</v>
      </c>
      <c r="L99" s="11" t="s">
        <v>42</v>
      </c>
      <c r="M99" s="13" t="s">
        <v>56</v>
      </c>
      <c r="N99" s="12">
        <v>1</v>
      </c>
      <c r="O99" s="12">
        <v>1</v>
      </c>
      <c r="P99" s="10">
        <v>1</v>
      </c>
    </row>
    <row r="100" spans="1:16" x14ac:dyDescent="0.25">
      <c r="A100" s="12">
        <v>99</v>
      </c>
      <c r="B100" s="12">
        <v>122</v>
      </c>
      <c r="C100" s="12" t="s">
        <v>12204</v>
      </c>
      <c r="D100" s="12">
        <v>442</v>
      </c>
      <c r="E100" s="12" t="s">
        <v>12444</v>
      </c>
      <c r="F100" s="12" t="s">
        <v>1418</v>
      </c>
      <c r="G100" s="12">
        <v>2023</v>
      </c>
      <c r="H100" s="12" t="s">
        <v>1419</v>
      </c>
      <c r="I100" s="12" t="s">
        <v>1420</v>
      </c>
      <c r="J100" s="12" t="s">
        <v>12441</v>
      </c>
      <c r="K100" s="12" t="s">
        <v>1423</v>
      </c>
      <c r="L100" s="12" t="s">
        <v>42</v>
      </c>
      <c r="M100" s="12" t="s">
        <v>12252</v>
      </c>
      <c r="N100" s="11">
        <v>1</v>
      </c>
      <c r="O100" s="11">
        <v>1</v>
      </c>
      <c r="P100" s="10">
        <v>1</v>
      </c>
    </row>
    <row r="101" spans="1:16" x14ac:dyDescent="0.25">
      <c r="A101" s="12">
        <v>100</v>
      </c>
      <c r="B101" s="12">
        <v>42</v>
      </c>
      <c r="C101" s="12" t="s">
        <v>12204</v>
      </c>
      <c r="D101" s="12">
        <v>132</v>
      </c>
      <c r="E101" s="12" t="s">
        <v>12815</v>
      </c>
      <c r="F101" s="12" t="s">
        <v>233</v>
      </c>
      <c r="G101" s="12">
        <v>2023</v>
      </c>
      <c r="H101" s="12" t="s">
        <v>234</v>
      </c>
      <c r="I101" s="12" t="s">
        <v>235</v>
      </c>
      <c r="J101" s="12" t="s">
        <v>238</v>
      </c>
      <c r="K101" s="12" t="s">
        <v>239</v>
      </c>
      <c r="L101" s="12" t="s">
        <v>42</v>
      </c>
      <c r="M101" s="12" t="s">
        <v>56</v>
      </c>
      <c r="N101" s="12">
        <v>1</v>
      </c>
      <c r="O101" s="12">
        <v>1</v>
      </c>
      <c r="P101" s="10">
        <v>1</v>
      </c>
    </row>
    <row r="102" spans="1:16" x14ac:dyDescent="0.25">
      <c r="A102" s="12">
        <v>101</v>
      </c>
      <c r="B102" s="11">
        <v>136</v>
      </c>
      <c r="C102" s="12" t="s">
        <v>12118</v>
      </c>
      <c r="D102" s="12">
        <v>146</v>
      </c>
      <c r="E102" s="11" t="s">
        <v>3511</v>
      </c>
      <c r="F102" s="11" t="s">
        <v>3513</v>
      </c>
      <c r="G102" s="11">
        <v>2023</v>
      </c>
      <c r="H102" s="11" t="s">
        <v>3514</v>
      </c>
      <c r="I102" s="11" t="str">
        <f>HYPERLINK("http://dx.doi.org/10.3916/C77-2023-04","http://dx.doi.org/10.3916/C77-2023-04")</f>
        <v>http://dx.doi.org/10.3916/C77-2023-04</v>
      </c>
      <c r="J102" s="11" t="s">
        <v>3516</v>
      </c>
      <c r="K102" s="11" t="s">
        <v>3515</v>
      </c>
      <c r="L102" s="11" t="s">
        <v>55</v>
      </c>
      <c r="M102" s="11" t="s">
        <v>56</v>
      </c>
      <c r="N102" s="11">
        <v>1</v>
      </c>
      <c r="O102" s="11">
        <v>1</v>
      </c>
      <c r="P102" s="10">
        <v>1</v>
      </c>
    </row>
    <row r="103" spans="1:16" x14ac:dyDescent="0.25">
      <c r="B103" s="11"/>
      <c r="E103" s="11"/>
      <c r="F103" s="11"/>
      <c r="G103" s="11"/>
      <c r="H103" s="11"/>
      <c r="I103" s="11"/>
      <c r="J103" s="11"/>
      <c r="K103" s="11"/>
      <c r="L103" s="11"/>
      <c r="M103" s="11"/>
    </row>
    <row r="104" spans="1:16" x14ac:dyDescent="0.25">
      <c r="B104" s="11"/>
      <c r="E104" s="11"/>
      <c r="F104" s="11"/>
      <c r="G104" s="11"/>
      <c r="H104" s="11"/>
      <c r="I104" s="11"/>
      <c r="J104" s="11"/>
      <c r="K104" s="11"/>
      <c r="L104" s="11"/>
      <c r="M104" s="11"/>
      <c r="N104" s="11"/>
      <c r="O104" s="11"/>
    </row>
    <row r="105" spans="1:16" x14ac:dyDescent="0.25">
      <c r="B105" s="11"/>
      <c r="E105" s="11"/>
      <c r="F105" s="11"/>
      <c r="G105" s="11"/>
      <c r="H105" s="11"/>
      <c r="I105" s="11"/>
      <c r="J105" s="11"/>
      <c r="K105" s="11"/>
      <c r="L105" s="11"/>
      <c r="M105" s="11"/>
    </row>
    <row r="106" spans="1:16" x14ac:dyDescent="0.25">
      <c r="B106" s="11"/>
      <c r="E106" s="11"/>
      <c r="F106" s="11"/>
      <c r="G106" s="11"/>
      <c r="H106" s="11"/>
      <c r="I106" s="11"/>
      <c r="J106" s="11"/>
      <c r="K106" s="11"/>
      <c r="L106" s="11"/>
      <c r="M106" s="11"/>
      <c r="N106" s="11"/>
      <c r="O106" s="11"/>
    </row>
    <row r="107" spans="1:16" x14ac:dyDescent="0.25">
      <c r="B107" s="11"/>
      <c r="E107" s="11"/>
      <c r="F107" s="11"/>
      <c r="G107" s="11"/>
      <c r="H107" s="11"/>
      <c r="I107" s="11"/>
      <c r="J107" s="11"/>
      <c r="K107" s="11"/>
      <c r="L107" s="11"/>
      <c r="M107" s="11"/>
      <c r="N107" s="11"/>
      <c r="O107" s="11"/>
    </row>
    <row r="108" spans="1:16" x14ac:dyDescent="0.25">
      <c r="N108" s="11"/>
      <c r="O108" s="11"/>
    </row>
    <row r="110" spans="1:16" x14ac:dyDescent="0.25">
      <c r="B110" s="11"/>
      <c r="E110" s="11"/>
      <c r="F110" s="11"/>
      <c r="G110" s="11"/>
      <c r="H110" s="11"/>
      <c r="I110" s="11"/>
      <c r="J110" s="11"/>
      <c r="K110" s="11"/>
      <c r="L110" s="11"/>
      <c r="M110" s="11"/>
      <c r="N110" s="11"/>
      <c r="O110" s="11"/>
    </row>
    <row r="112" spans="1:16" x14ac:dyDescent="0.25">
      <c r="B112" s="11"/>
      <c r="E112" s="11"/>
      <c r="F112" s="11"/>
      <c r="G112" s="11"/>
      <c r="H112" s="11"/>
      <c r="I112" s="11"/>
      <c r="J112" s="11"/>
      <c r="K112" s="11"/>
      <c r="L112" s="11"/>
      <c r="M112" s="11"/>
      <c r="N112" s="11"/>
      <c r="O112" s="11"/>
    </row>
    <row r="113" spans="2:15" x14ac:dyDescent="0.25">
      <c r="B113" s="11"/>
      <c r="E113" s="11"/>
      <c r="F113" s="11"/>
      <c r="G113" s="11"/>
      <c r="H113" s="11"/>
      <c r="I113" s="11"/>
      <c r="J113" s="11"/>
      <c r="K113" s="11"/>
      <c r="L113" s="11"/>
      <c r="M113" s="11"/>
    </row>
    <row r="114" spans="2:15" x14ac:dyDescent="0.25">
      <c r="B114" s="11"/>
      <c r="E114" s="11"/>
      <c r="F114" s="11"/>
      <c r="G114" s="11"/>
      <c r="H114" s="11"/>
      <c r="I114" s="11"/>
      <c r="J114" s="11"/>
      <c r="K114" s="11"/>
      <c r="L114" s="11"/>
      <c r="M114" s="11"/>
      <c r="N114" s="11"/>
      <c r="O114" s="11"/>
    </row>
    <row r="115" spans="2:15" x14ac:dyDescent="0.25">
      <c r="B115" s="11"/>
      <c r="E115" s="11"/>
      <c r="F115" s="11"/>
      <c r="G115" s="11"/>
      <c r="H115" s="11"/>
      <c r="I115" s="11"/>
      <c r="J115" s="11"/>
      <c r="K115" s="11"/>
      <c r="L115" s="11"/>
      <c r="M115" s="11"/>
      <c r="N115" s="11"/>
      <c r="O115" s="11"/>
    </row>
    <row r="116" spans="2:15" x14ac:dyDescent="0.25">
      <c r="B116" s="11"/>
      <c r="E116" s="11"/>
      <c r="F116" s="11"/>
      <c r="G116" s="11"/>
      <c r="H116" s="11"/>
      <c r="I116" s="11"/>
      <c r="J116" s="11"/>
      <c r="K116" s="11"/>
      <c r="L116" s="11"/>
      <c r="M116" s="11"/>
      <c r="N116" s="11"/>
      <c r="O116" s="11"/>
    </row>
    <row r="118" spans="2:15" x14ac:dyDescent="0.25">
      <c r="B118" s="11"/>
      <c r="E118" s="11"/>
      <c r="F118" s="11"/>
      <c r="G118" s="11"/>
      <c r="H118" s="11"/>
      <c r="I118" s="11"/>
      <c r="J118" s="11"/>
      <c r="K118" s="11"/>
      <c r="L118" s="11"/>
      <c r="M118" s="11"/>
      <c r="N118" s="11"/>
      <c r="O118" s="11"/>
    </row>
    <row r="122" spans="2:15" x14ac:dyDescent="0.25">
      <c r="B122" s="11"/>
      <c r="E122" s="11"/>
      <c r="F122" s="11"/>
      <c r="G122" s="11"/>
      <c r="H122" s="11"/>
      <c r="I122" s="11"/>
      <c r="J122" s="11"/>
      <c r="K122" s="11"/>
      <c r="L122" s="11"/>
      <c r="M122" s="11"/>
      <c r="N122" s="11"/>
      <c r="O122" s="11"/>
    </row>
    <row r="124" spans="2:15" x14ac:dyDescent="0.25">
      <c r="B124" s="11"/>
      <c r="E124" s="11"/>
      <c r="F124" s="11"/>
      <c r="G124" s="11"/>
      <c r="H124" s="11"/>
      <c r="I124" s="11"/>
      <c r="J124" s="11"/>
      <c r="K124" s="11"/>
      <c r="L124" s="11"/>
      <c r="M124" s="11"/>
      <c r="N124" s="11"/>
      <c r="O124" s="11"/>
    </row>
    <row r="125" spans="2:15" x14ac:dyDescent="0.25">
      <c r="B125" s="11"/>
      <c r="E125" s="11"/>
      <c r="F125" s="11"/>
      <c r="G125" s="11"/>
      <c r="H125" s="11"/>
      <c r="I125" s="11"/>
      <c r="J125" s="11"/>
      <c r="K125" s="11"/>
      <c r="L125" s="11"/>
      <c r="M125" s="11"/>
      <c r="N125" s="11"/>
      <c r="O125" s="11"/>
    </row>
    <row r="126" spans="2:15" x14ac:dyDescent="0.25">
      <c r="N126" s="11"/>
      <c r="O126" s="11"/>
    </row>
    <row r="127" spans="2:15" x14ac:dyDescent="0.25">
      <c r="B127" s="11"/>
      <c r="E127" s="11"/>
      <c r="F127" s="11"/>
      <c r="G127" s="11"/>
      <c r="H127" s="11"/>
      <c r="I127" s="11"/>
      <c r="J127" s="11"/>
      <c r="K127" s="11"/>
      <c r="L127" s="11"/>
      <c r="M127" s="11"/>
      <c r="N127" s="11"/>
      <c r="O127" s="11"/>
    </row>
    <row r="128" spans="2:15" x14ac:dyDescent="0.25">
      <c r="B128" s="11"/>
      <c r="E128" s="11"/>
      <c r="F128" s="11"/>
      <c r="G128" s="11"/>
      <c r="H128" s="11"/>
      <c r="I128" s="11"/>
      <c r="J128" s="11"/>
      <c r="K128" s="11"/>
      <c r="L128" s="11"/>
      <c r="M128" s="11"/>
      <c r="N128" s="11"/>
      <c r="O128" s="11"/>
    </row>
    <row r="129" spans="2:15" x14ac:dyDescent="0.25">
      <c r="B129" s="11"/>
      <c r="E129" s="11"/>
      <c r="F129" s="11"/>
      <c r="G129" s="11"/>
      <c r="H129" s="11"/>
      <c r="I129" s="11"/>
      <c r="J129" s="11"/>
      <c r="K129" s="11"/>
      <c r="L129" s="11"/>
      <c r="M129" s="11"/>
      <c r="N129" s="11"/>
      <c r="O129" s="11"/>
    </row>
    <row r="130" spans="2:15" x14ac:dyDescent="0.25">
      <c r="N130" s="11"/>
      <c r="O130" s="11"/>
    </row>
    <row r="131" spans="2:15" x14ac:dyDescent="0.25">
      <c r="B131" s="11"/>
      <c r="E131" s="11"/>
      <c r="F131" s="11"/>
      <c r="G131" s="11"/>
      <c r="H131" s="11"/>
      <c r="I131" s="11"/>
      <c r="J131" s="11"/>
      <c r="K131" s="11"/>
      <c r="L131" s="11"/>
      <c r="M131" s="11"/>
      <c r="N131" s="11"/>
      <c r="O131" s="11"/>
    </row>
    <row r="132" spans="2:15" x14ac:dyDescent="0.25">
      <c r="N132" s="11"/>
      <c r="O132" s="11"/>
    </row>
    <row r="133" spans="2:15" x14ac:dyDescent="0.25">
      <c r="B133" s="11"/>
      <c r="E133" s="11"/>
      <c r="F133" s="11"/>
      <c r="G133" s="11"/>
      <c r="H133" s="11"/>
      <c r="I133" s="11"/>
      <c r="J133" s="11"/>
      <c r="K133" s="11"/>
      <c r="L133" s="11"/>
      <c r="M133" s="11"/>
      <c r="N133" s="11"/>
      <c r="O133" s="11"/>
    </row>
    <row r="134" spans="2:15" x14ac:dyDescent="0.25">
      <c r="B134" s="11"/>
      <c r="E134" s="11"/>
      <c r="F134" s="11"/>
      <c r="G134" s="11"/>
      <c r="H134" s="11"/>
      <c r="I134" s="11"/>
      <c r="J134" s="11"/>
      <c r="K134" s="11"/>
      <c r="L134" s="11"/>
      <c r="M134" s="11"/>
      <c r="N134" s="11"/>
      <c r="O134" s="11"/>
    </row>
    <row r="136" spans="2:15" x14ac:dyDescent="0.25">
      <c r="B136" s="11"/>
      <c r="E136" s="11"/>
      <c r="F136" s="11"/>
      <c r="G136" s="11"/>
      <c r="H136" s="11"/>
      <c r="I136" s="11"/>
      <c r="J136" s="11"/>
      <c r="K136" s="11"/>
      <c r="L136" s="11"/>
      <c r="M136" s="11"/>
      <c r="N136" s="11"/>
      <c r="O136" s="11"/>
    </row>
    <row r="141" spans="2:15" x14ac:dyDescent="0.25">
      <c r="B141" s="11"/>
      <c r="E141" s="11"/>
      <c r="F141" s="11"/>
      <c r="G141" s="11"/>
      <c r="H141" s="11"/>
      <c r="I141" s="11"/>
      <c r="J141" s="11"/>
      <c r="K141" s="11"/>
      <c r="L141" s="11"/>
      <c r="M141" s="11"/>
      <c r="N141" s="11"/>
      <c r="O141" s="11"/>
    </row>
    <row r="142" spans="2:15" x14ac:dyDescent="0.25">
      <c r="B142" s="11"/>
      <c r="E142" s="11"/>
      <c r="F142" s="11"/>
      <c r="G142" s="11"/>
      <c r="H142" s="11"/>
      <c r="I142" s="11"/>
      <c r="J142" s="11"/>
      <c r="K142" s="11"/>
      <c r="L142" s="11"/>
      <c r="M142" s="11"/>
      <c r="N142" s="11"/>
      <c r="O142" s="11"/>
    </row>
    <row r="143" spans="2:15" x14ac:dyDescent="0.25">
      <c r="N143" s="11"/>
      <c r="O143" s="11"/>
    </row>
    <row r="144" spans="2:15" x14ac:dyDescent="0.25">
      <c r="B144" s="11"/>
      <c r="E144" s="11"/>
      <c r="F144" s="11"/>
      <c r="G144" s="11"/>
      <c r="H144" s="11"/>
      <c r="I144" s="11"/>
      <c r="J144" s="11"/>
      <c r="K144" s="11"/>
      <c r="L144" s="11"/>
      <c r="M144" s="11"/>
      <c r="N144" s="11"/>
      <c r="O144" s="11"/>
    </row>
    <row r="145" spans="2:15" x14ac:dyDescent="0.25">
      <c r="B145" s="11"/>
      <c r="E145" s="11"/>
      <c r="F145" s="11"/>
      <c r="G145" s="11"/>
      <c r="H145" s="11"/>
      <c r="I145" s="11"/>
      <c r="J145" s="11"/>
      <c r="K145" s="11"/>
      <c r="L145" s="11"/>
      <c r="M145" s="11"/>
      <c r="N145" s="11"/>
      <c r="O145" s="11"/>
    </row>
    <row r="147" spans="2:15" x14ac:dyDescent="0.25">
      <c r="B147" s="11"/>
      <c r="E147" s="11"/>
      <c r="F147" s="11"/>
      <c r="G147" s="11"/>
      <c r="H147" s="11"/>
      <c r="I147" s="11"/>
      <c r="J147" s="11"/>
      <c r="K147" s="11"/>
      <c r="L147" s="11"/>
      <c r="M147" s="11"/>
      <c r="N147" s="11"/>
      <c r="O147" s="11"/>
    </row>
    <row r="148" spans="2:15" x14ac:dyDescent="0.25">
      <c r="N148" s="11"/>
      <c r="O148" s="11"/>
    </row>
    <row r="149" spans="2:15" x14ac:dyDescent="0.25">
      <c r="N149" s="11"/>
      <c r="O149" s="11"/>
    </row>
    <row r="150" spans="2:15" x14ac:dyDescent="0.25">
      <c r="B150" s="11"/>
      <c r="E150" s="11"/>
      <c r="F150" s="11"/>
      <c r="G150" s="11"/>
      <c r="H150" s="11"/>
      <c r="I150" s="11"/>
      <c r="J150" s="11"/>
      <c r="K150" s="11"/>
      <c r="L150" s="11"/>
      <c r="M150" s="11"/>
      <c r="N150" s="11"/>
      <c r="O150" s="11"/>
    </row>
    <row r="151" spans="2:15" x14ac:dyDescent="0.25">
      <c r="B151" s="11"/>
      <c r="E151" s="11"/>
      <c r="F151" s="11"/>
      <c r="G151" s="11"/>
      <c r="H151" s="11"/>
      <c r="I151" s="11"/>
      <c r="J151" s="11"/>
      <c r="K151" s="11"/>
      <c r="L151" s="11"/>
      <c r="M151" s="11"/>
      <c r="N151" s="11"/>
      <c r="O151" s="11"/>
    </row>
    <row r="153" spans="2:15" x14ac:dyDescent="0.25">
      <c r="B153" s="11"/>
      <c r="E153" s="11"/>
      <c r="F153" s="11"/>
      <c r="G153" s="11"/>
      <c r="H153" s="11"/>
      <c r="I153" s="11"/>
      <c r="J153" s="11"/>
      <c r="K153" s="11"/>
      <c r="L153" s="11"/>
      <c r="M153" s="11"/>
      <c r="N153" s="11"/>
      <c r="O153" s="11"/>
    </row>
    <row r="154" spans="2:15" x14ac:dyDescent="0.25">
      <c r="B154" s="11"/>
      <c r="E154" s="11"/>
      <c r="F154" s="11"/>
      <c r="G154" s="11"/>
      <c r="H154" s="11"/>
      <c r="I154" s="11"/>
      <c r="J154" s="11"/>
      <c r="K154" s="11"/>
      <c r="L154" s="11"/>
      <c r="M154" s="11"/>
    </row>
    <row r="155" spans="2:15" x14ac:dyDescent="0.25">
      <c r="B155" s="11"/>
      <c r="E155" s="11"/>
      <c r="F155" s="11"/>
      <c r="G155" s="11"/>
      <c r="H155" s="11"/>
      <c r="I155" s="11"/>
      <c r="J155" s="11"/>
      <c r="K155" s="11"/>
      <c r="L155" s="11"/>
      <c r="M155" s="11"/>
      <c r="N155" s="11"/>
      <c r="O155" s="11"/>
    </row>
    <row r="157" spans="2:15" x14ac:dyDescent="0.25">
      <c r="B157" s="11"/>
      <c r="E157" s="11"/>
      <c r="F157" s="11"/>
      <c r="G157" s="11"/>
      <c r="H157" s="11"/>
      <c r="I157" s="11"/>
      <c r="J157" s="11"/>
      <c r="K157" s="11"/>
      <c r="L157" s="11"/>
      <c r="M157" s="11"/>
    </row>
    <row r="158" spans="2:15" x14ac:dyDescent="0.25">
      <c r="B158" s="11"/>
      <c r="E158" s="11"/>
      <c r="F158" s="11"/>
      <c r="G158" s="11"/>
      <c r="H158" s="11"/>
      <c r="I158" s="11"/>
      <c r="J158" s="11"/>
      <c r="K158" s="11"/>
      <c r="L158" s="11"/>
      <c r="M158" s="11"/>
      <c r="N158" s="11"/>
      <c r="O158" s="11"/>
    </row>
    <row r="159" spans="2:15" x14ac:dyDescent="0.25">
      <c r="B159" s="11"/>
      <c r="E159" s="11"/>
      <c r="F159" s="11"/>
      <c r="G159" s="11"/>
      <c r="H159" s="11"/>
      <c r="I159" s="11"/>
      <c r="J159" s="11"/>
      <c r="K159" s="11"/>
      <c r="L159" s="11"/>
      <c r="M159" s="11"/>
      <c r="N159" s="11"/>
      <c r="O159" s="11"/>
    </row>
    <row r="161" spans="2:15" x14ac:dyDescent="0.25">
      <c r="B161" s="11"/>
      <c r="E161" s="11"/>
      <c r="F161" s="11"/>
      <c r="G161" s="11"/>
      <c r="H161" s="11"/>
      <c r="I161" s="11"/>
      <c r="J161" s="11"/>
      <c r="K161" s="11"/>
      <c r="L161" s="11"/>
      <c r="M161" s="11"/>
      <c r="N161" s="11"/>
      <c r="O161" s="11"/>
    </row>
    <row r="162" spans="2:15" x14ac:dyDescent="0.25">
      <c r="B162" s="11"/>
      <c r="E162" s="11"/>
      <c r="F162" s="11"/>
      <c r="G162" s="11"/>
      <c r="H162" s="11"/>
      <c r="I162" s="11"/>
      <c r="J162" s="11"/>
      <c r="K162" s="11"/>
      <c r="L162" s="11"/>
      <c r="M162" s="11"/>
      <c r="N162" s="11"/>
      <c r="O162" s="11"/>
    </row>
    <row r="163" spans="2:15" x14ac:dyDescent="0.25">
      <c r="B163" s="11"/>
      <c r="E163" s="11"/>
      <c r="F163" s="11"/>
      <c r="G163" s="11"/>
      <c r="H163" s="11"/>
      <c r="I163" s="11"/>
      <c r="J163" s="11"/>
      <c r="K163" s="11"/>
      <c r="L163" s="11"/>
      <c r="M163" s="11"/>
      <c r="N163" s="11"/>
      <c r="O163" s="11"/>
    </row>
    <row r="164" spans="2:15" x14ac:dyDescent="0.25">
      <c r="B164" s="11"/>
      <c r="E164" s="11"/>
      <c r="F164" s="11"/>
      <c r="G164" s="11"/>
      <c r="H164" s="11"/>
      <c r="I164" s="11"/>
      <c r="J164" s="11"/>
      <c r="K164" s="11"/>
      <c r="L164" s="11"/>
      <c r="M164" s="11"/>
      <c r="N164" s="11"/>
      <c r="O164" s="11"/>
    </row>
    <row r="165" spans="2:15" x14ac:dyDescent="0.25">
      <c r="B165" s="11"/>
      <c r="E165" s="11"/>
      <c r="F165" s="11"/>
      <c r="G165" s="11"/>
      <c r="H165" s="11"/>
      <c r="I165" s="11"/>
      <c r="J165" s="11"/>
      <c r="K165" s="11"/>
      <c r="L165" s="11"/>
      <c r="M165" s="11"/>
      <c r="N165" s="11"/>
      <c r="O165" s="11"/>
    </row>
    <row r="166" spans="2:15" x14ac:dyDescent="0.25">
      <c r="B166" s="11"/>
      <c r="E166" s="11"/>
      <c r="F166" s="11"/>
      <c r="G166" s="11"/>
      <c r="H166" s="11"/>
      <c r="I166" s="11"/>
      <c r="J166" s="11"/>
      <c r="K166" s="11"/>
      <c r="L166" s="11"/>
      <c r="M166" s="11"/>
      <c r="N166" s="11"/>
      <c r="O166" s="11"/>
    </row>
    <row r="167" spans="2:15" x14ac:dyDescent="0.25">
      <c r="B167" s="11"/>
      <c r="E167" s="11"/>
      <c r="F167" s="11"/>
      <c r="G167" s="11"/>
      <c r="H167" s="11"/>
      <c r="I167" s="11"/>
      <c r="J167" s="11"/>
      <c r="K167" s="11"/>
      <c r="L167" s="11"/>
      <c r="M167" s="11"/>
    </row>
    <row r="174" spans="2:15" x14ac:dyDescent="0.25">
      <c r="B174" s="11"/>
      <c r="E174" s="11"/>
      <c r="F174" s="11"/>
      <c r="G174" s="11"/>
      <c r="H174" s="11"/>
      <c r="I174" s="11"/>
      <c r="J174" s="11"/>
      <c r="K174" s="11"/>
      <c r="L174" s="11"/>
      <c r="M174" s="11"/>
      <c r="N174" s="11"/>
      <c r="O174" s="11"/>
    </row>
    <row r="176" spans="2:15" x14ac:dyDescent="0.25">
      <c r="E176" s="13"/>
      <c r="F176" s="13"/>
      <c r="G176" s="13"/>
      <c r="H176" s="13"/>
      <c r="I176" s="13"/>
      <c r="J176" s="13"/>
      <c r="K176" s="13"/>
      <c r="M176" s="11"/>
    </row>
    <row r="177" spans="2:15" x14ac:dyDescent="0.25">
      <c r="B177" s="11"/>
      <c r="E177" s="11"/>
      <c r="F177" s="11"/>
      <c r="G177" s="11"/>
      <c r="H177" s="11"/>
      <c r="I177" s="11"/>
      <c r="J177" s="11"/>
      <c r="K177" s="11"/>
      <c r="L177" s="11"/>
      <c r="M177" s="11"/>
      <c r="N177" s="11"/>
      <c r="O177" s="11"/>
    </row>
    <row r="178" spans="2:15" x14ac:dyDescent="0.25">
      <c r="B178" s="11"/>
      <c r="E178" s="11"/>
      <c r="F178" s="11"/>
      <c r="G178" s="11"/>
      <c r="H178" s="11"/>
      <c r="I178" s="11"/>
      <c r="J178" s="11"/>
      <c r="K178" s="11"/>
      <c r="L178" s="11"/>
      <c r="M178" s="11"/>
      <c r="N178" s="11"/>
      <c r="O178" s="11"/>
    </row>
    <row r="179" spans="2:15" x14ac:dyDescent="0.25">
      <c r="B179" s="11"/>
      <c r="E179" s="11"/>
      <c r="F179" s="11"/>
      <c r="G179" s="11"/>
      <c r="H179" s="11"/>
      <c r="I179" s="11"/>
      <c r="J179" s="11"/>
      <c r="K179" s="11"/>
      <c r="L179" s="11"/>
      <c r="M179" s="11"/>
      <c r="N179" s="11"/>
      <c r="O179" s="11"/>
    </row>
    <row r="180" spans="2:15" x14ac:dyDescent="0.25">
      <c r="B180" s="11"/>
      <c r="E180" s="11"/>
      <c r="F180" s="11"/>
      <c r="G180" s="11"/>
      <c r="H180" s="11"/>
      <c r="I180" s="11"/>
      <c r="J180" s="11"/>
      <c r="K180" s="11"/>
      <c r="L180" s="11"/>
      <c r="M180" s="11"/>
    </row>
    <row r="181" spans="2:15" x14ac:dyDescent="0.25">
      <c r="B181" s="11"/>
      <c r="E181" s="11"/>
      <c r="F181" s="11"/>
      <c r="G181" s="11"/>
      <c r="H181" s="11"/>
      <c r="I181" s="11"/>
      <c r="J181" s="11"/>
      <c r="K181" s="11"/>
      <c r="L181" s="11"/>
      <c r="M181" s="11"/>
      <c r="N181" s="11"/>
      <c r="O181" s="11"/>
    </row>
    <row r="183" spans="2:15" x14ac:dyDescent="0.25">
      <c r="B183" s="11"/>
      <c r="E183" s="11"/>
      <c r="F183" s="11"/>
      <c r="G183" s="11"/>
      <c r="H183" s="11"/>
      <c r="I183" s="11"/>
      <c r="J183" s="11"/>
      <c r="K183" s="11"/>
      <c r="L183" s="11"/>
      <c r="M183" s="11"/>
    </row>
    <row r="188" spans="2:15" x14ac:dyDescent="0.25">
      <c r="N188" s="11"/>
      <c r="O188" s="11"/>
    </row>
  </sheetData>
  <autoFilter ref="B1:DD183" xr:uid="{F11861F2-DD74-439C-A719-81C2E8B70792}">
    <sortState xmlns:xlrd2="http://schemas.microsoft.com/office/spreadsheetml/2017/richdata2" ref="B2:BP183">
      <sortCondition ref="O1:O183"/>
    </sortState>
  </autoFilter>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D91A5-70CB-4291-AAE7-6582D152D45A}">
  <dimension ref="A1:BP188"/>
  <sheetViews>
    <sheetView zoomScale="80" zoomScaleNormal="80" workbookViewId="0">
      <selection activeCell="A2" sqref="A2:A85"/>
    </sheetView>
  </sheetViews>
  <sheetFormatPr baseColWidth="10" defaultRowHeight="13.2" x14ac:dyDescent="0.25"/>
  <cols>
    <col min="1" max="1" width="6" style="12" customWidth="1"/>
    <col min="2" max="2" width="4.21875" style="12" customWidth="1"/>
    <col min="3" max="3" width="9.5546875" style="12" customWidth="1"/>
    <col min="4" max="4" width="3.77734375" style="12" customWidth="1"/>
    <col min="5" max="5" width="2.77734375" style="12" customWidth="1"/>
    <col min="6" max="6" width="74.21875" style="12" customWidth="1"/>
    <col min="7" max="7" width="6.6640625" style="12" customWidth="1"/>
    <col min="8" max="8" width="3.44140625" style="12" customWidth="1"/>
    <col min="9" max="9" width="3.5546875" style="12" customWidth="1"/>
    <col min="10" max="10" width="2.44140625" style="12" customWidth="1"/>
    <col min="11" max="11" width="3.21875" style="12" customWidth="1"/>
    <col min="12" max="12" width="6.6640625" style="12" customWidth="1"/>
    <col min="13" max="13" width="9.77734375" style="12" customWidth="1"/>
    <col min="14" max="14" width="2.21875" style="12" customWidth="1"/>
    <col min="15" max="15" width="3.77734375" style="12" customWidth="1"/>
    <col min="16" max="16" width="4.44140625" style="12" customWidth="1"/>
    <col min="17" max="16384" width="11.5546875" style="12"/>
  </cols>
  <sheetData>
    <row r="1" spans="1:68" x14ac:dyDescent="0.25">
      <c r="A1" s="12" t="s">
        <v>16070</v>
      </c>
      <c r="B1" s="12" t="s">
        <v>16065</v>
      </c>
      <c r="C1" s="12" t="s">
        <v>16064</v>
      </c>
      <c r="D1" s="12" t="s">
        <v>1445</v>
      </c>
      <c r="E1" s="12" t="s">
        <v>0</v>
      </c>
      <c r="F1" s="12" t="s">
        <v>2</v>
      </c>
      <c r="G1" s="12" t="s">
        <v>3</v>
      </c>
      <c r="H1" s="12" t="s">
        <v>4</v>
      </c>
      <c r="I1" s="12" t="s">
        <v>12</v>
      </c>
      <c r="J1" s="12" t="s">
        <v>16</v>
      </c>
      <c r="K1" s="12" t="s">
        <v>17</v>
      </c>
      <c r="L1" s="12" t="s">
        <v>26</v>
      </c>
      <c r="M1" s="12" t="s">
        <v>28</v>
      </c>
      <c r="N1" s="12" t="s">
        <v>16067</v>
      </c>
      <c r="O1" s="12" t="s">
        <v>16068</v>
      </c>
      <c r="P1" s="12" t="s">
        <v>16069</v>
      </c>
    </row>
    <row r="2" spans="1:68" x14ac:dyDescent="0.25">
      <c r="A2" s="12">
        <v>1</v>
      </c>
      <c r="B2" s="12">
        <v>10</v>
      </c>
      <c r="C2" s="12" t="s">
        <v>12204</v>
      </c>
      <c r="D2" s="12">
        <v>6</v>
      </c>
      <c r="E2" s="12" t="s">
        <v>12897</v>
      </c>
      <c r="F2" s="12" t="s">
        <v>382</v>
      </c>
      <c r="G2" s="12">
        <v>2023</v>
      </c>
      <c r="H2" s="12" t="s">
        <v>383</v>
      </c>
      <c r="J2" s="12" t="s">
        <v>386</v>
      </c>
      <c r="K2" s="12" t="s">
        <v>387</v>
      </c>
      <c r="L2" s="12" t="s">
        <v>42</v>
      </c>
      <c r="M2" s="12" t="s">
        <v>12252</v>
      </c>
      <c r="N2" s="12">
        <v>1</v>
      </c>
      <c r="O2" s="12">
        <v>1</v>
      </c>
      <c r="P2" s="12">
        <v>1</v>
      </c>
    </row>
    <row r="3" spans="1:68" x14ac:dyDescent="0.25">
      <c r="A3" s="12">
        <v>2</v>
      </c>
      <c r="B3" s="12">
        <v>11</v>
      </c>
      <c r="C3" s="12" t="s">
        <v>12204</v>
      </c>
      <c r="D3" s="12">
        <v>11</v>
      </c>
      <c r="E3" s="12" t="s">
        <v>13462</v>
      </c>
      <c r="F3" s="12" t="s">
        <v>415</v>
      </c>
      <c r="G3" s="12">
        <v>2023</v>
      </c>
      <c r="H3" s="12" t="s">
        <v>416</v>
      </c>
      <c r="I3" s="12" t="s">
        <v>417</v>
      </c>
      <c r="J3" s="12" t="s">
        <v>419</v>
      </c>
      <c r="K3" s="12" t="s">
        <v>420</v>
      </c>
      <c r="L3" s="12" t="s">
        <v>42</v>
      </c>
      <c r="M3" s="12" t="s">
        <v>56</v>
      </c>
      <c r="N3" s="12">
        <v>1</v>
      </c>
      <c r="O3" s="12">
        <v>1</v>
      </c>
      <c r="P3" s="12">
        <v>1</v>
      </c>
    </row>
    <row r="4" spans="1:68" x14ac:dyDescent="0.25">
      <c r="A4" s="12">
        <v>3</v>
      </c>
      <c r="B4" s="11">
        <v>19</v>
      </c>
      <c r="C4" s="12" t="s">
        <v>12118</v>
      </c>
      <c r="D4" s="12">
        <v>21</v>
      </c>
      <c r="E4" s="11" t="s">
        <v>4393</v>
      </c>
      <c r="F4" s="11" t="s">
        <v>4395</v>
      </c>
      <c r="G4" s="11">
        <v>2023</v>
      </c>
      <c r="H4" s="11" t="s">
        <v>4396</v>
      </c>
      <c r="I4" s="11" t="str">
        <f>HYPERLINK("http://dx.doi.org/10.1016/j.sapharm.2023.05.016","http://dx.doi.org/10.1016/j.sapharm.2023.05.016")</f>
        <v>http://dx.doi.org/10.1016/j.sapharm.2023.05.016</v>
      </c>
      <c r="J4" s="11" t="s">
        <v>4399</v>
      </c>
      <c r="K4" s="11" t="s">
        <v>4397</v>
      </c>
      <c r="L4" s="11" t="s">
        <v>42</v>
      </c>
      <c r="M4" s="11" t="s">
        <v>56</v>
      </c>
      <c r="N4" s="11">
        <v>1</v>
      </c>
      <c r="O4" s="11">
        <v>1</v>
      </c>
      <c r="P4" s="12">
        <v>1</v>
      </c>
    </row>
    <row r="5" spans="1:68" x14ac:dyDescent="0.25">
      <c r="A5" s="12">
        <v>4</v>
      </c>
      <c r="B5" s="11">
        <v>31</v>
      </c>
      <c r="C5" s="12" t="s">
        <v>12118</v>
      </c>
      <c r="D5" s="12">
        <v>34</v>
      </c>
      <c r="E5" s="11" t="s">
        <v>5607</v>
      </c>
      <c r="F5" s="11" t="s">
        <v>266</v>
      </c>
      <c r="G5" s="11">
        <v>2023</v>
      </c>
      <c r="H5" s="11" t="s">
        <v>5609</v>
      </c>
      <c r="I5" s="11" t="str">
        <f>HYPERLINK("http://dx.doi.org/10.3991/ijep.v13i8.45621","http://dx.doi.org/10.3991/ijep.v13i8.45621")</f>
        <v>http://dx.doi.org/10.3991/ijep.v13i8.45621</v>
      </c>
      <c r="J5" s="11" t="s">
        <v>5611</v>
      </c>
      <c r="K5" s="11" t="s">
        <v>5610</v>
      </c>
      <c r="L5" s="11" t="s">
        <v>42</v>
      </c>
      <c r="M5" s="11" t="s">
        <v>56</v>
      </c>
      <c r="N5" s="11">
        <v>1</v>
      </c>
      <c r="O5" s="11">
        <v>1</v>
      </c>
      <c r="P5" s="12">
        <v>1</v>
      </c>
    </row>
    <row r="6" spans="1:68" x14ac:dyDescent="0.25">
      <c r="A6" s="12">
        <v>5</v>
      </c>
      <c r="B6" s="12">
        <v>19</v>
      </c>
      <c r="C6" s="12" t="s">
        <v>12204</v>
      </c>
      <c r="D6" s="12">
        <v>43</v>
      </c>
      <c r="E6" s="12" t="s">
        <v>13627</v>
      </c>
      <c r="F6" s="12" t="s">
        <v>104</v>
      </c>
      <c r="G6" s="12">
        <v>2023</v>
      </c>
      <c r="H6" s="12" t="s">
        <v>105</v>
      </c>
      <c r="I6" s="12" t="s">
        <v>106</v>
      </c>
      <c r="J6" s="12" t="s">
        <v>108</v>
      </c>
      <c r="K6" s="12" t="s">
        <v>109</v>
      </c>
      <c r="L6" s="12" t="s">
        <v>42</v>
      </c>
      <c r="M6" s="12" t="s">
        <v>56</v>
      </c>
      <c r="N6" s="12">
        <v>1</v>
      </c>
      <c r="O6" s="12">
        <v>1</v>
      </c>
      <c r="P6" s="12">
        <v>1</v>
      </c>
    </row>
    <row r="7" spans="1:68" x14ac:dyDescent="0.25">
      <c r="A7" s="12">
        <v>6</v>
      </c>
      <c r="B7" s="11">
        <v>45</v>
      </c>
      <c r="C7" s="12" t="s">
        <v>12118</v>
      </c>
      <c r="D7" s="12">
        <v>47</v>
      </c>
      <c r="E7" s="11" t="s">
        <v>4965</v>
      </c>
      <c r="F7" s="11" t="s">
        <v>69</v>
      </c>
      <c r="G7" s="11">
        <v>2023</v>
      </c>
      <c r="H7" s="11" t="s">
        <v>4967</v>
      </c>
      <c r="I7" s="11" t="str">
        <f>HYPERLINK("http://dx.doi.org/10.1111/bjet.13336","http://dx.doi.org/10.1111/bjet.13336")</f>
        <v>http://dx.doi.org/10.1111/bjet.13336</v>
      </c>
      <c r="J7" s="11" t="s">
        <v>4969</v>
      </c>
      <c r="K7" s="11" t="s">
        <v>75</v>
      </c>
      <c r="L7" s="11" t="s">
        <v>42</v>
      </c>
      <c r="M7" s="11" t="s">
        <v>1509</v>
      </c>
      <c r="N7" s="11">
        <v>1</v>
      </c>
      <c r="O7" s="11">
        <v>1</v>
      </c>
      <c r="P7" s="12">
        <v>1</v>
      </c>
    </row>
    <row r="8" spans="1:68" x14ac:dyDescent="0.25">
      <c r="A8" s="12">
        <v>7</v>
      </c>
      <c r="B8" s="12">
        <v>22</v>
      </c>
      <c r="C8" s="12" t="s">
        <v>12204</v>
      </c>
      <c r="D8" s="12">
        <v>52</v>
      </c>
      <c r="E8" s="12" t="s">
        <v>12535</v>
      </c>
      <c r="F8" s="12" t="s">
        <v>1048</v>
      </c>
      <c r="G8" s="12">
        <v>2023</v>
      </c>
      <c r="H8" s="12" t="s">
        <v>252</v>
      </c>
      <c r="I8" s="12" t="s">
        <v>1049</v>
      </c>
      <c r="J8" s="12" t="s">
        <v>1052</v>
      </c>
      <c r="K8" s="12" t="s">
        <v>1053</v>
      </c>
      <c r="L8" s="12" t="s">
        <v>42</v>
      </c>
      <c r="M8" s="12" t="s">
        <v>56</v>
      </c>
      <c r="N8" s="12">
        <v>1</v>
      </c>
      <c r="O8" s="12">
        <v>1</v>
      </c>
      <c r="P8" s="12">
        <v>1</v>
      </c>
      <c r="BA8" s="12" t="s">
        <v>311</v>
      </c>
      <c r="BF8" s="12" t="s">
        <v>312</v>
      </c>
      <c r="BJ8" s="12" t="s">
        <v>42</v>
      </c>
      <c r="BK8" s="12" t="s">
        <v>313</v>
      </c>
      <c r="BL8" s="12" t="s">
        <v>56</v>
      </c>
      <c r="BM8" s="12" t="s">
        <v>45</v>
      </c>
      <c r="BN8" s="12" t="s">
        <v>12349</v>
      </c>
      <c r="BO8" s="12" t="s">
        <v>46</v>
      </c>
      <c r="BP8" s="12" t="s">
        <v>333</v>
      </c>
    </row>
    <row r="9" spans="1:68" x14ac:dyDescent="0.25">
      <c r="A9" s="12">
        <v>8</v>
      </c>
      <c r="B9" s="11">
        <v>56</v>
      </c>
      <c r="C9" s="12" t="s">
        <v>12118</v>
      </c>
      <c r="D9" s="12">
        <v>60</v>
      </c>
      <c r="E9" s="11" t="s">
        <v>3080</v>
      </c>
      <c r="F9" s="11" t="s">
        <v>3082</v>
      </c>
      <c r="G9" s="11">
        <v>2023</v>
      </c>
      <c r="H9" s="11" t="s">
        <v>3083</v>
      </c>
      <c r="I9" s="11" t="str">
        <f>HYPERLINK("http://dx.doi.org/10.7759/cureus.47468","http://dx.doi.org/10.7759/cureus.47468")</f>
        <v>http://dx.doi.org/10.7759/cureus.47468</v>
      </c>
      <c r="J9" s="11" t="s">
        <v>3085</v>
      </c>
      <c r="K9" s="11" t="s">
        <v>3084</v>
      </c>
      <c r="L9" s="11" t="s">
        <v>42</v>
      </c>
      <c r="M9" s="11" t="s">
        <v>56</v>
      </c>
      <c r="N9" s="11">
        <v>1</v>
      </c>
      <c r="O9" s="11">
        <v>1</v>
      </c>
      <c r="P9" s="12">
        <v>1</v>
      </c>
    </row>
    <row r="10" spans="1:68" x14ac:dyDescent="0.25">
      <c r="A10" s="12">
        <v>9</v>
      </c>
      <c r="B10" s="12">
        <v>25</v>
      </c>
      <c r="C10" s="12" t="s">
        <v>12204</v>
      </c>
      <c r="D10" s="12">
        <v>66</v>
      </c>
      <c r="E10" s="12" t="s">
        <v>12794</v>
      </c>
      <c r="F10" s="12" t="s">
        <v>639</v>
      </c>
      <c r="G10" s="12">
        <v>2023</v>
      </c>
      <c r="H10" s="12" t="s">
        <v>383</v>
      </c>
      <c r="J10" s="12" t="s">
        <v>642</v>
      </c>
      <c r="K10" s="12" t="s">
        <v>643</v>
      </c>
      <c r="L10" s="12" t="s">
        <v>42</v>
      </c>
      <c r="M10" s="12" t="s">
        <v>12252</v>
      </c>
      <c r="N10" s="12">
        <v>1</v>
      </c>
      <c r="O10" s="12">
        <v>1</v>
      </c>
      <c r="P10" s="12">
        <v>1</v>
      </c>
    </row>
    <row r="11" spans="1:68" x14ac:dyDescent="0.25">
      <c r="A11" s="12">
        <v>10</v>
      </c>
      <c r="B11" s="12">
        <v>30</v>
      </c>
      <c r="C11" s="12" t="s">
        <v>12204</v>
      </c>
      <c r="D11" s="12">
        <v>83</v>
      </c>
      <c r="E11" s="12" t="s">
        <v>13288</v>
      </c>
      <c r="F11" s="12" t="s">
        <v>467</v>
      </c>
      <c r="G11" s="12">
        <v>2023</v>
      </c>
      <c r="H11" s="12" t="s">
        <v>305</v>
      </c>
      <c r="I11" s="12" t="s">
        <v>468</v>
      </c>
      <c r="J11" s="12" t="s">
        <v>471</v>
      </c>
      <c r="K11" s="12" t="s">
        <v>472</v>
      </c>
      <c r="L11" s="12" t="s">
        <v>42</v>
      </c>
      <c r="M11" s="12" t="s">
        <v>56</v>
      </c>
      <c r="N11" s="12">
        <v>1</v>
      </c>
      <c r="O11" s="12">
        <v>1</v>
      </c>
      <c r="P11" s="12">
        <v>1</v>
      </c>
    </row>
    <row r="12" spans="1:68" x14ac:dyDescent="0.25">
      <c r="A12" s="12">
        <v>11</v>
      </c>
      <c r="B12" s="12">
        <v>33</v>
      </c>
      <c r="C12" s="12" t="s">
        <v>12204</v>
      </c>
      <c r="D12" s="12">
        <v>105</v>
      </c>
      <c r="E12" s="12" t="s">
        <v>13344</v>
      </c>
      <c r="F12" s="12" t="s">
        <v>581</v>
      </c>
      <c r="G12" s="12">
        <v>2023</v>
      </c>
      <c r="H12" s="12" t="s">
        <v>486</v>
      </c>
      <c r="I12" s="12" t="s">
        <v>584</v>
      </c>
      <c r="J12" s="12" t="s">
        <v>587</v>
      </c>
      <c r="L12" s="12" t="s">
        <v>42</v>
      </c>
      <c r="M12" s="12" t="s">
        <v>56</v>
      </c>
      <c r="N12" s="12">
        <v>1</v>
      </c>
      <c r="O12" s="12">
        <v>1</v>
      </c>
      <c r="P12" s="12">
        <v>1</v>
      </c>
    </row>
    <row r="13" spans="1:68" x14ac:dyDescent="0.25">
      <c r="A13" s="12">
        <v>12</v>
      </c>
      <c r="B13" s="12">
        <v>35</v>
      </c>
      <c r="C13" s="12" t="s">
        <v>12204</v>
      </c>
      <c r="D13" s="12">
        <v>114</v>
      </c>
      <c r="E13" s="12" t="s">
        <v>12946</v>
      </c>
      <c r="F13" s="12" t="s">
        <v>195</v>
      </c>
      <c r="G13" s="12">
        <v>2023</v>
      </c>
      <c r="H13" s="12" t="s">
        <v>196</v>
      </c>
      <c r="I13" s="12" t="s">
        <v>197</v>
      </c>
      <c r="J13" s="12" t="s">
        <v>12943</v>
      </c>
      <c r="K13" s="12" t="s">
        <v>201</v>
      </c>
      <c r="L13" s="12" t="s">
        <v>42</v>
      </c>
      <c r="M13" s="12" t="s">
        <v>12252</v>
      </c>
      <c r="N13" s="12">
        <v>1</v>
      </c>
      <c r="O13" s="12">
        <v>1</v>
      </c>
      <c r="P13" s="12">
        <v>1</v>
      </c>
    </row>
    <row r="14" spans="1:68" x14ac:dyDescent="0.25">
      <c r="A14" s="12">
        <v>13</v>
      </c>
      <c r="B14" s="12">
        <v>36</v>
      </c>
      <c r="C14" s="12" t="s">
        <v>12204</v>
      </c>
      <c r="D14" s="12">
        <v>116</v>
      </c>
      <c r="E14" s="12" t="s">
        <v>13494</v>
      </c>
      <c r="F14" s="12" t="s">
        <v>714</v>
      </c>
      <c r="G14" s="12">
        <v>2023</v>
      </c>
      <c r="H14" s="12" t="s">
        <v>715</v>
      </c>
      <c r="I14" s="12" t="s">
        <v>716</v>
      </c>
      <c r="J14" s="12" t="s">
        <v>718</v>
      </c>
      <c r="K14" s="12" t="s">
        <v>719</v>
      </c>
      <c r="L14" s="12" t="s">
        <v>42</v>
      </c>
      <c r="M14" s="12" t="s">
        <v>56</v>
      </c>
      <c r="N14" s="12">
        <v>1</v>
      </c>
      <c r="O14" s="12">
        <v>1</v>
      </c>
      <c r="P14" s="12">
        <v>1</v>
      </c>
    </row>
    <row r="15" spans="1:68" x14ac:dyDescent="0.25">
      <c r="A15" s="12">
        <v>14</v>
      </c>
      <c r="B15" s="12">
        <v>37</v>
      </c>
      <c r="C15" s="12" t="s">
        <v>12204</v>
      </c>
      <c r="D15" s="12">
        <v>118</v>
      </c>
      <c r="E15" s="12" t="s">
        <v>13284</v>
      </c>
      <c r="F15" s="12" t="s">
        <v>58</v>
      </c>
      <c r="G15" s="12">
        <v>2023</v>
      </c>
      <c r="H15" s="12" t="s">
        <v>59</v>
      </c>
      <c r="I15" s="12" t="s">
        <v>60</v>
      </c>
      <c r="J15" s="12" t="s">
        <v>13281</v>
      </c>
      <c r="K15" s="12" t="s">
        <v>63</v>
      </c>
      <c r="L15" s="12" t="s">
        <v>42</v>
      </c>
      <c r="M15" s="12" t="s">
        <v>12252</v>
      </c>
      <c r="N15" s="12">
        <v>1</v>
      </c>
      <c r="O15" s="12">
        <v>1</v>
      </c>
      <c r="P15" s="12">
        <v>1</v>
      </c>
    </row>
    <row r="16" spans="1:68" x14ac:dyDescent="0.25">
      <c r="A16" s="12">
        <v>15</v>
      </c>
      <c r="B16" s="12">
        <v>38</v>
      </c>
      <c r="C16" s="12" t="s">
        <v>12204</v>
      </c>
      <c r="D16" s="12">
        <v>123</v>
      </c>
      <c r="E16" s="12" t="s">
        <v>12703</v>
      </c>
      <c r="F16" s="12" t="s">
        <v>933</v>
      </c>
      <c r="G16" s="12">
        <v>2023</v>
      </c>
      <c r="H16" s="12" t="s">
        <v>934</v>
      </c>
      <c r="I16" s="12" t="s">
        <v>935</v>
      </c>
      <c r="J16" s="12" t="s">
        <v>938</v>
      </c>
      <c r="K16" s="12" t="s">
        <v>939</v>
      </c>
      <c r="L16" s="12" t="s">
        <v>42</v>
      </c>
      <c r="M16" s="12" t="s">
        <v>56</v>
      </c>
      <c r="N16" s="12">
        <v>1</v>
      </c>
      <c r="O16" s="12">
        <v>1</v>
      </c>
      <c r="P16" s="12">
        <v>1</v>
      </c>
    </row>
    <row r="17" spans="1:16" x14ac:dyDescent="0.25">
      <c r="A17" s="12">
        <v>16</v>
      </c>
      <c r="B17" s="12">
        <v>39</v>
      </c>
      <c r="C17" s="12" t="s">
        <v>12204</v>
      </c>
      <c r="D17" s="12">
        <v>126</v>
      </c>
      <c r="E17" s="12" t="s">
        <v>12357</v>
      </c>
      <c r="F17" s="12" t="s">
        <v>1221</v>
      </c>
      <c r="G17" s="12">
        <v>2023</v>
      </c>
      <c r="H17" s="12" t="s">
        <v>797</v>
      </c>
      <c r="I17" s="12" t="s">
        <v>1222</v>
      </c>
      <c r="J17" s="12" t="s">
        <v>1225</v>
      </c>
      <c r="K17" s="12" t="s">
        <v>1226</v>
      </c>
      <c r="L17" s="12" t="s">
        <v>42</v>
      </c>
      <c r="M17" s="12" t="s">
        <v>56</v>
      </c>
      <c r="N17" s="12">
        <v>1</v>
      </c>
      <c r="O17" s="12">
        <v>1</v>
      </c>
      <c r="P17" s="12">
        <v>1</v>
      </c>
    </row>
    <row r="18" spans="1:16" x14ac:dyDescent="0.25">
      <c r="A18" s="12">
        <v>17</v>
      </c>
      <c r="B18" s="12">
        <v>40</v>
      </c>
      <c r="C18" s="12" t="s">
        <v>12204</v>
      </c>
      <c r="D18" s="12">
        <v>127</v>
      </c>
      <c r="E18" s="12" t="s">
        <v>12403</v>
      </c>
      <c r="F18" s="12" t="s">
        <v>1285</v>
      </c>
      <c r="G18" s="12">
        <v>2023</v>
      </c>
      <c r="H18" s="12" t="s">
        <v>797</v>
      </c>
      <c r="I18" s="12" t="s">
        <v>1286</v>
      </c>
      <c r="J18" s="12" t="s">
        <v>1289</v>
      </c>
      <c r="K18" s="12" t="s">
        <v>1290</v>
      </c>
      <c r="L18" s="12" t="s">
        <v>42</v>
      </c>
      <c r="M18" s="12" t="s">
        <v>56</v>
      </c>
      <c r="N18" s="12">
        <v>1</v>
      </c>
      <c r="O18" s="12">
        <v>1</v>
      </c>
      <c r="P18" s="12">
        <v>1</v>
      </c>
    </row>
    <row r="19" spans="1:16" x14ac:dyDescent="0.25">
      <c r="A19" s="12">
        <v>18</v>
      </c>
      <c r="B19" s="12">
        <v>42</v>
      </c>
      <c r="C19" s="12" t="s">
        <v>12204</v>
      </c>
      <c r="D19" s="12">
        <v>132</v>
      </c>
      <c r="E19" s="12" t="s">
        <v>12815</v>
      </c>
      <c r="F19" s="12" t="s">
        <v>233</v>
      </c>
      <c r="G19" s="12">
        <v>2023</v>
      </c>
      <c r="H19" s="12" t="s">
        <v>234</v>
      </c>
      <c r="I19" s="12" t="s">
        <v>235</v>
      </c>
      <c r="J19" s="12" t="s">
        <v>238</v>
      </c>
      <c r="K19" s="12" t="s">
        <v>239</v>
      </c>
      <c r="L19" s="12" t="s">
        <v>42</v>
      </c>
      <c r="M19" s="12" t="s">
        <v>56</v>
      </c>
      <c r="N19" s="12">
        <v>1</v>
      </c>
      <c r="O19" s="12">
        <v>1</v>
      </c>
      <c r="P19" s="12">
        <v>1</v>
      </c>
    </row>
    <row r="20" spans="1:16" x14ac:dyDescent="0.25">
      <c r="A20" s="12">
        <v>19</v>
      </c>
      <c r="B20" s="11">
        <v>124</v>
      </c>
      <c r="C20" s="12" t="s">
        <v>12118</v>
      </c>
      <c r="D20" s="12">
        <v>133</v>
      </c>
      <c r="E20" s="11" t="s">
        <v>4529</v>
      </c>
      <c r="F20" s="11" t="s">
        <v>4531</v>
      </c>
      <c r="G20" s="11">
        <v>2023</v>
      </c>
      <c r="H20" s="11" t="s">
        <v>3083</v>
      </c>
      <c r="I20" s="11" t="str">
        <f>HYPERLINK("http://dx.doi.org/10.7759/cureus.41399","http://dx.doi.org/10.7759/cureus.41399")</f>
        <v>http://dx.doi.org/10.7759/cureus.41399</v>
      </c>
      <c r="J20" s="11" t="s">
        <v>4533</v>
      </c>
      <c r="K20" s="11" t="s">
        <v>4532</v>
      </c>
      <c r="L20" s="11" t="s">
        <v>42</v>
      </c>
      <c r="M20" s="11" t="s">
        <v>56</v>
      </c>
      <c r="N20" s="11">
        <v>1</v>
      </c>
      <c r="O20" s="11">
        <v>1</v>
      </c>
      <c r="P20" s="12">
        <v>1</v>
      </c>
    </row>
    <row r="21" spans="1:16" x14ac:dyDescent="0.25">
      <c r="A21" s="12">
        <v>20</v>
      </c>
      <c r="B21" s="11">
        <v>136</v>
      </c>
      <c r="C21" s="12" t="s">
        <v>12118</v>
      </c>
      <c r="D21" s="12">
        <v>146</v>
      </c>
      <c r="E21" s="11" t="s">
        <v>3511</v>
      </c>
      <c r="F21" s="11" t="s">
        <v>3513</v>
      </c>
      <c r="G21" s="11">
        <v>2023</v>
      </c>
      <c r="H21" s="11" t="s">
        <v>3514</v>
      </c>
      <c r="I21" s="11" t="str">
        <f>HYPERLINK("http://dx.doi.org/10.3916/C77-2023-04","http://dx.doi.org/10.3916/C77-2023-04")</f>
        <v>http://dx.doi.org/10.3916/C77-2023-04</v>
      </c>
      <c r="J21" s="11" t="s">
        <v>3516</v>
      </c>
      <c r="K21" s="11" t="s">
        <v>3515</v>
      </c>
      <c r="L21" s="11" t="s">
        <v>55</v>
      </c>
      <c r="M21" s="11" t="s">
        <v>56</v>
      </c>
      <c r="N21" s="11">
        <v>1</v>
      </c>
      <c r="O21" s="11">
        <v>1</v>
      </c>
      <c r="P21" s="12">
        <v>1</v>
      </c>
    </row>
    <row r="22" spans="1:16" x14ac:dyDescent="0.25">
      <c r="A22" s="12">
        <v>21</v>
      </c>
      <c r="B22" s="11">
        <v>146</v>
      </c>
      <c r="C22" s="12" t="s">
        <v>12118</v>
      </c>
      <c r="D22" s="12">
        <v>157</v>
      </c>
      <c r="E22" s="11" t="s">
        <v>5811</v>
      </c>
      <c r="F22" s="11" t="s">
        <v>984</v>
      </c>
      <c r="G22" s="11">
        <v>2023</v>
      </c>
      <c r="H22" s="11" t="s">
        <v>5813</v>
      </c>
      <c r="I22" s="11" t="str">
        <f>HYPERLINK("http://dx.doi.org/10.5114/biolsport.2023.125623","http://dx.doi.org/10.5114/biolsport.2023.125623")</f>
        <v>http://dx.doi.org/10.5114/biolsport.2023.125623</v>
      </c>
      <c r="J22" s="11" t="s">
        <v>5815</v>
      </c>
      <c r="K22" s="11" t="s">
        <v>5814</v>
      </c>
      <c r="L22" s="11" t="s">
        <v>42</v>
      </c>
      <c r="M22" s="11" t="s">
        <v>56</v>
      </c>
      <c r="N22" s="11">
        <v>1</v>
      </c>
      <c r="O22" s="11">
        <v>1</v>
      </c>
      <c r="P22" s="12">
        <v>1</v>
      </c>
    </row>
    <row r="23" spans="1:16" x14ac:dyDescent="0.25">
      <c r="A23" s="12">
        <v>22</v>
      </c>
      <c r="B23" s="11">
        <v>158</v>
      </c>
      <c r="C23" s="12" t="s">
        <v>12118</v>
      </c>
      <c r="D23" s="12">
        <v>168</v>
      </c>
      <c r="E23" s="11" t="s">
        <v>14944</v>
      </c>
      <c r="F23" s="11" t="s">
        <v>776</v>
      </c>
      <c r="G23" s="11">
        <v>2023</v>
      </c>
      <c r="H23" s="11" t="s">
        <v>14946</v>
      </c>
      <c r="I23" s="11" t="str">
        <f>HYPERLINK("http://dx.doi.org/10.1145/3580305.3599827","http://dx.doi.org/10.1145/3580305.3599827")</f>
        <v>http://dx.doi.org/10.1145/3580305.3599827</v>
      </c>
      <c r="J23" s="11" t="s">
        <v>14951</v>
      </c>
      <c r="K23" s="11" t="s">
        <v>14950</v>
      </c>
      <c r="L23" s="11" t="s">
        <v>42</v>
      </c>
      <c r="M23" s="11" t="s">
        <v>5552</v>
      </c>
      <c r="N23" s="11">
        <v>1</v>
      </c>
      <c r="O23" s="11">
        <v>1</v>
      </c>
      <c r="P23" s="12">
        <v>1</v>
      </c>
    </row>
    <row r="24" spans="1:16" x14ac:dyDescent="0.25">
      <c r="A24" s="12">
        <v>23</v>
      </c>
      <c r="B24" s="11">
        <v>161</v>
      </c>
      <c r="C24" s="12" t="s">
        <v>12118</v>
      </c>
      <c r="D24" s="12">
        <v>171</v>
      </c>
      <c r="E24" s="11" t="s">
        <v>5289</v>
      </c>
      <c r="F24" s="11" t="s">
        <v>14801</v>
      </c>
      <c r="G24" s="11">
        <v>2023</v>
      </c>
      <c r="H24" s="11" t="s">
        <v>5291</v>
      </c>
      <c r="I24" s="11" t="str">
        <f>HYPERLINK("http://dx.doi.org/10.1016/j.ijinfomgt.2023.102642","http://dx.doi.org/10.1016/j.ijinfomgt.2023.102642")</f>
        <v>http://dx.doi.org/10.1016/j.ijinfomgt.2023.102642</v>
      </c>
      <c r="J24" s="11" t="s">
        <v>5294</v>
      </c>
      <c r="K24" s="11" t="s">
        <v>5292</v>
      </c>
      <c r="L24" s="11" t="s">
        <v>42</v>
      </c>
      <c r="M24" s="11" t="s">
        <v>56</v>
      </c>
      <c r="N24" s="11">
        <v>1</v>
      </c>
      <c r="O24" s="11">
        <v>1</v>
      </c>
      <c r="P24" s="12">
        <v>1</v>
      </c>
    </row>
    <row r="25" spans="1:16" x14ac:dyDescent="0.25">
      <c r="A25" s="12">
        <v>24</v>
      </c>
      <c r="B25" s="12">
        <v>48</v>
      </c>
      <c r="C25" s="12" t="s">
        <v>12204</v>
      </c>
      <c r="D25" s="12">
        <v>173</v>
      </c>
      <c r="E25" s="12" t="s">
        <v>12399</v>
      </c>
      <c r="F25" s="12" t="s">
        <v>1319</v>
      </c>
      <c r="G25" s="12">
        <v>2023</v>
      </c>
      <c r="H25" s="12" t="s">
        <v>797</v>
      </c>
      <c r="I25" s="12" t="s">
        <v>1320</v>
      </c>
      <c r="J25" s="12" t="s">
        <v>1323</v>
      </c>
      <c r="K25" s="12" t="s">
        <v>1324</v>
      </c>
      <c r="L25" s="12" t="s">
        <v>42</v>
      </c>
      <c r="M25" s="12" t="s">
        <v>56</v>
      </c>
      <c r="N25" s="12">
        <v>1</v>
      </c>
      <c r="O25" s="12">
        <v>1</v>
      </c>
      <c r="P25" s="12">
        <v>1</v>
      </c>
    </row>
    <row r="26" spans="1:16" x14ac:dyDescent="0.25">
      <c r="A26" s="12">
        <v>25</v>
      </c>
      <c r="B26" s="11">
        <v>168</v>
      </c>
      <c r="C26" s="12" t="s">
        <v>12118</v>
      </c>
      <c r="D26" s="12">
        <v>181</v>
      </c>
      <c r="E26" s="11" t="s">
        <v>2946</v>
      </c>
      <c r="F26" s="11" t="s">
        <v>515</v>
      </c>
      <c r="G26" s="11">
        <v>2023</v>
      </c>
      <c r="H26" s="11" t="s">
        <v>2579</v>
      </c>
      <c r="I26" s="11" t="str">
        <f>HYPERLINK("http://dx.doi.org/10.1186/s41239-023-00425-2","http://dx.doi.org/10.1186/s41239-023-00425-2")</f>
        <v>http://dx.doi.org/10.1186/s41239-023-00425-2</v>
      </c>
      <c r="J26" s="11" t="s">
        <v>2949</v>
      </c>
      <c r="K26" s="11" t="s">
        <v>2948</v>
      </c>
      <c r="L26" s="11" t="s">
        <v>42</v>
      </c>
      <c r="M26" s="11" t="s">
        <v>56</v>
      </c>
      <c r="N26" s="11">
        <v>1</v>
      </c>
      <c r="O26" s="11">
        <v>1</v>
      </c>
      <c r="P26" s="12">
        <v>1</v>
      </c>
    </row>
    <row r="27" spans="1:16" x14ac:dyDescent="0.25">
      <c r="A27" s="12">
        <v>26</v>
      </c>
      <c r="B27" s="11">
        <v>174</v>
      </c>
      <c r="C27" s="12" t="s">
        <v>12118</v>
      </c>
      <c r="D27" s="12">
        <v>189</v>
      </c>
      <c r="E27" s="11" t="s">
        <v>14961</v>
      </c>
      <c r="F27" s="11" t="s">
        <v>14964</v>
      </c>
      <c r="G27" s="11">
        <v>2023</v>
      </c>
      <c r="H27" s="11" t="s">
        <v>14965</v>
      </c>
      <c r="I27" s="11" t="str">
        <f>HYPERLINK("http://dx.doi.org/10.1007/978-981-99-8385-8_14","http://dx.doi.org/10.1007/978-981-99-8385-8_14")</f>
        <v>http://dx.doi.org/10.1007/978-981-99-8385-8_14</v>
      </c>
      <c r="J27" s="11" t="s">
        <v>14971</v>
      </c>
      <c r="K27" s="11" t="s">
        <v>14970</v>
      </c>
      <c r="L27" s="11" t="s">
        <v>42</v>
      </c>
      <c r="M27" s="11" t="s">
        <v>5552</v>
      </c>
      <c r="N27" s="11">
        <v>1</v>
      </c>
      <c r="O27" s="11">
        <v>1</v>
      </c>
      <c r="P27" s="12">
        <v>1</v>
      </c>
    </row>
    <row r="28" spans="1:16" x14ac:dyDescent="0.25">
      <c r="A28" s="12">
        <v>27</v>
      </c>
      <c r="B28" s="11">
        <v>177</v>
      </c>
      <c r="C28" s="12" t="s">
        <v>12118</v>
      </c>
      <c r="D28" s="12">
        <v>192</v>
      </c>
      <c r="E28" s="11" t="s">
        <v>2980</v>
      </c>
      <c r="F28" s="11" t="s">
        <v>1177</v>
      </c>
      <c r="G28" s="11">
        <v>2023</v>
      </c>
      <c r="H28" s="11" t="s">
        <v>2982</v>
      </c>
      <c r="I28" s="11" t="str">
        <f>HYPERLINK("http://dx.doi.org/10.1007/s00146-023-01791-1","http://dx.doi.org/10.1007/s00146-023-01791-1")</f>
        <v>http://dx.doi.org/10.1007/s00146-023-01791-1</v>
      </c>
      <c r="J28" s="11" t="s">
        <v>2984</v>
      </c>
      <c r="K28" s="11" t="s">
        <v>2983</v>
      </c>
      <c r="L28" s="11" t="s">
        <v>42</v>
      </c>
      <c r="M28" s="11" t="s">
        <v>1509</v>
      </c>
      <c r="N28" s="11">
        <v>1</v>
      </c>
      <c r="O28" s="11">
        <v>1</v>
      </c>
      <c r="P28" s="12">
        <v>1</v>
      </c>
    </row>
    <row r="29" spans="1:16" x14ac:dyDescent="0.25">
      <c r="A29" s="12">
        <v>28</v>
      </c>
      <c r="B29" s="12">
        <v>58</v>
      </c>
      <c r="C29" s="12" t="s">
        <v>12204</v>
      </c>
      <c r="D29" s="12">
        <v>209</v>
      </c>
      <c r="E29" s="12" t="s">
        <v>13349</v>
      </c>
      <c r="F29" s="12" t="s">
        <v>173</v>
      </c>
      <c r="G29" s="12">
        <v>2023</v>
      </c>
      <c r="H29" s="12" t="s">
        <v>174</v>
      </c>
      <c r="I29" s="12" t="s">
        <v>175</v>
      </c>
      <c r="J29" s="12" t="s">
        <v>178</v>
      </c>
      <c r="K29" s="12" t="s">
        <v>179</v>
      </c>
      <c r="L29" s="12" t="s">
        <v>42</v>
      </c>
      <c r="M29" s="12" t="s">
        <v>56</v>
      </c>
      <c r="N29" s="12">
        <v>1</v>
      </c>
      <c r="O29" s="12">
        <v>1</v>
      </c>
      <c r="P29" s="12">
        <v>1</v>
      </c>
    </row>
    <row r="30" spans="1:16" x14ac:dyDescent="0.25">
      <c r="A30" s="12">
        <v>29</v>
      </c>
      <c r="B30" s="11">
        <v>198</v>
      </c>
      <c r="C30" s="12" t="s">
        <v>12118</v>
      </c>
      <c r="D30" s="12">
        <v>216</v>
      </c>
      <c r="E30" s="11" t="s">
        <v>6944</v>
      </c>
      <c r="F30" s="11" t="s">
        <v>6946</v>
      </c>
      <c r="G30" s="11">
        <v>2022</v>
      </c>
      <c r="H30" s="11" t="s">
        <v>6947</v>
      </c>
      <c r="I30" s="11" t="str">
        <f>HYPERLINK("http://dx.doi.org/10.26342/2022-69-13","http://dx.doi.org/10.26342/2022-69-13")</f>
        <v>http://dx.doi.org/10.26342/2022-69-13</v>
      </c>
      <c r="J30" s="11" t="s">
        <v>6949</v>
      </c>
      <c r="K30" s="11" t="s">
        <v>6948</v>
      </c>
      <c r="L30" s="11" t="s">
        <v>42</v>
      </c>
      <c r="M30" s="11" t="s">
        <v>56</v>
      </c>
      <c r="N30" s="11">
        <v>1</v>
      </c>
      <c r="O30" s="11">
        <v>1</v>
      </c>
      <c r="P30" s="12">
        <v>1</v>
      </c>
    </row>
    <row r="31" spans="1:16" x14ac:dyDescent="0.25">
      <c r="A31" s="12">
        <v>30</v>
      </c>
      <c r="B31" s="11">
        <v>217</v>
      </c>
      <c r="C31" s="12" t="s">
        <v>12118</v>
      </c>
      <c r="D31" s="12">
        <v>238</v>
      </c>
      <c r="E31" s="11" t="s">
        <v>3995</v>
      </c>
      <c r="F31" s="11" t="s">
        <v>3997</v>
      </c>
      <c r="G31" s="11">
        <v>2023</v>
      </c>
      <c r="H31" s="11" t="s">
        <v>3998</v>
      </c>
      <c r="I31" s="11" t="str">
        <f>HYPERLINK("http://dx.doi.org/10.3855/jidc.18738","http://dx.doi.org/10.3855/jidc.18738")</f>
        <v>http://dx.doi.org/10.3855/jidc.18738</v>
      </c>
      <c r="J31" s="11" t="s">
        <v>4000</v>
      </c>
      <c r="K31" s="11" t="s">
        <v>3999</v>
      </c>
      <c r="L31" s="11" t="s">
        <v>42</v>
      </c>
      <c r="M31" s="11" t="s">
        <v>56</v>
      </c>
      <c r="N31" s="11">
        <v>1</v>
      </c>
      <c r="O31" s="11">
        <v>1</v>
      </c>
      <c r="P31" s="12">
        <v>1</v>
      </c>
    </row>
    <row r="32" spans="1:16" x14ac:dyDescent="0.25">
      <c r="A32" s="12">
        <v>31</v>
      </c>
      <c r="B32" s="12">
        <v>67</v>
      </c>
      <c r="C32" s="12" t="s">
        <v>12204</v>
      </c>
      <c r="D32" s="12">
        <v>240</v>
      </c>
      <c r="E32" s="12" t="s">
        <v>13701</v>
      </c>
      <c r="F32" s="12" t="s">
        <v>293</v>
      </c>
      <c r="G32" s="12">
        <v>2023</v>
      </c>
      <c r="H32" s="12" t="s">
        <v>294</v>
      </c>
      <c r="I32" s="12" t="s">
        <v>295</v>
      </c>
      <c r="J32" s="12" t="s">
        <v>297</v>
      </c>
      <c r="K32" s="12" t="s">
        <v>298</v>
      </c>
      <c r="L32" s="12" t="s">
        <v>42</v>
      </c>
      <c r="M32" s="12" t="s">
        <v>56</v>
      </c>
      <c r="N32" s="12">
        <v>1</v>
      </c>
      <c r="O32" s="12">
        <v>1</v>
      </c>
      <c r="P32" s="12">
        <v>1</v>
      </c>
    </row>
    <row r="33" spans="1:16" x14ac:dyDescent="0.25">
      <c r="A33" s="12">
        <v>32</v>
      </c>
      <c r="B33" s="12">
        <v>68</v>
      </c>
      <c r="C33" s="12" t="s">
        <v>12204</v>
      </c>
      <c r="D33" s="12">
        <v>244</v>
      </c>
      <c r="E33" s="12" t="s">
        <v>12775</v>
      </c>
      <c r="F33" s="12" t="s">
        <v>531</v>
      </c>
      <c r="G33" s="12">
        <v>2023</v>
      </c>
      <c r="H33" s="12" t="s">
        <v>335</v>
      </c>
      <c r="I33" s="12" t="s">
        <v>532</v>
      </c>
      <c r="J33" s="12" t="s">
        <v>535</v>
      </c>
      <c r="K33" s="12" t="s">
        <v>536</v>
      </c>
      <c r="L33" s="12" t="s">
        <v>42</v>
      </c>
      <c r="M33" s="12" t="s">
        <v>56</v>
      </c>
      <c r="N33" s="12">
        <v>1</v>
      </c>
      <c r="O33" s="12">
        <v>1</v>
      </c>
      <c r="P33" s="12">
        <v>1</v>
      </c>
    </row>
    <row r="34" spans="1:16" x14ac:dyDescent="0.25">
      <c r="A34" s="12">
        <v>33</v>
      </c>
      <c r="B34" s="12">
        <v>73</v>
      </c>
      <c r="C34" s="12" t="s">
        <v>12204</v>
      </c>
      <c r="D34" s="12">
        <v>260</v>
      </c>
      <c r="E34" s="12" t="s">
        <v>13482</v>
      </c>
      <c r="F34" s="12" t="s">
        <v>485</v>
      </c>
      <c r="G34" s="12">
        <v>2023</v>
      </c>
      <c r="H34" s="12" t="s">
        <v>486</v>
      </c>
      <c r="I34" s="12" t="s">
        <v>489</v>
      </c>
      <c r="J34" s="12" t="s">
        <v>492</v>
      </c>
      <c r="L34" s="12" t="s">
        <v>42</v>
      </c>
      <c r="M34" s="12" t="s">
        <v>56</v>
      </c>
      <c r="N34" s="12">
        <v>1</v>
      </c>
      <c r="O34" s="12">
        <v>1</v>
      </c>
      <c r="P34" s="12">
        <v>1</v>
      </c>
    </row>
    <row r="35" spans="1:16" x14ac:dyDescent="0.25">
      <c r="A35" s="12">
        <v>34</v>
      </c>
      <c r="B35" s="12">
        <v>75</v>
      </c>
      <c r="C35" s="12" t="s">
        <v>12204</v>
      </c>
      <c r="D35" s="12">
        <v>270</v>
      </c>
      <c r="E35" s="12" t="s">
        <v>12667</v>
      </c>
      <c r="F35" s="12" t="s">
        <v>995</v>
      </c>
      <c r="G35" s="12">
        <v>2023</v>
      </c>
      <c r="H35" s="12" t="s">
        <v>996</v>
      </c>
      <c r="I35" s="12" t="s">
        <v>998</v>
      </c>
      <c r="J35" s="12" t="s">
        <v>1001</v>
      </c>
      <c r="K35" s="12" t="s">
        <v>1002</v>
      </c>
      <c r="L35" s="12" t="s">
        <v>42</v>
      </c>
      <c r="M35" s="12" t="s">
        <v>56</v>
      </c>
      <c r="N35" s="12">
        <v>1</v>
      </c>
      <c r="O35" s="12">
        <v>1</v>
      </c>
      <c r="P35" s="12">
        <v>1</v>
      </c>
    </row>
    <row r="36" spans="1:16" x14ac:dyDescent="0.25">
      <c r="A36" s="12">
        <v>35</v>
      </c>
      <c r="B36" s="12">
        <v>76</v>
      </c>
      <c r="C36" s="12" t="s">
        <v>12204</v>
      </c>
      <c r="D36" s="12">
        <v>271</v>
      </c>
      <c r="E36" s="12" t="s">
        <v>12495</v>
      </c>
      <c r="F36" s="12" t="s">
        <v>966</v>
      </c>
      <c r="G36" s="12">
        <v>2023</v>
      </c>
      <c r="H36" s="12" t="s">
        <v>967</v>
      </c>
      <c r="I36" s="12" t="s">
        <v>968</v>
      </c>
      <c r="J36" s="12" t="s">
        <v>971</v>
      </c>
      <c r="K36" s="12" t="s">
        <v>972</v>
      </c>
      <c r="L36" s="12" t="s">
        <v>42</v>
      </c>
      <c r="M36" s="12" t="s">
        <v>56</v>
      </c>
      <c r="N36" s="12">
        <v>1</v>
      </c>
      <c r="O36" s="12">
        <v>1</v>
      </c>
      <c r="P36" s="12">
        <v>1</v>
      </c>
    </row>
    <row r="37" spans="1:16" x14ac:dyDescent="0.25">
      <c r="A37" s="12">
        <v>36</v>
      </c>
      <c r="B37" s="12">
        <v>78</v>
      </c>
      <c r="C37" s="12" t="s">
        <v>12204</v>
      </c>
      <c r="D37" s="12">
        <v>286</v>
      </c>
      <c r="E37" s="12" t="s">
        <v>13615</v>
      </c>
      <c r="F37" s="12" t="s">
        <v>553</v>
      </c>
      <c r="G37" s="12">
        <v>2023</v>
      </c>
      <c r="H37" s="12" t="s">
        <v>124</v>
      </c>
      <c r="I37" s="12" t="s">
        <v>554</v>
      </c>
      <c r="J37" s="12" t="s">
        <v>557</v>
      </c>
      <c r="L37" s="12" t="s">
        <v>42</v>
      </c>
      <c r="M37" s="12" t="s">
        <v>56</v>
      </c>
      <c r="N37" s="12">
        <v>1</v>
      </c>
      <c r="O37" s="12">
        <v>1</v>
      </c>
      <c r="P37" s="12">
        <v>1</v>
      </c>
    </row>
    <row r="38" spans="1:16" x14ac:dyDescent="0.25">
      <c r="A38" s="12">
        <v>37</v>
      </c>
      <c r="B38" s="11">
        <v>260</v>
      </c>
      <c r="C38" s="12" t="s">
        <v>12118</v>
      </c>
      <c r="D38" s="12">
        <v>289</v>
      </c>
      <c r="E38" s="11" t="s">
        <v>2217</v>
      </c>
      <c r="F38" s="11" t="s">
        <v>2219</v>
      </c>
      <c r="G38" s="11">
        <v>2023</v>
      </c>
      <c r="H38" s="11" t="s">
        <v>2220</v>
      </c>
      <c r="I38" s="11" t="str">
        <f>HYPERLINK("http://dx.doi.org/10.3390/bdcc7040182","http://dx.doi.org/10.3390/bdcc7040182")</f>
        <v>http://dx.doi.org/10.3390/bdcc7040182</v>
      </c>
      <c r="J38" s="11" t="s">
        <v>2222</v>
      </c>
      <c r="K38" s="11" t="s">
        <v>2221</v>
      </c>
      <c r="L38" s="11" t="s">
        <v>42</v>
      </c>
      <c r="M38" s="11" t="s">
        <v>56</v>
      </c>
      <c r="N38" s="11">
        <v>1</v>
      </c>
      <c r="O38" s="11">
        <v>1</v>
      </c>
      <c r="P38" s="12">
        <v>1</v>
      </c>
    </row>
    <row r="39" spans="1:16" x14ac:dyDescent="0.25">
      <c r="A39" s="12">
        <v>38</v>
      </c>
      <c r="B39" s="12">
        <v>81</v>
      </c>
      <c r="C39" s="12" t="s">
        <v>12204</v>
      </c>
      <c r="D39" s="12">
        <v>291</v>
      </c>
      <c r="E39" s="12" t="s">
        <v>13224</v>
      </c>
      <c r="F39" s="12" t="s">
        <v>152</v>
      </c>
      <c r="G39" s="12">
        <v>2023</v>
      </c>
      <c r="H39" s="12" t="s">
        <v>153</v>
      </c>
      <c r="I39" s="12" t="s">
        <v>154</v>
      </c>
      <c r="J39" s="12" t="s">
        <v>157</v>
      </c>
      <c r="K39" s="12" t="s">
        <v>158</v>
      </c>
      <c r="L39" s="12" t="s">
        <v>42</v>
      </c>
      <c r="M39" s="12" t="s">
        <v>56</v>
      </c>
      <c r="N39" s="12">
        <v>1</v>
      </c>
      <c r="O39" s="12">
        <v>1</v>
      </c>
      <c r="P39" s="12">
        <v>1</v>
      </c>
    </row>
    <row r="40" spans="1:16" x14ac:dyDescent="0.25">
      <c r="A40" s="12">
        <v>39</v>
      </c>
      <c r="B40" s="12">
        <v>83</v>
      </c>
      <c r="C40" s="12" t="s">
        <v>12204</v>
      </c>
      <c r="D40" s="12">
        <v>292</v>
      </c>
      <c r="E40" s="12" t="s">
        <v>12762</v>
      </c>
      <c r="F40" s="12" t="s">
        <v>1327</v>
      </c>
      <c r="G40" s="12">
        <v>2023</v>
      </c>
      <c r="H40" s="12" t="s">
        <v>1328</v>
      </c>
      <c r="I40" s="12" t="s">
        <v>1329</v>
      </c>
      <c r="J40" s="12" t="s">
        <v>1332</v>
      </c>
      <c r="K40" s="12" t="s">
        <v>1333</v>
      </c>
      <c r="L40" s="12" t="s">
        <v>42</v>
      </c>
      <c r="M40" s="12" t="s">
        <v>12252</v>
      </c>
      <c r="N40" s="12">
        <v>1</v>
      </c>
      <c r="O40" s="12">
        <v>1</v>
      </c>
      <c r="P40" s="12">
        <v>1</v>
      </c>
    </row>
    <row r="41" spans="1:16" x14ac:dyDescent="0.25">
      <c r="A41" s="12">
        <v>40</v>
      </c>
      <c r="B41" s="12">
        <v>87</v>
      </c>
      <c r="C41" s="12" t="s">
        <v>12204</v>
      </c>
      <c r="D41" s="12">
        <v>306</v>
      </c>
      <c r="E41" s="12" t="s">
        <v>12749</v>
      </c>
      <c r="F41" s="12" t="s">
        <v>497</v>
      </c>
      <c r="G41" s="12">
        <v>2023</v>
      </c>
      <c r="H41" s="12" t="s">
        <v>498</v>
      </c>
      <c r="J41" s="12" t="s">
        <v>502</v>
      </c>
      <c r="K41" s="12" t="s">
        <v>503</v>
      </c>
      <c r="L41" s="12" t="s">
        <v>42</v>
      </c>
      <c r="M41" s="12" t="s">
        <v>12252</v>
      </c>
      <c r="N41" s="12">
        <v>1</v>
      </c>
      <c r="O41" s="12">
        <v>1</v>
      </c>
      <c r="P41" s="12">
        <v>1</v>
      </c>
    </row>
    <row r="42" spans="1:16" x14ac:dyDescent="0.25">
      <c r="A42" s="12">
        <v>41</v>
      </c>
      <c r="B42" s="11">
        <v>281</v>
      </c>
      <c r="C42" s="12" t="s">
        <v>12118</v>
      </c>
      <c r="D42" s="12">
        <v>313</v>
      </c>
      <c r="E42" s="11" t="s">
        <v>6051</v>
      </c>
      <c r="F42" s="11" t="s">
        <v>6053</v>
      </c>
      <c r="G42" s="11">
        <v>2023</v>
      </c>
      <c r="H42" s="11" t="s">
        <v>6054</v>
      </c>
      <c r="I42" s="11" t="str">
        <f>HYPERLINK("http://dx.doi.org/10.1145/3544548.3580919","http://dx.doi.org/10.1145/3544548.3580919")</f>
        <v>http://dx.doi.org/10.1145/3544548.3580919</v>
      </c>
      <c r="J42" s="11" t="s">
        <v>6061</v>
      </c>
      <c r="K42" s="11" t="s">
        <v>6059</v>
      </c>
      <c r="L42" s="11" t="s">
        <v>42</v>
      </c>
      <c r="M42" s="11" t="s">
        <v>5552</v>
      </c>
      <c r="N42" s="11">
        <v>1</v>
      </c>
      <c r="O42" s="11">
        <v>1</v>
      </c>
      <c r="P42" s="12">
        <v>1</v>
      </c>
    </row>
    <row r="43" spans="1:16" x14ac:dyDescent="0.25">
      <c r="A43" s="12">
        <v>42</v>
      </c>
      <c r="B43" s="11">
        <v>290</v>
      </c>
      <c r="C43" s="12" t="s">
        <v>12118</v>
      </c>
      <c r="D43" s="12">
        <v>324</v>
      </c>
      <c r="E43" s="11" t="s">
        <v>4908</v>
      </c>
      <c r="F43" s="11" t="s">
        <v>4910</v>
      </c>
      <c r="G43" s="11">
        <v>2023</v>
      </c>
      <c r="H43" s="11" t="s">
        <v>4911</v>
      </c>
      <c r="I43" s="11" t="str">
        <f>HYPERLINK("http://dx.doi.org/10.1123/jtpe.2023-0058","http://dx.doi.org/10.1123/jtpe.2023-0058")</f>
        <v>http://dx.doi.org/10.1123/jtpe.2023-0058</v>
      </c>
      <c r="J43" s="11" t="s">
        <v>4914</v>
      </c>
      <c r="K43" s="11" t="s">
        <v>4912</v>
      </c>
      <c r="L43" s="11" t="s">
        <v>42</v>
      </c>
      <c r="M43" s="11" t="s">
        <v>56</v>
      </c>
      <c r="N43" s="11">
        <v>1</v>
      </c>
      <c r="O43" s="11">
        <v>1</v>
      </c>
      <c r="P43" s="12">
        <v>1</v>
      </c>
    </row>
    <row r="44" spans="1:16" x14ac:dyDescent="0.25">
      <c r="A44" s="12">
        <v>43</v>
      </c>
      <c r="B44" s="12">
        <v>93</v>
      </c>
      <c r="C44" s="12" t="s">
        <v>12204</v>
      </c>
      <c r="D44" s="12">
        <v>329</v>
      </c>
      <c r="E44" s="12" t="s">
        <v>1346</v>
      </c>
      <c r="F44" s="12" t="s">
        <v>1347</v>
      </c>
      <c r="G44" s="12">
        <v>2023</v>
      </c>
      <c r="H44" s="12" t="s">
        <v>1348</v>
      </c>
      <c r="I44" s="12" t="s">
        <v>1349</v>
      </c>
      <c r="J44" s="12" t="s">
        <v>1352</v>
      </c>
      <c r="K44" s="12" t="s">
        <v>1353</v>
      </c>
      <c r="L44" s="12" t="s">
        <v>42</v>
      </c>
      <c r="M44" s="12" t="s">
        <v>56</v>
      </c>
      <c r="N44" s="12">
        <v>1</v>
      </c>
      <c r="O44" s="12">
        <v>1</v>
      </c>
      <c r="P44" s="12">
        <v>1</v>
      </c>
    </row>
    <row r="45" spans="1:16" x14ac:dyDescent="0.25">
      <c r="A45" s="12">
        <v>44</v>
      </c>
      <c r="B45" s="11">
        <v>302</v>
      </c>
      <c r="C45" s="12" t="s">
        <v>12118</v>
      </c>
      <c r="D45" s="12">
        <v>336</v>
      </c>
      <c r="E45" s="11" t="s">
        <v>3669</v>
      </c>
      <c r="F45" s="11" t="s">
        <v>3671</v>
      </c>
      <c r="G45" s="11">
        <v>2023</v>
      </c>
      <c r="H45" s="11" t="s">
        <v>3672</v>
      </c>
      <c r="I45" s="11" t="str">
        <f>HYPERLINK("http://dx.doi.org/10.1016/j.dche.2023.100126","http://dx.doi.org/10.1016/j.dche.2023.100126")</f>
        <v>http://dx.doi.org/10.1016/j.dche.2023.100126</v>
      </c>
      <c r="J45" s="11" t="s">
        <v>3675</v>
      </c>
      <c r="K45" s="11" t="s">
        <v>3673</v>
      </c>
      <c r="L45" s="11" t="s">
        <v>42</v>
      </c>
      <c r="M45" s="11" t="s">
        <v>56</v>
      </c>
      <c r="N45" s="11">
        <v>1</v>
      </c>
      <c r="O45" s="11">
        <v>1</v>
      </c>
      <c r="P45" s="12">
        <v>1</v>
      </c>
    </row>
    <row r="46" spans="1:16" x14ac:dyDescent="0.25">
      <c r="A46" s="12">
        <v>45</v>
      </c>
      <c r="B46" s="12">
        <v>95</v>
      </c>
      <c r="C46" s="12" t="s">
        <v>12204</v>
      </c>
      <c r="D46" s="12">
        <v>340</v>
      </c>
      <c r="E46" s="12" t="s">
        <v>13572</v>
      </c>
      <c r="F46" s="12" t="s">
        <v>748</v>
      </c>
      <c r="G46" s="12">
        <v>2023</v>
      </c>
      <c r="H46" s="12" t="s">
        <v>749</v>
      </c>
      <c r="I46" s="12" t="s">
        <v>750</v>
      </c>
      <c r="J46" s="12" t="s">
        <v>753</v>
      </c>
      <c r="K46" s="12" t="s">
        <v>754</v>
      </c>
      <c r="L46" s="12" t="s">
        <v>42</v>
      </c>
      <c r="M46" s="12" t="s">
        <v>56</v>
      </c>
      <c r="N46" s="12">
        <v>1</v>
      </c>
      <c r="O46" s="12">
        <v>1</v>
      </c>
      <c r="P46" s="12">
        <v>1</v>
      </c>
    </row>
    <row r="47" spans="1:16" x14ac:dyDescent="0.25">
      <c r="A47" s="12">
        <v>46</v>
      </c>
      <c r="B47" s="12">
        <v>97</v>
      </c>
      <c r="C47" s="12" t="s">
        <v>12204</v>
      </c>
      <c r="D47" s="12">
        <v>343</v>
      </c>
      <c r="E47" s="12" t="s">
        <v>13184</v>
      </c>
      <c r="F47" s="12" t="s">
        <v>355</v>
      </c>
      <c r="G47" s="12">
        <v>2023</v>
      </c>
      <c r="H47" s="12" t="s">
        <v>356</v>
      </c>
      <c r="I47" s="12" t="s">
        <v>357</v>
      </c>
      <c r="J47" s="12" t="s">
        <v>360</v>
      </c>
      <c r="K47" s="12" t="s">
        <v>361</v>
      </c>
      <c r="L47" s="12" t="s">
        <v>42</v>
      </c>
      <c r="M47" s="12" t="s">
        <v>12252</v>
      </c>
      <c r="N47" s="12">
        <v>1</v>
      </c>
      <c r="O47" s="12">
        <v>1</v>
      </c>
      <c r="P47" s="12">
        <v>1</v>
      </c>
    </row>
    <row r="48" spans="1:16" x14ac:dyDescent="0.25">
      <c r="A48" s="12">
        <v>47</v>
      </c>
      <c r="B48" s="12">
        <v>98</v>
      </c>
      <c r="C48" s="12" t="s">
        <v>12204</v>
      </c>
      <c r="D48" s="12">
        <v>344</v>
      </c>
      <c r="E48" s="12" t="s">
        <v>13546</v>
      </c>
      <c r="F48" s="12" t="s">
        <v>131</v>
      </c>
      <c r="G48" s="12">
        <v>2023</v>
      </c>
      <c r="H48" s="12" t="s">
        <v>132</v>
      </c>
      <c r="I48" s="12" t="s">
        <v>133</v>
      </c>
      <c r="J48" s="12" t="s">
        <v>136</v>
      </c>
      <c r="K48" s="12" t="s">
        <v>137</v>
      </c>
      <c r="L48" s="12" t="s">
        <v>42</v>
      </c>
      <c r="M48" s="12" t="s">
        <v>12252</v>
      </c>
      <c r="N48" s="12">
        <v>1</v>
      </c>
      <c r="O48" s="12">
        <v>1</v>
      </c>
      <c r="P48" s="12">
        <v>1</v>
      </c>
    </row>
    <row r="49" spans="1:16" x14ac:dyDescent="0.25">
      <c r="A49" s="12">
        <v>48</v>
      </c>
      <c r="B49" s="11">
        <v>311</v>
      </c>
      <c r="C49" s="12" t="s">
        <v>12118</v>
      </c>
      <c r="D49" s="12">
        <v>348</v>
      </c>
      <c r="E49" s="11" t="s">
        <v>6088</v>
      </c>
      <c r="F49" s="11" t="s">
        <v>6091</v>
      </c>
      <c r="G49" s="11">
        <v>2023</v>
      </c>
      <c r="H49" s="11" t="s">
        <v>6092</v>
      </c>
      <c r="I49" s="11" t="str">
        <f>HYPERLINK("http://dx.doi.org/10.1109/ICALT58122.2023.00072","http://dx.doi.org/10.1109/ICALT58122.2023.00072")</f>
        <v>http://dx.doi.org/10.1109/ICALT58122.2023.00072</v>
      </c>
      <c r="J49" s="11" t="s">
        <v>6099</v>
      </c>
      <c r="K49" s="11" t="s">
        <v>6098</v>
      </c>
      <c r="L49" s="11" t="s">
        <v>42</v>
      </c>
      <c r="M49" s="11" t="s">
        <v>5552</v>
      </c>
      <c r="N49" s="11">
        <v>1</v>
      </c>
      <c r="O49" s="11">
        <v>1</v>
      </c>
      <c r="P49" s="12">
        <v>1</v>
      </c>
    </row>
    <row r="50" spans="1:16" x14ac:dyDescent="0.25">
      <c r="A50" s="12">
        <v>49</v>
      </c>
      <c r="B50" s="12">
        <v>101</v>
      </c>
      <c r="C50" s="12" t="s">
        <v>12204</v>
      </c>
      <c r="D50" s="12">
        <v>353</v>
      </c>
      <c r="E50" s="12" t="s">
        <v>13377</v>
      </c>
      <c r="F50" s="12" t="s">
        <v>449</v>
      </c>
      <c r="G50" s="12">
        <v>2023</v>
      </c>
      <c r="H50" s="12" t="s">
        <v>34</v>
      </c>
      <c r="I50" s="12" t="s">
        <v>450</v>
      </c>
      <c r="J50" s="12" t="s">
        <v>452</v>
      </c>
      <c r="K50" s="12" t="s">
        <v>453</v>
      </c>
      <c r="L50" s="12" t="s">
        <v>42</v>
      </c>
      <c r="M50" s="12" t="s">
        <v>12252</v>
      </c>
      <c r="N50" s="12">
        <v>1</v>
      </c>
      <c r="O50" s="12">
        <v>1</v>
      </c>
      <c r="P50" s="12">
        <v>1</v>
      </c>
    </row>
    <row r="51" spans="1:16" x14ac:dyDescent="0.25">
      <c r="A51" s="12">
        <v>50</v>
      </c>
      <c r="B51" s="12">
        <v>104</v>
      </c>
      <c r="C51" s="12" t="s">
        <v>12204</v>
      </c>
      <c r="D51" s="12">
        <v>362</v>
      </c>
      <c r="E51" s="12" t="s">
        <v>12745</v>
      </c>
      <c r="F51" s="12" t="s">
        <v>1104</v>
      </c>
      <c r="G51" s="12">
        <v>2023</v>
      </c>
      <c r="H51" s="12" t="s">
        <v>498</v>
      </c>
      <c r="J51" s="12" t="s">
        <v>1107</v>
      </c>
      <c r="K51" s="12" t="s">
        <v>1108</v>
      </c>
      <c r="L51" s="12" t="s">
        <v>42</v>
      </c>
      <c r="M51" s="12" t="s">
        <v>12252</v>
      </c>
      <c r="N51" s="12">
        <v>1</v>
      </c>
      <c r="O51" s="12">
        <v>1</v>
      </c>
      <c r="P51" s="12">
        <v>1</v>
      </c>
    </row>
    <row r="52" spans="1:16" x14ac:dyDescent="0.25">
      <c r="A52" s="12">
        <v>51</v>
      </c>
      <c r="B52" s="12">
        <v>105</v>
      </c>
      <c r="C52" s="12" t="s">
        <v>12204</v>
      </c>
      <c r="D52" s="12">
        <v>365</v>
      </c>
      <c r="E52" s="12" t="s">
        <v>12480</v>
      </c>
      <c r="F52" s="12" t="s">
        <v>1163</v>
      </c>
      <c r="G52" s="12">
        <v>2023</v>
      </c>
      <c r="H52" s="12" t="s">
        <v>996</v>
      </c>
      <c r="I52" s="12" t="s">
        <v>1165</v>
      </c>
      <c r="J52" s="12" t="s">
        <v>1167</v>
      </c>
      <c r="K52" s="12" t="s">
        <v>1168</v>
      </c>
      <c r="L52" s="12" t="s">
        <v>42</v>
      </c>
      <c r="M52" s="12" t="s">
        <v>56</v>
      </c>
      <c r="N52" s="12">
        <v>1</v>
      </c>
      <c r="O52" s="12">
        <v>1</v>
      </c>
      <c r="P52" s="12">
        <v>1</v>
      </c>
    </row>
    <row r="53" spans="1:16" x14ac:dyDescent="0.25">
      <c r="A53" s="12">
        <v>52</v>
      </c>
      <c r="B53" s="12">
        <v>106</v>
      </c>
      <c r="C53" s="12" t="s">
        <v>12204</v>
      </c>
      <c r="D53" s="12">
        <v>366</v>
      </c>
      <c r="E53" s="12" t="s">
        <v>12327</v>
      </c>
      <c r="F53" s="12" t="s">
        <v>1035</v>
      </c>
      <c r="G53" s="12">
        <v>2022</v>
      </c>
      <c r="H53" s="12" t="s">
        <v>1036</v>
      </c>
      <c r="J53" s="12" t="s">
        <v>1039</v>
      </c>
      <c r="L53" s="12" t="s">
        <v>42</v>
      </c>
      <c r="M53" s="12" t="s">
        <v>12252</v>
      </c>
      <c r="N53" s="12">
        <v>1</v>
      </c>
      <c r="O53" s="12">
        <v>1</v>
      </c>
      <c r="P53" s="12">
        <v>1</v>
      </c>
    </row>
    <row r="54" spans="1:16" x14ac:dyDescent="0.25">
      <c r="A54" s="12">
        <v>53</v>
      </c>
      <c r="B54" s="12">
        <v>107</v>
      </c>
      <c r="C54" s="12" t="s">
        <v>12204</v>
      </c>
      <c r="D54" s="12">
        <v>367</v>
      </c>
      <c r="E54" s="12" t="s">
        <v>12739</v>
      </c>
      <c r="F54" s="12" t="s">
        <v>876</v>
      </c>
      <c r="G54" s="12">
        <v>2023</v>
      </c>
      <c r="H54" s="12" t="s">
        <v>877</v>
      </c>
      <c r="I54" s="12" t="s">
        <v>878</v>
      </c>
      <c r="J54" s="12" t="s">
        <v>12736</v>
      </c>
      <c r="K54" s="12" t="s">
        <v>882</v>
      </c>
      <c r="L54" s="12" t="s">
        <v>42</v>
      </c>
      <c r="M54" s="12" t="s">
        <v>12252</v>
      </c>
      <c r="N54" s="12">
        <v>1</v>
      </c>
      <c r="O54" s="12">
        <v>1</v>
      </c>
      <c r="P54" s="12">
        <v>1</v>
      </c>
    </row>
    <row r="55" spans="1:16" x14ac:dyDescent="0.25">
      <c r="A55" s="12">
        <v>54</v>
      </c>
      <c r="B55" s="12">
        <v>108</v>
      </c>
      <c r="C55" s="12" t="s">
        <v>12204</v>
      </c>
      <c r="D55" s="12">
        <v>368</v>
      </c>
      <c r="E55" s="12" t="s">
        <v>12384</v>
      </c>
      <c r="F55" s="12" t="s">
        <v>888</v>
      </c>
      <c r="G55" s="12">
        <v>2023</v>
      </c>
      <c r="H55" s="12" t="s">
        <v>252</v>
      </c>
      <c r="I55" s="12" t="s">
        <v>889</v>
      </c>
      <c r="J55" s="12" t="s">
        <v>892</v>
      </c>
      <c r="K55" s="12" t="s">
        <v>893</v>
      </c>
      <c r="L55" s="12" t="s">
        <v>42</v>
      </c>
      <c r="M55" s="12" t="s">
        <v>56</v>
      </c>
      <c r="N55" s="12">
        <v>1</v>
      </c>
      <c r="O55" s="12">
        <v>1</v>
      </c>
      <c r="P55" s="12">
        <v>1</v>
      </c>
    </row>
    <row r="56" spans="1:16" x14ac:dyDescent="0.25">
      <c r="A56" s="12">
        <v>55</v>
      </c>
      <c r="B56" s="12">
        <v>118</v>
      </c>
      <c r="C56" s="12" t="s">
        <v>12204</v>
      </c>
      <c r="D56" s="12">
        <v>417</v>
      </c>
      <c r="E56" s="12" t="s">
        <v>13177</v>
      </c>
      <c r="F56" s="12" t="s">
        <v>304</v>
      </c>
      <c r="G56" s="12">
        <v>2023</v>
      </c>
      <c r="H56" s="12" t="s">
        <v>305</v>
      </c>
      <c r="I56" s="12" t="s">
        <v>306</v>
      </c>
      <c r="J56" s="12" t="s">
        <v>309</v>
      </c>
      <c r="K56" s="12" t="s">
        <v>310</v>
      </c>
      <c r="L56" s="12" t="s">
        <v>42</v>
      </c>
      <c r="M56" s="12" t="s">
        <v>56</v>
      </c>
      <c r="N56" s="12">
        <v>1</v>
      </c>
      <c r="O56" s="12">
        <v>1</v>
      </c>
      <c r="P56" s="12">
        <v>1</v>
      </c>
    </row>
    <row r="57" spans="1:16" x14ac:dyDescent="0.25">
      <c r="A57" s="12">
        <v>56</v>
      </c>
      <c r="B57" s="11">
        <v>389</v>
      </c>
      <c r="C57" s="12" t="s">
        <v>12118</v>
      </c>
      <c r="D57" s="12">
        <v>431</v>
      </c>
      <c r="E57" s="11" t="s">
        <v>15223</v>
      </c>
      <c r="F57" s="11" t="s">
        <v>12137</v>
      </c>
      <c r="G57" s="11">
        <v>2023</v>
      </c>
      <c r="H57" s="11" t="s">
        <v>15225</v>
      </c>
      <c r="I57" s="11" t="str">
        <f>HYPERLINK("http://dx.doi.org/10.30827/relieve.v29i2.29295","http://dx.doi.org/10.30827/relieve.v29i2.29295")</f>
        <v>http://dx.doi.org/10.30827/relieve.v29i2.29295</v>
      </c>
      <c r="J57" s="11" t="s">
        <v>15228</v>
      </c>
      <c r="K57" s="11" t="s">
        <v>15226</v>
      </c>
      <c r="L57" s="11" t="s">
        <v>42</v>
      </c>
      <c r="M57" s="11" t="s">
        <v>56</v>
      </c>
      <c r="N57" s="11">
        <v>1</v>
      </c>
      <c r="O57" s="11">
        <v>1</v>
      </c>
      <c r="P57" s="12">
        <v>1</v>
      </c>
    </row>
    <row r="58" spans="1:16" x14ac:dyDescent="0.25">
      <c r="A58" s="12">
        <v>57</v>
      </c>
      <c r="B58" s="12">
        <v>121</v>
      </c>
      <c r="C58" s="12" t="s">
        <v>12204</v>
      </c>
      <c r="D58" s="12">
        <v>435</v>
      </c>
      <c r="E58" s="12" t="s">
        <v>112</v>
      </c>
      <c r="F58" s="12" t="s">
        <v>114</v>
      </c>
      <c r="G58" s="12">
        <v>2023</v>
      </c>
      <c r="H58" s="12" t="s">
        <v>115</v>
      </c>
      <c r="I58" s="12" t="s">
        <v>116</v>
      </c>
      <c r="J58" s="12" t="s">
        <v>12850</v>
      </c>
      <c r="K58" s="12" t="s">
        <v>120</v>
      </c>
      <c r="L58" s="12" t="s">
        <v>42</v>
      </c>
      <c r="M58" s="12" t="s">
        <v>12252</v>
      </c>
      <c r="N58" s="12">
        <v>1</v>
      </c>
      <c r="O58" s="12">
        <v>1</v>
      </c>
      <c r="P58" s="12">
        <v>1</v>
      </c>
    </row>
    <row r="59" spans="1:16" x14ac:dyDescent="0.25">
      <c r="A59" s="12">
        <v>58</v>
      </c>
      <c r="B59" s="12">
        <v>122</v>
      </c>
      <c r="C59" s="12" t="s">
        <v>12204</v>
      </c>
      <c r="D59" s="12">
        <v>442</v>
      </c>
      <c r="E59" s="12" t="s">
        <v>12444</v>
      </c>
      <c r="F59" s="12" t="s">
        <v>1418</v>
      </c>
      <c r="G59" s="12">
        <v>2023</v>
      </c>
      <c r="H59" s="12" t="s">
        <v>1419</v>
      </c>
      <c r="I59" s="12" t="s">
        <v>1420</v>
      </c>
      <c r="J59" s="12" t="s">
        <v>12441</v>
      </c>
      <c r="K59" s="12" t="s">
        <v>1423</v>
      </c>
      <c r="L59" s="12" t="s">
        <v>42</v>
      </c>
      <c r="M59" s="12" t="s">
        <v>12252</v>
      </c>
      <c r="N59" s="11">
        <v>1</v>
      </c>
      <c r="O59" s="11">
        <v>1</v>
      </c>
      <c r="P59" s="12">
        <v>1</v>
      </c>
    </row>
    <row r="60" spans="1:16" x14ac:dyDescent="0.25">
      <c r="A60" s="12">
        <v>59</v>
      </c>
      <c r="B60" s="12">
        <v>126</v>
      </c>
      <c r="C60" s="12" t="s">
        <v>12204</v>
      </c>
      <c r="D60" s="12">
        <v>453</v>
      </c>
      <c r="E60" s="12" t="s">
        <v>786</v>
      </c>
      <c r="F60" s="12" t="s">
        <v>788</v>
      </c>
      <c r="G60" s="12">
        <v>2023</v>
      </c>
      <c r="H60" s="12" t="s">
        <v>383</v>
      </c>
      <c r="J60" s="12" t="s">
        <v>790</v>
      </c>
      <c r="K60" s="12" t="s">
        <v>791</v>
      </c>
      <c r="L60" s="12" t="s">
        <v>42</v>
      </c>
      <c r="M60" s="12" t="s">
        <v>12252</v>
      </c>
      <c r="N60" s="12">
        <v>1</v>
      </c>
      <c r="O60" s="12">
        <v>1</v>
      </c>
      <c r="P60" s="12">
        <v>1</v>
      </c>
    </row>
    <row r="61" spans="1:16" x14ac:dyDescent="0.25">
      <c r="A61" s="12">
        <v>60</v>
      </c>
      <c r="B61" s="12">
        <v>131</v>
      </c>
      <c r="C61" s="12" t="s">
        <v>12204</v>
      </c>
      <c r="D61" s="12">
        <v>476</v>
      </c>
      <c r="E61" s="12" t="s">
        <v>794</v>
      </c>
      <c r="F61" s="12" t="s">
        <v>796</v>
      </c>
      <c r="G61" s="12">
        <v>2023</v>
      </c>
      <c r="H61" s="12" t="s">
        <v>797</v>
      </c>
      <c r="I61" s="12" t="s">
        <v>798</v>
      </c>
      <c r="J61" s="12" t="s">
        <v>801</v>
      </c>
      <c r="K61" s="12" t="s">
        <v>802</v>
      </c>
      <c r="L61" s="12" t="s">
        <v>42</v>
      </c>
      <c r="M61" s="12" t="s">
        <v>56</v>
      </c>
      <c r="N61" s="12">
        <v>1</v>
      </c>
      <c r="O61" s="12">
        <v>1</v>
      </c>
      <c r="P61" s="12">
        <v>1</v>
      </c>
    </row>
    <row r="62" spans="1:16" x14ac:dyDescent="0.25">
      <c r="A62" s="12">
        <v>61</v>
      </c>
      <c r="B62" s="12">
        <v>134</v>
      </c>
      <c r="C62" s="12" t="s">
        <v>12204</v>
      </c>
      <c r="D62" s="12">
        <v>485</v>
      </c>
      <c r="E62" s="12" t="s">
        <v>12827</v>
      </c>
      <c r="F62" s="12" t="s">
        <v>539</v>
      </c>
      <c r="G62" s="12">
        <v>2023</v>
      </c>
      <c r="H62" s="12" t="s">
        <v>540</v>
      </c>
      <c r="I62" s="12" t="s">
        <v>541</v>
      </c>
      <c r="J62" s="12" t="s">
        <v>544</v>
      </c>
      <c r="K62" s="12" t="s">
        <v>545</v>
      </c>
      <c r="L62" s="12" t="s">
        <v>42</v>
      </c>
      <c r="M62" s="12" t="s">
        <v>12252</v>
      </c>
      <c r="N62" s="12">
        <v>1</v>
      </c>
      <c r="O62" s="12">
        <v>1</v>
      </c>
      <c r="P62" s="12">
        <v>1</v>
      </c>
    </row>
    <row r="63" spans="1:16" x14ac:dyDescent="0.25">
      <c r="A63" s="12">
        <v>62</v>
      </c>
      <c r="B63" s="12">
        <v>137</v>
      </c>
      <c r="C63" s="12" t="s">
        <v>12204</v>
      </c>
      <c r="D63" s="12">
        <v>492</v>
      </c>
      <c r="E63" s="12" t="s">
        <v>13173</v>
      </c>
      <c r="F63" s="12" t="s">
        <v>442</v>
      </c>
      <c r="G63" s="12">
        <v>2023</v>
      </c>
      <c r="H63" s="12" t="s">
        <v>305</v>
      </c>
      <c r="I63" s="12" t="s">
        <v>443</v>
      </c>
      <c r="J63" s="12" t="s">
        <v>446</v>
      </c>
      <c r="K63" s="12" t="s">
        <v>447</v>
      </c>
      <c r="L63" s="12" t="s">
        <v>42</v>
      </c>
      <c r="M63" s="12" t="s">
        <v>56</v>
      </c>
      <c r="N63" s="12">
        <v>1</v>
      </c>
      <c r="O63" s="12">
        <v>1</v>
      </c>
      <c r="P63" s="12">
        <v>1</v>
      </c>
    </row>
    <row r="64" spans="1:16" x14ac:dyDescent="0.25">
      <c r="A64" s="12">
        <v>63</v>
      </c>
      <c r="B64" s="12">
        <v>139</v>
      </c>
      <c r="C64" s="12" t="s">
        <v>12204</v>
      </c>
      <c r="D64" s="12">
        <v>496</v>
      </c>
      <c r="E64" s="12" t="s">
        <v>13525</v>
      </c>
      <c r="F64" s="12" t="s">
        <v>590</v>
      </c>
      <c r="G64" s="12">
        <v>2023</v>
      </c>
      <c r="H64" s="12" t="s">
        <v>591</v>
      </c>
      <c r="I64" s="12" t="s">
        <v>592</v>
      </c>
      <c r="J64" s="12" t="s">
        <v>595</v>
      </c>
      <c r="K64" s="12" t="s">
        <v>596</v>
      </c>
      <c r="L64" s="12" t="s">
        <v>42</v>
      </c>
      <c r="M64" s="12" t="s">
        <v>12252</v>
      </c>
      <c r="N64" s="12">
        <v>1</v>
      </c>
      <c r="O64" s="12">
        <v>1</v>
      </c>
      <c r="P64" s="12">
        <v>1</v>
      </c>
    </row>
    <row r="65" spans="1:16" x14ac:dyDescent="0.25">
      <c r="A65" s="12">
        <v>64</v>
      </c>
      <c r="B65" s="11">
        <v>445</v>
      </c>
      <c r="C65" s="12" t="s">
        <v>12118</v>
      </c>
      <c r="D65" s="12">
        <v>498</v>
      </c>
      <c r="E65" s="11" t="s">
        <v>1935</v>
      </c>
      <c r="F65" s="11" t="s">
        <v>1937</v>
      </c>
      <c r="G65" s="11">
        <v>2023</v>
      </c>
      <c r="H65" s="11" t="s">
        <v>1938</v>
      </c>
      <c r="I65" s="11" t="str">
        <f>HYPERLINK("http://dx.doi.org/10.3389/fmed.2023.1296615","http://dx.doi.org/10.3389/fmed.2023.1296615")</f>
        <v>http://dx.doi.org/10.3389/fmed.2023.1296615</v>
      </c>
      <c r="J65" s="11" t="s">
        <v>1940</v>
      </c>
      <c r="K65" s="11" t="s">
        <v>1939</v>
      </c>
      <c r="L65" s="11" t="s">
        <v>42</v>
      </c>
      <c r="M65" s="11" t="s">
        <v>56</v>
      </c>
      <c r="N65" s="11">
        <v>1</v>
      </c>
      <c r="O65" s="11">
        <v>1</v>
      </c>
      <c r="P65" s="12">
        <v>1</v>
      </c>
    </row>
    <row r="66" spans="1:16" x14ac:dyDescent="0.25">
      <c r="A66" s="12">
        <v>65</v>
      </c>
      <c r="B66" s="11">
        <v>43</v>
      </c>
      <c r="C66" s="12" t="s">
        <v>12204</v>
      </c>
      <c r="D66" s="12">
        <v>131</v>
      </c>
      <c r="E66" s="13" t="s">
        <v>326</v>
      </c>
      <c r="F66" s="13" t="s">
        <v>327</v>
      </c>
      <c r="G66" s="13">
        <v>2023</v>
      </c>
      <c r="H66" s="13" t="s">
        <v>305</v>
      </c>
      <c r="I66" s="13" t="s">
        <v>328</v>
      </c>
      <c r="J66" s="13" t="s">
        <v>331</v>
      </c>
      <c r="K66" s="13" t="s">
        <v>332</v>
      </c>
      <c r="L66" s="11" t="s">
        <v>42</v>
      </c>
      <c r="M66" s="13" t="s">
        <v>56</v>
      </c>
      <c r="N66" s="12">
        <v>1</v>
      </c>
      <c r="O66" s="12">
        <v>1</v>
      </c>
      <c r="P66" s="12">
        <v>1</v>
      </c>
    </row>
    <row r="67" spans="1:16" x14ac:dyDescent="0.25">
      <c r="A67" s="12">
        <v>66</v>
      </c>
      <c r="B67" s="12">
        <v>143</v>
      </c>
      <c r="C67" s="12" t="s">
        <v>12204</v>
      </c>
      <c r="D67" s="12">
        <v>514</v>
      </c>
      <c r="E67" s="12" t="s">
        <v>12541</v>
      </c>
      <c r="F67" s="12" t="s">
        <v>1057</v>
      </c>
      <c r="G67" s="12">
        <v>2023</v>
      </c>
      <c r="H67" s="12" t="s">
        <v>996</v>
      </c>
      <c r="I67" s="12" t="s">
        <v>1059</v>
      </c>
      <c r="J67" s="12" t="s">
        <v>1062</v>
      </c>
      <c r="K67" s="12" t="s">
        <v>1063</v>
      </c>
      <c r="L67" s="12" t="s">
        <v>42</v>
      </c>
      <c r="M67" s="12" t="s">
        <v>56</v>
      </c>
      <c r="N67" s="12">
        <v>1</v>
      </c>
      <c r="O67" s="12">
        <v>1</v>
      </c>
      <c r="P67" s="12">
        <v>1</v>
      </c>
    </row>
    <row r="68" spans="1:16" x14ac:dyDescent="0.25">
      <c r="A68" s="12">
        <v>67</v>
      </c>
      <c r="B68" s="12">
        <v>144</v>
      </c>
      <c r="C68" s="12" t="s">
        <v>12204</v>
      </c>
      <c r="D68" s="12">
        <v>519</v>
      </c>
      <c r="E68" s="12" t="s">
        <v>13371</v>
      </c>
      <c r="F68" s="12" t="s">
        <v>33</v>
      </c>
      <c r="G68" s="12">
        <v>2023</v>
      </c>
      <c r="H68" s="12" t="s">
        <v>34</v>
      </c>
      <c r="I68" s="12" t="s">
        <v>35</v>
      </c>
      <c r="J68" s="12" t="s">
        <v>38</v>
      </c>
      <c r="K68" s="12" t="s">
        <v>39</v>
      </c>
      <c r="L68" s="12" t="s">
        <v>42</v>
      </c>
      <c r="M68" s="12" t="s">
        <v>12252</v>
      </c>
      <c r="N68" s="12">
        <v>1</v>
      </c>
      <c r="O68" s="12">
        <v>1</v>
      </c>
      <c r="P68" s="12">
        <v>1</v>
      </c>
    </row>
    <row r="69" spans="1:16" x14ac:dyDescent="0.25">
      <c r="A69" s="12">
        <v>68</v>
      </c>
      <c r="B69" s="11">
        <v>478</v>
      </c>
      <c r="C69" s="12" t="s">
        <v>12118</v>
      </c>
      <c r="D69" s="12">
        <v>531</v>
      </c>
      <c r="E69" s="11" t="s">
        <v>6349</v>
      </c>
      <c r="F69" s="11" t="s">
        <v>6351</v>
      </c>
      <c r="G69" s="11">
        <v>2023</v>
      </c>
      <c r="H69" s="11" t="s">
        <v>5976</v>
      </c>
      <c r="I69" s="11" t="str">
        <f>HYPERLINK("http://dx.doi.org/10.2196/53466","http://dx.doi.org/10.2196/53466")</f>
        <v>http://dx.doi.org/10.2196/53466</v>
      </c>
      <c r="J69" s="11" t="s">
        <v>6354</v>
      </c>
      <c r="K69" s="11" t="s">
        <v>6352</v>
      </c>
      <c r="L69" s="11" t="s">
        <v>42</v>
      </c>
      <c r="M69" s="11" t="s">
        <v>56</v>
      </c>
      <c r="N69" s="11">
        <v>1</v>
      </c>
      <c r="O69" s="11">
        <v>1</v>
      </c>
      <c r="P69" s="12">
        <v>1</v>
      </c>
    </row>
    <row r="70" spans="1:16" x14ac:dyDescent="0.25">
      <c r="A70" s="12">
        <v>69</v>
      </c>
      <c r="B70" s="12">
        <v>146</v>
      </c>
      <c r="C70" s="12" t="s">
        <v>12204</v>
      </c>
      <c r="D70" s="12">
        <v>540</v>
      </c>
      <c r="E70" s="12" t="s">
        <v>12697</v>
      </c>
      <c r="F70" s="12" t="s">
        <v>1119</v>
      </c>
      <c r="G70" s="12">
        <v>2023</v>
      </c>
      <c r="H70" s="12" t="s">
        <v>383</v>
      </c>
      <c r="J70" s="12" t="s">
        <v>12694</v>
      </c>
      <c r="K70" s="12" t="s">
        <v>1123</v>
      </c>
      <c r="L70" s="12" t="s">
        <v>42</v>
      </c>
      <c r="M70" s="12" t="s">
        <v>12252</v>
      </c>
      <c r="N70" s="12">
        <v>1</v>
      </c>
      <c r="O70" s="12">
        <v>1</v>
      </c>
      <c r="P70" s="12">
        <v>1</v>
      </c>
    </row>
    <row r="71" spans="1:16" x14ac:dyDescent="0.25">
      <c r="A71" s="12">
        <v>70</v>
      </c>
      <c r="B71" s="11">
        <v>497</v>
      </c>
      <c r="C71" s="12" t="s">
        <v>12118</v>
      </c>
      <c r="D71" s="12">
        <v>550</v>
      </c>
      <c r="E71" s="11" t="s">
        <v>4018</v>
      </c>
      <c r="F71" s="11" t="s">
        <v>4020</v>
      </c>
      <c r="G71" s="11">
        <v>2023</v>
      </c>
      <c r="H71" s="11" t="s">
        <v>4021</v>
      </c>
      <c r="I71" s="11" t="str">
        <f>HYPERLINK("http://dx.doi.org/10.1016/j.jksuci.2023.101675","http://dx.doi.org/10.1016/j.jksuci.2023.101675")</f>
        <v>http://dx.doi.org/10.1016/j.jksuci.2023.101675</v>
      </c>
      <c r="J71" s="11" t="s">
        <v>4024</v>
      </c>
      <c r="K71" s="11" t="s">
        <v>4022</v>
      </c>
      <c r="L71" s="11" t="s">
        <v>42</v>
      </c>
      <c r="M71" s="11" t="s">
        <v>56</v>
      </c>
      <c r="N71" s="11">
        <v>1</v>
      </c>
      <c r="O71" s="11">
        <v>1</v>
      </c>
      <c r="P71" s="12">
        <v>1</v>
      </c>
    </row>
    <row r="72" spans="1:16" x14ac:dyDescent="0.25">
      <c r="A72" s="12">
        <v>71</v>
      </c>
      <c r="B72" s="11">
        <v>498</v>
      </c>
      <c r="C72" s="12" t="s">
        <v>12118</v>
      </c>
      <c r="D72" s="12">
        <v>552</v>
      </c>
      <c r="E72" s="11" t="s">
        <v>6363</v>
      </c>
      <c r="F72" s="11" t="s">
        <v>6366</v>
      </c>
      <c r="G72" s="11">
        <v>2023</v>
      </c>
      <c r="H72" s="11" t="s">
        <v>6367</v>
      </c>
      <c r="I72" s="11" t="str">
        <f>HYPERLINK("http://dx.doi.org/10.1007/978-3-031-42608-7_16","http://dx.doi.org/10.1007/978-3-031-42608-7_16")</f>
        <v>http://dx.doi.org/10.1007/978-3-031-42608-7_16</v>
      </c>
      <c r="J72" s="11" t="s">
        <v>6373</v>
      </c>
      <c r="K72" s="11" t="s">
        <v>1253</v>
      </c>
      <c r="L72" s="11" t="s">
        <v>42</v>
      </c>
      <c r="M72" s="11" t="s">
        <v>5552</v>
      </c>
      <c r="N72" s="11">
        <v>1</v>
      </c>
      <c r="O72" s="11">
        <v>1</v>
      </c>
      <c r="P72" s="12">
        <v>1</v>
      </c>
    </row>
    <row r="73" spans="1:16" x14ac:dyDescent="0.25">
      <c r="A73" s="12">
        <v>72</v>
      </c>
      <c r="B73" s="12">
        <v>150</v>
      </c>
      <c r="C73" s="12" t="s">
        <v>12204</v>
      </c>
      <c r="D73" s="12">
        <v>555</v>
      </c>
      <c r="E73" s="12" t="s">
        <v>12906</v>
      </c>
      <c r="F73" s="12" t="s">
        <v>95</v>
      </c>
      <c r="G73" s="12">
        <v>2023</v>
      </c>
      <c r="H73" s="12" t="s">
        <v>96</v>
      </c>
      <c r="J73" s="12" t="s">
        <v>99</v>
      </c>
      <c r="L73" s="12" t="s">
        <v>42</v>
      </c>
      <c r="M73" s="12" t="s">
        <v>12252</v>
      </c>
      <c r="N73" s="12">
        <v>1</v>
      </c>
      <c r="O73" s="12">
        <v>1</v>
      </c>
      <c r="P73" s="12">
        <v>1</v>
      </c>
    </row>
    <row r="74" spans="1:16" x14ac:dyDescent="0.25">
      <c r="A74" s="12">
        <v>73</v>
      </c>
      <c r="B74" s="12">
        <v>151</v>
      </c>
      <c r="C74" s="12" t="s">
        <v>12204</v>
      </c>
      <c r="D74" s="12">
        <v>560</v>
      </c>
      <c r="E74" s="12" t="s">
        <v>12423</v>
      </c>
      <c r="F74" s="12" t="s">
        <v>1391</v>
      </c>
      <c r="G74" s="12">
        <v>2023</v>
      </c>
      <c r="H74" s="12" t="s">
        <v>383</v>
      </c>
      <c r="J74" s="12" t="s">
        <v>1394</v>
      </c>
      <c r="K74" s="12" t="s">
        <v>1395</v>
      </c>
      <c r="L74" s="12" t="s">
        <v>42</v>
      </c>
      <c r="M74" s="12" t="s">
        <v>12252</v>
      </c>
      <c r="N74" s="12">
        <v>1</v>
      </c>
      <c r="O74" s="12">
        <v>1</v>
      </c>
      <c r="P74" s="12">
        <v>1</v>
      </c>
    </row>
    <row r="75" spans="1:16" x14ac:dyDescent="0.25">
      <c r="A75" s="12">
        <v>74</v>
      </c>
      <c r="B75" s="12">
        <v>154</v>
      </c>
      <c r="C75" s="12" t="s">
        <v>12204</v>
      </c>
      <c r="D75" s="12">
        <v>575</v>
      </c>
      <c r="E75" s="12" t="s">
        <v>12844</v>
      </c>
      <c r="F75" s="12" t="s">
        <v>163</v>
      </c>
      <c r="G75" s="12">
        <v>2023</v>
      </c>
      <c r="H75" s="12" t="s">
        <v>164</v>
      </c>
      <c r="I75" s="12" t="s">
        <v>165</v>
      </c>
      <c r="J75" s="12" t="s">
        <v>12841</v>
      </c>
      <c r="K75" s="12" t="s">
        <v>169</v>
      </c>
      <c r="L75" s="12" t="s">
        <v>42</v>
      </c>
      <c r="M75" s="12" t="s">
        <v>12252</v>
      </c>
      <c r="N75" s="12">
        <v>1</v>
      </c>
      <c r="O75" s="12">
        <v>1</v>
      </c>
      <c r="P75" s="12">
        <v>1</v>
      </c>
    </row>
    <row r="76" spans="1:16" x14ac:dyDescent="0.25">
      <c r="A76" s="12">
        <v>75</v>
      </c>
      <c r="B76" s="12">
        <v>155</v>
      </c>
      <c r="C76" s="12" t="s">
        <v>12204</v>
      </c>
      <c r="D76" s="12">
        <v>578</v>
      </c>
      <c r="E76" s="12" t="s">
        <v>12768</v>
      </c>
      <c r="F76" s="12" t="s">
        <v>81</v>
      </c>
      <c r="G76" s="12">
        <v>2023</v>
      </c>
      <c r="H76" s="12" t="s">
        <v>82</v>
      </c>
      <c r="I76" s="12" t="s">
        <v>83</v>
      </c>
      <c r="J76" s="12" t="s">
        <v>86</v>
      </c>
      <c r="L76" s="12" t="s">
        <v>42</v>
      </c>
      <c r="M76" s="12" t="s">
        <v>12252</v>
      </c>
      <c r="N76" s="12">
        <v>1</v>
      </c>
      <c r="O76" s="12">
        <v>1</v>
      </c>
      <c r="P76" s="12">
        <v>1</v>
      </c>
    </row>
    <row r="77" spans="1:16" x14ac:dyDescent="0.25">
      <c r="A77" s="12">
        <v>76</v>
      </c>
      <c r="B77" s="12">
        <v>158</v>
      </c>
      <c r="C77" s="12" t="s">
        <v>12204</v>
      </c>
      <c r="D77" s="12">
        <v>591</v>
      </c>
      <c r="E77" s="12" t="s">
        <v>12390</v>
      </c>
      <c r="F77" s="12" t="s">
        <v>1377</v>
      </c>
      <c r="G77" s="12">
        <v>2023</v>
      </c>
      <c r="H77" s="12" t="s">
        <v>996</v>
      </c>
      <c r="I77" s="12" t="s">
        <v>1379</v>
      </c>
      <c r="J77" s="12" t="s">
        <v>1382</v>
      </c>
      <c r="K77" s="12" t="s">
        <v>1383</v>
      </c>
      <c r="L77" s="12" t="s">
        <v>42</v>
      </c>
      <c r="M77" s="12" t="s">
        <v>56</v>
      </c>
      <c r="N77" s="12">
        <v>1</v>
      </c>
      <c r="O77" s="12">
        <v>1</v>
      </c>
      <c r="P77" s="12">
        <v>1</v>
      </c>
    </row>
    <row r="78" spans="1:16" x14ac:dyDescent="0.25">
      <c r="A78" s="12">
        <v>77</v>
      </c>
      <c r="B78" s="12">
        <v>159</v>
      </c>
      <c r="C78" s="12" t="s">
        <v>12204</v>
      </c>
      <c r="D78" s="12">
        <v>594</v>
      </c>
      <c r="E78" s="12" t="s">
        <v>13306</v>
      </c>
      <c r="F78" s="12" t="s">
        <v>316</v>
      </c>
      <c r="G78" s="12">
        <v>2023</v>
      </c>
      <c r="H78" s="12" t="s">
        <v>317</v>
      </c>
      <c r="I78" s="12" t="s">
        <v>318</v>
      </c>
      <c r="J78" s="12" t="s">
        <v>321</v>
      </c>
      <c r="K78" s="12" t="s">
        <v>322</v>
      </c>
      <c r="L78" s="12" t="s">
        <v>42</v>
      </c>
      <c r="M78" s="12" t="s">
        <v>56</v>
      </c>
      <c r="N78" s="12">
        <v>1</v>
      </c>
      <c r="O78" s="12">
        <v>1</v>
      </c>
      <c r="P78" s="12">
        <v>1</v>
      </c>
    </row>
    <row r="79" spans="1:16" x14ac:dyDescent="0.25">
      <c r="A79" s="12">
        <v>78</v>
      </c>
      <c r="B79" s="12">
        <v>161</v>
      </c>
      <c r="C79" s="12" t="s">
        <v>12204</v>
      </c>
      <c r="D79" s="12">
        <v>598</v>
      </c>
      <c r="E79" s="12" t="s">
        <v>13560</v>
      </c>
      <c r="F79" s="12" t="s">
        <v>13558</v>
      </c>
      <c r="G79" s="12">
        <v>2023</v>
      </c>
      <c r="H79" s="12" t="s">
        <v>13557</v>
      </c>
      <c r="I79" s="12" t="s">
        <v>6482</v>
      </c>
      <c r="J79" s="12" t="s">
        <v>13553</v>
      </c>
      <c r="K79" s="12" t="s">
        <v>13552</v>
      </c>
      <c r="L79" s="12" t="s">
        <v>42</v>
      </c>
      <c r="M79" s="12" t="s">
        <v>56</v>
      </c>
      <c r="N79" s="12">
        <v>1</v>
      </c>
      <c r="O79" s="12">
        <v>1</v>
      </c>
      <c r="P79" s="12">
        <v>1</v>
      </c>
    </row>
    <row r="80" spans="1:16" x14ac:dyDescent="0.25">
      <c r="A80" s="12">
        <v>79</v>
      </c>
      <c r="B80" s="11">
        <v>545</v>
      </c>
      <c r="C80" s="12" t="s">
        <v>12118</v>
      </c>
      <c r="D80" s="12">
        <v>610</v>
      </c>
      <c r="E80" s="11" t="s">
        <v>6515</v>
      </c>
      <c r="F80" s="11" t="s">
        <v>6517</v>
      </c>
      <c r="G80" s="11">
        <v>2023</v>
      </c>
      <c r="H80" s="11" t="s">
        <v>6518</v>
      </c>
      <c r="I80" s="11" t="str">
        <f>HYPERLINK("http://dx.doi.org/10.2196/51873","http://dx.doi.org/10.2196/51873")</f>
        <v>http://dx.doi.org/10.2196/51873</v>
      </c>
      <c r="J80" s="11" t="s">
        <v>6520</v>
      </c>
      <c r="K80" s="11" t="s">
        <v>6519</v>
      </c>
      <c r="L80" s="11" t="s">
        <v>42</v>
      </c>
      <c r="M80" s="11" t="s">
        <v>56</v>
      </c>
      <c r="N80" s="11">
        <v>1</v>
      </c>
      <c r="O80" s="11">
        <v>1</v>
      </c>
      <c r="P80" s="12">
        <v>1</v>
      </c>
    </row>
    <row r="81" spans="1:16" x14ac:dyDescent="0.25">
      <c r="A81" s="12">
        <v>80</v>
      </c>
      <c r="B81" s="12">
        <v>168</v>
      </c>
      <c r="C81" s="12" t="s">
        <v>12204</v>
      </c>
      <c r="D81" s="12">
        <v>620</v>
      </c>
      <c r="E81" s="12" t="s">
        <v>12615</v>
      </c>
      <c r="F81" s="12" t="s">
        <v>1084</v>
      </c>
      <c r="G81" s="12">
        <v>2023</v>
      </c>
      <c r="H81" s="12" t="s">
        <v>1085</v>
      </c>
      <c r="J81" s="12" t="s">
        <v>1088</v>
      </c>
      <c r="L81" s="12" t="s">
        <v>42</v>
      </c>
      <c r="M81" s="12" t="s">
        <v>12252</v>
      </c>
      <c r="N81" s="12">
        <v>1</v>
      </c>
      <c r="O81" s="12">
        <v>1</v>
      </c>
      <c r="P81" s="12">
        <v>1</v>
      </c>
    </row>
    <row r="82" spans="1:16" x14ac:dyDescent="0.25">
      <c r="A82" s="12">
        <v>81</v>
      </c>
      <c r="B82" s="12">
        <v>170</v>
      </c>
      <c r="C82" s="12" t="s">
        <v>12204</v>
      </c>
      <c r="D82" s="12">
        <v>635</v>
      </c>
      <c r="E82" s="12" t="s">
        <v>12489</v>
      </c>
      <c r="F82" s="12" t="s">
        <v>1153</v>
      </c>
      <c r="G82" s="12">
        <v>2023</v>
      </c>
      <c r="H82" s="12" t="s">
        <v>1154</v>
      </c>
      <c r="I82" s="12" t="s">
        <v>1155</v>
      </c>
      <c r="J82" s="12" t="s">
        <v>1158</v>
      </c>
      <c r="K82" s="12" t="s">
        <v>1159</v>
      </c>
      <c r="L82" s="12" t="s">
        <v>42</v>
      </c>
      <c r="M82" s="12" t="s">
        <v>56</v>
      </c>
      <c r="N82" s="12">
        <v>1</v>
      </c>
      <c r="O82" s="12">
        <v>1</v>
      </c>
      <c r="P82" s="12">
        <v>1</v>
      </c>
    </row>
    <row r="83" spans="1:16" x14ac:dyDescent="0.25">
      <c r="A83" s="12">
        <v>82</v>
      </c>
      <c r="B83" s="12">
        <v>171</v>
      </c>
      <c r="C83" s="12" t="s">
        <v>12204</v>
      </c>
      <c r="D83" s="12">
        <v>636</v>
      </c>
      <c r="E83" s="12" t="s">
        <v>12557</v>
      </c>
      <c r="F83" s="12" t="s">
        <v>1142</v>
      </c>
      <c r="G83" s="12">
        <v>2023</v>
      </c>
      <c r="H83" s="12" t="s">
        <v>1143</v>
      </c>
      <c r="I83" s="12" t="s">
        <v>1144</v>
      </c>
      <c r="J83" s="12" t="s">
        <v>1147</v>
      </c>
      <c r="K83" s="12" t="s">
        <v>1148</v>
      </c>
      <c r="L83" s="12" t="s">
        <v>42</v>
      </c>
      <c r="M83" s="12" t="s">
        <v>56</v>
      </c>
      <c r="N83" s="12">
        <v>1</v>
      </c>
      <c r="O83" s="12">
        <v>1</v>
      </c>
      <c r="P83" s="12">
        <v>1</v>
      </c>
    </row>
    <row r="84" spans="1:16" x14ac:dyDescent="0.25">
      <c r="A84" s="12">
        <v>83</v>
      </c>
      <c r="B84" s="12">
        <v>172</v>
      </c>
      <c r="C84" s="12" t="s">
        <v>12204</v>
      </c>
      <c r="D84" s="12">
        <v>637</v>
      </c>
      <c r="E84" s="12" t="s">
        <v>13356</v>
      </c>
      <c r="F84" s="12" t="s">
        <v>204</v>
      </c>
      <c r="G84" s="12">
        <v>2023</v>
      </c>
      <c r="H84" s="12" t="s">
        <v>205</v>
      </c>
      <c r="I84" s="12" t="s">
        <v>206</v>
      </c>
      <c r="J84" s="12" t="s">
        <v>209</v>
      </c>
      <c r="K84" s="12" t="s">
        <v>210</v>
      </c>
      <c r="L84" s="12" t="s">
        <v>42</v>
      </c>
      <c r="M84" s="12" t="s">
        <v>56</v>
      </c>
      <c r="N84" s="12">
        <v>1</v>
      </c>
      <c r="O84" s="12">
        <v>1</v>
      </c>
      <c r="P84" s="12">
        <v>1</v>
      </c>
    </row>
    <row r="85" spans="1:16" x14ac:dyDescent="0.25">
      <c r="B85" s="11"/>
      <c r="E85" s="11"/>
      <c r="F85" s="11"/>
      <c r="G85" s="11"/>
      <c r="H85" s="11"/>
      <c r="I85" s="11"/>
      <c r="J85" s="11"/>
      <c r="K85" s="11"/>
      <c r="L85" s="11"/>
      <c r="M85" s="11"/>
    </row>
    <row r="89" spans="1:16" x14ac:dyDescent="0.25">
      <c r="B89" s="11"/>
      <c r="E89" s="11"/>
      <c r="F89" s="11"/>
      <c r="G89" s="11"/>
      <c r="H89" s="11"/>
      <c r="I89" s="11"/>
      <c r="J89" s="11"/>
      <c r="K89" s="11"/>
      <c r="L89" s="11"/>
      <c r="M89" s="11"/>
    </row>
    <row r="90" spans="1:16" x14ac:dyDescent="0.25">
      <c r="B90" s="11"/>
      <c r="E90" s="11"/>
      <c r="F90" s="11"/>
      <c r="G90" s="11"/>
      <c r="H90" s="11"/>
      <c r="I90" s="11"/>
      <c r="J90" s="11"/>
      <c r="K90" s="11"/>
      <c r="L90" s="11"/>
      <c r="M90" s="11"/>
    </row>
    <row r="91" spans="1:16" x14ac:dyDescent="0.25">
      <c r="B91" s="11"/>
      <c r="E91" s="11"/>
      <c r="F91" s="11"/>
      <c r="G91" s="11"/>
      <c r="H91" s="11"/>
      <c r="I91" s="11"/>
      <c r="J91" s="11"/>
      <c r="K91" s="11"/>
      <c r="L91" s="11"/>
      <c r="M91" s="11"/>
    </row>
    <row r="93" spans="1:16" x14ac:dyDescent="0.25">
      <c r="B93" s="11"/>
      <c r="E93" s="11"/>
      <c r="F93" s="11"/>
      <c r="G93" s="11"/>
      <c r="H93" s="11"/>
      <c r="I93" s="11"/>
      <c r="J93" s="11"/>
      <c r="K93" s="11"/>
      <c r="L93" s="11"/>
      <c r="M93" s="11"/>
    </row>
    <row r="94" spans="1:16" x14ac:dyDescent="0.25">
      <c r="B94" s="11"/>
      <c r="E94" s="11"/>
      <c r="F94" s="11"/>
      <c r="G94" s="11"/>
      <c r="H94" s="11"/>
      <c r="I94" s="11"/>
      <c r="J94" s="11"/>
      <c r="K94" s="11"/>
      <c r="L94" s="11"/>
      <c r="M94" s="11"/>
    </row>
    <row r="96" spans="1:16" x14ac:dyDescent="0.25">
      <c r="B96" s="11"/>
      <c r="E96" s="11"/>
      <c r="F96" s="11"/>
      <c r="G96" s="11"/>
      <c r="H96" s="11"/>
      <c r="I96" s="11"/>
      <c r="J96" s="11"/>
      <c r="K96" s="11"/>
      <c r="L96" s="11"/>
      <c r="M96" s="11"/>
    </row>
    <row r="99" spans="2:15" ht="13.8" customHeight="1" x14ac:dyDescent="0.25">
      <c r="B99" s="11"/>
      <c r="E99" s="11"/>
      <c r="F99" s="11"/>
      <c r="G99" s="11"/>
      <c r="H99" s="11"/>
      <c r="I99" s="11"/>
      <c r="J99" s="11"/>
      <c r="K99" s="11"/>
      <c r="L99" s="11"/>
      <c r="M99" s="11"/>
    </row>
    <row r="100" spans="2:15" x14ac:dyDescent="0.25">
      <c r="E100" s="13"/>
      <c r="F100" s="13"/>
      <c r="G100" s="13"/>
      <c r="H100" s="13"/>
      <c r="I100" s="13"/>
      <c r="J100" s="13"/>
      <c r="K100" s="13"/>
    </row>
    <row r="101" spans="2:15" x14ac:dyDescent="0.25">
      <c r="B101" s="11"/>
      <c r="E101" s="11"/>
      <c r="F101" s="11"/>
      <c r="G101" s="11"/>
      <c r="H101" s="11"/>
      <c r="I101" s="11"/>
      <c r="J101" s="11"/>
      <c r="K101" s="11"/>
      <c r="L101" s="11"/>
      <c r="M101" s="11"/>
    </row>
    <row r="102" spans="2:15" x14ac:dyDescent="0.25">
      <c r="E102" s="13"/>
      <c r="F102" s="13"/>
      <c r="G102" s="13"/>
      <c r="H102" s="13"/>
      <c r="I102" s="13"/>
      <c r="J102" s="13"/>
      <c r="K102" s="13"/>
    </row>
    <row r="103" spans="2:15" x14ac:dyDescent="0.25">
      <c r="B103" s="11"/>
      <c r="E103" s="11"/>
      <c r="F103" s="11"/>
      <c r="G103" s="11"/>
      <c r="H103" s="11"/>
      <c r="I103" s="11"/>
      <c r="J103" s="11"/>
      <c r="K103" s="11"/>
      <c r="L103" s="11"/>
      <c r="M103" s="11"/>
    </row>
    <row r="104" spans="2:15" x14ac:dyDescent="0.25">
      <c r="B104" s="11"/>
      <c r="E104" s="11"/>
      <c r="F104" s="11"/>
      <c r="G104" s="11"/>
      <c r="H104" s="11"/>
      <c r="I104" s="11"/>
      <c r="J104" s="11"/>
      <c r="K104" s="11"/>
      <c r="L104" s="11"/>
      <c r="M104" s="11"/>
      <c r="N104" s="11"/>
      <c r="O104" s="11"/>
    </row>
    <row r="105" spans="2:15" x14ac:dyDescent="0.25">
      <c r="B105" s="11"/>
      <c r="E105" s="11"/>
      <c r="F105" s="11"/>
      <c r="G105" s="11"/>
      <c r="H105" s="11"/>
      <c r="I105" s="11"/>
      <c r="J105" s="11"/>
      <c r="K105" s="11"/>
      <c r="L105" s="11"/>
      <c r="M105" s="11"/>
    </row>
    <row r="106" spans="2:15" x14ac:dyDescent="0.25">
      <c r="B106" s="11"/>
      <c r="E106" s="11"/>
      <c r="F106" s="11"/>
      <c r="G106" s="11"/>
      <c r="H106" s="11"/>
      <c r="I106" s="11"/>
      <c r="J106" s="11"/>
      <c r="K106" s="11"/>
      <c r="L106" s="11"/>
      <c r="M106" s="11"/>
      <c r="N106" s="11"/>
      <c r="O106" s="11"/>
    </row>
    <row r="107" spans="2:15" x14ac:dyDescent="0.25">
      <c r="B107" s="11"/>
      <c r="E107" s="11"/>
      <c r="F107" s="11"/>
      <c r="G107" s="11"/>
      <c r="H107" s="11"/>
      <c r="I107" s="11"/>
      <c r="J107" s="11"/>
      <c r="K107" s="11"/>
      <c r="L107" s="11"/>
      <c r="M107" s="11"/>
      <c r="N107" s="11"/>
      <c r="O107" s="11"/>
    </row>
    <row r="108" spans="2:15" x14ac:dyDescent="0.25">
      <c r="N108" s="11"/>
      <c r="O108" s="11"/>
    </row>
    <row r="110" spans="2:15" x14ac:dyDescent="0.25">
      <c r="B110" s="11"/>
      <c r="E110" s="11"/>
      <c r="F110" s="11"/>
      <c r="G110" s="11"/>
      <c r="H110" s="11"/>
      <c r="I110" s="11"/>
      <c r="J110" s="11"/>
      <c r="K110" s="11"/>
      <c r="L110" s="11"/>
      <c r="M110" s="11"/>
      <c r="N110" s="11"/>
      <c r="O110" s="11"/>
    </row>
    <row r="112" spans="2:15" x14ac:dyDescent="0.25">
      <c r="B112" s="11"/>
      <c r="E112" s="11"/>
      <c r="F112" s="11"/>
      <c r="G112" s="11"/>
      <c r="H112" s="11"/>
      <c r="I112" s="11"/>
      <c r="J112" s="11"/>
      <c r="K112" s="11"/>
      <c r="L112" s="11"/>
      <c r="M112" s="11"/>
      <c r="N112" s="11"/>
      <c r="O112" s="11"/>
    </row>
    <row r="113" spans="2:15" x14ac:dyDescent="0.25">
      <c r="B113" s="11"/>
      <c r="E113" s="11"/>
      <c r="F113" s="11"/>
      <c r="G113" s="11"/>
      <c r="H113" s="11"/>
      <c r="I113" s="11"/>
      <c r="J113" s="11"/>
      <c r="K113" s="11"/>
      <c r="L113" s="11"/>
      <c r="M113" s="11"/>
    </row>
    <row r="114" spans="2:15" x14ac:dyDescent="0.25">
      <c r="B114" s="11"/>
      <c r="E114" s="11"/>
      <c r="F114" s="11"/>
      <c r="G114" s="11"/>
      <c r="H114" s="11"/>
      <c r="I114" s="11"/>
      <c r="J114" s="11"/>
      <c r="K114" s="11"/>
      <c r="L114" s="11"/>
      <c r="M114" s="11"/>
      <c r="N114" s="11"/>
      <c r="O114" s="11"/>
    </row>
    <row r="115" spans="2:15" x14ac:dyDescent="0.25">
      <c r="B115" s="11"/>
      <c r="E115" s="11"/>
      <c r="F115" s="11"/>
      <c r="G115" s="11"/>
      <c r="H115" s="11"/>
      <c r="I115" s="11"/>
      <c r="J115" s="11"/>
      <c r="K115" s="11"/>
      <c r="L115" s="11"/>
      <c r="M115" s="11"/>
      <c r="N115" s="11"/>
      <c r="O115" s="11"/>
    </row>
    <row r="116" spans="2:15" x14ac:dyDescent="0.25">
      <c r="B116" s="11"/>
      <c r="E116" s="11"/>
      <c r="F116" s="11"/>
      <c r="G116" s="11"/>
      <c r="H116" s="11"/>
      <c r="I116" s="11"/>
      <c r="J116" s="11"/>
      <c r="K116" s="11"/>
      <c r="L116" s="11"/>
      <c r="M116" s="11"/>
      <c r="N116" s="11"/>
      <c r="O116" s="11"/>
    </row>
    <row r="118" spans="2:15" x14ac:dyDescent="0.25">
      <c r="B118" s="11"/>
      <c r="E118" s="11"/>
      <c r="F118" s="11"/>
      <c r="G118" s="11"/>
      <c r="H118" s="11"/>
      <c r="I118" s="11"/>
      <c r="J118" s="11"/>
      <c r="K118" s="11"/>
      <c r="L118" s="11"/>
      <c r="M118" s="11"/>
      <c r="N118" s="11"/>
      <c r="O118" s="11"/>
    </row>
    <row r="122" spans="2:15" x14ac:dyDescent="0.25">
      <c r="B122" s="11"/>
      <c r="E122" s="11"/>
      <c r="F122" s="11"/>
      <c r="G122" s="11"/>
      <c r="H122" s="11"/>
      <c r="I122" s="11"/>
      <c r="J122" s="11"/>
      <c r="K122" s="11"/>
      <c r="L122" s="11"/>
      <c r="M122" s="11"/>
      <c r="N122" s="11"/>
      <c r="O122" s="11"/>
    </row>
    <row r="124" spans="2:15" x14ac:dyDescent="0.25">
      <c r="B124" s="11"/>
      <c r="E124" s="11"/>
      <c r="F124" s="11"/>
      <c r="G124" s="11"/>
      <c r="H124" s="11"/>
      <c r="I124" s="11"/>
      <c r="J124" s="11"/>
      <c r="K124" s="11"/>
      <c r="L124" s="11"/>
      <c r="M124" s="11"/>
      <c r="N124" s="11"/>
      <c r="O124" s="11"/>
    </row>
    <row r="125" spans="2:15" x14ac:dyDescent="0.25">
      <c r="B125" s="11"/>
      <c r="E125" s="11"/>
      <c r="F125" s="11"/>
      <c r="G125" s="11"/>
      <c r="H125" s="11"/>
      <c r="I125" s="11"/>
      <c r="J125" s="11"/>
      <c r="K125" s="11"/>
      <c r="L125" s="11"/>
      <c r="M125" s="11"/>
      <c r="N125" s="11"/>
      <c r="O125" s="11"/>
    </row>
    <row r="126" spans="2:15" x14ac:dyDescent="0.25">
      <c r="N126" s="11"/>
      <c r="O126" s="11"/>
    </row>
    <row r="127" spans="2:15" x14ac:dyDescent="0.25">
      <c r="B127" s="11"/>
      <c r="E127" s="11"/>
      <c r="F127" s="11"/>
      <c r="G127" s="11"/>
      <c r="H127" s="11"/>
      <c r="I127" s="11"/>
      <c r="J127" s="11"/>
      <c r="K127" s="11"/>
      <c r="L127" s="11"/>
      <c r="M127" s="11"/>
      <c r="N127" s="11"/>
      <c r="O127" s="11"/>
    </row>
    <row r="128" spans="2:15" x14ac:dyDescent="0.25">
      <c r="B128" s="11"/>
      <c r="E128" s="11"/>
      <c r="F128" s="11"/>
      <c r="G128" s="11"/>
      <c r="H128" s="11"/>
      <c r="I128" s="11"/>
      <c r="J128" s="11"/>
      <c r="K128" s="11"/>
      <c r="L128" s="11"/>
      <c r="M128" s="11"/>
      <c r="N128" s="11"/>
      <c r="O128" s="11"/>
    </row>
    <row r="129" spans="2:15" x14ac:dyDescent="0.25">
      <c r="B129" s="11"/>
      <c r="E129" s="11"/>
      <c r="F129" s="11"/>
      <c r="G129" s="11"/>
      <c r="H129" s="11"/>
      <c r="I129" s="11"/>
      <c r="J129" s="11"/>
      <c r="K129" s="11"/>
      <c r="L129" s="11"/>
      <c r="M129" s="11"/>
      <c r="N129" s="11"/>
      <c r="O129" s="11"/>
    </row>
    <row r="130" spans="2:15" x14ac:dyDescent="0.25">
      <c r="N130" s="11"/>
      <c r="O130" s="11"/>
    </row>
    <row r="131" spans="2:15" x14ac:dyDescent="0.25">
      <c r="B131" s="11"/>
      <c r="E131" s="11"/>
      <c r="F131" s="11"/>
      <c r="G131" s="11"/>
      <c r="H131" s="11"/>
      <c r="I131" s="11"/>
      <c r="J131" s="11"/>
      <c r="K131" s="11"/>
      <c r="L131" s="11"/>
      <c r="M131" s="11"/>
      <c r="N131" s="11"/>
      <c r="O131" s="11"/>
    </row>
    <row r="132" spans="2:15" x14ac:dyDescent="0.25">
      <c r="N132" s="11"/>
      <c r="O132" s="11"/>
    </row>
    <row r="133" spans="2:15" x14ac:dyDescent="0.25">
      <c r="B133" s="11"/>
      <c r="E133" s="11"/>
      <c r="F133" s="11"/>
      <c r="G133" s="11"/>
      <c r="H133" s="11"/>
      <c r="I133" s="11"/>
      <c r="J133" s="11"/>
      <c r="K133" s="11"/>
      <c r="L133" s="11"/>
      <c r="M133" s="11"/>
      <c r="N133" s="11"/>
      <c r="O133" s="11"/>
    </row>
    <row r="134" spans="2:15" x14ac:dyDescent="0.25">
      <c r="B134" s="11"/>
      <c r="E134" s="11"/>
      <c r="F134" s="11"/>
      <c r="G134" s="11"/>
      <c r="H134" s="11"/>
      <c r="I134" s="11"/>
      <c r="J134" s="11"/>
      <c r="K134" s="11"/>
      <c r="L134" s="11"/>
      <c r="M134" s="11"/>
      <c r="N134" s="11"/>
      <c r="O134" s="11"/>
    </row>
    <row r="136" spans="2:15" x14ac:dyDescent="0.25">
      <c r="B136" s="11"/>
      <c r="E136" s="11"/>
      <c r="F136" s="11"/>
      <c r="G136" s="11"/>
      <c r="H136" s="11"/>
      <c r="I136" s="11"/>
      <c r="J136" s="11"/>
      <c r="K136" s="11"/>
      <c r="L136" s="11"/>
      <c r="M136" s="11"/>
      <c r="N136" s="11"/>
      <c r="O136" s="11"/>
    </row>
    <row r="141" spans="2:15" x14ac:dyDescent="0.25">
      <c r="B141" s="11"/>
      <c r="E141" s="11"/>
      <c r="F141" s="11"/>
      <c r="G141" s="11"/>
      <c r="H141" s="11"/>
      <c r="I141" s="11"/>
      <c r="J141" s="11"/>
      <c r="K141" s="11"/>
      <c r="L141" s="11"/>
      <c r="M141" s="11"/>
      <c r="N141" s="11"/>
      <c r="O141" s="11"/>
    </row>
    <row r="142" spans="2:15" x14ac:dyDescent="0.25">
      <c r="B142" s="11"/>
      <c r="E142" s="11"/>
      <c r="F142" s="11"/>
      <c r="G142" s="11"/>
      <c r="H142" s="11"/>
      <c r="I142" s="11"/>
      <c r="J142" s="11"/>
      <c r="K142" s="11"/>
      <c r="L142" s="11"/>
      <c r="M142" s="11"/>
      <c r="N142" s="11"/>
      <c r="O142" s="11"/>
    </row>
    <row r="143" spans="2:15" x14ac:dyDescent="0.25">
      <c r="N143" s="11"/>
      <c r="O143" s="11"/>
    </row>
    <row r="144" spans="2:15" x14ac:dyDescent="0.25">
      <c r="B144" s="11"/>
      <c r="E144" s="11"/>
      <c r="F144" s="11"/>
      <c r="G144" s="11"/>
      <c r="H144" s="11"/>
      <c r="I144" s="11"/>
      <c r="J144" s="11"/>
      <c r="K144" s="11"/>
      <c r="L144" s="11"/>
      <c r="M144" s="11"/>
      <c r="N144" s="11"/>
      <c r="O144" s="11"/>
    </row>
    <row r="145" spans="2:15" x14ac:dyDescent="0.25">
      <c r="B145" s="11"/>
      <c r="E145" s="11"/>
      <c r="F145" s="11"/>
      <c r="G145" s="11"/>
      <c r="H145" s="11"/>
      <c r="I145" s="11"/>
      <c r="J145" s="11"/>
      <c r="K145" s="11"/>
      <c r="L145" s="11"/>
      <c r="M145" s="11"/>
      <c r="N145" s="11"/>
      <c r="O145" s="11"/>
    </row>
    <row r="147" spans="2:15" x14ac:dyDescent="0.25">
      <c r="B147" s="11"/>
      <c r="E147" s="11"/>
      <c r="F147" s="11"/>
      <c r="G147" s="11"/>
      <c r="H147" s="11"/>
      <c r="I147" s="11"/>
      <c r="J147" s="11"/>
      <c r="K147" s="11"/>
      <c r="L147" s="11"/>
      <c r="M147" s="11"/>
      <c r="N147" s="11"/>
      <c r="O147" s="11"/>
    </row>
    <row r="148" spans="2:15" x14ac:dyDescent="0.25">
      <c r="N148" s="11"/>
      <c r="O148" s="11"/>
    </row>
    <row r="149" spans="2:15" x14ac:dyDescent="0.25">
      <c r="N149" s="11"/>
      <c r="O149" s="11"/>
    </row>
    <row r="150" spans="2:15" x14ac:dyDescent="0.25">
      <c r="B150" s="11"/>
      <c r="E150" s="11"/>
      <c r="F150" s="11"/>
      <c r="G150" s="11"/>
      <c r="H150" s="11"/>
      <c r="I150" s="11"/>
      <c r="J150" s="11"/>
      <c r="K150" s="11"/>
      <c r="L150" s="11"/>
      <c r="M150" s="11"/>
      <c r="N150" s="11"/>
      <c r="O150" s="11"/>
    </row>
    <row r="151" spans="2:15" x14ac:dyDescent="0.25">
      <c r="B151" s="11"/>
      <c r="E151" s="11"/>
      <c r="F151" s="11"/>
      <c r="G151" s="11"/>
      <c r="H151" s="11"/>
      <c r="I151" s="11"/>
      <c r="J151" s="11"/>
      <c r="K151" s="11"/>
      <c r="L151" s="11"/>
      <c r="M151" s="11"/>
      <c r="N151" s="11"/>
      <c r="O151" s="11"/>
    </row>
    <row r="153" spans="2:15" x14ac:dyDescent="0.25">
      <c r="B153" s="11"/>
      <c r="E153" s="11"/>
      <c r="F153" s="11"/>
      <c r="G153" s="11"/>
      <c r="H153" s="11"/>
      <c r="I153" s="11"/>
      <c r="J153" s="11"/>
      <c r="K153" s="11"/>
      <c r="L153" s="11"/>
      <c r="M153" s="11"/>
      <c r="N153" s="11"/>
      <c r="O153" s="11"/>
    </row>
    <row r="154" spans="2:15" x14ac:dyDescent="0.25">
      <c r="B154" s="11"/>
      <c r="E154" s="11"/>
      <c r="F154" s="11"/>
      <c r="G154" s="11"/>
      <c r="H154" s="11"/>
      <c r="I154" s="11"/>
      <c r="J154" s="11"/>
      <c r="K154" s="11"/>
      <c r="L154" s="11"/>
      <c r="M154" s="11"/>
    </row>
    <row r="155" spans="2:15" x14ac:dyDescent="0.25">
      <c r="B155" s="11"/>
      <c r="E155" s="11"/>
      <c r="F155" s="11"/>
      <c r="G155" s="11"/>
      <c r="H155" s="11"/>
      <c r="I155" s="11"/>
      <c r="J155" s="11"/>
      <c r="K155" s="11"/>
      <c r="L155" s="11"/>
      <c r="M155" s="11"/>
      <c r="N155" s="11"/>
      <c r="O155" s="11"/>
    </row>
    <row r="157" spans="2:15" x14ac:dyDescent="0.25">
      <c r="B157" s="11"/>
      <c r="E157" s="11"/>
      <c r="F157" s="11"/>
      <c r="G157" s="11"/>
      <c r="H157" s="11"/>
      <c r="I157" s="11"/>
      <c r="J157" s="11"/>
      <c r="K157" s="11"/>
      <c r="L157" s="11"/>
      <c r="M157" s="11"/>
    </row>
    <row r="158" spans="2:15" x14ac:dyDescent="0.25">
      <c r="B158" s="11"/>
      <c r="E158" s="11"/>
      <c r="F158" s="11"/>
      <c r="G158" s="11"/>
      <c r="H158" s="11"/>
      <c r="I158" s="11"/>
      <c r="J158" s="11"/>
      <c r="K158" s="11"/>
      <c r="L158" s="11"/>
      <c r="M158" s="11"/>
      <c r="N158" s="11"/>
      <c r="O158" s="11"/>
    </row>
    <row r="159" spans="2:15" x14ac:dyDescent="0.25">
      <c r="B159" s="11"/>
      <c r="E159" s="11"/>
      <c r="F159" s="11"/>
      <c r="G159" s="11"/>
      <c r="H159" s="11"/>
      <c r="I159" s="11"/>
      <c r="J159" s="11"/>
      <c r="K159" s="11"/>
      <c r="L159" s="11"/>
      <c r="M159" s="11"/>
      <c r="N159" s="11"/>
      <c r="O159" s="11"/>
    </row>
    <row r="161" spans="2:15" x14ac:dyDescent="0.25">
      <c r="B161" s="11"/>
      <c r="E161" s="11"/>
      <c r="F161" s="11"/>
      <c r="G161" s="11"/>
      <c r="H161" s="11"/>
      <c r="I161" s="11"/>
      <c r="J161" s="11"/>
      <c r="K161" s="11"/>
      <c r="L161" s="11"/>
      <c r="M161" s="11"/>
      <c r="N161" s="11"/>
      <c r="O161" s="11"/>
    </row>
    <row r="162" spans="2:15" x14ac:dyDescent="0.25">
      <c r="B162" s="11"/>
      <c r="E162" s="11"/>
      <c r="F162" s="11"/>
      <c r="G162" s="11"/>
      <c r="H162" s="11"/>
      <c r="I162" s="11"/>
      <c r="J162" s="11"/>
      <c r="K162" s="11"/>
      <c r="L162" s="11"/>
      <c r="M162" s="11"/>
      <c r="N162" s="11"/>
      <c r="O162" s="11"/>
    </row>
    <row r="163" spans="2:15" x14ac:dyDescent="0.25">
      <c r="B163" s="11"/>
      <c r="E163" s="11"/>
      <c r="F163" s="11"/>
      <c r="G163" s="11"/>
      <c r="H163" s="11"/>
      <c r="I163" s="11"/>
      <c r="J163" s="11"/>
      <c r="K163" s="11"/>
      <c r="L163" s="11"/>
      <c r="M163" s="11"/>
      <c r="N163" s="11"/>
      <c r="O163" s="11"/>
    </row>
    <row r="164" spans="2:15" x14ac:dyDescent="0.25">
      <c r="B164" s="11"/>
      <c r="E164" s="11"/>
      <c r="F164" s="11"/>
      <c r="G164" s="11"/>
      <c r="H164" s="11"/>
      <c r="I164" s="11"/>
      <c r="J164" s="11"/>
      <c r="K164" s="11"/>
      <c r="L164" s="11"/>
      <c r="M164" s="11"/>
      <c r="N164" s="11"/>
      <c r="O164" s="11"/>
    </row>
    <row r="165" spans="2:15" x14ac:dyDescent="0.25">
      <c r="B165" s="11"/>
      <c r="E165" s="11"/>
      <c r="F165" s="11"/>
      <c r="G165" s="11"/>
      <c r="H165" s="11"/>
      <c r="I165" s="11"/>
      <c r="J165" s="11"/>
      <c r="K165" s="11"/>
      <c r="L165" s="11"/>
      <c r="M165" s="11"/>
      <c r="N165" s="11"/>
      <c r="O165" s="11"/>
    </row>
    <row r="166" spans="2:15" x14ac:dyDescent="0.25">
      <c r="B166" s="11"/>
      <c r="E166" s="11"/>
      <c r="F166" s="11"/>
      <c r="G166" s="11"/>
      <c r="H166" s="11"/>
      <c r="I166" s="11"/>
      <c r="J166" s="11"/>
      <c r="K166" s="11"/>
      <c r="L166" s="11"/>
      <c r="M166" s="11"/>
      <c r="N166" s="11"/>
      <c r="O166" s="11"/>
    </row>
    <row r="167" spans="2:15" x14ac:dyDescent="0.25">
      <c r="B167" s="11"/>
      <c r="E167" s="11"/>
      <c r="F167" s="11"/>
      <c r="G167" s="11"/>
      <c r="H167" s="11"/>
      <c r="I167" s="11"/>
      <c r="J167" s="11"/>
      <c r="K167" s="11"/>
      <c r="L167" s="11"/>
      <c r="M167" s="11"/>
    </row>
    <row r="174" spans="2:15" x14ac:dyDescent="0.25">
      <c r="B174" s="11"/>
      <c r="E174" s="11"/>
      <c r="F174" s="11"/>
      <c r="G174" s="11"/>
      <c r="H174" s="11"/>
      <c r="I174" s="11"/>
      <c r="J174" s="11"/>
      <c r="K174" s="11"/>
      <c r="L174" s="11"/>
      <c r="M174" s="11"/>
      <c r="N174" s="11"/>
      <c r="O174" s="11"/>
    </row>
    <row r="176" spans="2:15" x14ac:dyDescent="0.25">
      <c r="E176" s="13"/>
      <c r="F176" s="13"/>
      <c r="G176" s="13"/>
      <c r="H176" s="13"/>
      <c r="I176" s="13"/>
      <c r="J176" s="13"/>
      <c r="K176" s="13"/>
      <c r="M176" s="11"/>
    </row>
    <row r="177" spans="2:15" x14ac:dyDescent="0.25">
      <c r="B177" s="11"/>
      <c r="E177" s="11"/>
      <c r="F177" s="11"/>
      <c r="G177" s="11"/>
      <c r="H177" s="11"/>
      <c r="I177" s="11"/>
      <c r="J177" s="11"/>
      <c r="K177" s="11"/>
      <c r="L177" s="11"/>
      <c r="M177" s="11"/>
      <c r="N177" s="11"/>
      <c r="O177" s="11"/>
    </row>
    <row r="178" spans="2:15" x14ac:dyDescent="0.25">
      <c r="B178" s="11"/>
      <c r="E178" s="11"/>
      <c r="F178" s="11"/>
      <c r="G178" s="11"/>
      <c r="H178" s="11"/>
      <c r="I178" s="11"/>
      <c r="J178" s="11"/>
      <c r="K178" s="11"/>
      <c r="L178" s="11"/>
      <c r="M178" s="11"/>
      <c r="N178" s="11"/>
      <c r="O178" s="11"/>
    </row>
    <row r="179" spans="2:15" x14ac:dyDescent="0.25">
      <c r="B179" s="11"/>
      <c r="E179" s="11"/>
      <c r="F179" s="11"/>
      <c r="G179" s="11"/>
      <c r="H179" s="11"/>
      <c r="I179" s="11"/>
      <c r="J179" s="11"/>
      <c r="K179" s="11"/>
      <c r="L179" s="11"/>
      <c r="M179" s="11"/>
      <c r="N179" s="11"/>
      <c r="O179" s="11"/>
    </row>
    <row r="180" spans="2:15" x14ac:dyDescent="0.25">
      <c r="B180" s="11"/>
      <c r="E180" s="11"/>
      <c r="F180" s="11"/>
      <c r="G180" s="11"/>
      <c r="H180" s="11"/>
      <c r="I180" s="11"/>
      <c r="J180" s="11"/>
      <c r="K180" s="11"/>
      <c r="L180" s="11"/>
      <c r="M180" s="11"/>
    </row>
    <row r="181" spans="2:15" x14ac:dyDescent="0.25">
      <c r="B181" s="11"/>
      <c r="E181" s="11"/>
      <c r="F181" s="11"/>
      <c r="G181" s="11"/>
      <c r="H181" s="11"/>
      <c r="I181" s="11"/>
      <c r="J181" s="11"/>
      <c r="K181" s="11"/>
      <c r="L181" s="11"/>
      <c r="M181" s="11"/>
      <c r="N181" s="11"/>
      <c r="O181" s="11"/>
    </row>
    <row r="183" spans="2:15" x14ac:dyDescent="0.25">
      <c r="B183" s="11"/>
      <c r="E183" s="11"/>
      <c r="F183" s="11"/>
      <c r="G183" s="11"/>
      <c r="H183" s="11"/>
      <c r="I183" s="11"/>
      <c r="J183" s="11"/>
      <c r="K183" s="11"/>
      <c r="L183" s="11"/>
      <c r="M183" s="11"/>
    </row>
    <row r="188" spans="2:15" x14ac:dyDescent="0.25">
      <c r="N188" s="11"/>
      <c r="O188" s="11"/>
    </row>
  </sheetData>
  <autoFilter ref="A1:BP1" xr:uid="{B2AD91A5-70CB-4291-AAE7-6582D152D45A}">
    <sortState xmlns:xlrd2="http://schemas.microsoft.com/office/spreadsheetml/2017/richdata2" ref="A2:BP84">
      <sortCondition ref="A1"/>
    </sortState>
  </autoFilter>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E5971-2DCA-460F-8C7C-A6BE5FAD19AC}">
  <dimension ref="A1:R84"/>
  <sheetViews>
    <sheetView zoomScaleNormal="100" workbookViewId="0">
      <pane xSplit="1" topLeftCell="B1" activePane="topRight" state="frozen"/>
      <selection pane="topRight" activeCell="D13" sqref="D13"/>
    </sheetView>
  </sheetViews>
  <sheetFormatPr baseColWidth="10" defaultColWidth="23.88671875" defaultRowHeight="14.4" x14ac:dyDescent="0.3"/>
  <cols>
    <col min="1" max="1" width="6" style="2" customWidth="1"/>
    <col min="2" max="2" width="23.88671875" style="2"/>
    <col min="3" max="13" width="23.88671875" style="25"/>
    <col min="14" max="14" width="23.88671875" style="2"/>
    <col min="15" max="15" width="22.33203125" style="2" customWidth="1"/>
    <col min="16" max="16" width="23.88671875" style="2"/>
    <col min="17" max="17" width="23.88671875" style="26"/>
    <col min="18" max="18" width="22.77734375" style="26" customWidth="1"/>
    <col min="19" max="16384" width="23.88671875" style="2"/>
  </cols>
  <sheetData>
    <row r="1" spans="1:18" ht="70.2" customHeight="1" x14ac:dyDescent="0.3">
      <c r="A1" s="14" t="s">
        <v>12150</v>
      </c>
      <c r="B1" s="14" t="s">
        <v>12117</v>
      </c>
      <c r="C1" s="14" t="s">
        <v>1450</v>
      </c>
      <c r="D1" s="14" t="s">
        <v>1453</v>
      </c>
      <c r="E1" s="14" t="s">
        <v>1484</v>
      </c>
      <c r="F1" s="14" t="s">
        <v>28</v>
      </c>
      <c r="G1" s="14" t="s">
        <v>1454</v>
      </c>
      <c r="H1" s="14" t="s">
        <v>1491</v>
      </c>
      <c r="I1" s="14" t="s">
        <v>16</v>
      </c>
      <c r="J1" s="14" t="s">
        <v>12151</v>
      </c>
      <c r="K1" s="14" t="s">
        <v>1457</v>
      </c>
      <c r="L1" s="14" t="s">
        <v>1500</v>
      </c>
      <c r="M1" s="15" t="s">
        <v>12143</v>
      </c>
      <c r="N1" s="15" t="s">
        <v>12143</v>
      </c>
      <c r="O1" s="16" t="s">
        <v>12144</v>
      </c>
      <c r="P1" s="17" t="s">
        <v>12145</v>
      </c>
      <c r="Q1" s="17" t="s">
        <v>12146</v>
      </c>
      <c r="R1" s="17" t="s">
        <v>12147</v>
      </c>
    </row>
    <row r="2" spans="1:18" ht="15" x14ac:dyDescent="0.35">
      <c r="A2" s="18">
        <v>1</v>
      </c>
      <c r="B2" s="19" t="s">
        <v>46</v>
      </c>
      <c r="C2" s="19" t="s">
        <v>381</v>
      </c>
      <c r="D2" s="19" t="s">
        <v>382</v>
      </c>
      <c r="E2" s="19">
        <v>2023</v>
      </c>
      <c r="F2" s="19" t="s">
        <v>44</v>
      </c>
      <c r="G2" s="19" t="s">
        <v>383</v>
      </c>
      <c r="H2" s="19"/>
      <c r="I2" s="19" t="s">
        <v>386</v>
      </c>
      <c r="J2" s="19" t="s">
        <v>387</v>
      </c>
      <c r="K2" s="19" t="s">
        <v>42</v>
      </c>
      <c r="L2" s="20" t="s">
        <v>12120</v>
      </c>
      <c r="M2" s="21" t="s">
        <v>44</v>
      </c>
      <c r="N2" s="21">
        <v>2023</v>
      </c>
      <c r="O2" s="22" t="s">
        <v>12194</v>
      </c>
      <c r="P2" s="22" t="s">
        <v>12169</v>
      </c>
      <c r="Q2" s="22" t="s">
        <v>12169</v>
      </c>
      <c r="R2" s="23" t="s">
        <v>12152</v>
      </c>
    </row>
    <row r="3" spans="1:18" ht="15" x14ac:dyDescent="0.35">
      <c r="A3" s="18">
        <v>2</v>
      </c>
      <c r="B3" s="19" t="s">
        <v>46</v>
      </c>
      <c r="C3" s="19" t="s">
        <v>3980</v>
      </c>
      <c r="D3" s="19" t="s">
        <v>3981</v>
      </c>
      <c r="E3" s="19">
        <v>2023</v>
      </c>
      <c r="F3" s="19" t="s">
        <v>56</v>
      </c>
      <c r="G3" s="19" t="s">
        <v>3982</v>
      </c>
      <c r="H3" s="19" t="str">
        <f>HYPERLINK("http://dx.doi.org/10.3390/educsci13090885","http://dx.doi.org/10.3390/educsci13090885")</f>
        <v>http://dx.doi.org/10.3390/educsci13090885</v>
      </c>
      <c r="I3" s="19" t="s">
        <v>3983</v>
      </c>
      <c r="J3" s="19" t="s">
        <v>420</v>
      </c>
      <c r="K3" s="19" t="s">
        <v>42</v>
      </c>
      <c r="L3" s="20" t="s">
        <v>12120</v>
      </c>
      <c r="M3" s="19" t="s">
        <v>56</v>
      </c>
      <c r="N3" s="19">
        <v>2023</v>
      </c>
      <c r="O3" s="22" t="s">
        <v>12132</v>
      </c>
      <c r="P3" s="22" t="s">
        <v>12168</v>
      </c>
      <c r="Q3" s="22" t="s">
        <v>12181</v>
      </c>
      <c r="R3" s="23" t="s">
        <v>12152</v>
      </c>
    </row>
    <row r="4" spans="1:18" ht="15" x14ac:dyDescent="0.35">
      <c r="A4" s="18">
        <v>3</v>
      </c>
      <c r="B4" s="19" t="s">
        <v>12118</v>
      </c>
      <c r="C4" s="19" t="s">
        <v>4394</v>
      </c>
      <c r="D4" s="19" t="s">
        <v>4395</v>
      </c>
      <c r="E4" s="19">
        <v>2023</v>
      </c>
      <c r="F4" s="19" t="s">
        <v>56</v>
      </c>
      <c r="G4" s="19" t="s">
        <v>4396</v>
      </c>
      <c r="H4" s="19" t="str">
        <f>HYPERLINK("http://dx.doi.org/10.1016/j.sapharm.2023.05.016","http://dx.doi.org/10.1016/j.sapharm.2023.05.016")</f>
        <v>http://dx.doi.org/10.1016/j.sapharm.2023.05.016</v>
      </c>
      <c r="I4" s="19" t="s">
        <v>4399</v>
      </c>
      <c r="J4" s="19" t="s">
        <v>4397</v>
      </c>
      <c r="K4" s="19" t="s">
        <v>42</v>
      </c>
      <c r="L4" s="20" t="s">
        <v>12120</v>
      </c>
      <c r="M4" s="19" t="s">
        <v>56</v>
      </c>
      <c r="N4" s="19">
        <v>2023</v>
      </c>
      <c r="O4" s="22" t="s">
        <v>12136</v>
      </c>
      <c r="P4" s="22" t="s">
        <v>12168</v>
      </c>
      <c r="Q4" s="22" t="s">
        <v>12179</v>
      </c>
      <c r="R4" s="23" t="s">
        <v>12152</v>
      </c>
    </row>
    <row r="5" spans="1:18" ht="15" x14ac:dyDescent="0.35">
      <c r="A5" s="18">
        <v>4</v>
      </c>
      <c r="B5" s="19" t="s">
        <v>46</v>
      </c>
      <c r="C5" s="19" t="s">
        <v>265</v>
      </c>
      <c r="D5" s="19" t="s">
        <v>266</v>
      </c>
      <c r="E5" s="19">
        <v>2023</v>
      </c>
      <c r="F5" s="19" t="s">
        <v>56</v>
      </c>
      <c r="G5" s="19" t="s">
        <v>267</v>
      </c>
      <c r="H5" s="19" t="str">
        <f>HYPERLINK("http://dx.doi.org/10.3991/ijep.v13i8.45621","http://dx.doi.org/10.3991/ijep.v13i8.45621")</f>
        <v>http://dx.doi.org/10.3991/ijep.v13i8.45621</v>
      </c>
      <c r="I5" s="19" t="s">
        <v>271</v>
      </c>
      <c r="J5" s="19" t="s">
        <v>272</v>
      </c>
      <c r="K5" s="19" t="s">
        <v>42</v>
      </c>
      <c r="L5" s="20" t="s">
        <v>12120</v>
      </c>
      <c r="M5" s="21" t="s">
        <v>56</v>
      </c>
      <c r="N5" s="21">
        <v>2023</v>
      </c>
      <c r="O5" s="22" t="s">
        <v>12134</v>
      </c>
      <c r="P5" s="22" t="s">
        <v>12170</v>
      </c>
      <c r="Q5" s="22" t="s">
        <v>12174</v>
      </c>
      <c r="R5" s="23" t="s">
        <v>12189</v>
      </c>
    </row>
    <row r="6" spans="1:18" ht="15" x14ac:dyDescent="0.35">
      <c r="A6" s="18">
        <v>5</v>
      </c>
      <c r="B6" s="19" t="s">
        <v>46</v>
      </c>
      <c r="C6" s="19" t="s">
        <v>2577</v>
      </c>
      <c r="D6" s="19" t="s">
        <v>2578</v>
      </c>
      <c r="E6" s="19">
        <v>2023</v>
      </c>
      <c r="F6" s="19" t="s">
        <v>56</v>
      </c>
      <c r="G6" s="19" t="s">
        <v>2579</v>
      </c>
      <c r="H6" s="19" t="str">
        <f>HYPERLINK("http://dx.doi.org/10.1186/s41239-023-00427-0","http://dx.doi.org/10.1186/s41239-023-00427-0")</f>
        <v>http://dx.doi.org/10.1186/s41239-023-00427-0</v>
      </c>
      <c r="I6" s="19" t="s">
        <v>2582</v>
      </c>
      <c r="J6" s="19" t="s">
        <v>2580</v>
      </c>
      <c r="K6" s="19" t="s">
        <v>42</v>
      </c>
      <c r="L6" s="20" t="s">
        <v>12120</v>
      </c>
      <c r="M6" s="19" t="s">
        <v>56</v>
      </c>
      <c r="N6" s="19">
        <v>2023</v>
      </c>
      <c r="O6" s="22" t="s">
        <v>12132</v>
      </c>
      <c r="P6" s="22" t="s">
        <v>12133</v>
      </c>
      <c r="Q6" s="22" t="s">
        <v>12183</v>
      </c>
      <c r="R6" s="22" t="s">
        <v>12187</v>
      </c>
    </row>
    <row r="7" spans="1:18" ht="15" x14ac:dyDescent="0.35">
      <c r="A7" s="18">
        <v>6</v>
      </c>
      <c r="B7" s="19" t="s">
        <v>46</v>
      </c>
      <c r="C7" s="19" t="s">
        <v>4966</v>
      </c>
      <c r="D7" s="19" t="s">
        <v>69</v>
      </c>
      <c r="E7" s="19">
        <v>2023</v>
      </c>
      <c r="F7" s="19" t="s">
        <v>56</v>
      </c>
      <c r="G7" s="19" t="s">
        <v>4967</v>
      </c>
      <c r="H7" s="19" t="str">
        <f>HYPERLINK("http://dx.doi.org/10.1111/bjet.13336","http://dx.doi.org/10.1111/bjet.13336")</f>
        <v>http://dx.doi.org/10.1111/bjet.13336</v>
      </c>
      <c r="I7" s="19" t="s">
        <v>4969</v>
      </c>
      <c r="J7" s="19" t="s">
        <v>75</v>
      </c>
      <c r="K7" s="19" t="s">
        <v>42</v>
      </c>
      <c r="L7" s="20" t="s">
        <v>12120</v>
      </c>
      <c r="M7" s="19" t="s">
        <v>56</v>
      </c>
      <c r="N7" s="19">
        <v>2023</v>
      </c>
      <c r="O7" s="22" t="s">
        <v>12134</v>
      </c>
      <c r="P7" s="22" t="s">
        <v>12175</v>
      </c>
      <c r="Q7" s="22" t="s">
        <v>12169</v>
      </c>
      <c r="R7" s="17" t="s">
        <v>12152</v>
      </c>
    </row>
    <row r="8" spans="1:18" ht="15" x14ac:dyDescent="0.35">
      <c r="A8" s="18">
        <v>7</v>
      </c>
      <c r="B8" s="19" t="s">
        <v>46</v>
      </c>
      <c r="C8" s="19" t="s">
        <v>1047</v>
      </c>
      <c r="D8" s="19" t="s">
        <v>1048</v>
      </c>
      <c r="E8" s="19">
        <v>2023</v>
      </c>
      <c r="F8" s="19" t="s">
        <v>56</v>
      </c>
      <c r="G8" s="19" t="s">
        <v>252</v>
      </c>
      <c r="H8" s="19" t="s">
        <v>1049</v>
      </c>
      <c r="I8" s="19" t="s">
        <v>1052</v>
      </c>
      <c r="J8" s="19" t="s">
        <v>1053</v>
      </c>
      <c r="K8" s="19" t="s">
        <v>42</v>
      </c>
      <c r="L8" s="20" t="s">
        <v>12120</v>
      </c>
      <c r="M8" s="21" t="s">
        <v>56</v>
      </c>
      <c r="N8" s="21">
        <v>2023</v>
      </c>
      <c r="O8" s="22" t="s">
        <v>12153</v>
      </c>
      <c r="P8" s="22" t="s">
        <v>12170</v>
      </c>
      <c r="Q8" s="22" t="s">
        <v>12178</v>
      </c>
      <c r="R8" s="23" t="s">
        <v>12188</v>
      </c>
    </row>
    <row r="9" spans="1:18" ht="15" x14ac:dyDescent="0.35">
      <c r="A9" s="18">
        <v>8</v>
      </c>
      <c r="B9" s="19" t="s">
        <v>12118</v>
      </c>
      <c r="C9" s="19" t="s">
        <v>3081</v>
      </c>
      <c r="D9" s="19" t="s">
        <v>3082</v>
      </c>
      <c r="E9" s="19">
        <v>2023</v>
      </c>
      <c r="F9" s="19" t="s">
        <v>56</v>
      </c>
      <c r="G9" s="19" t="s">
        <v>3083</v>
      </c>
      <c r="H9" s="19" t="str">
        <f>HYPERLINK("http://dx.doi.org/10.7759/cureus.47468","http://dx.doi.org/10.7759/cureus.47468")</f>
        <v>http://dx.doi.org/10.7759/cureus.47468</v>
      </c>
      <c r="I9" s="19" t="s">
        <v>3085</v>
      </c>
      <c r="J9" s="19" t="s">
        <v>3084</v>
      </c>
      <c r="K9" s="19" t="s">
        <v>42</v>
      </c>
      <c r="L9" s="20" t="s">
        <v>12120</v>
      </c>
      <c r="M9" s="19" t="s">
        <v>56</v>
      </c>
      <c r="N9" s="19">
        <v>2023</v>
      </c>
      <c r="O9" s="22" t="s">
        <v>12126</v>
      </c>
      <c r="P9" s="22" t="s">
        <v>12133</v>
      </c>
      <c r="Q9" s="22" t="s">
        <v>12179</v>
      </c>
      <c r="R9" s="22" t="s">
        <v>12186</v>
      </c>
    </row>
    <row r="10" spans="1:18" ht="15" x14ac:dyDescent="0.35">
      <c r="A10" s="18">
        <v>9</v>
      </c>
      <c r="B10" s="19" t="s">
        <v>46</v>
      </c>
      <c r="C10" s="19" t="s">
        <v>638</v>
      </c>
      <c r="D10" s="19" t="s">
        <v>639</v>
      </c>
      <c r="E10" s="19">
        <v>2023</v>
      </c>
      <c r="F10" s="19" t="s">
        <v>44</v>
      </c>
      <c r="G10" s="19" t="s">
        <v>383</v>
      </c>
      <c r="H10" s="19"/>
      <c r="I10" s="19" t="s">
        <v>642</v>
      </c>
      <c r="J10" s="19" t="s">
        <v>643</v>
      </c>
      <c r="K10" s="19" t="s">
        <v>42</v>
      </c>
      <c r="L10" s="20" t="s">
        <v>12120</v>
      </c>
      <c r="M10" s="21" t="s">
        <v>44</v>
      </c>
      <c r="N10" s="21">
        <v>2023</v>
      </c>
      <c r="O10" s="22" t="s">
        <v>12148</v>
      </c>
      <c r="P10" s="22" t="s">
        <v>12169</v>
      </c>
      <c r="Q10" s="22" t="s">
        <v>12169</v>
      </c>
      <c r="R10" s="23" t="s">
        <v>12152</v>
      </c>
    </row>
    <row r="11" spans="1:18" ht="15" x14ac:dyDescent="0.35">
      <c r="A11" s="18">
        <v>10</v>
      </c>
      <c r="B11" s="19" t="s">
        <v>46</v>
      </c>
      <c r="C11" s="19" t="s">
        <v>466</v>
      </c>
      <c r="D11" s="19" t="s">
        <v>467</v>
      </c>
      <c r="E11" s="19">
        <v>2023</v>
      </c>
      <c r="F11" s="19" t="s">
        <v>56</v>
      </c>
      <c r="G11" s="19" t="s">
        <v>305</v>
      </c>
      <c r="H11" s="19" t="s">
        <v>468</v>
      </c>
      <c r="I11" s="19" t="s">
        <v>471</v>
      </c>
      <c r="J11" s="19" t="s">
        <v>472</v>
      </c>
      <c r="K11" s="19" t="s">
        <v>42</v>
      </c>
      <c r="L11" s="20" t="s">
        <v>12120</v>
      </c>
      <c r="M11" s="21" t="s">
        <v>56</v>
      </c>
      <c r="N11" s="21">
        <v>2023</v>
      </c>
      <c r="O11" s="22" t="s">
        <v>12154</v>
      </c>
      <c r="P11" s="22" t="s">
        <v>12133</v>
      </c>
      <c r="Q11" s="22" t="s">
        <v>12184</v>
      </c>
      <c r="R11" s="17" t="s">
        <v>12152</v>
      </c>
    </row>
    <row r="12" spans="1:18" ht="15" x14ac:dyDescent="0.35">
      <c r="A12" s="18">
        <v>11</v>
      </c>
      <c r="B12" s="19" t="s">
        <v>46</v>
      </c>
      <c r="C12" s="19" t="s">
        <v>580</v>
      </c>
      <c r="D12" s="19" t="s">
        <v>581</v>
      </c>
      <c r="E12" s="19">
        <v>2023</v>
      </c>
      <c r="F12" s="19" t="s">
        <v>56</v>
      </c>
      <c r="G12" s="19" t="s">
        <v>486</v>
      </c>
      <c r="H12" s="19" t="s">
        <v>584</v>
      </c>
      <c r="I12" s="19" t="s">
        <v>587</v>
      </c>
      <c r="J12" s="19" t="s">
        <v>12152</v>
      </c>
      <c r="K12" s="19" t="s">
        <v>42</v>
      </c>
      <c r="L12" s="20" t="s">
        <v>12120</v>
      </c>
      <c r="M12" s="21" t="s">
        <v>56</v>
      </c>
      <c r="N12" s="21">
        <v>2023</v>
      </c>
      <c r="O12" s="22" t="s">
        <v>12201</v>
      </c>
      <c r="P12" s="22" t="s">
        <v>12133</v>
      </c>
      <c r="Q12" s="22" t="s">
        <v>12174</v>
      </c>
      <c r="R12" s="17" t="s">
        <v>12130</v>
      </c>
    </row>
    <row r="13" spans="1:18" ht="15" x14ac:dyDescent="0.35">
      <c r="A13" s="18">
        <v>12</v>
      </c>
      <c r="B13" s="19" t="s">
        <v>46</v>
      </c>
      <c r="C13" s="19" t="s">
        <v>194</v>
      </c>
      <c r="D13" s="19" t="s">
        <v>195</v>
      </c>
      <c r="E13" s="19">
        <v>2023</v>
      </c>
      <c r="F13" s="19" t="s">
        <v>44</v>
      </c>
      <c r="G13" s="19" t="s">
        <v>196</v>
      </c>
      <c r="H13" s="19" t="s">
        <v>197</v>
      </c>
      <c r="I13" s="19" t="s">
        <v>200</v>
      </c>
      <c r="J13" s="19" t="s">
        <v>201</v>
      </c>
      <c r="K13" s="19" t="s">
        <v>42</v>
      </c>
      <c r="L13" s="20" t="s">
        <v>12119</v>
      </c>
      <c r="M13" s="21" t="s">
        <v>44</v>
      </c>
      <c r="N13" s="21">
        <v>2023</v>
      </c>
      <c r="O13" s="22" t="s">
        <v>12132</v>
      </c>
      <c r="P13" s="22" t="s">
        <v>12133</v>
      </c>
      <c r="Q13" s="22" t="s">
        <v>12174</v>
      </c>
      <c r="R13" s="23" t="s">
        <v>12152</v>
      </c>
    </row>
    <row r="14" spans="1:18" ht="15" x14ac:dyDescent="0.35">
      <c r="A14" s="18">
        <v>13</v>
      </c>
      <c r="B14" s="19" t="s">
        <v>46</v>
      </c>
      <c r="C14" s="19" t="s">
        <v>3492</v>
      </c>
      <c r="D14" s="19" t="s">
        <v>714</v>
      </c>
      <c r="E14" s="19">
        <v>2023</v>
      </c>
      <c r="F14" s="19" t="s">
        <v>56</v>
      </c>
      <c r="G14" s="19" t="s">
        <v>3493</v>
      </c>
      <c r="H14" s="19" t="str">
        <f>HYPERLINK("http://dx.doi.org/10.3366/ijhac.2023.0310","http://dx.doi.org/10.3366/ijhac.2023.0310")</f>
        <v>http://dx.doi.org/10.3366/ijhac.2023.0310</v>
      </c>
      <c r="I14" s="19" t="s">
        <v>3495</v>
      </c>
      <c r="J14" s="19" t="s">
        <v>3494</v>
      </c>
      <c r="K14" s="19" t="s">
        <v>42</v>
      </c>
      <c r="L14" s="20" t="s">
        <v>12120</v>
      </c>
      <c r="M14" s="19" t="s">
        <v>56</v>
      </c>
      <c r="N14" s="19">
        <v>2023</v>
      </c>
      <c r="O14" s="22" t="s">
        <v>12155</v>
      </c>
      <c r="P14" s="22" t="s">
        <v>12168</v>
      </c>
      <c r="Q14" s="22" t="s">
        <v>12179</v>
      </c>
      <c r="R14" s="23" t="s">
        <v>12152</v>
      </c>
    </row>
    <row r="15" spans="1:18" ht="15" x14ac:dyDescent="0.35">
      <c r="A15" s="18">
        <v>14</v>
      </c>
      <c r="B15" s="19" t="s">
        <v>46</v>
      </c>
      <c r="C15" s="19" t="s">
        <v>5699</v>
      </c>
      <c r="D15" s="19" t="s">
        <v>58</v>
      </c>
      <c r="E15" s="19">
        <v>2023</v>
      </c>
      <c r="F15" s="19" t="s">
        <v>5552</v>
      </c>
      <c r="G15" s="19" t="s">
        <v>59</v>
      </c>
      <c r="H15" s="19" t="str">
        <f>HYPERLINK("http://dx.doi.org/10.1145/3587102.3588814","http://dx.doi.org/10.1145/3587102.3588814")</f>
        <v>http://dx.doi.org/10.1145/3587102.3588814</v>
      </c>
      <c r="I15" s="19" t="s">
        <v>5707</v>
      </c>
      <c r="J15" s="19" t="s">
        <v>5706</v>
      </c>
      <c r="K15" s="19" t="s">
        <v>42</v>
      </c>
      <c r="L15" s="20" t="s">
        <v>12120</v>
      </c>
      <c r="M15" s="19" t="s">
        <v>5552</v>
      </c>
      <c r="N15" s="19">
        <v>2023</v>
      </c>
      <c r="O15" s="22" t="s">
        <v>12135</v>
      </c>
      <c r="P15" s="22" t="s">
        <v>12171</v>
      </c>
      <c r="Q15" s="22" t="s">
        <v>12174</v>
      </c>
      <c r="R15" s="23" t="s">
        <v>12152</v>
      </c>
    </row>
    <row r="16" spans="1:18" ht="15" x14ac:dyDescent="0.35">
      <c r="A16" s="18">
        <v>15</v>
      </c>
      <c r="B16" s="19" t="s">
        <v>46</v>
      </c>
      <c r="C16" s="19" t="s">
        <v>5720</v>
      </c>
      <c r="D16" s="19" t="s">
        <v>933</v>
      </c>
      <c r="E16" s="19">
        <v>2023</v>
      </c>
      <c r="F16" s="19" t="s">
        <v>56</v>
      </c>
      <c r="G16" s="19" t="s">
        <v>5721</v>
      </c>
      <c r="H16" s="19" t="str">
        <f>HYPERLINK("http://dx.doi.org/10.14742/ajet.8598","http://dx.doi.org/10.14742/ajet.8598")</f>
        <v>http://dx.doi.org/10.14742/ajet.8598</v>
      </c>
      <c r="I16" s="19" t="s">
        <v>5724</v>
      </c>
      <c r="J16" s="19" t="s">
        <v>5722</v>
      </c>
      <c r="K16" s="19" t="s">
        <v>42</v>
      </c>
      <c r="L16" s="20" t="s">
        <v>12120</v>
      </c>
      <c r="M16" s="19" t="s">
        <v>56</v>
      </c>
      <c r="N16" s="19">
        <v>2023</v>
      </c>
      <c r="O16" s="22" t="s">
        <v>12156</v>
      </c>
      <c r="P16" s="22" t="s">
        <v>12169</v>
      </c>
      <c r="Q16" s="22" t="s">
        <v>12169</v>
      </c>
      <c r="R16" s="23" t="s">
        <v>12152</v>
      </c>
    </row>
    <row r="17" spans="1:18" ht="15" x14ac:dyDescent="0.35">
      <c r="A17" s="18">
        <v>16</v>
      </c>
      <c r="B17" s="19" t="s">
        <v>46</v>
      </c>
      <c r="C17" s="19" t="s">
        <v>5764</v>
      </c>
      <c r="D17" s="19" t="s">
        <v>5765</v>
      </c>
      <c r="E17" s="19">
        <v>2023</v>
      </c>
      <c r="F17" s="19" t="s">
        <v>56</v>
      </c>
      <c r="G17" s="19" t="s">
        <v>5740</v>
      </c>
      <c r="H17" s="19" t="str">
        <f>HYPERLINK("http://dx.doi.org/10.53761/1.20.3.02","http://dx.doi.org/10.53761/1.20.3.02")</f>
        <v>http://dx.doi.org/10.53761/1.20.3.02</v>
      </c>
      <c r="I17" s="19" t="s">
        <v>5768</v>
      </c>
      <c r="J17" s="19" t="s">
        <v>5766</v>
      </c>
      <c r="K17" s="19" t="s">
        <v>42</v>
      </c>
      <c r="L17" s="20" t="s">
        <v>12120</v>
      </c>
      <c r="M17" s="19" t="s">
        <v>56</v>
      </c>
      <c r="N17" s="19">
        <v>2023</v>
      </c>
      <c r="O17" s="22" t="s">
        <v>12125</v>
      </c>
      <c r="P17" s="22" t="s">
        <v>12168</v>
      </c>
      <c r="Q17" s="22" t="s">
        <v>12179</v>
      </c>
      <c r="R17" s="23" t="s">
        <v>12152</v>
      </c>
    </row>
    <row r="18" spans="1:18" ht="15" x14ac:dyDescent="0.35">
      <c r="A18" s="18">
        <v>17</v>
      </c>
      <c r="B18" s="19" t="s">
        <v>46</v>
      </c>
      <c r="C18" s="19" t="s">
        <v>5757</v>
      </c>
      <c r="D18" s="19" t="s">
        <v>1285</v>
      </c>
      <c r="E18" s="19">
        <v>2023</v>
      </c>
      <c r="F18" s="19" t="s">
        <v>56</v>
      </c>
      <c r="G18" s="19" t="s">
        <v>5740</v>
      </c>
      <c r="H18" s="19" t="s">
        <v>12123</v>
      </c>
      <c r="I18" s="19" t="s">
        <v>5759</v>
      </c>
      <c r="J18" s="19" t="s">
        <v>5758</v>
      </c>
      <c r="K18" s="19" t="s">
        <v>42</v>
      </c>
      <c r="L18" s="20" t="s">
        <v>12120</v>
      </c>
      <c r="M18" s="19" t="s">
        <v>56</v>
      </c>
      <c r="N18" s="19">
        <v>2023</v>
      </c>
      <c r="O18" s="22" t="s">
        <v>12125</v>
      </c>
      <c r="P18" s="22" t="s">
        <v>12172</v>
      </c>
      <c r="Q18" s="22" t="s">
        <v>12169</v>
      </c>
      <c r="R18" s="23" t="s">
        <v>12152</v>
      </c>
    </row>
    <row r="19" spans="1:18" ht="15" x14ac:dyDescent="0.35">
      <c r="A19" s="18">
        <v>18</v>
      </c>
      <c r="B19" s="19" t="s">
        <v>46</v>
      </c>
      <c r="C19" s="19" t="s">
        <v>5775</v>
      </c>
      <c r="D19" s="19" t="s">
        <v>233</v>
      </c>
      <c r="E19" s="19">
        <v>2023</v>
      </c>
      <c r="F19" s="19" t="s">
        <v>56</v>
      </c>
      <c r="G19" s="19" t="s">
        <v>5776</v>
      </c>
      <c r="H19" s="19" t="str">
        <f>HYPERLINK("http://dx.doi.org/10.17323/jle.2023.17379","http://dx.doi.org/10.17323/jle.2023.17379")</f>
        <v>http://dx.doi.org/10.17323/jle.2023.17379</v>
      </c>
      <c r="I19" s="19" t="s">
        <v>5779</v>
      </c>
      <c r="J19" s="19" t="s">
        <v>5777</v>
      </c>
      <c r="K19" s="19" t="s">
        <v>42</v>
      </c>
      <c r="L19" s="20" t="s">
        <v>12120</v>
      </c>
      <c r="M19" s="19" t="s">
        <v>56</v>
      </c>
      <c r="N19" s="19">
        <v>2023</v>
      </c>
      <c r="O19" s="22" t="s">
        <v>12157</v>
      </c>
      <c r="P19" s="22" t="s">
        <v>12133</v>
      </c>
      <c r="Q19" s="22" t="s">
        <v>12179</v>
      </c>
      <c r="R19" s="23" t="s">
        <v>12187</v>
      </c>
    </row>
    <row r="20" spans="1:18" ht="15" x14ac:dyDescent="0.35">
      <c r="A20" s="18">
        <v>19</v>
      </c>
      <c r="B20" s="19" t="s">
        <v>12118</v>
      </c>
      <c r="C20" s="19" t="s">
        <v>4530</v>
      </c>
      <c r="D20" s="19" t="s">
        <v>4531</v>
      </c>
      <c r="E20" s="19">
        <v>2023</v>
      </c>
      <c r="F20" s="19" t="s">
        <v>56</v>
      </c>
      <c r="G20" s="19" t="s">
        <v>3083</v>
      </c>
      <c r="H20" s="19" t="str">
        <f>HYPERLINK("http://dx.doi.org/10.7759/cureus.41399","http://dx.doi.org/10.7759/cureus.41399")</f>
        <v>http://dx.doi.org/10.7759/cureus.41399</v>
      </c>
      <c r="I20" s="19" t="s">
        <v>4533</v>
      </c>
      <c r="J20" s="19" t="s">
        <v>4532</v>
      </c>
      <c r="K20" s="19" t="s">
        <v>42</v>
      </c>
      <c r="L20" s="20" t="s">
        <v>12120</v>
      </c>
      <c r="M20" s="19" t="s">
        <v>56</v>
      </c>
      <c r="N20" s="19">
        <v>2023</v>
      </c>
      <c r="O20" s="22" t="s">
        <v>12200</v>
      </c>
      <c r="P20" s="22" t="s">
        <v>12133</v>
      </c>
      <c r="Q20" s="22" t="s">
        <v>12178</v>
      </c>
      <c r="R20" s="23" t="s">
        <v>12130</v>
      </c>
    </row>
    <row r="21" spans="1:18" ht="15" x14ac:dyDescent="0.35">
      <c r="A21" s="18">
        <v>20</v>
      </c>
      <c r="B21" s="19" t="s">
        <v>46</v>
      </c>
      <c r="C21" s="19" t="s">
        <v>3512</v>
      </c>
      <c r="D21" s="19" t="s">
        <v>3513</v>
      </c>
      <c r="E21" s="19">
        <v>2023</v>
      </c>
      <c r="F21" s="19" t="s">
        <v>56</v>
      </c>
      <c r="G21" s="19" t="s">
        <v>3514</v>
      </c>
      <c r="H21" s="19" t="str">
        <f>HYPERLINK("http://dx.doi.org/10.3916/C77-2023-04","http://dx.doi.org/10.3916/C77-2023-04")</f>
        <v>http://dx.doi.org/10.3916/C77-2023-04</v>
      </c>
      <c r="I21" s="19" t="s">
        <v>3516</v>
      </c>
      <c r="J21" s="19" t="s">
        <v>3515</v>
      </c>
      <c r="K21" s="19" t="s">
        <v>55</v>
      </c>
      <c r="L21" s="20" t="s">
        <v>12120</v>
      </c>
      <c r="M21" s="19" t="s">
        <v>56</v>
      </c>
      <c r="N21" s="19">
        <v>2023</v>
      </c>
      <c r="O21" s="22" t="s">
        <v>12131</v>
      </c>
      <c r="P21" s="22" t="s">
        <v>12170</v>
      </c>
      <c r="Q21" s="22" t="s">
        <v>12182</v>
      </c>
      <c r="R21" s="23" t="s">
        <v>12127</v>
      </c>
    </row>
    <row r="22" spans="1:18" ht="15" x14ac:dyDescent="0.35">
      <c r="A22" s="18">
        <v>21</v>
      </c>
      <c r="B22" s="19" t="s">
        <v>46</v>
      </c>
      <c r="C22" s="19" t="s">
        <v>5812</v>
      </c>
      <c r="D22" s="19" t="s">
        <v>984</v>
      </c>
      <c r="E22" s="19">
        <v>2023</v>
      </c>
      <c r="F22" s="19" t="s">
        <v>56</v>
      </c>
      <c r="G22" s="19" t="s">
        <v>5813</v>
      </c>
      <c r="H22" s="19" t="str">
        <f>HYPERLINK("http://dx.doi.org/10.5114/biolsport.2023.125623","http://dx.doi.org/10.5114/biolsport.2023.125623")</f>
        <v>http://dx.doi.org/10.5114/biolsport.2023.125623</v>
      </c>
      <c r="I22" s="19" t="s">
        <v>5815</v>
      </c>
      <c r="J22" s="19" t="s">
        <v>5814</v>
      </c>
      <c r="K22" s="19" t="s">
        <v>42</v>
      </c>
      <c r="L22" s="20" t="s">
        <v>12120</v>
      </c>
      <c r="M22" s="19" t="s">
        <v>56</v>
      </c>
      <c r="N22" s="19">
        <v>2023</v>
      </c>
      <c r="O22" s="22" t="s">
        <v>12202</v>
      </c>
      <c r="P22" s="22" t="s">
        <v>12173</v>
      </c>
      <c r="Q22" s="22" t="s">
        <v>12169</v>
      </c>
      <c r="R22" s="17" t="s">
        <v>12152</v>
      </c>
    </row>
    <row r="23" spans="1:18" ht="15" x14ac:dyDescent="0.35">
      <c r="A23" s="18">
        <v>22</v>
      </c>
      <c r="B23" s="19" t="s">
        <v>46</v>
      </c>
      <c r="C23" s="19" t="s">
        <v>775</v>
      </c>
      <c r="D23" s="19" t="s">
        <v>776</v>
      </c>
      <c r="E23" s="19">
        <v>2023</v>
      </c>
      <c r="F23" s="19" t="s">
        <v>44</v>
      </c>
      <c r="G23" s="19" t="s">
        <v>777</v>
      </c>
      <c r="H23" s="19" t="s">
        <v>778</v>
      </c>
      <c r="I23" s="19" t="s">
        <v>781</v>
      </c>
      <c r="J23" s="19" t="s">
        <v>782</v>
      </c>
      <c r="K23" s="19" t="s">
        <v>42</v>
      </c>
      <c r="L23" s="20" t="s">
        <v>12120</v>
      </c>
      <c r="M23" s="21" t="s">
        <v>44</v>
      </c>
      <c r="N23" s="21">
        <v>2023</v>
      </c>
      <c r="O23" s="22" t="s">
        <v>12132</v>
      </c>
      <c r="P23" s="22" t="s">
        <v>12133</v>
      </c>
      <c r="Q23" s="22" t="s">
        <v>12178</v>
      </c>
      <c r="R23" s="22" t="s">
        <v>12189</v>
      </c>
    </row>
    <row r="24" spans="1:18" ht="15" x14ac:dyDescent="0.35">
      <c r="A24" s="18">
        <v>23</v>
      </c>
      <c r="B24" s="19" t="s">
        <v>12118</v>
      </c>
      <c r="C24" s="19" t="s">
        <v>5290</v>
      </c>
      <c r="D24" s="19" t="s">
        <v>12121</v>
      </c>
      <c r="E24" s="19">
        <v>2023</v>
      </c>
      <c r="F24" s="19" t="s">
        <v>56</v>
      </c>
      <c r="G24" s="19" t="s">
        <v>5291</v>
      </c>
      <c r="H24" s="19" t="str">
        <f>HYPERLINK("http://dx.doi.org/10.1016/j.ijinfomgt.2023.102642","http://dx.doi.org/10.1016/j.ijinfomgt.2023.102642")</f>
        <v>http://dx.doi.org/10.1016/j.ijinfomgt.2023.102642</v>
      </c>
      <c r="I24" s="19" t="s">
        <v>5294</v>
      </c>
      <c r="J24" s="19" t="s">
        <v>5292</v>
      </c>
      <c r="K24" s="19" t="s">
        <v>42</v>
      </c>
      <c r="L24" s="20" t="s">
        <v>12120</v>
      </c>
      <c r="M24" s="19" t="s">
        <v>56</v>
      </c>
      <c r="N24" s="19">
        <v>2023</v>
      </c>
      <c r="O24" s="22" t="s">
        <v>12192</v>
      </c>
      <c r="P24" s="22" t="s">
        <v>12169</v>
      </c>
      <c r="Q24" s="22" t="s">
        <v>12169</v>
      </c>
      <c r="R24" s="23" t="s">
        <v>12152</v>
      </c>
    </row>
    <row r="25" spans="1:18" ht="15" x14ac:dyDescent="0.35">
      <c r="A25" s="18">
        <v>24</v>
      </c>
      <c r="B25" s="19" t="s">
        <v>46</v>
      </c>
      <c r="C25" s="19" t="s">
        <v>5831</v>
      </c>
      <c r="D25" s="19" t="s">
        <v>1319</v>
      </c>
      <c r="E25" s="19">
        <v>2023</v>
      </c>
      <c r="F25" s="19" t="s">
        <v>56</v>
      </c>
      <c r="G25" s="19" t="s">
        <v>5740</v>
      </c>
      <c r="H25" s="19" t="s">
        <v>12122</v>
      </c>
      <c r="I25" s="19" t="s">
        <v>5833</v>
      </c>
      <c r="J25" s="19" t="s">
        <v>5832</v>
      </c>
      <c r="K25" s="19" t="s">
        <v>42</v>
      </c>
      <c r="L25" s="20" t="s">
        <v>12120</v>
      </c>
      <c r="M25" s="19" t="s">
        <v>56</v>
      </c>
      <c r="N25" s="19">
        <v>2023</v>
      </c>
      <c r="O25" s="22" t="s">
        <v>12125</v>
      </c>
      <c r="P25" s="22" t="s">
        <v>12168</v>
      </c>
      <c r="Q25" s="22" t="s">
        <v>12178</v>
      </c>
      <c r="R25" s="23" t="s">
        <v>12152</v>
      </c>
    </row>
    <row r="26" spans="1:18" ht="15" x14ac:dyDescent="0.35">
      <c r="A26" s="18">
        <v>25</v>
      </c>
      <c r="B26" s="19" t="s">
        <v>46</v>
      </c>
      <c r="C26" s="19" t="s">
        <v>2947</v>
      </c>
      <c r="D26" s="19" t="s">
        <v>515</v>
      </c>
      <c r="E26" s="19">
        <v>2023</v>
      </c>
      <c r="F26" s="19" t="s">
        <v>56</v>
      </c>
      <c r="G26" s="19" t="s">
        <v>2579</v>
      </c>
      <c r="H26" s="19" t="str">
        <f>HYPERLINK("http://dx.doi.org/10.1186/s41239-023-00425-2","http://dx.doi.org/10.1186/s41239-023-00425-2")</f>
        <v>http://dx.doi.org/10.1186/s41239-023-00425-2</v>
      </c>
      <c r="I26" s="19" t="s">
        <v>2949</v>
      </c>
      <c r="J26" s="19" t="s">
        <v>2948</v>
      </c>
      <c r="K26" s="19" t="s">
        <v>42</v>
      </c>
      <c r="L26" s="20" t="s">
        <v>12120</v>
      </c>
      <c r="M26" s="19" t="s">
        <v>56</v>
      </c>
      <c r="N26" s="19">
        <v>2023</v>
      </c>
      <c r="O26" s="22" t="s">
        <v>12132</v>
      </c>
      <c r="P26" s="22" t="s">
        <v>12170</v>
      </c>
      <c r="Q26" s="22" t="s">
        <v>12174</v>
      </c>
      <c r="R26" s="23" t="s">
        <v>12188</v>
      </c>
    </row>
    <row r="27" spans="1:18" ht="15" x14ac:dyDescent="0.35">
      <c r="A27" s="18">
        <v>26</v>
      </c>
      <c r="B27" s="19" t="s">
        <v>46</v>
      </c>
      <c r="C27" s="19" t="s">
        <v>1436</v>
      </c>
      <c r="D27" s="19" t="s">
        <v>1437</v>
      </c>
      <c r="E27" s="19">
        <v>2023</v>
      </c>
      <c r="F27" s="19" t="s">
        <v>44</v>
      </c>
      <c r="G27" s="19" t="s">
        <v>127</v>
      </c>
      <c r="H27" s="19" t="s">
        <v>1438</v>
      </c>
      <c r="I27" s="19" t="s">
        <v>1441</v>
      </c>
      <c r="J27" s="19" t="s">
        <v>1442</v>
      </c>
      <c r="K27" s="19" t="s">
        <v>42</v>
      </c>
      <c r="L27" s="20" t="s">
        <v>12120</v>
      </c>
      <c r="M27" s="21" t="s">
        <v>44</v>
      </c>
      <c r="N27" s="21">
        <v>2023</v>
      </c>
      <c r="O27" s="22" t="s">
        <v>12132</v>
      </c>
      <c r="P27" s="22" t="s">
        <v>12168</v>
      </c>
      <c r="Q27" s="22" t="s">
        <v>12174</v>
      </c>
      <c r="R27" s="23" t="s">
        <v>12152</v>
      </c>
    </row>
    <row r="28" spans="1:18" ht="15" x14ac:dyDescent="0.35">
      <c r="A28" s="18">
        <v>27</v>
      </c>
      <c r="B28" s="19" t="s">
        <v>46</v>
      </c>
      <c r="C28" s="19" t="s">
        <v>2981</v>
      </c>
      <c r="D28" s="19" t="s">
        <v>1177</v>
      </c>
      <c r="E28" s="19">
        <v>2023</v>
      </c>
      <c r="F28" s="19" t="s">
        <v>56</v>
      </c>
      <c r="G28" s="19" t="s">
        <v>2982</v>
      </c>
      <c r="H28" s="19" t="str">
        <f>HYPERLINK("http://dx.doi.org/10.1007/s00146-023-01791-1","http://dx.doi.org/10.1007/s00146-023-01791-1")</f>
        <v>http://dx.doi.org/10.1007/s00146-023-01791-1</v>
      </c>
      <c r="I28" s="19" t="s">
        <v>2984</v>
      </c>
      <c r="J28" s="19" t="s">
        <v>2983</v>
      </c>
      <c r="K28" s="19" t="s">
        <v>42</v>
      </c>
      <c r="L28" s="20" t="s">
        <v>12120</v>
      </c>
      <c r="M28" s="19" t="s">
        <v>56</v>
      </c>
      <c r="N28" s="19">
        <v>2023</v>
      </c>
      <c r="O28" s="22" t="s">
        <v>12134</v>
      </c>
      <c r="P28" s="22" t="s">
        <v>12168</v>
      </c>
      <c r="Q28" s="22" t="s">
        <v>12177</v>
      </c>
      <c r="R28" s="23" t="s">
        <v>12152</v>
      </c>
    </row>
    <row r="29" spans="1:18" ht="15" x14ac:dyDescent="0.35">
      <c r="A29" s="18">
        <v>28</v>
      </c>
      <c r="B29" s="19" t="s">
        <v>46</v>
      </c>
      <c r="C29" s="19" t="s">
        <v>4343</v>
      </c>
      <c r="D29" s="19" t="s">
        <v>173</v>
      </c>
      <c r="E29" s="19">
        <v>2023</v>
      </c>
      <c r="F29" s="19" t="s">
        <v>56</v>
      </c>
      <c r="G29" s="19" t="s">
        <v>4344</v>
      </c>
      <c r="H29" s="19" t="str">
        <f>HYPERLINK("http://dx.doi.org/10.3390/mti7080081","http://dx.doi.org/10.3390/mti7080081")</f>
        <v>http://dx.doi.org/10.3390/mti7080081</v>
      </c>
      <c r="I29" s="19" t="s">
        <v>4346</v>
      </c>
      <c r="J29" s="19" t="s">
        <v>4345</v>
      </c>
      <c r="K29" s="19" t="s">
        <v>42</v>
      </c>
      <c r="L29" s="20" t="s">
        <v>12120</v>
      </c>
      <c r="M29" s="19" t="s">
        <v>56</v>
      </c>
      <c r="N29" s="19">
        <v>2023</v>
      </c>
      <c r="O29" s="22" t="s">
        <v>12158</v>
      </c>
      <c r="P29" s="22" t="s">
        <v>12168</v>
      </c>
      <c r="Q29" s="22" t="s">
        <v>12178</v>
      </c>
      <c r="R29" s="23" t="s">
        <v>12152</v>
      </c>
    </row>
    <row r="30" spans="1:18" ht="15" x14ac:dyDescent="0.35">
      <c r="A30" s="18">
        <v>29</v>
      </c>
      <c r="B30" s="19" t="s">
        <v>12118</v>
      </c>
      <c r="C30" s="19" t="s">
        <v>6945</v>
      </c>
      <c r="D30" s="19" t="s">
        <v>6946</v>
      </c>
      <c r="E30" s="19">
        <v>2022</v>
      </c>
      <c r="F30" s="19" t="s">
        <v>56</v>
      </c>
      <c r="G30" s="19" t="s">
        <v>6947</v>
      </c>
      <c r="H30" s="19" t="str">
        <f>HYPERLINK("http://dx.doi.org/10.26342/2022-69-13","http://dx.doi.org/10.26342/2022-69-13")</f>
        <v>http://dx.doi.org/10.26342/2022-69-13</v>
      </c>
      <c r="I30" s="19" t="s">
        <v>6949</v>
      </c>
      <c r="J30" s="19" t="s">
        <v>6948</v>
      </c>
      <c r="K30" s="19" t="s">
        <v>42</v>
      </c>
      <c r="L30" s="20" t="s">
        <v>12120</v>
      </c>
      <c r="M30" s="19" t="s">
        <v>56</v>
      </c>
      <c r="N30" s="19">
        <v>2022</v>
      </c>
      <c r="O30" s="22" t="s">
        <v>12131</v>
      </c>
      <c r="P30" s="22" t="s">
        <v>12133</v>
      </c>
      <c r="Q30" s="22" t="s">
        <v>12174</v>
      </c>
      <c r="R30" s="23" t="s">
        <v>12152</v>
      </c>
    </row>
    <row r="31" spans="1:18" ht="15" x14ac:dyDescent="0.35">
      <c r="A31" s="18">
        <v>30</v>
      </c>
      <c r="B31" s="19" t="s">
        <v>12118</v>
      </c>
      <c r="C31" s="19" t="s">
        <v>3996</v>
      </c>
      <c r="D31" s="19" t="s">
        <v>3997</v>
      </c>
      <c r="E31" s="19">
        <v>2023</v>
      </c>
      <c r="F31" s="19" t="s">
        <v>56</v>
      </c>
      <c r="G31" s="19" t="s">
        <v>3998</v>
      </c>
      <c r="H31" s="19" t="str">
        <f>HYPERLINK("http://dx.doi.org/10.3855/jidc.18738","http://dx.doi.org/10.3855/jidc.18738")</f>
        <v>http://dx.doi.org/10.3855/jidc.18738</v>
      </c>
      <c r="I31" s="19" t="s">
        <v>4000</v>
      </c>
      <c r="J31" s="19" t="s">
        <v>3999</v>
      </c>
      <c r="K31" s="19" t="s">
        <v>42</v>
      </c>
      <c r="L31" s="20" t="s">
        <v>12120</v>
      </c>
      <c r="M31" s="19" t="s">
        <v>56</v>
      </c>
      <c r="N31" s="19">
        <v>2023</v>
      </c>
      <c r="O31" s="22" t="s">
        <v>12126</v>
      </c>
      <c r="P31" s="22" t="s">
        <v>12175</v>
      </c>
      <c r="Q31" s="22" t="s">
        <v>12179</v>
      </c>
      <c r="R31" s="23" t="s">
        <v>12152</v>
      </c>
    </row>
    <row r="32" spans="1:18" ht="15" x14ac:dyDescent="0.35">
      <c r="A32" s="18">
        <v>31</v>
      </c>
      <c r="B32" s="19" t="s">
        <v>46</v>
      </c>
      <c r="C32" s="19" t="s">
        <v>2458</v>
      </c>
      <c r="D32" s="19" t="s">
        <v>293</v>
      </c>
      <c r="E32" s="19">
        <v>2023</v>
      </c>
      <c r="F32" s="19" t="s">
        <v>56</v>
      </c>
      <c r="G32" s="19" t="s">
        <v>2459</v>
      </c>
      <c r="H32" s="19" t="str">
        <f>HYPERLINK("http://dx.doi.org/10.1021/acs.jchemed.3c00505","http://dx.doi.org/10.1021/acs.jchemed.3c00505")</f>
        <v>http://dx.doi.org/10.1021/acs.jchemed.3c00505</v>
      </c>
      <c r="I32" s="19" t="s">
        <v>2462</v>
      </c>
      <c r="J32" s="19" t="s">
        <v>2460</v>
      </c>
      <c r="K32" s="19" t="s">
        <v>42</v>
      </c>
      <c r="L32" s="20" t="s">
        <v>12120</v>
      </c>
      <c r="M32" s="19" t="s">
        <v>56</v>
      </c>
      <c r="N32" s="19">
        <v>2023</v>
      </c>
      <c r="O32" s="22" t="s">
        <v>12132</v>
      </c>
      <c r="P32" s="22" t="s">
        <v>12170</v>
      </c>
      <c r="Q32" s="22" t="s">
        <v>12174</v>
      </c>
      <c r="R32" s="23" t="s">
        <v>12188</v>
      </c>
    </row>
    <row r="33" spans="1:18" ht="15" x14ac:dyDescent="0.35">
      <c r="A33" s="18">
        <v>32</v>
      </c>
      <c r="B33" s="19" t="s">
        <v>46</v>
      </c>
      <c r="C33" s="19" t="s">
        <v>2143</v>
      </c>
      <c r="D33" s="19" t="s">
        <v>531</v>
      </c>
      <c r="E33" s="19">
        <v>2023</v>
      </c>
      <c r="F33" s="19" t="s">
        <v>56</v>
      </c>
      <c r="G33" s="19" t="s">
        <v>1562</v>
      </c>
      <c r="H33" s="19" t="str">
        <f>HYPERLINK("http://dx.doi.org/10.3389/feduc.2023.1272229","http://dx.doi.org/10.3389/feduc.2023.1272229")</f>
        <v>http://dx.doi.org/10.3389/feduc.2023.1272229</v>
      </c>
      <c r="I33" s="19" t="s">
        <v>2145</v>
      </c>
      <c r="J33" s="19" t="s">
        <v>2144</v>
      </c>
      <c r="K33" s="19" t="s">
        <v>42</v>
      </c>
      <c r="L33" s="20" t="s">
        <v>12120</v>
      </c>
      <c r="M33" s="19" t="s">
        <v>56</v>
      </c>
      <c r="N33" s="19">
        <v>2023</v>
      </c>
      <c r="O33" s="22" t="s">
        <v>12134</v>
      </c>
      <c r="P33" s="22" t="s">
        <v>12133</v>
      </c>
      <c r="Q33" s="22" t="s">
        <v>12174</v>
      </c>
      <c r="R33" s="23" t="s">
        <v>12152</v>
      </c>
    </row>
    <row r="34" spans="1:18" ht="15" x14ac:dyDescent="0.35">
      <c r="A34" s="18">
        <v>33</v>
      </c>
      <c r="B34" s="19" t="s">
        <v>46</v>
      </c>
      <c r="C34" s="19" t="s">
        <v>3422</v>
      </c>
      <c r="D34" s="19" t="s">
        <v>485</v>
      </c>
      <c r="E34" s="19">
        <v>2023</v>
      </c>
      <c r="F34" s="19" t="s">
        <v>56</v>
      </c>
      <c r="G34" s="19" t="s">
        <v>1999</v>
      </c>
      <c r="H34" s="19" t="str">
        <f>HYPERLINK("http://dx.doi.org/10.1371/journal.pone.0292216","http://dx.doi.org/10.1371/journal.pone.0292216")</f>
        <v>http://dx.doi.org/10.1371/journal.pone.0292216</v>
      </c>
      <c r="I34" s="19" t="s">
        <v>3423</v>
      </c>
      <c r="J34" s="19" t="s">
        <v>12152</v>
      </c>
      <c r="K34" s="19" t="s">
        <v>42</v>
      </c>
      <c r="L34" s="20" t="s">
        <v>12120</v>
      </c>
      <c r="M34" s="19" t="s">
        <v>56</v>
      </c>
      <c r="N34" s="19">
        <v>2023</v>
      </c>
      <c r="O34" s="22" t="s">
        <v>12132</v>
      </c>
      <c r="P34" s="22" t="s">
        <v>12170</v>
      </c>
      <c r="Q34" s="22" t="s">
        <v>12181</v>
      </c>
      <c r="R34" s="23" t="s">
        <v>12189</v>
      </c>
    </row>
    <row r="35" spans="1:18" ht="15" x14ac:dyDescent="0.35">
      <c r="A35" s="18">
        <v>34</v>
      </c>
      <c r="B35" s="19" t="s">
        <v>12118</v>
      </c>
      <c r="C35" s="19" t="s">
        <v>5975</v>
      </c>
      <c r="D35" s="19" t="s">
        <v>995</v>
      </c>
      <c r="E35" s="19">
        <v>2023</v>
      </c>
      <c r="F35" s="19" t="s">
        <v>56</v>
      </c>
      <c r="G35" s="19" t="s">
        <v>5976</v>
      </c>
      <c r="H35" s="19" t="str">
        <f>HYPERLINK("http://dx.doi.org/10.2196/50514","http://dx.doi.org/10.2196/50514")</f>
        <v>http://dx.doi.org/10.2196/50514</v>
      </c>
      <c r="I35" s="19" t="s">
        <v>5978</v>
      </c>
      <c r="J35" s="19" t="s">
        <v>5977</v>
      </c>
      <c r="K35" s="19" t="s">
        <v>42</v>
      </c>
      <c r="L35" s="20" t="s">
        <v>12120</v>
      </c>
      <c r="M35" s="19" t="s">
        <v>56</v>
      </c>
      <c r="N35" s="19">
        <v>2023</v>
      </c>
      <c r="O35" s="22" t="s">
        <v>12139</v>
      </c>
      <c r="P35" s="22" t="s">
        <v>12133</v>
      </c>
      <c r="Q35" s="22" t="s">
        <v>12184</v>
      </c>
      <c r="R35" s="22" t="s">
        <v>12189</v>
      </c>
    </row>
    <row r="36" spans="1:18" ht="15" x14ac:dyDescent="0.35">
      <c r="A36" s="18">
        <v>35</v>
      </c>
      <c r="B36" s="19" t="s">
        <v>12118</v>
      </c>
      <c r="C36" s="19" t="s">
        <v>3863</v>
      </c>
      <c r="D36" s="19" t="s">
        <v>966</v>
      </c>
      <c r="E36" s="19">
        <v>2023</v>
      </c>
      <c r="F36" s="19" t="s">
        <v>56</v>
      </c>
      <c r="G36" s="19" t="s">
        <v>3864</v>
      </c>
      <c r="H36" s="19" t="str">
        <f>HYPERLINK("http://dx.doi.org/10.3389/fonc.2023.1265024","http://dx.doi.org/10.3389/fonc.2023.1265024")</f>
        <v>http://dx.doi.org/10.3389/fonc.2023.1265024</v>
      </c>
      <c r="I36" s="19" t="s">
        <v>3867</v>
      </c>
      <c r="J36" s="19" t="s">
        <v>3865</v>
      </c>
      <c r="K36" s="19" t="s">
        <v>42</v>
      </c>
      <c r="L36" s="20" t="s">
        <v>12120</v>
      </c>
      <c r="M36" s="19" t="s">
        <v>56</v>
      </c>
      <c r="N36" s="19">
        <v>2023</v>
      </c>
      <c r="O36" s="22" t="s">
        <v>12134</v>
      </c>
      <c r="P36" s="22" t="s">
        <v>12133</v>
      </c>
      <c r="Q36" s="22" t="s">
        <v>12185</v>
      </c>
      <c r="R36" s="23" t="s">
        <v>12152</v>
      </c>
    </row>
    <row r="37" spans="1:18" ht="15" x14ac:dyDescent="0.35">
      <c r="A37" s="18">
        <v>36</v>
      </c>
      <c r="B37" s="19" t="s">
        <v>46</v>
      </c>
      <c r="C37" s="19" t="s">
        <v>3296</v>
      </c>
      <c r="D37" s="19" t="s">
        <v>553</v>
      </c>
      <c r="E37" s="19">
        <v>2023</v>
      </c>
      <c r="F37" s="19" t="s">
        <v>56</v>
      </c>
      <c r="G37" s="19" t="s">
        <v>3297</v>
      </c>
      <c r="H37" s="19" t="str">
        <f>HYPERLINK("http://dx.doi.org/10.1038/s41598-023-38964-3","http://dx.doi.org/10.1038/s41598-023-38964-3")</f>
        <v>http://dx.doi.org/10.1038/s41598-023-38964-3</v>
      </c>
      <c r="I37" s="19" t="s">
        <v>3299</v>
      </c>
      <c r="J37" s="19" t="s">
        <v>12152</v>
      </c>
      <c r="K37" s="19" t="s">
        <v>42</v>
      </c>
      <c r="L37" s="20" t="s">
        <v>12120</v>
      </c>
      <c r="M37" s="19" t="s">
        <v>56</v>
      </c>
      <c r="N37" s="19">
        <v>2023</v>
      </c>
      <c r="O37" s="22" t="s">
        <v>12132</v>
      </c>
      <c r="P37" s="22" t="s">
        <v>12170</v>
      </c>
      <c r="Q37" s="22" t="s">
        <v>12181</v>
      </c>
      <c r="R37" s="23" t="s">
        <v>12189</v>
      </c>
    </row>
    <row r="38" spans="1:18" ht="15" x14ac:dyDescent="0.35">
      <c r="A38" s="18">
        <v>37</v>
      </c>
      <c r="B38" s="19" t="s">
        <v>12118</v>
      </c>
      <c r="C38" s="19" t="s">
        <v>2218</v>
      </c>
      <c r="D38" s="19" t="s">
        <v>2219</v>
      </c>
      <c r="E38" s="19">
        <v>2023</v>
      </c>
      <c r="F38" s="19" t="s">
        <v>56</v>
      </c>
      <c r="G38" s="19" t="s">
        <v>2220</v>
      </c>
      <c r="H38" s="19" t="str">
        <f>HYPERLINK("http://dx.doi.org/10.3390/bdcc7040182","http://dx.doi.org/10.3390/bdcc7040182")</f>
        <v>http://dx.doi.org/10.3390/bdcc7040182</v>
      </c>
      <c r="I38" s="19" t="s">
        <v>2222</v>
      </c>
      <c r="J38" s="19" t="s">
        <v>2221</v>
      </c>
      <c r="K38" s="19" t="s">
        <v>42</v>
      </c>
      <c r="L38" s="20" t="s">
        <v>12120</v>
      </c>
      <c r="M38" s="19" t="s">
        <v>56</v>
      </c>
      <c r="N38" s="19">
        <v>2023</v>
      </c>
      <c r="O38" s="22" t="s">
        <v>12128</v>
      </c>
      <c r="P38" s="22" t="s">
        <v>12170</v>
      </c>
      <c r="Q38" s="22" t="s">
        <v>12182</v>
      </c>
      <c r="R38" s="23" t="s">
        <v>12188</v>
      </c>
    </row>
    <row r="39" spans="1:18" ht="15" x14ac:dyDescent="0.35">
      <c r="A39" s="18">
        <v>38</v>
      </c>
      <c r="B39" s="19" t="s">
        <v>46</v>
      </c>
      <c r="C39" s="19" t="s">
        <v>151</v>
      </c>
      <c r="D39" s="19" t="s">
        <v>152</v>
      </c>
      <c r="E39" s="19">
        <v>2023</v>
      </c>
      <c r="F39" s="19" t="s">
        <v>56</v>
      </c>
      <c r="G39" s="19" t="s">
        <v>153</v>
      </c>
      <c r="H39" s="19" t="s">
        <v>154</v>
      </c>
      <c r="I39" s="19" t="s">
        <v>157</v>
      </c>
      <c r="J39" s="19" t="s">
        <v>158</v>
      </c>
      <c r="K39" s="19" t="s">
        <v>42</v>
      </c>
      <c r="L39" s="20" t="s">
        <v>12120</v>
      </c>
      <c r="M39" s="21" t="s">
        <v>56</v>
      </c>
      <c r="N39" s="21">
        <v>2023</v>
      </c>
      <c r="O39" s="22" t="s">
        <v>12193</v>
      </c>
      <c r="P39" s="22" t="s">
        <v>12175</v>
      </c>
      <c r="Q39" s="22" t="s">
        <v>12179</v>
      </c>
      <c r="R39" s="23" t="s">
        <v>12152</v>
      </c>
    </row>
    <row r="40" spans="1:18" ht="15" x14ac:dyDescent="0.35">
      <c r="A40" s="18">
        <v>39</v>
      </c>
      <c r="B40" s="19" t="s">
        <v>46</v>
      </c>
      <c r="C40" s="19" t="s">
        <v>1326</v>
      </c>
      <c r="D40" s="19" t="s">
        <v>1327</v>
      </c>
      <c r="E40" s="19">
        <v>2023</v>
      </c>
      <c r="F40" s="19" t="s">
        <v>44</v>
      </c>
      <c r="G40" s="19" t="s">
        <v>1328</v>
      </c>
      <c r="H40" s="19" t="s">
        <v>1329</v>
      </c>
      <c r="I40" s="19" t="s">
        <v>1332</v>
      </c>
      <c r="J40" s="19" t="s">
        <v>1333</v>
      </c>
      <c r="K40" s="19" t="s">
        <v>42</v>
      </c>
      <c r="L40" s="20" t="s">
        <v>12120</v>
      </c>
      <c r="M40" s="21" t="s">
        <v>44</v>
      </c>
      <c r="N40" s="21">
        <v>2016</v>
      </c>
      <c r="O40" s="22" t="s">
        <v>12138</v>
      </c>
      <c r="P40" s="22" t="s">
        <v>12170</v>
      </c>
      <c r="Q40" s="22" t="s">
        <v>12174</v>
      </c>
      <c r="R40" s="23" t="s">
        <v>12130</v>
      </c>
    </row>
    <row r="41" spans="1:18" ht="14.4" customHeight="1" x14ac:dyDescent="0.35">
      <c r="A41" s="18">
        <v>40</v>
      </c>
      <c r="B41" s="19" t="s">
        <v>46</v>
      </c>
      <c r="C41" s="19" t="s">
        <v>496</v>
      </c>
      <c r="D41" s="19" t="s">
        <v>497</v>
      </c>
      <c r="E41" s="19">
        <v>2023</v>
      </c>
      <c r="F41" s="19" t="s">
        <v>44</v>
      </c>
      <c r="G41" s="19" t="s">
        <v>498</v>
      </c>
      <c r="H41" s="19"/>
      <c r="I41" s="19" t="s">
        <v>502</v>
      </c>
      <c r="J41" s="19" t="s">
        <v>503</v>
      </c>
      <c r="K41" s="19" t="s">
        <v>42</v>
      </c>
      <c r="L41" s="20" t="s">
        <v>12120</v>
      </c>
      <c r="M41" s="21" t="s">
        <v>44</v>
      </c>
      <c r="N41" s="21">
        <v>2023</v>
      </c>
      <c r="O41" s="22" t="s">
        <v>12159</v>
      </c>
      <c r="P41" s="22" t="s">
        <v>12133</v>
      </c>
      <c r="Q41" s="22" t="s">
        <v>12179</v>
      </c>
      <c r="R41" s="23" t="s">
        <v>12130</v>
      </c>
    </row>
    <row r="42" spans="1:18" ht="15" x14ac:dyDescent="0.35">
      <c r="A42" s="18">
        <v>41</v>
      </c>
      <c r="B42" s="19" t="s">
        <v>12118</v>
      </c>
      <c r="C42" s="19" t="s">
        <v>6052</v>
      </c>
      <c r="D42" s="19" t="s">
        <v>6053</v>
      </c>
      <c r="E42" s="19">
        <v>2023</v>
      </c>
      <c r="F42" s="19" t="s">
        <v>5552</v>
      </c>
      <c r="G42" s="19" t="s">
        <v>6054</v>
      </c>
      <c r="H42" s="19" t="str">
        <f>HYPERLINK("http://dx.doi.org/10.1145/3544548.3580919","http://dx.doi.org/10.1145/3544548.3580919")</f>
        <v>http://dx.doi.org/10.1145/3544548.3580919</v>
      </c>
      <c r="I42" s="19" t="s">
        <v>6061</v>
      </c>
      <c r="J42" s="19" t="s">
        <v>6059</v>
      </c>
      <c r="K42" s="19" t="s">
        <v>42</v>
      </c>
      <c r="L42" s="20" t="s">
        <v>12120</v>
      </c>
      <c r="M42" s="19" t="s">
        <v>5552</v>
      </c>
      <c r="N42" s="19">
        <v>2023</v>
      </c>
      <c r="O42" s="22" t="s">
        <v>12139</v>
      </c>
      <c r="P42" s="22" t="s">
        <v>12133</v>
      </c>
      <c r="Q42" s="22" t="s">
        <v>12174</v>
      </c>
      <c r="R42" s="23" t="s">
        <v>12130</v>
      </c>
    </row>
    <row r="43" spans="1:18" ht="15" x14ac:dyDescent="0.35">
      <c r="A43" s="18">
        <v>42</v>
      </c>
      <c r="B43" s="19" t="s">
        <v>12118</v>
      </c>
      <c r="C43" s="19" t="s">
        <v>4909</v>
      </c>
      <c r="D43" s="19" t="s">
        <v>4910</v>
      </c>
      <c r="E43" s="19">
        <v>2023</v>
      </c>
      <c r="F43" s="19" t="s">
        <v>56</v>
      </c>
      <c r="G43" s="19" t="s">
        <v>4911</v>
      </c>
      <c r="H43" s="19" t="str">
        <f>HYPERLINK("http://dx.doi.org/10.1123/jtpe.2023-0058","http://dx.doi.org/10.1123/jtpe.2023-0058")</f>
        <v>http://dx.doi.org/10.1123/jtpe.2023-0058</v>
      </c>
      <c r="I43" s="19" t="s">
        <v>4914</v>
      </c>
      <c r="J43" s="19" t="s">
        <v>4912</v>
      </c>
      <c r="K43" s="19" t="s">
        <v>42</v>
      </c>
      <c r="L43" s="20" t="s">
        <v>12120</v>
      </c>
      <c r="M43" s="19" t="s">
        <v>56</v>
      </c>
      <c r="N43" s="19">
        <v>2023</v>
      </c>
      <c r="O43" s="22" t="s">
        <v>12155</v>
      </c>
      <c r="P43" s="22" t="s">
        <v>12169</v>
      </c>
      <c r="Q43" s="22" t="s">
        <v>12169</v>
      </c>
      <c r="R43" s="23" t="s">
        <v>12152</v>
      </c>
    </row>
    <row r="44" spans="1:18" ht="15" x14ac:dyDescent="0.35">
      <c r="A44" s="18">
        <v>43</v>
      </c>
      <c r="B44" s="19" t="s">
        <v>46</v>
      </c>
      <c r="C44" s="19" t="s">
        <v>2384</v>
      </c>
      <c r="D44" s="19" t="s">
        <v>1347</v>
      </c>
      <c r="E44" s="19">
        <v>2023</v>
      </c>
      <c r="F44" s="19" t="s">
        <v>56</v>
      </c>
      <c r="G44" s="19" t="s">
        <v>2385</v>
      </c>
      <c r="H44" s="19" t="str">
        <f>HYPERLINK("http://dx.doi.org/10.1080/03323315.2023.2284901","http://dx.doi.org/10.1080/03323315.2023.2284901")</f>
        <v>http://dx.doi.org/10.1080/03323315.2023.2284901</v>
      </c>
      <c r="I44" s="19" t="s">
        <v>2387</v>
      </c>
      <c r="J44" s="19" t="s">
        <v>2386</v>
      </c>
      <c r="K44" s="19" t="s">
        <v>42</v>
      </c>
      <c r="L44" s="20" t="s">
        <v>12119</v>
      </c>
      <c r="M44" s="19" t="s">
        <v>56</v>
      </c>
      <c r="N44" s="19">
        <v>2023</v>
      </c>
      <c r="O44" s="22" t="s">
        <v>12160</v>
      </c>
      <c r="P44" s="22" t="s">
        <v>12168</v>
      </c>
      <c r="Q44" s="22" t="s">
        <v>12178</v>
      </c>
      <c r="R44" s="23" t="s">
        <v>12152</v>
      </c>
    </row>
    <row r="45" spans="1:18" ht="15" x14ac:dyDescent="0.35">
      <c r="A45" s="18">
        <v>44</v>
      </c>
      <c r="B45" s="19" t="s">
        <v>12118</v>
      </c>
      <c r="C45" s="19" t="s">
        <v>3670</v>
      </c>
      <c r="D45" s="19" t="s">
        <v>3671</v>
      </c>
      <c r="E45" s="19">
        <v>2023</v>
      </c>
      <c r="F45" s="19" t="s">
        <v>56</v>
      </c>
      <c r="G45" s="19" t="s">
        <v>3672</v>
      </c>
      <c r="H45" s="19" t="str">
        <f>HYPERLINK("http://dx.doi.org/10.1016/j.dche.2023.100126","http://dx.doi.org/10.1016/j.dche.2023.100126")</f>
        <v>http://dx.doi.org/10.1016/j.dche.2023.100126</v>
      </c>
      <c r="I45" s="19" t="s">
        <v>3675</v>
      </c>
      <c r="J45" s="19" t="s">
        <v>3673</v>
      </c>
      <c r="K45" s="19" t="s">
        <v>42</v>
      </c>
      <c r="L45" s="20" t="s">
        <v>12120</v>
      </c>
      <c r="M45" s="19" t="s">
        <v>56</v>
      </c>
      <c r="N45" s="19">
        <v>2023</v>
      </c>
      <c r="O45" s="22" t="s">
        <v>12161</v>
      </c>
      <c r="P45" s="22" t="s">
        <v>12170</v>
      </c>
      <c r="Q45" s="22" t="s">
        <v>12178</v>
      </c>
      <c r="R45" s="23" t="s">
        <v>12152</v>
      </c>
    </row>
    <row r="46" spans="1:18" ht="15" x14ac:dyDescent="0.35">
      <c r="A46" s="18">
        <v>45</v>
      </c>
      <c r="B46" s="19" t="s">
        <v>46</v>
      </c>
      <c r="C46" s="19" t="s">
        <v>747</v>
      </c>
      <c r="D46" s="19" t="s">
        <v>748</v>
      </c>
      <c r="E46" s="19">
        <v>2023</v>
      </c>
      <c r="F46" s="19" t="s">
        <v>56</v>
      </c>
      <c r="G46" s="19" t="s">
        <v>749</v>
      </c>
      <c r="H46" s="19" t="s">
        <v>750</v>
      </c>
      <c r="I46" s="19" t="s">
        <v>753</v>
      </c>
      <c r="J46" s="19" t="s">
        <v>754</v>
      </c>
      <c r="K46" s="19" t="s">
        <v>42</v>
      </c>
      <c r="L46" s="20" t="s">
        <v>12120</v>
      </c>
      <c r="M46" s="21" t="s">
        <v>56</v>
      </c>
      <c r="N46" s="21">
        <v>2023</v>
      </c>
      <c r="O46" s="22" t="s">
        <v>12132</v>
      </c>
      <c r="P46" s="22" t="s">
        <v>12168</v>
      </c>
      <c r="Q46" s="22" t="s">
        <v>12178</v>
      </c>
      <c r="R46" s="23" t="s">
        <v>12152</v>
      </c>
    </row>
    <row r="47" spans="1:18" ht="15" x14ac:dyDescent="0.35">
      <c r="A47" s="18">
        <v>46</v>
      </c>
      <c r="B47" s="19" t="s">
        <v>46</v>
      </c>
      <c r="C47" s="19" t="s">
        <v>354</v>
      </c>
      <c r="D47" s="19" t="s">
        <v>355</v>
      </c>
      <c r="E47" s="19">
        <v>2023</v>
      </c>
      <c r="F47" s="19" t="s">
        <v>44</v>
      </c>
      <c r="G47" s="19" t="s">
        <v>356</v>
      </c>
      <c r="H47" s="19" t="s">
        <v>357</v>
      </c>
      <c r="I47" s="19" t="s">
        <v>360</v>
      </c>
      <c r="J47" s="19" t="s">
        <v>361</v>
      </c>
      <c r="K47" s="19" t="s">
        <v>42</v>
      </c>
      <c r="L47" s="20" t="s">
        <v>12119</v>
      </c>
      <c r="M47" s="21" t="s">
        <v>44</v>
      </c>
      <c r="N47" s="21">
        <v>2023</v>
      </c>
      <c r="O47" s="22" t="s">
        <v>12139</v>
      </c>
      <c r="P47" s="22" t="s">
        <v>12170</v>
      </c>
      <c r="Q47" s="22" t="s">
        <v>12178</v>
      </c>
      <c r="R47" s="23" t="s">
        <v>12188</v>
      </c>
    </row>
    <row r="48" spans="1:18" ht="15" x14ac:dyDescent="0.35">
      <c r="A48" s="18">
        <v>47</v>
      </c>
      <c r="B48" s="19" t="s">
        <v>46</v>
      </c>
      <c r="C48" s="19" t="s">
        <v>130</v>
      </c>
      <c r="D48" s="19" t="s">
        <v>131</v>
      </c>
      <c r="E48" s="19">
        <v>2023</v>
      </c>
      <c r="F48" s="19" t="s">
        <v>44</v>
      </c>
      <c r="G48" s="19" t="s">
        <v>132</v>
      </c>
      <c r="H48" s="19" t="s">
        <v>133</v>
      </c>
      <c r="I48" s="19" t="s">
        <v>136</v>
      </c>
      <c r="J48" s="19" t="s">
        <v>137</v>
      </c>
      <c r="K48" s="19" t="s">
        <v>42</v>
      </c>
      <c r="L48" s="20" t="s">
        <v>12119</v>
      </c>
      <c r="M48" s="21" t="s">
        <v>44</v>
      </c>
      <c r="N48" s="21">
        <v>2023</v>
      </c>
      <c r="O48" s="22" t="s">
        <v>12129</v>
      </c>
      <c r="P48" s="22" t="s">
        <v>12170</v>
      </c>
      <c r="Q48" s="22" t="s">
        <v>12182</v>
      </c>
      <c r="R48" s="23" t="s">
        <v>12189</v>
      </c>
    </row>
    <row r="49" spans="1:18" ht="15" x14ac:dyDescent="0.35">
      <c r="A49" s="18">
        <v>48</v>
      </c>
      <c r="B49" s="19" t="s">
        <v>46</v>
      </c>
      <c r="C49" s="19" t="s">
        <v>1256</v>
      </c>
      <c r="D49" s="19" t="s">
        <v>1257</v>
      </c>
      <c r="E49" s="19">
        <v>2023</v>
      </c>
      <c r="F49" s="19" t="s">
        <v>44</v>
      </c>
      <c r="G49" s="19" t="s">
        <v>1258</v>
      </c>
      <c r="H49" s="19" t="s">
        <v>1259</v>
      </c>
      <c r="I49" s="19" t="s">
        <v>1262</v>
      </c>
      <c r="J49" s="19" t="s">
        <v>1263</v>
      </c>
      <c r="K49" s="19" t="s">
        <v>42</v>
      </c>
      <c r="L49" s="20" t="s">
        <v>12120</v>
      </c>
      <c r="M49" s="21" t="s">
        <v>44</v>
      </c>
      <c r="N49" s="21">
        <v>2023</v>
      </c>
      <c r="O49" s="22" t="s">
        <v>12162</v>
      </c>
      <c r="P49" s="22" t="s">
        <v>12170</v>
      </c>
      <c r="Q49" s="22" t="s">
        <v>12182</v>
      </c>
      <c r="R49" s="23" t="s">
        <v>12152</v>
      </c>
    </row>
    <row r="50" spans="1:18" ht="15" x14ac:dyDescent="0.35">
      <c r="A50" s="18">
        <v>49</v>
      </c>
      <c r="B50" s="19" t="s">
        <v>46</v>
      </c>
      <c r="C50" s="19" t="s">
        <v>6112</v>
      </c>
      <c r="D50" s="19" t="s">
        <v>6113</v>
      </c>
      <c r="E50" s="19">
        <v>2023</v>
      </c>
      <c r="F50" s="19" t="s">
        <v>5552</v>
      </c>
      <c r="G50" s="19" t="s">
        <v>6114</v>
      </c>
      <c r="H50" s="19" t="str">
        <f>HYPERLINK("http://dx.doi.org/10.1145/3568813.3600138","http://dx.doi.org/10.1145/3568813.3600138")</f>
        <v>http://dx.doi.org/10.1145/3568813.3600138</v>
      </c>
      <c r="I50" s="19" t="s">
        <v>6119</v>
      </c>
      <c r="J50" s="19" t="s">
        <v>6118</v>
      </c>
      <c r="K50" s="19" t="s">
        <v>42</v>
      </c>
      <c r="L50" s="20" t="s">
        <v>12120</v>
      </c>
      <c r="M50" s="19" t="s">
        <v>5552</v>
      </c>
      <c r="N50" s="19">
        <v>2023</v>
      </c>
      <c r="O50" s="22" t="s">
        <v>12198</v>
      </c>
      <c r="P50" s="22" t="s">
        <v>12168</v>
      </c>
      <c r="Q50" s="22" t="s">
        <v>12178</v>
      </c>
      <c r="R50" s="23" t="s">
        <v>12188</v>
      </c>
    </row>
    <row r="51" spans="1:18" ht="15" x14ac:dyDescent="0.35">
      <c r="A51" s="18">
        <v>50</v>
      </c>
      <c r="B51" s="19" t="s">
        <v>46</v>
      </c>
      <c r="C51" s="19" t="s">
        <v>1103</v>
      </c>
      <c r="D51" s="19" t="s">
        <v>1104</v>
      </c>
      <c r="E51" s="19">
        <v>2023</v>
      </c>
      <c r="F51" s="19" t="s">
        <v>44</v>
      </c>
      <c r="G51" s="19" t="s">
        <v>498</v>
      </c>
      <c r="H51" s="19"/>
      <c r="I51" s="19" t="s">
        <v>1107</v>
      </c>
      <c r="J51" s="19" t="s">
        <v>1108</v>
      </c>
      <c r="K51" s="19" t="s">
        <v>42</v>
      </c>
      <c r="L51" s="20" t="s">
        <v>12120</v>
      </c>
      <c r="M51" s="21" t="s">
        <v>44</v>
      </c>
      <c r="N51" s="21">
        <v>2023</v>
      </c>
      <c r="O51" s="22" t="s">
        <v>12134</v>
      </c>
      <c r="P51" s="22" t="s">
        <v>12170</v>
      </c>
      <c r="Q51" s="22" t="s">
        <v>12178</v>
      </c>
      <c r="R51" s="23" t="s">
        <v>12191</v>
      </c>
    </row>
    <row r="52" spans="1:18" ht="15" x14ac:dyDescent="0.35">
      <c r="A52" s="18">
        <v>51</v>
      </c>
      <c r="B52" s="19" t="s">
        <v>46</v>
      </c>
      <c r="C52" s="19" t="s">
        <v>1162</v>
      </c>
      <c r="D52" s="19" t="s">
        <v>1163</v>
      </c>
      <c r="E52" s="19">
        <v>2023</v>
      </c>
      <c r="F52" s="19" t="s">
        <v>56</v>
      </c>
      <c r="G52" s="19" t="s">
        <v>996</v>
      </c>
      <c r="H52" s="19" t="s">
        <v>1165</v>
      </c>
      <c r="I52" s="19" t="s">
        <v>1167</v>
      </c>
      <c r="J52" s="19" t="s">
        <v>1168</v>
      </c>
      <c r="K52" s="19" t="s">
        <v>42</v>
      </c>
      <c r="L52" s="20" t="s">
        <v>12120</v>
      </c>
      <c r="M52" s="21" t="s">
        <v>56</v>
      </c>
      <c r="N52" s="21">
        <v>2023</v>
      </c>
      <c r="O52" s="22" t="s">
        <v>12195</v>
      </c>
      <c r="P52" s="22" t="s">
        <v>12169</v>
      </c>
      <c r="Q52" s="22" t="s">
        <v>12169</v>
      </c>
      <c r="R52" s="23" t="s">
        <v>12152</v>
      </c>
    </row>
    <row r="53" spans="1:18" ht="15" x14ac:dyDescent="0.35">
      <c r="A53" s="18">
        <v>52</v>
      </c>
      <c r="B53" s="19" t="s">
        <v>46</v>
      </c>
      <c r="C53" s="19" t="s">
        <v>1034</v>
      </c>
      <c r="D53" s="19" t="s">
        <v>1035</v>
      </c>
      <c r="E53" s="19">
        <v>2022</v>
      </c>
      <c r="F53" s="19" t="s">
        <v>44</v>
      </c>
      <c r="G53" s="19" t="s">
        <v>1036</v>
      </c>
      <c r="H53" s="19"/>
      <c r="I53" s="19" t="s">
        <v>1039</v>
      </c>
      <c r="J53" s="19"/>
      <c r="K53" s="19" t="s">
        <v>42</v>
      </c>
      <c r="L53" s="20" t="s">
        <v>12120</v>
      </c>
      <c r="M53" s="21" t="s">
        <v>44</v>
      </c>
      <c r="N53" s="21">
        <v>2022</v>
      </c>
      <c r="O53" s="22" t="s">
        <v>12132</v>
      </c>
      <c r="P53" s="22" t="s">
        <v>12170</v>
      </c>
      <c r="Q53" s="22" t="s">
        <v>12174</v>
      </c>
      <c r="R53" s="23" t="s">
        <v>12152</v>
      </c>
    </row>
    <row r="54" spans="1:18" ht="15" x14ac:dyDescent="0.35">
      <c r="A54" s="18">
        <v>53</v>
      </c>
      <c r="B54" s="19" t="s">
        <v>46</v>
      </c>
      <c r="C54" s="19" t="s">
        <v>875</v>
      </c>
      <c r="D54" s="19" t="s">
        <v>876</v>
      </c>
      <c r="E54" s="19">
        <v>2023</v>
      </c>
      <c r="F54" s="19" t="s">
        <v>44</v>
      </c>
      <c r="G54" s="19" t="s">
        <v>877</v>
      </c>
      <c r="H54" s="19" t="s">
        <v>878</v>
      </c>
      <c r="I54" s="19" t="s">
        <v>881</v>
      </c>
      <c r="J54" s="19" t="s">
        <v>882</v>
      </c>
      <c r="K54" s="19" t="s">
        <v>42</v>
      </c>
      <c r="L54" s="20" t="s">
        <v>12120</v>
      </c>
      <c r="M54" s="21" t="s">
        <v>44</v>
      </c>
      <c r="N54" s="21">
        <v>2023</v>
      </c>
      <c r="O54" s="22" t="s">
        <v>12163</v>
      </c>
      <c r="P54" s="22" t="s">
        <v>12133</v>
      </c>
      <c r="Q54" s="22" t="s">
        <v>12174</v>
      </c>
      <c r="R54" s="23" t="s">
        <v>12152</v>
      </c>
    </row>
    <row r="55" spans="1:18" ht="15" x14ac:dyDescent="0.35">
      <c r="A55" s="18">
        <v>54</v>
      </c>
      <c r="B55" s="19" t="s">
        <v>46</v>
      </c>
      <c r="C55" s="19" t="s">
        <v>887</v>
      </c>
      <c r="D55" s="19" t="s">
        <v>888</v>
      </c>
      <c r="E55" s="19">
        <v>2023</v>
      </c>
      <c r="F55" s="19" t="s">
        <v>56</v>
      </c>
      <c r="G55" s="19" t="s">
        <v>252</v>
      </c>
      <c r="H55" s="19" t="s">
        <v>889</v>
      </c>
      <c r="I55" s="19" t="s">
        <v>892</v>
      </c>
      <c r="J55" s="19" t="s">
        <v>893</v>
      </c>
      <c r="K55" s="19" t="s">
        <v>42</v>
      </c>
      <c r="L55" s="20" t="s">
        <v>12120</v>
      </c>
      <c r="M55" s="21" t="s">
        <v>56</v>
      </c>
      <c r="N55" s="21">
        <v>2023</v>
      </c>
      <c r="O55" s="22" t="s">
        <v>12125</v>
      </c>
      <c r="P55" s="22" t="s">
        <v>12133</v>
      </c>
      <c r="Q55" s="22" t="s">
        <v>12174</v>
      </c>
      <c r="R55" s="22" t="s">
        <v>12189</v>
      </c>
    </row>
    <row r="56" spans="1:18" ht="15" x14ac:dyDescent="0.35">
      <c r="A56" s="18">
        <v>55</v>
      </c>
      <c r="B56" s="19" t="s">
        <v>46</v>
      </c>
      <c r="C56" s="19" t="s">
        <v>303</v>
      </c>
      <c r="D56" s="19" t="s">
        <v>304</v>
      </c>
      <c r="E56" s="19">
        <v>2023</v>
      </c>
      <c r="F56" s="19" t="s">
        <v>56</v>
      </c>
      <c r="G56" s="19" t="s">
        <v>305</v>
      </c>
      <c r="H56" s="19" t="s">
        <v>306</v>
      </c>
      <c r="I56" s="19" t="s">
        <v>309</v>
      </c>
      <c r="J56" s="19" t="s">
        <v>310</v>
      </c>
      <c r="K56" s="19" t="s">
        <v>42</v>
      </c>
      <c r="L56" s="20" t="s">
        <v>12120</v>
      </c>
      <c r="M56" s="21" t="s">
        <v>56</v>
      </c>
      <c r="N56" s="21">
        <v>2023</v>
      </c>
      <c r="O56" s="22" t="s">
        <v>12199</v>
      </c>
      <c r="P56" s="22" t="s">
        <v>12168</v>
      </c>
      <c r="Q56" s="22" t="s">
        <v>12183</v>
      </c>
      <c r="R56" s="23" t="s">
        <v>12152</v>
      </c>
    </row>
    <row r="57" spans="1:18" ht="15" x14ac:dyDescent="0.35">
      <c r="A57" s="18">
        <v>56</v>
      </c>
      <c r="B57" s="19" t="s">
        <v>46</v>
      </c>
      <c r="C57" s="19" t="s">
        <v>474</v>
      </c>
      <c r="D57" s="19" t="s">
        <v>12137</v>
      </c>
      <c r="E57" s="19">
        <v>2023</v>
      </c>
      <c r="F57" s="19" t="s">
        <v>56</v>
      </c>
      <c r="G57" s="19" t="s">
        <v>475</v>
      </c>
      <c r="H57" s="19" t="s">
        <v>477</v>
      </c>
      <c r="I57" s="19" t="s">
        <v>480</v>
      </c>
      <c r="J57" s="19" t="s">
        <v>481</v>
      </c>
      <c r="K57" s="19" t="s">
        <v>42</v>
      </c>
      <c r="L57" s="20" t="s">
        <v>12120</v>
      </c>
      <c r="M57" s="21" t="s">
        <v>56</v>
      </c>
      <c r="N57" s="21">
        <v>2023</v>
      </c>
      <c r="O57" s="22" t="s">
        <v>12139</v>
      </c>
      <c r="P57" s="22" t="s">
        <v>12169</v>
      </c>
      <c r="Q57" s="22" t="s">
        <v>12169</v>
      </c>
      <c r="R57" s="23" t="s">
        <v>12152</v>
      </c>
    </row>
    <row r="58" spans="1:18" ht="15" x14ac:dyDescent="0.35">
      <c r="A58" s="18">
        <v>57</v>
      </c>
      <c r="B58" s="19" t="s">
        <v>46</v>
      </c>
      <c r="C58" s="19" t="s">
        <v>113</v>
      </c>
      <c r="D58" s="19" t="s">
        <v>114</v>
      </c>
      <c r="E58" s="19">
        <v>2023</v>
      </c>
      <c r="F58" s="19" t="s">
        <v>44</v>
      </c>
      <c r="G58" s="19" t="s">
        <v>115</v>
      </c>
      <c r="H58" s="19" t="s">
        <v>116</v>
      </c>
      <c r="I58" s="19" t="s">
        <v>119</v>
      </c>
      <c r="J58" s="19" t="s">
        <v>120</v>
      </c>
      <c r="K58" s="19" t="s">
        <v>42</v>
      </c>
      <c r="L58" s="20" t="s">
        <v>12119</v>
      </c>
      <c r="M58" s="21" t="s">
        <v>44</v>
      </c>
      <c r="N58" s="21">
        <v>2023</v>
      </c>
      <c r="O58" s="22" t="s">
        <v>12129</v>
      </c>
      <c r="P58" s="22" t="s">
        <v>12167</v>
      </c>
      <c r="Q58" s="22" t="s">
        <v>12174</v>
      </c>
      <c r="R58" s="23" t="s">
        <v>12152</v>
      </c>
    </row>
    <row r="59" spans="1:18" ht="15" x14ac:dyDescent="0.35">
      <c r="A59" s="18">
        <v>58</v>
      </c>
      <c r="B59" s="19" t="s">
        <v>46</v>
      </c>
      <c r="C59" s="19" t="s">
        <v>6187</v>
      </c>
      <c r="D59" s="19" t="s">
        <v>6188</v>
      </c>
      <c r="E59" s="19">
        <v>2023</v>
      </c>
      <c r="F59" s="19" t="s">
        <v>5552</v>
      </c>
      <c r="G59" s="19" t="s">
        <v>6189</v>
      </c>
      <c r="H59" s="19" t="str">
        <f>HYPERLINK("http://dx.doi.org/10.1109/SEENG59157.2023.00010","http://dx.doi.org/10.1109/SEENG59157.2023.00010")</f>
        <v>http://dx.doi.org/10.1109/SEENG59157.2023.00010</v>
      </c>
      <c r="I59" s="19" t="s">
        <v>6194</v>
      </c>
      <c r="J59" s="19" t="s">
        <v>6193</v>
      </c>
      <c r="K59" s="19" t="s">
        <v>42</v>
      </c>
      <c r="L59" s="20" t="s">
        <v>12120</v>
      </c>
      <c r="M59" s="19" t="s">
        <v>5552</v>
      </c>
      <c r="N59" s="19">
        <v>2023</v>
      </c>
      <c r="O59" s="22" t="s">
        <v>12134</v>
      </c>
      <c r="P59" s="22" t="s">
        <v>12169</v>
      </c>
      <c r="Q59" s="22" t="s">
        <v>12169</v>
      </c>
      <c r="R59" s="23" t="s">
        <v>12152</v>
      </c>
    </row>
    <row r="60" spans="1:18" ht="15" x14ac:dyDescent="0.35">
      <c r="A60" s="18">
        <v>59</v>
      </c>
      <c r="B60" s="19" t="s">
        <v>46</v>
      </c>
      <c r="C60" s="19" t="s">
        <v>787</v>
      </c>
      <c r="D60" s="19" t="s">
        <v>788</v>
      </c>
      <c r="E60" s="19">
        <v>2023</v>
      </c>
      <c r="F60" s="19" t="s">
        <v>44</v>
      </c>
      <c r="G60" s="19" t="s">
        <v>383</v>
      </c>
      <c r="H60" s="19"/>
      <c r="I60" s="19" t="s">
        <v>790</v>
      </c>
      <c r="J60" s="19" t="s">
        <v>791</v>
      </c>
      <c r="K60" s="19" t="s">
        <v>42</v>
      </c>
      <c r="L60" s="20" t="s">
        <v>12120</v>
      </c>
      <c r="M60" s="21" t="s">
        <v>44</v>
      </c>
      <c r="N60" s="21">
        <v>2023</v>
      </c>
      <c r="O60" s="22" t="s">
        <v>12141</v>
      </c>
      <c r="P60" s="22" t="s">
        <v>12133</v>
      </c>
      <c r="Q60" s="22" t="s">
        <v>12178</v>
      </c>
      <c r="R60" s="22" t="s">
        <v>12189</v>
      </c>
    </row>
    <row r="61" spans="1:18" ht="15" x14ac:dyDescent="0.35">
      <c r="A61" s="18">
        <v>60</v>
      </c>
      <c r="B61" s="19" t="s">
        <v>46</v>
      </c>
      <c r="C61" s="19" t="s">
        <v>795</v>
      </c>
      <c r="D61" s="19" t="s">
        <v>796</v>
      </c>
      <c r="E61" s="19">
        <v>2023</v>
      </c>
      <c r="F61" s="19" t="s">
        <v>56</v>
      </c>
      <c r="G61" s="19" t="s">
        <v>797</v>
      </c>
      <c r="H61" s="19" t="s">
        <v>798</v>
      </c>
      <c r="I61" s="19" t="s">
        <v>801</v>
      </c>
      <c r="J61" s="19" t="s">
        <v>802</v>
      </c>
      <c r="K61" s="19" t="s">
        <v>42</v>
      </c>
      <c r="L61" s="20" t="s">
        <v>12120</v>
      </c>
      <c r="M61" s="21" t="s">
        <v>56</v>
      </c>
      <c r="N61" s="21">
        <v>2023</v>
      </c>
      <c r="O61" s="22" t="s">
        <v>12124</v>
      </c>
      <c r="P61" s="22" t="s">
        <v>12168</v>
      </c>
      <c r="Q61" s="22" t="s">
        <v>12183</v>
      </c>
      <c r="R61" s="23" t="s">
        <v>12152</v>
      </c>
    </row>
    <row r="62" spans="1:18" ht="15" x14ac:dyDescent="0.35">
      <c r="A62" s="18">
        <v>61</v>
      </c>
      <c r="B62" s="19" t="s">
        <v>46</v>
      </c>
      <c r="C62" s="19" t="s">
        <v>538</v>
      </c>
      <c r="D62" s="19" t="s">
        <v>539</v>
      </c>
      <c r="E62" s="19">
        <v>2023</v>
      </c>
      <c r="F62" s="19" t="s">
        <v>44</v>
      </c>
      <c r="G62" s="19" t="s">
        <v>540</v>
      </c>
      <c r="H62" s="19" t="s">
        <v>541</v>
      </c>
      <c r="I62" s="19" t="s">
        <v>544</v>
      </c>
      <c r="J62" s="19" t="s">
        <v>545</v>
      </c>
      <c r="K62" s="19" t="s">
        <v>42</v>
      </c>
      <c r="L62" s="20" t="s">
        <v>12119</v>
      </c>
      <c r="M62" s="21" t="s">
        <v>44</v>
      </c>
      <c r="N62" s="21">
        <v>2023</v>
      </c>
      <c r="O62" s="22" t="s">
        <v>12164</v>
      </c>
      <c r="P62" s="22" t="s">
        <v>12170</v>
      </c>
      <c r="Q62" s="22" t="s">
        <v>12181</v>
      </c>
      <c r="R62" s="23" t="s">
        <v>12188</v>
      </c>
    </row>
    <row r="63" spans="1:18" ht="15" x14ac:dyDescent="0.35">
      <c r="A63" s="18">
        <v>62</v>
      </c>
      <c r="B63" s="19" t="s">
        <v>46</v>
      </c>
      <c r="C63" s="19" t="s">
        <v>441</v>
      </c>
      <c r="D63" s="19" t="s">
        <v>442</v>
      </c>
      <c r="E63" s="19">
        <v>2023</v>
      </c>
      <c r="F63" s="19" t="s">
        <v>56</v>
      </c>
      <c r="G63" s="19" t="s">
        <v>305</v>
      </c>
      <c r="H63" s="19" t="s">
        <v>443</v>
      </c>
      <c r="I63" s="19" t="s">
        <v>446</v>
      </c>
      <c r="J63" s="19" t="s">
        <v>447</v>
      </c>
      <c r="K63" s="19" t="s">
        <v>42</v>
      </c>
      <c r="L63" s="20" t="s">
        <v>12120</v>
      </c>
      <c r="M63" s="21" t="s">
        <v>56</v>
      </c>
      <c r="N63" s="21">
        <v>2023</v>
      </c>
      <c r="O63" s="22" t="s">
        <v>12125</v>
      </c>
      <c r="P63" s="22" t="s">
        <v>12169</v>
      </c>
      <c r="Q63" s="22" t="s">
        <v>12169</v>
      </c>
      <c r="R63" s="23" t="s">
        <v>12152</v>
      </c>
    </row>
    <row r="64" spans="1:18" ht="15" x14ac:dyDescent="0.35">
      <c r="A64" s="18">
        <v>63</v>
      </c>
      <c r="B64" s="19" t="s">
        <v>46</v>
      </c>
      <c r="C64" s="19" t="s">
        <v>589</v>
      </c>
      <c r="D64" s="19" t="s">
        <v>590</v>
      </c>
      <c r="E64" s="19">
        <v>2023</v>
      </c>
      <c r="F64" s="19" t="s">
        <v>44</v>
      </c>
      <c r="G64" s="19" t="s">
        <v>591</v>
      </c>
      <c r="H64" s="19" t="s">
        <v>592</v>
      </c>
      <c r="I64" s="19" t="s">
        <v>595</v>
      </c>
      <c r="J64" s="19" t="s">
        <v>596</v>
      </c>
      <c r="K64" s="19" t="s">
        <v>42</v>
      </c>
      <c r="L64" s="20" t="s">
        <v>12119</v>
      </c>
      <c r="M64" s="21" t="s">
        <v>44</v>
      </c>
      <c r="N64" s="21">
        <v>2023</v>
      </c>
      <c r="O64" s="22" t="s">
        <v>12154</v>
      </c>
      <c r="P64" s="22" t="s">
        <v>12168</v>
      </c>
      <c r="Q64" s="22" t="s">
        <v>12174</v>
      </c>
      <c r="R64" s="23" t="s">
        <v>12188</v>
      </c>
    </row>
    <row r="65" spans="1:18" ht="15" x14ac:dyDescent="0.35">
      <c r="A65" s="18">
        <v>64</v>
      </c>
      <c r="B65" s="19" t="s">
        <v>46</v>
      </c>
      <c r="C65" s="19" t="s">
        <v>1936</v>
      </c>
      <c r="D65" s="19" t="s">
        <v>1937</v>
      </c>
      <c r="E65" s="19">
        <v>2023</v>
      </c>
      <c r="F65" s="19" t="s">
        <v>56</v>
      </c>
      <c r="G65" s="19" t="s">
        <v>1938</v>
      </c>
      <c r="H65" s="19" t="str">
        <f>HYPERLINK("http://dx.doi.org/10.3389/fmed.2023.1296615","http://dx.doi.org/10.3389/fmed.2023.1296615")</f>
        <v>http://dx.doi.org/10.3389/fmed.2023.1296615</v>
      </c>
      <c r="I65" s="19" t="s">
        <v>1940</v>
      </c>
      <c r="J65" s="19" t="s">
        <v>1939</v>
      </c>
      <c r="K65" s="19" t="s">
        <v>42</v>
      </c>
      <c r="L65" s="20" t="s">
        <v>12120</v>
      </c>
      <c r="M65" s="19" t="s">
        <v>56</v>
      </c>
      <c r="N65" s="19">
        <v>2023</v>
      </c>
      <c r="O65" s="22" t="s">
        <v>12134</v>
      </c>
      <c r="P65" s="22" t="s">
        <v>12167</v>
      </c>
      <c r="Q65" s="22" t="s">
        <v>12174</v>
      </c>
      <c r="R65" s="23" t="s">
        <v>12189</v>
      </c>
    </row>
    <row r="66" spans="1:18" ht="13.8" customHeight="1" x14ac:dyDescent="0.35">
      <c r="A66" s="18">
        <v>65</v>
      </c>
      <c r="B66" s="19" t="s">
        <v>46</v>
      </c>
      <c r="C66" s="19" t="s">
        <v>326</v>
      </c>
      <c r="D66" s="19" t="s">
        <v>327</v>
      </c>
      <c r="E66" s="19">
        <v>2023</v>
      </c>
      <c r="F66" s="19" t="s">
        <v>56</v>
      </c>
      <c r="G66" s="19" t="s">
        <v>305</v>
      </c>
      <c r="H66" s="19" t="s">
        <v>328</v>
      </c>
      <c r="I66" s="19" t="s">
        <v>331</v>
      </c>
      <c r="J66" s="19" t="s">
        <v>332</v>
      </c>
      <c r="K66" s="19" t="s">
        <v>42</v>
      </c>
      <c r="L66" s="20" t="s">
        <v>12120</v>
      </c>
      <c r="M66" s="21" t="s">
        <v>56</v>
      </c>
      <c r="N66" s="21">
        <v>2023</v>
      </c>
      <c r="O66" s="22" t="s">
        <v>12196</v>
      </c>
      <c r="P66" s="22" t="s">
        <v>12169</v>
      </c>
      <c r="Q66" s="22" t="s">
        <v>12169</v>
      </c>
      <c r="R66" s="23" t="s">
        <v>12152</v>
      </c>
    </row>
    <row r="67" spans="1:18" ht="15" x14ac:dyDescent="0.35">
      <c r="A67" s="18">
        <v>66</v>
      </c>
      <c r="B67" s="19" t="s">
        <v>46</v>
      </c>
      <c r="C67" s="19" t="s">
        <v>1056</v>
      </c>
      <c r="D67" s="19" t="s">
        <v>1057</v>
      </c>
      <c r="E67" s="19">
        <v>2023</v>
      </c>
      <c r="F67" s="19" t="s">
        <v>56</v>
      </c>
      <c r="G67" s="19" t="s">
        <v>996</v>
      </c>
      <c r="H67" s="19" t="s">
        <v>1059</v>
      </c>
      <c r="I67" s="19" t="s">
        <v>1062</v>
      </c>
      <c r="J67" s="19" t="s">
        <v>1063</v>
      </c>
      <c r="K67" s="19" t="s">
        <v>42</v>
      </c>
      <c r="L67" s="20" t="s">
        <v>12120</v>
      </c>
      <c r="M67" s="21" t="s">
        <v>56</v>
      </c>
      <c r="N67" s="21">
        <v>2023</v>
      </c>
      <c r="O67" s="22" t="s">
        <v>12165</v>
      </c>
      <c r="P67" s="22" t="s">
        <v>12133</v>
      </c>
      <c r="Q67" s="22" t="s">
        <v>12181</v>
      </c>
      <c r="R67" s="22" t="s">
        <v>12189</v>
      </c>
    </row>
    <row r="68" spans="1:18" ht="15" x14ac:dyDescent="0.35">
      <c r="A68" s="18">
        <v>67</v>
      </c>
      <c r="B68" s="19" t="s">
        <v>46</v>
      </c>
      <c r="C68" s="19" t="s">
        <v>6319</v>
      </c>
      <c r="D68" s="19" t="s">
        <v>33</v>
      </c>
      <c r="E68" s="19">
        <v>2023</v>
      </c>
      <c r="F68" s="19" t="s">
        <v>5552</v>
      </c>
      <c r="G68" s="19" t="s">
        <v>6114</v>
      </c>
      <c r="H68" s="19" t="str">
        <f>HYPERLINK("http://dx.doi.org/10.1145/3568813.3600142","http://dx.doi.org/10.1145/3568813.3600142")</f>
        <v>http://dx.doi.org/10.1145/3568813.3600142</v>
      </c>
      <c r="I68" s="19" t="s">
        <v>6321</v>
      </c>
      <c r="J68" s="19" t="s">
        <v>6320</v>
      </c>
      <c r="K68" s="19" t="s">
        <v>42</v>
      </c>
      <c r="L68" s="20" t="s">
        <v>12120</v>
      </c>
      <c r="M68" s="19" t="s">
        <v>5552</v>
      </c>
      <c r="N68" s="19">
        <v>2023</v>
      </c>
      <c r="O68" s="22" t="s">
        <v>12132</v>
      </c>
      <c r="P68" s="22" t="s">
        <v>12133</v>
      </c>
      <c r="Q68" s="22" t="s">
        <v>12174</v>
      </c>
      <c r="R68" s="22" t="s">
        <v>12189</v>
      </c>
    </row>
    <row r="69" spans="1:18" ht="15" x14ac:dyDescent="0.35">
      <c r="A69" s="18">
        <v>68</v>
      </c>
      <c r="B69" s="19" t="s">
        <v>12118</v>
      </c>
      <c r="C69" s="19" t="s">
        <v>6350</v>
      </c>
      <c r="D69" s="19" t="s">
        <v>6351</v>
      </c>
      <c r="E69" s="19">
        <v>2023</v>
      </c>
      <c r="F69" s="19" t="s">
        <v>56</v>
      </c>
      <c r="G69" s="19" t="s">
        <v>5976</v>
      </c>
      <c r="H69" s="19" t="str">
        <f>HYPERLINK("http://dx.doi.org/10.2196/53466","http://dx.doi.org/10.2196/53466")</f>
        <v>http://dx.doi.org/10.2196/53466</v>
      </c>
      <c r="I69" s="19" t="s">
        <v>6354</v>
      </c>
      <c r="J69" s="19" t="s">
        <v>6352</v>
      </c>
      <c r="K69" s="19" t="s">
        <v>42</v>
      </c>
      <c r="L69" s="20" t="s">
        <v>12120</v>
      </c>
      <c r="M69" s="19" t="s">
        <v>56</v>
      </c>
      <c r="N69" s="19">
        <v>2023</v>
      </c>
      <c r="O69" s="22" t="s">
        <v>12129</v>
      </c>
      <c r="P69" s="22" t="s">
        <v>12168</v>
      </c>
      <c r="Q69" s="22" t="s">
        <v>12181</v>
      </c>
      <c r="R69" s="23" t="s">
        <v>12130</v>
      </c>
    </row>
    <row r="70" spans="1:18" ht="15" x14ac:dyDescent="0.35">
      <c r="A70" s="18">
        <v>69</v>
      </c>
      <c r="B70" s="19" t="s">
        <v>46</v>
      </c>
      <c r="C70" s="19" t="s">
        <v>1118</v>
      </c>
      <c r="D70" s="19" t="s">
        <v>1119</v>
      </c>
      <c r="E70" s="19">
        <v>2023</v>
      </c>
      <c r="F70" s="19" t="s">
        <v>44</v>
      </c>
      <c r="G70" s="19" t="s">
        <v>383</v>
      </c>
      <c r="H70" s="19"/>
      <c r="I70" s="19" t="s">
        <v>1122</v>
      </c>
      <c r="J70" s="19" t="s">
        <v>1123</v>
      </c>
      <c r="K70" s="19" t="s">
        <v>42</v>
      </c>
      <c r="L70" s="20" t="s">
        <v>12120</v>
      </c>
      <c r="M70" s="21" t="s">
        <v>44</v>
      </c>
      <c r="N70" s="21">
        <v>2023</v>
      </c>
      <c r="O70" s="22" t="s">
        <v>12153</v>
      </c>
      <c r="P70" s="22" t="s">
        <v>12170</v>
      </c>
      <c r="Q70" s="22" t="s">
        <v>12178</v>
      </c>
      <c r="R70" s="23" t="s">
        <v>12152</v>
      </c>
    </row>
    <row r="71" spans="1:18" ht="15" x14ac:dyDescent="0.35">
      <c r="A71" s="18">
        <v>70</v>
      </c>
      <c r="B71" s="19" t="s">
        <v>12118</v>
      </c>
      <c r="C71" s="19" t="s">
        <v>4019</v>
      </c>
      <c r="D71" s="19" t="s">
        <v>4020</v>
      </c>
      <c r="E71" s="19">
        <v>2023</v>
      </c>
      <c r="F71" s="19" t="s">
        <v>56</v>
      </c>
      <c r="G71" s="19" t="s">
        <v>4021</v>
      </c>
      <c r="H71" s="19" t="str">
        <f>HYPERLINK("http://dx.doi.org/10.1016/j.jksuci.2023.101675","http://dx.doi.org/10.1016/j.jksuci.2023.101675")</f>
        <v>http://dx.doi.org/10.1016/j.jksuci.2023.101675</v>
      </c>
      <c r="I71" s="19" t="s">
        <v>4024</v>
      </c>
      <c r="J71" s="19" t="s">
        <v>4022</v>
      </c>
      <c r="K71" s="19" t="s">
        <v>42</v>
      </c>
      <c r="L71" s="20" t="s">
        <v>12120</v>
      </c>
      <c r="M71" s="19" t="s">
        <v>56</v>
      </c>
      <c r="N71" s="19">
        <v>2023</v>
      </c>
      <c r="O71" s="22" t="s">
        <v>12197</v>
      </c>
      <c r="P71" s="22" t="s">
        <v>12169</v>
      </c>
      <c r="Q71" s="22" t="s">
        <v>12169</v>
      </c>
      <c r="R71" s="23" t="s">
        <v>12152</v>
      </c>
    </row>
    <row r="72" spans="1:18" ht="15" x14ac:dyDescent="0.35">
      <c r="A72" s="18">
        <v>71</v>
      </c>
      <c r="B72" s="19" t="s">
        <v>46</v>
      </c>
      <c r="C72" s="19" t="s">
        <v>6365</v>
      </c>
      <c r="D72" s="19" t="s">
        <v>6366</v>
      </c>
      <c r="E72" s="19">
        <v>2023</v>
      </c>
      <c r="F72" s="19" t="s">
        <v>5552</v>
      </c>
      <c r="G72" s="19" t="s">
        <v>6367</v>
      </c>
      <c r="H72" s="19" t="str">
        <f>HYPERLINK("http://dx.doi.org/10.1007/978-3-031-42608-7_16","http://dx.doi.org/10.1007/978-3-031-42608-7_16")</f>
        <v>http://dx.doi.org/10.1007/978-3-031-42608-7_16</v>
      </c>
      <c r="I72" s="19" t="s">
        <v>6373</v>
      </c>
      <c r="J72" s="19" t="s">
        <v>1253</v>
      </c>
      <c r="K72" s="19" t="s">
        <v>42</v>
      </c>
      <c r="L72" s="20" t="s">
        <v>12119</v>
      </c>
      <c r="M72" s="19" t="s">
        <v>5552</v>
      </c>
      <c r="N72" s="19">
        <v>2023</v>
      </c>
      <c r="O72" s="22" t="s">
        <v>12134</v>
      </c>
      <c r="P72" s="22" t="s">
        <v>12170</v>
      </c>
      <c r="Q72" s="22" t="s">
        <v>12174</v>
      </c>
      <c r="R72" s="23" t="s">
        <v>12189</v>
      </c>
    </row>
    <row r="73" spans="1:18" ht="15" x14ac:dyDescent="0.35">
      <c r="A73" s="18">
        <v>72</v>
      </c>
      <c r="B73" s="19" t="s">
        <v>46</v>
      </c>
      <c r="C73" s="19" t="s">
        <v>94</v>
      </c>
      <c r="D73" s="19" t="s">
        <v>95</v>
      </c>
      <c r="E73" s="19">
        <v>2023</v>
      </c>
      <c r="F73" s="19" t="s">
        <v>44</v>
      </c>
      <c r="G73" s="19" t="s">
        <v>96</v>
      </c>
      <c r="H73" s="19"/>
      <c r="I73" s="19" t="s">
        <v>99</v>
      </c>
      <c r="J73" s="19"/>
      <c r="K73" s="19" t="s">
        <v>42</v>
      </c>
      <c r="L73" s="20" t="s">
        <v>12120</v>
      </c>
      <c r="M73" s="21" t="s">
        <v>44</v>
      </c>
      <c r="N73" s="21">
        <v>2023</v>
      </c>
      <c r="O73" s="22" t="s">
        <v>12132</v>
      </c>
      <c r="P73" s="22" t="s">
        <v>12176</v>
      </c>
      <c r="Q73" s="22" t="s">
        <v>12180</v>
      </c>
      <c r="R73" s="23" t="s">
        <v>12152</v>
      </c>
    </row>
    <row r="74" spans="1:18" ht="15" x14ac:dyDescent="0.35">
      <c r="A74" s="18">
        <v>73</v>
      </c>
      <c r="B74" s="19" t="s">
        <v>46</v>
      </c>
      <c r="C74" s="19" t="s">
        <v>1390</v>
      </c>
      <c r="D74" s="19" t="s">
        <v>1391</v>
      </c>
      <c r="E74" s="19">
        <v>2023</v>
      </c>
      <c r="F74" s="19" t="s">
        <v>44</v>
      </c>
      <c r="G74" s="19" t="s">
        <v>383</v>
      </c>
      <c r="H74" s="19"/>
      <c r="I74" s="19" t="s">
        <v>1394</v>
      </c>
      <c r="J74" s="19" t="s">
        <v>1395</v>
      </c>
      <c r="K74" s="19" t="s">
        <v>42</v>
      </c>
      <c r="L74" s="20" t="s">
        <v>12120</v>
      </c>
      <c r="M74" s="21" t="s">
        <v>44</v>
      </c>
      <c r="N74" s="21">
        <v>2023</v>
      </c>
      <c r="O74" s="22" t="s">
        <v>12141</v>
      </c>
      <c r="P74" s="22" t="s">
        <v>12170</v>
      </c>
      <c r="Q74" s="22" t="s">
        <v>12178</v>
      </c>
      <c r="R74" s="23" t="s">
        <v>12191</v>
      </c>
    </row>
    <row r="75" spans="1:18" ht="15" x14ac:dyDescent="0.35">
      <c r="A75" s="24">
        <v>74</v>
      </c>
      <c r="B75" s="19" t="s">
        <v>46</v>
      </c>
      <c r="C75" s="19" t="s">
        <v>162</v>
      </c>
      <c r="D75" s="19" t="s">
        <v>163</v>
      </c>
      <c r="E75" s="19">
        <v>2023</v>
      </c>
      <c r="F75" s="19" t="s">
        <v>44</v>
      </c>
      <c r="G75" s="19" t="s">
        <v>164</v>
      </c>
      <c r="H75" s="19" t="s">
        <v>165</v>
      </c>
      <c r="I75" s="19" t="s">
        <v>168</v>
      </c>
      <c r="J75" s="19" t="s">
        <v>169</v>
      </c>
      <c r="K75" s="19" t="s">
        <v>42</v>
      </c>
      <c r="L75" s="20" t="s">
        <v>12119</v>
      </c>
      <c r="M75" s="21" t="s">
        <v>44</v>
      </c>
      <c r="N75" s="21">
        <v>2023</v>
      </c>
      <c r="O75" s="22" t="s">
        <v>12149</v>
      </c>
      <c r="P75" s="22" t="s">
        <v>12133</v>
      </c>
      <c r="Q75" s="22" t="s">
        <v>12178</v>
      </c>
      <c r="R75" s="22" t="s">
        <v>12190</v>
      </c>
    </row>
    <row r="76" spans="1:18" ht="15" x14ac:dyDescent="0.35">
      <c r="A76" s="19">
        <v>75</v>
      </c>
      <c r="B76" s="19" t="s">
        <v>46</v>
      </c>
      <c r="C76" s="19" t="s">
        <v>6447</v>
      </c>
      <c r="D76" s="19" t="s">
        <v>81</v>
      </c>
      <c r="E76" s="19">
        <v>2023</v>
      </c>
      <c r="F76" s="19" t="s">
        <v>5552</v>
      </c>
      <c r="G76" s="19" t="s">
        <v>6448</v>
      </c>
      <c r="H76" s="19" t="str">
        <f>HYPERLINK("http://dx.doi.org/10.1109/APSIPAASC58517.2023.10317226","http://dx.doi.org/10.1109/APSIPAASC58517.2023.10317226")</f>
        <v>http://dx.doi.org/10.1109/APSIPAASC58517.2023.10317226</v>
      </c>
      <c r="I76" s="19" t="s">
        <v>6453</v>
      </c>
      <c r="J76" s="19" t="s">
        <v>12152</v>
      </c>
      <c r="K76" s="19" t="s">
        <v>42</v>
      </c>
      <c r="L76" s="20" t="s">
        <v>12119</v>
      </c>
      <c r="M76" s="19" t="s">
        <v>5552</v>
      </c>
      <c r="N76" s="19">
        <v>2023</v>
      </c>
      <c r="O76" s="22" t="s">
        <v>12161</v>
      </c>
      <c r="P76" s="22" t="s">
        <v>12170</v>
      </c>
      <c r="Q76" s="22" t="s">
        <v>12174</v>
      </c>
      <c r="R76" s="23" t="s">
        <v>12152</v>
      </c>
    </row>
    <row r="77" spans="1:18" ht="15" x14ac:dyDescent="0.35">
      <c r="A77" s="19">
        <v>76</v>
      </c>
      <c r="B77" s="19" t="s">
        <v>46</v>
      </c>
      <c r="C77" s="19" t="s">
        <v>1376</v>
      </c>
      <c r="D77" s="19" t="s">
        <v>1377</v>
      </c>
      <c r="E77" s="19">
        <v>2023</v>
      </c>
      <c r="F77" s="19" t="s">
        <v>56</v>
      </c>
      <c r="G77" s="19" t="s">
        <v>996</v>
      </c>
      <c r="H77" s="19" t="s">
        <v>1379</v>
      </c>
      <c r="I77" s="19" t="s">
        <v>1382</v>
      </c>
      <c r="J77" s="19" t="s">
        <v>1383</v>
      </c>
      <c r="K77" s="19" t="s">
        <v>42</v>
      </c>
      <c r="L77" s="20" t="s">
        <v>12120</v>
      </c>
      <c r="M77" s="21" t="s">
        <v>56</v>
      </c>
      <c r="N77" s="21">
        <v>2023</v>
      </c>
      <c r="O77" s="22" t="s">
        <v>12158</v>
      </c>
      <c r="P77" s="22" t="s">
        <v>12133</v>
      </c>
      <c r="Q77" s="22" t="s">
        <v>12179</v>
      </c>
      <c r="R77" s="22" t="s">
        <v>12189</v>
      </c>
    </row>
    <row r="78" spans="1:18" ht="15" x14ac:dyDescent="0.35">
      <c r="A78" s="19">
        <v>77</v>
      </c>
      <c r="B78" s="19" t="s">
        <v>46</v>
      </c>
      <c r="C78" s="19" t="s">
        <v>315</v>
      </c>
      <c r="D78" s="19" t="s">
        <v>316</v>
      </c>
      <c r="E78" s="19">
        <v>2023</v>
      </c>
      <c r="F78" s="19" t="s">
        <v>56</v>
      </c>
      <c r="G78" s="19" t="s">
        <v>317</v>
      </c>
      <c r="H78" s="19" t="s">
        <v>318</v>
      </c>
      <c r="I78" s="19" t="s">
        <v>321</v>
      </c>
      <c r="J78" s="19" t="s">
        <v>322</v>
      </c>
      <c r="K78" s="19" t="s">
        <v>42</v>
      </c>
      <c r="L78" s="20" t="s">
        <v>12120</v>
      </c>
      <c r="M78" s="21" t="s">
        <v>56</v>
      </c>
      <c r="N78" s="21">
        <v>2023</v>
      </c>
      <c r="O78" s="22" t="s">
        <v>12140</v>
      </c>
      <c r="P78" s="22" t="s">
        <v>12170</v>
      </c>
      <c r="Q78" s="22" t="s">
        <v>12178</v>
      </c>
      <c r="R78" s="23" t="s">
        <v>12152</v>
      </c>
    </row>
    <row r="79" spans="1:18" ht="15" x14ac:dyDescent="0.35">
      <c r="A79" s="19">
        <v>78</v>
      </c>
      <c r="B79" s="19" t="s">
        <v>12118</v>
      </c>
      <c r="C79" s="19" t="s">
        <v>6464</v>
      </c>
      <c r="D79" s="19" t="s">
        <v>6465</v>
      </c>
      <c r="E79" s="19">
        <v>2023</v>
      </c>
      <c r="F79" s="19" t="s">
        <v>56</v>
      </c>
      <c r="G79" s="19" t="s">
        <v>6466</v>
      </c>
      <c r="H79" s="19" t="str">
        <f>HYPERLINK("http://dx.doi.org/10.18089/tms.2023.190402","http://dx.doi.org/10.18089/tms.2023.190402")</f>
        <v>http://dx.doi.org/10.18089/tms.2023.190402</v>
      </c>
      <c r="I79" s="19" t="s">
        <v>6469</v>
      </c>
      <c r="J79" s="19" t="s">
        <v>6467</v>
      </c>
      <c r="K79" s="19" t="s">
        <v>42</v>
      </c>
      <c r="L79" s="20" t="s">
        <v>12120</v>
      </c>
      <c r="M79" s="19" t="s">
        <v>56</v>
      </c>
      <c r="N79" s="19">
        <v>2023</v>
      </c>
      <c r="O79" s="22" t="s">
        <v>12166</v>
      </c>
      <c r="P79" s="22" t="s">
        <v>12168</v>
      </c>
      <c r="Q79" s="22" t="s">
        <v>12183</v>
      </c>
      <c r="R79" s="23" t="s">
        <v>12152</v>
      </c>
    </row>
    <row r="80" spans="1:18" ht="15" x14ac:dyDescent="0.35">
      <c r="A80" s="19">
        <v>79</v>
      </c>
      <c r="B80" s="19" t="s">
        <v>12118</v>
      </c>
      <c r="C80" s="19" t="s">
        <v>6516</v>
      </c>
      <c r="D80" s="19" t="s">
        <v>6517</v>
      </c>
      <c r="E80" s="19">
        <v>2023</v>
      </c>
      <c r="F80" s="19" t="s">
        <v>56</v>
      </c>
      <c r="G80" s="19" t="s">
        <v>6518</v>
      </c>
      <c r="H80" s="19" t="str">
        <f>HYPERLINK("http://dx.doi.org/10.2196/51873","http://dx.doi.org/10.2196/51873")</f>
        <v>http://dx.doi.org/10.2196/51873</v>
      </c>
      <c r="I80" s="19" t="s">
        <v>6520</v>
      </c>
      <c r="J80" s="19" t="s">
        <v>6519</v>
      </c>
      <c r="K80" s="19" t="s">
        <v>42</v>
      </c>
      <c r="L80" s="20" t="s">
        <v>12120</v>
      </c>
      <c r="M80" s="19" t="s">
        <v>56</v>
      </c>
      <c r="N80" s="19">
        <v>2023</v>
      </c>
      <c r="O80" s="22" t="s">
        <v>12139</v>
      </c>
      <c r="P80" s="22" t="s">
        <v>12133</v>
      </c>
      <c r="Q80" s="22" t="s">
        <v>12174</v>
      </c>
      <c r="R80" s="22" t="s">
        <v>12188</v>
      </c>
    </row>
    <row r="81" spans="1:18" ht="15" x14ac:dyDescent="0.35">
      <c r="A81" s="19">
        <v>80</v>
      </c>
      <c r="B81" s="19" t="s">
        <v>46</v>
      </c>
      <c r="C81" s="19" t="s">
        <v>1083</v>
      </c>
      <c r="D81" s="19" t="s">
        <v>1084</v>
      </c>
      <c r="E81" s="19">
        <v>2023</v>
      </c>
      <c r="F81" s="19" t="s">
        <v>44</v>
      </c>
      <c r="G81" s="19" t="s">
        <v>1085</v>
      </c>
      <c r="H81" s="19"/>
      <c r="I81" s="19" t="s">
        <v>1088</v>
      </c>
      <c r="J81" s="19"/>
      <c r="K81" s="19" t="s">
        <v>42</v>
      </c>
      <c r="L81" s="20" t="s">
        <v>12120</v>
      </c>
      <c r="M81" s="21" t="s">
        <v>44</v>
      </c>
      <c r="N81" s="21">
        <v>2023</v>
      </c>
      <c r="O81" s="22" t="s">
        <v>12132</v>
      </c>
      <c r="P81" s="22" t="s">
        <v>12168</v>
      </c>
      <c r="Q81" s="22" t="s">
        <v>12183</v>
      </c>
      <c r="R81" s="22" t="s">
        <v>12189</v>
      </c>
    </row>
    <row r="82" spans="1:18" ht="15" x14ac:dyDescent="0.35">
      <c r="A82" s="19">
        <v>81</v>
      </c>
      <c r="B82" s="19" t="s">
        <v>46</v>
      </c>
      <c r="C82" s="19" t="s">
        <v>1152</v>
      </c>
      <c r="D82" s="19" t="s">
        <v>1153</v>
      </c>
      <c r="E82" s="19">
        <v>2023</v>
      </c>
      <c r="F82" s="19" t="s">
        <v>56</v>
      </c>
      <c r="G82" s="19" t="s">
        <v>1154</v>
      </c>
      <c r="H82" s="19" t="s">
        <v>1155</v>
      </c>
      <c r="I82" s="19" t="s">
        <v>1158</v>
      </c>
      <c r="J82" s="19" t="s">
        <v>1159</v>
      </c>
      <c r="K82" s="19" t="s">
        <v>42</v>
      </c>
      <c r="L82" s="20" t="s">
        <v>12119</v>
      </c>
      <c r="M82" s="21" t="s">
        <v>56</v>
      </c>
      <c r="N82" s="21">
        <v>2023</v>
      </c>
      <c r="O82" s="22" t="s">
        <v>12132</v>
      </c>
      <c r="P82" s="22" t="s">
        <v>12169</v>
      </c>
      <c r="Q82" s="22" t="s">
        <v>12169</v>
      </c>
      <c r="R82" s="23" t="s">
        <v>12152</v>
      </c>
    </row>
    <row r="83" spans="1:18" ht="15" x14ac:dyDescent="0.35">
      <c r="A83" s="19">
        <v>82</v>
      </c>
      <c r="B83" s="19" t="s">
        <v>46</v>
      </c>
      <c r="C83" s="19" t="s">
        <v>1141</v>
      </c>
      <c r="D83" s="19" t="s">
        <v>1142</v>
      </c>
      <c r="E83" s="19">
        <v>2023</v>
      </c>
      <c r="F83" s="19" t="s">
        <v>56</v>
      </c>
      <c r="G83" s="19" t="s">
        <v>1143</v>
      </c>
      <c r="H83" s="19" t="s">
        <v>1144</v>
      </c>
      <c r="I83" s="19" t="s">
        <v>1147</v>
      </c>
      <c r="J83" s="19" t="s">
        <v>1148</v>
      </c>
      <c r="K83" s="19" t="s">
        <v>42</v>
      </c>
      <c r="L83" s="20" t="s">
        <v>12120</v>
      </c>
      <c r="M83" s="21" t="s">
        <v>56</v>
      </c>
      <c r="N83" s="21">
        <v>2023</v>
      </c>
      <c r="O83" s="22" t="s">
        <v>12132</v>
      </c>
      <c r="P83" s="22" t="s">
        <v>12168</v>
      </c>
      <c r="Q83" s="22" t="s">
        <v>12178</v>
      </c>
      <c r="R83" s="23" t="s">
        <v>12130</v>
      </c>
    </row>
    <row r="84" spans="1:18" ht="15" x14ac:dyDescent="0.35">
      <c r="A84" s="19">
        <v>83</v>
      </c>
      <c r="B84" s="19" t="s">
        <v>46</v>
      </c>
      <c r="C84" s="19" t="s">
        <v>4277</v>
      </c>
      <c r="D84" s="19" t="s">
        <v>204</v>
      </c>
      <c r="E84" s="19">
        <v>2023</v>
      </c>
      <c r="F84" s="19" t="s">
        <v>56</v>
      </c>
      <c r="G84" s="19" t="s">
        <v>4278</v>
      </c>
      <c r="H84" s="19" t="str">
        <f>HYPERLINK("http://dx.doi.org/10.1093/glycob/cwad064","http://dx.doi.org/10.1093/glycob/cwad064")</f>
        <v>http://dx.doi.org/10.1093/glycob/cwad064</v>
      </c>
      <c r="I84" s="19" t="s">
        <v>4279</v>
      </c>
      <c r="J84" s="19" t="s">
        <v>210</v>
      </c>
      <c r="K84" s="19" t="s">
        <v>42</v>
      </c>
      <c r="L84" s="20" t="s">
        <v>12120</v>
      </c>
      <c r="M84" s="19" t="s">
        <v>56</v>
      </c>
      <c r="N84" s="19">
        <v>2023</v>
      </c>
      <c r="O84" s="22" t="s">
        <v>12160</v>
      </c>
      <c r="P84" s="22" t="s">
        <v>12167</v>
      </c>
      <c r="Q84" s="22" t="s">
        <v>12174</v>
      </c>
      <c r="R84" s="23" t="s">
        <v>12152</v>
      </c>
    </row>
  </sheetData>
  <autoFilter ref="A1:ET84" xr:uid="{00000000-0001-0000-0600-000000000000}">
    <sortState xmlns:xlrd2="http://schemas.microsoft.com/office/spreadsheetml/2017/richdata2" ref="A2:R84">
      <sortCondition ref="A1:A84"/>
    </sortState>
  </autoFilter>
  <hyperlinks>
    <hyperlink ref="H25" r:id="rId1" xr:uid="{F0E1D8C6-2815-4CBE-8E8D-8BAA97A89229}"/>
    <hyperlink ref="H18" r:id="rId2" xr:uid="{2DA8431E-146E-405A-98E0-9F47C0B83E4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B85B1-AC83-4172-A189-387E00183626}">
  <dimension ref="A1:DO178"/>
  <sheetViews>
    <sheetView topLeftCell="A164" workbookViewId="0">
      <selection activeCell="A2" sqref="A2:A178"/>
    </sheetView>
  </sheetViews>
  <sheetFormatPr baseColWidth="10" defaultRowHeight="14.4" x14ac:dyDescent="0.3"/>
  <sheetData>
    <row r="1" spans="1:119" x14ac:dyDescent="0.3">
      <c r="A1" t="s">
        <v>13738</v>
      </c>
      <c r="B1" t="s">
        <v>0</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13737</v>
      </c>
      <c r="V1" t="s">
        <v>13736</v>
      </c>
      <c r="W1" t="s">
        <v>13735</v>
      </c>
      <c r="X1" t="s">
        <v>13734</v>
      </c>
      <c r="Y1" t="s">
        <v>13733</v>
      </c>
      <c r="Z1" t="s">
        <v>13732</v>
      </c>
      <c r="AA1" t="s">
        <v>13731</v>
      </c>
      <c r="AB1" t="s">
        <v>13730</v>
      </c>
      <c r="AC1" t="s">
        <v>13729</v>
      </c>
      <c r="AD1" t="s">
        <v>13728</v>
      </c>
      <c r="AE1" t="s">
        <v>13727</v>
      </c>
      <c r="AF1" t="s">
        <v>13726</v>
      </c>
      <c r="AG1" t="s">
        <v>13725</v>
      </c>
      <c r="AH1" t="s">
        <v>13724</v>
      </c>
      <c r="AI1" t="s">
        <v>13723</v>
      </c>
      <c r="AJ1" t="s">
        <v>13722</v>
      </c>
      <c r="AK1" t="s">
        <v>19</v>
      </c>
      <c r="AL1" t="s">
        <v>20</v>
      </c>
      <c r="AM1" t="s">
        <v>13721</v>
      </c>
      <c r="AN1" t="s">
        <v>21</v>
      </c>
      <c r="AO1" t="s">
        <v>13720</v>
      </c>
      <c r="AP1" t="s">
        <v>13719</v>
      </c>
      <c r="AQ1" t="s">
        <v>13718</v>
      </c>
      <c r="AR1" t="s">
        <v>13717</v>
      </c>
      <c r="AS1" t="s">
        <v>22</v>
      </c>
      <c r="AT1" t="s">
        <v>23</v>
      </c>
      <c r="AU1" t="s">
        <v>24</v>
      </c>
      <c r="AV1" t="s">
        <v>25</v>
      </c>
      <c r="AW1" t="s">
        <v>26</v>
      </c>
      <c r="AX1" t="s">
        <v>27</v>
      </c>
      <c r="AY1" t="s">
        <v>28</v>
      </c>
      <c r="AZ1" t="s">
        <v>29</v>
      </c>
      <c r="BA1" t="s">
        <v>30</v>
      </c>
      <c r="BB1" t="s">
        <v>31</v>
      </c>
      <c r="BC1" t="s">
        <v>32</v>
      </c>
    </row>
    <row r="2" spans="1:119" x14ac:dyDescent="0.3">
      <c r="A2">
        <v>1</v>
      </c>
      <c r="B2" t="s">
        <v>13164</v>
      </c>
      <c r="C2" t="s">
        <v>13087</v>
      </c>
      <c r="D2" t="s">
        <v>13163</v>
      </c>
      <c r="E2" t="s">
        <v>13162</v>
      </c>
      <c r="F2" t="s">
        <v>13084</v>
      </c>
      <c r="G2" t="s">
        <v>13161</v>
      </c>
      <c r="H2" t="s">
        <v>13160</v>
      </c>
      <c r="I2" t="s">
        <v>13108</v>
      </c>
      <c r="J2" t="s">
        <v>13112</v>
      </c>
      <c r="K2" t="s">
        <v>13159</v>
      </c>
      <c r="L2" t="s">
        <v>13158</v>
      </c>
      <c r="M2" t="s">
        <v>13157</v>
      </c>
      <c r="N2" t="s">
        <v>13156</v>
      </c>
      <c r="O2" t="s">
        <v>13155</v>
      </c>
      <c r="P2" t="s">
        <v>13095</v>
      </c>
      <c r="Q2" t="s">
        <v>13154</v>
      </c>
      <c r="R2" t="s">
        <v>13153</v>
      </c>
      <c r="S2" t="s">
        <v>13152</v>
      </c>
      <c r="T2" t="s">
        <v>13151</v>
      </c>
      <c r="U2" t="s">
        <v>13150</v>
      </c>
      <c r="V2" t="s">
        <v>13149</v>
      </c>
      <c r="W2" t="s">
        <v>13148</v>
      </c>
      <c r="X2" t="s">
        <v>13147</v>
      </c>
      <c r="Y2" t="s">
        <v>13084</v>
      </c>
      <c r="Z2" t="s">
        <v>13146</v>
      </c>
      <c r="AA2" t="s">
        <v>13087</v>
      </c>
      <c r="AB2" t="s">
        <v>13145</v>
      </c>
      <c r="AC2" t="s">
        <v>13144</v>
      </c>
      <c r="AD2" t="s">
        <v>13137</v>
      </c>
      <c r="AE2" t="s">
        <v>13143</v>
      </c>
      <c r="AF2" t="s">
        <v>13087</v>
      </c>
      <c r="AG2" t="s">
        <v>13142</v>
      </c>
      <c r="AH2" t="s">
        <v>13141</v>
      </c>
      <c r="AI2" t="s">
        <v>13137</v>
      </c>
      <c r="AJ2" t="s">
        <v>13140</v>
      </c>
      <c r="AK2" t="s">
        <v>13087</v>
      </c>
      <c r="AL2" t="s">
        <v>13139</v>
      </c>
      <c r="AM2" t="s">
        <v>13138</v>
      </c>
      <c r="AN2" t="s">
        <v>13137</v>
      </c>
      <c r="AO2" t="s">
        <v>13136</v>
      </c>
      <c r="AP2" t="s">
        <v>13087</v>
      </c>
      <c r="AQ2" t="s">
        <v>13135</v>
      </c>
      <c r="AR2" t="s">
        <v>13134</v>
      </c>
      <c r="AS2" t="s">
        <v>13133</v>
      </c>
      <c r="AT2" t="s">
        <v>13132</v>
      </c>
      <c r="AU2" t="s">
        <v>13131</v>
      </c>
      <c r="AV2" t="s">
        <v>13130</v>
      </c>
      <c r="AW2" t="s">
        <v>13129</v>
      </c>
      <c r="AX2" t="s">
        <v>13087</v>
      </c>
      <c r="AY2" t="s">
        <v>13128</v>
      </c>
      <c r="AZ2" t="s">
        <v>13127</v>
      </c>
      <c r="BA2" t="s">
        <v>13126</v>
      </c>
      <c r="BB2" t="s">
        <v>13125</v>
      </c>
      <c r="BC2" t="s">
        <v>13124</v>
      </c>
      <c r="BD2" t="s">
        <v>13123</v>
      </c>
      <c r="BE2" t="s">
        <v>13121</v>
      </c>
      <c r="BF2" t="s">
        <v>13122</v>
      </c>
      <c r="BG2" t="s">
        <v>13121</v>
      </c>
      <c r="BH2" t="s">
        <v>13120</v>
      </c>
      <c r="BI2" t="s">
        <v>13119</v>
      </c>
      <c r="BJ2" t="s">
        <v>13118</v>
      </c>
      <c r="BK2" t="s">
        <v>13117</v>
      </c>
      <c r="BL2" t="s">
        <v>13116</v>
      </c>
      <c r="BM2" t="s">
        <v>13115</v>
      </c>
      <c r="BN2" t="s">
        <v>13114</v>
      </c>
      <c r="BO2" t="s">
        <v>13113</v>
      </c>
      <c r="BP2" t="s">
        <v>13112</v>
      </c>
      <c r="BQ2" t="s">
        <v>13111</v>
      </c>
      <c r="BR2" t="s">
        <v>13087</v>
      </c>
      <c r="BS2" t="s">
        <v>13110</v>
      </c>
      <c r="BT2" t="s">
        <v>13109</v>
      </c>
      <c r="BU2" t="s">
        <v>13108</v>
      </c>
      <c r="BV2" t="s">
        <v>13107</v>
      </c>
      <c r="BW2" t="s">
        <v>13106</v>
      </c>
      <c r="BX2" t="s">
        <v>13105</v>
      </c>
      <c r="BY2" t="s">
        <v>13104</v>
      </c>
      <c r="BZ2" t="s">
        <v>13103</v>
      </c>
      <c r="CA2" t="s">
        <v>13102</v>
      </c>
      <c r="CB2" t="s">
        <v>13101</v>
      </c>
      <c r="CC2" t="s">
        <v>13100</v>
      </c>
      <c r="CD2" t="s">
        <v>13099</v>
      </c>
      <c r="CE2" t="s">
        <v>13098</v>
      </c>
      <c r="CF2" t="s">
        <v>13097</v>
      </c>
      <c r="CG2" t="s">
        <v>13096</v>
      </c>
      <c r="CH2" t="s">
        <v>13095</v>
      </c>
      <c r="CI2" t="s">
        <v>13094</v>
      </c>
      <c r="CJ2" t="s">
        <v>13093</v>
      </c>
      <c r="CK2" t="s">
        <v>13092</v>
      </c>
      <c r="CL2" t="s">
        <v>13091</v>
      </c>
      <c r="CM2" t="s">
        <v>13087</v>
      </c>
      <c r="CN2" t="s">
        <v>13090</v>
      </c>
      <c r="CO2" t="s">
        <v>13089</v>
      </c>
      <c r="CP2" t="s">
        <v>13088</v>
      </c>
      <c r="CQ2" t="s">
        <v>13087</v>
      </c>
      <c r="CR2" t="s">
        <v>13086</v>
      </c>
      <c r="CS2" t="s">
        <v>13085</v>
      </c>
      <c r="CT2" t="s">
        <v>13084</v>
      </c>
      <c r="CU2" t="s">
        <v>13083</v>
      </c>
      <c r="CV2" t="s">
        <v>13082</v>
      </c>
      <c r="CZ2" t="s">
        <v>311</v>
      </c>
      <c r="DE2" t="s">
        <v>312</v>
      </c>
      <c r="DI2" t="s">
        <v>42</v>
      </c>
      <c r="DJ2" t="s">
        <v>313</v>
      </c>
      <c r="DK2" t="s">
        <v>56</v>
      </c>
      <c r="DL2" t="s">
        <v>45</v>
      </c>
      <c r="DM2" t="s">
        <v>12349</v>
      </c>
      <c r="DN2" t="s">
        <v>46</v>
      </c>
      <c r="DO2" t="s">
        <v>333</v>
      </c>
    </row>
    <row r="3" spans="1:119" x14ac:dyDescent="0.3">
      <c r="A3">
        <v>2</v>
      </c>
      <c r="B3" t="s">
        <v>12319</v>
      </c>
      <c r="C3" t="s">
        <v>12318</v>
      </c>
      <c r="D3" t="s">
        <v>13470</v>
      </c>
      <c r="E3">
        <v>2023</v>
      </c>
      <c r="F3" t="s">
        <v>1772</v>
      </c>
      <c r="G3">
        <v>621</v>
      </c>
      <c r="H3">
        <v>7980</v>
      </c>
      <c r="J3">
        <v>658</v>
      </c>
      <c r="M3">
        <v>1</v>
      </c>
      <c r="N3" t="s">
        <v>13469</v>
      </c>
      <c r="O3" t="s">
        <v>13468</v>
      </c>
      <c r="R3" t="s">
        <v>13189</v>
      </c>
      <c r="S3" t="s">
        <v>13467</v>
      </c>
      <c r="T3" t="s">
        <v>13466</v>
      </c>
      <c r="V3" t="s">
        <v>13465</v>
      </c>
      <c r="AN3" t="s">
        <v>125</v>
      </c>
      <c r="AS3">
        <v>280836</v>
      </c>
      <c r="AU3" t="s">
        <v>13464</v>
      </c>
      <c r="AV3">
        <v>37758895</v>
      </c>
      <c r="AW3" t="s">
        <v>42</v>
      </c>
      <c r="AX3" t="s">
        <v>1772</v>
      </c>
      <c r="AY3" t="s">
        <v>12669</v>
      </c>
      <c r="AZ3" t="s">
        <v>45</v>
      </c>
      <c r="BA3" t="s">
        <v>12349</v>
      </c>
      <c r="BB3" t="s">
        <v>46</v>
      </c>
      <c r="BC3" t="s">
        <v>13463</v>
      </c>
    </row>
    <row r="4" spans="1:119" x14ac:dyDescent="0.3">
      <c r="A4">
        <v>3</v>
      </c>
      <c r="B4" t="s">
        <v>12319</v>
      </c>
      <c r="C4" t="s">
        <v>12318</v>
      </c>
      <c r="D4" t="s">
        <v>13064</v>
      </c>
      <c r="E4">
        <v>2023</v>
      </c>
      <c r="F4" t="s">
        <v>13063</v>
      </c>
      <c r="L4">
        <v>900</v>
      </c>
      <c r="O4" t="s">
        <v>13062</v>
      </c>
      <c r="R4" t="s">
        <v>13061</v>
      </c>
      <c r="AL4" t="s">
        <v>13060</v>
      </c>
      <c r="AM4" t="s">
        <v>13059</v>
      </c>
      <c r="AN4" t="s">
        <v>88</v>
      </c>
      <c r="AO4" t="s">
        <v>13058</v>
      </c>
      <c r="AP4" t="s">
        <v>13057</v>
      </c>
      <c r="AR4">
        <v>198346</v>
      </c>
      <c r="AS4">
        <v>21611343</v>
      </c>
      <c r="AT4">
        <v>9798350381344</v>
      </c>
      <c r="AW4" t="s">
        <v>42</v>
      </c>
      <c r="AX4" t="s">
        <v>13056</v>
      </c>
      <c r="AY4" t="s">
        <v>12315</v>
      </c>
      <c r="AZ4" t="s">
        <v>45</v>
      </c>
      <c r="BB4" t="s">
        <v>46</v>
      </c>
      <c r="BC4" t="s">
        <v>13055</v>
      </c>
    </row>
    <row r="5" spans="1:119" x14ac:dyDescent="0.3">
      <c r="A5">
        <v>4</v>
      </c>
      <c r="B5" t="s">
        <v>12319</v>
      </c>
      <c r="C5" t="s">
        <v>12318</v>
      </c>
      <c r="D5" t="s">
        <v>12984</v>
      </c>
      <c r="E5">
        <v>2023</v>
      </c>
      <c r="F5" t="s">
        <v>12984</v>
      </c>
      <c r="L5">
        <v>281</v>
      </c>
      <c r="O5" t="s">
        <v>13037</v>
      </c>
      <c r="R5" t="s">
        <v>13036</v>
      </c>
      <c r="AL5" t="s">
        <v>12985</v>
      </c>
      <c r="AN5" t="s">
        <v>88</v>
      </c>
      <c r="AO5" t="s">
        <v>12984</v>
      </c>
      <c r="AP5" t="s">
        <v>12983</v>
      </c>
      <c r="AR5">
        <v>197174</v>
      </c>
      <c r="AT5">
        <v>9798350329315</v>
      </c>
      <c r="AW5" t="s">
        <v>42</v>
      </c>
      <c r="AX5" t="s">
        <v>12982</v>
      </c>
      <c r="AY5" t="s">
        <v>12315</v>
      </c>
      <c r="AZ5" t="s">
        <v>45</v>
      </c>
      <c r="BB5" t="s">
        <v>46</v>
      </c>
      <c r="BC5" t="s">
        <v>13035</v>
      </c>
    </row>
    <row r="6" spans="1:119" x14ac:dyDescent="0.3">
      <c r="A6">
        <v>5</v>
      </c>
      <c r="B6" t="s">
        <v>12319</v>
      </c>
      <c r="C6" t="s">
        <v>12318</v>
      </c>
      <c r="D6" t="s">
        <v>549</v>
      </c>
      <c r="E6">
        <v>2023</v>
      </c>
      <c r="F6" t="s">
        <v>383</v>
      </c>
      <c r="G6">
        <v>3605</v>
      </c>
      <c r="L6">
        <v>110</v>
      </c>
      <c r="O6" t="s">
        <v>550</v>
      </c>
      <c r="R6" t="s">
        <v>551</v>
      </c>
      <c r="AL6" t="s">
        <v>12892</v>
      </c>
      <c r="AN6" t="s">
        <v>389</v>
      </c>
      <c r="AO6" t="s">
        <v>12891</v>
      </c>
      <c r="AP6" t="s">
        <v>12890</v>
      </c>
      <c r="AR6">
        <v>196077</v>
      </c>
      <c r="AS6">
        <v>16130073</v>
      </c>
      <c r="AW6" t="s">
        <v>42</v>
      </c>
      <c r="AX6" t="s">
        <v>390</v>
      </c>
      <c r="AY6" t="s">
        <v>12315</v>
      </c>
      <c r="AZ6" t="s">
        <v>45</v>
      </c>
      <c r="BB6" t="s">
        <v>46</v>
      </c>
      <c r="BC6" t="s">
        <v>552</v>
      </c>
    </row>
    <row r="7" spans="1:119" x14ac:dyDescent="0.3">
      <c r="A7">
        <v>6</v>
      </c>
      <c r="B7" t="s">
        <v>12319</v>
      </c>
      <c r="C7" t="s">
        <v>12318</v>
      </c>
      <c r="D7" t="s">
        <v>858</v>
      </c>
      <c r="E7">
        <v>2023</v>
      </c>
      <c r="F7" t="s">
        <v>127</v>
      </c>
      <c r="G7" t="s">
        <v>859</v>
      </c>
      <c r="L7">
        <v>219</v>
      </c>
      <c r="O7" t="s">
        <v>860</v>
      </c>
      <c r="R7" t="s">
        <v>861</v>
      </c>
      <c r="AR7" t="s">
        <v>12711</v>
      </c>
      <c r="AT7" t="s">
        <v>92</v>
      </c>
      <c r="AU7" t="s">
        <v>858</v>
      </c>
      <c r="AV7" t="s">
        <v>12710</v>
      </c>
      <c r="AX7">
        <v>304739</v>
      </c>
      <c r="AY7">
        <v>3029743</v>
      </c>
      <c r="AZ7">
        <v>9789819983841</v>
      </c>
      <c r="BC7" t="s">
        <v>42</v>
      </c>
      <c r="BD7" t="s">
        <v>128</v>
      </c>
      <c r="BE7" t="s">
        <v>12315</v>
      </c>
      <c r="BF7" t="s">
        <v>45</v>
      </c>
      <c r="BH7" t="s">
        <v>46</v>
      </c>
      <c r="BI7" t="s">
        <v>862</v>
      </c>
    </row>
    <row r="8" spans="1:119" x14ac:dyDescent="0.3">
      <c r="A8">
        <v>7</v>
      </c>
      <c r="B8" t="s">
        <v>12319</v>
      </c>
      <c r="C8" t="s">
        <v>12318</v>
      </c>
      <c r="D8" t="s">
        <v>1198</v>
      </c>
      <c r="E8">
        <v>2023</v>
      </c>
      <c r="F8" t="s">
        <v>127</v>
      </c>
      <c r="G8" t="s">
        <v>1199</v>
      </c>
      <c r="L8">
        <v>835</v>
      </c>
      <c r="O8" t="s">
        <v>1200</v>
      </c>
      <c r="R8" t="s">
        <v>1201</v>
      </c>
      <c r="AR8" t="s">
        <v>12415</v>
      </c>
      <c r="AT8" t="s">
        <v>92</v>
      </c>
      <c r="AU8" t="s">
        <v>1198</v>
      </c>
      <c r="AV8" t="s">
        <v>12414</v>
      </c>
      <c r="AX8">
        <v>297049</v>
      </c>
      <c r="AY8">
        <v>3029743</v>
      </c>
      <c r="AZ8">
        <v>9783031362712</v>
      </c>
      <c r="BC8" t="s">
        <v>42</v>
      </c>
      <c r="BD8" t="s">
        <v>128</v>
      </c>
      <c r="BE8" t="s">
        <v>12315</v>
      </c>
      <c r="BF8" t="s">
        <v>45</v>
      </c>
      <c r="BH8" t="s">
        <v>46</v>
      </c>
      <c r="BI8" t="s">
        <v>1202</v>
      </c>
    </row>
    <row r="9" spans="1:119" x14ac:dyDescent="0.3">
      <c r="A9">
        <v>8</v>
      </c>
      <c r="B9" t="s">
        <v>12319</v>
      </c>
      <c r="C9" t="s">
        <v>12318</v>
      </c>
      <c r="D9" t="s">
        <v>863</v>
      </c>
      <c r="E9">
        <v>2022</v>
      </c>
      <c r="F9" t="s">
        <v>127</v>
      </c>
      <c r="G9" t="s">
        <v>1044</v>
      </c>
      <c r="L9">
        <v>1386</v>
      </c>
      <c r="O9" t="s">
        <v>1045</v>
      </c>
      <c r="R9" t="s">
        <v>866</v>
      </c>
      <c r="AR9" t="s">
        <v>12317</v>
      </c>
      <c r="AT9" t="s">
        <v>92</v>
      </c>
      <c r="AU9" t="s">
        <v>863</v>
      </c>
      <c r="AV9" t="s">
        <v>12316</v>
      </c>
      <c r="AX9">
        <v>281319</v>
      </c>
      <c r="AY9">
        <v>3029743</v>
      </c>
      <c r="AZ9">
        <v>9783031116469</v>
      </c>
      <c r="BC9" t="s">
        <v>42</v>
      </c>
      <c r="BD9" t="s">
        <v>128</v>
      </c>
      <c r="BE9" t="s">
        <v>12315</v>
      </c>
      <c r="BF9" t="s">
        <v>45</v>
      </c>
      <c r="BH9" t="s">
        <v>46</v>
      </c>
      <c r="BI9" t="s">
        <v>1046</v>
      </c>
    </row>
    <row r="10" spans="1:119" x14ac:dyDescent="0.3">
      <c r="A10">
        <v>9</v>
      </c>
      <c r="B10" t="s">
        <v>12319</v>
      </c>
      <c r="C10" t="s">
        <v>12318</v>
      </c>
      <c r="D10" t="s">
        <v>863</v>
      </c>
      <c r="E10">
        <v>2022</v>
      </c>
      <c r="F10" t="s">
        <v>127</v>
      </c>
      <c r="G10" t="s">
        <v>864</v>
      </c>
      <c r="L10">
        <v>1386</v>
      </c>
      <c r="O10" t="s">
        <v>865</v>
      </c>
      <c r="R10" t="s">
        <v>866</v>
      </c>
      <c r="AL10" t="s">
        <v>12317</v>
      </c>
      <c r="AN10" t="s">
        <v>92</v>
      </c>
      <c r="AO10" t="s">
        <v>863</v>
      </c>
      <c r="AP10" t="s">
        <v>12316</v>
      </c>
      <c r="AR10">
        <v>281319</v>
      </c>
      <c r="AS10">
        <v>3029743</v>
      </c>
      <c r="AT10">
        <v>9783031116438</v>
      </c>
      <c r="AW10" t="s">
        <v>42</v>
      </c>
      <c r="AX10" t="s">
        <v>128</v>
      </c>
      <c r="AY10" t="s">
        <v>12315</v>
      </c>
      <c r="AZ10" t="s">
        <v>45</v>
      </c>
      <c r="BB10" t="s">
        <v>46</v>
      </c>
      <c r="BC10" t="s">
        <v>867</v>
      </c>
    </row>
    <row r="11" spans="1:119" x14ac:dyDescent="0.3">
      <c r="A11">
        <v>10</v>
      </c>
      <c r="B11" t="s">
        <v>12897</v>
      </c>
      <c r="C11" t="s">
        <v>12896</v>
      </c>
      <c r="D11" t="s">
        <v>382</v>
      </c>
      <c r="E11">
        <v>2023</v>
      </c>
      <c r="F11" t="s">
        <v>383</v>
      </c>
      <c r="G11">
        <v>3605</v>
      </c>
      <c r="O11" t="s">
        <v>384</v>
      </c>
      <c r="P11" t="s">
        <v>385</v>
      </c>
      <c r="Q11" t="s">
        <v>12895</v>
      </c>
      <c r="R11" t="s">
        <v>386</v>
      </c>
      <c r="S11" t="s">
        <v>387</v>
      </c>
      <c r="T11" t="s">
        <v>388</v>
      </c>
      <c r="AJ11" t="s">
        <v>12894</v>
      </c>
      <c r="AK11" t="s">
        <v>12893</v>
      </c>
      <c r="AL11" t="s">
        <v>12892</v>
      </c>
      <c r="AN11" t="s">
        <v>389</v>
      </c>
      <c r="AO11" t="s">
        <v>12891</v>
      </c>
      <c r="AP11" t="s">
        <v>12890</v>
      </c>
      <c r="AR11">
        <v>196077</v>
      </c>
      <c r="AS11">
        <v>16130073</v>
      </c>
      <c r="AW11" t="s">
        <v>42</v>
      </c>
      <c r="AX11" t="s">
        <v>390</v>
      </c>
      <c r="AY11" t="s">
        <v>12252</v>
      </c>
      <c r="AZ11" t="s">
        <v>45</v>
      </c>
      <c r="BB11" t="s">
        <v>46</v>
      </c>
      <c r="BC11" t="s">
        <v>391</v>
      </c>
    </row>
    <row r="12" spans="1:119" x14ac:dyDescent="0.3">
      <c r="A12">
        <v>11</v>
      </c>
      <c r="B12" t="s">
        <v>13462</v>
      </c>
      <c r="C12" t="s">
        <v>13461</v>
      </c>
      <c r="D12" t="s">
        <v>415</v>
      </c>
      <c r="E12">
        <v>2023</v>
      </c>
      <c r="F12" t="s">
        <v>416</v>
      </c>
      <c r="G12">
        <v>13</v>
      </c>
      <c r="H12">
        <v>9</v>
      </c>
      <c r="I12">
        <v>885</v>
      </c>
      <c r="M12">
        <v>5</v>
      </c>
      <c r="N12" t="s">
        <v>417</v>
      </c>
      <c r="O12" t="s">
        <v>418</v>
      </c>
      <c r="P12" t="s">
        <v>13460</v>
      </c>
      <c r="Q12" t="s">
        <v>13459</v>
      </c>
      <c r="R12" t="s">
        <v>419</v>
      </c>
      <c r="S12" t="s">
        <v>420</v>
      </c>
      <c r="Y12" t="s">
        <v>13458</v>
      </c>
      <c r="Z12" t="s">
        <v>13457</v>
      </c>
      <c r="AJ12" t="s">
        <v>13456</v>
      </c>
      <c r="AK12" t="s">
        <v>13455</v>
      </c>
      <c r="AN12" t="s">
        <v>180</v>
      </c>
      <c r="AS12">
        <v>22277102</v>
      </c>
      <c r="AW12" t="s">
        <v>42</v>
      </c>
      <c r="AX12" t="s">
        <v>421</v>
      </c>
      <c r="AY12" t="s">
        <v>56</v>
      </c>
      <c r="AZ12" t="s">
        <v>45</v>
      </c>
      <c r="BA12" t="s">
        <v>12214</v>
      </c>
      <c r="BB12" t="s">
        <v>46</v>
      </c>
      <c r="BC12" t="s">
        <v>422</v>
      </c>
    </row>
    <row r="13" spans="1:119" x14ac:dyDescent="0.3">
      <c r="A13">
        <v>12</v>
      </c>
      <c r="B13" t="s">
        <v>12635</v>
      </c>
      <c r="C13" t="s">
        <v>12634</v>
      </c>
      <c r="D13" t="s">
        <v>1134</v>
      </c>
      <c r="E13">
        <v>2023</v>
      </c>
      <c r="F13" t="s">
        <v>383</v>
      </c>
      <c r="G13">
        <v>3497</v>
      </c>
      <c r="J13">
        <v>37</v>
      </c>
      <c r="K13">
        <v>59</v>
      </c>
      <c r="O13" t="s">
        <v>1135</v>
      </c>
      <c r="P13" t="s">
        <v>1136</v>
      </c>
      <c r="Q13" t="s">
        <v>12633</v>
      </c>
      <c r="R13" t="s">
        <v>1137</v>
      </c>
      <c r="S13" t="s">
        <v>1138</v>
      </c>
      <c r="T13" t="s">
        <v>1139</v>
      </c>
      <c r="Y13" t="s">
        <v>12632</v>
      </c>
      <c r="Z13" t="s">
        <v>12631</v>
      </c>
      <c r="AP13" t="s">
        <v>12630</v>
      </c>
      <c r="AQ13" t="s">
        <v>12629</v>
      </c>
      <c r="AR13" t="s">
        <v>12624</v>
      </c>
      <c r="AT13" t="s">
        <v>389</v>
      </c>
      <c r="AU13" t="s">
        <v>12623</v>
      </c>
      <c r="AV13" t="s">
        <v>12622</v>
      </c>
      <c r="AX13">
        <v>193170</v>
      </c>
      <c r="AY13">
        <v>16130073</v>
      </c>
      <c r="BC13" t="s">
        <v>42</v>
      </c>
      <c r="BD13" t="s">
        <v>390</v>
      </c>
      <c r="BE13" t="s">
        <v>12252</v>
      </c>
      <c r="BF13" t="s">
        <v>45</v>
      </c>
      <c r="BH13" t="s">
        <v>46</v>
      </c>
      <c r="BI13" t="s">
        <v>1140</v>
      </c>
    </row>
    <row r="14" spans="1:119" x14ac:dyDescent="0.3">
      <c r="A14">
        <v>13</v>
      </c>
      <c r="B14" t="s">
        <v>13338</v>
      </c>
      <c r="C14" t="s">
        <v>13337</v>
      </c>
      <c r="D14" t="s">
        <v>4395</v>
      </c>
      <c r="E14">
        <v>2023</v>
      </c>
      <c r="F14" t="s">
        <v>13336</v>
      </c>
      <c r="G14">
        <v>19</v>
      </c>
      <c r="H14">
        <v>8</v>
      </c>
      <c r="J14">
        <v>1236</v>
      </c>
      <c r="K14">
        <v>1242</v>
      </c>
      <c r="M14">
        <v>29</v>
      </c>
      <c r="N14" t="s">
        <v>4407</v>
      </c>
      <c r="O14" t="s">
        <v>13335</v>
      </c>
      <c r="P14" t="s">
        <v>13334</v>
      </c>
      <c r="Q14" t="s">
        <v>13333</v>
      </c>
      <c r="R14" t="s">
        <v>13332</v>
      </c>
      <c r="S14" t="s">
        <v>13331</v>
      </c>
      <c r="T14" t="s">
        <v>13330</v>
      </c>
      <c r="Z14" t="s">
        <v>13329</v>
      </c>
      <c r="AJ14" t="s">
        <v>13328</v>
      </c>
      <c r="AK14" t="s">
        <v>13327</v>
      </c>
      <c r="AN14" t="s">
        <v>229</v>
      </c>
      <c r="AS14">
        <v>15517411</v>
      </c>
      <c r="AV14">
        <v>37321925</v>
      </c>
      <c r="AW14" t="s">
        <v>42</v>
      </c>
      <c r="AX14" t="s">
        <v>4406</v>
      </c>
      <c r="AY14" t="s">
        <v>12366</v>
      </c>
      <c r="AZ14" t="s">
        <v>45</v>
      </c>
      <c r="BA14" t="s">
        <v>12275</v>
      </c>
      <c r="BB14" t="s">
        <v>46</v>
      </c>
      <c r="BC14" t="s">
        <v>13326</v>
      </c>
    </row>
    <row r="15" spans="1:119" x14ac:dyDescent="0.3">
      <c r="A15">
        <v>14</v>
      </c>
      <c r="B15" t="s">
        <v>12546</v>
      </c>
      <c r="C15" t="s">
        <v>12545</v>
      </c>
      <c r="D15" t="s">
        <v>1005</v>
      </c>
      <c r="E15">
        <v>2023</v>
      </c>
      <c r="F15" t="s">
        <v>1006</v>
      </c>
      <c r="G15">
        <v>22</v>
      </c>
      <c r="J15">
        <v>339</v>
      </c>
      <c r="K15">
        <v>372</v>
      </c>
      <c r="N15" t="s">
        <v>1007</v>
      </c>
      <c r="O15" t="s">
        <v>1008</v>
      </c>
      <c r="P15" t="s">
        <v>1009</v>
      </c>
      <c r="Q15" t="s">
        <v>12544</v>
      </c>
      <c r="R15" t="s">
        <v>1010</v>
      </c>
      <c r="S15" t="s">
        <v>1011</v>
      </c>
      <c r="AP15" t="s">
        <v>12543</v>
      </c>
      <c r="AQ15" t="s">
        <v>12542</v>
      </c>
      <c r="AT15" t="s">
        <v>1012</v>
      </c>
      <c r="AY15">
        <v>15479714</v>
      </c>
      <c r="BC15" t="s">
        <v>42</v>
      </c>
      <c r="BD15" t="s">
        <v>1013</v>
      </c>
      <c r="BE15" t="s">
        <v>56</v>
      </c>
      <c r="BF15" t="s">
        <v>45</v>
      </c>
      <c r="BG15" t="s">
        <v>12349</v>
      </c>
      <c r="BH15" t="s">
        <v>46</v>
      </c>
      <c r="BI15" t="s">
        <v>1014</v>
      </c>
    </row>
    <row r="16" spans="1:119" x14ac:dyDescent="0.3">
      <c r="A16">
        <v>15</v>
      </c>
      <c r="B16" t="s">
        <v>12964</v>
      </c>
      <c r="C16" t="s">
        <v>12963</v>
      </c>
      <c r="D16" t="s">
        <v>12962</v>
      </c>
      <c r="E16">
        <v>2023</v>
      </c>
      <c r="F16" t="s">
        <v>12961</v>
      </c>
      <c r="G16">
        <v>8</v>
      </c>
      <c r="I16" t="s">
        <v>12960</v>
      </c>
      <c r="N16" t="s">
        <v>12959</v>
      </c>
      <c r="O16" t="s">
        <v>12958</v>
      </c>
      <c r="P16" t="s">
        <v>12957</v>
      </c>
      <c r="Q16" t="s">
        <v>12956</v>
      </c>
      <c r="R16" t="s">
        <v>12955</v>
      </c>
      <c r="S16" t="s">
        <v>12954</v>
      </c>
      <c r="T16" t="s">
        <v>12953</v>
      </c>
      <c r="AJ16" t="s">
        <v>12952</v>
      </c>
      <c r="AM16" t="s">
        <v>12951</v>
      </c>
      <c r="AN16" t="s">
        <v>12951</v>
      </c>
      <c r="AO16" t="s">
        <v>12950</v>
      </c>
      <c r="AP16" t="s">
        <v>12949</v>
      </c>
      <c r="AR16">
        <v>197186</v>
      </c>
      <c r="AT16">
        <v>9780791887653</v>
      </c>
      <c r="AW16" t="s">
        <v>42</v>
      </c>
      <c r="AX16" t="s">
        <v>12948</v>
      </c>
      <c r="AY16" t="s">
        <v>12252</v>
      </c>
      <c r="AZ16" t="s">
        <v>45</v>
      </c>
      <c r="BB16" t="s">
        <v>46</v>
      </c>
      <c r="BC16" t="s">
        <v>12947</v>
      </c>
    </row>
    <row r="17" spans="1:61" x14ac:dyDescent="0.3">
      <c r="A17">
        <v>16</v>
      </c>
      <c r="B17" t="s">
        <v>12913</v>
      </c>
      <c r="C17" t="s">
        <v>12912</v>
      </c>
      <c r="D17" t="s">
        <v>266</v>
      </c>
      <c r="E17">
        <v>2023</v>
      </c>
      <c r="F17" t="s">
        <v>267</v>
      </c>
      <c r="G17">
        <v>13</v>
      </c>
      <c r="H17">
        <v>8</v>
      </c>
      <c r="J17">
        <v>67</v>
      </c>
      <c r="K17">
        <v>83</v>
      </c>
      <c r="N17" t="s">
        <v>268</v>
      </c>
      <c r="O17" t="s">
        <v>269</v>
      </c>
      <c r="P17" t="s">
        <v>270</v>
      </c>
      <c r="Q17" t="s">
        <v>12911</v>
      </c>
      <c r="R17" t="s">
        <v>271</v>
      </c>
      <c r="S17" t="s">
        <v>272</v>
      </c>
      <c r="Y17" t="s">
        <v>12910</v>
      </c>
      <c r="Z17" t="s">
        <v>12909</v>
      </c>
      <c r="AJ17" t="s">
        <v>12908</v>
      </c>
      <c r="AK17" t="s">
        <v>12907</v>
      </c>
      <c r="AN17" t="s">
        <v>273</v>
      </c>
      <c r="AS17">
        <v>21924880</v>
      </c>
      <c r="AW17" t="s">
        <v>42</v>
      </c>
      <c r="AX17" t="s">
        <v>274</v>
      </c>
      <c r="AY17" t="s">
        <v>56</v>
      </c>
      <c r="AZ17" t="s">
        <v>45</v>
      </c>
      <c r="BA17" t="s">
        <v>12214</v>
      </c>
      <c r="BB17" t="s">
        <v>46</v>
      </c>
      <c r="BC17" t="s">
        <v>275</v>
      </c>
    </row>
    <row r="18" spans="1:61" x14ac:dyDescent="0.3">
      <c r="A18">
        <v>17</v>
      </c>
      <c r="B18" t="s">
        <v>13695</v>
      </c>
      <c r="C18" t="s">
        <v>13694</v>
      </c>
      <c r="D18" t="s">
        <v>2109</v>
      </c>
      <c r="E18">
        <v>2023</v>
      </c>
      <c r="F18" t="s">
        <v>13693</v>
      </c>
      <c r="G18">
        <v>3</v>
      </c>
      <c r="H18">
        <v>1</v>
      </c>
      <c r="J18">
        <v>23</v>
      </c>
      <c r="K18">
        <v>33</v>
      </c>
      <c r="N18" t="s">
        <v>2118</v>
      </c>
      <c r="O18" t="s">
        <v>13692</v>
      </c>
      <c r="P18" t="s">
        <v>13691</v>
      </c>
      <c r="Q18" t="s">
        <v>13690</v>
      </c>
      <c r="R18" t="s">
        <v>13689</v>
      </c>
      <c r="Y18" t="s">
        <v>13688</v>
      </c>
      <c r="Z18" t="s">
        <v>13687</v>
      </c>
      <c r="AJ18" t="s">
        <v>13686</v>
      </c>
      <c r="AK18" t="s">
        <v>13685</v>
      </c>
      <c r="AN18" t="s">
        <v>13684</v>
      </c>
      <c r="AS18" t="s">
        <v>13683</v>
      </c>
      <c r="AW18" t="s">
        <v>42</v>
      </c>
      <c r="AX18" t="s">
        <v>1527</v>
      </c>
      <c r="AY18" t="s">
        <v>12366</v>
      </c>
      <c r="AZ18" t="s">
        <v>45</v>
      </c>
      <c r="BA18" t="s">
        <v>12214</v>
      </c>
      <c r="BB18" t="s">
        <v>46</v>
      </c>
      <c r="BC18" t="s">
        <v>13682</v>
      </c>
    </row>
    <row r="19" spans="1:61" x14ac:dyDescent="0.3">
      <c r="A19">
        <v>18</v>
      </c>
      <c r="B19" t="s">
        <v>12232</v>
      </c>
      <c r="C19" t="s">
        <v>12231</v>
      </c>
      <c r="D19" t="s">
        <v>1427</v>
      </c>
      <c r="E19">
        <v>2018</v>
      </c>
      <c r="F19" t="s">
        <v>1428</v>
      </c>
      <c r="G19">
        <v>73</v>
      </c>
      <c r="H19">
        <v>4</v>
      </c>
      <c r="J19">
        <v>526</v>
      </c>
      <c r="K19">
        <v>531</v>
      </c>
      <c r="M19">
        <v>12</v>
      </c>
      <c r="N19" t="s">
        <v>1429</v>
      </c>
      <c r="O19" t="s">
        <v>1430</v>
      </c>
      <c r="P19" t="s">
        <v>12230</v>
      </c>
      <c r="Q19" t="s">
        <v>12229</v>
      </c>
      <c r="R19" t="s">
        <v>1431</v>
      </c>
      <c r="S19" t="s">
        <v>1432</v>
      </c>
      <c r="T19" t="s">
        <v>12228</v>
      </c>
      <c r="V19" t="s">
        <v>12227</v>
      </c>
      <c r="AJ19" t="s">
        <v>12226</v>
      </c>
      <c r="AK19" t="s">
        <v>12225</v>
      </c>
      <c r="AN19" t="s">
        <v>211</v>
      </c>
      <c r="AS19">
        <v>10795006</v>
      </c>
      <c r="AU19" t="s">
        <v>1433</v>
      </c>
      <c r="AV19">
        <v>28958061</v>
      </c>
      <c r="AW19" t="s">
        <v>42</v>
      </c>
      <c r="AX19" t="s">
        <v>1434</v>
      </c>
      <c r="AY19" t="s">
        <v>56</v>
      </c>
      <c r="AZ19" t="s">
        <v>45</v>
      </c>
      <c r="BA19" t="s">
        <v>12224</v>
      </c>
      <c r="BB19" t="s">
        <v>46</v>
      </c>
      <c r="BC19" t="s">
        <v>1435</v>
      </c>
    </row>
    <row r="20" spans="1:61" x14ac:dyDescent="0.3">
      <c r="A20">
        <v>19</v>
      </c>
      <c r="B20" t="s">
        <v>13627</v>
      </c>
      <c r="C20" t="s">
        <v>13626</v>
      </c>
      <c r="D20" t="s">
        <v>104</v>
      </c>
      <c r="E20">
        <v>2023</v>
      </c>
      <c r="F20" t="s">
        <v>105</v>
      </c>
      <c r="G20">
        <v>20</v>
      </c>
      <c r="H20">
        <v>1</v>
      </c>
      <c r="I20">
        <v>59</v>
      </c>
      <c r="M20">
        <v>3</v>
      </c>
      <c r="N20" t="s">
        <v>106</v>
      </c>
      <c r="O20" t="s">
        <v>107</v>
      </c>
      <c r="P20" t="s">
        <v>13625</v>
      </c>
      <c r="Q20" t="s">
        <v>13624</v>
      </c>
      <c r="R20" t="s">
        <v>108</v>
      </c>
      <c r="S20" t="s">
        <v>109</v>
      </c>
      <c r="AJ20" t="s">
        <v>13623</v>
      </c>
      <c r="AK20" t="s">
        <v>13622</v>
      </c>
      <c r="AN20" t="s">
        <v>92</v>
      </c>
      <c r="AS20">
        <v>23659440</v>
      </c>
      <c r="AW20" t="s">
        <v>42</v>
      </c>
      <c r="AX20" t="s">
        <v>110</v>
      </c>
      <c r="AY20" t="s">
        <v>56</v>
      </c>
      <c r="AZ20" t="s">
        <v>45</v>
      </c>
      <c r="BA20" t="s">
        <v>12251</v>
      </c>
      <c r="BB20" t="s">
        <v>46</v>
      </c>
      <c r="BC20" t="s">
        <v>111</v>
      </c>
    </row>
    <row r="21" spans="1:61" x14ac:dyDescent="0.3">
      <c r="A21">
        <v>20</v>
      </c>
      <c r="B21" t="s">
        <v>13432</v>
      </c>
      <c r="C21" t="s">
        <v>13431</v>
      </c>
      <c r="D21" t="s">
        <v>69</v>
      </c>
      <c r="E21">
        <v>2023</v>
      </c>
      <c r="F21" t="s">
        <v>70</v>
      </c>
      <c r="G21">
        <v>54</v>
      </c>
      <c r="H21">
        <v>5</v>
      </c>
      <c r="J21">
        <v>1222</v>
      </c>
      <c r="K21">
        <v>1245</v>
      </c>
      <c r="M21">
        <v>19</v>
      </c>
      <c r="N21" t="s">
        <v>71</v>
      </c>
      <c r="O21" t="s">
        <v>72</v>
      </c>
      <c r="P21" t="s">
        <v>73</v>
      </c>
      <c r="Q21" t="s">
        <v>13430</v>
      </c>
      <c r="R21" t="s">
        <v>74</v>
      </c>
      <c r="S21" t="s">
        <v>75</v>
      </c>
      <c r="T21" t="s">
        <v>76</v>
      </c>
      <c r="Y21" t="s">
        <v>13429</v>
      </c>
      <c r="Z21" t="s">
        <v>13428</v>
      </c>
      <c r="AJ21" t="s">
        <v>13427</v>
      </c>
    </row>
    <row r="22" spans="1:61" x14ac:dyDescent="0.3">
      <c r="A22">
        <v>21</v>
      </c>
      <c r="B22" t="s">
        <v>183</v>
      </c>
      <c r="C22" t="s">
        <v>12880</v>
      </c>
      <c r="D22" t="s">
        <v>184</v>
      </c>
      <c r="E22">
        <v>2023</v>
      </c>
      <c r="F22" t="s">
        <v>185</v>
      </c>
      <c r="N22" t="s">
        <v>186</v>
      </c>
      <c r="O22" t="s">
        <v>187</v>
      </c>
      <c r="P22" t="s">
        <v>188</v>
      </c>
      <c r="Q22" t="s">
        <v>12879</v>
      </c>
      <c r="R22" t="s">
        <v>189</v>
      </c>
      <c r="S22" t="s">
        <v>190</v>
      </c>
      <c r="AP22" t="s">
        <v>12878</v>
      </c>
      <c r="AQ22" t="s">
        <v>12877</v>
      </c>
      <c r="AS22" t="s">
        <v>12876</v>
      </c>
      <c r="AT22" t="s">
        <v>88</v>
      </c>
      <c r="AU22" t="s">
        <v>12875</v>
      </c>
      <c r="AV22" t="s">
        <v>12874</v>
      </c>
      <c r="AX22">
        <v>196211</v>
      </c>
      <c r="AY22">
        <v>15394565</v>
      </c>
      <c r="AZ22">
        <v>9798350336429</v>
      </c>
      <c r="BA22" t="s">
        <v>191</v>
      </c>
      <c r="BC22" t="s">
        <v>42</v>
      </c>
      <c r="BD22" t="s">
        <v>192</v>
      </c>
      <c r="BE22" t="s">
        <v>12252</v>
      </c>
      <c r="BF22" t="s">
        <v>45</v>
      </c>
      <c r="BH22" t="s">
        <v>46</v>
      </c>
      <c r="BI22" t="s">
        <v>193</v>
      </c>
    </row>
    <row r="23" spans="1:61" x14ac:dyDescent="0.3">
      <c r="A23">
        <v>22</v>
      </c>
      <c r="B23" t="s">
        <v>12535</v>
      </c>
      <c r="C23" t="s">
        <v>12534</v>
      </c>
      <c r="D23" t="s">
        <v>1048</v>
      </c>
      <c r="E23">
        <v>2023</v>
      </c>
      <c r="F23" t="s">
        <v>252</v>
      </c>
      <c r="G23">
        <v>5</v>
      </c>
      <c r="I23">
        <v>100172</v>
      </c>
      <c r="M23">
        <v>4</v>
      </c>
      <c r="N23" t="s">
        <v>1049</v>
      </c>
      <c r="O23" t="s">
        <v>1050</v>
      </c>
      <c r="P23" t="s">
        <v>1051</v>
      </c>
      <c r="Q23" t="s">
        <v>12533</v>
      </c>
      <c r="R23" t="s">
        <v>1052</v>
      </c>
      <c r="S23" t="s">
        <v>1053</v>
      </c>
      <c r="T23" t="s">
        <v>1054</v>
      </c>
      <c r="AP23" t="s">
        <v>12532</v>
      </c>
      <c r="AQ23" t="s">
        <v>12531</v>
      </c>
      <c r="AT23" t="s">
        <v>253</v>
      </c>
      <c r="AY23" t="s">
        <v>254</v>
      </c>
      <c r="BC23" t="s">
        <v>42</v>
      </c>
      <c r="BD23" t="s">
        <v>255</v>
      </c>
      <c r="BE23" t="s">
        <v>56</v>
      </c>
      <c r="BF23" t="s">
        <v>45</v>
      </c>
      <c r="BG23" t="s">
        <v>12251</v>
      </c>
      <c r="BH23" t="s">
        <v>46</v>
      </c>
      <c r="BI23" t="s">
        <v>1055</v>
      </c>
    </row>
    <row r="24" spans="1:61" x14ac:dyDescent="0.3">
      <c r="A24">
        <v>23</v>
      </c>
      <c r="B24" t="s">
        <v>13255</v>
      </c>
      <c r="C24" t="s">
        <v>13254</v>
      </c>
      <c r="D24" t="s">
        <v>723</v>
      </c>
      <c r="E24">
        <v>2023</v>
      </c>
      <c r="F24" t="s">
        <v>366</v>
      </c>
      <c r="G24">
        <v>307</v>
      </c>
      <c r="H24">
        <v>5</v>
      </c>
      <c r="I24" t="s">
        <v>724</v>
      </c>
      <c r="M24">
        <v>80</v>
      </c>
      <c r="N24" t="s">
        <v>725</v>
      </c>
      <c r="O24" t="s">
        <v>726</v>
      </c>
      <c r="P24" t="s">
        <v>13253</v>
      </c>
      <c r="Q24" t="s">
        <v>13252</v>
      </c>
      <c r="R24" t="s">
        <v>727</v>
      </c>
      <c r="T24" t="s">
        <v>13251</v>
      </c>
      <c r="AJ24" t="s">
        <v>13250</v>
      </c>
      <c r="AK24" t="s">
        <v>13249</v>
      </c>
      <c r="AN24" t="s">
        <v>372</v>
      </c>
      <c r="AS24">
        <v>338419</v>
      </c>
      <c r="AU24" t="s">
        <v>373</v>
      </c>
      <c r="AV24">
        <v>37191485</v>
      </c>
      <c r="AW24" t="s">
        <v>42</v>
      </c>
      <c r="AX24" t="s">
        <v>366</v>
      </c>
      <c r="AY24" t="s">
        <v>56</v>
      </c>
      <c r="AZ24" t="s">
        <v>45</v>
      </c>
      <c r="BB24" t="s">
        <v>46</v>
      </c>
      <c r="BC24" t="s">
        <v>728</v>
      </c>
    </row>
    <row r="25" spans="1:61" x14ac:dyDescent="0.3">
      <c r="A25">
        <v>24</v>
      </c>
      <c r="B25" t="s">
        <v>12274</v>
      </c>
      <c r="C25" t="s">
        <v>12273</v>
      </c>
      <c r="D25" t="s">
        <v>954</v>
      </c>
      <c r="E25">
        <v>2019</v>
      </c>
      <c r="F25" t="s">
        <v>955</v>
      </c>
      <c r="G25">
        <v>48</v>
      </c>
      <c r="H25">
        <v>6</v>
      </c>
      <c r="J25">
        <v>696</v>
      </c>
      <c r="K25">
        <v>699</v>
      </c>
      <c r="M25">
        <v>2</v>
      </c>
      <c r="N25" t="s">
        <v>956</v>
      </c>
      <c r="O25" t="s">
        <v>957</v>
      </c>
      <c r="P25" t="s">
        <v>958</v>
      </c>
      <c r="Q25" t="s">
        <v>12272</v>
      </c>
      <c r="R25" t="s">
        <v>959</v>
      </c>
      <c r="T25" t="s">
        <v>960</v>
      </c>
      <c r="Y25" t="s">
        <v>12271</v>
      </c>
      <c r="Z25" t="s">
        <v>12270</v>
      </c>
      <c r="AJ25" t="s">
        <v>12269</v>
      </c>
      <c r="AK25" t="s">
        <v>12268</v>
      </c>
      <c r="AN25" t="s">
        <v>961</v>
      </c>
      <c r="AS25">
        <v>498246</v>
      </c>
      <c r="AU25" t="s">
        <v>962</v>
      </c>
      <c r="AW25" t="s">
        <v>42</v>
      </c>
      <c r="AX25" t="s">
        <v>963</v>
      </c>
      <c r="AY25" t="s">
        <v>56</v>
      </c>
      <c r="AZ25" t="s">
        <v>45</v>
      </c>
      <c r="BB25" t="s">
        <v>46</v>
      </c>
      <c r="BC25" t="s">
        <v>964</v>
      </c>
    </row>
    <row r="26" spans="1:61" x14ac:dyDescent="0.3">
      <c r="A26">
        <v>25</v>
      </c>
      <c r="B26" t="s">
        <v>12794</v>
      </c>
      <c r="C26" t="s">
        <v>12793</v>
      </c>
      <c r="D26" t="s">
        <v>639</v>
      </c>
      <c r="E26">
        <v>2023</v>
      </c>
      <c r="F26" t="s">
        <v>383</v>
      </c>
      <c r="G26">
        <v>3598</v>
      </c>
      <c r="J26">
        <v>90</v>
      </c>
      <c r="K26">
        <v>102</v>
      </c>
      <c r="O26" t="s">
        <v>640</v>
      </c>
      <c r="P26" t="s">
        <v>641</v>
      </c>
      <c r="Q26" t="s">
        <v>12792</v>
      </c>
      <c r="R26" t="s">
        <v>642</v>
      </c>
      <c r="S26" t="s">
        <v>643</v>
      </c>
      <c r="T26" t="s">
        <v>644</v>
      </c>
      <c r="Z26" t="s">
        <v>12791</v>
      </c>
      <c r="AP26" t="s">
        <v>12790</v>
      </c>
      <c r="AR26" t="s">
        <v>12789</v>
      </c>
      <c r="AT26" t="s">
        <v>389</v>
      </c>
      <c r="AU26" t="s">
        <v>12788</v>
      </c>
      <c r="AV26" t="s">
        <v>12787</v>
      </c>
      <c r="AX26">
        <v>195720</v>
      </c>
      <c r="AY26">
        <v>16130073</v>
      </c>
      <c r="BC26" t="s">
        <v>42</v>
      </c>
      <c r="BD26" t="s">
        <v>390</v>
      </c>
      <c r="BE26" t="s">
        <v>12252</v>
      </c>
      <c r="BF26" t="s">
        <v>45</v>
      </c>
      <c r="BH26" t="s">
        <v>46</v>
      </c>
      <c r="BI26" t="s">
        <v>645</v>
      </c>
    </row>
    <row r="27" spans="1:61" x14ac:dyDescent="0.3">
      <c r="A27">
        <v>26</v>
      </c>
      <c r="B27" t="s">
        <v>13054</v>
      </c>
      <c r="C27" t="s">
        <v>13053</v>
      </c>
      <c r="D27" t="s">
        <v>13052</v>
      </c>
      <c r="E27">
        <v>2023</v>
      </c>
      <c r="F27" t="s">
        <v>13051</v>
      </c>
      <c r="G27">
        <v>15</v>
      </c>
      <c r="H27">
        <v>4</v>
      </c>
      <c r="J27">
        <v>261</v>
      </c>
      <c r="K27">
        <v>270</v>
      </c>
      <c r="M27">
        <v>2</v>
      </c>
      <c r="N27" t="s">
        <v>13050</v>
      </c>
      <c r="O27" t="s">
        <v>13049</v>
      </c>
      <c r="P27" t="s">
        <v>13048</v>
      </c>
      <c r="Q27" t="s">
        <v>13047</v>
      </c>
      <c r="R27" t="s">
        <v>13046</v>
      </c>
      <c r="S27" t="s">
        <v>13045</v>
      </c>
      <c r="Y27" t="s">
        <v>13044</v>
      </c>
      <c r="Z27" t="s">
        <v>13043</v>
      </c>
      <c r="AJ27" t="s">
        <v>13042</v>
      </c>
      <c r="AK27" t="s">
        <v>13041</v>
      </c>
      <c r="AN27" t="s">
        <v>13040</v>
      </c>
      <c r="AS27">
        <v>13699997</v>
      </c>
      <c r="AW27" t="s">
        <v>42</v>
      </c>
      <c r="AX27" t="s">
        <v>13039</v>
      </c>
      <c r="AY27" t="s">
        <v>56</v>
      </c>
      <c r="AZ27" t="s">
        <v>45</v>
      </c>
      <c r="BA27" t="s">
        <v>12251</v>
      </c>
      <c r="BB27" t="s">
        <v>46</v>
      </c>
      <c r="BC27" t="s">
        <v>13038</v>
      </c>
    </row>
    <row r="28" spans="1:61" x14ac:dyDescent="0.3">
      <c r="A28">
        <v>27</v>
      </c>
      <c r="B28" t="s">
        <v>12250</v>
      </c>
      <c r="C28" t="s">
        <v>12249</v>
      </c>
      <c r="D28" t="s">
        <v>868</v>
      </c>
      <c r="E28">
        <v>2019</v>
      </c>
      <c r="F28" t="s">
        <v>831</v>
      </c>
      <c r="G28">
        <v>53</v>
      </c>
      <c r="H28">
        <v>1</v>
      </c>
      <c r="J28">
        <v>70</v>
      </c>
      <c r="K28">
        <v>89</v>
      </c>
      <c r="M28">
        <v>1</v>
      </c>
      <c r="N28" t="s">
        <v>869</v>
      </c>
      <c r="O28" t="s">
        <v>870</v>
      </c>
      <c r="P28" t="s">
        <v>871</v>
      </c>
      <c r="Q28" t="s">
        <v>12248</v>
      </c>
      <c r="R28" t="s">
        <v>872</v>
      </c>
      <c r="S28" t="s">
        <v>873</v>
      </c>
      <c r="AJ28" t="s">
        <v>12247</v>
      </c>
      <c r="AK28" t="s">
        <v>12246</v>
      </c>
      <c r="AN28" t="s">
        <v>251</v>
      </c>
      <c r="AS28">
        <v>3069400</v>
      </c>
      <c r="AW28" t="s">
        <v>42</v>
      </c>
      <c r="AX28" t="s">
        <v>837</v>
      </c>
      <c r="AY28" t="s">
        <v>56</v>
      </c>
      <c r="AZ28" t="s">
        <v>45</v>
      </c>
      <c r="BA28" t="s">
        <v>12245</v>
      </c>
      <c r="BB28" t="s">
        <v>46</v>
      </c>
      <c r="BC28" t="s">
        <v>874</v>
      </c>
    </row>
    <row r="29" spans="1:61" x14ac:dyDescent="0.3">
      <c r="A29">
        <v>28</v>
      </c>
      <c r="B29" t="s">
        <v>404</v>
      </c>
      <c r="C29" t="s">
        <v>12314</v>
      </c>
      <c r="D29" t="s">
        <v>405</v>
      </c>
      <c r="E29">
        <v>2023</v>
      </c>
      <c r="F29" t="s">
        <v>406</v>
      </c>
      <c r="G29">
        <v>8</v>
      </c>
      <c r="H29">
        <v>1</v>
      </c>
      <c r="I29">
        <v>20</v>
      </c>
      <c r="M29">
        <v>2</v>
      </c>
      <c r="N29" t="s">
        <v>407</v>
      </c>
      <c r="O29" t="s">
        <v>408</v>
      </c>
      <c r="P29" t="s">
        <v>409</v>
      </c>
      <c r="Q29" t="s">
        <v>13609</v>
      </c>
      <c r="R29" t="s">
        <v>410</v>
      </c>
      <c r="S29" t="s">
        <v>411</v>
      </c>
      <c r="AJ29" t="s">
        <v>13608</v>
      </c>
      <c r="AK29" t="s">
        <v>13607</v>
      </c>
      <c r="AN29" t="s">
        <v>412</v>
      </c>
      <c r="AS29">
        <v>23635169</v>
      </c>
      <c r="AW29" t="s">
        <v>42</v>
      </c>
      <c r="AX29" t="s">
        <v>413</v>
      </c>
      <c r="AY29" t="s">
        <v>56</v>
      </c>
      <c r="AZ29" t="s">
        <v>45</v>
      </c>
      <c r="BA29" t="s">
        <v>12251</v>
      </c>
      <c r="BB29" t="s">
        <v>46</v>
      </c>
      <c r="BC29" t="s">
        <v>414</v>
      </c>
    </row>
    <row r="30" spans="1:61" x14ac:dyDescent="0.3">
      <c r="A30">
        <v>29</v>
      </c>
      <c r="B30" t="s">
        <v>404</v>
      </c>
      <c r="C30" t="s">
        <v>12314</v>
      </c>
      <c r="D30" t="s">
        <v>1015</v>
      </c>
      <c r="E30">
        <v>2021</v>
      </c>
      <c r="F30" t="s">
        <v>1016</v>
      </c>
      <c r="G30">
        <v>103</v>
      </c>
      <c r="I30">
        <v>102645</v>
      </c>
      <c r="M30">
        <v>15</v>
      </c>
      <c r="N30" t="s">
        <v>1017</v>
      </c>
      <c r="O30" t="s">
        <v>1018</v>
      </c>
      <c r="P30" t="s">
        <v>1019</v>
      </c>
      <c r="Q30" t="s">
        <v>12313</v>
      </c>
      <c r="R30" t="s">
        <v>1020</v>
      </c>
      <c r="S30" t="s">
        <v>1021</v>
      </c>
      <c r="Z30" t="s">
        <v>12312</v>
      </c>
      <c r="AJ30" t="s">
        <v>12311</v>
      </c>
      <c r="AN30" t="s">
        <v>1022</v>
      </c>
      <c r="AS30" t="s">
        <v>1023</v>
      </c>
      <c r="AW30" t="s">
        <v>42</v>
      </c>
      <c r="AX30" t="s">
        <v>1016</v>
      </c>
      <c r="AY30" t="s">
        <v>56</v>
      </c>
      <c r="AZ30" t="s">
        <v>45</v>
      </c>
      <c r="BA30" t="s">
        <v>12310</v>
      </c>
      <c r="BB30" t="s">
        <v>46</v>
      </c>
      <c r="BC30" t="s">
        <v>1024</v>
      </c>
    </row>
    <row r="31" spans="1:61" x14ac:dyDescent="0.3">
      <c r="A31">
        <v>30</v>
      </c>
      <c r="B31" t="s">
        <v>13288</v>
      </c>
      <c r="C31" t="s">
        <v>13287</v>
      </c>
      <c r="D31" t="s">
        <v>467</v>
      </c>
      <c r="E31">
        <v>2023</v>
      </c>
      <c r="F31" t="s">
        <v>305</v>
      </c>
      <c r="G31">
        <v>6</v>
      </c>
      <c r="H31">
        <v>2</v>
      </c>
      <c r="J31">
        <v>346</v>
      </c>
      <c r="K31">
        <v>357</v>
      </c>
      <c r="M31">
        <v>5</v>
      </c>
      <c r="N31" t="s">
        <v>468</v>
      </c>
      <c r="O31" t="s">
        <v>469</v>
      </c>
      <c r="P31" t="s">
        <v>470</v>
      </c>
      <c r="Q31" t="s">
        <v>13286</v>
      </c>
      <c r="R31" t="s">
        <v>471</v>
      </c>
      <c r="S31" t="s">
        <v>472</v>
      </c>
      <c r="AJ31" t="s">
        <v>13285</v>
      </c>
      <c r="AN31" t="s">
        <v>311</v>
      </c>
      <c r="AS31" t="s">
        <v>312</v>
      </c>
      <c r="AW31" t="s">
        <v>42</v>
      </c>
      <c r="AX31" t="s">
        <v>313</v>
      </c>
      <c r="AY31" t="s">
        <v>56</v>
      </c>
      <c r="AZ31" t="s">
        <v>45</v>
      </c>
      <c r="BA31" t="s">
        <v>12349</v>
      </c>
      <c r="BB31" t="s">
        <v>46</v>
      </c>
      <c r="BC31" t="s">
        <v>473</v>
      </c>
    </row>
    <row r="32" spans="1:61" x14ac:dyDescent="0.3">
      <c r="A32">
        <v>31</v>
      </c>
      <c r="B32" t="s">
        <v>13233</v>
      </c>
      <c r="C32" t="s">
        <v>13232</v>
      </c>
      <c r="D32" t="s">
        <v>693</v>
      </c>
      <c r="E32">
        <v>2023</v>
      </c>
      <c r="F32" t="s">
        <v>694</v>
      </c>
      <c r="G32">
        <v>142</v>
      </c>
      <c r="I32">
        <v>104370</v>
      </c>
      <c r="M32">
        <v>4</v>
      </c>
      <c r="N32" t="s">
        <v>695</v>
      </c>
      <c r="O32" t="s">
        <v>696</v>
      </c>
      <c r="P32" t="s">
        <v>697</v>
      </c>
      <c r="Q32" t="s">
        <v>13231</v>
      </c>
      <c r="R32" t="s">
        <v>698</v>
      </c>
      <c r="S32" t="s">
        <v>699</v>
      </c>
      <c r="T32" t="s">
        <v>13230</v>
      </c>
      <c r="Y32" t="s">
        <v>13229</v>
      </c>
      <c r="Z32" t="s">
        <v>13228</v>
      </c>
      <c r="AA32" t="s">
        <v>13227</v>
      </c>
      <c r="AJ32" t="s">
        <v>13226</v>
      </c>
      <c r="AK32" t="s">
        <v>13225</v>
      </c>
      <c r="AN32" t="s">
        <v>700</v>
      </c>
      <c r="AS32">
        <v>15320464</v>
      </c>
      <c r="AU32" t="s">
        <v>701</v>
      </c>
      <c r="AV32">
        <v>37100106</v>
      </c>
      <c r="AW32" t="s">
        <v>42</v>
      </c>
      <c r="AX32" t="s">
        <v>702</v>
      </c>
      <c r="AY32" t="s">
        <v>56</v>
      </c>
      <c r="AZ32" t="s">
        <v>45</v>
      </c>
      <c r="BA32" t="s">
        <v>12245</v>
      </c>
      <c r="BB32" t="s">
        <v>46</v>
      </c>
      <c r="BC32" t="s">
        <v>703</v>
      </c>
    </row>
    <row r="33" spans="1:61" x14ac:dyDescent="0.3">
      <c r="A33">
        <v>32</v>
      </c>
      <c r="B33" t="s">
        <v>13438</v>
      </c>
      <c r="C33" t="s">
        <v>13437</v>
      </c>
      <c r="D33" t="s">
        <v>646</v>
      </c>
      <c r="E33">
        <v>2023</v>
      </c>
      <c r="F33" t="s">
        <v>647</v>
      </c>
      <c r="G33">
        <v>120</v>
      </c>
      <c r="H33">
        <v>3</v>
      </c>
      <c r="J33">
        <v>575</v>
      </c>
      <c r="K33">
        <v>583</v>
      </c>
      <c r="M33">
        <v>15</v>
      </c>
      <c r="N33" t="s">
        <v>648</v>
      </c>
      <c r="O33" t="s">
        <v>649</v>
      </c>
      <c r="P33" t="s">
        <v>650</v>
      </c>
      <c r="Q33" t="s">
        <v>13436</v>
      </c>
      <c r="R33" t="s">
        <v>651</v>
      </c>
      <c r="S33" t="s">
        <v>652</v>
      </c>
      <c r="T33" t="s">
        <v>13435</v>
      </c>
      <c r="AJ33" t="s">
        <v>13434</v>
      </c>
      <c r="AK33" t="s">
        <v>13433</v>
      </c>
      <c r="AN33" t="s">
        <v>229</v>
      </c>
      <c r="AS33">
        <v>150282</v>
      </c>
      <c r="AU33" t="s">
        <v>653</v>
      </c>
      <c r="AV33">
        <v>37217092</v>
      </c>
      <c r="AW33" t="s">
        <v>42</v>
      </c>
      <c r="AX33" t="s">
        <v>654</v>
      </c>
      <c r="AY33" t="s">
        <v>56</v>
      </c>
      <c r="AZ33" t="s">
        <v>45</v>
      </c>
      <c r="BA33" t="s">
        <v>12275</v>
      </c>
      <c r="BB33" t="s">
        <v>46</v>
      </c>
      <c r="BC33" t="s">
        <v>655</v>
      </c>
    </row>
    <row r="34" spans="1:61" x14ac:dyDescent="0.3">
      <c r="A34">
        <v>33</v>
      </c>
      <c r="B34" t="s">
        <v>13344</v>
      </c>
      <c r="C34" t="s">
        <v>13343</v>
      </c>
      <c r="D34" t="s">
        <v>581</v>
      </c>
      <c r="E34">
        <v>2023</v>
      </c>
      <c r="F34" t="s">
        <v>486</v>
      </c>
      <c r="G34">
        <v>18</v>
      </c>
      <c r="H34" t="s">
        <v>582</v>
      </c>
      <c r="I34" t="s">
        <v>583</v>
      </c>
      <c r="M34">
        <v>9</v>
      </c>
      <c r="N34" t="s">
        <v>584</v>
      </c>
      <c r="O34" t="s">
        <v>585</v>
      </c>
      <c r="P34" t="s">
        <v>586</v>
      </c>
      <c r="Q34" t="s">
        <v>13342</v>
      </c>
      <c r="R34" t="s">
        <v>587</v>
      </c>
      <c r="T34" t="s">
        <v>13341</v>
      </c>
      <c r="AJ34" t="s">
        <v>13340</v>
      </c>
      <c r="AK34" t="s">
        <v>13339</v>
      </c>
      <c r="AN34" t="s">
        <v>493</v>
      </c>
      <c r="AS34">
        <v>19326203</v>
      </c>
      <c r="AU34" t="s">
        <v>494</v>
      </c>
      <c r="AV34">
        <v>37643186</v>
      </c>
      <c r="AW34" t="s">
        <v>42</v>
      </c>
      <c r="AX34" t="s">
        <v>486</v>
      </c>
      <c r="AY34" t="s">
        <v>56</v>
      </c>
      <c r="AZ34" t="s">
        <v>45</v>
      </c>
      <c r="BA34" t="s">
        <v>12214</v>
      </c>
      <c r="BB34" t="s">
        <v>46</v>
      </c>
      <c r="BC34" t="s">
        <v>588</v>
      </c>
    </row>
    <row r="35" spans="1:61" x14ac:dyDescent="0.3">
      <c r="A35">
        <v>34</v>
      </c>
      <c r="B35" t="s">
        <v>12244</v>
      </c>
      <c r="C35" t="s">
        <v>12243</v>
      </c>
      <c r="D35" t="s">
        <v>839</v>
      </c>
      <c r="E35">
        <v>2019</v>
      </c>
      <c r="F35" t="s">
        <v>840</v>
      </c>
      <c r="G35">
        <v>10</v>
      </c>
      <c r="H35" t="s">
        <v>841</v>
      </c>
      <c r="J35">
        <v>10</v>
      </c>
      <c r="K35">
        <v>30</v>
      </c>
      <c r="M35">
        <v>5</v>
      </c>
      <c r="O35" t="s">
        <v>842</v>
      </c>
      <c r="P35" t="s">
        <v>843</v>
      </c>
      <c r="Q35" t="s">
        <v>12242</v>
      </c>
      <c r="R35" t="s">
        <v>844</v>
      </c>
      <c r="S35" t="s">
        <v>845</v>
      </c>
      <c r="AJ35" t="s">
        <v>12241</v>
      </c>
      <c r="AK35" t="s">
        <v>12240</v>
      </c>
      <c r="AN35" t="s">
        <v>846</v>
      </c>
      <c r="AS35">
        <v>23453303</v>
      </c>
      <c r="AW35" t="s">
        <v>42</v>
      </c>
      <c r="AX35" t="s">
        <v>847</v>
      </c>
      <c r="AY35" t="s">
        <v>56</v>
      </c>
      <c r="AZ35" t="s">
        <v>45</v>
      </c>
      <c r="BB35" t="s">
        <v>46</v>
      </c>
      <c r="BC35" t="s">
        <v>848</v>
      </c>
    </row>
    <row r="36" spans="1:61" x14ac:dyDescent="0.3">
      <c r="A36">
        <v>35</v>
      </c>
      <c r="B36" t="s">
        <v>12946</v>
      </c>
      <c r="C36" t="s">
        <v>12945</v>
      </c>
      <c r="D36" t="s">
        <v>195</v>
      </c>
      <c r="E36">
        <v>2023</v>
      </c>
      <c r="F36" t="s">
        <v>196</v>
      </c>
      <c r="J36">
        <v>1403</v>
      </c>
      <c r="K36">
        <v>1409</v>
      </c>
      <c r="N36" t="s">
        <v>197</v>
      </c>
      <c r="O36" t="s">
        <v>198</v>
      </c>
      <c r="P36" t="s">
        <v>199</v>
      </c>
      <c r="Q36" t="s">
        <v>12944</v>
      </c>
      <c r="R36" t="s">
        <v>12943</v>
      </c>
      <c r="S36" t="s">
        <v>201</v>
      </c>
      <c r="Z36" t="s">
        <v>12942</v>
      </c>
      <c r="AJ36" t="s">
        <v>12941</v>
      </c>
      <c r="AK36" t="s">
        <v>12940</v>
      </c>
      <c r="AL36" t="s">
        <v>12939</v>
      </c>
      <c r="AM36" t="s">
        <v>12938</v>
      </c>
      <c r="AN36" t="s">
        <v>88</v>
      </c>
      <c r="AO36" t="s">
        <v>12937</v>
      </c>
      <c r="AP36" t="s">
        <v>12936</v>
      </c>
      <c r="AR36">
        <v>196820</v>
      </c>
      <c r="AT36">
        <v>9798350324457</v>
      </c>
      <c r="AW36" t="s">
        <v>42</v>
      </c>
      <c r="AX36" t="s">
        <v>202</v>
      </c>
      <c r="AY36" t="s">
        <v>12252</v>
      </c>
      <c r="AZ36" t="s">
        <v>45</v>
      </c>
      <c r="BB36" t="s">
        <v>46</v>
      </c>
      <c r="BC36" t="s">
        <v>203</v>
      </c>
    </row>
    <row r="37" spans="1:61" x14ac:dyDescent="0.3">
      <c r="A37">
        <v>36</v>
      </c>
      <c r="B37" t="s">
        <v>13494</v>
      </c>
      <c r="C37" t="s">
        <v>13493</v>
      </c>
      <c r="D37" t="s">
        <v>714</v>
      </c>
      <c r="E37">
        <v>2023</v>
      </c>
      <c r="F37" t="s">
        <v>715</v>
      </c>
      <c r="G37">
        <v>17</v>
      </c>
      <c r="H37">
        <v>2</v>
      </c>
      <c r="J37">
        <v>147</v>
      </c>
      <c r="K37">
        <v>167</v>
      </c>
      <c r="N37" t="s">
        <v>716</v>
      </c>
      <c r="O37" t="s">
        <v>717</v>
      </c>
      <c r="Q37" t="s">
        <v>13492</v>
      </c>
      <c r="R37" t="s">
        <v>718</v>
      </c>
      <c r="S37" t="s">
        <v>719</v>
      </c>
      <c r="AJ37" t="s">
        <v>13491</v>
      </c>
      <c r="AN37" t="s">
        <v>720</v>
      </c>
      <c r="AS37">
        <v>17538548</v>
      </c>
      <c r="AW37" t="s">
        <v>42</v>
      </c>
      <c r="AX37" t="s">
        <v>721</v>
      </c>
      <c r="AY37" t="s">
        <v>56</v>
      </c>
      <c r="AZ37" t="s">
        <v>45</v>
      </c>
      <c r="BB37" t="s">
        <v>46</v>
      </c>
      <c r="BC37" t="s">
        <v>722</v>
      </c>
    </row>
    <row r="38" spans="1:61" x14ac:dyDescent="0.3">
      <c r="A38">
        <v>37</v>
      </c>
      <c r="B38" t="s">
        <v>13284</v>
      </c>
      <c r="C38" t="s">
        <v>13283</v>
      </c>
      <c r="D38" t="s">
        <v>58</v>
      </c>
      <c r="E38">
        <v>2023</v>
      </c>
      <c r="F38" t="s">
        <v>59</v>
      </c>
      <c r="G38">
        <v>1</v>
      </c>
      <c r="J38">
        <v>61</v>
      </c>
      <c r="K38">
        <v>67</v>
      </c>
      <c r="M38">
        <v>7</v>
      </c>
      <c r="N38" t="s">
        <v>60</v>
      </c>
      <c r="O38" t="s">
        <v>61</v>
      </c>
      <c r="P38" t="s">
        <v>62</v>
      </c>
      <c r="Q38" t="s">
        <v>13282</v>
      </c>
      <c r="R38" t="s">
        <v>13281</v>
      </c>
      <c r="S38" t="s">
        <v>63</v>
      </c>
      <c r="T38" t="s">
        <v>64</v>
      </c>
      <c r="Y38" t="s">
        <v>13280</v>
      </c>
      <c r="Z38" t="s">
        <v>13279</v>
      </c>
      <c r="AJ38" t="s">
        <v>13278</v>
      </c>
      <c r="AM38" t="s">
        <v>13277</v>
      </c>
      <c r="AN38" t="s">
        <v>65</v>
      </c>
      <c r="AO38" t="s">
        <v>13276</v>
      </c>
      <c r="AP38" t="s">
        <v>13275</v>
      </c>
      <c r="AR38">
        <v>190016</v>
      </c>
      <c r="AS38" t="s">
        <v>66</v>
      </c>
      <c r="AT38">
        <v>9798400701382</v>
      </c>
      <c r="AW38" t="s">
        <v>42</v>
      </c>
      <c r="AX38" t="s">
        <v>67</v>
      </c>
      <c r="AY38" t="s">
        <v>12252</v>
      </c>
      <c r="AZ38" t="s">
        <v>45</v>
      </c>
      <c r="BA38" t="s">
        <v>12349</v>
      </c>
      <c r="BB38" t="s">
        <v>46</v>
      </c>
      <c r="BC38" t="s">
        <v>68</v>
      </c>
    </row>
    <row r="39" spans="1:61" x14ac:dyDescent="0.3">
      <c r="A39">
        <v>38</v>
      </c>
      <c r="B39" t="s">
        <v>12703</v>
      </c>
      <c r="C39" t="s">
        <v>12702</v>
      </c>
      <c r="D39" t="s">
        <v>933</v>
      </c>
      <c r="E39">
        <v>2023</v>
      </c>
      <c r="F39" t="s">
        <v>934</v>
      </c>
      <c r="G39">
        <v>39</v>
      </c>
      <c r="H39">
        <v>4</v>
      </c>
      <c r="J39">
        <v>89</v>
      </c>
      <c r="K39">
        <v>103</v>
      </c>
      <c r="N39" t="s">
        <v>935</v>
      </c>
      <c r="O39" t="s">
        <v>936</v>
      </c>
      <c r="P39" t="s">
        <v>937</v>
      </c>
      <c r="Q39" t="s">
        <v>12701</v>
      </c>
      <c r="R39" t="s">
        <v>938</v>
      </c>
      <c r="S39" t="s">
        <v>939</v>
      </c>
      <c r="Z39" t="s">
        <v>12700</v>
      </c>
      <c r="AP39" t="s">
        <v>12699</v>
      </c>
      <c r="AQ39" t="s">
        <v>12698</v>
      </c>
      <c r="AT39" t="s">
        <v>940</v>
      </c>
      <c r="AY39">
        <v>14495554</v>
      </c>
      <c r="BC39" t="s">
        <v>42</v>
      </c>
      <c r="BD39" t="s">
        <v>941</v>
      </c>
      <c r="BE39" t="s">
        <v>56</v>
      </c>
      <c r="BF39" t="s">
        <v>45</v>
      </c>
      <c r="BG39" t="s">
        <v>12251</v>
      </c>
      <c r="BH39" t="s">
        <v>46</v>
      </c>
      <c r="BI39" t="s">
        <v>942</v>
      </c>
    </row>
    <row r="40" spans="1:61" x14ac:dyDescent="0.3">
      <c r="A40">
        <v>39</v>
      </c>
      <c r="B40" t="s">
        <v>12357</v>
      </c>
      <c r="C40" t="s">
        <v>12356</v>
      </c>
      <c r="D40" t="s">
        <v>1221</v>
      </c>
      <c r="E40">
        <v>2023</v>
      </c>
      <c r="F40" t="s">
        <v>797</v>
      </c>
      <c r="G40">
        <v>20</v>
      </c>
      <c r="H40">
        <v>3</v>
      </c>
      <c r="M40">
        <v>95</v>
      </c>
      <c r="N40" t="s">
        <v>1222</v>
      </c>
      <c r="O40" t="s">
        <v>1223</v>
      </c>
      <c r="P40" t="s">
        <v>1224</v>
      </c>
      <c r="Q40" t="s">
        <v>12355</v>
      </c>
      <c r="R40" t="s">
        <v>1225</v>
      </c>
      <c r="S40" t="s">
        <v>1226</v>
      </c>
      <c r="AP40" t="s">
        <v>12354</v>
      </c>
      <c r="AT40" t="s">
        <v>803</v>
      </c>
      <c r="AY40">
        <v>14499789</v>
      </c>
      <c r="BC40" t="s">
        <v>42</v>
      </c>
      <c r="BD40" t="s">
        <v>804</v>
      </c>
      <c r="BE40" t="s">
        <v>56</v>
      </c>
      <c r="BF40" t="s">
        <v>45</v>
      </c>
      <c r="BG40" t="s">
        <v>12224</v>
      </c>
      <c r="BH40" t="s">
        <v>46</v>
      </c>
      <c r="BI40" t="s">
        <v>1227</v>
      </c>
    </row>
    <row r="41" spans="1:61" x14ac:dyDescent="0.3">
      <c r="A41">
        <v>40</v>
      </c>
      <c r="B41" t="s">
        <v>12403</v>
      </c>
      <c r="C41" t="s">
        <v>12402</v>
      </c>
      <c r="D41" t="s">
        <v>1285</v>
      </c>
      <c r="E41">
        <v>2023</v>
      </c>
      <c r="F41" t="s">
        <v>797</v>
      </c>
      <c r="G41">
        <v>20</v>
      </c>
      <c r="H41">
        <v>5</v>
      </c>
      <c r="I41">
        <v>1</v>
      </c>
      <c r="M41">
        <v>6</v>
      </c>
      <c r="N41" t="s">
        <v>1286</v>
      </c>
      <c r="O41" t="s">
        <v>1287</v>
      </c>
      <c r="P41" t="s">
        <v>1288</v>
      </c>
      <c r="Q41" t="s">
        <v>12401</v>
      </c>
      <c r="R41" t="s">
        <v>1289</v>
      </c>
      <c r="S41" t="s">
        <v>1290</v>
      </c>
      <c r="AP41" t="s">
        <v>12400</v>
      </c>
      <c r="AT41" t="s">
        <v>803</v>
      </c>
      <c r="AY41">
        <v>14499789</v>
      </c>
      <c r="BC41" t="s">
        <v>42</v>
      </c>
      <c r="BD41" t="s">
        <v>804</v>
      </c>
      <c r="BE41" t="s">
        <v>56</v>
      </c>
      <c r="BF41" t="s">
        <v>45</v>
      </c>
      <c r="BG41" t="s">
        <v>12245</v>
      </c>
      <c r="BH41" t="s">
        <v>46</v>
      </c>
      <c r="BI41" t="s">
        <v>1291</v>
      </c>
    </row>
    <row r="42" spans="1:61" x14ac:dyDescent="0.3">
      <c r="A42">
        <v>41</v>
      </c>
      <c r="B42" t="s">
        <v>12678</v>
      </c>
      <c r="C42" t="s">
        <v>12677</v>
      </c>
      <c r="D42" t="s">
        <v>12676</v>
      </c>
      <c r="E42">
        <v>2023</v>
      </c>
      <c r="F42" t="s">
        <v>797</v>
      </c>
      <c r="G42">
        <v>20</v>
      </c>
      <c r="H42">
        <v>7</v>
      </c>
      <c r="N42" t="s">
        <v>5753</v>
      </c>
      <c r="O42" t="s">
        <v>12675</v>
      </c>
      <c r="P42" t="s">
        <v>12674</v>
      </c>
      <c r="Q42" t="s">
        <v>12673</v>
      </c>
      <c r="R42" t="s">
        <v>12672</v>
      </c>
      <c r="S42" t="s">
        <v>12671</v>
      </c>
      <c r="AP42" t="s">
        <v>12670</v>
      </c>
      <c r="AT42" t="s">
        <v>803</v>
      </c>
      <c r="AY42">
        <v>14499789</v>
      </c>
      <c r="BC42" t="s">
        <v>42</v>
      </c>
      <c r="BD42" t="s">
        <v>804</v>
      </c>
      <c r="BE42" t="s">
        <v>12669</v>
      </c>
      <c r="BF42" t="s">
        <v>45</v>
      </c>
      <c r="BG42" t="s">
        <v>12224</v>
      </c>
      <c r="BH42" t="s">
        <v>46</v>
      </c>
      <c r="BI42" t="s">
        <v>12668</v>
      </c>
    </row>
    <row r="43" spans="1:61" x14ac:dyDescent="0.3">
      <c r="A43">
        <v>42</v>
      </c>
      <c r="B43" t="s">
        <v>12815</v>
      </c>
      <c r="C43" t="s">
        <v>12814</v>
      </c>
      <c r="D43" t="s">
        <v>233</v>
      </c>
      <c r="E43">
        <v>2023</v>
      </c>
      <c r="F43" t="s">
        <v>234</v>
      </c>
      <c r="G43">
        <v>9</v>
      </c>
      <c r="H43">
        <v>4</v>
      </c>
      <c r="J43">
        <v>128</v>
      </c>
      <c r="K43">
        <v>138</v>
      </c>
      <c r="N43" t="s">
        <v>235</v>
      </c>
      <c r="O43" t="s">
        <v>236</v>
      </c>
      <c r="P43" t="s">
        <v>237</v>
      </c>
      <c r="Q43" t="s">
        <v>12813</v>
      </c>
      <c r="R43" t="s">
        <v>238</v>
      </c>
      <c r="S43" t="s">
        <v>239</v>
      </c>
      <c r="AP43" t="s">
        <v>12812</v>
      </c>
      <c r="AQ43" t="s">
        <v>12811</v>
      </c>
      <c r="AT43" t="s">
        <v>240</v>
      </c>
      <c r="AY43">
        <v>24117390</v>
      </c>
      <c r="BC43" t="s">
        <v>42</v>
      </c>
      <c r="BD43" t="s">
        <v>241</v>
      </c>
      <c r="BE43" t="s">
        <v>56</v>
      </c>
      <c r="BF43" t="s">
        <v>45</v>
      </c>
      <c r="BG43" t="s">
        <v>12251</v>
      </c>
      <c r="BH43" t="s">
        <v>46</v>
      </c>
      <c r="BI43" t="s">
        <v>242</v>
      </c>
    </row>
    <row r="44" spans="1:61" x14ac:dyDescent="0.3">
      <c r="A44">
        <v>43</v>
      </c>
      <c r="B44" t="s">
        <v>664</v>
      </c>
      <c r="C44" t="s">
        <v>12753</v>
      </c>
      <c r="D44" t="s">
        <v>665</v>
      </c>
      <c r="E44">
        <v>2023</v>
      </c>
      <c r="F44" t="s">
        <v>666</v>
      </c>
      <c r="M44">
        <v>1</v>
      </c>
      <c r="N44" t="s">
        <v>667</v>
      </c>
      <c r="O44" t="s">
        <v>668</v>
      </c>
      <c r="P44" t="s">
        <v>669</v>
      </c>
      <c r="Q44" t="s">
        <v>12752</v>
      </c>
      <c r="R44" t="s">
        <v>670</v>
      </c>
      <c r="S44" t="s">
        <v>671</v>
      </c>
      <c r="AP44" t="s">
        <v>12751</v>
      </c>
      <c r="AQ44" t="s">
        <v>12750</v>
      </c>
      <c r="AT44" t="s">
        <v>672</v>
      </c>
      <c r="AY44">
        <v>8944393</v>
      </c>
      <c r="BC44" t="s">
        <v>42</v>
      </c>
      <c r="BD44" t="s">
        <v>673</v>
      </c>
      <c r="BE44" t="s">
        <v>56</v>
      </c>
      <c r="BF44" t="s">
        <v>12365</v>
      </c>
      <c r="BG44" t="s">
        <v>12275</v>
      </c>
      <c r="BH44" t="s">
        <v>46</v>
      </c>
      <c r="BI44" t="s">
        <v>674</v>
      </c>
    </row>
    <row r="45" spans="1:61" x14ac:dyDescent="0.3">
      <c r="A45">
        <v>44</v>
      </c>
      <c r="B45" t="s">
        <v>13501</v>
      </c>
      <c r="C45" t="s">
        <v>13500</v>
      </c>
      <c r="D45" t="s">
        <v>13499</v>
      </c>
      <c r="E45">
        <v>2023</v>
      </c>
      <c r="F45" t="s">
        <v>48</v>
      </c>
      <c r="G45">
        <v>31</v>
      </c>
      <c r="H45">
        <v>77</v>
      </c>
      <c r="J45">
        <v>47</v>
      </c>
      <c r="K45">
        <v>57</v>
      </c>
      <c r="M45">
        <v>2</v>
      </c>
      <c r="N45" t="s">
        <v>49</v>
      </c>
      <c r="O45" t="s">
        <v>50</v>
      </c>
      <c r="P45" t="s">
        <v>51</v>
      </c>
      <c r="Q45" t="s">
        <v>13498</v>
      </c>
      <c r="R45" t="s">
        <v>52</v>
      </c>
      <c r="S45" t="s">
        <v>53</v>
      </c>
      <c r="Y45" t="s">
        <v>13497</v>
      </c>
      <c r="Z45" t="s">
        <v>13496</v>
      </c>
      <c r="AJ45" t="s">
        <v>13495</v>
      </c>
      <c r="AN45" t="s">
        <v>54</v>
      </c>
      <c r="AS45">
        <v>11343478</v>
      </c>
      <c r="AW45" t="s">
        <v>55</v>
      </c>
      <c r="AX45" t="s">
        <v>48</v>
      </c>
      <c r="AY45" t="s">
        <v>56</v>
      </c>
      <c r="AZ45" t="s">
        <v>45</v>
      </c>
      <c r="BA45" t="s">
        <v>12214</v>
      </c>
      <c r="BB45" t="s">
        <v>46</v>
      </c>
      <c r="BC45" t="s">
        <v>57</v>
      </c>
    </row>
    <row r="46" spans="1:61" x14ac:dyDescent="0.3">
      <c r="A46">
        <v>45</v>
      </c>
      <c r="B46" t="s">
        <v>12510</v>
      </c>
      <c r="C46" t="s">
        <v>12509</v>
      </c>
      <c r="D46" t="s">
        <v>1398</v>
      </c>
      <c r="E46">
        <v>2023</v>
      </c>
      <c r="F46" t="s">
        <v>1399</v>
      </c>
      <c r="J46" t="s">
        <v>1400</v>
      </c>
      <c r="M46">
        <v>5</v>
      </c>
      <c r="N46" t="s">
        <v>1401</v>
      </c>
      <c r="O46" t="s">
        <v>1402</v>
      </c>
      <c r="P46" t="s">
        <v>1403</v>
      </c>
      <c r="Q46" t="s">
        <v>12508</v>
      </c>
      <c r="R46" t="s">
        <v>1404</v>
      </c>
      <c r="T46" t="s">
        <v>12507</v>
      </c>
      <c r="AP46" t="s">
        <v>12506</v>
      </c>
      <c r="AQ46" t="s">
        <v>12505</v>
      </c>
      <c r="AT46" t="s">
        <v>1405</v>
      </c>
      <c r="AY46">
        <v>25743805</v>
      </c>
      <c r="BB46">
        <v>37812419</v>
      </c>
      <c r="BC46" t="s">
        <v>42</v>
      </c>
      <c r="BD46" t="s">
        <v>1406</v>
      </c>
      <c r="BE46" t="s">
        <v>56</v>
      </c>
      <c r="BF46" t="s">
        <v>12365</v>
      </c>
      <c r="BG46" t="s">
        <v>12214</v>
      </c>
      <c r="BH46" t="s">
        <v>46</v>
      </c>
      <c r="BI46" t="s">
        <v>1407</v>
      </c>
    </row>
    <row r="47" spans="1:61" x14ac:dyDescent="0.3">
      <c r="A47">
        <v>46</v>
      </c>
      <c r="B47" t="s">
        <v>12363</v>
      </c>
      <c r="C47" t="s">
        <v>12362</v>
      </c>
      <c r="D47" t="s">
        <v>984</v>
      </c>
      <c r="E47">
        <v>2023</v>
      </c>
      <c r="F47" t="s">
        <v>985</v>
      </c>
      <c r="G47">
        <v>40</v>
      </c>
      <c r="H47">
        <v>2</v>
      </c>
      <c r="J47">
        <v>615</v>
      </c>
      <c r="K47">
        <v>622</v>
      </c>
      <c r="M47">
        <v>91</v>
      </c>
      <c r="N47" t="s">
        <v>986</v>
      </c>
      <c r="O47" t="s">
        <v>987</v>
      </c>
      <c r="P47" t="s">
        <v>988</v>
      </c>
      <c r="Q47" t="s">
        <v>12361</v>
      </c>
      <c r="R47" t="s">
        <v>989</v>
      </c>
      <c r="S47" t="s">
        <v>990</v>
      </c>
      <c r="Z47" t="s">
        <v>12360</v>
      </c>
      <c r="AP47" t="s">
        <v>12359</v>
      </c>
      <c r="AQ47" t="s">
        <v>12358</v>
      </c>
      <c r="AT47" t="s">
        <v>991</v>
      </c>
      <c r="AY47" t="s">
        <v>992</v>
      </c>
      <c r="BC47" t="s">
        <v>42</v>
      </c>
      <c r="BD47" t="s">
        <v>993</v>
      </c>
      <c r="BE47" t="s">
        <v>56</v>
      </c>
      <c r="BF47" t="s">
        <v>45</v>
      </c>
      <c r="BH47" t="s">
        <v>46</v>
      </c>
      <c r="BI47" t="s">
        <v>994</v>
      </c>
    </row>
    <row r="48" spans="1:61" x14ac:dyDescent="0.3">
      <c r="A48">
        <v>47</v>
      </c>
      <c r="B48" t="s">
        <v>13364</v>
      </c>
      <c r="C48" t="s">
        <v>13363</v>
      </c>
      <c r="D48" t="s">
        <v>776</v>
      </c>
      <c r="E48">
        <v>2023</v>
      </c>
      <c r="F48" t="s">
        <v>777</v>
      </c>
      <c r="J48">
        <v>3947</v>
      </c>
      <c r="K48">
        <v>3955</v>
      </c>
      <c r="M48">
        <v>1</v>
      </c>
      <c r="N48" t="s">
        <v>778</v>
      </c>
      <c r="O48" t="s">
        <v>779</v>
      </c>
      <c r="P48" t="s">
        <v>780</v>
      </c>
      <c r="Q48" t="s">
        <v>13362</v>
      </c>
      <c r="R48" t="s">
        <v>13361</v>
      </c>
      <c r="S48" t="s">
        <v>782</v>
      </c>
      <c r="T48" t="s">
        <v>783</v>
      </c>
      <c r="AJ48" t="s">
        <v>13360</v>
      </c>
      <c r="AM48" t="s">
        <v>13359</v>
      </c>
      <c r="AN48" t="s">
        <v>65</v>
      </c>
      <c r="AO48" t="s">
        <v>13358</v>
      </c>
      <c r="AP48" t="s">
        <v>13357</v>
      </c>
      <c r="AR48">
        <v>191432</v>
      </c>
      <c r="AT48">
        <v>9798400701030</v>
      </c>
      <c r="AW48" t="s">
        <v>42</v>
      </c>
      <c r="AX48" t="s">
        <v>784</v>
      </c>
      <c r="AY48" t="s">
        <v>12252</v>
      </c>
      <c r="AZ48" t="s">
        <v>45</v>
      </c>
      <c r="BA48" t="s">
        <v>12310</v>
      </c>
      <c r="BB48" t="s">
        <v>46</v>
      </c>
      <c r="BC48" t="s">
        <v>785</v>
      </c>
    </row>
    <row r="49" spans="1:61" x14ac:dyDescent="0.3">
      <c r="A49">
        <v>48</v>
      </c>
      <c r="B49" t="s">
        <v>12399</v>
      </c>
      <c r="C49" t="s">
        <v>12398</v>
      </c>
      <c r="D49" t="s">
        <v>1319</v>
      </c>
      <c r="E49">
        <v>2023</v>
      </c>
      <c r="F49" t="s">
        <v>797</v>
      </c>
      <c r="G49">
        <v>20</v>
      </c>
      <c r="H49">
        <v>5</v>
      </c>
      <c r="M49">
        <v>17</v>
      </c>
      <c r="N49" t="s">
        <v>1320</v>
      </c>
      <c r="O49" t="s">
        <v>1321</v>
      </c>
      <c r="P49" t="s">
        <v>1322</v>
      </c>
      <c r="Q49" t="s">
        <v>12397</v>
      </c>
      <c r="R49" t="s">
        <v>1323</v>
      </c>
      <c r="S49" t="s">
        <v>1324</v>
      </c>
      <c r="AP49" t="s">
        <v>12396</v>
      </c>
      <c r="AT49" t="s">
        <v>803</v>
      </c>
      <c r="AY49">
        <v>14499789</v>
      </c>
      <c r="BC49" t="s">
        <v>42</v>
      </c>
      <c r="BD49" t="s">
        <v>804</v>
      </c>
      <c r="BE49" t="s">
        <v>56</v>
      </c>
      <c r="BF49" t="s">
        <v>45</v>
      </c>
      <c r="BG49" t="s">
        <v>12224</v>
      </c>
      <c r="BH49" t="s">
        <v>46</v>
      </c>
      <c r="BI49" t="s">
        <v>1325</v>
      </c>
    </row>
    <row r="50" spans="1:61" x14ac:dyDescent="0.3">
      <c r="A50">
        <v>49</v>
      </c>
      <c r="B50" t="s">
        <v>1356</v>
      </c>
      <c r="C50" t="s">
        <v>12281</v>
      </c>
      <c r="D50" t="s">
        <v>1357</v>
      </c>
      <c r="E50">
        <v>2019</v>
      </c>
      <c r="F50" t="s">
        <v>1358</v>
      </c>
      <c r="G50">
        <v>9</v>
      </c>
      <c r="H50">
        <v>4</v>
      </c>
      <c r="J50">
        <v>452</v>
      </c>
      <c r="K50">
        <v>470</v>
      </c>
      <c r="N50" t="s">
        <v>1359</v>
      </c>
      <c r="O50" t="s">
        <v>1360</v>
      </c>
      <c r="P50" t="s">
        <v>1361</v>
      </c>
      <c r="Q50" t="s">
        <v>12280</v>
      </c>
      <c r="R50" t="s">
        <v>1362</v>
      </c>
      <c r="S50" t="s">
        <v>1363</v>
      </c>
      <c r="Y50" t="s">
        <v>12279</v>
      </c>
      <c r="Z50" t="s">
        <v>12278</v>
      </c>
      <c r="AJ50" t="s">
        <v>12277</v>
      </c>
      <c r="AK50" t="s">
        <v>12276</v>
      </c>
      <c r="AN50" t="s">
        <v>1364</v>
      </c>
      <c r="AS50">
        <v>20459807</v>
      </c>
      <c r="AW50" t="s">
        <v>42</v>
      </c>
      <c r="AX50" t="s">
        <v>1365</v>
      </c>
      <c r="AY50" t="s">
        <v>56</v>
      </c>
      <c r="AZ50" t="s">
        <v>45</v>
      </c>
      <c r="BA50" t="s">
        <v>12275</v>
      </c>
      <c r="BB50" t="s">
        <v>46</v>
      </c>
      <c r="BC50" t="s">
        <v>1366</v>
      </c>
    </row>
    <row r="51" spans="1:61" x14ac:dyDescent="0.3">
      <c r="A51">
        <v>50</v>
      </c>
      <c r="B51" t="s">
        <v>13621</v>
      </c>
      <c r="C51" t="s">
        <v>13620</v>
      </c>
      <c r="D51" t="s">
        <v>515</v>
      </c>
      <c r="E51">
        <v>2023</v>
      </c>
      <c r="F51" t="s">
        <v>105</v>
      </c>
      <c r="G51">
        <v>20</v>
      </c>
      <c r="H51">
        <v>1</v>
      </c>
      <c r="I51">
        <v>57</v>
      </c>
      <c r="M51">
        <v>8</v>
      </c>
      <c r="N51" t="s">
        <v>516</v>
      </c>
      <c r="O51" t="s">
        <v>517</v>
      </c>
      <c r="P51" t="s">
        <v>13619</v>
      </c>
      <c r="Q51" t="s">
        <v>13618</v>
      </c>
      <c r="R51" t="s">
        <v>518</v>
      </c>
      <c r="S51" t="s">
        <v>519</v>
      </c>
      <c r="Z51" t="s">
        <v>2955</v>
      </c>
      <c r="AJ51" t="s">
        <v>13617</v>
      </c>
      <c r="AK51" t="s">
        <v>13616</v>
      </c>
      <c r="AN51" t="s">
        <v>92</v>
      </c>
      <c r="AS51">
        <v>23659440</v>
      </c>
      <c r="AW51" t="s">
        <v>42</v>
      </c>
      <c r="AX51" t="s">
        <v>110</v>
      </c>
      <c r="AY51" t="s">
        <v>56</v>
      </c>
      <c r="AZ51" t="s">
        <v>45</v>
      </c>
      <c r="BA51" t="s">
        <v>12251</v>
      </c>
      <c r="BB51" t="s">
        <v>46</v>
      </c>
      <c r="BC51" t="s">
        <v>520</v>
      </c>
    </row>
    <row r="52" spans="1:61" x14ac:dyDescent="0.3">
      <c r="A52">
        <v>51</v>
      </c>
      <c r="B52" t="s">
        <v>13490</v>
      </c>
      <c r="C52" t="s">
        <v>13489</v>
      </c>
      <c r="D52" t="s">
        <v>628</v>
      </c>
      <c r="E52">
        <v>2023</v>
      </c>
      <c r="F52" t="s">
        <v>629</v>
      </c>
      <c r="G52">
        <v>60</v>
      </c>
      <c r="H52">
        <v>1</v>
      </c>
      <c r="J52">
        <v>586</v>
      </c>
      <c r="K52">
        <v>591</v>
      </c>
      <c r="M52">
        <v>1</v>
      </c>
      <c r="N52" t="s">
        <v>630</v>
      </c>
      <c r="O52" t="s">
        <v>631</v>
      </c>
      <c r="P52" t="s">
        <v>632</v>
      </c>
      <c r="Q52" t="s">
        <v>13488</v>
      </c>
      <c r="R52" t="s">
        <v>13487</v>
      </c>
      <c r="S52" t="s">
        <v>633</v>
      </c>
      <c r="T52" t="s">
        <v>634</v>
      </c>
      <c r="Y52" t="s">
        <v>13486</v>
      </c>
      <c r="Z52" t="s">
        <v>13485</v>
      </c>
      <c r="AJ52" t="s">
        <v>13484</v>
      </c>
      <c r="AK52" t="s">
        <v>13483</v>
      </c>
      <c r="AN52" t="s">
        <v>77</v>
      </c>
      <c r="AS52">
        <v>23739231</v>
      </c>
      <c r="AW52" t="s">
        <v>42</v>
      </c>
      <c r="AX52" t="s">
        <v>629</v>
      </c>
      <c r="AY52" t="s">
        <v>56</v>
      </c>
      <c r="AZ52" t="s">
        <v>45</v>
      </c>
      <c r="BA52" t="s">
        <v>12245</v>
      </c>
      <c r="BB52" t="s">
        <v>46</v>
      </c>
      <c r="BC52" t="s">
        <v>635</v>
      </c>
    </row>
    <row r="53" spans="1:61" x14ac:dyDescent="0.3">
      <c r="A53">
        <v>52</v>
      </c>
      <c r="B53" t="s">
        <v>12605</v>
      </c>
      <c r="C53" t="s">
        <v>12604</v>
      </c>
      <c r="D53" t="s">
        <v>1337</v>
      </c>
      <c r="E53">
        <v>2023</v>
      </c>
      <c r="F53" t="s">
        <v>127</v>
      </c>
      <c r="G53" t="s">
        <v>1338</v>
      </c>
      <c r="J53">
        <v>69</v>
      </c>
      <c r="K53">
        <v>80</v>
      </c>
      <c r="N53" t="s">
        <v>1339</v>
      </c>
      <c r="O53" t="s">
        <v>1340</v>
      </c>
      <c r="P53" t="s">
        <v>1341</v>
      </c>
      <c r="Q53" t="s">
        <v>12603</v>
      </c>
      <c r="R53" t="s">
        <v>1342</v>
      </c>
      <c r="S53" t="s">
        <v>1343</v>
      </c>
      <c r="T53" t="s">
        <v>1344</v>
      </c>
      <c r="Y53" t="s">
        <v>12602</v>
      </c>
      <c r="Z53" t="s">
        <v>12601</v>
      </c>
      <c r="AA53" t="s">
        <v>12600</v>
      </c>
      <c r="AB53" t="s">
        <v>12599</v>
      </c>
      <c r="AC53" t="s">
        <v>12598</v>
      </c>
      <c r="AD53" t="s">
        <v>12597</v>
      </c>
      <c r="AE53" t="s">
        <v>12596</v>
      </c>
      <c r="AF53" t="s">
        <v>12595</v>
      </c>
      <c r="AG53" t="s">
        <v>12594</v>
      </c>
      <c r="AH53" t="s">
        <v>12593</v>
      </c>
      <c r="AI53" t="s">
        <v>12592</v>
      </c>
      <c r="AJ53" t="s">
        <v>12591</v>
      </c>
      <c r="AK53" t="s">
        <v>12590</v>
      </c>
      <c r="AL53" t="s">
        <v>12589</v>
      </c>
      <c r="AM53" t="s">
        <v>12588</v>
      </c>
      <c r="AN53" t="s">
        <v>12587</v>
      </c>
      <c r="AO53" t="s">
        <v>12586</v>
      </c>
      <c r="AP53" t="s">
        <v>12585</v>
      </c>
      <c r="AQ53" t="s">
        <v>12584</v>
      </c>
      <c r="AR53" t="s">
        <v>12583</v>
      </c>
      <c r="AT53" t="s">
        <v>92</v>
      </c>
      <c r="AU53" t="s">
        <v>12582</v>
      </c>
      <c r="AV53" t="s">
        <v>12581</v>
      </c>
      <c r="AX53">
        <v>302309</v>
      </c>
      <c r="AY53">
        <v>3029743</v>
      </c>
      <c r="AZ53">
        <v>9783031446986</v>
      </c>
      <c r="BC53" t="s">
        <v>42</v>
      </c>
      <c r="BD53" t="s">
        <v>128</v>
      </c>
      <c r="BE53" t="s">
        <v>12252</v>
      </c>
      <c r="BF53" t="s">
        <v>45</v>
      </c>
      <c r="BG53" t="s">
        <v>12245</v>
      </c>
      <c r="BH53" t="s">
        <v>46</v>
      </c>
      <c r="BI53" t="s">
        <v>1345</v>
      </c>
    </row>
    <row r="54" spans="1:61" x14ac:dyDescent="0.3">
      <c r="A54">
        <v>53</v>
      </c>
      <c r="B54" t="s">
        <v>12730</v>
      </c>
      <c r="C54" t="s">
        <v>12729</v>
      </c>
      <c r="D54" t="s">
        <v>1437</v>
      </c>
      <c r="E54">
        <v>2023</v>
      </c>
      <c r="F54" t="s">
        <v>127</v>
      </c>
      <c r="G54" t="s">
        <v>859</v>
      </c>
      <c r="J54">
        <v>169</v>
      </c>
      <c r="K54">
        <v>188</v>
      </c>
      <c r="M54">
        <v>1</v>
      </c>
      <c r="N54" t="s">
        <v>1438</v>
      </c>
      <c r="O54" t="s">
        <v>1439</v>
      </c>
      <c r="P54" t="s">
        <v>1440</v>
      </c>
      <c r="Q54" t="s">
        <v>12728</v>
      </c>
      <c r="R54" t="s">
        <v>1441</v>
      </c>
      <c r="S54" t="s">
        <v>1442</v>
      </c>
      <c r="T54" t="s">
        <v>1443</v>
      </c>
      <c r="AP54" t="s">
        <v>12727</v>
      </c>
      <c r="AQ54" t="s">
        <v>12726</v>
      </c>
      <c r="AR54" t="s">
        <v>12711</v>
      </c>
      <c r="AT54" t="s">
        <v>92</v>
      </c>
      <c r="AU54" t="s">
        <v>858</v>
      </c>
      <c r="AV54" t="s">
        <v>12710</v>
      </c>
      <c r="AX54">
        <v>304739</v>
      </c>
      <c r="AY54">
        <v>3029743</v>
      </c>
      <c r="AZ54">
        <v>9789819983841</v>
      </c>
      <c r="BC54" t="s">
        <v>42</v>
      </c>
      <c r="BD54" t="s">
        <v>128</v>
      </c>
      <c r="BE54" t="s">
        <v>12252</v>
      </c>
      <c r="BF54" t="s">
        <v>45</v>
      </c>
      <c r="BG54" t="s">
        <v>12245</v>
      </c>
      <c r="BH54" t="s">
        <v>46</v>
      </c>
      <c r="BI54" t="s">
        <v>1444</v>
      </c>
    </row>
    <row r="55" spans="1:61" x14ac:dyDescent="0.3">
      <c r="A55">
        <v>54</v>
      </c>
      <c r="B55" t="s">
        <v>12621</v>
      </c>
      <c r="C55" t="s">
        <v>12620</v>
      </c>
      <c r="D55" t="s">
        <v>1177</v>
      </c>
      <c r="E55">
        <v>2023</v>
      </c>
      <c r="F55" t="s">
        <v>1178</v>
      </c>
      <c r="M55">
        <v>1</v>
      </c>
      <c r="N55" t="s">
        <v>1179</v>
      </c>
      <c r="O55" t="s">
        <v>1180</v>
      </c>
      <c r="P55" t="s">
        <v>1181</v>
      </c>
      <c r="Q55" t="s">
        <v>12619</v>
      </c>
      <c r="R55" t="s">
        <v>1182</v>
      </c>
      <c r="S55" t="s">
        <v>1183</v>
      </c>
      <c r="T55" t="s">
        <v>1184</v>
      </c>
      <c r="Z55" t="s">
        <v>12618</v>
      </c>
      <c r="AP55" t="s">
        <v>12617</v>
      </c>
      <c r="AQ55" t="s">
        <v>12616</v>
      </c>
      <c r="AT55" t="s">
        <v>92</v>
      </c>
      <c r="AY55">
        <v>9515666</v>
      </c>
      <c r="BC55" t="s">
        <v>42</v>
      </c>
      <c r="BD55" t="s">
        <v>1185</v>
      </c>
      <c r="BE55" t="s">
        <v>56</v>
      </c>
      <c r="BF55" t="s">
        <v>12365</v>
      </c>
      <c r="BG55" t="s">
        <v>12310</v>
      </c>
      <c r="BH55" t="s">
        <v>46</v>
      </c>
      <c r="BI55" t="s">
        <v>1186</v>
      </c>
    </row>
    <row r="56" spans="1:61" x14ac:dyDescent="0.3">
      <c r="A56">
        <v>55</v>
      </c>
      <c r="B56" t="s">
        <v>829</v>
      </c>
      <c r="C56" t="s">
        <v>12213</v>
      </c>
      <c r="D56" t="s">
        <v>830</v>
      </c>
      <c r="E56">
        <v>2018</v>
      </c>
      <c r="F56" t="s">
        <v>831</v>
      </c>
      <c r="G56">
        <v>52</v>
      </c>
      <c r="H56">
        <v>1</v>
      </c>
      <c r="J56">
        <v>17</v>
      </c>
      <c r="K56">
        <v>37</v>
      </c>
      <c r="M56">
        <v>1</v>
      </c>
      <c r="N56" t="s">
        <v>832</v>
      </c>
      <c r="O56" t="s">
        <v>833</v>
      </c>
      <c r="P56" t="s">
        <v>834</v>
      </c>
      <c r="Q56" t="s">
        <v>12212</v>
      </c>
      <c r="R56" t="s">
        <v>835</v>
      </c>
      <c r="S56" t="s">
        <v>836</v>
      </c>
      <c r="AJ56" t="s">
        <v>12211</v>
      </c>
      <c r="AK56" t="s">
        <v>12210</v>
      </c>
      <c r="AN56" t="s">
        <v>251</v>
      </c>
      <c r="AS56">
        <v>3069400</v>
      </c>
      <c r="AW56" t="s">
        <v>42</v>
      </c>
      <c r="AX56" t="s">
        <v>837</v>
      </c>
      <c r="AY56" t="s">
        <v>56</v>
      </c>
      <c r="AZ56" t="s">
        <v>45</v>
      </c>
      <c r="BB56" t="s">
        <v>46</v>
      </c>
      <c r="BC56" t="s">
        <v>838</v>
      </c>
    </row>
    <row r="57" spans="1:61" x14ac:dyDescent="0.3">
      <c r="A57">
        <v>56</v>
      </c>
      <c r="B57" t="s">
        <v>12718</v>
      </c>
      <c r="C57" t="s">
        <v>12717</v>
      </c>
      <c r="D57" t="s">
        <v>12716</v>
      </c>
      <c r="E57">
        <v>2023</v>
      </c>
      <c r="F57" t="s">
        <v>923</v>
      </c>
      <c r="M57">
        <v>1</v>
      </c>
      <c r="N57" t="s">
        <v>924</v>
      </c>
      <c r="O57" t="s">
        <v>925</v>
      </c>
      <c r="P57" t="s">
        <v>926</v>
      </c>
      <c r="Q57" t="s">
        <v>12715</v>
      </c>
      <c r="R57" t="s">
        <v>927</v>
      </c>
      <c r="S57" t="s">
        <v>928</v>
      </c>
      <c r="AP57" t="s">
        <v>12714</v>
      </c>
      <c r="AQ57" t="s">
        <v>12713</v>
      </c>
      <c r="AT57" t="s">
        <v>929</v>
      </c>
      <c r="AY57">
        <v>34509</v>
      </c>
      <c r="BA57" t="s">
        <v>930</v>
      </c>
      <c r="BB57">
        <v>37992892</v>
      </c>
      <c r="BC57" t="s">
        <v>12712</v>
      </c>
      <c r="BD57" t="s">
        <v>931</v>
      </c>
      <c r="BE57" t="s">
        <v>56</v>
      </c>
      <c r="BF57" t="s">
        <v>12365</v>
      </c>
      <c r="BH57" t="s">
        <v>46</v>
      </c>
      <c r="BI57" t="s">
        <v>932</v>
      </c>
    </row>
    <row r="58" spans="1:61" x14ac:dyDescent="0.3">
      <c r="A58">
        <v>57</v>
      </c>
      <c r="B58" t="s">
        <v>12683</v>
      </c>
      <c r="C58" t="s">
        <v>12682</v>
      </c>
      <c r="D58" t="s">
        <v>1298</v>
      </c>
      <c r="E58">
        <v>2023</v>
      </c>
      <c r="F58" t="s">
        <v>1299</v>
      </c>
      <c r="I58" t="s">
        <v>1300</v>
      </c>
      <c r="M58">
        <v>2</v>
      </c>
      <c r="N58" t="s">
        <v>1301</v>
      </c>
      <c r="O58" t="s">
        <v>1302</v>
      </c>
      <c r="P58" t="s">
        <v>1303</v>
      </c>
      <c r="Q58" t="s">
        <v>12681</v>
      </c>
      <c r="R58" t="s">
        <v>1304</v>
      </c>
      <c r="S58" t="s">
        <v>1305</v>
      </c>
      <c r="AP58" t="s">
        <v>12680</v>
      </c>
      <c r="AQ58" t="s">
        <v>12679</v>
      </c>
      <c r="AT58" t="s">
        <v>1210</v>
      </c>
      <c r="AY58">
        <v>71161</v>
      </c>
      <c r="BA58" t="s">
        <v>1306</v>
      </c>
      <c r="BB58">
        <v>37932006</v>
      </c>
      <c r="BC58" t="s">
        <v>42</v>
      </c>
      <c r="BD58" t="s">
        <v>1307</v>
      </c>
      <c r="BE58" t="s">
        <v>56</v>
      </c>
      <c r="BF58" t="s">
        <v>12365</v>
      </c>
      <c r="BH58" t="s">
        <v>46</v>
      </c>
      <c r="BI58" t="s">
        <v>1308</v>
      </c>
    </row>
    <row r="59" spans="1:61" x14ac:dyDescent="0.3">
      <c r="A59">
        <v>58</v>
      </c>
      <c r="B59" t="s">
        <v>13349</v>
      </c>
      <c r="C59" t="s">
        <v>13348</v>
      </c>
      <c r="D59" t="s">
        <v>173</v>
      </c>
      <c r="E59">
        <v>2023</v>
      </c>
      <c r="F59" t="s">
        <v>174</v>
      </c>
      <c r="G59">
        <v>7</v>
      </c>
      <c r="H59">
        <v>8</v>
      </c>
      <c r="I59">
        <v>81</v>
      </c>
      <c r="M59">
        <v>1</v>
      </c>
      <c r="N59" t="s">
        <v>175</v>
      </c>
      <c r="O59" t="s">
        <v>176</v>
      </c>
      <c r="P59" t="s">
        <v>177</v>
      </c>
      <c r="Q59" t="s">
        <v>13347</v>
      </c>
      <c r="R59" t="s">
        <v>178</v>
      </c>
      <c r="S59" t="s">
        <v>179</v>
      </c>
      <c r="AJ59" t="s">
        <v>13346</v>
      </c>
      <c r="AK59" t="s">
        <v>13345</v>
      </c>
      <c r="AN59" t="s">
        <v>180</v>
      </c>
      <c r="AS59">
        <v>24144088</v>
      </c>
      <c r="AW59" t="s">
        <v>42</v>
      </c>
      <c r="AX59" t="s">
        <v>181</v>
      </c>
      <c r="AY59" t="s">
        <v>56</v>
      </c>
      <c r="AZ59" t="s">
        <v>45</v>
      </c>
      <c r="BA59" t="s">
        <v>12214</v>
      </c>
      <c r="BB59" t="s">
        <v>46</v>
      </c>
      <c r="BC59" t="s">
        <v>182</v>
      </c>
    </row>
    <row r="60" spans="1:61" x14ac:dyDescent="0.3">
      <c r="A60">
        <v>59</v>
      </c>
      <c r="B60" t="s">
        <v>12873</v>
      </c>
      <c r="C60" t="s">
        <v>12872</v>
      </c>
      <c r="D60" t="s">
        <v>12871</v>
      </c>
      <c r="E60">
        <v>2023</v>
      </c>
      <c r="F60" t="s">
        <v>12870</v>
      </c>
      <c r="G60">
        <v>35</v>
      </c>
      <c r="H60">
        <v>7</v>
      </c>
      <c r="J60">
        <v>27</v>
      </c>
      <c r="K60">
        <v>38</v>
      </c>
      <c r="N60" t="s">
        <v>12869</v>
      </c>
      <c r="O60" t="s">
        <v>12868</v>
      </c>
      <c r="P60" t="s">
        <v>12867</v>
      </c>
      <c r="Q60" t="s">
        <v>12866</v>
      </c>
      <c r="R60" t="s">
        <v>12865</v>
      </c>
      <c r="S60" t="s">
        <v>12864</v>
      </c>
      <c r="AP60" t="s">
        <v>12863</v>
      </c>
      <c r="AT60" t="s">
        <v>12862</v>
      </c>
      <c r="AY60">
        <v>10021248</v>
      </c>
      <c r="BC60" t="s">
        <v>12861</v>
      </c>
      <c r="BD60" t="s">
        <v>12860</v>
      </c>
      <c r="BE60" t="s">
        <v>56</v>
      </c>
      <c r="BF60" t="s">
        <v>45</v>
      </c>
      <c r="BH60" t="s">
        <v>46</v>
      </c>
      <c r="BI60" t="s">
        <v>12859</v>
      </c>
    </row>
    <row r="61" spans="1:61" x14ac:dyDescent="0.3">
      <c r="A61">
        <v>60</v>
      </c>
      <c r="B61" t="s">
        <v>12628</v>
      </c>
      <c r="C61" t="s">
        <v>12627</v>
      </c>
      <c r="D61" t="s">
        <v>1111</v>
      </c>
      <c r="E61">
        <v>2023</v>
      </c>
      <c r="F61" t="s">
        <v>383</v>
      </c>
      <c r="G61">
        <v>3497</v>
      </c>
      <c r="J61">
        <v>102</v>
      </c>
      <c r="K61">
        <v>113</v>
      </c>
      <c r="O61" t="s">
        <v>1112</v>
      </c>
      <c r="P61" t="s">
        <v>1113</v>
      </c>
      <c r="Q61" t="s">
        <v>12626</v>
      </c>
      <c r="R61" t="s">
        <v>1114</v>
      </c>
      <c r="S61" t="s">
        <v>1115</v>
      </c>
      <c r="T61" t="s">
        <v>1116</v>
      </c>
      <c r="AP61" t="s">
        <v>12625</v>
      </c>
      <c r="AR61" t="s">
        <v>12624</v>
      </c>
      <c r="AT61" t="s">
        <v>389</v>
      </c>
      <c r="AU61" t="s">
        <v>12623</v>
      </c>
      <c r="AV61" t="s">
        <v>12622</v>
      </c>
      <c r="AX61">
        <v>193170</v>
      </c>
      <c r="AY61">
        <v>16130073</v>
      </c>
      <c r="BC61" t="s">
        <v>42</v>
      </c>
      <c r="BD61" t="s">
        <v>390</v>
      </c>
      <c r="BE61" t="s">
        <v>12252</v>
      </c>
      <c r="BF61" t="s">
        <v>45</v>
      </c>
      <c r="BH61" t="s">
        <v>46</v>
      </c>
      <c r="BI61" t="s">
        <v>1117</v>
      </c>
    </row>
    <row r="62" spans="1:61" x14ac:dyDescent="0.3">
      <c r="A62">
        <v>61</v>
      </c>
      <c r="B62" t="s">
        <v>12653</v>
      </c>
      <c r="C62" t="s">
        <v>12652</v>
      </c>
      <c r="D62" t="s">
        <v>1385</v>
      </c>
      <c r="E62">
        <v>2023</v>
      </c>
      <c r="F62" t="s">
        <v>383</v>
      </c>
      <c r="G62">
        <v>3516</v>
      </c>
      <c r="J62">
        <v>55</v>
      </c>
      <c r="K62">
        <v>59</v>
      </c>
      <c r="O62" t="s">
        <v>1386</v>
      </c>
      <c r="P62" t="s">
        <v>12651</v>
      </c>
      <c r="Q62" t="s">
        <v>12650</v>
      </c>
      <c r="R62" t="s">
        <v>12649</v>
      </c>
      <c r="S62" t="s">
        <v>1387</v>
      </c>
      <c r="T62" t="s">
        <v>1388</v>
      </c>
      <c r="Z62" t="s">
        <v>12648</v>
      </c>
      <c r="AA62" t="s">
        <v>12647</v>
      </c>
      <c r="AP62" t="s">
        <v>12646</v>
      </c>
      <c r="AQ62" t="s">
        <v>12645</v>
      </c>
      <c r="AR62" t="s">
        <v>12644</v>
      </c>
      <c r="AS62" t="s">
        <v>12643</v>
      </c>
      <c r="AT62" t="s">
        <v>389</v>
      </c>
      <c r="AU62" t="s">
        <v>12642</v>
      </c>
      <c r="AV62" t="s">
        <v>12641</v>
      </c>
      <c r="AX62">
        <v>193703</v>
      </c>
      <c r="AY62">
        <v>16130073</v>
      </c>
      <c r="BC62" t="s">
        <v>42</v>
      </c>
      <c r="BD62" t="s">
        <v>390</v>
      </c>
      <c r="BE62" t="s">
        <v>12252</v>
      </c>
      <c r="BF62" t="s">
        <v>45</v>
      </c>
      <c r="BH62" t="s">
        <v>46</v>
      </c>
      <c r="BI62" t="s">
        <v>1389</v>
      </c>
    </row>
    <row r="63" spans="1:61" x14ac:dyDescent="0.3">
      <c r="A63">
        <v>62</v>
      </c>
      <c r="B63" t="s">
        <v>12504</v>
      </c>
      <c r="C63" t="s">
        <v>12503</v>
      </c>
      <c r="D63" t="s">
        <v>1267</v>
      </c>
      <c r="E63">
        <v>2023</v>
      </c>
      <c r="F63" t="s">
        <v>127</v>
      </c>
      <c r="G63" t="s">
        <v>1268</v>
      </c>
      <c r="J63">
        <v>402</v>
      </c>
      <c r="K63">
        <v>407</v>
      </c>
      <c r="N63" t="s">
        <v>1269</v>
      </c>
      <c r="O63" t="s">
        <v>1270</v>
      </c>
      <c r="P63" t="s">
        <v>12502</v>
      </c>
      <c r="Q63" t="s">
        <v>12501</v>
      </c>
      <c r="R63" t="s">
        <v>1271</v>
      </c>
      <c r="S63" t="s">
        <v>1272</v>
      </c>
      <c r="T63" t="s">
        <v>1273</v>
      </c>
      <c r="AP63" t="s">
        <v>12500</v>
      </c>
      <c r="AQ63" t="s">
        <v>12499</v>
      </c>
      <c r="AR63" t="s">
        <v>12498</v>
      </c>
      <c r="AT63" t="s">
        <v>92</v>
      </c>
      <c r="AU63" t="s">
        <v>12497</v>
      </c>
      <c r="AV63" t="s">
        <v>12496</v>
      </c>
      <c r="AX63">
        <v>299839</v>
      </c>
      <c r="AY63">
        <v>3029743</v>
      </c>
      <c r="AZ63">
        <v>9783031422928</v>
      </c>
      <c r="BC63" t="s">
        <v>42</v>
      </c>
      <c r="BD63" t="s">
        <v>128</v>
      </c>
      <c r="BE63" t="s">
        <v>12252</v>
      </c>
      <c r="BF63" t="s">
        <v>45</v>
      </c>
      <c r="BH63" t="s">
        <v>46</v>
      </c>
      <c r="BI63" t="s">
        <v>1274</v>
      </c>
    </row>
    <row r="64" spans="1:61" x14ac:dyDescent="0.3">
      <c r="A64">
        <v>63</v>
      </c>
      <c r="B64" t="s">
        <v>12804</v>
      </c>
      <c r="C64" t="s">
        <v>12803</v>
      </c>
      <c r="D64" t="s">
        <v>508</v>
      </c>
      <c r="E64">
        <v>2023</v>
      </c>
      <c r="F64" t="s">
        <v>383</v>
      </c>
      <c r="G64">
        <v>3596</v>
      </c>
      <c r="O64" t="s">
        <v>509</v>
      </c>
      <c r="P64" t="s">
        <v>510</v>
      </c>
      <c r="Q64" t="s">
        <v>12802</v>
      </c>
      <c r="R64" t="s">
        <v>511</v>
      </c>
      <c r="S64" t="s">
        <v>512</v>
      </c>
      <c r="T64" t="s">
        <v>513</v>
      </c>
      <c r="Y64" t="s">
        <v>12801</v>
      </c>
      <c r="Z64" t="s">
        <v>12800</v>
      </c>
      <c r="AP64" t="s">
        <v>12799</v>
      </c>
      <c r="AQ64" t="s">
        <v>12798</v>
      </c>
      <c r="AR64" t="s">
        <v>12797</v>
      </c>
      <c r="AT64" t="s">
        <v>389</v>
      </c>
      <c r="AU64" t="s">
        <v>12796</v>
      </c>
      <c r="AV64" t="s">
        <v>12795</v>
      </c>
      <c r="AX64">
        <v>195716</v>
      </c>
      <c r="AY64">
        <v>16130073</v>
      </c>
      <c r="BC64" t="s">
        <v>42</v>
      </c>
      <c r="BD64" t="s">
        <v>390</v>
      </c>
      <c r="BE64" t="s">
        <v>12252</v>
      </c>
      <c r="BF64" t="s">
        <v>45</v>
      </c>
      <c r="BH64" t="s">
        <v>46</v>
      </c>
      <c r="BI64" t="s">
        <v>514</v>
      </c>
    </row>
    <row r="65" spans="1:61" x14ac:dyDescent="0.3">
      <c r="A65">
        <v>64</v>
      </c>
      <c r="B65" t="s">
        <v>12810</v>
      </c>
      <c r="C65" t="s">
        <v>12809</v>
      </c>
      <c r="D65" t="s">
        <v>559</v>
      </c>
      <c r="E65">
        <v>2023</v>
      </c>
      <c r="F65" t="s">
        <v>560</v>
      </c>
      <c r="G65">
        <v>25</v>
      </c>
      <c r="H65">
        <v>1</v>
      </c>
      <c r="I65" t="s">
        <v>561</v>
      </c>
      <c r="M65">
        <v>1</v>
      </c>
      <c r="N65" t="s">
        <v>562</v>
      </c>
      <c r="O65" t="s">
        <v>563</v>
      </c>
      <c r="P65" t="s">
        <v>564</v>
      </c>
      <c r="Q65" t="s">
        <v>12808</v>
      </c>
      <c r="R65" t="s">
        <v>565</v>
      </c>
      <c r="S65" t="s">
        <v>566</v>
      </c>
      <c r="T65" t="s">
        <v>12807</v>
      </c>
      <c r="Z65" t="s">
        <v>1666</v>
      </c>
      <c r="AP65" t="s">
        <v>12806</v>
      </c>
      <c r="AQ65" t="s">
        <v>12805</v>
      </c>
      <c r="AT65" t="s">
        <v>129</v>
      </c>
      <c r="AY65">
        <v>14388871</v>
      </c>
      <c r="BB65">
        <v>38009003</v>
      </c>
      <c r="BC65" t="s">
        <v>42</v>
      </c>
      <c r="BD65" t="s">
        <v>567</v>
      </c>
      <c r="BE65" t="s">
        <v>56</v>
      </c>
      <c r="BF65" t="s">
        <v>45</v>
      </c>
      <c r="BG65" t="s">
        <v>12214</v>
      </c>
      <c r="BH65" t="s">
        <v>46</v>
      </c>
      <c r="BI65" t="s">
        <v>568</v>
      </c>
    </row>
    <row r="66" spans="1:61" x14ac:dyDescent="0.3">
      <c r="A66">
        <v>65</v>
      </c>
      <c r="B66" t="s">
        <v>12395</v>
      </c>
      <c r="C66" t="s">
        <v>12394</v>
      </c>
      <c r="D66" t="s">
        <v>1065</v>
      </c>
      <c r="E66">
        <v>2023</v>
      </c>
      <c r="F66" t="s">
        <v>996</v>
      </c>
      <c r="G66">
        <v>9</v>
      </c>
      <c r="I66" t="s">
        <v>1066</v>
      </c>
      <c r="M66">
        <v>34</v>
      </c>
      <c r="N66" t="s">
        <v>1067</v>
      </c>
      <c r="O66" t="s">
        <v>1068</v>
      </c>
      <c r="P66" t="s">
        <v>1069</v>
      </c>
      <c r="Q66" t="s">
        <v>12393</v>
      </c>
      <c r="R66" t="s">
        <v>1070</v>
      </c>
      <c r="S66" t="s">
        <v>1071</v>
      </c>
      <c r="AP66" t="s">
        <v>12392</v>
      </c>
      <c r="AQ66" t="s">
        <v>12391</v>
      </c>
      <c r="AT66" t="s">
        <v>129</v>
      </c>
      <c r="AY66">
        <v>23693762</v>
      </c>
      <c r="BC66" t="s">
        <v>42</v>
      </c>
      <c r="BD66" t="s">
        <v>1003</v>
      </c>
      <c r="BE66" t="s">
        <v>56</v>
      </c>
      <c r="BF66" t="s">
        <v>45</v>
      </c>
      <c r="BG66" t="s">
        <v>12214</v>
      </c>
      <c r="BH66" t="s">
        <v>46</v>
      </c>
      <c r="BI66" t="s">
        <v>1072</v>
      </c>
    </row>
    <row r="67" spans="1:61" x14ac:dyDescent="0.3">
      <c r="A67">
        <v>66</v>
      </c>
      <c r="B67" t="s">
        <v>13248</v>
      </c>
      <c r="C67" t="s">
        <v>13247</v>
      </c>
      <c r="D67" t="s">
        <v>13246</v>
      </c>
      <c r="E67">
        <v>2023</v>
      </c>
      <c r="F67" t="s">
        <v>13245</v>
      </c>
      <c r="G67">
        <v>30</v>
      </c>
      <c r="H67">
        <v>2</v>
      </c>
      <c r="J67">
        <v>4</v>
      </c>
      <c r="N67" t="s">
        <v>13244</v>
      </c>
      <c r="O67" t="s">
        <v>13243</v>
      </c>
      <c r="P67" t="s">
        <v>13242</v>
      </c>
      <c r="Q67" t="s">
        <v>13241</v>
      </c>
      <c r="R67" t="s">
        <v>13240</v>
      </c>
      <c r="T67" t="s">
        <v>13239</v>
      </c>
      <c r="AJ67" t="s">
        <v>13238</v>
      </c>
      <c r="AK67" t="s">
        <v>13237</v>
      </c>
      <c r="AN67" t="s">
        <v>88</v>
      </c>
      <c r="AS67">
        <v>10709932</v>
      </c>
      <c r="AU67" t="s">
        <v>13236</v>
      </c>
      <c r="AW67" t="s">
        <v>42</v>
      </c>
      <c r="AX67" t="s">
        <v>13235</v>
      </c>
      <c r="AY67" t="s">
        <v>12366</v>
      </c>
      <c r="AZ67" t="s">
        <v>45</v>
      </c>
      <c r="BA67" t="s">
        <v>12349</v>
      </c>
      <c r="BB67" t="s">
        <v>46</v>
      </c>
      <c r="BC67" t="s">
        <v>13234</v>
      </c>
    </row>
    <row r="68" spans="1:61" x14ac:dyDescent="0.3">
      <c r="A68">
        <v>67</v>
      </c>
      <c r="B68" t="s">
        <v>13701</v>
      </c>
      <c r="C68" t="s">
        <v>13700</v>
      </c>
      <c r="D68" t="s">
        <v>293</v>
      </c>
      <c r="E68">
        <v>2023</v>
      </c>
      <c r="F68" t="s">
        <v>294</v>
      </c>
      <c r="G68">
        <v>100</v>
      </c>
      <c r="H68">
        <v>12</v>
      </c>
      <c r="J68">
        <v>4876</v>
      </c>
      <c r="K68">
        <v>4883</v>
      </c>
      <c r="M68">
        <v>3</v>
      </c>
      <c r="N68" t="s">
        <v>295</v>
      </c>
      <c r="O68" t="s">
        <v>296</v>
      </c>
      <c r="P68" t="s">
        <v>13699</v>
      </c>
      <c r="Q68" t="s">
        <v>13698</v>
      </c>
      <c r="R68" t="s">
        <v>297</v>
      </c>
      <c r="S68" t="s">
        <v>298</v>
      </c>
      <c r="AJ68" t="s">
        <v>13697</v>
      </c>
      <c r="AK68" t="s">
        <v>13696</v>
      </c>
      <c r="AN68" t="s">
        <v>299</v>
      </c>
      <c r="AS68">
        <v>219584</v>
      </c>
      <c r="AU68" t="s">
        <v>300</v>
      </c>
      <c r="AW68" t="s">
        <v>42</v>
      </c>
      <c r="AX68" t="s">
        <v>301</v>
      </c>
      <c r="AY68" t="s">
        <v>56</v>
      </c>
      <c r="AZ68" t="s">
        <v>45</v>
      </c>
      <c r="BA68" t="s">
        <v>12275</v>
      </c>
      <c r="BB68" t="s">
        <v>46</v>
      </c>
      <c r="BC68" t="s">
        <v>302</v>
      </c>
    </row>
    <row r="69" spans="1:61" x14ac:dyDescent="0.3">
      <c r="A69">
        <v>68</v>
      </c>
      <c r="B69" t="s">
        <v>12775</v>
      </c>
      <c r="C69" t="s">
        <v>12774</v>
      </c>
      <c r="D69" t="s">
        <v>531</v>
      </c>
      <c r="E69">
        <v>2023</v>
      </c>
      <c r="F69" t="s">
        <v>335</v>
      </c>
      <c r="G69">
        <v>8</v>
      </c>
      <c r="I69">
        <v>1272229</v>
      </c>
      <c r="N69" t="s">
        <v>532</v>
      </c>
      <c r="O69" t="s">
        <v>533</v>
      </c>
      <c r="P69" t="s">
        <v>534</v>
      </c>
      <c r="Q69" t="s">
        <v>12773</v>
      </c>
      <c r="R69" t="s">
        <v>535</v>
      </c>
      <c r="S69" t="s">
        <v>536</v>
      </c>
      <c r="Y69" t="s">
        <v>12772</v>
      </c>
      <c r="Z69" t="s">
        <v>12771</v>
      </c>
      <c r="AP69" t="s">
        <v>12770</v>
      </c>
      <c r="AQ69" t="s">
        <v>12769</v>
      </c>
      <c r="AT69" t="s">
        <v>340</v>
      </c>
      <c r="AY69" t="s">
        <v>341</v>
      </c>
      <c r="BC69" t="s">
        <v>42</v>
      </c>
      <c r="BD69" t="s">
        <v>342</v>
      </c>
      <c r="BE69" t="s">
        <v>56</v>
      </c>
      <c r="BF69" t="s">
        <v>45</v>
      </c>
      <c r="BG69" t="s">
        <v>12251</v>
      </c>
      <c r="BH69" t="s">
        <v>46</v>
      </c>
      <c r="BI69" t="s">
        <v>537</v>
      </c>
    </row>
    <row r="70" spans="1:61" x14ac:dyDescent="0.3">
      <c r="A70">
        <v>69</v>
      </c>
      <c r="B70" t="s">
        <v>12662</v>
      </c>
      <c r="C70" t="s">
        <v>12661</v>
      </c>
      <c r="D70" t="s">
        <v>1170</v>
      </c>
      <c r="E70">
        <v>2023</v>
      </c>
      <c r="F70" t="s">
        <v>797</v>
      </c>
      <c r="G70">
        <v>20</v>
      </c>
      <c r="H70">
        <v>7</v>
      </c>
      <c r="I70">
        <v>8</v>
      </c>
      <c r="N70" t="s">
        <v>1171</v>
      </c>
      <c r="O70" t="s">
        <v>1172</v>
      </c>
      <c r="P70" t="s">
        <v>1173</v>
      </c>
      <c r="Q70" t="s">
        <v>12660</v>
      </c>
      <c r="R70" t="s">
        <v>1174</v>
      </c>
      <c r="S70" t="s">
        <v>1175</v>
      </c>
      <c r="AP70" t="s">
        <v>12659</v>
      </c>
      <c r="AT70" t="s">
        <v>803</v>
      </c>
      <c r="AY70">
        <v>14499789</v>
      </c>
      <c r="BC70" t="s">
        <v>42</v>
      </c>
      <c r="BD70" t="s">
        <v>804</v>
      </c>
      <c r="BE70" t="s">
        <v>56</v>
      </c>
      <c r="BF70" t="s">
        <v>45</v>
      </c>
      <c r="BG70" t="s">
        <v>12224</v>
      </c>
      <c r="BH70" t="s">
        <v>46</v>
      </c>
      <c r="BI70" t="s">
        <v>1176</v>
      </c>
    </row>
    <row r="71" spans="1:61" x14ac:dyDescent="0.3">
      <c r="A71">
        <v>70</v>
      </c>
      <c r="B71" t="s">
        <v>13454</v>
      </c>
      <c r="C71" t="s">
        <v>13453</v>
      </c>
      <c r="D71" t="s">
        <v>13452</v>
      </c>
      <c r="E71">
        <v>2023</v>
      </c>
      <c r="F71" t="s">
        <v>13451</v>
      </c>
      <c r="G71">
        <v>98</v>
      </c>
      <c r="H71">
        <v>9</v>
      </c>
      <c r="J71">
        <v>978</v>
      </c>
      <c r="K71">
        <v>982</v>
      </c>
      <c r="M71">
        <v>2</v>
      </c>
      <c r="N71" t="s">
        <v>13450</v>
      </c>
      <c r="O71" t="s">
        <v>13449</v>
      </c>
      <c r="P71" t="s">
        <v>13448</v>
      </c>
      <c r="Q71" t="s">
        <v>13447</v>
      </c>
      <c r="R71" t="s">
        <v>13446</v>
      </c>
      <c r="T71" t="s">
        <v>13445</v>
      </c>
      <c r="AJ71" t="s">
        <v>13444</v>
      </c>
      <c r="AK71" t="s">
        <v>13443</v>
      </c>
      <c r="AN71" t="s">
        <v>13442</v>
      </c>
      <c r="AS71">
        <v>10402446</v>
      </c>
      <c r="AU71" t="s">
        <v>13441</v>
      </c>
      <c r="AV71">
        <v>37369073</v>
      </c>
      <c r="AW71" t="s">
        <v>42</v>
      </c>
      <c r="AX71" t="s">
        <v>13440</v>
      </c>
      <c r="AY71" t="s">
        <v>12366</v>
      </c>
      <c r="AZ71" t="s">
        <v>45</v>
      </c>
      <c r="BA71" t="s">
        <v>12349</v>
      </c>
      <c r="BB71" t="s">
        <v>46</v>
      </c>
      <c r="BC71" t="s">
        <v>13439</v>
      </c>
    </row>
    <row r="72" spans="1:61" x14ac:dyDescent="0.3">
      <c r="A72">
        <v>71</v>
      </c>
      <c r="B72" t="s">
        <v>12658</v>
      </c>
      <c r="C72" t="s">
        <v>12657</v>
      </c>
      <c r="D72" t="s">
        <v>1275</v>
      </c>
      <c r="E72">
        <v>2023</v>
      </c>
      <c r="F72" t="s">
        <v>1276</v>
      </c>
      <c r="G72">
        <v>11</v>
      </c>
      <c r="I72" t="s">
        <v>1277</v>
      </c>
      <c r="M72">
        <v>7</v>
      </c>
      <c r="N72" t="s">
        <v>1278</v>
      </c>
      <c r="O72" t="s">
        <v>1279</v>
      </c>
      <c r="P72" t="s">
        <v>1280</v>
      </c>
      <c r="Q72" t="s">
        <v>12656</v>
      </c>
      <c r="R72" t="s">
        <v>1281</v>
      </c>
      <c r="S72" t="s">
        <v>1282</v>
      </c>
      <c r="AP72" t="s">
        <v>12655</v>
      </c>
      <c r="AQ72" t="s">
        <v>12654</v>
      </c>
      <c r="AT72" t="s">
        <v>129</v>
      </c>
      <c r="AY72">
        <v>22919694</v>
      </c>
      <c r="BC72" t="s">
        <v>42</v>
      </c>
      <c r="BD72" t="s">
        <v>1283</v>
      </c>
      <c r="BE72" t="s">
        <v>56</v>
      </c>
      <c r="BF72" t="s">
        <v>45</v>
      </c>
      <c r="BG72" t="s">
        <v>12214</v>
      </c>
      <c r="BH72" t="s">
        <v>46</v>
      </c>
      <c r="BI72" t="s">
        <v>1284</v>
      </c>
    </row>
    <row r="73" spans="1:61" x14ac:dyDescent="0.3">
      <c r="A73">
        <v>72</v>
      </c>
      <c r="B73" t="s">
        <v>1213</v>
      </c>
      <c r="C73" t="s">
        <v>12427</v>
      </c>
      <c r="D73" t="s">
        <v>1214</v>
      </c>
      <c r="E73">
        <v>2023</v>
      </c>
      <c r="F73" t="s">
        <v>1215</v>
      </c>
      <c r="J73">
        <v>316</v>
      </c>
      <c r="K73">
        <v>340</v>
      </c>
      <c r="N73" t="s">
        <v>1216</v>
      </c>
      <c r="O73" t="s">
        <v>1217</v>
      </c>
      <c r="Q73" t="s">
        <v>12426</v>
      </c>
      <c r="R73" t="s">
        <v>1218</v>
      </c>
      <c r="AP73" t="s">
        <v>12425</v>
      </c>
      <c r="AT73" t="s">
        <v>401</v>
      </c>
      <c r="AZ73" t="s">
        <v>12424</v>
      </c>
      <c r="BC73" t="s">
        <v>42</v>
      </c>
      <c r="BD73" t="s">
        <v>1219</v>
      </c>
      <c r="BE73" t="s">
        <v>12262</v>
      </c>
      <c r="BF73" t="s">
        <v>45</v>
      </c>
      <c r="BH73" t="s">
        <v>46</v>
      </c>
      <c r="BI73" t="s">
        <v>1220</v>
      </c>
    </row>
    <row r="74" spans="1:61" x14ac:dyDescent="0.3">
      <c r="A74">
        <v>73</v>
      </c>
      <c r="B74" t="s">
        <v>13482</v>
      </c>
      <c r="C74" t="s">
        <v>13481</v>
      </c>
      <c r="D74" t="s">
        <v>485</v>
      </c>
      <c r="E74">
        <v>2023</v>
      </c>
      <c r="F74" t="s">
        <v>486</v>
      </c>
      <c r="G74">
        <v>18</v>
      </c>
      <c r="H74" t="s">
        <v>487</v>
      </c>
      <c r="I74" t="s">
        <v>488</v>
      </c>
      <c r="M74">
        <v>5</v>
      </c>
      <c r="N74" t="s">
        <v>489</v>
      </c>
      <c r="O74" t="s">
        <v>490</v>
      </c>
      <c r="P74" t="s">
        <v>491</v>
      </c>
      <c r="Q74" t="s">
        <v>13480</v>
      </c>
      <c r="R74" t="s">
        <v>492</v>
      </c>
      <c r="T74" t="s">
        <v>13479</v>
      </c>
      <c r="AJ74" t="s">
        <v>13478</v>
      </c>
      <c r="AK74" t="s">
        <v>13477</v>
      </c>
      <c r="AN74" t="s">
        <v>493</v>
      </c>
      <c r="AS74">
        <v>19326203</v>
      </c>
      <c r="AU74" t="s">
        <v>494</v>
      </c>
      <c r="AV74">
        <v>37796786</v>
      </c>
      <c r="AW74" t="s">
        <v>42</v>
      </c>
      <c r="AX74" t="s">
        <v>486</v>
      </c>
      <c r="AY74" t="s">
        <v>56</v>
      </c>
      <c r="AZ74" t="s">
        <v>45</v>
      </c>
      <c r="BA74" t="s">
        <v>12214</v>
      </c>
      <c r="BB74" t="s">
        <v>46</v>
      </c>
      <c r="BC74" t="s">
        <v>495</v>
      </c>
    </row>
    <row r="75" spans="1:61" x14ac:dyDescent="0.3">
      <c r="A75">
        <v>74</v>
      </c>
      <c r="B75" t="s">
        <v>13017</v>
      </c>
      <c r="C75" t="s">
        <v>13016</v>
      </c>
      <c r="D75" t="s">
        <v>13015</v>
      </c>
      <c r="E75">
        <v>2023</v>
      </c>
      <c r="F75" t="s">
        <v>13014</v>
      </c>
      <c r="J75">
        <v>499</v>
      </c>
      <c r="K75">
        <v>505</v>
      </c>
      <c r="N75" t="s">
        <v>13013</v>
      </c>
      <c r="O75" t="s">
        <v>13012</v>
      </c>
      <c r="P75" t="s">
        <v>13011</v>
      </c>
      <c r="Q75" t="s">
        <v>13010</v>
      </c>
      <c r="R75" t="s">
        <v>13009</v>
      </c>
      <c r="S75" t="s">
        <v>13008</v>
      </c>
      <c r="T75" t="s">
        <v>13007</v>
      </c>
      <c r="Y75" t="s">
        <v>13006</v>
      </c>
      <c r="Z75" t="s">
        <v>13005</v>
      </c>
      <c r="AJ75" t="s">
        <v>13004</v>
      </c>
      <c r="AK75" t="s">
        <v>13003</v>
      </c>
      <c r="AL75" t="s">
        <v>13002</v>
      </c>
      <c r="AM75" t="s">
        <v>13001</v>
      </c>
      <c r="AN75" t="s">
        <v>884</v>
      </c>
      <c r="AO75" t="s">
        <v>13000</v>
      </c>
      <c r="AP75" t="s">
        <v>12999</v>
      </c>
      <c r="AR75">
        <v>197121</v>
      </c>
      <c r="AS75">
        <v>23759232</v>
      </c>
      <c r="AT75">
        <v>9798350381641</v>
      </c>
      <c r="AW75" t="s">
        <v>42</v>
      </c>
      <c r="AX75" t="s">
        <v>12998</v>
      </c>
      <c r="AY75" t="s">
        <v>12252</v>
      </c>
      <c r="AZ75" t="s">
        <v>45</v>
      </c>
      <c r="BB75" t="s">
        <v>46</v>
      </c>
      <c r="BC75" t="s">
        <v>12997</v>
      </c>
    </row>
    <row r="76" spans="1:61" x14ac:dyDescent="0.3">
      <c r="A76">
        <v>75</v>
      </c>
      <c r="B76" t="s">
        <v>12667</v>
      </c>
      <c r="C76" t="s">
        <v>12666</v>
      </c>
      <c r="D76" t="s">
        <v>995</v>
      </c>
      <c r="E76">
        <v>2023</v>
      </c>
      <c r="F76" t="s">
        <v>996</v>
      </c>
      <c r="G76">
        <v>9</v>
      </c>
      <c r="I76" t="s">
        <v>997</v>
      </c>
      <c r="M76">
        <v>1</v>
      </c>
      <c r="N76" t="s">
        <v>998</v>
      </c>
      <c r="O76" t="s">
        <v>999</v>
      </c>
      <c r="P76" t="s">
        <v>1000</v>
      </c>
      <c r="Q76" t="s">
        <v>12665</v>
      </c>
      <c r="R76" t="s">
        <v>1001</v>
      </c>
      <c r="S76" t="s">
        <v>1002</v>
      </c>
      <c r="AP76" t="s">
        <v>12664</v>
      </c>
      <c r="AQ76" t="s">
        <v>12663</v>
      </c>
      <c r="AT76" t="s">
        <v>129</v>
      </c>
      <c r="AY76">
        <v>23693762</v>
      </c>
      <c r="BC76" t="s">
        <v>42</v>
      </c>
      <c r="BD76" t="s">
        <v>1003</v>
      </c>
      <c r="BE76" t="s">
        <v>56</v>
      </c>
      <c r="BF76" t="s">
        <v>45</v>
      </c>
      <c r="BG76" t="s">
        <v>12214</v>
      </c>
      <c r="BH76" t="s">
        <v>46</v>
      </c>
      <c r="BI76" t="s">
        <v>1004</v>
      </c>
    </row>
    <row r="77" spans="1:61" x14ac:dyDescent="0.3">
      <c r="A77">
        <v>76</v>
      </c>
      <c r="B77" t="s">
        <v>12495</v>
      </c>
      <c r="C77" t="s">
        <v>12494</v>
      </c>
      <c r="D77" t="s">
        <v>966</v>
      </c>
      <c r="E77">
        <v>2023</v>
      </c>
      <c r="F77" t="s">
        <v>967</v>
      </c>
      <c r="G77">
        <v>13</v>
      </c>
      <c r="I77">
        <v>1265024</v>
      </c>
      <c r="M77">
        <v>6</v>
      </c>
      <c r="N77" t="s">
        <v>968</v>
      </c>
      <c r="O77" t="s">
        <v>969</v>
      </c>
      <c r="P77" t="s">
        <v>970</v>
      </c>
      <c r="Q77" t="s">
        <v>12493</v>
      </c>
      <c r="R77" t="s">
        <v>971</v>
      </c>
      <c r="S77" t="s">
        <v>972</v>
      </c>
      <c r="T77" t="s">
        <v>973</v>
      </c>
      <c r="Z77" t="s">
        <v>12492</v>
      </c>
      <c r="AP77" t="s">
        <v>12491</v>
      </c>
      <c r="AQ77" t="s">
        <v>12490</v>
      </c>
      <c r="AT77" t="s">
        <v>340</v>
      </c>
      <c r="AY77" t="s">
        <v>974</v>
      </c>
      <c r="BC77" t="s">
        <v>42</v>
      </c>
      <c r="BD77" t="s">
        <v>975</v>
      </c>
      <c r="BE77" t="s">
        <v>56</v>
      </c>
      <c r="BF77" t="s">
        <v>45</v>
      </c>
      <c r="BG77" t="s">
        <v>12251</v>
      </c>
      <c r="BH77" t="s">
        <v>46</v>
      </c>
      <c r="BI77" t="s">
        <v>976</v>
      </c>
    </row>
    <row r="78" spans="1:61" x14ac:dyDescent="0.3">
      <c r="A78">
        <v>77</v>
      </c>
      <c r="B78" t="s">
        <v>13581</v>
      </c>
      <c r="C78" t="s">
        <v>13580</v>
      </c>
      <c r="D78" t="s">
        <v>600</v>
      </c>
      <c r="E78">
        <v>2023</v>
      </c>
      <c r="F78" t="s">
        <v>601</v>
      </c>
      <c r="G78">
        <v>5</v>
      </c>
      <c r="H78">
        <v>6</v>
      </c>
      <c r="I78" t="s">
        <v>602</v>
      </c>
      <c r="M78">
        <v>1</v>
      </c>
      <c r="N78" t="s">
        <v>603</v>
      </c>
      <c r="O78" t="s">
        <v>604</v>
      </c>
      <c r="P78" t="s">
        <v>13579</v>
      </c>
      <c r="Q78" t="s">
        <v>13578</v>
      </c>
      <c r="R78" t="s">
        <v>605</v>
      </c>
      <c r="S78" t="s">
        <v>606</v>
      </c>
      <c r="T78" t="s">
        <v>607</v>
      </c>
      <c r="V78" t="s">
        <v>13577</v>
      </c>
      <c r="Y78" t="s">
        <v>13576</v>
      </c>
      <c r="Z78" t="s">
        <v>13575</v>
      </c>
      <c r="AJ78" t="s">
        <v>13574</v>
      </c>
      <c r="AK78" t="s">
        <v>13573</v>
      </c>
      <c r="AN78" t="s">
        <v>372</v>
      </c>
      <c r="AS78">
        <v>26386100</v>
      </c>
      <c r="AW78" t="s">
        <v>42</v>
      </c>
      <c r="AX78" t="s">
        <v>608</v>
      </c>
      <c r="AY78" t="s">
        <v>56</v>
      </c>
      <c r="AZ78" t="s">
        <v>45</v>
      </c>
      <c r="BA78" t="s">
        <v>12245</v>
      </c>
      <c r="BB78" t="s">
        <v>46</v>
      </c>
      <c r="BC78" t="s">
        <v>609</v>
      </c>
    </row>
    <row r="79" spans="1:61" x14ac:dyDescent="0.3">
      <c r="A79">
        <v>78</v>
      </c>
      <c r="B79" t="s">
        <v>13615</v>
      </c>
      <c r="C79" t="s">
        <v>13614</v>
      </c>
      <c r="D79" t="s">
        <v>553</v>
      </c>
      <c r="E79">
        <v>2023</v>
      </c>
      <c r="F79" t="s">
        <v>124</v>
      </c>
      <c r="G79">
        <v>13</v>
      </c>
      <c r="H79">
        <v>1</v>
      </c>
      <c r="I79">
        <v>12187</v>
      </c>
      <c r="M79">
        <v>17</v>
      </c>
      <c r="N79" t="s">
        <v>554</v>
      </c>
      <c r="O79" t="s">
        <v>555</v>
      </c>
      <c r="P79" t="s">
        <v>556</v>
      </c>
      <c r="Q79" t="s">
        <v>13613</v>
      </c>
      <c r="R79" t="s">
        <v>557</v>
      </c>
      <c r="T79" t="s">
        <v>13612</v>
      </c>
      <c r="Y79" t="s">
        <v>13522</v>
      </c>
      <c r="Z79" t="s">
        <v>3306</v>
      </c>
      <c r="AJ79" t="s">
        <v>13611</v>
      </c>
      <c r="AK79" t="s">
        <v>13610</v>
      </c>
      <c r="AN79" t="s">
        <v>125</v>
      </c>
      <c r="AS79">
        <v>20452322</v>
      </c>
      <c r="AV79">
        <v>37620342</v>
      </c>
      <c r="AW79" t="s">
        <v>42</v>
      </c>
      <c r="AX79" t="s">
        <v>126</v>
      </c>
      <c r="AY79" t="s">
        <v>56</v>
      </c>
      <c r="AZ79" t="s">
        <v>45</v>
      </c>
      <c r="BA79" t="s">
        <v>12214</v>
      </c>
      <c r="BB79" t="s">
        <v>46</v>
      </c>
      <c r="BC79" t="s">
        <v>558</v>
      </c>
    </row>
    <row r="80" spans="1:61" x14ac:dyDescent="0.3">
      <c r="A80">
        <v>79</v>
      </c>
      <c r="B80" t="s">
        <v>13681</v>
      </c>
      <c r="C80" t="s">
        <v>13680</v>
      </c>
      <c r="D80" t="s">
        <v>737</v>
      </c>
      <c r="E80">
        <v>2023</v>
      </c>
      <c r="F80" t="s">
        <v>738</v>
      </c>
      <c r="G80">
        <v>7</v>
      </c>
      <c r="H80">
        <v>4</v>
      </c>
      <c r="I80">
        <v>182</v>
      </c>
      <c r="N80" t="s">
        <v>739</v>
      </c>
      <c r="O80" t="s">
        <v>740</v>
      </c>
      <c r="P80" t="s">
        <v>741</v>
      </c>
      <c r="Q80" t="s">
        <v>13679</v>
      </c>
      <c r="R80" t="s">
        <v>742</v>
      </c>
      <c r="S80" t="s">
        <v>743</v>
      </c>
      <c r="T80" t="s">
        <v>744</v>
      </c>
      <c r="Z80" t="s">
        <v>13678</v>
      </c>
      <c r="AJ80" t="s">
        <v>13677</v>
      </c>
      <c r="AK80" t="s">
        <v>13676</v>
      </c>
      <c r="AN80" t="s">
        <v>180</v>
      </c>
      <c r="AS80">
        <v>25042289</v>
      </c>
      <c r="AW80" t="s">
        <v>42</v>
      </c>
      <c r="AX80" t="s">
        <v>745</v>
      </c>
      <c r="AY80" t="s">
        <v>56</v>
      </c>
      <c r="AZ80" t="s">
        <v>45</v>
      </c>
      <c r="BA80" t="s">
        <v>12251</v>
      </c>
      <c r="BB80" t="s">
        <v>46</v>
      </c>
      <c r="BC80" t="s">
        <v>746</v>
      </c>
    </row>
    <row r="81" spans="1:61" x14ac:dyDescent="0.3">
      <c r="A81">
        <v>80</v>
      </c>
      <c r="B81" t="s">
        <v>13293</v>
      </c>
      <c r="C81" t="s">
        <v>13292</v>
      </c>
      <c r="D81" t="s">
        <v>610</v>
      </c>
      <c r="E81">
        <v>2023</v>
      </c>
      <c r="F81" t="s">
        <v>305</v>
      </c>
      <c r="G81">
        <v>6</v>
      </c>
      <c r="H81">
        <v>2</v>
      </c>
      <c r="J81">
        <v>56</v>
      </c>
      <c r="K81">
        <v>63</v>
      </c>
      <c r="M81">
        <v>9</v>
      </c>
      <c r="N81" t="s">
        <v>611</v>
      </c>
      <c r="O81" t="s">
        <v>612</v>
      </c>
      <c r="P81" t="s">
        <v>613</v>
      </c>
      <c r="Q81" t="s">
        <v>13291</v>
      </c>
      <c r="R81" t="s">
        <v>614</v>
      </c>
      <c r="S81" t="s">
        <v>615</v>
      </c>
      <c r="AJ81" t="s">
        <v>13290</v>
      </c>
      <c r="AK81" t="s">
        <v>13289</v>
      </c>
      <c r="AN81" t="s">
        <v>311</v>
      </c>
      <c r="AS81" t="s">
        <v>312</v>
      </c>
      <c r="AW81" t="s">
        <v>42</v>
      </c>
      <c r="AX81" t="s">
        <v>313</v>
      </c>
      <c r="AY81" t="s">
        <v>56</v>
      </c>
      <c r="AZ81" t="s">
        <v>45</v>
      </c>
      <c r="BA81" t="s">
        <v>12349</v>
      </c>
      <c r="BB81" t="s">
        <v>46</v>
      </c>
      <c r="BC81" t="s">
        <v>616</v>
      </c>
    </row>
    <row r="82" spans="1:61" x14ac:dyDescent="0.3">
      <c r="A82">
        <v>81</v>
      </c>
      <c r="B82" t="s">
        <v>13224</v>
      </c>
      <c r="C82" t="s">
        <v>13223</v>
      </c>
      <c r="D82" t="s">
        <v>152</v>
      </c>
      <c r="E82">
        <v>2023</v>
      </c>
      <c r="F82" t="s">
        <v>153</v>
      </c>
      <c r="G82">
        <v>9</v>
      </c>
      <c r="H82">
        <v>2</v>
      </c>
      <c r="J82">
        <v>214</v>
      </c>
      <c r="K82">
        <v>221</v>
      </c>
      <c r="M82">
        <v>50</v>
      </c>
      <c r="N82" t="s">
        <v>154</v>
      </c>
      <c r="O82" t="s">
        <v>155</v>
      </c>
      <c r="P82" t="s">
        <v>156</v>
      </c>
      <c r="Q82" t="s">
        <v>13222</v>
      </c>
      <c r="R82" t="s">
        <v>157</v>
      </c>
      <c r="S82" t="s">
        <v>158</v>
      </c>
      <c r="AJ82" t="s">
        <v>13221</v>
      </c>
      <c r="AK82" t="s">
        <v>13220</v>
      </c>
      <c r="AN82" t="s">
        <v>159</v>
      </c>
      <c r="AS82">
        <v>20555911</v>
      </c>
      <c r="AW82" t="s">
        <v>42</v>
      </c>
      <c r="AX82" t="s">
        <v>160</v>
      </c>
      <c r="AY82" t="s">
        <v>56</v>
      </c>
      <c r="AZ82" t="s">
        <v>45</v>
      </c>
      <c r="BA82" t="s">
        <v>12251</v>
      </c>
      <c r="BB82" t="s">
        <v>46</v>
      </c>
      <c r="BC82" t="s">
        <v>161</v>
      </c>
    </row>
    <row r="83" spans="1:61" x14ac:dyDescent="0.3">
      <c r="A83">
        <v>82</v>
      </c>
      <c r="B83" t="s">
        <v>12295</v>
      </c>
      <c r="C83" t="s">
        <v>12294</v>
      </c>
      <c r="D83" t="s">
        <v>12293</v>
      </c>
      <c r="E83">
        <v>2020</v>
      </c>
      <c r="F83" t="s">
        <v>12292</v>
      </c>
      <c r="G83">
        <v>27</v>
      </c>
      <c r="H83">
        <v>1</v>
      </c>
      <c r="J83">
        <v>35</v>
      </c>
      <c r="K83">
        <v>36</v>
      </c>
      <c r="O83" t="s">
        <v>12291</v>
      </c>
      <c r="P83" t="s">
        <v>12290</v>
      </c>
      <c r="Q83" t="s">
        <v>12289</v>
      </c>
      <c r="R83" t="s">
        <v>12288</v>
      </c>
      <c r="AJ83" t="s">
        <v>12287</v>
      </c>
      <c r="AK83" t="s">
        <v>12286</v>
      </c>
      <c r="AN83" t="s">
        <v>12285</v>
      </c>
      <c r="AS83">
        <v>14785277</v>
      </c>
      <c r="AW83" t="s">
        <v>42</v>
      </c>
      <c r="AX83" t="s">
        <v>12284</v>
      </c>
      <c r="AY83" t="s">
        <v>12283</v>
      </c>
      <c r="AZ83" t="s">
        <v>45</v>
      </c>
      <c r="BB83" t="s">
        <v>46</v>
      </c>
      <c r="BC83" t="s">
        <v>12282</v>
      </c>
    </row>
    <row r="84" spans="1:61" x14ac:dyDescent="0.3">
      <c r="A84">
        <v>83</v>
      </c>
      <c r="B84" t="s">
        <v>12762</v>
      </c>
      <c r="C84" t="s">
        <v>12761</v>
      </c>
      <c r="D84" t="s">
        <v>1327</v>
      </c>
      <c r="E84">
        <v>2023</v>
      </c>
      <c r="F84" t="s">
        <v>1328</v>
      </c>
      <c r="J84">
        <v>340</v>
      </c>
      <c r="K84">
        <v>343</v>
      </c>
      <c r="N84" t="s">
        <v>1329</v>
      </c>
      <c r="O84" t="s">
        <v>1330</v>
      </c>
      <c r="P84" t="s">
        <v>1331</v>
      </c>
      <c r="Q84" t="s">
        <v>12760</v>
      </c>
      <c r="R84" t="s">
        <v>1332</v>
      </c>
      <c r="S84" t="s">
        <v>1333</v>
      </c>
      <c r="T84" t="s">
        <v>1334</v>
      </c>
      <c r="Y84" t="s">
        <v>12759</v>
      </c>
      <c r="Z84" t="s">
        <v>12758</v>
      </c>
      <c r="AP84" t="s">
        <v>12757</v>
      </c>
      <c r="AR84" t="s">
        <v>12756</v>
      </c>
      <c r="AT84" t="s">
        <v>88</v>
      </c>
      <c r="AU84" t="s">
        <v>12755</v>
      </c>
      <c r="AV84" t="s">
        <v>12754</v>
      </c>
      <c r="AX84">
        <v>194546</v>
      </c>
      <c r="AZ84">
        <v>9798350347029</v>
      </c>
      <c r="BC84" t="s">
        <v>42</v>
      </c>
      <c r="BD84" t="s">
        <v>1335</v>
      </c>
      <c r="BE84" t="s">
        <v>12252</v>
      </c>
      <c r="BF84" t="s">
        <v>45</v>
      </c>
      <c r="BH84" t="s">
        <v>46</v>
      </c>
      <c r="BI84" t="s">
        <v>1336</v>
      </c>
    </row>
    <row r="85" spans="1:61" x14ac:dyDescent="0.3">
      <c r="A85">
        <v>84</v>
      </c>
      <c r="B85" t="s">
        <v>12379</v>
      </c>
      <c r="C85" t="s">
        <v>12378</v>
      </c>
      <c r="D85" t="s">
        <v>12377</v>
      </c>
      <c r="E85">
        <v>2023</v>
      </c>
      <c r="F85" t="s">
        <v>12376</v>
      </c>
      <c r="M85">
        <v>15</v>
      </c>
      <c r="N85" t="s">
        <v>12375</v>
      </c>
      <c r="O85" t="s">
        <v>12374</v>
      </c>
      <c r="P85" t="s">
        <v>12373</v>
      </c>
      <c r="Q85" t="s">
        <v>12372</v>
      </c>
      <c r="R85" t="s">
        <v>12371</v>
      </c>
      <c r="S85" t="s">
        <v>12370</v>
      </c>
      <c r="AP85" t="s">
        <v>12369</v>
      </c>
      <c r="AQ85" t="s">
        <v>12368</v>
      </c>
      <c r="AT85" t="s">
        <v>251</v>
      </c>
      <c r="AY85">
        <v>10494820</v>
      </c>
      <c r="BC85" t="s">
        <v>42</v>
      </c>
      <c r="BD85" t="s">
        <v>12367</v>
      </c>
      <c r="BE85" t="s">
        <v>12366</v>
      </c>
      <c r="BF85" t="s">
        <v>12365</v>
      </c>
      <c r="BH85" t="s">
        <v>46</v>
      </c>
      <c r="BI85" t="s">
        <v>12364</v>
      </c>
    </row>
    <row r="86" spans="1:61" x14ac:dyDescent="0.3">
      <c r="A86">
        <v>85</v>
      </c>
      <c r="B86" t="s">
        <v>12522</v>
      </c>
      <c r="C86" t="s">
        <v>12521</v>
      </c>
      <c r="D86" t="s">
        <v>12520</v>
      </c>
      <c r="E86">
        <v>2023</v>
      </c>
      <c r="F86" t="s">
        <v>12520</v>
      </c>
      <c r="J86">
        <v>1</v>
      </c>
      <c r="K86">
        <v>237</v>
      </c>
      <c r="N86" t="s">
        <v>12519</v>
      </c>
      <c r="O86" t="s">
        <v>12518</v>
      </c>
      <c r="Q86" t="s">
        <v>12517</v>
      </c>
      <c r="R86" t="s">
        <v>12516</v>
      </c>
      <c r="AT86" t="s">
        <v>12515</v>
      </c>
      <c r="AZ86" t="s">
        <v>12514</v>
      </c>
      <c r="BC86" t="s">
        <v>42</v>
      </c>
      <c r="BD86" t="s">
        <v>12513</v>
      </c>
      <c r="BE86" t="s">
        <v>12512</v>
      </c>
      <c r="BF86" t="s">
        <v>45</v>
      </c>
      <c r="BH86" t="s">
        <v>46</v>
      </c>
      <c r="BI86" t="s">
        <v>12511</v>
      </c>
    </row>
    <row r="87" spans="1:61" x14ac:dyDescent="0.3">
      <c r="A87">
        <v>86</v>
      </c>
      <c r="B87" t="s">
        <v>12462</v>
      </c>
      <c r="C87" t="s">
        <v>12461</v>
      </c>
      <c r="D87" t="s">
        <v>1238</v>
      </c>
      <c r="E87">
        <v>2023</v>
      </c>
      <c r="F87" t="s">
        <v>91</v>
      </c>
      <c r="G87" t="s">
        <v>1239</v>
      </c>
      <c r="J87">
        <v>439</v>
      </c>
      <c r="K87">
        <v>446</v>
      </c>
      <c r="N87" t="s">
        <v>1240</v>
      </c>
      <c r="O87" t="s">
        <v>1241</v>
      </c>
      <c r="P87" t="s">
        <v>1242</v>
      </c>
      <c r="Q87" t="s">
        <v>12460</v>
      </c>
      <c r="R87" t="s">
        <v>1243</v>
      </c>
      <c r="S87" t="s">
        <v>1244</v>
      </c>
      <c r="T87" t="s">
        <v>1245</v>
      </c>
      <c r="Y87" t="s">
        <v>12459</v>
      </c>
      <c r="Z87" t="s">
        <v>12458</v>
      </c>
      <c r="AA87" t="s">
        <v>12457</v>
      </c>
      <c r="AB87" t="s">
        <v>12456</v>
      </c>
      <c r="AC87" t="s">
        <v>12455</v>
      </c>
      <c r="AD87" t="s">
        <v>12454</v>
      </c>
      <c r="AE87" t="s">
        <v>12453</v>
      </c>
      <c r="AF87" t="s">
        <v>12452</v>
      </c>
      <c r="AG87" t="s">
        <v>12451</v>
      </c>
      <c r="AH87" t="s">
        <v>12450</v>
      </c>
      <c r="AP87" t="s">
        <v>12449</v>
      </c>
      <c r="AQ87" t="s">
        <v>12448</v>
      </c>
      <c r="AR87" t="s">
        <v>12447</v>
      </c>
      <c r="AT87" t="s">
        <v>92</v>
      </c>
      <c r="AU87" t="s">
        <v>12446</v>
      </c>
      <c r="AV87" t="s">
        <v>12445</v>
      </c>
      <c r="AX87">
        <v>297769</v>
      </c>
      <c r="AY87">
        <v>18650929</v>
      </c>
      <c r="AZ87">
        <v>9783031360039</v>
      </c>
      <c r="BC87" t="s">
        <v>42</v>
      </c>
      <c r="BD87" t="s">
        <v>93</v>
      </c>
      <c r="BE87" t="s">
        <v>12252</v>
      </c>
      <c r="BF87" t="s">
        <v>45</v>
      </c>
      <c r="BH87" t="s">
        <v>46</v>
      </c>
      <c r="BI87" t="s">
        <v>1246</v>
      </c>
    </row>
    <row r="88" spans="1:61" x14ac:dyDescent="0.3">
      <c r="A88">
        <v>87</v>
      </c>
      <c r="B88" t="s">
        <v>12749</v>
      </c>
      <c r="C88" t="s">
        <v>12748</v>
      </c>
      <c r="D88" t="s">
        <v>497</v>
      </c>
      <c r="E88">
        <v>2023</v>
      </c>
      <c r="F88" t="s">
        <v>498</v>
      </c>
      <c r="G88" t="s">
        <v>499</v>
      </c>
      <c r="J88">
        <v>147</v>
      </c>
      <c r="K88">
        <v>155</v>
      </c>
      <c r="O88" t="s">
        <v>500</v>
      </c>
      <c r="P88" t="s">
        <v>501</v>
      </c>
      <c r="Q88" t="s">
        <v>12747</v>
      </c>
      <c r="R88" t="s">
        <v>502</v>
      </c>
      <c r="S88" t="s">
        <v>503</v>
      </c>
      <c r="T88" t="s">
        <v>504</v>
      </c>
      <c r="AP88" t="s">
        <v>12746</v>
      </c>
      <c r="AR88" t="s">
        <v>12741</v>
      </c>
      <c r="AT88" t="s">
        <v>505</v>
      </c>
      <c r="AU88" t="s">
        <v>12740</v>
      </c>
      <c r="AV88" t="s">
        <v>12731</v>
      </c>
      <c r="AX88">
        <v>194594</v>
      </c>
      <c r="AY88">
        <v>20488637</v>
      </c>
      <c r="AZ88">
        <v>9781914587900</v>
      </c>
      <c r="BC88" t="s">
        <v>42</v>
      </c>
      <c r="BD88" t="s">
        <v>506</v>
      </c>
      <c r="BE88" t="s">
        <v>12252</v>
      </c>
      <c r="BF88" t="s">
        <v>45</v>
      </c>
      <c r="BH88" t="s">
        <v>46</v>
      </c>
      <c r="BI88" t="s">
        <v>507</v>
      </c>
    </row>
    <row r="89" spans="1:61" x14ac:dyDescent="0.3">
      <c r="A89">
        <v>88</v>
      </c>
      <c r="B89" t="s">
        <v>12239</v>
      </c>
      <c r="C89" t="s">
        <v>12238</v>
      </c>
      <c r="D89" t="s">
        <v>895</v>
      </c>
      <c r="E89">
        <v>2018</v>
      </c>
      <c r="F89" t="s">
        <v>896</v>
      </c>
      <c r="G89">
        <v>10</v>
      </c>
      <c r="H89">
        <v>7</v>
      </c>
      <c r="J89">
        <v>925</v>
      </c>
      <c r="K89">
        <v>932</v>
      </c>
      <c r="M89">
        <v>10</v>
      </c>
      <c r="N89" t="s">
        <v>897</v>
      </c>
      <c r="O89" t="s">
        <v>898</v>
      </c>
      <c r="P89" t="s">
        <v>12237</v>
      </c>
      <c r="Q89" t="s">
        <v>12236</v>
      </c>
      <c r="R89" t="s">
        <v>899</v>
      </c>
      <c r="S89" t="s">
        <v>900</v>
      </c>
      <c r="T89" t="s">
        <v>12235</v>
      </c>
      <c r="AJ89" t="s">
        <v>12234</v>
      </c>
      <c r="AK89" t="s">
        <v>12233</v>
      </c>
      <c r="AN89" t="s">
        <v>229</v>
      </c>
      <c r="AS89">
        <v>18771297</v>
      </c>
      <c r="AV89">
        <v>30236430</v>
      </c>
      <c r="AW89" t="s">
        <v>42</v>
      </c>
      <c r="AX89" t="s">
        <v>901</v>
      </c>
      <c r="AY89" t="s">
        <v>56</v>
      </c>
      <c r="AZ89" t="s">
        <v>45</v>
      </c>
      <c r="BB89" t="s">
        <v>46</v>
      </c>
      <c r="BC89" t="s">
        <v>902</v>
      </c>
    </row>
    <row r="90" spans="1:61" x14ac:dyDescent="0.3">
      <c r="A90">
        <v>89</v>
      </c>
      <c r="B90" t="s">
        <v>12348</v>
      </c>
      <c r="C90" t="s">
        <v>12347</v>
      </c>
      <c r="D90" t="s">
        <v>943</v>
      </c>
      <c r="E90">
        <v>2023</v>
      </c>
      <c r="F90" t="s">
        <v>944</v>
      </c>
      <c r="G90">
        <v>112</v>
      </c>
      <c r="H90">
        <v>1</v>
      </c>
      <c r="J90">
        <v>90</v>
      </c>
      <c r="K90">
        <v>107</v>
      </c>
      <c r="M90">
        <v>5</v>
      </c>
      <c r="N90" t="s">
        <v>945</v>
      </c>
      <c r="O90" t="s">
        <v>946</v>
      </c>
      <c r="P90" t="s">
        <v>947</v>
      </c>
      <c r="Q90" t="s">
        <v>12346</v>
      </c>
      <c r="R90" t="s">
        <v>948</v>
      </c>
      <c r="S90" t="s">
        <v>949</v>
      </c>
      <c r="T90" t="s">
        <v>950</v>
      </c>
      <c r="AP90" t="s">
        <v>12345</v>
      </c>
      <c r="AQ90" t="s">
        <v>12344</v>
      </c>
      <c r="AT90" t="s">
        <v>77</v>
      </c>
      <c r="AY90">
        <v>10694730</v>
      </c>
      <c r="BA90" t="s">
        <v>951</v>
      </c>
      <c r="BC90" t="s">
        <v>42</v>
      </c>
      <c r="BD90" t="s">
        <v>952</v>
      </c>
      <c r="BE90" t="s">
        <v>56</v>
      </c>
      <c r="BF90" t="s">
        <v>45</v>
      </c>
      <c r="BG90" t="s">
        <v>12275</v>
      </c>
      <c r="BH90" t="s">
        <v>46</v>
      </c>
      <c r="BI90" t="s">
        <v>953</v>
      </c>
    </row>
    <row r="91" spans="1:61" x14ac:dyDescent="0.3">
      <c r="A91">
        <v>90</v>
      </c>
      <c r="B91" t="s">
        <v>1126</v>
      </c>
      <c r="C91" t="s">
        <v>12300</v>
      </c>
      <c r="D91" t="s">
        <v>1127</v>
      </c>
      <c r="E91">
        <v>2021</v>
      </c>
      <c r="F91" t="s">
        <v>1016</v>
      </c>
      <c r="G91">
        <v>100</v>
      </c>
      <c r="I91">
        <v>102551</v>
      </c>
      <c r="M91">
        <v>6</v>
      </c>
      <c r="N91" t="s">
        <v>1128</v>
      </c>
      <c r="O91" t="s">
        <v>1129</v>
      </c>
      <c r="P91" t="s">
        <v>1130</v>
      </c>
      <c r="Q91" t="s">
        <v>12299</v>
      </c>
      <c r="R91" t="s">
        <v>1131</v>
      </c>
      <c r="S91" t="s">
        <v>1132</v>
      </c>
      <c r="Z91" t="s">
        <v>12298</v>
      </c>
      <c r="AJ91" t="s">
        <v>12297</v>
      </c>
      <c r="AK91" t="s">
        <v>12296</v>
      </c>
      <c r="AN91" t="s">
        <v>1022</v>
      </c>
      <c r="AS91" t="s">
        <v>1023</v>
      </c>
      <c r="AW91" t="s">
        <v>42</v>
      </c>
      <c r="AX91" t="s">
        <v>1016</v>
      </c>
      <c r="AY91" t="s">
        <v>56</v>
      </c>
      <c r="AZ91" t="s">
        <v>45</v>
      </c>
      <c r="BB91" t="s">
        <v>46</v>
      </c>
      <c r="BC91" t="s">
        <v>1133</v>
      </c>
    </row>
    <row r="92" spans="1:61" x14ac:dyDescent="0.3">
      <c r="A92">
        <v>91</v>
      </c>
      <c r="B92" t="s">
        <v>12343</v>
      </c>
      <c r="C92" t="s">
        <v>12342</v>
      </c>
      <c r="D92" t="s">
        <v>1292</v>
      </c>
      <c r="E92">
        <v>2022</v>
      </c>
      <c r="F92" t="s">
        <v>896</v>
      </c>
      <c r="G92">
        <v>14</v>
      </c>
      <c r="H92">
        <v>12</v>
      </c>
      <c r="J92">
        <v>1500</v>
      </c>
      <c r="K92">
        <v>1505</v>
      </c>
      <c r="N92" t="s">
        <v>1293</v>
      </c>
      <c r="O92" t="s">
        <v>1294</v>
      </c>
      <c r="P92" t="s">
        <v>12341</v>
      </c>
      <c r="Q92" t="s">
        <v>12340</v>
      </c>
      <c r="R92" t="s">
        <v>1295</v>
      </c>
      <c r="S92" t="s">
        <v>1296</v>
      </c>
      <c r="T92" t="s">
        <v>12339</v>
      </c>
      <c r="AP92" t="s">
        <v>12338</v>
      </c>
      <c r="AQ92" t="s">
        <v>12337</v>
      </c>
      <c r="AT92" t="s">
        <v>229</v>
      </c>
      <c r="AY92">
        <v>18771297</v>
      </c>
      <c r="BB92">
        <v>36402695</v>
      </c>
      <c r="BC92" t="s">
        <v>42</v>
      </c>
      <c r="BD92" t="s">
        <v>901</v>
      </c>
      <c r="BE92" t="s">
        <v>56</v>
      </c>
      <c r="BF92" t="s">
        <v>45</v>
      </c>
      <c r="BH92" t="s">
        <v>46</v>
      </c>
      <c r="BI92" t="s">
        <v>1297</v>
      </c>
    </row>
    <row r="93" spans="1:61" x14ac:dyDescent="0.3">
      <c r="A93">
        <v>92</v>
      </c>
      <c r="B93" t="s">
        <v>13318</v>
      </c>
      <c r="C93" t="s">
        <v>13317</v>
      </c>
      <c r="D93" t="s">
        <v>456</v>
      </c>
      <c r="E93">
        <v>2023</v>
      </c>
      <c r="F93" t="s">
        <v>457</v>
      </c>
      <c r="G93">
        <v>42</v>
      </c>
      <c r="H93">
        <v>3</v>
      </c>
      <c r="J93">
        <v>385</v>
      </c>
      <c r="K93">
        <v>389</v>
      </c>
      <c r="M93">
        <v>4</v>
      </c>
      <c r="N93" t="s">
        <v>458</v>
      </c>
      <c r="O93" t="s">
        <v>459</v>
      </c>
      <c r="P93" t="s">
        <v>460</v>
      </c>
      <c r="Q93" t="s">
        <v>13316</v>
      </c>
      <c r="R93" t="s">
        <v>461</v>
      </c>
      <c r="S93" t="s">
        <v>462</v>
      </c>
      <c r="AJ93" t="s">
        <v>13315</v>
      </c>
      <c r="AK93" t="s">
        <v>13314</v>
      </c>
      <c r="AN93" t="s">
        <v>463</v>
      </c>
      <c r="AS93">
        <v>2735024</v>
      </c>
      <c r="AW93" t="s">
        <v>42</v>
      </c>
      <c r="AX93" t="s">
        <v>464</v>
      </c>
      <c r="AY93" t="s">
        <v>56</v>
      </c>
      <c r="AZ93" t="s">
        <v>45</v>
      </c>
      <c r="BA93" t="s">
        <v>12224</v>
      </c>
      <c r="BB93" t="s">
        <v>46</v>
      </c>
      <c r="BC93" t="s">
        <v>465</v>
      </c>
    </row>
    <row r="94" spans="1:61" x14ac:dyDescent="0.3">
      <c r="A94">
        <v>93</v>
      </c>
      <c r="B94" t="s">
        <v>1346</v>
      </c>
      <c r="C94" t="s">
        <v>12687</v>
      </c>
      <c r="D94" t="s">
        <v>1347</v>
      </c>
      <c r="E94">
        <v>2023</v>
      </c>
      <c r="F94" t="s">
        <v>1348</v>
      </c>
      <c r="M94">
        <v>1</v>
      </c>
      <c r="N94" t="s">
        <v>1349</v>
      </c>
      <c r="O94" t="s">
        <v>1350</v>
      </c>
      <c r="P94" t="s">
        <v>1351</v>
      </c>
      <c r="Q94" t="s">
        <v>12686</v>
      </c>
      <c r="R94" t="s">
        <v>1352</v>
      </c>
      <c r="S94" t="s">
        <v>1353</v>
      </c>
      <c r="AP94" t="s">
        <v>12685</v>
      </c>
      <c r="AQ94" t="s">
        <v>12684</v>
      </c>
      <c r="AT94" t="s">
        <v>251</v>
      </c>
      <c r="AY94">
        <v>3323315</v>
      </c>
      <c r="BC94" t="s">
        <v>42</v>
      </c>
      <c r="BD94" t="s">
        <v>1354</v>
      </c>
      <c r="BE94" t="s">
        <v>56</v>
      </c>
      <c r="BF94" t="s">
        <v>12365</v>
      </c>
      <c r="BH94" t="s">
        <v>46</v>
      </c>
      <c r="BI94" t="s">
        <v>1355</v>
      </c>
    </row>
    <row r="95" spans="1:61" x14ac:dyDescent="0.3">
      <c r="A95">
        <v>94</v>
      </c>
      <c r="B95" t="s">
        <v>13274</v>
      </c>
      <c r="C95" t="s">
        <v>13273</v>
      </c>
      <c r="D95" t="s">
        <v>276</v>
      </c>
      <c r="E95">
        <v>2023</v>
      </c>
      <c r="F95" t="s">
        <v>277</v>
      </c>
      <c r="G95">
        <v>37</v>
      </c>
      <c r="J95">
        <v>15825</v>
      </c>
      <c r="K95">
        <v>15833</v>
      </c>
      <c r="M95">
        <v>1</v>
      </c>
      <c r="O95" t="s">
        <v>278</v>
      </c>
      <c r="P95" t="s">
        <v>279</v>
      </c>
      <c r="Q95" t="s">
        <v>13272</v>
      </c>
      <c r="R95" t="s">
        <v>280</v>
      </c>
      <c r="T95" t="s">
        <v>281</v>
      </c>
      <c r="AJ95" t="s">
        <v>13271</v>
      </c>
      <c r="AL95" t="s">
        <v>13270</v>
      </c>
      <c r="AM95" t="s">
        <v>13269</v>
      </c>
      <c r="AN95" t="s">
        <v>282</v>
      </c>
      <c r="AO95" t="s">
        <v>13268</v>
      </c>
      <c r="AP95" t="s">
        <v>13267</v>
      </c>
      <c r="AR95">
        <v>190493</v>
      </c>
      <c r="AT95">
        <v>9781577358800</v>
      </c>
      <c r="AW95" t="s">
        <v>42</v>
      </c>
      <c r="AX95" t="s">
        <v>283</v>
      </c>
      <c r="AY95" t="s">
        <v>12252</v>
      </c>
      <c r="AZ95" t="s">
        <v>45</v>
      </c>
      <c r="BB95" t="s">
        <v>46</v>
      </c>
      <c r="BC95" t="s">
        <v>284</v>
      </c>
    </row>
    <row r="96" spans="1:61" x14ac:dyDescent="0.3">
      <c r="A96">
        <v>95</v>
      </c>
      <c r="B96" t="s">
        <v>13572</v>
      </c>
      <c r="C96" t="s">
        <v>13571</v>
      </c>
      <c r="D96" t="s">
        <v>748</v>
      </c>
      <c r="E96">
        <v>2023</v>
      </c>
      <c r="F96" t="s">
        <v>749</v>
      </c>
      <c r="G96">
        <v>27</v>
      </c>
      <c r="H96">
        <v>3</v>
      </c>
      <c r="M96">
        <v>5</v>
      </c>
      <c r="N96" t="s">
        <v>750</v>
      </c>
      <c r="O96" t="s">
        <v>751</v>
      </c>
      <c r="P96" t="s">
        <v>752</v>
      </c>
      <c r="Q96" t="s">
        <v>13570</v>
      </c>
      <c r="R96" t="s">
        <v>753</v>
      </c>
      <c r="S96" t="s">
        <v>754</v>
      </c>
      <c r="AJ96" t="s">
        <v>13569</v>
      </c>
      <c r="AN96" t="s">
        <v>755</v>
      </c>
      <c r="AS96">
        <v>10724303</v>
      </c>
      <c r="AW96" t="s">
        <v>42</v>
      </c>
      <c r="AX96" t="s">
        <v>749</v>
      </c>
      <c r="AY96" t="s">
        <v>56</v>
      </c>
      <c r="AZ96" t="s">
        <v>45</v>
      </c>
      <c r="BA96" t="s">
        <v>12251</v>
      </c>
      <c r="BB96" t="s">
        <v>46</v>
      </c>
      <c r="BC96" t="s">
        <v>756</v>
      </c>
    </row>
    <row r="97" spans="1:61" x14ac:dyDescent="0.3">
      <c r="A97">
        <v>96</v>
      </c>
      <c r="B97" t="s">
        <v>12935</v>
      </c>
      <c r="C97" t="s">
        <v>12934</v>
      </c>
      <c r="D97" t="s">
        <v>767</v>
      </c>
      <c r="E97">
        <v>2023</v>
      </c>
      <c r="F97" t="s">
        <v>768</v>
      </c>
      <c r="J97">
        <v>12359</v>
      </c>
      <c r="K97">
        <v>12374</v>
      </c>
      <c r="O97" t="s">
        <v>769</v>
      </c>
      <c r="P97" t="s">
        <v>770</v>
      </c>
      <c r="Q97" t="s">
        <v>12933</v>
      </c>
      <c r="R97" t="s">
        <v>771</v>
      </c>
      <c r="T97" t="s">
        <v>772</v>
      </c>
      <c r="AJ97" t="s">
        <v>12932</v>
      </c>
      <c r="AL97" t="s">
        <v>12931</v>
      </c>
      <c r="AM97" t="s">
        <v>12930</v>
      </c>
      <c r="AN97" t="s">
        <v>101</v>
      </c>
      <c r="AO97" t="s">
        <v>12929</v>
      </c>
      <c r="AP97" t="s">
        <v>12898</v>
      </c>
      <c r="AR97">
        <v>196512</v>
      </c>
      <c r="AT97">
        <v>9798891760608</v>
      </c>
      <c r="AW97" t="s">
        <v>42</v>
      </c>
      <c r="AX97" t="s">
        <v>773</v>
      </c>
      <c r="AY97" t="s">
        <v>12252</v>
      </c>
      <c r="AZ97" t="s">
        <v>45</v>
      </c>
      <c r="BB97" t="s">
        <v>46</v>
      </c>
      <c r="BC97" t="s">
        <v>774</v>
      </c>
    </row>
    <row r="98" spans="1:61" x14ac:dyDescent="0.3">
      <c r="A98">
        <v>97</v>
      </c>
      <c r="B98" t="s">
        <v>13184</v>
      </c>
      <c r="C98" t="s">
        <v>13183</v>
      </c>
      <c r="D98" t="s">
        <v>355</v>
      </c>
      <c r="E98">
        <v>2023</v>
      </c>
      <c r="F98" t="s">
        <v>356</v>
      </c>
      <c r="G98">
        <v>2</v>
      </c>
      <c r="J98">
        <v>1339</v>
      </c>
      <c r="M98">
        <v>3</v>
      </c>
      <c r="N98" t="s">
        <v>357</v>
      </c>
      <c r="O98" t="s">
        <v>358</v>
      </c>
      <c r="P98" t="s">
        <v>359</v>
      </c>
      <c r="Q98" t="s">
        <v>13182</v>
      </c>
      <c r="R98" t="s">
        <v>360</v>
      </c>
      <c r="S98" t="s">
        <v>361</v>
      </c>
      <c r="T98" t="s">
        <v>362</v>
      </c>
      <c r="AJ98" t="s">
        <v>13181</v>
      </c>
      <c r="AM98" t="s">
        <v>13180</v>
      </c>
      <c r="AN98" t="s">
        <v>41</v>
      </c>
      <c r="AO98" t="s">
        <v>13179</v>
      </c>
      <c r="AP98" t="s">
        <v>13178</v>
      </c>
      <c r="AR98">
        <v>187022</v>
      </c>
      <c r="AT98">
        <v>9781450394338</v>
      </c>
      <c r="AW98" t="s">
        <v>42</v>
      </c>
      <c r="AX98" t="s">
        <v>363</v>
      </c>
      <c r="AY98" t="s">
        <v>12252</v>
      </c>
      <c r="AZ98" t="s">
        <v>45</v>
      </c>
      <c r="BA98" t="s">
        <v>12349</v>
      </c>
      <c r="BB98" t="s">
        <v>46</v>
      </c>
      <c r="BC98" t="s">
        <v>364</v>
      </c>
    </row>
    <row r="99" spans="1:61" x14ac:dyDescent="0.3">
      <c r="A99">
        <v>98</v>
      </c>
      <c r="B99" t="s">
        <v>13546</v>
      </c>
      <c r="C99" t="s">
        <v>13545</v>
      </c>
      <c r="D99" t="s">
        <v>131</v>
      </c>
      <c r="E99">
        <v>2023</v>
      </c>
      <c r="F99" t="s">
        <v>132</v>
      </c>
      <c r="J99">
        <v>50</v>
      </c>
      <c r="K99">
        <v>59</v>
      </c>
      <c r="N99" t="s">
        <v>133</v>
      </c>
      <c r="O99" t="s">
        <v>134</v>
      </c>
      <c r="P99" t="s">
        <v>135</v>
      </c>
      <c r="Q99" t="s">
        <v>13544</v>
      </c>
      <c r="R99" t="s">
        <v>136</v>
      </c>
      <c r="S99" t="s">
        <v>137</v>
      </c>
      <c r="T99" t="s">
        <v>138</v>
      </c>
      <c r="Y99" t="s">
        <v>13543</v>
      </c>
      <c r="Z99" t="s">
        <v>13542</v>
      </c>
      <c r="AJ99" t="s">
        <v>13541</v>
      </c>
      <c r="AL99" t="s">
        <v>13540</v>
      </c>
      <c r="AM99" t="s">
        <v>13539</v>
      </c>
      <c r="AN99" t="s">
        <v>41</v>
      </c>
      <c r="AO99" t="s">
        <v>13538</v>
      </c>
      <c r="AP99" t="s">
        <v>13537</v>
      </c>
      <c r="AR99">
        <v>194217</v>
      </c>
      <c r="AT99">
        <v>9798400703904</v>
      </c>
      <c r="AW99" t="s">
        <v>42</v>
      </c>
      <c r="AX99" t="s">
        <v>139</v>
      </c>
      <c r="AY99" t="s">
        <v>12252</v>
      </c>
      <c r="AZ99" t="s">
        <v>45</v>
      </c>
      <c r="BB99" t="s">
        <v>46</v>
      </c>
      <c r="BC99" t="s">
        <v>140</v>
      </c>
    </row>
    <row r="100" spans="1:61" x14ac:dyDescent="0.3">
      <c r="A100">
        <v>99</v>
      </c>
      <c r="B100" t="s">
        <v>12565</v>
      </c>
      <c r="C100" t="s">
        <v>12564</v>
      </c>
      <c r="D100" t="s">
        <v>1257</v>
      </c>
      <c r="E100">
        <v>2023</v>
      </c>
      <c r="F100" t="s">
        <v>1258</v>
      </c>
      <c r="J100">
        <v>226</v>
      </c>
      <c r="K100">
        <v>230</v>
      </c>
      <c r="M100">
        <v>3</v>
      </c>
      <c r="N100" t="s">
        <v>1259</v>
      </c>
      <c r="O100" t="s">
        <v>1260</v>
      </c>
      <c r="P100" t="s">
        <v>1261</v>
      </c>
      <c r="Q100" t="s">
        <v>12563</v>
      </c>
      <c r="R100" t="s">
        <v>12562</v>
      </c>
      <c r="S100" t="s">
        <v>1263</v>
      </c>
      <c r="T100" t="s">
        <v>1264</v>
      </c>
      <c r="AP100" t="s">
        <v>12561</v>
      </c>
      <c r="AR100" t="s">
        <v>12560</v>
      </c>
      <c r="AT100" t="s">
        <v>88</v>
      </c>
      <c r="AU100" t="s">
        <v>12559</v>
      </c>
      <c r="AV100" t="s">
        <v>12558</v>
      </c>
      <c r="AX100">
        <v>193030</v>
      </c>
      <c r="AZ100">
        <v>9798350300543</v>
      </c>
      <c r="BC100" t="s">
        <v>42</v>
      </c>
      <c r="BD100" t="s">
        <v>1265</v>
      </c>
      <c r="BE100" t="s">
        <v>12252</v>
      </c>
      <c r="BF100" t="s">
        <v>45</v>
      </c>
      <c r="BH100" t="s">
        <v>46</v>
      </c>
      <c r="BI100" t="s">
        <v>1266</v>
      </c>
    </row>
    <row r="101" spans="1:61" x14ac:dyDescent="0.3">
      <c r="A101">
        <v>100</v>
      </c>
      <c r="B101" t="s">
        <v>13325</v>
      </c>
      <c r="C101" t="s">
        <v>13324</v>
      </c>
      <c r="D101" t="s">
        <v>685</v>
      </c>
      <c r="E101">
        <v>2023</v>
      </c>
      <c r="F101" t="s">
        <v>686</v>
      </c>
      <c r="G101">
        <v>44</v>
      </c>
      <c r="H101">
        <v>3</v>
      </c>
      <c r="J101">
        <v>124</v>
      </c>
      <c r="K101">
        <v>126</v>
      </c>
      <c r="N101" t="s">
        <v>687</v>
      </c>
      <c r="O101" t="s">
        <v>688</v>
      </c>
      <c r="P101" t="s">
        <v>689</v>
      </c>
      <c r="Q101" t="s">
        <v>13323</v>
      </c>
      <c r="R101" t="s">
        <v>13322</v>
      </c>
      <c r="T101" t="s">
        <v>690</v>
      </c>
      <c r="AJ101" t="s">
        <v>13321</v>
      </c>
      <c r="AK101" t="s">
        <v>13320</v>
      </c>
      <c r="AN101" t="s">
        <v>691</v>
      </c>
      <c r="AS101">
        <v>13244272</v>
      </c>
      <c r="AW101" t="s">
        <v>42</v>
      </c>
      <c r="AX101" t="s">
        <v>13319</v>
      </c>
      <c r="AY101" t="s">
        <v>56</v>
      </c>
      <c r="AZ101" t="s">
        <v>45</v>
      </c>
      <c r="BA101" t="s">
        <v>12214</v>
      </c>
      <c r="BB101" t="s">
        <v>46</v>
      </c>
      <c r="BC101" t="s">
        <v>692</v>
      </c>
    </row>
    <row r="102" spans="1:61" x14ac:dyDescent="0.3">
      <c r="A102">
        <v>101</v>
      </c>
      <c r="B102" t="s">
        <v>13377</v>
      </c>
      <c r="C102" t="s">
        <v>13376</v>
      </c>
      <c r="D102" t="s">
        <v>449</v>
      </c>
      <c r="E102">
        <v>2023</v>
      </c>
      <c r="F102" t="s">
        <v>34</v>
      </c>
      <c r="J102">
        <v>106</v>
      </c>
      <c r="K102">
        <v>121</v>
      </c>
      <c r="M102">
        <v>18</v>
      </c>
      <c r="N102" t="s">
        <v>450</v>
      </c>
      <c r="O102" t="s">
        <v>451</v>
      </c>
      <c r="P102" t="s">
        <v>13375</v>
      </c>
      <c r="Q102" t="s">
        <v>13374</v>
      </c>
      <c r="R102" t="s">
        <v>452</v>
      </c>
      <c r="S102" t="s">
        <v>453</v>
      </c>
      <c r="T102" t="s">
        <v>454</v>
      </c>
      <c r="Y102" t="s">
        <v>13373</v>
      </c>
      <c r="Z102" t="s">
        <v>6126</v>
      </c>
      <c r="AJ102" t="s">
        <v>13372</v>
      </c>
      <c r="AM102" t="s">
        <v>13367</v>
      </c>
      <c r="AN102" t="s">
        <v>41</v>
      </c>
      <c r="AO102" t="s">
        <v>13366</v>
      </c>
      <c r="AP102" t="s">
        <v>13365</v>
      </c>
      <c r="AR102">
        <v>192875</v>
      </c>
      <c r="AT102">
        <v>9781450399760</v>
      </c>
      <c r="AW102" t="s">
        <v>42</v>
      </c>
      <c r="AX102" t="s">
        <v>43</v>
      </c>
      <c r="AY102" t="s">
        <v>12252</v>
      </c>
      <c r="AZ102" t="s">
        <v>45</v>
      </c>
      <c r="BB102" t="s">
        <v>46</v>
      </c>
      <c r="BC102" t="s">
        <v>455</v>
      </c>
    </row>
    <row r="103" spans="1:61" x14ac:dyDescent="0.3">
      <c r="A103">
        <v>102</v>
      </c>
      <c r="B103" t="s">
        <v>13668</v>
      </c>
      <c r="C103" t="s">
        <v>13667</v>
      </c>
      <c r="D103" t="s">
        <v>344</v>
      </c>
      <c r="E103">
        <v>2023</v>
      </c>
      <c r="F103" t="s">
        <v>345</v>
      </c>
      <c r="G103">
        <v>26</v>
      </c>
      <c r="H103">
        <v>12</v>
      </c>
      <c r="J103">
        <v>913</v>
      </c>
      <c r="K103">
        <v>918</v>
      </c>
      <c r="M103">
        <v>2</v>
      </c>
      <c r="N103" t="s">
        <v>346</v>
      </c>
      <c r="O103" t="s">
        <v>347</v>
      </c>
      <c r="P103" t="s">
        <v>348</v>
      </c>
      <c r="Q103" t="s">
        <v>13666</v>
      </c>
      <c r="R103" t="s">
        <v>349</v>
      </c>
      <c r="S103" t="s">
        <v>350</v>
      </c>
      <c r="T103" t="s">
        <v>13665</v>
      </c>
      <c r="Y103" t="s">
        <v>13664</v>
      </c>
      <c r="Z103" t="s">
        <v>13663</v>
      </c>
      <c r="AJ103" t="s">
        <v>13662</v>
      </c>
      <c r="AK103" t="s">
        <v>13661</v>
      </c>
      <c r="AN103" t="s">
        <v>351</v>
      </c>
      <c r="AS103">
        <v>21522715</v>
      </c>
      <c r="AV103">
        <v>38090765</v>
      </c>
      <c r="AW103" t="s">
        <v>42</v>
      </c>
      <c r="AX103" t="s">
        <v>352</v>
      </c>
      <c r="AY103" t="s">
        <v>56</v>
      </c>
      <c r="AZ103" t="s">
        <v>45</v>
      </c>
      <c r="BB103" t="s">
        <v>46</v>
      </c>
      <c r="BC103" t="s">
        <v>353</v>
      </c>
    </row>
    <row r="104" spans="1:61" x14ac:dyDescent="0.3">
      <c r="A104">
        <v>103</v>
      </c>
      <c r="B104" t="s">
        <v>13081</v>
      </c>
      <c r="C104" t="s">
        <v>13080</v>
      </c>
      <c r="D104" t="s">
        <v>13079</v>
      </c>
      <c r="E104">
        <v>2023</v>
      </c>
      <c r="F104" t="s">
        <v>13078</v>
      </c>
      <c r="N104" t="s">
        <v>13077</v>
      </c>
      <c r="O104" t="s">
        <v>13076</v>
      </c>
      <c r="P104" t="s">
        <v>13075</v>
      </c>
      <c r="Q104" t="s">
        <v>13074</v>
      </c>
      <c r="R104" t="s">
        <v>13073</v>
      </c>
      <c r="S104" t="s">
        <v>13072</v>
      </c>
      <c r="T104" t="s">
        <v>13071</v>
      </c>
      <c r="AJ104" t="s">
        <v>13070</v>
      </c>
      <c r="AM104" t="s">
        <v>13069</v>
      </c>
      <c r="AN104" t="s">
        <v>88</v>
      </c>
      <c r="AO104" t="s">
        <v>13068</v>
      </c>
      <c r="AP104" t="s">
        <v>13067</v>
      </c>
      <c r="AR104">
        <v>197291</v>
      </c>
      <c r="AS104">
        <v>28321529</v>
      </c>
      <c r="AT104">
        <v>9798350369533</v>
      </c>
      <c r="AW104" t="s">
        <v>55</v>
      </c>
      <c r="AX104" t="s">
        <v>13066</v>
      </c>
      <c r="AY104" t="s">
        <v>12252</v>
      </c>
      <c r="AZ104" t="s">
        <v>45</v>
      </c>
      <c r="BB104" t="s">
        <v>46</v>
      </c>
      <c r="BC104" t="s">
        <v>13065</v>
      </c>
    </row>
    <row r="105" spans="1:61" x14ac:dyDescent="0.3">
      <c r="A105">
        <v>104</v>
      </c>
      <c r="B105" t="s">
        <v>12745</v>
      </c>
      <c r="C105" t="s">
        <v>12744</v>
      </c>
      <c r="D105" t="s">
        <v>1104</v>
      </c>
      <c r="E105">
        <v>2023</v>
      </c>
      <c r="F105" t="s">
        <v>498</v>
      </c>
      <c r="G105" t="s">
        <v>499</v>
      </c>
      <c r="J105">
        <v>156</v>
      </c>
      <c r="K105">
        <v>164</v>
      </c>
      <c r="O105" t="s">
        <v>1105</v>
      </c>
      <c r="P105" t="s">
        <v>1106</v>
      </c>
      <c r="Q105" t="s">
        <v>12743</v>
      </c>
      <c r="R105" t="s">
        <v>1107</v>
      </c>
      <c r="S105" t="s">
        <v>1108</v>
      </c>
      <c r="T105" t="s">
        <v>1109</v>
      </c>
      <c r="AP105" t="s">
        <v>12742</v>
      </c>
      <c r="AR105" t="s">
        <v>12741</v>
      </c>
      <c r="AT105" t="s">
        <v>505</v>
      </c>
      <c r="AU105" t="s">
        <v>12740</v>
      </c>
      <c r="AV105" t="s">
        <v>12731</v>
      </c>
      <c r="AX105">
        <v>194594</v>
      </c>
      <c r="AY105">
        <v>20488637</v>
      </c>
      <c r="AZ105">
        <v>9781914587900</v>
      </c>
      <c r="BC105" t="s">
        <v>42</v>
      </c>
      <c r="BD105" t="s">
        <v>506</v>
      </c>
      <c r="BE105" t="s">
        <v>12252</v>
      </c>
      <c r="BF105" t="s">
        <v>45</v>
      </c>
      <c r="BH105" t="s">
        <v>46</v>
      </c>
      <c r="BI105" t="s">
        <v>1110</v>
      </c>
    </row>
    <row r="106" spans="1:61" x14ac:dyDescent="0.3">
      <c r="A106">
        <v>105</v>
      </c>
      <c r="B106" t="s">
        <v>12480</v>
      </c>
      <c r="C106" t="s">
        <v>12479</v>
      </c>
      <c r="D106" t="s">
        <v>1163</v>
      </c>
      <c r="E106">
        <v>2023</v>
      </c>
      <c r="F106" t="s">
        <v>996</v>
      </c>
      <c r="G106">
        <v>9</v>
      </c>
      <c r="I106" t="s">
        <v>1164</v>
      </c>
      <c r="M106">
        <v>1</v>
      </c>
      <c r="N106" t="s">
        <v>1165</v>
      </c>
      <c r="O106" t="s">
        <v>1166</v>
      </c>
      <c r="P106" t="s">
        <v>12478</v>
      </c>
      <c r="Q106" t="s">
        <v>12477</v>
      </c>
      <c r="R106" t="s">
        <v>1167</v>
      </c>
      <c r="S106" t="s">
        <v>1168</v>
      </c>
      <c r="Y106" t="s">
        <v>12476</v>
      </c>
      <c r="Z106" t="s">
        <v>12475</v>
      </c>
      <c r="AP106" t="s">
        <v>12474</v>
      </c>
      <c r="AQ106" t="s">
        <v>12473</v>
      </c>
      <c r="AT106" t="s">
        <v>129</v>
      </c>
      <c r="AY106">
        <v>23693762</v>
      </c>
      <c r="BC106" t="s">
        <v>42</v>
      </c>
      <c r="BD106" t="s">
        <v>1003</v>
      </c>
      <c r="BE106" t="s">
        <v>56</v>
      </c>
      <c r="BF106" t="s">
        <v>45</v>
      </c>
      <c r="BG106" t="s">
        <v>12214</v>
      </c>
      <c r="BH106" t="s">
        <v>46</v>
      </c>
      <c r="BI106" t="s">
        <v>1169</v>
      </c>
    </row>
    <row r="107" spans="1:61" x14ac:dyDescent="0.3">
      <c r="A107">
        <v>106</v>
      </c>
      <c r="B107" t="s">
        <v>12327</v>
      </c>
      <c r="C107" t="s">
        <v>12326</v>
      </c>
      <c r="D107" t="s">
        <v>1035</v>
      </c>
      <c r="E107">
        <v>2022</v>
      </c>
      <c r="F107" t="s">
        <v>1036</v>
      </c>
      <c r="G107">
        <v>35</v>
      </c>
      <c r="M107">
        <v>27</v>
      </c>
      <c r="O107" t="s">
        <v>1037</v>
      </c>
      <c r="P107" t="s">
        <v>1038</v>
      </c>
      <c r="Q107" t="s">
        <v>12325</v>
      </c>
      <c r="R107" t="s">
        <v>1039</v>
      </c>
      <c r="T107" t="s">
        <v>1040</v>
      </c>
      <c r="Z107" t="s">
        <v>12324</v>
      </c>
      <c r="AP107" t="s">
        <v>12323</v>
      </c>
      <c r="AR107" t="s">
        <v>12322</v>
      </c>
      <c r="AT107" t="s">
        <v>1041</v>
      </c>
      <c r="AU107" t="s">
        <v>12321</v>
      </c>
      <c r="AV107" t="s">
        <v>12320</v>
      </c>
      <c r="AX107">
        <v>189185</v>
      </c>
      <c r="AY107">
        <v>10495258</v>
      </c>
      <c r="AZ107">
        <v>9781713871088</v>
      </c>
      <c r="BC107" t="s">
        <v>42</v>
      </c>
      <c r="BD107" t="s">
        <v>1042</v>
      </c>
      <c r="BE107" t="s">
        <v>12252</v>
      </c>
      <c r="BF107" t="s">
        <v>45</v>
      </c>
      <c r="BH107" t="s">
        <v>46</v>
      </c>
      <c r="BI107" t="s">
        <v>1043</v>
      </c>
    </row>
    <row r="108" spans="1:61" x14ac:dyDescent="0.3">
      <c r="A108">
        <v>107</v>
      </c>
      <c r="B108" t="s">
        <v>12739</v>
      </c>
      <c r="C108" t="s">
        <v>12738</v>
      </c>
      <c r="D108" t="s">
        <v>876</v>
      </c>
      <c r="E108">
        <v>2023</v>
      </c>
      <c r="F108" t="s">
        <v>877</v>
      </c>
      <c r="M108">
        <v>1</v>
      </c>
      <c r="N108" t="s">
        <v>878</v>
      </c>
      <c r="O108" t="s">
        <v>879</v>
      </c>
      <c r="P108" t="s">
        <v>880</v>
      </c>
      <c r="Q108" t="s">
        <v>12737</v>
      </c>
      <c r="R108" t="s">
        <v>12736</v>
      </c>
      <c r="S108" t="s">
        <v>882</v>
      </c>
      <c r="T108" t="s">
        <v>883</v>
      </c>
      <c r="Y108" t="s">
        <v>12735</v>
      </c>
      <c r="Z108" t="s">
        <v>12734</v>
      </c>
      <c r="AP108" t="s">
        <v>12733</v>
      </c>
      <c r="AT108" t="s">
        <v>884</v>
      </c>
      <c r="AU108" t="s">
        <v>12732</v>
      </c>
      <c r="AV108" t="s">
        <v>12731</v>
      </c>
      <c r="AX108">
        <v>194365</v>
      </c>
      <c r="AY108">
        <v>19493770</v>
      </c>
      <c r="AZ108">
        <v>9781665452236</v>
      </c>
      <c r="BC108" t="s">
        <v>42</v>
      </c>
      <c r="BD108" t="s">
        <v>885</v>
      </c>
      <c r="BE108" t="s">
        <v>12252</v>
      </c>
      <c r="BF108" t="s">
        <v>45</v>
      </c>
      <c r="BG108" t="s">
        <v>12245</v>
      </c>
      <c r="BH108" t="s">
        <v>46</v>
      </c>
      <c r="BI108" t="s">
        <v>886</v>
      </c>
    </row>
    <row r="109" spans="1:61" x14ac:dyDescent="0.3">
      <c r="A109">
        <v>108</v>
      </c>
      <c r="B109" t="s">
        <v>12384</v>
      </c>
      <c r="C109" t="s">
        <v>12383</v>
      </c>
      <c r="D109" t="s">
        <v>888</v>
      </c>
      <c r="E109">
        <v>2023</v>
      </c>
      <c r="F109" t="s">
        <v>252</v>
      </c>
      <c r="G109">
        <v>4</v>
      </c>
      <c r="I109">
        <v>100140</v>
      </c>
      <c r="M109">
        <v>13</v>
      </c>
      <c r="N109" t="s">
        <v>889</v>
      </c>
      <c r="O109" t="s">
        <v>890</v>
      </c>
      <c r="P109" t="s">
        <v>891</v>
      </c>
      <c r="Q109" t="s">
        <v>12382</v>
      </c>
      <c r="R109" t="s">
        <v>892</v>
      </c>
      <c r="S109" t="s">
        <v>893</v>
      </c>
      <c r="AP109" t="s">
        <v>12381</v>
      </c>
      <c r="AQ109" t="s">
        <v>12380</v>
      </c>
      <c r="AT109" t="s">
        <v>253</v>
      </c>
      <c r="AY109" t="s">
        <v>254</v>
      </c>
      <c r="BC109" t="s">
        <v>42</v>
      </c>
      <c r="BD109" t="s">
        <v>255</v>
      </c>
      <c r="BE109" t="s">
        <v>56</v>
      </c>
      <c r="BF109" t="s">
        <v>45</v>
      </c>
      <c r="BG109" t="s">
        <v>12251</v>
      </c>
      <c r="BH109" t="s">
        <v>46</v>
      </c>
      <c r="BI109" t="s">
        <v>894</v>
      </c>
    </row>
    <row r="110" spans="1:61" x14ac:dyDescent="0.3">
      <c r="A110">
        <v>109</v>
      </c>
      <c r="B110" t="s">
        <v>12408</v>
      </c>
      <c r="C110" t="s">
        <v>12407</v>
      </c>
      <c r="D110" t="s">
        <v>1187</v>
      </c>
      <c r="E110">
        <v>2023</v>
      </c>
      <c r="F110" t="s">
        <v>1188</v>
      </c>
      <c r="G110">
        <v>8</v>
      </c>
      <c r="I110">
        <v>1129082</v>
      </c>
      <c r="M110">
        <v>8</v>
      </c>
      <c r="N110" t="s">
        <v>1189</v>
      </c>
      <c r="O110" t="s">
        <v>1190</v>
      </c>
      <c r="P110" t="s">
        <v>1191</v>
      </c>
      <c r="Q110" t="s">
        <v>12406</v>
      </c>
      <c r="R110" t="s">
        <v>1192</v>
      </c>
      <c r="S110" t="s">
        <v>1193</v>
      </c>
      <c r="AP110" t="s">
        <v>12405</v>
      </c>
      <c r="AQ110" t="s">
        <v>12404</v>
      </c>
      <c r="AT110" t="s">
        <v>1194</v>
      </c>
      <c r="AY110" t="s">
        <v>1195</v>
      </c>
      <c r="BC110" t="s">
        <v>42</v>
      </c>
      <c r="BD110" t="s">
        <v>1196</v>
      </c>
      <c r="BE110" t="s">
        <v>56</v>
      </c>
      <c r="BF110" t="s">
        <v>45</v>
      </c>
      <c r="BG110" t="s">
        <v>12251</v>
      </c>
      <c r="BH110" t="s">
        <v>46</v>
      </c>
      <c r="BI110" t="s">
        <v>1197</v>
      </c>
    </row>
    <row r="111" spans="1:61" x14ac:dyDescent="0.3">
      <c r="A111">
        <v>110</v>
      </c>
      <c r="B111" t="s">
        <v>12725</v>
      </c>
      <c r="C111" t="s">
        <v>12724</v>
      </c>
      <c r="D111" t="s">
        <v>806</v>
      </c>
      <c r="E111">
        <v>2023</v>
      </c>
      <c r="F111" t="s">
        <v>807</v>
      </c>
      <c r="G111" t="s">
        <v>808</v>
      </c>
      <c r="J111">
        <v>281</v>
      </c>
      <c r="K111">
        <v>282</v>
      </c>
      <c r="N111" t="s">
        <v>809</v>
      </c>
      <c r="O111" t="s">
        <v>810</v>
      </c>
      <c r="P111" t="s">
        <v>811</v>
      </c>
      <c r="Q111" t="s">
        <v>12723</v>
      </c>
      <c r="R111" t="s">
        <v>812</v>
      </c>
      <c r="S111" t="s">
        <v>813</v>
      </c>
      <c r="T111" t="s">
        <v>814</v>
      </c>
      <c r="AP111" t="s">
        <v>12722</v>
      </c>
      <c r="AR111" t="s">
        <v>12721</v>
      </c>
      <c r="AT111" t="s">
        <v>815</v>
      </c>
      <c r="AU111" t="s">
        <v>12720</v>
      </c>
      <c r="AV111" t="s">
        <v>12719</v>
      </c>
      <c r="AX111">
        <v>193671</v>
      </c>
      <c r="AY111">
        <v>16175468</v>
      </c>
      <c r="AZ111">
        <v>9783885797326</v>
      </c>
      <c r="BC111" t="s">
        <v>42</v>
      </c>
      <c r="BD111" t="s">
        <v>816</v>
      </c>
      <c r="BE111" t="s">
        <v>12252</v>
      </c>
      <c r="BF111" t="s">
        <v>45</v>
      </c>
      <c r="BH111" t="s">
        <v>46</v>
      </c>
      <c r="BI111" t="s">
        <v>817</v>
      </c>
    </row>
    <row r="112" spans="1:61" x14ac:dyDescent="0.3">
      <c r="A112">
        <v>111</v>
      </c>
      <c r="B112" t="s">
        <v>12530</v>
      </c>
      <c r="C112" t="s">
        <v>12529</v>
      </c>
      <c r="D112" t="s">
        <v>1025</v>
      </c>
      <c r="E112">
        <v>2023</v>
      </c>
      <c r="F112" t="s">
        <v>1026</v>
      </c>
      <c r="J112">
        <v>401</v>
      </c>
      <c r="K112">
        <v>405</v>
      </c>
      <c r="M112">
        <v>1</v>
      </c>
      <c r="N112" t="s">
        <v>1027</v>
      </c>
      <c r="O112" t="s">
        <v>1028</v>
      </c>
      <c r="P112" t="s">
        <v>1029</v>
      </c>
      <c r="Q112" t="s">
        <v>12528</v>
      </c>
      <c r="R112" t="s">
        <v>12527</v>
      </c>
      <c r="S112" t="s">
        <v>1030</v>
      </c>
      <c r="T112" t="s">
        <v>1031</v>
      </c>
      <c r="AP112" t="s">
        <v>12526</v>
      </c>
      <c r="AQ112" t="s">
        <v>12525</v>
      </c>
      <c r="AT112" t="s">
        <v>88</v>
      </c>
      <c r="AU112" t="s">
        <v>12524</v>
      </c>
      <c r="AV112" t="s">
        <v>12523</v>
      </c>
      <c r="AX112">
        <v>192823</v>
      </c>
      <c r="AZ112">
        <v>9798350399059</v>
      </c>
      <c r="BC112" t="s">
        <v>42</v>
      </c>
      <c r="BD112" t="s">
        <v>1032</v>
      </c>
      <c r="BE112" t="s">
        <v>12252</v>
      </c>
      <c r="BF112" t="s">
        <v>45</v>
      </c>
      <c r="BH112" t="s">
        <v>46</v>
      </c>
      <c r="BI112" t="s">
        <v>1033</v>
      </c>
    </row>
    <row r="113" spans="1:84" x14ac:dyDescent="0.3">
      <c r="A113">
        <v>112</v>
      </c>
      <c r="B113" t="s">
        <v>12709</v>
      </c>
      <c r="C113" t="s">
        <v>12708</v>
      </c>
      <c r="D113" t="s">
        <v>849</v>
      </c>
      <c r="E113">
        <v>2023</v>
      </c>
      <c r="F113" t="s">
        <v>127</v>
      </c>
      <c r="G113" t="s">
        <v>850</v>
      </c>
      <c r="J113">
        <v>176</v>
      </c>
      <c r="K113">
        <v>190</v>
      </c>
      <c r="N113" t="s">
        <v>851</v>
      </c>
      <c r="O113" t="s">
        <v>852</v>
      </c>
      <c r="P113" t="s">
        <v>853</v>
      </c>
      <c r="Q113" t="s">
        <v>12707</v>
      </c>
      <c r="R113" t="s">
        <v>854</v>
      </c>
      <c r="S113" t="s">
        <v>855</v>
      </c>
      <c r="T113" t="s">
        <v>856</v>
      </c>
      <c r="AP113" t="s">
        <v>12706</v>
      </c>
      <c r="AQ113" t="s">
        <v>12705</v>
      </c>
      <c r="AR113" t="s">
        <v>12704</v>
      </c>
      <c r="AT113" t="s">
        <v>92</v>
      </c>
      <c r="AU113" t="s">
        <v>12446</v>
      </c>
      <c r="AV113" t="s">
        <v>12445</v>
      </c>
      <c r="AX113">
        <v>297769</v>
      </c>
      <c r="AY113">
        <v>3029743</v>
      </c>
      <c r="AZ113">
        <v>9783031480591</v>
      </c>
      <c r="BC113" t="s">
        <v>42</v>
      </c>
      <c r="BD113" t="s">
        <v>128</v>
      </c>
      <c r="BE113" t="s">
        <v>12252</v>
      </c>
      <c r="BF113" t="s">
        <v>45</v>
      </c>
      <c r="BH113" t="s">
        <v>46</v>
      </c>
      <c r="BI113" t="s">
        <v>857</v>
      </c>
    </row>
    <row r="114" spans="1:84" x14ac:dyDescent="0.3">
      <c r="A114">
        <v>113</v>
      </c>
      <c r="B114" t="s">
        <v>13426</v>
      </c>
      <c r="C114" t="s">
        <v>13121</v>
      </c>
      <c r="D114" t="s">
        <v>13425</v>
      </c>
      <c r="E114" t="s">
        <v>13121</v>
      </c>
      <c r="F114" t="s">
        <v>13424</v>
      </c>
      <c r="G114" t="s">
        <v>13423</v>
      </c>
      <c r="H114" t="s">
        <v>13422</v>
      </c>
      <c r="I114" t="s">
        <v>13421</v>
      </c>
      <c r="J114" t="s">
        <v>13420</v>
      </c>
      <c r="K114" t="s">
        <v>13419</v>
      </c>
      <c r="L114" t="s">
        <v>13150</v>
      </c>
      <c r="M114" t="s">
        <v>13418</v>
      </c>
      <c r="N114" t="s">
        <v>13417</v>
      </c>
      <c r="O114" t="s">
        <v>13416</v>
      </c>
      <c r="P114" t="s">
        <v>13415</v>
      </c>
      <c r="Q114">
        <v>62</v>
      </c>
      <c r="R114" t="s">
        <v>13414</v>
      </c>
      <c r="S114" t="s">
        <v>13084</v>
      </c>
      <c r="T114" t="s">
        <v>13413</v>
      </c>
      <c r="U114" t="s">
        <v>13121</v>
      </c>
      <c r="V114" t="s">
        <v>13412</v>
      </c>
      <c r="W114" t="s">
        <v>13401</v>
      </c>
      <c r="X114" t="s">
        <v>13411</v>
      </c>
      <c r="Y114" t="s">
        <v>13410</v>
      </c>
      <c r="Z114" t="s">
        <v>13409</v>
      </c>
      <c r="AA114" t="s">
        <v>13408</v>
      </c>
      <c r="AB114" t="s">
        <v>13407</v>
      </c>
      <c r="AC114" t="s">
        <v>13406</v>
      </c>
      <c r="AD114" t="s">
        <v>13405</v>
      </c>
      <c r="AE114" t="s">
        <v>13390</v>
      </c>
      <c r="AF114" t="s">
        <v>13385</v>
      </c>
      <c r="AG114" t="s">
        <v>13404</v>
      </c>
      <c r="AH114" t="s">
        <v>13403</v>
      </c>
      <c r="AI114" t="s">
        <v>13402</v>
      </c>
      <c r="AJ114" t="s">
        <v>13401</v>
      </c>
      <c r="AK114" t="s">
        <v>13395</v>
      </c>
      <c r="AL114" t="s">
        <v>13084</v>
      </c>
      <c r="AM114" t="s">
        <v>13400</v>
      </c>
      <c r="AN114" t="s">
        <v>13399</v>
      </c>
      <c r="AO114" t="s">
        <v>13398</v>
      </c>
      <c r="AP114" t="s">
        <v>13397</v>
      </c>
      <c r="AQ114" t="s">
        <v>13396</v>
      </c>
      <c r="AR114" t="s">
        <v>13390</v>
      </c>
      <c r="AS114" t="s">
        <v>13160</v>
      </c>
      <c r="AT114" t="s">
        <v>13395</v>
      </c>
      <c r="AU114" t="s">
        <v>13084</v>
      </c>
      <c r="AV114" t="s">
        <v>13394</v>
      </c>
      <c r="AW114" t="s">
        <v>13393</v>
      </c>
      <c r="AX114" t="s">
        <v>13392</v>
      </c>
      <c r="AY114" t="s">
        <v>13391</v>
      </c>
      <c r="AZ114" t="s">
        <v>13390</v>
      </c>
      <c r="BA114" t="s">
        <v>13389</v>
      </c>
      <c r="BB114" t="s">
        <v>13388</v>
      </c>
      <c r="BC114" t="s">
        <v>13387</v>
      </c>
      <c r="BD114" t="s">
        <v>13386</v>
      </c>
      <c r="BE114" t="s">
        <v>13385</v>
      </c>
      <c r="BF114" t="s">
        <v>13384</v>
      </c>
      <c r="BG114" t="s">
        <v>13383</v>
      </c>
      <c r="BH114" t="s">
        <v>13382</v>
      </c>
      <c r="BI114" t="s">
        <v>13150</v>
      </c>
      <c r="BJ114" t="s">
        <v>13381</v>
      </c>
      <c r="BK114" t="s">
        <v>13087</v>
      </c>
      <c r="BL114" t="s">
        <v>13380</v>
      </c>
      <c r="BM114" t="s">
        <v>13379</v>
      </c>
      <c r="BN114" t="s">
        <v>13378</v>
      </c>
      <c r="BQ114" t="s">
        <v>77</v>
      </c>
      <c r="BV114">
        <v>71013</v>
      </c>
      <c r="BX114" t="s">
        <v>78</v>
      </c>
      <c r="BZ114" t="s">
        <v>42</v>
      </c>
      <c r="CA114" t="s">
        <v>79</v>
      </c>
      <c r="CB114" t="s">
        <v>56</v>
      </c>
      <c r="CC114" t="s">
        <v>45</v>
      </c>
      <c r="CD114" t="s">
        <v>12310</v>
      </c>
      <c r="CE114" t="s">
        <v>46</v>
      </c>
      <c r="CF114" t="s">
        <v>80</v>
      </c>
    </row>
    <row r="115" spans="1:84" x14ac:dyDescent="0.3">
      <c r="A115">
        <v>114</v>
      </c>
      <c r="B115" t="s">
        <v>394</v>
      </c>
      <c r="C115" t="s">
        <v>13219</v>
      </c>
      <c r="D115" t="s">
        <v>395</v>
      </c>
      <c r="E115">
        <v>2023</v>
      </c>
      <c r="F115" t="s">
        <v>396</v>
      </c>
      <c r="J115">
        <v>326</v>
      </c>
      <c r="K115">
        <v>349</v>
      </c>
      <c r="M115">
        <v>5</v>
      </c>
      <c r="N115" t="s">
        <v>397</v>
      </c>
      <c r="O115" t="s">
        <v>398</v>
      </c>
      <c r="P115" t="s">
        <v>399</v>
      </c>
      <c r="Q115" t="s">
        <v>13218</v>
      </c>
      <c r="R115" t="s">
        <v>400</v>
      </c>
      <c r="AJ115" t="s">
        <v>13217</v>
      </c>
      <c r="AK115" t="s">
        <v>13216</v>
      </c>
      <c r="AN115" t="s">
        <v>401</v>
      </c>
      <c r="AT115" t="s">
        <v>13215</v>
      </c>
      <c r="AW115" t="s">
        <v>42</v>
      </c>
      <c r="AX115" t="s">
        <v>402</v>
      </c>
      <c r="AY115" t="s">
        <v>12262</v>
      </c>
      <c r="AZ115" t="s">
        <v>45</v>
      </c>
      <c r="BB115" t="s">
        <v>46</v>
      </c>
      <c r="BC115" t="s">
        <v>403</v>
      </c>
    </row>
    <row r="116" spans="1:84" x14ac:dyDescent="0.3">
      <c r="A116">
        <v>115</v>
      </c>
      <c r="B116" t="s">
        <v>1367</v>
      </c>
      <c r="C116" t="s">
        <v>12267</v>
      </c>
      <c r="D116" t="s">
        <v>1368</v>
      </c>
      <c r="E116">
        <v>2019</v>
      </c>
      <c r="F116" t="s">
        <v>1369</v>
      </c>
      <c r="J116">
        <v>50</v>
      </c>
      <c r="K116">
        <v>58</v>
      </c>
      <c r="N116" t="s">
        <v>1370</v>
      </c>
      <c r="O116" t="s">
        <v>1371</v>
      </c>
      <c r="P116" t="s">
        <v>1372</v>
      </c>
      <c r="Q116" t="s">
        <v>12266</v>
      </c>
      <c r="R116" t="s">
        <v>1373</v>
      </c>
      <c r="AJ116" t="s">
        <v>12265</v>
      </c>
      <c r="AK116" t="s">
        <v>12264</v>
      </c>
      <c r="AN116" t="s">
        <v>1374</v>
      </c>
      <c r="AT116" t="s">
        <v>12263</v>
      </c>
      <c r="AW116" t="s">
        <v>42</v>
      </c>
      <c r="AX116" t="s">
        <v>1369</v>
      </c>
      <c r="AY116" t="s">
        <v>12262</v>
      </c>
      <c r="AZ116" t="s">
        <v>45</v>
      </c>
      <c r="BB116" t="s">
        <v>46</v>
      </c>
      <c r="BC116" t="s">
        <v>1375</v>
      </c>
    </row>
    <row r="117" spans="1:84" x14ac:dyDescent="0.3">
      <c r="A117">
        <v>116</v>
      </c>
      <c r="B117" t="s">
        <v>13476</v>
      </c>
      <c r="C117" t="s">
        <v>13475</v>
      </c>
      <c r="D117" t="s">
        <v>571</v>
      </c>
      <c r="E117">
        <v>2023</v>
      </c>
      <c r="F117" t="s">
        <v>572</v>
      </c>
      <c r="G117">
        <v>18</v>
      </c>
      <c r="H117">
        <v>10</v>
      </c>
      <c r="J117">
        <v>1219</v>
      </c>
      <c r="K117">
        <v>1223</v>
      </c>
      <c r="M117">
        <v>4</v>
      </c>
      <c r="N117" t="s">
        <v>573</v>
      </c>
      <c r="O117" t="s">
        <v>574</v>
      </c>
      <c r="P117" t="s">
        <v>575</v>
      </c>
      <c r="Q117" t="s">
        <v>13474</v>
      </c>
      <c r="R117" t="s">
        <v>576</v>
      </c>
      <c r="S117" t="s">
        <v>577</v>
      </c>
      <c r="T117" t="s">
        <v>13473</v>
      </c>
      <c r="AJ117" t="s">
        <v>13472</v>
      </c>
      <c r="AK117" t="s">
        <v>13471</v>
      </c>
      <c r="AN117" t="s">
        <v>463</v>
      </c>
      <c r="AS117">
        <v>15550265</v>
      </c>
      <c r="AV117">
        <v>37536678</v>
      </c>
      <c r="AW117" t="s">
        <v>42</v>
      </c>
      <c r="AX117" t="s">
        <v>578</v>
      </c>
      <c r="AY117" t="s">
        <v>56</v>
      </c>
      <c r="AZ117" t="s">
        <v>45</v>
      </c>
      <c r="BB117" t="s">
        <v>46</v>
      </c>
      <c r="BC117" t="s">
        <v>579</v>
      </c>
    </row>
    <row r="118" spans="1:84" x14ac:dyDescent="0.3">
      <c r="A118">
        <v>117</v>
      </c>
      <c r="B118" t="s">
        <v>13197</v>
      </c>
      <c r="C118" t="s">
        <v>13196</v>
      </c>
      <c r="D118" t="s">
        <v>13195</v>
      </c>
      <c r="E118">
        <v>2023</v>
      </c>
      <c r="F118" t="s">
        <v>13194</v>
      </c>
      <c r="G118">
        <v>5</v>
      </c>
      <c r="H118">
        <v>4</v>
      </c>
      <c r="J118">
        <v>333</v>
      </c>
      <c r="K118">
        <v>334</v>
      </c>
      <c r="M118">
        <v>23</v>
      </c>
      <c r="N118" t="s">
        <v>13193</v>
      </c>
      <c r="O118" t="s">
        <v>13192</v>
      </c>
      <c r="P118" t="s">
        <v>13191</v>
      </c>
      <c r="Q118" t="s">
        <v>13190</v>
      </c>
      <c r="R118" t="s">
        <v>13189</v>
      </c>
      <c r="AJ118" t="s">
        <v>13188</v>
      </c>
      <c r="AK118" t="s">
        <v>13187</v>
      </c>
      <c r="AN118" t="s">
        <v>125</v>
      </c>
      <c r="AS118">
        <v>25225839</v>
      </c>
      <c r="AW118" t="s">
        <v>42</v>
      </c>
      <c r="AX118" t="s">
        <v>3486</v>
      </c>
      <c r="AY118" t="s">
        <v>13186</v>
      </c>
      <c r="AZ118" t="s">
        <v>45</v>
      </c>
      <c r="BA118" t="s">
        <v>12349</v>
      </c>
      <c r="BB118" t="s">
        <v>46</v>
      </c>
      <c r="BC118" t="s">
        <v>13185</v>
      </c>
    </row>
    <row r="119" spans="1:84" x14ac:dyDescent="0.3">
      <c r="A119">
        <v>118</v>
      </c>
      <c r="B119" t="s">
        <v>13177</v>
      </c>
      <c r="C119" t="s">
        <v>13176</v>
      </c>
      <c r="D119" t="s">
        <v>304</v>
      </c>
      <c r="E119">
        <v>2023</v>
      </c>
      <c r="F119" t="s">
        <v>305</v>
      </c>
      <c r="G119">
        <v>6</v>
      </c>
      <c r="H119">
        <v>1</v>
      </c>
      <c r="J119">
        <v>16</v>
      </c>
      <c r="K119">
        <v>30</v>
      </c>
      <c r="M119">
        <v>17</v>
      </c>
      <c r="N119" t="s">
        <v>306</v>
      </c>
      <c r="O119" t="s">
        <v>307</v>
      </c>
      <c r="P119" t="s">
        <v>308</v>
      </c>
      <c r="Q119" t="s">
        <v>13175</v>
      </c>
      <c r="R119" t="s">
        <v>309</v>
      </c>
      <c r="S119" t="s">
        <v>310</v>
      </c>
      <c r="AJ119" t="s">
        <v>13174</v>
      </c>
      <c r="AN119" t="s">
        <v>311</v>
      </c>
      <c r="AS119" t="s">
        <v>312</v>
      </c>
      <c r="AW119" t="s">
        <v>42</v>
      </c>
      <c r="AX119" t="s">
        <v>313</v>
      </c>
      <c r="AY119" t="s">
        <v>56</v>
      </c>
      <c r="AZ119" t="s">
        <v>45</v>
      </c>
      <c r="BA119" t="s">
        <v>12349</v>
      </c>
      <c r="BB119" t="s">
        <v>46</v>
      </c>
      <c r="BC119" t="s">
        <v>314</v>
      </c>
    </row>
    <row r="120" spans="1:84" x14ac:dyDescent="0.3">
      <c r="A120">
        <v>119</v>
      </c>
      <c r="B120" t="s">
        <v>12467</v>
      </c>
      <c r="C120" t="s">
        <v>12466</v>
      </c>
      <c r="D120" t="s">
        <v>977</v>
      </c>
      <c r="E120">
        <v>2023</v>
      </c>
      <c r="F120" t="s">
        <v>335</v>
      </c>
      <c r="G120">
        <v>8</v>
      </c>
      <c r="I120">
        <v>1250461</v>
      </c>
      <c r="N120" t="s">
        <v>978</v>
      </c>
      <c r="O120" t="s">
        <v>979</v>
      </c>
      <c r="P120" t="s">
        <v>980</v>
      </c>
      <c r="Q120" t="s">
        <v>12465</v>
      </c>
      <c r="R120" t="s">
        <v>981</v>
      </c>
      <c r="S120" t="s">
        <v>982</v>
      </c>
      <c r="Z120" t="s">
        <v>4149</v>
      </c>
      <c r="AP120" t="s">
        <v>12464</v>
      </c>
      <c r="AQ120" t="s">
        <v>12463</v>
      </c>
      <c r="AT120" t="s">
        <v>340</v>
      </c>
      <c r="AY120" t="s">
        <v>341</v>
      </c>
      <c r="BC120" t="s">
        <v>42</v>
      </c>
      <c r="BD120" t="s">
        <v>342</v>
      </c>
      <c r="BE120" t="s">
        <v>56</v>
      </c>
      <c r="BF120" t="s">
        <v>45</v>
      </c>
      <c r="BG120" t="s">
        <v>12251</v>
      </c>
      <c r="BH120" t="s">
        <v>46</v>
      </c>
      <c r="BI120" t="s">
        <v>983</v>
      </c>
    </row>
    <row r="121" spans="1:84" x14ac:dyDescent="0.3">
      <c r="A121">
        <v>120</v>
      </c>
      <c r="B121" t="s">
        <v>12889</v>
      </c>
      <c r="C121" t="s">
        <v>12888</v>
      </c>
      <c r="D121" t="s">
        <v>12887</v>
      </c>
      <c r="E121">
        <v>2023</v>
      </c>
      <c r="F121" t="s">
        <v>475</v>
      </c>
      <c r="G121">
        <v>29</v>
      </c>
      <c r="H121">
        <v>2</v>
      </c>
      <c r="I121" t="s">
        <v>476</v>
      </c>
      <c r="N121" t="s">
        <v>477</v>
      </c>
      <c r="O121" t="s">
        <v>478</v>
      </c>
      <c r="P121" t="s">
        <v>479</v>
      </c>
      <c r="Q121" t="s">
        <v>12886</v>
      </c>
      <c r="R121" t="s">
        <v>480</v>
      </c>
      <c r="S121" t="s">
        <v>481</v>
      </c>
      <c r="Y121" t="s">
        <v>12885</v>
      </c>
      <c r="Z121" t="s">
        <v>12884</v>
      </c>
      <c r="AJ121" t="s">
        <v>12883</v>
      </c>
      <c r="AK121" t="s">
        <v>12882</v>
      </c>
      <c r="AN121" t="s">
        <v>482</v>
      </c>
      <c r="AS121">
        <v>11344032</v>
      </c>
      <c r="AW121" t="s">
        <v>12881</v>
      </c>
      <c r="AX121" t="s">
        <v>483</v>
      </c>
      <c r="AY121" t="s">
        <v>56</v>
      </c>
      <c r="AZ121" t="s">
        <v>45</v>
      </c>
      <c r="BA121" t="s">
        <v>12251</v>
      </c>
      <c r="BB121" t="s">
        <v>46</v>
      </c>
      <c r="BC121" t="s">
        <v>484</v>
      </c>
    </row>
    <row r="122" spans="1:84" x14ac:dyDescent="0.3">
      <c r="A122">
        <v>121</v>
      </c>
      <c r="B122" t="s">
        <v>112</v>
      </c>
      <c r="C122" t="s">
        <v>12852</v>
      </c>
      <c r="D122" t="s">
        <v>114</v>
      </c>
      <c r="E122">
        <v>2023</v>
      </c>
      <c r="F122" t="s">
        <v>115</v>
      </c>
      <c r="J122">
        <v>526</v>
      </c>
      <c r="K122">
        <v>533</v>
      </c>
      <c r="N122" t="s">
        <v>116</v>
      </c>
      <c r="O122" t="s">
        <v>117</v>
      </c>
      <c r="P122" t="s">
        <v>118</v>
      </c>
      <c r="Q122" t="s">
        <v>12851</v>
      </c>
      <c r="R122" t="s">
        <v>12850</v>
      </c>
      <c r="S122" t="s">
        <v>120</v>
      </c>
      <c r="T122" t="s">
        <v>121</v>
      </c>
      <c r="AP122" t="s">
        <v>12849</v>
      </c>
      <c r="AQ122" t="s">
        <v>12848</v>
      </c>
      <c r="AS122" t="s">
        <v>12847</v>
      </c>
      <c r="AT122" t="s">
        <v>88</v>
      </c>
      <c r="AU122" t="s">
        <v>12846</v>
      </c>
      <c r="AV122" t="s">
        <v>12845</v>
      </c>
      <c r="AX122">
        <v>195652</v>
      </c>
      <c r="AZ122">
        <v>9798350309188</v>
      </c>
      <c r="BC122" t="s">
        <v>42</v>
      </c>
      <c r="BD122" t="s">
        <v>122</v>
      </c>
      <c r="BE122" t="s">
        <v>12252</v>
      </c>
      <c r="BF122" t="s">
        <v>45</v>
      </c>
      <c r="BH122" t="s">
        <v>46</v>
      </c>
      <c r="BI122" t="s">
        <v>123</v>
      </c>
    </row>
    <row r="123" spans="1:84" x14ac:dyDescent="0.3">
      <c r="A123">
        <v>122</v>
      </c>
      <c r="B123" t="s">
        <v>12444</v>
      </c>
      <c r="C123" t="s">
        <v>12443</v>
      </c>
      <c r="D123" t="s">
        <v>1418</v>
      </c>
      <c r="E123">
        <v>2023</v>
      </c>
      <c r="F123" t="s">
        <v>1419</v>
      </c>
      <c r="J123">
        <v>29</v>
      </c>
      <c r="K123">
        <v>32</v>
      </c>
      <c r="M123">
        <v>11</v>
      </c>
      <c r="N123" t="s">
        <v>1420</v>
      </c>
      <c r="O123" t="s">
        <v>1421</v>
      </c>
      <c r="P123" t="s">
        <v>1422</v>
      </c>
      <c r="Q123" t="s">
        <v>12442</v>
      </c>
      <c r="R123" t="s">
        <v>12441</v>
      </c>
      <c r="S123" t="s">
        <v>1423</v>
      </c>
      <c r="T123" t="s">
        <v>1424</v>
      </c>
      <c r="AP123" t="s">
        <v>12440</v>
      </c>
      <c r="AQ123" t="s">
        <v>12439</v>
      </c>
      <c r="AT123" t="s">
        <v>88</v>
      </c>
      <c r="AU123" t="s">
        <v>12438</v>
      </c>
      <c r="AV123" s="5">
        <v>45062</v>
      </c>
      <c r="AX123">
        <v>191214</v>
      </c>
      <c r="AZ123">
        <v>9798350301861</v>
      </c>
      <c r="BC123" t="s">
        <v>42</v>
      </c>
      <c r="BD123" t="s">
        <v>1425</v>
      </c>
      <c r="BE123" t="s">
        <v>12252</v>
      </c>
      <c r="BF123" t="s">
        <v>45</v>
      </c>
      <c r="BG123" t="s">
        <v>12245</v>
      </c>
      <c r="BH123" t="s">
        <v>46</v>
      </c>
      <c r="BI123" t="s">
        <v>1426</v>
      </c>
    </row>
    <row r="124" spans="1:84" x14ac:dyDescent="0.3">
      <c r="A124">
        <v>123</v>
      </c>
      <c r="B124" t="s">
        <v>12780</v>
      </c>
      <c r="C124" t="s">
        <v>12779</v>
      </c>
      <c r="D124" t="s">
        <v>223</v>
      </c>
      <c r="E124">
        <v>2023</v>
      </c>
      <c r="F124" t="s">
        <v>224</v>
      </c>
      <c r="M124">
        <v>1</v>
      </c>
      <c r="N124" t="s">
        <v>225</v>
      </c>
      <c r="O124" t="s">
        <v>226</v>
      </c>
      <c r="P124" t="s">
        <v>227</v>
      </c>
      <c r="Q124" t="s">
        <v>12778</v>
      </c>
      <c r="R124" t="s">
        <v>228</v>
      </c>
      <c r="AP124" t="s">
        <v>12777</v>
      </c>
      <c r="AQ124" t="s">
        <v>12776</v>
      </c>
      <c r="AT124" t="s">
        <v>229</v>
      </c>
      <c r="AY124">
        <v>10766332</v>
      </c>
      <c r="BA124" t="s">
        <v>230</v>
      </c>
      <c r="BB124">
        <v>38103973</v>
      </c>
      <c r="BC124" t="s">
        <v>42</v>
      </c>
      <c r="BD124" t="s">
        <v>231</v>
      </c>
      <c r="BE124" t="s">
        <v>56</v>
      </c>
      <c r="BF124" t="s">
        <v>12365</v>
      </c>
      <c r="BH124" t="s">
        <v>46</v>
      </c>
      <c r="BI124" t="s">
        <v>232</v>
      </c>
    </row>
    <row r="125" spans="1:84" x14ac:dyDescent="0.3">
      <c r="A125">
        <v>124</v>
      </c>
      <c r="B125" t="s">
        <v>13515</v>
      </c>
      <c r="C125" t="s">
        <v>13514</v>
      </c>
      <c r="D125" t="s">
        <v>13513</v>
      </c>
      <c r="E125">
        <v>2023</v>
      </c>
      <c r="F125" t="s">
        <v>13512</v>
      </c>
      <c r="G125">
        <v>30</v>
      </c>
      <c r="H125">
        <v>4</v>
      </c>
      <c r="J125">
        <v>228</v>
      </c>
      <c r="K125">
        <v>234</v>
      </c>
      <c r="N125" t="s">
        <v>13511</v>
      </c>
      <c r="O125" t="s">
        <v>13510</v>
      </c>
      <c r="P125" t="s">
        <v>13509</v>
      </c>
      <c r="Q125" t="s">
        <v>13508</v>
      </c>
      <c r="R125" t="s">
        <v>13507</v>
      </c>
      <c r="S125" t="s">
        <v>13506</v>
      </c>
      <c r="AJ125" t="s">
        <v>13505</v>
      </c>
      <c r="AK125" t="s">
        <v>13504</v>
      </c>
      <c r="AN125" t="s">
        <v>77</v>
      </c>
      <c r="AS125">
        <v>15501949</v>
      </c>
      <c r="AW125" t="s">
        <v>42</v>
      </c>
      <c r="AX125" t="s">
        <v>13503</v>
      </c>
      <c r="AY125" t="s">
        <v>12669</v>
      </c>
      <c r="AZ125" t="s">
        <v>45</v>
      </c>
      <c r="BA125" t="s">
        <v>12275</v>
      </c>
      <c r="BB125" t="s">
        <v>46</v>
      </c>
      <c r="BC125" t="s">
        <v>13502</v>
      </c>
    </row>
    <row r="126" spans="1:84" x14ac:dyDescent="0.3">
      <c r="A126">
        <v>125</v>
      </c>
      <c r="B126" t="s">
        <v>12980</v>
      </c>
      <c r="C126" t="s">
        <v>12979</v>
      </c>
      <c r="D126" t="s">
        <v>12978</v>
      </c>
      <c r="E126">
        <v>2023</v>
      </c>
      <c r="F126" t="s">
        <v>12977</v>
      </c>
      <c r="G126">
        <v>56</v>
      </c>
      <c r="H126">
        <v>1</v>
      </c>
      <c r="I126">
        <v>128</v>
      </c>
      <c r="M126">
        <v>1</v>
      </c>
      <c r="N126" t="s">
        <v>12976</v>
      </c>
      <c r="O126" t="s">
        <v>12975</v>
      </c>
      <c r="P126" t="s">
        <v>12974</v>
      </c>
      <c r="Q126" t="s">
        <v>12973</v>
      </c>
      <c r="R126" t="s">
        <v>12972</v>
      </c>
      <c r="S126" t="s">
        <v>12971</v>
      </c>
      <c r="Y126" t="s">
        <v>12970</v>
      </c>
      <c r="Z126" t="s">
        <v>12969</v>
      </c>
      <c r="AJ126" t="s">
        <v>12968</v>
      </c>
      <c r="AK126" t="s">
        <v>12967</v>
      </c>
      <c r="AN126" t="s">
        <v>180</v>
      </c>
      <c r="AS126">
        <v>26734591</v>
      </c>
      <c r="AW126" t="s">
        <v>42</v>
      </c>
      <c r="AX126" t="s">
        <v>12966</v>
      </c>
      <c r="AY126" t="s">
        <v>56</v>
      </c>
      <c r="AZ126" t="s">
        <v>45</v>
      </c>
      <c r="BA126" t="s">
        <v>12275</v>
      </c>
      <c r="BB126" t="s">
        <v>46</v>
      </c>
      <c r="BC126" t="s">
        <v>12965</v>
      </c>
    </row>
    <row r="127" spans="1:84" x14ac:dyDescent="0.3">
      <c r="A127">
        <v>126</v>
      </c>
      <c r="B127" t="s">
        <v>786</v>
      </c>
      <c r="C127" t="s">
        <v>12553</v>
      </c>
      <c r="D127" t="s">
        <v>788</v>
      </c>
      <c r="E127">
        <v>2023</v>
      </c>
      <c r="F127" t="s">
        <v>383</v>
      </c>
      <c r="G127">
        <v>3487</v>
      </c>
      <c r="J127">
        <v>111</v>
      </c>
      <c r="K127">
        <v>128</v>
      </c>
      <c r="O127" t="s">
        <v>789</v>
      </c>
      <c r="P127" t="s">
        <v>12552</v>
      </c>
      <c r="Q127" t="s">
        <v>12551</v>
      </c>
      <c r="R127" t="s">
        <v>790</v>
      </c>
      <c r="S127" t="s">
        <v>791</v>
      </c>
      <c r="T127" t="s">
        <v>792</v>
      </c>
      <c r="Y127" t="s">
        <v>12550</v>
      </c>
      <c r="Z127" t="s">
        <v>12549</v>
      </c>
      <c r="AP127" t="s">
        <v>12548</v>
      </c>
      <c r="AQ127" t="s">
        <v>12547</v>
      </c>
      <c r="AR127" t="s">
        <v>12418</v>
      </c>
      <c r="AT127" t="s">
        <v>389</v>
      </c>
      <c r="AU127" t="s">
        <v>12417</v>
      </c>
      <c r="AV127" t="s">
        <v>12416</v>
      </c>
      <c r="AX127">
        <v>192705</v>
      </c>
      <c r="AY127">
        <v>16130073</v>
      </c>
      <c r="BC127" t="s">
        <v>42</v>
      </c>
      <c r="BD127" t="s">
        <v>390</v>
      </c>
      <c r="BE127" t="s">
        <v>12252</v>
      </c>
      <c r="BF127" t="s">
        <v>45</v>
      </c>
      <c r="BH127" t="s">
        <v>46</v>
      </c>
      <c r="BI127" t="s">
        <v>793</v>
      </c>
    </row>
    <row r="128" spans="1:84" x14ac:dyDescent="0.3">
      <c r="A128">
        <v>127</v>
      </c>
      <c r="B128" t="s">
        <v>13568</v>
      </c>
      <c r="C128" t="s">
        <v>13567</v>
      </c>
      <c r="D128" t="s">
        <v>704</v>
      </c>
      <c r="E128">
        <v>2023</v>
      </c>
      <c r="F128" t="s">
        <v>705</v>
      </c>
      <c r="G128">
        <v>77</v>
      </c>
      <c r="H128">
        <v>11</v>
      </c>
      <c r="J128">
        <v>597</v>
      </c>
      <c r="K128">
        <v>604</v>
      </c>
      <c r="N128" t="s">
        <v>706</v>
      </c>
      <c r="O128" t="s">
        <v>707</v>
      </c>
      <c r="P128" t="s">
        <v>708</v>
      </c>
      <c r="Q128" t="s">
        <v>13566</v>
      </c>
      <c r="R128" t="s">
        <v>709</v>
      </c>
      <c r="S128" t="s">
        <v>710</v>
      </c>
      <c r="T128" t="s">
        <v>13565</v>
      </c>
      <c r="Y128" t="s">
        <v>13564</v>
      </c>
      <c r="Z128" t="s">
        <v>13563</v>
      </c>
      <c r="AJ128" t="s">
        <v>13562</v>
      </c>
      <c r="AK128" t="s">
        <v>13561</v>
      </c>
      <c r="AN128" t="s">
        <v>77</v>
      </c>
      <c r="AS128">
        <v>13231316</v>
      </c>
      <c r="AU128" t="s">
        <v>711</v>
      </c>
      <c r="AV128">
        <v>37526294</v>
      </c>
      <c r="AW128" t="s">
        <v>42</v>
      </c>
      <c r="AX128" t="s">
        <v>712</v>
      </c>
      <c r="AY128" t="s">
        <v>56</v>
      </c>
      <c r="AZ128" t="s">
        <v>45</v>
      </c>
      <c r="BA128" t="s">
        <v>12275</v>
      </c>
      <c r="BB128" t="s">
        <v>46</v>
      </c>
      <c r="BC128" t="s">
        <v>713</v>
      </c>
    </row>
    <row r="129" spans="1:61" x14ac:dyDescent="0.3">
      <c r="A129">
        <v>128</v>
      </c>
      <c r="B129" t="s">
        <v>13660</v>
      </c>
      <c r="C129" t="s">
        <v>13659</v>
      </c>
      <c r="D129" t="s">
        <v>423</v>
      </c>
      <c r="E129">
        <v>2023</v>
      </c>
      <c r="F129" t="s">
        <v>424</v>
      </c>
      <c r="G129">
        <v>24</v>
      </c>
      <c r="H129">
        <v>1</v>
      </c>
      <c r="I129">
        <v>61</v>
      </c>
      <c r="M129">
        <v>4</v>
      </c>
      <c r="N129" t="s">
        <v>425</v>
      </c>
      <c r="O129" t="s">
        <v>426</v>
      </c>
      <c r="P129" t="s">
        <v>427</v>
      </c>
      <c r="Q129" t="s">
        <v>13658</v>
      </c>
      <c r="R129" t="s">
        <v>428</v>
      </c>
      <c r="S129" t="s">
        <v>429</v>
      </c>
      <c r="T129" t="s">
        <v>13657</v>
      </c>
      <c r="Y129" t="s">
        <v>13656</v>
      </c>
      <c r="AJ129" t="s">
        <v>13655</v>
      </c>
      <c r="AK129" t="s">
        <v>13654</v>
      </c>
      <c r="AN129" t="s">
        <v>92</v>
      </c>
      <c r="AS129">
        <v>15909921</v>
      </c>
      <c r="AU129" t="s">
        <v>430</v>
      </c>
      <c r="AV129">
        <v>38015298</v>
      </c>
      <c r="AW129" t="s">
        <v>42</v>
      </c>
      <c r="AX129" t="s">
        <v>431</v>
      </c>
      <c r="AY129" t="s">
        <v>56</v>
      </c>
      <c r="AZ129" t="s">
        <v>45</v>
      </c>
      <c r="BA129" t="s">
        <v>12251</v>
      </c>
      <c r="BB129" t="s">
        <v>46</v>
      </c>
      <c r="BC129" t="s">
        <v>432</v>
      </c>
    </row>
    <row r="130" spans="1:61" x14ac:dyDescent="0.3">
      <c r="A130">
        <v>129</v>
      </c>
      <c r="B130" t="s">
        <v>13716</v>
      </c>
      <c r="C130" t="s">
        <v>13715</v>
      </c>
      <c r="D130" t="s">
        <v>13714</v>
      </c>
      <c r="E130">
        <v>2023</v>
      </c>
      <c r="F130" t="s">
        <v>636</v>
      </c>
      <c r="J130">
        <v>16</v>
      </c>
      <c r="K130">
        <v>18</v>
      </c>
      <c r="N130" t="s">
        <v>13713</v>
      </c>
      <c r="O130" t="s">
        <v>13712</v>
      </c>
      <c r="P130" t="s">
        <v>13711</v>
      </c>
      <c r="Q130" t="s">
        <v>13710</v>
      </c>
      <c r="R130" t="s">
        <v>13709</v>
      </c>
      <c r="S130" t="s">
        <v>13708</v>
      </c>
      <c r="T130" t="s">
        <v>13707</v>
      </c>
      <c r="AJ130" t="s">
        <v>13706</v>
      </c>
      <c r="AL130" t="s">
        <v>13705</v>
      </c>
      <c r="AM130" t="s">
        <v>13704</v>
      </c>
      <c r="AN130" t="s">
        <v>65</v>
      </c>
      <c r="AO130" t="s">
        <v>13703</v>
      </c>
      <c r="AP130" t="s">
        <v>12936</v>
      </c>
      <c r="AR130">
        <v>197196</v>
      </c>
      <c r="AT130">
        <v>9798400716324</v>
      </c>
      <c r="AW130" t="s">
        <v>42</v>
      </c>
      <c r="AX130" t="s">
        <v>637</v>
      </c>
      <c r="AY130" t="s">
        <v>12252</v>
      </c>
      <c r="AZ130" t="s">
        <v>45</v>
      </c>
      <c r="BB130" t="s">
        <v>46</v>
      </c>
      <c r="BC130" t="s">
        <v>13702</v>
      </c>
    </row>
    <row r="131" spans="1:61" x14ac:dyDescent="0.3">
      <c r="A131">
        <v>130</v>
      </c>
      <c r="B131" t="s">
        <v>13635</v>
      </c>
      <c r="C131" t="s">
        <v>13634</v>
      </c>
      <c r="D131" t="s">
        <v>433</v>
      </c>
      <c r="E131">
        <v>2023</v>
      </c>
      <c r="F131" t="s">
        <v>434</v>
      </c>
      <c r="G131">
        <v>6</v>
      </c>
      <c r="H131">
        <v>1</v>
      </c>
      <c r="I131">
        <v>210</v>
      </c>
      <c r="M131">
        <v>4</v>
      </c>
      <c r="N131" t="s">
        <v>435</v>
      </c>
      <c r="O131" t="s">
        <v>436</v>
      </c>
      <c r="P131" t="s">
        <v>437</v>
      </c>
      <c r="Q131" t="s">
        <v>13633</v>
      </c>
      <c r="R131" t="s">
        <v>438</v>
      </c>
      <c r="T131" t="s">
        <v>13632</v>
      </c>
      <c r="Y131" t="s">
        <v>13631</v>
      </c>
      <c r="Z131" t="s">
        <v>13630</v>
      </c>
      <c r="AA131" t="s">
        <v>13630</v>
      </c>
      <c r="AJ131" t="s">
        <v>13629</v>
      </c>
      <c r="AK131" t="s">
        <v>13628</v>
      </c>
      <c r="AN131" t="s">
        <v>125</v>
      </c>
      <c r="AS131">
        <v>23986352</v>
      </c>
      <c r="AW131" t="s">
        <v>42</v>
      </c>
      <c r="AX131" t="s">
        <v>439</v>
      </c>
      <c r="AY131" t="s">
        <v>56</v>
      </c>
      <c r="AZ131" t="s">
        <v>45</v>
      </c>
      <c r="BA131" t="s">
        <v>12214</v>
      </c>
      <c r="BB131" t="s">
        <v>46</v>
      </c>
      <c r="BC131" t="s">
        <v>440</v>
      </c>
    </row>
    <row r="132" spans="1:61" x14ac:dyDescent="0.3">
      <c r="A132">
        <v>131</v>
      </c>
      <c r="B132" t="s">
        <v>794</v>
      </c>
      <c r="C132" t="s">
        <v>12353</v>
      </c>
      <c r="D132" t="s">
        <v>796</v>
      </c>
      <c r="E132">
        <v>2023</v>
      </c>
      <c r="F132" t="s">
        <v>797</v>
      </c>
      <c r="G132">
        <v>20</v>
      </c>
      <c r="H132">
        <v>2</v>
      </c>
      <c r="I132">
        <v>7</v>
      </c>
      <c r="M132">
        <v>115</v>
      </c>
      <c r="N132" t="s">
        <v>798</v>
      </c>
      <c r="O132" t="s">
        <v>799</v>
      </c>
      <c r="P132" t="s">
        <v>800</v>
      </c>
      <c r="Q132" t="s">
        <v>12352</v>
      </c>
      <c r="R132" t="s">
        <v>801</v>
      </c>
      <c r="S132" t="s">
        <v>802</v>
      </c>
      <c r="AP132" t="s">
        <v>12351</v>
      </c>
      <c r="AQ132" t="s">
        <v>12350</v>
      </c>
      <c r="AT132" t="s">
        <v>803</v>
      </c>
      <c r="AY132">
        <v>14499789</v>
      </c>
      <c r="BC132" t="s">
        <v>42</v>
      </c>
      <c r="BD132" t="s">
        <v>804</v>
      </c>
      <c r="BE132" t="s">
        <v>56</v>
      </c>
      <c r="BF132" t="s">
        <v>45</v>
      </c>
      <c r="BG132" t="s">
        <v>12349</v>
      </c>
      <c r="BH132" t="s">
        <v>46</v>
      </c>
      <c r="BI132" t="s">
        <v>805</v>
      </c>
    </row>
    <row r="133" spans="1:61" x14ac:dyDescent="0.3">
      <c r="A133">
        <v>132</v>
      </c>
      <c r="B133" t="s">
        <v>12413</v>
      </c>
      <c r="C133" t="s">
        <v>12412</v>
      </c>
      <c r="D133" t="s">
        <v>1309</v>
      </c>
      <c r="E133">
        <v>2023</v>
      </c>
      <c r="F133" t="s">
        <v>1310</v>
      </c>
      <c r="G133" t="s">
        <v>1311</v>
      </c>
      <c r="J133">
        <v>37</v>
      </c>
      <c r="K133">
        <v>51</v>
      </c>
      <c r="N133" t="s">
        <v>1312</v>
      </c>
      <c r="O133" t="s">
        <v>1313</v>
      </c>
      <c r="P133" t="s">
        <v>1314</v>
      </c>
      <c r="Q133" t="s">
        <v>12411</v>
      </c>
      <c r="R133" t="s">
        <v>1315</v>
      </c>
      <c r="S133" t="s">
        <v>1316</v>
      </c>
      <c r="AP133" t="s">
        <v>12410</v>
      </c>
      <c r="AQ133" t="s">
        <v>12409</v>
      </c>
      <c r="AT133" t="s">
        <v>392</v>
      </c>
      <c r="AY133">
        <v>16135113</v>
      </c>
      <c r="BC133" t="s">
        <v>42</v>
      </c>
      <c r="BD133" t="s">
        <v>1317</v>
      </c>
      <c r="BE133" t="s">
        <v>12262</v>
      </c>
      <c r="BF133" t="s">
        <v>45</v>
      </c>
      <c r="BH133" t="s">
        <v>46</v>
      </c>
      <c r="BI133" t="s">
        <v>1318</v>
      </c>
    </row>
    <row r="134" spans="1:61" x14ac:dyDescent="0.3">
      <c r="A134">
        <v>133</v>
      </c>
      <c r="B134" t="s">
        <v>12223</v>
      </c>
      <c r="C134" t="s">
        <v>12222</v>
      </c>
      <c r="D134" t="s">
        <v>1073</v>
      </c>
      <c r="E134">
        <v>2018</v>
      </c>
      <c r="F134" t="s">
        <v>1074</v>
      </c>
      <c r="G134">
        <v>14</v>
      </c>
      <c r="J134">
        <v>23</v>
      </c>
      <c r="K134">
        <v>36</v>
      </c>
      <c r="M134">
        <v>4</v>
      </c>
      <c r="N134" t="s">
        <v>1075</v>
      </c>
      <c r="O134" t="s">
        <v>1076</v>
      </c>
      <c r="P134" t="s">
        <v>1077</v>
      </c>
      <c r="Q134" t="s">
        <v>12221</v>
      </c>
      <c r="R134" t="s">
        <v>1078</v>
      </c>
      <c r="S134" t="s">
        <v>1079</v>
      </c>
      <c r="T134" t="s">
        <v>12220</v>
      </c>
      <c r="V134" t="s">
        <v>12219</v>
      </c>
      <c r="Y134" t="s">
        <v>12218</v>
      </c>
      <c r="Z134" t="s">
        <v>12217</v>
      </c>
      <c r="AJ134" t="s">
        <v>12216</v>
      </c>
      <c r="AK134" t="s">
        <v>12215</v>
      </c>
      <c r="AN134" t="s">
        <v>1080</v>
      </c>
      <c r="AS134">
        <v>11766344</v>
      </c>
      <c r="AV134">
        <v>29440909</v>
      </c>
      <c r="AW134" t="s">
        <v>42</v>
      </c>
      <c r="AX134" t="s">
        <v>1081</v>
      </c>
      <c r="AY134" t="s">
        <v>56</v>
      </c>
      <c r="AZ134" t="s">
        <v>45</v>
      </c>
      <c r="BA134" t="s">
        <v>12214</v>
      </c>
      <c r="BB134" t="s">
        <v>46</v>
      </c>
      <c r="BC134" t="s">
        <v>1082</v>
      </c>
    </row>
    <row r="135" spans="1:61" x14ac:dyDescent="0.3">
      <c r="A135">
        <v>134</v>
      </c>
      <c r="B135" t="s">
        <v>12827</v>
      </c>
      <c r="C135" t="s">
        <v>12826</v>
      </c>
      <c r="D135" t="s">
        <v>539</v>
      </c>
      <c r="E135">
        <v>2023</v>
      </c>
      <c r="F135" t="s">
        <v>540</v>
      </c>
      <c r="N135" t="s">
        <v>541</v>
      </c>
      <c r="O135" t="s">
        <v>542</v>
      </c>
      <c r="P135" t="s">
        <v>543</v>
      </c>
      <c r="Q135" t="s">
        <v>12825</v>
      </c>
      <c r="R135" t="s">
        <v>544</v>
      </c>
      <c r="S135" t="s">
        <v>545</v>
      </c>
      <c r="T135" t="s">
        <v>546</v>
      </c>
      <c r="AP135" t="s">
        <v>12824</v>
      </c>
      <c r="AQ135" t="s">
        <v>12823</v>
      </c>
      <c r="AT135" t="s">
        <v>88</v>
      </c>
      <c r="AU135" t="s">
        <v>540</v>
      </c>
      <c r="AV135" t="s">
        <v>12816</v>
      </c>
      <c r="AX135">
        <v>195501</v>
      </c>
      <c r="AZ135">
        <v>9798350318067</v>
      </c>
      <c r="BC135" t="s">
        <v>42</v>
      </c>
      <c r="BD135" t="s">
        <v>547</v>
      </c>
      <c r="BE135" t="s">
        <v>12252</v>
      </c>
      <c r="BF135" t="s">
        <v>45</v>
      </c>
      <c r="BH135" t="s">
        <v>46</v>
      </c>
      <c r="BI135" t="s">
        <v>548</v>
      </c>
    </row>
    <row r="136" spans="1:61" x14ac:dyDescent="0.3">
      <c r="A136">
        <v>135</v>
      </c>
      <c r="B136" t="s">
        <v>13263</v>
      </c>
      <c r="C136" t="s">
        <v>13262</v>
      </c>
      <c r="D136" t="s">
        <v>757</v>
      </c>
      <c r="E136">
        <v>2023</v>
      </c>
      <c r="F136" t="s">
        <v>366</v>
      </c>
      <c r="G136">
        <v>307</v>
      </c>
      <c r="H136">
        <v>5</v>
      </c>
      <c r="I136" t="s">
        <v>758</v>
      </c>
      <c r="M136">
        <v>46</v>
      </c>
      <c r="N136" t="s">
        <v>759</v>
      </c>
      <c r="O136" t="s">
        <v>760</v>
      </c>
      <c r="P136" t="s">
        <v>13261</v>
      </c>
      <c r="Q136" t="s">
        <v>13260</v>
      </c>
      <c r="R136" t="s">
        <v>761</v>
      </c>
      <c r="T136" t="s">
        <v>13259</v>
      </c>
      <c r="W136" t="s">
        <v>13258</v>
      </c>
      <c r="AJ136" t="s">
        <v>13257</v>
      </c>
      <c r="AK136" t="s">
        <v>13256</v>
      </c>
      <c r="AN136" t="s">
        <v>372</v>
      </c>
      <c r="AS136">
        <v>338419</v>
      </c>
      <c r="AU136" t="s">
        <v>373</v>
      </c>
      <c r="AV136">
        <v>37310252</v>
      </c>
      <c r="AW136" t="s">
        <v>42</v>
      </c>
      <c r="AX136" t="s">
        <v>366</v>
      </c>
      <c r="AY136" t="s">
        <v>56</v>
      </c>
      <c r="AZ136" t="s">
        <v>45</v>
      </c>
      <c r="BB136" t="s">
        <v>46</v>
      </c>
      <c r="BC136" t="s">
        <v>762</v>
      </c>
    </row>
    <row r="137" spans="1:61" x14ac:dyDescent="0.3">
      <c r="A137">
        <v>136</v>
      </c>
      <c r="B137" t="s">
        <v>13606</v>
      </c>
      <c r="C137" t="s">
        <v>13605</v>
      </c>
      <c r="D137" t="s">
        <v>13604</v>
      </c>
      <c r="E137">
        <v>2023</v>
      </c>
      <c r="F137" t="s">
        <v>13603</v>
      </c>
      <c r="G137">
        <v>37</v>
      </c>
      <c r="H137">
        <v>17</v>
      </c>
      <c r="J137">
        <v>3530</v>
      </c>
      <c r="K137">
        <v>3533</v>
      </c>
      <c r="M137">
        <v>16</v>
      </c>
      <c r="N137" t="s">
        <v>13602</v>
      </c>
      <c r="O137" t="s">
        <v>13601</v>
      </c>
      <c r="P137" t="s">
        <v>13600</v>
      </c>
      <c r="Q137" t="s">
        <v>13599</v>
      </c>
      <c r="R137" t="s">
        <v>13189</v>
      </c>
      <c r="T137" t="s">
        <v>13598</v>
      </c>
      <c r="Y137" t="s">
        <v>13597</v>
      </c>
      <c r="Z137" t="s">
        <v>13596</v>
      </c>
      <c r="AJ137" t="s">
        <v>13595</v>
      </c>
      <c r="AK137" t="s">
        <v>13594</v>
      </c>
      <c r="AN137" t="s">
        <v>13593</v>
      </c>
      <c r="AS137" t="s">
        <v>13592</v>
      </c>
      <c r="AU137" t="s">
        <v>13591</v>
      </c>
      <c r="AV137">
        <v>37161074</v>
      </c>
      <c r="AW137" t="s">
        <v>42</v>
      </c>
      <c r="AX137" t="s">
        <v>13590</v>
      </c>
      <c r="AY137" t="s">
        <v>12283</v>
      </c>
      <c r="AZ137" t="s">
        <v>45</v>
      </c>
      <c r="BA137" t="s">
        <v>12310</v>
      </c>
      <c r="BB137" t="s">
        <v>46</v>
      </c>
      <c r="BC137" t="s">
        <v>13589</v>
      </c>
    </row>
    <row r="138" spans="1:61" x14ac:dyDescent="0.3">
      <c r="A138">
        <v>137</v>
      </c>
      <c r="B138" t="s">
        <v>13173</v>
      </c>
      <c r="C138" t="s">
        <v>13172</v>
      </c>
      <c r="D138" t="s">
        <v>442</v>
      </c>
      <c r="E138">
        <v>2023</v>
      </c>
      <c r="F138" t="s">
        <v>305</v>
      </c>
      <c r="G138">
        <v>6</v>
      </c>
      <c r="H138">
        <v>1</v>
      </c>
      <c r="J138">
        <v>41</v>
      </c>
      <c r="K138">
        <v>56</v>
      </c>
      <c r="M138">
        <v>43</v>
      </c>
      <c r="N138" t="s">
        <v>443</v>
      </c>
      <c r="O138" t="s">
        <v>444</v>
      </c>
      <c r="P138" t="s">
        <v>445</v>
      </c>
      <c r="Q138" t="s">
        <v>13171</v>
      </c>
      <c r="R138" t="s">
        <v>446</v>
      </c>
      <c r="S138" t="s">
        <v>447</v>
      </c>
      <c r="AJ138" t="s">
        <v>13170</v>
      </c>
      <c r="AK138" t="s">
        <v>13169</v>
      </c>
      <c r="AN138" t="s">
        <v>311</v>
      </c>
      <c r="AS138" t="s">
        <v>312</v>
      </c>
      <c r="AW138" t="s">
        <v>42</v>
      </c>
      <c r="AX138" t="s">
        <v>313</v>
      </c>
      <c r="AY138" t="s">
        <v>56</v>
      </c>
      <c r="AZ138" t="s">
        <v>45</v>
      </c>
      <c r="BA138" t="s">
        <v>12349</v>
      </c>
      <c r="BB138" t="s">
        <v>46</v>
      </c>
      <c r="BC138" t="s">
        <v>448</v>
      </c>
    </row>
    <row r="139" spans="1:61" x14ac:dyDescent="0.3">
      <c r="A139">
        <v>138</v>
      </c>
      <c r="B139" t="s">
        <v>13313</v>
      </c>
      <c r="C139" t="s">
        <v>13312</v>
      </c>
      <c r="D139" t="s">
        <v>365</v>
      </c>
      <c r="E139">
        <v>2023</v>
      </c>
      <c r="F139" t="s">
        <v>366</v>
      </c>
      <c r="G139">
        <v>308</v>
      </c>
      <c r="H139">
        <v>1</v>
      </c>
      <c r="I139" t="s">
        <v>367</v>
      </c>
      <c r="M139">
        <v>10</v>
      </c>
      <c r="N139" t="s">
        <v>368</v>
      </c>
      <c r="O139" t="s">
        <v>369</v>
      </c>
      <c r="P139" t="s">
        <v>370</v>
      </c>
      <c r="Q139" t="s">
        <v>13311</v>
      </c>
      <c r="R139" t="s">
        <v>371</v>
      </c>
      <c r="T139" t="s">
        <v>13310</v>
      </c>
      <c r="Y139" t="s">
        <v>13309</v>
      </c>
      <c r="Z139" t="s">
        <v>4604</v>
      </c>
      <c r="AJ139" t="s">
        <v>13308</v>
      </c>
      <c r="AK139" t="s">
        <v>13307</v>
      </c>
      <c r="AN139" t="s">
        <v>372</v>
      </c>
      <c r="AS139">
        <v>338419</v>
      </c>
      <c r="AU139" t="s">
        <v>373</v>
      </c>
      <c r="AV139">
        <v>37489981</v>
      </c>
      <c r="AW139" t="s">
        <v>42</v>
      </c>
      <c r="AX139" t="s">
        <v>366</v>
      </c>
      <c r="AY139" t="s">
        <v>56</v>
      </c>
      <c r="AZ139" t="s">
        <v>45</v>
      </c>
      <c r="BB139" t="s">
        <v>46</v>
      </c>
      <c r="BC139" t="s">
        <v>374</v>
      </c>
    </row>
    <row r="140" spans="1:61" x14ac:dyDescent="0.3">
      <c r="A140">
        <v>139</v>
      </c>
      <c r="B140" t="s">
        <v>13525</v>
      </c>
      <c r="C140" t="s">
        <v>13524</v>
      </c>
      <c r="D140" t="s">
        <v>590</v>
      </c>
      <c r="E140">
        <v>2023</v>
      </c>
      <c r="F140" t="s">
        <v>591</v>
      </c>
      <c r="J140">
        <v>391</v>
      </c>
      <c r="K140">
        <v>394</v>
      </c>
      <c r="N140" t="s">
        <v>592</v>
      </c>
      <c r="O140" t="s">
        <v>593</v>
      </c>
      <c r="P140" t="s">
        <v>594</v>
      </c>
      <c r="Q140" t="s">
        <v>13523</v>
      </c>
      <c r="R140" t="s">
        <v>595</v>
      </c>
      <c r="S140" t="s">
        <v>596</v>
      </c>
      <c r="T140" t="s">
        <v>597</v>
      </c>
      <c r="Y140" t="s">
        <v>13522</v>
      </c>
      <c r="Z140" t="s">
        <v>13521</v>
      </c>
      <c r="AJ140" t="s">
        <v>13520</v>
      </c>
      <c r="AL140" t="s">
        <v>13519</v>
      </c>
      <c r="AM140" t="s">
        <v>13518</v>
      </c>
      <c r="AN140" t="s">
        <v>65</v>
      </c>
      <c r="AO140" t="s">
        <v>13517</v>
      </c>
      <c r="AP140" t="s">
        <v>13516</v>
      </c>
      <c r="AR140">
        <v>193793</v>
      </c>
      <c r="AT140">
        <v>9798400701290</v>
      </c>
      <c r="AW140" t="s">
        <v>42</v>
      </c>
      <c r="AX140" t="s">
        <v>598</v>
      </c>
      <c r="AY140" t="s">
        <v>12252</v>
      </c>
      <c r="AZ140" t="s">
        <v>45</v>
      </c>
      <c r="BB140" t="s">
        <v>46</v>
      </c>
      <c r="BC140" t="s">
        <v>599</v>
      </c>
    </row>
    <row r="141" spans="1:61" x14ac:dyDescent="0.3">
      <c r="A141">
        <v>140</v>
      </c>
      <c r="B141" t="s">
        <v>12786</v>
      </c>
      <c r="C141" t="s">
        <v>12785</v>
      </c>
      <c r="D141" t="s">
        <v>617</v>
      </c>
      <c r="E141">
        <v>2023</v>
      </c>
      <c r="F141" t="s">
        <v>618</v>
      </c>
      <c r="G141">
        <v>10</v>
      </c>
      <c r="I141">
        <v>1296615</v>
      </c>
      <c r="N141" t="s">
        <v>619</v>
      </c>
      <c r="O141" t="s">
        <v>620</v>
      </c>
      <c r="P141" t="s">
        <v>621</v>
      </c>
      <c r="Q141" t="s">
        <v>12784</v>
      </c>
      <c r="R141" t="s">
        <v>622</v>
      </c>
      <c r="S141" t="s">
        <v>623</v>
      </c>
      <c r="T141" t="s">
        <v>624</v>
      </c>
      <c r="Z141" t="s">
        <v>12783</v>
      </c>
      <c r="AP141" t="s">
        <v>12782</v>
      </c>
      <c r="AQ141" t="s">
        <v>12781</v>
      </c>
      <c r="AT141" t="s">
        <v>340</v>
      </c>
      <c r="AY141" t="s">
        <v>625</v>
      </c>
      <c r="BC141" t="s">
        <v>42</v>
      </c>
      <c r="BD141" t="s">
        <v>626</v>
      </c>
      <c r="BE141" t="s">
        <v>56</v>
      </c>
      <c r="BF141" t="s">
        <v>45</v>
      </c>
      <c r="BG141" t="s">
        <v>12214</v>
      </c>
      <c r="BH141" t="s">
        <v>46</v>
      </c>
      <c r="BI141" t="s">
        <v>627</v>
      </c>
    </row>
    <row r="142" spans="1:61" x14ac:dyDescent="0.3">
      <c r="A142">
        <v>141</v>
      </c>
      <c r="B142" t="s">
        <v>13653</v>
      </c>
      <c r="C142" t="s">
        <v>13652</v>
      </c>
      <c r="D142" t="s">
        <v>13651</v>
      </c>
      <c r="E142">
        <v>2023</v>
      </c>
      <c r="F142" t="s">
        <v>13650</v>
      </c>
      <c r="G142">
        <v>53</v>
      </c>
      <c r="H142">
        <v>12</v>
      </c>
      <c r="J142">
        <v>728</v>
      </c>
      <c r="K142">
        <v>734</v>
      </c>
      <c r="M142">
        <v>2</v>
      </c>
      <c r="N142" t="s">
        <v>13649</v>
      </c>
      <c r="O142" t="s">
        <v>13648</v>
      </c>
      <c r="P142" t="s">
        <v>13647</v>
      </c>
      <c r="Q142" t="s">
        <v>13646</v>
      </c>
      <c r="R142" t="s">
        <v>13645</v>
      </c>
      <c r="S142" t="s">
        <v>13644</v>
      </c>
      <c r="T142" t="s">
        <v>13643</v>
      </c>
      <c r="Z142" t="s">
        <v>13642</v>
      </c>
      <c r="AJ142" t="s">
        <v>13641</v>
      </c>
      <c r="AK142" t="s">
        <v>13640</v>
      </c>
      <c r="AN142" t="s">
        <v>13639</v>
      </c>
      <c r="AS142">
        <v>1906011</v>
      </c>
      <c r="AU142" t="s">
        <v>13638</v>
      </c>
      <c r="AV142">
        <v>37707390</v>
      </c>
      <c r="AW142" t="s">
        <v>42</v>
      </c>
      <c r="AX142" t="s">
        <v>13637</v>
      </c>
      <c r="AY142" t="s">
        <v>12366</v>
      </c>
      <c r="AZ142" t="s">
        <v>45</v>
      </c>
      <c r="BB142" t="s">
        <v>46</v>
      </c>
      <c r="BC142" t="s">
        <v>13636</v>
      </c>
    </row>
    <row r="143" spans="1:61" x14ac:dyDescent="0.3">
      <c r="A143">
        <v>142</v>
      </c>
      <c r="B143" t="s">
        <v>13168</v>
      </c>
      <c r="C143" t="s">
        <v>13167</v>
      </c>
      <c r="D143" t="s">
        <v>327</v>
      </c>
      <c r="E143">
        <v>2023</v>
      </c>
      <c r="F143" t="s">
        <v>305</v>
      </c>
      <c r="G143">
        <v>6</v>
      </c>
      <c r="H143">
        <v>1</v>
      </c>
      <c r="J143">
        <v>364</v>
      </c>
      <c r="K143">
        <v>389</v>
      </c>
      <c r="M143">
        <v>150</v>
      </c>
      <c r="N143" t="s">
        <v>328</v>
      </c>
      <c r="O143" t="s">
        <v>329</v>
      </c>
      <c r="P143" t="s">
        <v>330</v>
      </c>
      <c r="Q143" t="s">
        <v>13166</v>
      </c>
      <c r="R143" t="s">
        <v>331</v>
      </c>
      <c r="S143" t="s">
        <v>332</v>
      </c>
      <c r="AJ143" t="s">
        <v>13165</v>
      </c>
    </row>
    <row r="144" spans="1:61" x14ac:dyDescent="0.3">
      <c r="A144">
        <v>143</v>
      </c>
      <c r="B144" t="s">
        <v>12541</v>
      </c>
      <c r="C144" t="s">
        <v>12540</v>
      </c>
      <c r="D144" t="s">
        <v>1057</v>
      </c>
      <c r="E144">
        <v>2023</v>
      </c>
      <c r="F144" t="s">
        <v>996</v>
      </c>
      <c r="G144">
        <v>9</v>
      </c>
      <c r="H144">
        <v>1</v>
      </c>
      <c r="I144" t="s">
        <v>1058</v>
      </c>
      <c r="M144">
        <v>14</v>
      </c>
      <c r="N144" t="s">
        <v>1059</v>
      </c>
      <c r="O144" t="s">
        <v>1060</v>
      </c>
      <c r="P144" t="s">
        <v>1061</v>
      </c>
      <c r="Q144" t="s">
        <v>12539</v>
      </c>
      <c r="R144" t="s">
        <v>1062</v>
      </c>
      <c r="S144" t="s">
        <v>1063</v>
      </c>
      <c r="Z144" t="s">
        <v>12538</v>
      </c>
      <c r="AP144" t="s">
        <v>12537</v>
      </c>
      <c r="AQ144" t="s">
        <v>12536</v>
      </c>
      <c r="AT144" t="s">
        <v>129</v>
      </c>
      <c r="AY144">
        <v>23693762</v>
      </c>
      <c r="BC144" t="s">
        <v>42</v>
      </c>
      <c r="BD144" t="s">
        <v>1003</v>
      </c>
      <c r="BE144" t="s">
        <v>56</v>
      </c>
      <c r="BF144" t="s">
        <v>45</v>
      </c>
      <c r="BG144" t="s">
        <v>12214</v>
      </c>
      <c r="BH144" t="s">
        <v>46</v>
      </c>
      <c r="BI144" t="s">
        <v>1064</v>
      </c>
    </row>
    <row r="145" spans="1:61" x14ac:dyDescent="0.3">
      <c r="A145">
        <v>144</v>
      </c>
      <c r="B145" t="s">
        <v>13371</v>
      </c>
      <c r="C145" t="s">
        <v>13370</v>
      </c>
      <c r="D145" t="s">
        <v>33</v>
      </c>
      <c r="E145">
        <v>2023</v>
      </c>
      <c r="F145" t="s">
        <v>34</v>
      </c>
      <c r="J145">
        <v>78</v>
      </c>
      <c r="K145">
        <v>92</v>
      </c>
      <c r="M145">
        <v>10</v>
      </c>
      <c r="N145" t="s">
        <v>35</v>
      </c>
      <c r="O145" t="s">
        <v>36</v>
      </c>
      <c r="P145" t="s">
        <v>37</v>
      </c>
      <c r="Q145" t="s">
        <v>13369</v>
      </c>
      <c r="R145" t="s">
        <v>38</v>
      </c>
      <c r="S145" t="s">
        <v>39</v>
      </c>
      <c r="T145" t="s">
        <v>40</v>
      </c>
      <c r="AJ145" t="s">
        <v>13368</v>
      </c>
      <c r="AM145" t="s">
        <v>13367</v>
      </c>
      <c r="AN145" t="s">
        <v>41</v>
      </c>
      <c r="AO145" t="s">
        <v>13366</v>
      </c>
      <c r="AP145" t="s">
        <v>13365</v>
      </c>
      <c r="AR145">
        <v>192875</v>
      </c>
      <c r="AT145">
        <v>9781450399760</v>
      </c>
      <c r="AW145" t="s">
        <v>42</v>
      </c>
      <c r="AX145" t="s">
        <v>43</v>
      </c>
      <c r="AY145" t="s">
        <v>12252</v>
      </c>
      <c r="AZ145" t="s">
        <v>45</v>
      </c>
      <c r="BA145" t="s">
        <v>12310</v>
      </c>
      <c r="BB145" t="s">
        <v>46</v>
      </c>
      <c r="BC145" t="s">
        <v>47</v>
      </c>
    </row>
    <row r="146" spans="1:61" x14ac:dyDescent="0.3">
      <c r="A146">
        <v>145</v>
      </c>
      <c r="B146" t="s">
        <v>13588</v>
      </c>
      <c r="C146" t="s">
        <v>13587</v>
      </c>
      <c r="D146" t="s">
        <v>729</v>
      </c>
      <c r="E146">
        <v>2023</v>
      </c>
      <c r="F146" t="s">
        <v>636</v>
      </c>
      <c r="J146">
        <v>704</v>
      </c>
      <c r="K146">
        <v>707</v>
      </c>
      <c r="N146" t="s">
        <v>730</v>
      </c>
      <c r="O146" t="s">
        <v>731</v>
      </c>
      <c r="P146" t="s">
        <v>732</v>
      </c>
      <c r="Q146" t="s">
        <v>13586</v>
      </c>
      <c r="R146" t="s">
        <v>733</v>
      </c>
      <c r="S146" t="s">
        <v>734</v>
      </c>
      <c r="T146" t="s">
        <v>735</v>
      </c>
      <c r="AJ146" t="s">
        <v>13585</v>
      </c>
      <c r="AM146" t="s">
        <v>13584</v>
      </c>
      <c r="AN146" t="s">
        <v>65</v>
      </c>
      <c r="AO146" t="s">
        <v>13583</v>
      </c>
      <c r="AP146" t="s">
        <v>13582</v>
      </c>
      <c r="AR146">
        <v>194341</v>
      </c>
      <c r="AT146">
        <v>9798400707858</v>
      </c>
      <c r="AW146" t="s">
        <v>42</v>
      </c>
      <c r="AX146" t="s">
        <v>637</v>
      </c>
      <c r="AY146" t="s">
        <v>12252</v>
      </c>
      <c r="AZ146" t="s">
        <v>45</v>
      </c>
      <c r="BB146" t="s">
        <v>46</v>
      </c>
      <c r="BC146" t="s">
        <v>736</v>
      </c>
    </row>
    <row r="147" spans="1:61" x14ac:dyDescent="0.3">
      <c r="A147">
        <v>146</v>
      </c>
      <c r="B147" t="s">
        <v>12697</v>
      </c>
      <c r="C147" t="s">
        <v>12696</v>
      </c>
      <c r="D147" t="s">
        <v>1119</v>
      </c>
      <c r="E147">
        <v>2023</v>
      </c>
      <c r="F147" t="s">
        <v>383</v>
      </c>
      <c r="G147">
        <v>3551</v>
      </c>
      <c r="O147" t="s">
        <v>1120</v>
      </c>
      <c r="P147" t="s">
        <v>1121</v>
      </c>
      <c r="Q147" t="s">
        <v>12695</v>
      </c>
      <c r="R147" t="s">
        <v>12694</v>
      </c>
      <c r="S147" t="s">
        <v>1123</v>
      </c>
      <c r="T147" t="s">
        <v>1124</v>
      </c>
      <c r="Z147" t="s">
        <v>12693</v>
      </c>
      <c r="AP147" t="s">
        <v>12692</v>
      </c>
      <c r="AQ147" t="s">
        <v>12691</v>
      </c>
      <c r="AR147" t="s">
        <v>12690</v>
      </c>
      <c r="AT147" t="s">
        <v>389</v>
      </c>
      <c r="AU147" t="s">
        <v>12689</v>
      </c>
      <c r="AV147" t="s">
        <v>12688</v>
      </c>
      <c r="AX147">
        <v>194401</v>
      </c>
      <c r="AY147">
        <v>16130073</v>
      </c>
      <c r="BC147" t="s">
        <v>42</v>
      </c>
      <c r="BD147" t="s">
        <v>390</v>
      </c>
      <c r="BE147" t="s">
        <v>12252</v>
      </c>
      <c r="BF147" t="s">
        <v>45</v>
      </c>
      <c r="BH147" t="s">
        <v>46</v>
      </c>
      <c r="BI147" t="s">
        <v>1125</v>
      </c>
    </row>
    <row r="148" spans="1:61" x14ac:dyDescent="0.3">
      <c r="A148">
        <v>147</v>
      </c>
      <c r="B148" t="s">
        <v>13214</v>
      </c>
      <c r="C148" t="s">
        <v>13213</v>
      </c>
      <c r="D148" t="s">
        <v>13212</v>
      </c>
      <c r="E148">
        <v>2023</v>
      </c>
      <c r="F148" t="s">
        <v>13211</v>
      </c>
      <c r="G148">
        <v>39</v>
      </c>
      <c r="H148">
        <v>5</v>
      </c>
      <c r="J148">
        <v>314</v>
      </c>
      <c r="K148">
        <v>316</v>
      </c>
      <c r="M148">
        <v>12</v>
      </c>
      <c r="N148" t="s">
        <v>13210</v>
      </c>
      <c r="O148" t="s">
        <v>13209</v>
      </c>
      <c r="P148" t="s">
        <v>13208</v>
      </c>
      <c r="Q148" t="s">
        <v>13207</v>
      </c>
      <c r="R148" t="s">
        <v>13206</v>
      </c>
      <c r="S148" t="s">
        <v>13205</v>
      </c>
      <c r="T148" t="s">
        <v>13204</v>
      </c>
      <c r="Z148" t="s">
        <v>13203</v>
      </c>
      <c r="AJ148" t="s">
        <v>13202</v>
      </c>
      <c r="AK148" t="s">
        <v>13201</v>
      </c>
      <c r="AN148" t="s">
        <v>1022</v>
      </c>
      <c r="AS148">
        <v>14714922</v>
      </c>
      <c r="AU148" t="s">
        <v>13200</v>
      </c>
      <c r="AV148">
        <v>36872153</v>
      </c>
      <c r="AW148" t="s">
        <v>42</v>
      </c>
      <c r="AX148" t="s">
        <v>13199</v>
      </c>
      <c r="AY148" t="s">
        <v>12283</v>
      </c>
      <c r="AZ148" t="s">
        <v>45</v>
      </c>
      <c r="BB148" t="s">
        <v>46</v>
      </c>
      <c r="BC148" t="s">
        <v>13198</v>
      </c>
    </row>
    <row r="149" spans="1:61" x14ac:dyDescent="0.3">
      <c r="A149">
        <v>148</v>
      </c>
      <c r="B149" t="s">
        <v>521</v>
      </c>
      <c r="C149" t="s">
        <v>13266</v>
      </c>
      <c r="D149" t="s">
        <v>522</v>
      </c>
      <c r="E149">
        <v>2023</v>
      </c>
      <c r="F149" t="s">
        <v>523</v>
      </c>
      <c r="G149">
        <v>95</v>
      </c>
      <c r="H149">
        <v>2</v>
      </c>
      <c r="J149">
        <v>205</v>
      </c>
      <c r="K149">
        <v>227</v>
      </c>
      <c r="N149" t="s">
        <v>524</v>
      </c>
      <c r="O149" t="s">
        <v>525</v>
      </c>
      <c r="Q149" t="s">
        <v>13265</v>
      </c>
      <c r="R149" t="s">
        <v>526</v>
      </c>
      <c r="S149" t="s">
        <v>527</v>
      </c>
      <c r="AJ149" t="s">
        <v>13264</v>
      </c>
      <c r="AN149" t="s">
        <v>528</v>
      </c>
      <c r="AS149">
        <v>29831</v>
      </c>
      <c r="AW149" t="s">
        <v>42</v>
      </c>
      <c r="AX149" t="s">
        <v>529</v>
      </c>
      <c r="AY149" t="s">
        <v>56</v>
      </c>
      <c r="AZ149" t="s">
        <v>45</v>
      </c>
      <c r="BB149" t="s">
        <v>46</v>
      </c>
      <c r="BC149" t="s">
        <v>530</v>
      </c>
    </row>
    <row r="150" spans="1:61" x14ac:dyDescent="0.3">
      <c r="A150">
        <v>149</v>
      </c>
      <c r="B150" t="s">
        <v>12580</v>
      </c>
      <c r="C150" t="s">
        <v>12579</v>
      </c>
      <c r="D150" t="s">
        <v>1247</v>
      </c>
      <c r="E150">
        <v>2023</v>
      </c>
      <c r="F150" t="s">
        <v>127</v>
      </c>
      <c r="G150" t="s">
        <v>1248</v>
      </c>
      <c r="J150">
        <v>198</v>
      </c>
      <c r="K150">
        <v>206</v>
      </c>
      <c r="M150">
        <v>1</v>
      </c>
      <c r="N150" t="s">
        <v>1249</v>
      </c>
      <c r="O150" t="s">
        <v>1250</v>
      </c>
      <c r="P150" t="s">
        <v>1251</v>
      </c>
      <c r="Q150" t="s">
        <v>12578</v>
      </c>
      <c r="R150" t="s">
        <v>1252</v>
      </c>
      <c r="S150" t="s">
        <v>1253</v>
      </c>
      <c r="T150" t="s">
        <v>1254</v>
      </c>
      <c r="Y150" t="s">
        <v>12577</v>
      </c>
      <c r="Z150" t="s">
        <v>12576</v>
      </c>
      <c r="AA150" t="s">
        <v>12575</v>
      </c>
      <c r="AB150" t="s">
        <v>12574</v>
      </c>
      <c r="AC150" t="s">
        <v>12573</v>
      </c>
      <c r="AD150" t="s">
        <v>12572</v>
      </c>
      <c r="AE150" t="s">
        <v>12571</v>
      </c>
      <c r="AP150" t="s">
        <v>12570</v>
      </c>
      <c r="AQ150" t="s">
        <v>12569</v>
      </c>
      <c r="AR150" t="s">
        <v>12568</v>
      </c>
      <c r="AT150" t="s">
        <v>92</v>
      </c>
      <c r="AU150" t="s">
        <v>12567</v>
      </c>
      <c r="AV150" t="s">
        <v>12566</v>
      </c>
      <c r="AX150">
        <v>301619</v>
      </c>
      <c r="AY150">
        <v>3029743</v>
      </c>
      <c r="AZ150">
        <v>9783031426070</v>
      </c>
      <c r="BC150" t="s">
        <v>42</v>
      </c>
      <c r="BD150" t="s">
        <v>128</v>
      </c>
      <c r="BE150" t="s">
        <v>12252</v>
      </c>
      <c r="BF150" t="s">
        <v>45</v>
      </c>
      <c r="BG150" t="s">
        <v>12245</v>
      </c>
      <c r="BH150" t="s">
        <v>46</v>
      </c>
      <c r="BI150" t="s">
        <v>1255</v>
      </c>
    </row>
    <row r="151" spans="1:61" x14ac:dyDescent="0.3">
      <c r="A151">
        <v>150</v>
      </c>
      <c r="B151" t="s">
        <v>12906</v>
      </c>
      <c r="C151" t="s">
        <v>12905</v>
      </c>
      <c r="D151" t="s">
        <v>95</v>
      </c>
      <c r="E151">
        <v>2023</v>
      </c>
      <c r="F151" t="s">
        <v>96</v>
      </c>
      <c r="J151">
        <v>1941</v>
      </c>
      <c r="K151">
        <v>1961</v>
      </c>
      <c r="M151">
        <v>1</v>
      </c>
      <c r="O151" t="s">
        <v>97</v>
      </c>
      <c r="P151" t="s">
        <v>98</v>
      </c>
      <c r="Q151" t="s">
        <v>12904</v>
      </c>
      <c r="R151" t="s">
        <v>99</v>
      </c>
      <c r="T151" t="s">
        <v>100</v>
      </c>
      <c r="Y151" t="s">
        <v>12903</v>
      </c>
      <c r="Z151" t="s">
        <v>12902</v>
      </c>
      <c r="AJ151" t="s">
        <v>12901</v>
      </c>
      <c r="AM151" t="s">
        <v>12900</v>
      </c>
      <c r="AN151" t="s">
        <v>101</v>
      </c>
      <c r="AO151" t="s">
        <v>12899</v>
      </c>
      <c r="AP151" t="s">
        <v>12898</v>
      </c>
      <c r="AR151">
        <v>196127</v>
      </c>
      <c r="AT151">
        <v>9798891760615</v>
      </c>
      <c r="AW151" t="s">
        <v>42</v>
      </c>
      <c r="AX151" t="s">
        <v>102</v>
      </c>
      <c r="AY151" t="s">
        <v>12252</v>
      </c>
      <c r="AZ151" t="s">
        <v>45</v>
      </c>
      <c r="BB151" t="s">
        <v>46</v>
      </c>
      <c r="BC151" t="s">
        <v>103</v>
      </c>
    </row>
    <row r="152" spans="1:61" x14ac:dyDescent="0.3">
      <c r="A152">
        <v>151</v>
      </c>
      <c r="B152" t="s">
        <v>12423</v>
      </c>
      <c r="C152" t="s">
        <v>12422</v>
      </c>
      <c r="D152" t="s">
        <v>1391</v>
      </c>
      <c r="E152">
        <v>2023</v>
      </c>
      <c r="F152" t="s">
        <v>383</v>
      </c>
      <c r="G152">
        <v>3487</v>
      </c>
      <c r="J152">
        <v>139</v>
      </c>
      <c r="K152">
        <v>150</v>
      </c>
      <c r="M152">
        <v>1</v>
      </c>
      <c r="O152" t="s">
        <v>1392</v>
      </c>
      <c r="P152" t="s">
        <v>1393</v>
      </c>
      <c r="Q152" t="s">
        <v>12421</v>
      </c>
      <c r="R152" t="s">
        <v>1394</v>
      </c>
      <c r="S152" t="s">
        <v>1395</v>
      </c>
      <c r="T152" t="s">
        <v>1396</v>
      </c>
      <c r="AP152" t="s">
        <v>12420</v>
      </c>
      <c r="AQ152" t="s">
        <v>12419</v>
      </c>
      <c r="AR152" t="s">
        <v>12418</v>
      </c>
      <c r="AT152" t="s">
        <v>389</v>
      </c>
      <c r="AU152" t="s">
        <v>12417</v>
      </c>
      <c r="AV152" t="s">
        <v>12416</v>
      </c>
      <c r="AX152">
        <v>192705</v>
      </c>
      <c r="AY152">
        <v>16130073</v>
      </c>
      <c r="BC152" t="s">
        <v>42</v>
      </c>
      <c r="BD152" t="s">
        <v>390</v>
      </c>
      <c r="BE152" t="s">
        <v>12252</v>
      </c>
      <c r="BF152" t="s">
        <v>45</v>
      </c>
      <c r="BH152" t="s">
        <v>46</v>
      </c>
      <c r="BI152" t="s">
        <v>1397</v>
      </c>
    </row>
    <row r="153" spans="1:61" x14ac:dyDescent="0.3">
      <c r="A153">
        <v>152</v>
      </c>
      <c r="B153" t="s">
        <v>12921</v>
      </c>
      <c r="C153" t="s">
        <v>12920</v>
      </c>
      <c r="D153" t="s">
        <v>256</v>
      </c>
      <c r="E153">
        <v>2023</v>
      </c>
      <c r="F153" t="s">
        <v>257</v>
      </c>
      <c r="G153">
        <v>225</v>
      </c>
      <c r="J153">
        <v>4750</v>
      </c>
      <c r="K153">
        <v>4757</v>
      </c>
      <c r="N153" t="s">
        <v>258</v>
      </c>
      <c r="O153" t="s">
        <v>259</v>
      </c>
      <c r="P153" t="s">
        <v>260</v>
      </c>
      <c r="Q153" t="s">
        <v>12919</v>
      </c>
      <c r="R153" t="s">
        <v>261</v>
      </c>
      <c r="S153" t="s">
        <v>262</v>
      </c>
      <c r="AJ153" t="s">
        <v>12918</v>
      </c>
      <c r="AK153" t="s">
        <v>12917</v>
      </c>
      <c r="AL153" t="s">
        <v>12916</v>
      </c>
      <c r="AN153" t="s">
        <v>253</v>
      </c>
      <c r="AO153" t="s">
        <v>12915</v>
      </c>
      <c r="AP153" t="s">
        <v>12914</v>
      </c>
      <c r="AR153">
        <v>196245</v>
      </c>
      <c r="AS153">
        <v>18770509</v>
      </c>
      <c r="AW153" t="s">
        <v>42</v>
      </c>
      <c r="AX153" t="s">
        <v>263</v>
      </c>
      <c r="AY153" t="s">
        <v>12252</v>
      </c>
      <c r="AZ153" t="s">
        <v>45</v>
      </c>
      <c r="BA153" t="s">
        <v>12251</v>
      </c>
      <c r="BB153" t="s">
        <v>46</v>
      </c>
      <c r="BC153" t="s">
        <v>264</v>
      </c>
    </row>
    <row r="154" spans="1:61" x14ac:dyDescent="0.3">
      <c r="A154">
        <v>153</v>
      </c>
      <c r="B154" t="s">
        <v>912</v>
      </c>
      <c r="C154" t="s">
        <v>12261</v>
      </c>
      <c r="D154" t="s">
        <v>913</v>
      </c>
      <c r="E154">
        <v>2019</v>
      </c>
      <c r="F154" t="s">
        <v>914</v>
      </c>
      <c r="G154">
        <v>1171</v>
      </c>
      <c r="H154">
        <v>1</v>
      </c>
      <c r="I154">
        <v>12004</v>
      </c>
      <c r="M154">
        <v>1</v>
      </c>
      <c r="N154" t="s">
        <v>915</v>
      </c>
      <c r="O154" t="s">
        <v>916</v>
      </c>
      <c r="P154" t="s">
        <v>917</v>
      </c>
      <c r="Q154" t="s">
        <v>12260</v>
      </c>
      <c r="R154" t="s">
        <v>918</v>
      </c>
      <c r="T154" t="s">
        <v>919</v>
      </c>
      <c r="Y154" t="s">
        <v>12259</v>
      </c>
      <c r="Z154" t="s">
        <v>12258</v>
      </c>
      <c r="AJ154" t="s">
        <v>12257</v>
      </c>
      <c r="AK154" t="s">
        <v>12256</v>
      </c>
      <c r="AM154" t="s">
        <v>12255</v>
      </c>
      <c r="AN154" t="s">
        <v>920</v>
      </c>
      <c r="AO154" t="s">
        <v>12254</v>
      </c>
      <c r="AP154" t="s">
        <v>12253</v>
      </c>
      <c r="AR154">
        <v>145895</v>
      </c>
      <c r="AS154">
        <v>17426588</v>
      </c>
      <c r="AW154" t="s">
        <v>42</v>
      </c>
      <c r="AX154" t="s">
        <v>921</v>
      </c>
      <c r="AY154" t="s">
        <v>12252</v>
      </c>
      <c r="AZ154" t="s">
        <v>45</v>
      </c>
      <c r="BA154" t="s">
        <v>12251</v>
      </c>
      <c r="BB154" t="s">
        <v>46</v>
      </c>
      <c r="BC154" t="s">
        <v>922</v>
      </c>
    </row>
    <row r="155" spans="1:61" x14ac:dyDescent="0.3">
      <c r="A155">
        <v>154</v>
      </c>
      <c r="B155" t="s">
        <v>12844</v>
      </c>
      <c r="C155" t="s">
        <v>12843</v>
      </c>
      <c r="D155" t="s">
        <v>163</v>
      </c>
      <c r="E155">
        <v>2023</v>
      </c>
      <c r="F155" t="s">
        <v>164</v>
      </c>
      <c r="N155" t="s">
        <v>165</v>
      </c>
      <c r="O155" t="s">
        <v>166</v>
      </c>
      <c r="P155" t="s">
        <v>167</v>
      </c>
      <c r="Q155" t="s">
        <v>12842</v>
      </c>
      <c r="R155" t="s">
        <v>12841</v>
      </c>
      <c r="S155" t="s">
        <v>169</v>
      </c>
      <c r="T155" t="s">
        <v>170</v>
      </c>
      <c r="Z155" t="s">
        <v>12840</v>
      </c>
      <c r="AP155" t="s">
        <v>12839</v>
      </c>
      <c r="AQ155" t="s">
        <v>12838</v>
      </c>
      <c r="AT155" t="s">
        <v>88</v>
      </c>
      <c r="AU155" t="s">
        <v>12837</v>
      </c>
      <c r="AV155" t="s">
        <v>12836</v>
      </c>
      <c r="AX155">
        <v>195656</v>
      </c>
      <c r="AZ155">
        <v>9798350369489</v>
      </c>
      <c r="BC155" t="s">
        <v>42</v>
      </c>
      <c r="BD155" t="s">
        <v>171</v>
      </c>
      <c r="BE155" t="s">
        <v>12252</v>
      </c>
      <c r="BF155" t="s">
        <v>45</v>
      </c>
      <c r="BH155" t="s">
        <v>46</v>
      </c>
      <c r="BI155" t="s">
        <v>172</v>
      </c>
    </row>
    <row r="156" spans="1:61" x14ac:dyDescent="0.3">
      <c r="A156">
        <v>155</v>
      </c>
      <c r="B156" t="s">
        <v>12768</v>
      </c>
      <c r="C156" t="s">
        <v>12767</v>
      </c>
      <c r="D156" t="s">
        <v>81</v>
      </c>
      <c r="E156">
        <v>2023</v>
      </c>
      <c r="F156" t="s">
        <v>82</v>
      </c>
      <c r="J156">
        <v>1357</v>
      </c>
      <c r="K156">
        <v>1364</v>
      </c>
      <c r="N156" t="s">
        <v>83</v>
      </c>
      <c r="O156" t="s">
        <v>84</v>
      </c>
      <c r="P156" t="s">
        <v>85</v>
      </c>
      <c r="Q156" t="s">
        <v>12766</v>
      </c>
      <c r="R156" t="s">
        <v>86</v>
      </c>
      <c r="T156" t="s">
        <v>87</v>
      </c>
      <c r="AP156" t="s">
        <v>12765</v>
      </c>
      <c r="AQ156" t="s">
        <v>12764</v>
      </c>
      <c r="AT156" t="s">
        <v>88</v>
      </c>
      <c r="AU156" t="s">
        <v>82</v>
      </c>
      <c r="AV156" t="s">
        <v>12763</v>
      </c>
      <c r="AX156">
        <v>194597</v>
      </c>
      <c r="AZ156">
        <v>9798350300673</v>
      </c>
      <c r="BC156" t="s">
        <v>42</v>
      </c>
      <c r="BD156" t="s">
        <v>89</v>
      </c>
      <c r="BE156" t="s">
        <v>12252</v>
      </c>
      <c r="BF156" t="s">
        <v>45</v>
      </c>
      <c r="BH156" t="s">
        <v>46</v>
      </c>
      <c r="BI156" t="s">
        <v>90</v>
      </c>
    </row>
    <row r="157" spans="1:61" x14ac:dyDescent="0.3">
      <c r="A157">
        <v>156</v>
      </c>
      <c r="B157" t="s">
        <v>13675</v>
      </c>
      <c r="C157" t="s">
        <v>13674</v>
      </c>
      <c r="D157" t="s">
        <v>243</v>
      </c>
      <c r="E157">
        <v>2023</v>
      </c>
      <c r="F157" t="s">
        <v>244</v>
      </c>
      <c r="G157">
        <v>10</v>
      </c>
      <c r="H157">
        <v>4</v>
      </c>
      <c r="I157">
        <v>81</v>
      </c>
      <c r="M157">
        <v>1</v>
      </c>
      <c r="N157" t="s">
        <v>245</v>
      </c>
      <c r="O157" t="s">
        <v>246</v>
      </c>
      <c r="P157" t="s">
        <v>247</v>
      </c>
      <c r="Q157" t="s">
        <v>13673</v>
      </c>
      <c r="R157" t="s">
        <v>248</v>
      </c>
      <c r="S157" t="s">
        <v>249</v>
      </c>
      <c r="Y157" t="s">
        <v>13672</v>
      </c>
      <c r="Z157" t="s">
        <v>13671</v>
      </c>
      <c r="AJ157" t="s">
        <v>13670</v>
      </c>
      <c r="AK157" t="s">
        <v>13669</v>
      </c>
      <c r="AN157" t="s">
        <v>180</v>
      </c>
      <c r="AS157">
        <v>22279709</v>
      </c>
      <c r="AW157" t="s">
        <v>42</v>
      </c>
      <c r="AX157" t="s">
        <v>244</v>
      </c>
      <c r="AY157" t="s">
        <v>56</v>
      </c>
      <c r="AZ157" t="s">
        <v>45</v>
      </c>
      <c r="BA157" t="s">
        <v>12214</v>
      </c>
      <c r="BB157" t="s">
        <v>46</v>
      </c>
      <c r="BC157" t="s">
        <v>250</v>
      </c>
    </row>
    <row r="158" spans="1:61" x14ac:dyDescent="0.3">
      <c r="A158">
        <v>157</v>
      </c>
      <c r="B158" t="s">
        <v>903</v>
      </c>
      <c r="C158" t="s">
        <v>12472</v>
      </c>
      <c r="D158" t="s">
        <v>904</v>
      </c>
      <c r="E158">
        <v>2023</v>
      </c>
      <c r="F158" t="s">
        <v>287</v>
      </c>
      <c r="G158">
        <v>14</v>
      </c>
      <c r="H158">
        <v>8</v>
      </c>
      <c r="J158">
        <v>937</v>
      </c>
      <c r="K158">
        <v>946</v>
      </c>
      <c r="N158" t="s">
        <v>905</v>
      </c>
      <c r="O158" t="s">
        <v>906</v>
      </c>
      <c r="P158" t="s">
        <v>907</v>
      </c>
      <c r="Q158" t="s">
        <v>12471</v>
      </c>
      <c r="R158" t="s">
        <v>908</v>
      </c>
      <c r="S158" t="s">
        <v>909</v>
      </c>
      <c r="T158" t="s">
        <v>910</v>
      </c>
      <c r="Z158" t="s">
        <v>12470</v>
      </c>
      <c r="AP158" t="s">
        <v>12469</v>
      </c>
      <c r="AT158" t="s">
        <v>291</v>
      </c>
      <c r="AY158" t="s">
        <v>292</v>
      </c>
      <c r="BC158" t="s">
        <v>42</v>
      </c>
      <c r="BD158" t="s">
        <v>12468</v>
      </c>
      <c r="BE158" t="s">
        <v>56</v>
      </c>
      <c r="BF158" t="s">
        <v>45</v>
      </c>
      <c r="BG158" t="s">
        <v>12251</v>
      </c>
      <c r="BH158" t="s">
        <v>46</v>
      </c>
      <c r="BI158" t="s">
        <v>911</v>
      </c>
    </row>
    <row r="159" spans="1:61" x14ac:dyDescent="0.3">
      <c r="A159">
        <v>158</v>
      </c>
      <c r="B159" t="s">
        <v>12390</v>
      </c>
      <c r="C159" t="s">
        <v>12389</v>
      </c>
      <c r="D159" t="s">
        <v>1377</v>
      </c>
      <c r="E159">
        <v>2023</v>
      </c>
      <c r="F159" t="s">
        <v>996</v>
      </c>
      <c r="G159">
        <v>9</v>
      </c>
      <c r="I159" t="s">
        <v>1378</v>
      </c>
      <c r="M159">
        <v>44</v>
      </c>
      <c r="N159" t="s">
        <v>1379</v>
      </c>
      <c r="O159" t="s">
        <v>1380</v>
      </c>
      <c r="P159" t="s">
        <v>1381</v>
      </c>
      <c r="Q159" t="s">
        <v>12388</v>
      </c>
      <c r="R159" t="s">
        <v>1382</v>
      </c>
      <c r="S159" t="s">
        <v>1383</v>
      </c>
      <c r="Z159" t="s">
        <v>12387</v>
      </c>
      <c r="AP159" t="s">
        <v>12386</v>
      </c>
      <c r="AQ159" t="s">
        <v>12385</v>
      </c>
      <c r="AT159" t="s">
        <v>129</v>
      </c>
      <c r="AY159">
        <v>23693762</v>
      </c>
      <c r="BC159" t="s">
        <v>42</v>
      </c>
      <c r="BD159" t="s">
        <v>1003</v>
      </c>
      <c r="BE159" t="s">
        <v>56</v>
      </c>
      <c r="BF159" t="s">
        <v>45</v>
      </c>
      <c r="BG159" t="s">
        <v>12214</v>
      </c>
      <c r="BH159" t="s">
        <v>46</v>
      </c>
      <c r="BI159" t="s">
        <v>1384</v>
      </c>
    </row>
    <row r="160" spans="1:61" x14ac:dyDescent="0.3">
      <c r="A160">
        <v>159</v>
      </c>
      <c r="B160" t="s">
        <v>13306</v>
      </c>
      <c r="C160" t="s">
        <v>13305</v>
      </c>
      <c r="D160" t="s">
        <v>316</v>
      </c>
      <c r="E160">
        <v>2023</v>
      </c>
      <c r="F160" t="s">
        <v>317</v>
      </c>
      <c r="G160">
        <v>44</v>
      </c>
      <c r="J160">
        <v>71</v>
      </c>
      <c r="K160">
        <v>95</v>
      </c>
      <c r="M160">
        <v>18</v>
      </c>
      <c r="N160" t="s">
        <v>318</v>
      </c>
      <c r="O160" t="s">
        <v>319</v>
      </c>
      <c r="P160" t="s">
        <v>320</v>
      </c>
      <c r="Q160" t="s">
        <v>13304</v>
      </c>
      <c r="R160" t="s">
        <v>321</v>
      </c>
      <c r="S160" t="s">
        <v>322</v>
      </c>
      <c r="T160" t="s">
        <v>323</v>
      </c>
      <c r="Y160" t="s">
        <v>13303</v>
      </c>
      <c r="Z160" t="s">
        <v>13302</v>
      </c>
      <c r="AJ160" t="s">
        <v>13301</v>
      </c>
      <c r="AK160" t="s">
        <v>13300</v>
      </c>
      <c r="AN160" t="s">
        <v>253</v>
      </c>
      <c r="AS160">
        <v>17497728</v>
      </c>
      <c r="AW160" t="s">
        <v>42</v>
      </c>
      <c r="AX160" t="s">
        <v>324</v>
      </c>
      <c r="AY160" t="s">
        <v>56</v>
      </c>
      <c r="AZ160" t="s">
        <v>45</v>
      </c>
      <c r="BB160" t="s">
        <v>46</v>
      </c>
      <c r="BC160" t="s">
        <v>325</v>
      </c>
    </row>
    <row r="161" spans="1:61" x14ac:dyDescent="0.3">
      <c r="A161">
        <v>160</v>
      </c>
      <c r="B161" t="s">
        <v>12437</v>
      </c>
      <c r="C161" t="s">
        <v>12436</v>
      </c>
      <c r="D161" t="s">
        <v>1228</v>
      </c>
      <c r="E161">
        <v>2023</v>
      </c>
      <c r="F161" t="s">
        <v>1229</v>
      </c>
      <c r="G161">
        <v>1425</v>
      </c>
      <c r="J161">
        <v>609</v>
      </c>
      <c r="K161">
        <v>618</v>
      </c>
      <c r="N161" t="s">
        <v>1230</v>
      </c>
      <c r="O161" t="s">
        <v>1231</v>
      </c>
      <c r="P161" t="s">
        <v>1232</v>
      </c>
      <c r="Q161" t="s">
        <v>12435</v>
      </c>
      <c r="R161" t="s">
        <v>1233</v>
      </c>
      <c r="S161" t="s">
        <v>1234</v>
      </c>
      <c r="T161" t="s">
        <v>12434</v>
      </c>
      <c r="Y161" t="s">
        <v>12433</v>
      </c>
      <c r="Z161" t="s">
        <v>12432</v>
      </c>
      <c r="AA161" t="s">
        <v>12431</v>
      </c>
      <c r="AB161" t="s">
        <v>12430</v>
      </c>
      <c r="AP161" t="s">
        <v>12429</v>
      </c>
      <c r="AQ161" t="s">
        <v>12428</v>
      </c>
      <c r="AT161" t="s">
        <v>392</v>
      </c>
      <c r="AY161">
        <v>652598</v>
      </c>
      <c r="BA161" t="s">
        <v>1235</v>
      </c>
      <c r="BB161">
        <v>37581834</v>
      </c>
      <c r="BC161" t="s">
        <v>42</v>
      </c>
      <c r="BD161" t="s">
        <v>1236</v>
      </c>
      <c r="BE161" t="s">
        <v>12262</v>
      </c>
      <c r="BF161" t="s">
        <v>45</v>
      </c>
      <c r="BH161" t="s">
        <v>46</v>
      </c>
      <c r="BI161" t="s">
        <v>1237</v>
      </c>
    </row>
    <row r="162" spans="1:61" x14ac:dyDescent="0.3">
      <c r="A162">
        <v>161</v>
      </c>
      <c r="B162" t="s">
        <v>13560</v>
      </c>
      <c r="C162" t="s">
        <v>13559</v>
      </c>
      <c r="D162" t="s">
        <v>13558</v>
      </c>
      <c r="E162">
        <v>2023</v>
      </c>
      <c r="F162" t="s">
        <v>13557</v>
      </c>
      <c r="G162">
        <v>19</v>
      </c>
      <c r="H162">
        <v>4</v>
      </c>
      <c r="J162">
        <v>21</v>
      </c>
      <c r="K162">
        <v>34</v>
      </c>
      <c r="N162" t="s">
        <v>6482</v>
      </c>
      <c r="O162" t="s">
        <v>13556</v>
      </c>
      <c r="P162" t="s">
        <v>13555</v>
      </c>
      <c r="Q162" t="s">
        <v>13554</v>
      </c>
      <c r="R162" t="s">
        <v>13553</v>
      </c>
      <c r="S162" t="s">
        <v>13552</v>
      </c>
      <c r="AJ162" t="s">
        <v>13551</v>
      </c>
      <c r="AK162" t="s">
        <v>13550</v>
      </c>
      <c r="AN162" t="s">
        <v>13549</v>
      </c>
      <c r="AS162">
        <v>21828458</v>
      </c>
      <c r="AW162" t="s">
        <v>42</v>
      </c>
      <c r="AX162" t="s">
        <v>13548</v>
      </c>
      <c r="AY162" t="s">
        <v>56</v>
      </c>
      <c r="AZ162" t="s">
        <v>45</v>
      </c>
      <c r="BA162" t="s">
        <v>12251</v>
      </c>
      <c r="BB162" t="s">
        <v>46</v>
      </c>
      <c r="BC162" t="s">
        <v>13547</v>
      </c>
    </row>
    <row r="163" spans="1:61" x14ac:dyDescent="0.3">
      <c r="A163">
        <v>162</v>
      </c>
      <c r="B163" t="s">
        <v>13299</v>
      </c>
      <c r="C163" t="s">
        <v>13298</v>
      </c>
      <c r="D163" t="s">
        <v>214</v>
      </c>
      <c r="E163">
        <v>2023</v>
      </c>
      <c r="F163" t="s">
        <v>215</v>
      </c>
      <c r="G163">
        <v>26</v>
      </c>
      <c r="H163">
        <v>7</v>
      </c>
      <c r="J163">
        <v>1343</v>
      </c>
      <c r="K163">
        <v>1349</v>
      </c>
      <c r="M163">
        <v>8</v>
      </c>
      <c r="N163" t="s">
        <v>216</v>
      </c>
      <c r="O163" t="s">
        <v>217</v>
      </c>
      <c r="P163" t="s">
        <v>218</v>
      </c>
      <c r="Q163" t="s">
        <v>13297</v>
      </c>
      <c r="R163" t="s">
        <v>219</v>
      </c>
      <c r="S163" t="s">
        <v>220</v>
      </c>
      <c r="T163" t="s">
        <v>13296</v>
      </c>
      <c r="AJ163" t="s">
        <v>13295</v>
      </c>
      <c r="AK163" t="s">
        <v>13294</v>
      </c>
      <c r="AN163" t="s">
        <v>77</v>
      </c>
      <c r="AS163">
        <v>17561841</v>
      </c>
      <c r="AV163">
        <v>37218530</v>
      </c>
      <c r="AW163" t="s">
        <v>42</v>
      </c>
      <c r="AX163" t="s">
        <v>221</v>
      </c>
      <c r="AY163" t="s">
        <v>56</v>
      </c>
      <c r="AZ163" t="s">
        <v>45</v>
      </c>
      <c r="BB163" t="s">
        <v>46</v>
      </c>
      <c r="BC163" t="s">
        <v>222</v>
      </c>
    </row>
    <row r="164" spans="1:61" x14ac:dyDescent="0.3">
      <c r="A164">
        <v>163</v>
      </c>
      <c r="B164" t="s">
        <v>12484</v>
      </c>
      <c r="C164" t="s">
        <v>12483</v>
      </c>
      <c r="D164" t="s">
        <v>1408</v>
      </c>
      <c r="E164">
        <v>2023</v>
      </c>
      <c r="F164" t="s">
        <v>1409</v>
      </c>
      <c r="G164">
        <v>60</v>
      </c>
      <c r="H164">
        <v>1</v>
      </c>
      <c r="J164">
        <v>95</v>
      </c>
      <c r="K164">
        <v>134</v>
      </c>
      <c r="M164">
        <v>1</v>
      </c>
      <c r="N164" t="s">
        <v>1410</v>
      </c>
      <c r="O164" t="s">
        <v>1411</v>
      </c>
      <c r="P164" t="s">
        <v>1412</v>
      </c>
      <c r="Q164" t="s">
        <v>12482</v>
      </c>
      <c r="R164" t="s">
        <v>1413</v>
      </c>
      <c r="S164" t="s">
        <v>1414</v>
      </c>
      <c r="AP164" t="s">
        <v>12481</v>
      </c>
      <c r="AT164" t="s">
        <v>1415</v>
      </c>
      <c r="AY164">
        <v>5822351</v>
      </c>
      <c r="BC164" t="s">
        <v>42</v>
      </c>
      <c r="BD164" t="s">
        <v>1416</v>
      </c>
      <c r="BE164" t="s">
        <v>56</v>
      </c>
      <c r="BF164" t="s">
        <v>45</v>
      </c>
      <c r="BH164" t="s">
        <v>46</v>
      </c>
      <c r="BI164" t="s">
        <v>1417</v>
      </c>
    </row>
    <row r="165" spans="1:61" x14ac:dyDescent="0.3">
      <c r="A165">
        <v>164</v>
      </c>
      <c r="B165" t="s">
        <v>12336</v>
      </c>
      <c r="C165" t="s">
        <v>12335</v>
      </c>
      <c r="D165" t="s">
        <v>1203</v>
      </c>
      <c r="E165">
        <v>2022</v>
      </c>
      <c r="F165" t="s">
        <v>1204</v>
      </c>
      <c r="G165">
        <v>10</v>
      </c>
      <c r="H165">
        <v>4</v>
      </c>
      <c r="I165" t="s">
        <v>1205</v>
      </c>
      <c r="M165">
        <v>6</v>
      </c>
      <c r="N165" t="s">
        <v>1206</v>
      </c>
      <c r="O165" t="s">
        <v>1207</v>
      </c>
      <c r="P165" t="s">
        <v>1208</v>
      </c>
      <c r="Q165" t="s">
        <v>12334</v>
      </c>
      <c r="R165" t="s">
        <v>12333</v>
      </c>
      <c r="S165" t="s">
        <v>1209</v>
      </c>
      <c r="T165" t="s">
        <v>12332</v>
      </c>
      <c r="V165" t="s">
        <v>12331</v>
      </c>
      <c r="Y165" t="s">
        <v>12330</v>
      </c>
      <c r="Z165" t="s">
        <v>7184</v>
      </c>
      <c r="AP165" t="s">
        <v>12329</v>
      </c>
      <c r="AQ165" t="s">
        <v>12328</v>
      </c>
      <c r="AT165" t="s">
        <v>1210</v>
      </c>
      <c r="AY165">
        <v>20524897</v>
      </c>
      <c r="BB165">
        <v>35858715</v>
      </c>
      <c r="BC165" t="s">
        <v>42</v>
      </c>
      <c r="BD165" t="s">
        <v>1211</v>
      </c>
      <c r="BE165" t="s">
        <v>56</v>
      </c>
      <c r="BF165" t="s">
        <v>45</v>
      </c>
      <c r="BG165" t="s">
        <v>12214</v>
      </c>
      <c r="BH165" t="s">
        <v>46</v>
      </c>
      <c r="BI165" t="s">
        <v>1212</v>
      </c>
    </row>
    <row r="166" spans="1:61" x14ac:dyDescent="0.3">
      <c r="A166">
        <v>165</v>
      </c>
      <c r="B166" t="s">
        <v>12822</v>
      </c>
      <c r="C166" t="s">
        <v>12821</v>
      </c>
      <c r="D166" t="s">
        <v>656</v>
      </c>
      <c r="E166">
        <v>2023</v>
      </c>
      <c r="F166" t="s">
        <v>540</v>
      </c>
      <c r="N166" t="s">
        <v>657</v>
      </c>
      <c r="O166" t="s">
        <v>658</v>
      </c>
      <c r="P166" t="s">
        <v>659</v>
      </c>
      <c r="Q166" t="s">
        <v>12820</v>
      </c>
      <c r="R166" t="s">
        <v>660</v>
      </c>
      <c r="S166" t="s">
        <v>661</v>
      </c>
      <c r="T166" t="s">
        <v>662</v>
      </c>
      <c r="Y166" t="s">
        <v>12819</v>
      </c>
      <c r="Z166" t="s">
        <v>12818</v>
      </c>
      <c r="AP166" t="s">
        <v>12817</v>
      </c>
      <c r="AT166" t="s">
        <v>88</v>
      </c>
      <c r="AU166" t="s">
        <v>540</v>
      </c>
      <c r="AV166" t="s">
        <v>12816</v>
      </c>
      <c r="AX166">
        <v>195501</v>
      </c>
      <c r="AZ166">
        <v>9798350318067</v>
      </c>
      <c r="BC166" t="s">
        <v>42</v>
      </c>
      <c r="BD166" t="s">
        <v>547</v>
      </c>
      <c r="BE166" t="s">
        <v>12252</v>
      </c>
      <c r="BF166" t="s">
        <v>45</v>
      </c>
      <c r="BH166" t="s">
        <v>46</v>
      </c>
      <c r="BI166" t="s">
        <v>663</v>
      </c>
    </row>
    <row r="167" spans="1:61" x14ac:dyDescent="0.3">
      <c r="A167">
        <v>166</v>
      </c>
      <c r="B167" t="s">
        <v>13536</v>
      </c>
      <c r="C167" t="s">
        <v>13535</v>
      </c>
      <c r="D167" t="s">
        <v>13534</v>
      </c>
      <c r="E167">
        <v>2023</v>
      </c>
      <c r="F167" t="s">
        <v>13527</v>
      </c>
      <c r="G167">
        <v>330</v>
      </c>
      <c r="H167">
        <v>15</v>
      </c>
      <c r="J167">
        <v>1416</v>
      </c>
      <c r="K167">
        <v>1419</v>
      </c>
      <c r="N167" t="s">
        <v>13533</v>
      </c>
      <c r="O167" t="s">
        <v>13532</v>
      </c>
      <c r="Q167" t="s">
        <v>13531</v>
      </c>
      <c r="R167" t="s">
        <v>13189</v>
      </c>
      <c r="T167" t="s">
        <v>13530</v>
      </c>
      <c r="V167" t="s">
        <v>13529</v>
      </c>
      <c r="AN167" t="s">
        <v>1405</v>
      </c>
      <c r="AS167">
        <v>987484</v>
      </c>
      <c r="AU167" t="s">
        <v>13528</v>
      </c>
      <c r="AV167">
        <v>37755919</v>
      </c>
      <c r="AW167" t="s">
        <v>42</v>
      </c>
      <c r="AX167" t="s">
        <v>13527</v>
      </c>
      <c r="AY167" t="s">
        <v>12283</v>
      </c>
      <c r="AZ167" t="s">
        <v>45</v>
      </c>
      <c r="BB167" t="s">
        <v>46</v>
      </c>
      <c r="BC167" t="s">
        <v>13526</v>
      </c>
    </row>
    <row r="168" spans="1:61" x14ac:dyDescent="0.3">
      <c r="A168">
        <v>167</v>
      </c>
      <c r="B168" t="s">
        <v>12928</v>
      </c>
      <c r="C168" t="s">
        <v>12927</v>
      </c>
      <c r="D168" t="s">
        <v>334</v>
      </c>
      <c r="E168">
        <v>2023</v>
      </c>
      <c r="F168" t="s">
        <v>335</v>
      </c>
      <c r="G168">
        <v>8</v>
      </c>
      <c r="I168">
        <v>1330486</v>
      </c>
      <c r="N168" t="s">
        <v>336</v>
      </c>
      <c r="O168" t="s">
        <v>337</v>
      </c>
      <c r="P168" t="s">
        <v>12926</v>
      </c>
      <c r="Q168" t="s">
        <v>12925</v>
      </c>
      <c r="R168" t="s">
        <v>338</v>
      </c>
      <c r="S168" t="s">
        <v>339</v>
      </c>
      <c r="Y168" t="s">
        <v>12924</v>
      </c>
      <c r="Z168" t="s">
        <v>1563</v>
      </c>
      <c r="AJ168" t="s">
        <v>12923</v>
      </c>
      <c r="AK168" t="s">
        <v>12922</v>
      </c>
      <c r="AN168" t="s">
        <v>340</v>
      </c>
      <c r="AS168" t="s">
        <v>341</v>
      </c>
      <c r="AW168" t="s">
        <v>42</v>
      </c>
      <c r="AX168" t="s">
        <v>342</v>
      </c>
      <c r="AY168" t="s">
        <v>56</v>
      </c>
      <c r="AZ168" t="s">
        <v>45</v>
      </c>
      <c r="BA168" t="s">
        <v>12214</v>
      </c>
      <c r="BB168" t="s">
        <v>46</v>
      </c>
      <c r="BC168" t="s">
        <v>343</v>
      </c>
    </row>
    <row r="169" spans="1:61" x14ac:dyDescent="0.3">
      <c r="A169">
        <v>168</v>
      </c>
      <c r="B169" t="s">
        <v>12615</v>
      </c>
      <c r="C169" t="s">
        <v>12614</v>
      </c>
      <c r="D169" t="s">
        <v>1084</v>
      </c>
      <c r="E169">
        <v>2023</v>
      </c>
      <c r="F169" t="s">
        <v>1085</v>
      </c>
      <c r="J169">
        <v>315</v>
      </c>
      <c r="K169">
        <v>351</v>
      </c>
      <c r="O169" t="s">
        <v>1086</v>
      </c>
      <c r="P169" t="s">
        <v>1087</v>
      </c>
      <c r="Q169" t="s">
        <v>12613</v>
      </c>
      <c r="R169" t="s">
        <v>1088</v>
      </c>
      <c r="T169" t="s">
        <v>1089</v>
      </c>
      <c r="Y169" t="s">
        <v>12612</v>
      </c>
      <c r="Z169" t="s">
        <v>12611</v>
      </c>
      <c r="AP169" t="s">
        <v>12610</v>
      </c>
      <c r="AR169" t="s">
        <v>12609</v>
      </c>
      <c r="AS169" t="s">
        <v>12608</v>
      </c>
      <c r="AT169" t="s">
        <v>101</v>
      </c>
      <c r="AU169" t="s">
        <v>12607</v>
      </c>
      <c r="AV169" t="s">
        <v>12606</v>
      </c>
      <c r="AX169">
        <v>193152</v>
      </c>
      <c r="AY169" t="s">
        <v>1090</v>
      </c>
      <c r="AZ169">
        <v>9781959429807</v>
      </c>
      <c r="BC169" t="s">
        <v>42</v>
      </c>
      <c r="BD169" t="s">
        <v>1091</v>
      </c>
      <c r="BE169" t="s">
        <v>12252</v>
      </c>
      <c r="BF169" t="s">
        <v>45</v>
      </c>
      <c r="BH169" t="s">
        <v>46</v>
      </c>
      <c r="BI169" t="s">
        <v>1092</v>
      </c>
    </row>
    <row r="170" spans="1:61" x14ac:dyDescent="0.3">
      <c r="A170">
        <v>169</v>
      </c>
      <c r="B170" t="s">
        <v>12640</v>
      </c>
      <c r="C170" t="s">
        <v>12639</v>
      </c>
      <c r="D170" t="s">
        <v>818</v>
      </c>
      <c r="E170">
        <v>2023</v>
      </c>
      <c r="F170" t="s">
        <v>819</v>
      </c>
      <c r="M170">
        <v>6</v>
      </c>
      <c r="N170" t="s">
        <v>820</v>
      </c>
      <c r="O170" t="s">
        <v>821</v>
      </c>
      <c r="P170" t="s">
        <v>822</v>
      </c>
      <c r="Q170" t="s">
        <v>12638</v>
      </c>
      <c r="R170" t="s">
        <v>823</v>
      </c>
      <c r="S170" t="s">
        <v>824</v>
      </c>
      <c r="AP170" t="s">
        <v>12637</v>
      </c>
      <c r="AQ170" t="s">
        <v>12636</v>
      </c>
      <c r="AT170" t="s">
        <v>825</v>
      </c>
      <c r="AY170" t="s">
        <v>826</v>
      </c>
      <c r="BC170" t="s">
        <v>42</v>
      </c>
      <c r="BD170" t="s">
        <v>827</v>
      </c>
      <c r="BE170" t="s">
        <v>56</v>
      </c>
      <c r="BF170" t="s">
        <v>12365</v>
      </c>
      <c r="BG170" t="s">
        <v>12275</v>
      </c>
      <c r="BH170" t="s">
        <v>46</v>
      </c>
      <c r="BI170" t="s">
        <v>828</v>
      </c>
    </row>
    <row r="171" spans="1:61" x14ac:dyDescent="0.3">
      <c r="A171">
        <v>170</v>
      </c>
      <c r="B171" t="s">
        <v>12489</v>
      </c>
      <c r="C171" t="s">
        <v>12488</v>
      </c>
      <c r="D171" t="s">
        <v>1153</v>
      </c>
      <c r="E171">
        <v>2023</v>
      </c>
      <c r="F171" t="s">
        <v>1154</v>
      </c>
      <c r="G171">
        <v>19</v>
      </c>
      <c r="H171">
        <v>3</v>
      </c>
      <c r="J171">
        <v>201</v>
      </c>
      <c r="K171">
        <v>207</v>
      </c>
      <c r="M171">
        <v>1</v>
      </c>
      <c r="N171" t="s">
        <v>1155</v>
      </c>
      <c r="O171" t="s">
        <v>1156</v>
      </c>
      <c r="P171" t="s">
        <v>1157</v>
      </c>
      <c r="Q171" t="s">
        <v>12487</v>
      </c>
      <c r="R171" t="s">
        <v>1158</v>
      </c>
      <c r="S171" t="s">
        <v>1159</v>
      </c>
      <c r="AP171" t="s">
        <v>12486</v>
      </c>
      <c r="AQ171" t="s">
        <v>12485</v>
      </c>
      <c r="AT171" t="s">
        <v>251</v>
      </c>
      <c r="AY171">
        <v>15228959</v>
      </c>
      <c r="BC171" t="s">
        <v>42</v>
      </c>
      <c r="BD171" t="s">
        <v>1160</v>
      </c>
      <c r="BE171" t="s">
        <v>56</v>
      </c>
      <c r="BF171" t="s">
        <v>45</v>
      </c>
      <c r="BH171" t="s">
        <v>46</v>
      </c>
      <c r="BI171" t="s">
        <v>1161</v>
      </c>
    </row>
    <row r="172" spans="1:61" x14ac:dyDescent="0.3">
      <c r="A172">
        <v>171</v>
      </c>
      <c r="B172" t="s">
        <v>12557</v>
      </c>
      <c r="C172" t="s">
        <v>12556</v>
      </c>
      <c r="D172" t="s">
        <v>1142</v>
      </c>
      <c r="E172">
        <v>2023</v>
      </c>
      <c r="F172" t="s">
        <v>1143</v>
      </c>
      <c r="G172">
        <v>24</v>
      </c>
      <c r="H172">
        <v>2</v>
      </c>
      <c r="J172">
        <v>123</v>
      </c>
      <c r="K172">
        <v>138</v>
      </c>
      <c r="M172">
        <v>1</v>
      </c>
      <c r="N172" t="s">
        <v>1144</v>
      </c>
      <c r="O172" t="s">
        <v>1145</v>
      </c>
      <c r="P172" t="s">
        <v>1146</v>
      </c>
      <c r="Q172" t="s">
        <v>12555</v>
      </c>
      <c r="R172" t="s">
        <v>1147</v>
      </c>
      <c r="S172" t="s">
        <v>1148</v>
      </c>
      <c r="AP172" t="s">
        <v>12554</v>
      </c>
      <c r="AT172" t="s">
        <v>1149</v>
      </c>
      <c r="AY172">
        <v>15297314</v>
      </c>
      <c r="BC172" t="s">
        <v>42</v>
      </c>
      <c r="BD172" t="s">
        <v>1150</v>
      </c>
      <c r="BE172" t="s">
        <v>56</v>
      </c>
      <c r="BF172" t="s">
        <v>45</v>
      </c>
      <c r="BG172" t="s">
        <v>12251</v>
      </c>
      <c r="BH172" t="s">
        <v>46</v>
      </c>
      <c r="BI172" t="s">
        <v>1151</v>
      </c>
    </row>
    <row r="173" spans="1:61" x14ac:dyDescent="0.3">
      <c r="A173">
        <v>172</v>
      </c>
      <c r="B173" t="s">
        <v>13356</v>
      </c>
      <c r="C173" t="s">
        <v>13355</v>
      </c>
      <c r="D173" t="s">
        <v>204</v>
      </c>
      <c r="E173">
        <v>2023</v>
      </c>
      <c r="F173" t="s">
        <v>205</v>
      </c>
      <c r="G173">
        <v>33</v>
      </c>
      <c r="H173">
        <v>8</v>
      </c>
      <c r="J173">
        <v>606</v>
      </c>
      <c r="K173">
        <v>614</v>
      </c>
      <c r="N173" t="s">
        <v>206</v>
      </c>
      <c r="O173" t="s">
        <v>207</v>
      </c>
      <c r="P173" t="s">
        <v>208</v>
      </c>
      <c r="Q173" t="s">
        <v>13354</v>
      </c>
      <c r="R173" t="s">
        <v>209</v>
      </c>
      <c r="S173" t="s">
        <v>210</v>
      </c>
      <c r="T173" t="s">
        <v>13353</v>
      </c>
      <c r="Z173" t="s">
        <v>13352</v>
      </c>
      <c r="AJ173" t="s">
        <v>13351</v>
      </c>
      <c r="AK173" t="s">
        <v>13350</v>
      </c>
      <c r="AN173" t="s">
        <v>211</v>
      </c>
      <c r="AS173">
        <v>9596658</v>
      </c>
      <c r="AU173" t="s">
        <v>212</v>
      </c>
      <c r="AV173">
        <v>37531256</v>
      </c>
      <c r="AW173" t="s">
        <v>42</v>
      </c>
      <c r="AX173" t="s">
        <v>205</v>
      </c>
      <c r="AY173" t="s">
        <v>56</v>
      </c>
      <c r="AZ173" t="s">
        <v>45</v>
      </c>
      <c r="BA173" t="s">
        <v>12245</v>
      </c>
      <c r="BB173" t="s">
        <v>46</v>
      </c>
      <c r="BC173" t="s">
        <v>213</v>
      </c>
    </row>
    <row r="174" spans="1:61" x14ac:dyDescent="0.3">
      <c r="A174">
        <v>173</v>
      </c>
      <c r="B174" t="s">
        <v>13034</v>
      </c>
      <c r="C174" t="s">
        <v>13033</v>
      </c>
      <c r="D174" t="s">
        <v>13032</v>
      </c>
      <c r="E174">
        <v>2023</v>
      </c>
      <c r="F174" t="s">
        <v>13031</v>
      </c>
      <c r="J174">
        <v>14</v>
      </c>
      <c r="K174">
        <v>18</v>
      </c>
      <c r="N174" t="s">
        <v>13030</v>
      </c>
      <c r="O174" t="s">
        <v>13029</v>
      </c>
      <c r="P174" t="s">
        <v>13028</v>
      </c>
      <c r="Q174" t="s">
        <v>13027</v>
      </c>
      <c r="R174" t="s">
        <v>13026</v>
      </c>
      <c r="S174" t="s">
        <v>13025</v>
      </c>
      <c r="T174" t="s">
        <v>13024</v>
      </c>
      <c r="AJ174" t="s">
        <v>13023</v>
      </c>
      <c r="AK174" t="s">
        <v>13022</v>
      </c>
      <c r="AN174" t="s">
        <v>88</v>
      </c>
      <c r="AO174" t="s">
        <v>13021</v>
      </c>
      <c r="AP174" t="s">
        <v>13020</v>
      </c>
      <c r="AR174">
        <v>197355</v>
      </c>
      <c r="AT174">
        <v>9798350331264</v>
      </c>
      <c r="AW174" t="s">
        <v>42</v>
      </c>
      <c r="AX174" t="s">
        <v>13019</v>
      </c>
      <c r="AY174" t="s">
        <v>12252</v>
      </c>
      <c r="AZ174" t="s">
        <v>45</v>
      </c>
      <c r="BB174" t="s">
        <v>46</v>
      </c>
      <c r="BC174" t="s">
        <v>13018</v>
      </c>
    </row>
    <row r="175" spans="1:61" x14ac:dyDescent="0.3">
      <c r="A175">
        <v>174</v>
      </c>
      <c r="B175" t="s">
        <v>12858</v>
      </c>
      <c r="C175" t="s">
        <v>12857</v>
      </c>
      <c r="D175" t="s">
        <v>675</v>
      </c>
      <c r="E175">
        <v>2023</v>
      </c>
      <c r="F175" t="s">
        <v>676</v>
      </c>
      <c r="G175">
        <v>2023</v>
      </c>
      <c r="H175">
        <v>8</v>
      </c>
      <c r="J175">
        <v>194</v>
      </c>
      <c r="K175">
        <v>201</v>
      </c>
      <c r="N175" t="s">
        <v>677</v>
      </c>
      <c r="O175" t="s">
        <v>678</v>
      </c>
      <c r="P175" t="s">
        <v>679</v>
      </c>
      <c r="Q175" t="s">
        <v>12856</v>
      </c>
      <c r="R175" t="s">
        <v>680</v>
      </c>
      <c r="S175" t="s">
        <v>681</v>
      </c>
      <c r="AP175" t="s">
        <v>12855</v>
      </c>
      <c r="AT175" t="s">
        <v>682</v>
      </c>
      <c r="AU175" t="s">
        <v>12854</v>
      </c>
      <c r="AV175" t="s">
        <v>12853</v>
      </c>
      <c r="AX175">
        <v>306699</v>
      </c>
      <c r="AY175">
        <v>27070476</v>
      </c>
      <c r="BC175" t="s">
        <v>42</v>
      </c>
      <c r="BD175" t="s">
        <v>683</v>
      </c>
      <c r="BE175" t="s">
        <v>12252</v>
      </c>
      <c r="BF175" t="s">
        <v>45</v>
      </c>
      <c r="BG175" t="s">
        <v>12251</v>
      </c>
      <c r="BH175" t="s">
        <v>46</v>
      </c>
      <c r="BI175" t="s">
        <v>684</v>
      </c>
    </row>
    <row r="176" spans="1:61" x14ac:dyDescent="0.3">
      <c r="A176">
        <v>175</v>
      </c>
      <c r="B176" t="s">
        <v>12309</v>
      </c>
      <c r="C176" t="s">
        <v>12308</v>
      </c>
      <c r="D176" t="s">
        <v>1093</v>
      </c>
      <c r="E176">
        <v>2021</v>
      </c>
      <c r="F176" t="s">
        <v>1094</v>
      </c>
      <c r="G176">
        <v>11</v>
      </c>
      <c r="H176">
        <v>9</v>
      </c>
      <c r="I176">
        <v>1268</v>
      </c>
      <c r="M176">
        <v>3</v>
      </c>
      <c r="N176" t="s">
        <v>1095</v>
      </c>
      <c r="O176" t="s">
        <v>1096</v>
      </c>
      <c r="P176" t="s">
        <v>1097</v>
      </c>
      <c r="Q176" t="s">
        <v>12307</v>
      </c>
      <c r="R176" t="s">
        <v>1098</v>
      </c>
      <c r="S176" t="s">
        <v>1099</v>
      </c>
      <c r="T176" t="s">
        <v>12306</v>
      </c>
      <c r="V176" t="s">
        <v>12305</v>
      </c>
      <c r="Y176" t="s">
        <v>12304</v>
      </c>
      <c r="Z176" t="s">
        <v>12303</v>
      </c>
      <c r="AJ176" t="s">
        <v>12302</v>
      </c>
      <c r="AK176" t="s">
        <v>12301</v>
      </c>
      <c r="AN176" t="s">
        <v>1100</v>
      </c>
      <c r="AS176" t="s">
        <v>1101</v>
      </c>
      <c r="AV176">
        <v>34572480</v>
      </c>
      <c r="AW176" t="s">
        <v>42</v>
      </c>
      <c r="AX176" t="s">
        <v>1094</v>
      </c>
      <c r="AY176" t="s">
        <v>56</v>
      </c>
      <c r="AZ176" t="s">
        <v>45</v>
      </c>
      <c r="BA176" t="s">
        <v>12214</v>
      </c>
      <c r="BB176" t="s">
        <v>46</v>
      </c>
      <c r="BC176" t="s">
        <v>1102</v>
      </c>
    </row>
    <row r="177" spans="1:61" x14ac:dyDescent="0.3">
      <c r="A177">
        <v>176</v>
      </c>
      <c r="B177" t="s">
        <v>12996</v>
      </c>
      <c r="C177" t="s">
        <v>12995</v>
      </c>
      <c r="D177" t="s">
        <v>12994</v>
      </c>
      <c r="E177">
        <v>2023</v>
      </c>
      <c r="F177" t="s">
        <v>12984</v>
      </c>
      <c r="N177" t="s">
        <v>12993</v>
      </c>
      <c r="O177" t="s">
        <v>12992</v>
      </c>
      <c r="P177" t="s">
        <v>12991</v>
      </c>
      <c r="Q177" t="s">
        <v>12990</v>
      </c>
      <c r="R177" t="s">
        <v>12989</v>
      </c>
      <c r="S177" t="s">
        <v>12988</v>
      </c>
      <c r="T177" t="s">
        <v>12987</v>
      </c>
      <c r="AJ177" t="s">
        <v>12986</v>
      </c>
      <c r="AL177" t="s">
        <v>12985</v>
      </c>
      <c r="AN177" t="s">
        <v>88</v>
      </c>
      <c r="AO177" t="s">
        <v>12984</v>
      </c>
      <c r="AP177" t="s">
        <v>12983</v>
      </c>
      <c r="AR177">
        <v>197174</v>
      </c>
      <c r="AT177">
        <v>9798350329315</v>
      </c>
      <c r="AW177" t="s">
        <v>42</v>
      </c>
      <c r="AX177" t="s">
        <v>12982</v>
      </c>
      <c r="AY177" t="s">
        <v>12252</v>
      </c>
      <c r="AZ177" t="s">
        <v>45</v>
      </c>
      <c r="BB177" t="s">
        <v>46</v>
      </c>
      <c r="BC177" t="s">
        <v>12981</v>
      </c>
    </row>
    <row r="178" spans="1:61" x14ac:dyDescent="0.3">
      <c r="A178">
        <v>177</v>
      </c>
      <c r="B178" t="s">
        <v>12835</v>
      </c>
      <c r="C178" t="s">
        <v>12834</v>
      </c>
      <c r="D178" t="s">
        <v>141</v>
      </c>
      <c r="E178">
        <v>2023</v>
      </c>
      <c r="F178" t="s">
        <v>142</v>
      </c>
      <c r="J178">
        <v>483</v>
      </c>
      <c r="K178">
        <v>490</v>
      </c>
      <c r="N178" t="s">
        <v>143</v>
      </c>
      <c r="O178" t="s">
        <v>144</v>
      </c>
      <c r="P178" t="s">
        <v>145</v>
      </c>
      <c r="Q178" t="s">
        <v>12833</v>
      </c>
      <c r="R178" t="s">
        <v>146</v>
      </c>
      <c r="S178" t="s">
        <v>147</v>
      </c>
      <c r="T178" t="s">
        <v>148</v>
      </c>
      <c r="AP178" t="s">
        <v>12832</v>
      </c>
      <c r="AQ178" t="s">
        <v>12831</v>
      </c>
      <c r="AS178" t="s">
        <v>12830</v>
      </c>
      <c r="AT178" t="s">
        <v>88</v>
      </c>
      <c r="AU178" t="s">
        <v>12829</v>
      </c>
      <c r="AV178" t="s">
        <v>12828</v>
      </c>
      <c r="AX178">
        <v>195515</v>
      </c>
      <c r="AZ178">
        <v>9798350324303</v>
      </c>
      <c r="BC178" t="s">
        <v>42</v>
      </c>
      <c r="BD178" t="s">
        <v>149</v>
      </c>
      <c r="BE178" t="s">
        <v>12252</v>
      </c>
      <c r="BF178" t="s">
        <v>45</v>
      </c>
      <c r="BH178" t="s">
        <v>46</v>
      </c>
      <c r="BI178" t="s">
        <v>150</v>
      </c>
    </row>
  </sheetData>
  <autoFilter ref="A1:DO1" xr:uid="{694B85B1-AC83-4172-A189-387E00183626}">
    <sortState xmlns:xlrd2="http://schemas.microsoft.com/office/spreadsheetml/2017/richdata2" ref="A2:DO178">
      <sortCondition ref="B1"/>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23E8B-FAA9-47FF-BDA1-9D70E2FD2E8D}">
  <dimension ref="A1:BU632"/>
  <sheetViews>
    <sheetView topLeftCell="A612" workbookViewId="0">
      <selection activeCell="A2" sqref="A2:A632"/>
    </sheetView>
  </sheetViews>
  <sheetFormatPr baseColWidth="10" defaultColWidth="8.88671875" defaultRowHeight="13.2" x14ac:dyDescent="0.25"/>
  <cols>
    <col min="1" max="1" width="11.5546875" style="1" customWidth="1"/>
    <col min="2" max="2" width="8.88671875" style="1" customWidth="1"/>
    <col min="3" max="16384" width="8.88671875" style="1"/>
  </cols>
  <sheetData>
    <row r="1" spans="1:73" x14ac:dyDescent="0.25">
      <c r="A1" s="1" t="s">
        <v>13738</v>
      </c>
      <c r="B1" s="1" t="s">
        <v>1446</v>
      </c>
      <c r="C1" s="1" t="s">
        <v>0</v>
      </c>
      <c r="D1" s="1" t="s">
        <v>1447</v>
      </c>
      <c r="E1" s="1" t="s">
        <v>1448</v>
      </c>
      <c r="F1" s="1" t="s">
        <v>1449</v>
      </c>
      <c r="G1" s="1" t="s">
        <v>1450</v>
      </c>
      <c r="H1" s="1" t="s">
        <v>1451</v>
      </c>
      <c r="I1" s="1" t="s">
        <v>1452</v>
      </c>
      <c r="J1" s="1" t="s">
        <v>1453</v>
      </c>
      <c r="K1" s="1" t="s">
        <v>1454</v>
      </c>
      <c r="L1" s="1" t="s">
        <v>1455</v>
      </c>
      <c r="M1" s="1" t="s">
        <v>1456</v>
      </c>
      <c r="N1" s="1" t="s">
        <v>1457</v>
      </c>
      <c r="O1" s="1" t="s">
        <v>28</v>
      </c>
      <c r="P1" s="1" t="s">
        <v>1458</v>
      </c>
      <c r="Q1" s="1" t="s">
        <v>1459</v>
      </c>
      <c r="R1" s="1" t="s">
        <v>1460</v>
      </c>
      <c r="S1" s="1" t="s">
        <v>1461</v>
      </c>
      <c r="T1" s="1" t="s">
        <v>1462</v>
      </c>
      <c r="U1" s="1" t="s">
        <v>17</v>
      </c>
      <c r="V1" s="1" t="s">
        <v>1463</v>
      </c>
      <c r="W1" s="1" t="s">
        <v>16</v>
      </c>
      <c r="X1" s="1" t="s">
        <v>1464</v>
      </c>
      <c r="Y1" s="1" t="s">
        <v>14</v>
      </c>
      <c r="Z1" s="1" t="s">
        <v>1465</v>
      </c>
      <c r="AA1" s="1" t="s">
        <v>1466</v>
      </c>
      <c r="AB1" s="1" t="s">
        <v>1467</v>
      </c>
      <c r="AC1" s="1" t="s">
        <v>1468</v>
      </c>
      <c r="AD1" s="1" t="s">
        <v>1469</v>
      </c>
      <c r="AE1" s="1" t="s">
        <v>1470</v>
      </c>
      <c r="AF1" s="1" t="s">
        <v>1471</v>
      </c>
      <c r="AG1" s="1" t="s">
        <v>1472</v>
      </c>
      <c r="AH1" s="1" t="s">
        <v>1473</v>
      </c>
      <c r="AI1" s="1" t="s">
        <v>1474</v>
      </c>
      <c r="AJ1" s="1" t="s">
        <v>1475</v>
      </c>
      <c r="AK1" s="1" t="s">
        <v>1476</v>
      </c>
      <c r="AL1" s="1" t="s">
        <v>1477</v>
      </c>
      <c r="AM1" s="1" t="s">
        <v>21</v>
      </c>
      <c r="AN1" s="1" t="s">
        <v>1478</v>
      </c>
      <c r="AO1" s="1" t="s">
        <v>1479</v>
      </c>
      <c r="AP1" s="1" t="s">
        <v>22</v>
      </c>
      <c r="AQ1" s="1" t="s">
        <v>1480</v>
      </c>
      <c r="AR1" s="1" t="s">
        <v>23</v>
      </c>
      <c r="AS1" s="1" t="s">
        <v>1481</v>
      </c>
      <c r="AT1" s="1" t="s">
        <v>1482</v>
      </c>
      <c r="AU1" s="1" t="s">
        <v>1483</v>
      </c>
      <c r="AV1" s="1" t="s">
        <v>1484</v>
      </c>
      <c r="AW1" s="1" t="s">
        <v>5</v>
      </c>
      <c r="AX1" s="1" t="s">
        <v>6</v>
      </c>
      <c r="AY1" s="1" t="s">
        <v>1485</v>
      </c>
      <c r="AZ1" s="1" t="s">
        <v>1486</v>
      </c>
      <c r="BA1" s="1" t="s">
        <v>841</v>
      </c>
      <c r="BB1" s="1" t="s">
        <v>1487</v>
      </c>
      <c r="BC1" s="1" t="s">
        <v>1488</v>
      </c>
      <c r="BD1" s="1" t="s">
        <v>1489</v>
      </c>
      <c r="BE1" s="1" t="s">
        <v>1490</v>
      </c>
      <c r="BF1" s="1" t="s">
        <v>12</v>
      </c>
      <c r="BG1" s="1" t="s">
        <v>1491</v>
      </c>
      <c r="BH1" s="1" t="s">
        <v>1492</v>
      </c>
      <c r="BI1" s="1" t="s">
        <v>1493</v>
      </c>
      <c r="BJ1" s="1" t="s">
        <v>1494</v>
      </c>
      <c r="BK1" s="1" t="s">
        <v>1495</v>
      </c>
      <c r="BL1" s="1" t="s">
        <v>1496</v>
      </c>
      <c r="BM1" s="1" t="s">
        <v>1497</v>
      </c>
      <c r="BN1" s="1" t="s">
        <v>1498</v>
      </c>
      <c r="BO1" s="1" t="s">
        <v>1499</v>
      </c>
      <c r="BP1" s="1" t="s">
        <v>1500</v>
      </c>
      <c r="BQ1" s="1" t="s">
        <v>1501</v>
      </c>
      <c r="BR1" s="1" t="s">
        <v>1502</v>
      </c>
      <c r="BS1" s="1" t="s">
        <v>1503</v>
      </c>
      <c r="BT1" s="1" t="s">
        <v>1504</v>
      </c>
      <c r="BU1" s="1" t="s">
        <v>1505</v>
      </c>
    </row>
    <row r="2" spans="1:73" x14ac:dyDescent="0.25">
      <c r="A2" s="1">
        <v>1</v>
      </c>
      <c r="B2" s="1" t="s">
        <v>1506</v>
      </c>
      <c r="C2" s="1" t="s">
        <v>5519</v>
      </c>
      <c r="D2" s="1" t="s">
        <v>1507</v>
      </c>
      <c r="E2" s="1" t="s">
        <v>1507</v>
      </c>
      <c r="F2" s="1" t="s">
        <v>1507</v>
      </c>
      <c r="G2" s="1" t="s">
        <v>5520</v>
      </c>
      <c r="H2" s="1" t="s">
        <v>1507</v>
      </c>
      <c r="I2" s="1" t="s">
        <v>1507</v>
      </c>
      <c r="J2" s="1" t="s">
        <v>5521</v>
      </c>
      <c r="K2" s="1" t="s">
        <v>5522</v>
      </c>
      <c r="L2" s="1" t="s">
        <v>1507</v>
      </c>
      <c r="M2" s="1" t="s">
        <v>1507</v>
      </c>
      <c r="N2" s="1" t="s">
        <v>42</v>
      </c>
      <c r="O2" s="1" t="s">
        <v>56</v>
      </c>
      <c r="P2" s="1" t="s">
        <v>1507</v>
      </c>
      <c r="Q2" s="1" t="s">
        <v>1507</v>
      </c>
      <c r="R2" s="1" t="s">
        <v>1507</v>
      </c>
      <c r="S2" s="1" t="s">
        <v>1507</v>
      </c>
      <c r="T2" s="1" t="s">
        <v>1507</v>
      </c>
      <c r="U2" s="1" t="s">
        <v>5523</v>
      </c>
      <c r="V2" s="1" t="s">
        <v>5524</v>
      </c>
      <c r="W2" s="1" t="s">
        <v>5525</v>
      </c>
      <c r="X2" s="1" t="s">
        <v>5526</v>
      </c>
      <c r="Y2" s="1" t="s">
        <v>5527</v>
      </c>
      <c r="Z2" s="1" t="s">
        <v>5528</v>
      </c>
      <c r="AA2" s="1" t="s">
        <v>5529</v>
      </c>
      <c r="AB2" s="1" t="s">
        <v>14817</v>
      </c>
      <c r="AC2" s="1" t="s">
        <v>5530</v>
      </c>
      <c r="AD2" s="1" t="s">
        <v>5531</v>
      </c>
      <c r="AE2" s="1" t="s">
        <v>5532</v>
      </c>
      <c r="AF2" s="1" t="s">
        <v>5533</v>
      </c>
      <c r="AG2" s="1" t="s">
        <v>1507</v>
      </c>
      <c r="AH2" s="1">
        <v>24</v>
      </c>
      <c r="AI2" s="1">
        <v>0</v>
      </c>
      <c r="AJ2" s="1">
        <v>0</v>
      </c>
      <c r="AK2" s="1">
        <v>2</v>
      </c>
      <c r="AL2" s="1">
        <v>2</v>
      </c>
      <c r="AM2" s="1" t="s">
        <v>5534</v>
      </c>
      <c r="AN2" s="1" t="s">
        <v>5535</v>
      </c>
      <c r="AO2" s="1" t="s">
        <v>5536</v>
      </c>
      <c r="AP2" s="1" t="s">
        <v>5537</v>
      </c>
      <c r="AQ2" s="1" t="s">
        <v>5538</v>
      </c>
      <c r="AR2" s="1" t="s">
        <v>1507</v>
      </c>
      <c r="AS2" s="1" t="s">
        <v>5539</v>
      </c>
      <c r="AT2" s="1" t="s">
        <v>5540</v>
      </c>
      <c r="AU2" s="1" t="s">
        <v>1507</v>
      </c>
      <c r="AV2" s="1">
        <v>2023</v>
      </c>
      <c r="AW2" s="1">
        <v>76</v>
      </c>
      <c r="AX2" s="1">
        <v>3</v>
      </c>
      <c r="AY2" s="1" t="s">
        <v>1507</v>
      </c>
      <c r="AZ2" s="1" t="s">
        <v>1507</v>
      </c>
      <c r="BA2" s="1" t="s">
        <v>1507</v>
      </c>
      <c r="BB2" s="1" t="s">
        <v>1507</v>
      </c>
      <c r="BC2" s="1" t="s">
        <v>1507</v>
      </c>
      <c r="BD2" s="1" t="s">
        <v>1507</v>
      </c>
      <c r="BE2" s="1" t="s">
        <v>5541</v>
      </c>
      <c r="BF2" s="1" t="s">
        <v>5542</v>
      </c>
      <c r="BG2" s="1" t="str">
        <f>HYPERLINK("http://dx.doi.org/10.1590/0034-7167-2022-0366","http://dx.doi.org/10.1590/0034-7167-2022-0366")</f>
        <v>http://dx.doi.org/10.1590/0034-7167-2022-0366</v>
      </c>
      <c r="BH2" s="1" t="s">
        <v>1507</v>
      </c>
      <c r="BI2" s="1" t="s">
        <v>1507</v>
      </c>
      <c r="BJ2" s="1">
        <v>6</v>
      </c>
      <c r="BK2" s="1" t="s">
        <v>5543</v>
      </c>
      <c r="BL2" s="1" t="s">
        <v>1529</v>
      </c>
      <c r="BM2" s="1" t="s">
        <v>5543</v>
      </c>
      <c r="BN2" s="1" t="s">
        <v>5544</v>
      </c>
      <c r="BO2" s="1">
        <v>37377315</v>
      </c>
      <c r="BP2" s="1" t="s">
        <v>1952</v>
      </c>
      <c r="BQ2" s="1" t="s">
        <v>1507</v>
      </c>
      <c r="BR2" s="1" t="s">
        <v>1507</v>
      </c>
      <c r="BS2" s="1" t="s">
        <v>13744</v>
      </c>
      <c r="BT2" s="1" t="s">
        <v>5545</v>
      </c>
      <c r="BU2" s="1" t="str">
        <f>HYPERLINK("https%3A%2F%2Fwww.webofscience.com%2Fwos%2Fwoscc%2Ffull-record%2FWOS:001028195600005","View Full Record in Web of Science")</f>
        <v>View Full Record in Web of Science</v>
      </c>
    </row>
    <row r="3" spans="1:73" x14ac:dyDescent="0.25">
      <c r="A3" s="1">
        <v>2</v>
      </c>
      <c r="B3" s="1" t="s">
        <v>1506</v>
      </c>
      <c r="C3" s="1" t="s">
        <v>14164</v>
      </c>
      <c r="D3" s="1" t="s">
        <v>1507</v>
      </c>
      <c r="E3" s="1" t="s">
        <v>1507</v>
      </c>
      <c r="F3" s="1" t="s">
        <v>1507</v>
      </c>
      <c r="G3" s="1" t="s">
        <v>14165</v>
      </c>
      <c r="H3" s="1" t="s">
        <v>1507</v>
      </c>
      <c r="I3" s="1" t="s">
        <v>1507</v>
      </c>
      <c r="J3" s="1" t="s">
        <v>14166</v>
      </c>
      <c r="K3" s="1" t="s">
        <v>3251</v>
      </c>
      <c r="L3" s="1" t="s">
        <v>1507</v>
      </c>
      <c r="M3" s="1" t="s">
        <v>1507</v>
      </c>
      <c r="N3" s="1" t="s">
        <v>42</v>
      </c>
      <c r="O3" s="1" t="s">
        <v>56</v>
      </c>
      <c r="P3" s="1" t="s">
        <v>1507</v>
      </c>
      <c r="Q3" s="1" t="s">
        <v>1507</v>
      </c>
      <c r="R3" s="1" t="s">
        <v>1507</v>
      </c>
      <c r="S3" s="1" t="s">
        <v>1507</v>
      </c>
      <c r="T3" s="1" t="s">
        <v>1507</v>
      </c>
      <c r="U3" s="1" t="s">
        <v>14167</v>
      </c>
      <c r="V3" s="1" t="s">
        <v>14168</v>
      </c>
      <c r="W3" s="1" t="s">
        <v>14169</v>
      </c>
      <c r="X3" s="1" t="s">
        <v>14170</v>
      </c>
      <c r="Y3" s="1" t="s">
        <v>14171</v>
      </c>
      <c r="Z3" s="1" t="s">
        <v>14172</v>
      </c>
      <c r="AA3" s="1" t="s">
        <v>14173</v>
      </c>
      <c r="AB3" s="1" t="s">
        <v>1507</v>
      </c>
      <c r="AC3" s="1" t="s">
        <v>14174</v>
      </c>
      <c r="AD3" s="1" t="s">
        <v>14175</v>
      </c>
      <c r="AE3" s="1" t="s">
        <v>14175</v>
      </c>
      <c r="AF3" s="1" t="s">
        <v>14176</v>
      </c>
      <c r="AG3" s="1" t="s">
        <v>1507</v>
      </c>
      <c r="AH3" s="1">
        <v>27</v>
      </c>
      <c r="AI3" s="1">
        <v>2</v>
      </c>
      <c r="AJ3" s="1">
        <v>2</v>
      </c>
      <c r="AK3" s="1">
        <v>13</v>
      </c>
      <c r="AL3" s="1">
        <v>13</v>
      </c>
      <c r="AM3" s="1" t="s">
        <v>3263</v>
      </c>
      <c r="AN3" s="1" t="s">
        <v>2300</v>
      </c>
      <c r="AO3" s="1" t="s">
        <v>3264</v>
      </c>
      <c r="AP3" s="1" t="s">
        <v>3265</v>
      </c>
      <c r="AQ3" s="1" t="s">
        <v>3266</v>
      </c>
      <c r="AR3" s="1" t="s">
        <v>1507</v>
      </c>
      <c r="AS3" s="1" t="s">
        <v>3267</v>
      </c>
      <c r="AT3" s="1" t="s">
        <v>3268</v>
      </c>
      <c r="AU3" s="1" t="s">
        <v>14177</v>
      </c>
      <c r="AV3" s="1">
        <v>2023</v>
      </c>
      <c r="AW3" s="1">
        <v>120</v>
      </c>
      <c r="AX3" s="1">
        <v>44</v>
      </c>
      <c r="AY3" s="1" t="s">
        <v>1507</v>
      </c>
      <c r="AZ3" s="1" t="s">
        <v>1507</v>
      </c>
      <c r="BA3" s="1" t="s">
        <v>1507</v>
      </c>
      <c r="BB3" s="1" t="s">
        <v>1507</v>
      </c>
      <c r="BC3" s="1" t="s">
        <v>1507</v>
      </c>
      <c r="BD3" s="1" t="s">
        <v>1507</v>
      </c>
      <c r="BE3" s="1" t="s">
        <v>14178</v>
      </c>
      <c r="BF3" s="1" t="s">
        <v>14179</v>
      </c>
      <c r="BG3" s="1" t="str">
        <f>HYPERLINK("http://dx.doi.org/10.1073/pnas.2313790120","http://dx.doi.org/10.1073/pnas.2313790120")</f>
        <v>http://dx.doi.org/10.1073/pnas.2313790120</v>
      </c>
      <c r="BH3" s="1" t="s">
        <v>1507</v>
      </c>
      <c r="BI3" s="1" t="s">
        <v>1507</v>
      </c>
      <c r="BJ3" s="1">
        <v>5</v>
      </c>
      <c r="BK3" s="1" t="s">
        <v>1776</v>
      </c>
      <c r="BL3" s="1" t="s">
        <v>1573</v>
      </c>
      <c r="BM3" s="1" t="s">
        <v>1777</v>
      </c>
      <c r="BN3" s="1" t="s">
        <v>14180</v>
      </c>
      <c r="BO3" s="1">
        <v>37883432</v>
      </c>
      <c r="BP3" s="1" t="s">
        <v>2574</v>
      </c>
      <c r="BQ3" s="1" t="s">
        <v>1507</v>
      </c>
      <c r="BR3" s="1" t="s">
        <v>1507</v>
      </c>
      <c r="BS3" s="1" t="s">
        <v>13744</v>
      </c>
      <c r="BT3" s="1" t="s">
        <v>14181</v>
      </c>
      <c r="BU3" s="1" t="str">
        <f>HYPERLINK("https%3A%2F%2Fwww.webofscience.com%2Fwos%2Fwoscc%2Ffull-record%2FWOS:001127129700010","View Full Record in Web of Science")</f>
        <v>View Full Record in Web of Science</v>
      </c>
    </row>
    <row r="4" spans="1:73" x14ac:dyDescent="0.25">
      <c r="A4" s="1">
        <v>3</v>
      </c>
      <c r="B4" s="1" t="s">
        <v>1506</v>
      </c>
      <c r="C4" s="1" t="s">
        <v>11225</v>
      </c>
      <c r="D4" s="1" t="s">
        <v>1507</v>
      </c>
      <c r="E4" s="1" t="s">
        <v>1507</v>
      </c>
      <c r="F4" s="1" t="s">
        <v>1507</v>
      </c>
      <c r="G4" s="1" t="s">
        <v>11226</v>
      </c>
      <c r="H4" s="1" t="s">
        <v>1507</v>
      </c>
      <c r="I4" s="1" t="s">
        <v>1507</v>
      </c>
      <c r="J4" s="1" t="s">
        <v>11227</v>
      </c>
      <c r="K4" s="1" t="s">
        <v>11228</v>
      </c>
      <c r="L4" s="1" t="s">
        <v>1507</v>
      </c>
      <c r="M4" s="1" t="s">
        <v>1507</v>
      </c>
      <c r="N4" s="1" t="s">
        <v>42</v>
      </c>
      <c r="O4" s="1" t="s">
        <v>56</v>
      </c>
      <c r="P4" s="1" t="s">
        <v>1507</v>
      </c>
      <c r="Q4" s="1" t="s">
        <v>1507</v>
      </c>
      <c r="R4" s="1" t="s">
        <v>1507</v>
      </c>
      <c r="S4" s="1" t="s">
        <v>1507</v>
      </c>
      <c r="T4" s="1" t="s">
        <v>1507</v>
      </c>
      <c r="U4" s="1" t="s">
        <v>1507</v>
      </c>
      <c r="V4" s="1" t="s">
        <v>1507</v>
      </c>
      <c r="W4" s="1" t="s">
        <v>11229</v>
      </c>
      <c r="X4" s="1" t="s">
        <v>11230</v>
      </c>
      <c r="Y4" s="1" t="s">
        <v>11231</v>
      </c>
      <c r="Z4" s="1" t="s">
        <v>11232</v>
      </c>
      <c r="AA4" s="1" t="s">
        <v>1507</v>
      </c>
      <c r="AB4" s="1" t="s">
        <v>1507</v>
      </c>
      <c r="AC4" s="1" t="s">
        <v>1507</v>
      </c>
      <c r="AD4" s="1" t="s">
        <v>11233</v>
      </c>
      <c r="AE4" s="1" t="s">
        <v>11234</v>
      </c>
      <c r="AF4" s="1" t="s">
        <v>11235</v>
      </c>
      <c r="AG4" s="1" t="s">
        <v>1507</v>
      </c>
      <c r="AH4" s="1">
        <v>22</v>
      </c>
      <c r="AI4" s="1">
        <v>1</v>
      </c>
      <c r="AJ4" s="1">
        <v>1</v>
      </c>
      <c r="AK4" s="1">
        <v>0</v>
      </c>
      <c r="AL4" s="1">
        <v>2</v>
      </c>
      <c r="AM4" s="1" t="s">
        <v>11236</v>
      </c>
      <c r="AN4" s="1" t="s">
        <v>11237</v>
      </c>
      <c r="AO4" s="1" t="s">
        <v>11238</v>
      </c>
      <c r="AP4" s="1" t="s">
        <v>11239</v>
      </c>
      <c r="AQ4" s="1" t="s">
        <v>1507</v>
      </c>
      <c r="AR4" s="1" t="s">
        <v>1507</v>
      </c>
      <c r="AS4" s="1" t="s">
        <v>11240</v>
      </c>
      <c r="AT4" s="1" t="s">
        <v>11241</v>
      </c>
      <c r="AU4" s="1" t="s">
        <v>1507</v>
      </c>
      <c r="AV4" s="1">
        <v>2019</v>
      </c>
      <c r="AW4" s="1">
        <v>12</v>
      </c>
      <c r="AX4" s="1">
        <v>2</v>
      </c>
      <c r="AY4" s="1" t="s">
        <v>1507</v>
      </c>
      <c r="AZ4" s="1" t="s">
        <v>1507</v>
      </c>
      <c r="BA4" s="1" t="s">
        <v>1507</v>
      </c>
      <c r="BB4" s="1" t="s">
        <v>1507</v>
      </c>
      <c r="BC4" s="1">
        <v>205</v>
      </c>
      <c r="BD4" s="1">
        <v>226</v>
      </c>
      <c r="BE4" s="1" t="s">
        <v>1507</v>
      </c>
      <c r="BF4" s="1" t="s">
        <v>1507</v>
      </c>
      <c r="BG4" s="1" t="s">
        <v>1507</v>
      </c>
      <c r="BH4" s="1" t="s">
        <v>1507</v>
      </c>
      <c r="BI4" s="1" t="s">
        <v>1507</v>
      </c>
      <c r="BJ4" s="1">
        <v>22</v>
      </c>
      <c r="BK4" s="1" t="s">
        <v>1535</v>
      </c>
      <c r="BL4" s="1" t="s">
        <v>1529</v>
      </c>
      <c r="BM4" s="1" t="s">
        <v>1536</v>
      </c>
      <c r="BN4" s="1" t="s">
        <v>11242</v>
      </c>
      <c r="BO4" s="1" t="s">
        <v>1507</v>
      </c>
      <c r="BP4" s="1" t="s">
        <v>1507</v>
      </c>
      <c r="BQ4" s="1" t="s">
        <v>1507</v>
      </c>
      <c r="BR4" s="1" t="s">
        <v>1507</v>
      </c>
      <c r="BS4" s="1" t="s">
        <v>13744</v>
      </c>
      <c r="BT4" s="1" t="s">
        <v>11243</v>
      </c>
      <c r="BU4" s="1" t="str">
        <f>HYPERLINK("https%3A%2F%2Fwww.webofscience.com%2Fwos%2Fwoscc%2Ffull-record%2FWOS:000482757900002","View Full Record in Web of Science")</f>
        <v>View Full Record in Web of Science</v>
      </c>
    </row>
    <row r="5" spans="1:73" x14ac:dyDescent="0.25">
      <c r="A5" s="1">
        <v>4</v>
      </c>
      <c r="B5" s="1" t="s">
        <v>1506</v>
      </c>
      <c r="C5" s="1" t="s">
        <v>1866</v>
      </c>
      <c r="D5" s="1" t="s">
        <v>1507</v>
      </c>
      <c r="E5" s="1" t="s">
        <v>1507</v>
      </c>
      <c r="F5" s="1" t="s">
        <v>1507</v>
      </c>
      <c r="G5" s="1" t="s">
        <v>1867</v>
      </c>
      <c r="H5" s="1" t="s">
        <v>1507</v>
      </c>
      <c r="I5" s="1" t="s">
        <v>1507</v>
      </c>
      <c r="J5" s="1" t="s">
        <v>1868</v>
      </c>
      <c r="K5" s="1" t="s">
        <v>1869</v>
      </c>
      <c r="L5" s="1" t="s">
        <v>1507</v>
      </c>
      <c r="M5" s="1" t="s">
        <v>1507</v>
      </c>
      <c r="N5" s="1" t="s">
        <v>42</v>
      </c>
      <c r="O5" s="1" t="s">
        <v>56</v>
      </c>
      <c r="P5" s="1" t="s">
        <v>1507</v>
      </c>
      <c r="Q5" s="1" t="s">
        <v>1507</v>
      </c>
      <c r="R5" s="1" t="s">
        <v>1507</v>
      </c>
      <c r="S5" s="1" t="s">
        <v>1507</v>
      </c>
      <c r="T5" s="1" t="s">
        <v>1507</v>
      </c>
      <c r="U5" s="1" t="s">
        <v>1507</v>
      </c>
      <c r="V5" s="1" t="s">
        <v>1507</v>
      </c>
      <c r="W5" s="1" t="s">
        <v>1870</v>
      </c>
      <c r="X5" s="1" t="s">
        <v>1871</v>
      </c>
      <c r="Y5" s="1" t="s">
        <v>1872</v>
      </c>
      <c r="Z5" s="1" t="s">
        <v>1873</v>
      </c>
      <c r="AA5" s="1" t="s">
        <v>1874</v>
      </c>
      <c r="AB5" s="1" t="s">
        <v>1507</v>
      </c>
      <c r="AC5" s="1" t="s">
        <v>1875</v>
      </c>
      <c r="AD5" s="1" t="s">
        <v>1876</v>
      </c>
      <c r="AE5" s="1" t="s">
        <v>1877</v>
      </c>
      <c r="AF5" s="1" t="s">
        <v>1878</v>
      </c>
      <c r="AG5" s="1" t="s">
        <v>1507</v>
      </c>
      <c r="AH5" s="1">
        <v>37</v>
      </c>
      <c r="AI5" s="1">
        <v>0</v>
      </c>
      <c r="AJ5" s="1">
        <v>0</v>
      </c>
      <c r="AK5" s="1">
        <v>1</v>
      </c>
      <c r="AL5" s="1">
        <v>1</v>
      </c>
      <c r="AM5" s="1" t="s">
        <v>1591</v>
      </c>
      <c r="AN5" s="1" t="s">
        <v>1592</v>
      </c>
      <c r="AO5" s="1" t="s">
        <v>1593</v>
      </c>
      <c r="AP5" s="1" t="s">
        <v>1507</v>
      </c>
      <c r="AQ5" s="1" t="s">
        <v>1879</v>
      </c>
      <c r="AR5" s="1" t="s">
        <v>1507</v>
      </c>
      <c r="AS5" s="1" t="s">
        <v>1880</v>
      </c>
      <c r="AT5" s="1" t="s">
        <v>1881</v>
      </c>
      <c r="AU5" s="1" t="s">
        <v>1882</v>
      </c>
      <c r="AV5" s="1">
        <v>2023</v>
      </c>
      <c r="AW5" s="1">
        <v>9</v>
      </c>
      <c r="AX5" s="1">
        <v>1</v>
      </c>
      <c r="AY5" s="1" t="s">
        <v>1507</v>
      </c>
      <c r="AZ5" s="1" t="s">
        <v>1507</v>
      </c>
      <c r="BA5" s="1" t="s">
        <v>1507</v>
      </c>
      <c r="BB5" s="1" t="s">
        <v>1507</v>
      </c>
      <c r="BC5" s="1" t="s">
        <v>1507</v>
      </c>
      <c r="BD5" s="1" t="s">
        <v>1507</v>
      </c>
      <c r="BE5" s="1">
        <v>63</v>
      </c>
      <c r="BF5" s="1" t="s">
        <v>1883</v>
      </c>
      <c r="BG5" s="1" t="str">
        <f>HYPERLINK("http://dx.doi.org/10.1038/s41540-023-00324-2","http://dx.doi.org/10.1038/s41540-023-00324-2")</f>
        <v>http://dx.doi.org/10.1038/s41540-023-00324-2</v>
      </c>
      <c r="BH5" s="1" t="s">
        <v>1507</v>
      </c>
      <c r="BI5" s="1" t="s">
        <v>1507</v>
      </c>
      <c r="BJ5" s="1">
        <v>9</v>
      </c>
      <c r="BK5" s="1" t="s">
        <v>1884</v>
      </c>
      <c r="BL5" s="1" t="s">
        <v>1573</v>
      </c>
      <c r="BM5" s="1" t="s">
        <v>1884</v>
      </c>
      <c r="BN5" s="1" t="s">
        <v>1885</v>
      </c>
      <c r="BO5" s="1">
        <v>38110446</v>
      </c>
      <c r="BP5" s="1" t="s">
        <v>1507</v>
      </c>
      <c r="BQ5" s="1" t="s">
        <v>1507</v>
      </c>
      <c r="BR5" s="1" t="s">
        <v>1507</v>
      </c>
      <c r="BS5" s="1" t="s">
        <v>13744</v>
      </c>
      <c r="BT5" s="1" t="s">
        <v>1886</v>
      </c>
      <c r="BU5" s="1" t="str">
        <f>HYPERLINK("https%3A%2F%2Fwww.webofscience.com%2Fwos%2Fwoscc%2Ffull-record%2FWOS:001127253400001","View Full Record in Web of Science")</f>
        <v>View Full Record in Web of Science</v>
      </c>
    </row>
    <row r="6" spans="1:73" x14ac:dyDescent="0.25">
      <c r="A6" s="1">
        <v>5</v>
      </c>
      <c r="B6" s="1" t="s">
        <v>1506</v>
      </c>
      <c r="C6" s="1" t="s">
        <v>5031</v>
      </c>
      <c r="D6" s="1" t="s">
        <v>1507</v>
      </c>
      <c r="E6" s="1" t="s">
        <v>1507</v>
      </c>
      <c r="F6" s="1" t="s">
        <v>1507</v>
      </c>
      <c r="G6" s="1" t="s">
        <v>5032</v>
      </c>
      <c r="H6" s="1" t="s">
        <v>1507</v>
      </c>
      <c r="I6" s="1" t="s">
        <v>1507</v>
      </c>
      <c r="J6" s="1" t="s">
        <v>5033</v>
      </c>
      <c r="K6" s="1" t="s">
        <v>5034</v>
      </c>
      <c r="L6" s="1" t="s">
        <v>1507</v>
      </c>
      <c r="M6" s="1" t="s">
        <v>1507</v>
      </c>
      <c r="N6" s="1" t="s">
        <v>42</v>
      </c>
      <c r="O6" s="1" t="s">
        <v>56</v>
      </c>
      <c r="P6" s="1" t="s">
        <v>1507</v>
      </c>
      <c r="Q6" s="1" t="s">
        <v>1507</v>
      </c>
      <c r="R6" s="1" t="s">
        <v>1507</v>
      </c>
      <c r="S6" s="1" t="s">
        <v>1507</v>
      </c>
      <c r="T6" s="1" t="s">
        <v>1507</v>
      </c>
      <c r="U6" s="1" t="s">
        <v>1507</v>
      </c>
      <c r="V6" s="1" t="s">
        <v>5035</v>
      </c>
      <c r="W6" s="1" t="s">
        <v>1507</v>
      </c>
      <c r="X6" s="1" t="s">
        <v>5036</v>
      </c>
      <c r="Y6" s="1" t="s">
        <v>5037</v>
      </c>
      <c r="Z6" s="1" t="s">
        <v>5038</v>
      </c>
      <c r="AA6" s="1" t="s">
        <v>1507</v>
      </c>
      <c r="AB6" s="1" t="s">
        <v>1507</v>
      </c>
      <c r="AC6" s="1" t="s">
        <v>1507</v>
      </c>
      <c r="AD6" s="1" t="s">
        <v>5039</v>
      </c>
      <c r="AE6" s="1" t="s">
        <v>5039</v>
      </c>
      <c r="AF6" s="1" t="s">
        <v>5040</v>
      </c>
      <c r="AG6" s="1" t="s">
        <v>1507</v>
      </c>
      <c r="AH6" s="1">
        <v>49</v>
      </c>
      <c r="AI6" s="1">
        <v>0</v>
      </c>
      <c r="AJ6" s="1">
        <v>0</v>
      </c>
      <c r="AK6" s="1">
        <v>0</v>
      </c>
      <c r="AL6" s="1">
        <v>0</v>
      </c>
      <c r="AM6" s="1" t="s">
        <v>3500</v>
      </c>
      <c r="AN6" s="1" t="s">
        <v>3501</v>
      </c>
      <c r="AO6" s="1" t="s">
        <v>3502</v>
      </c>
      <c r="AP6" s="1" t="s">
        <v>5041</v>
      </c>
      <c r="AQ6" s="1" t="s">
        <v>5042</v>
      </c>
      <c r="AR6" s="1" t="s">
        <v>1507</v>
      </c>
      <c r="AS6" s="1" t="s">
        <v>5043</v>
      </c>
      <c r="AT6" s="1" t="s">
        <v>5044</v>
      </c>
      <c r="AU6" s="1" t="s">
        <v>5045</v>
      </c>
      <c r="AV6" s="1">
        <v>2023</v>
      </c>
      <c r="AW6" s="1">
        <v>31</v>
      </c>
      <c r="AX6" s="1">
        <v>2</v>
      </c>
      <c r="AY6" s="1" t="s">
        <v>1507</v>
      </c>
      <c r="AZ6" s="1" t="s">
        <v>1507</v>
      </c>
      <c r="BA6" s="1" t="s">
        <v>1507</v>
      </c>
      <c r="BB6" s="1" t="s">
        <v>1507</v>
      </c>
      <c r="BC6" s="1">
        <v>153</v>
      </c>
      <c r="BD6" s="1">
        <v>175</v>
      </c>
      <c r="BE6" s="1" t="s">
        <v>1507</v>
      </c>
      <c r="BF6" s="1" t="s">
        <v>5046</v>
      </c>
      <c r="BG6" s="1" t="str">
        <f>HYPERLINK("http://dx.doi.org/10.3366/ajicl.2023.0441","http://dx.doi.org/10.3366/ajicl.2023.0441")</f>
        <v>http://dx.doi.org/10.3366/ajicl.2023.0441</v>
      </c>
      <c r="BH6" s="1" t="s">
        <v>1507</v>
      </c>
      <c r="BI6" s="1" t="s">
        <v>1507</v>
      </c>
      <c r="BJ6" s="1">
        <v>23</v>
      </c>
      <c r="BK6" s="1" t="s">
        <v>1535</v>
      </c>
      <c r="BL6" s="1" t="s">
        <v>1529</v>
      </c>
      <c r="BM6" s="1" t="s">
        <v>1536</v>
      </c>
      <c r="BN6" s="1" t="s">
        <v>5047</v>
      </c>
      <c r="BO6" s="1" t="s">
        <v>1507</v>
      </c>
      <c r="BP6" s="1" t="s">
        <v>1507</v>
      </c>
      <c r="BQ6" s="1" t="s">
        <v>1507</v>
      </c>
      <c r="BR6" s="1" t="s">
        <v>1507</v>
      </c>
      <c r="BS6" s="1" t="s">
        <v>13744</v>
      </c>
      <c r="BT6" s="1" t="s">
        <v>5048</v>
      </c>
      <c r="BU6" s="1" t="str">
        <f>HYPERLINK("https%3A%2F%2Fwww.webofscience.com%2Fwos%2Fwoscc%2Ffull-record%2FWOS:001021931900002","View Full Record in Web of Science")</f>
        <v>View Full Record in Web of Science</v>
      </c>
    </row>
    <row r="7" spans="1:73" x14ac:dyDescent="0.25">
      <c r="A7" s="1">
        <v>6</v>
      </c>
      <c r="B7" s="1" t="s">
        <v>1506</v>
      </c>
      <c r="C7" s="1" t="s">
        <v>14690</v>
      </c>
      <c r="D7" s="1" t="s">
        <v>1507</v>
      </c>
      <c r="E7" s="1" t="s">
        <v>1507</v>
      </c>
      <c r="F7" s="1" t="s">
        <v>1507</v>
      </c>
      <c r="G7" s="1" t="s">
        <v>14691</v>
      </c>
      <c r="H7" s="1" t="s">
        <v>1507</v>
      </c>
      <c r="I7" s="1" t="s">
        <v>1507</v>
      </c>
      <c r="J7" s="1" t="s">
        <v>14692</v>
      </c>
      <c r="K7" s="1" t="s">
        <v>7141</v>
      </c>
      <c r="L7" s="1" t="s">
        <v>1507</v>
      </c>
      <c r="M7" s="1" t="s">
        <v>1507</v>
      </c>
      <c r="N7" s="1" t="s">
        <v>42</v>
      </c>
      <c r="O7" s="1" t="s">
        <v>13950</v>
      </c>
      <c r="P7" s="1" t="s">
        <v>1507</v>
      </c>
      <c r="Q7" s="1" t="s">
        <v>1507</v>
      </c>
      <c r="R7" s="1" t="s">
        <v>1507</v>
      </c>
      <c r="S7" s="1" t="s">
        <v>1507</v>
      </c>
      <c r="T7" s="1" t="s">
        <v>1507</v>
      </c>
      <c r="U7" s="1" t="s">
        <v>14693</v>
      </c>
      <c r="V7" s="1" t="s">
        <v>1507</v>
      </c>
      <c r="W7" s="1" t="s">
        <v>14694</v>
      </c>
      <c r="X7" s="1" t="s">
        <v>14695</v>
      </c>
      <c r="Y7" s="1" t="s">
        <v>14696</v>
      </c>
      <c r="Z7" s="1" t="s">
        <v>14697</v>
      </c>
      <c r="AA7" s="1" t="s">
        <v>14698</v>
      </c>
      <c r="AB7" s="1" t="s">
        <v>14699</v>
      </c>
      <c r="AC7" s="1" t="s">
        <v>14700</v>
      </c>
      <c r="AD7" s="1" t="s">
        <v>14701</v>
      </c>
      <c r="AE7" s="1" t="s">
        <v>14702</v>
      </c>
      <c r="AF7" s="1" t="s">
        <v>14703</v>
      </c>
      <c r="AG7" s="1" t="s">
        <v>1507</v>
      </c>
      <c r="AH7" s="1">
        <v>27</v>
      </c>
      <c r="AI7" s="1">
        <v>16</v>
      </c>
      <c r="AJ7" s="1">
        <v>16</v>
      </c>
      <c r="AK7" s="1">
        <v>46</v>
      </c>
      <c r="AL7" s="1">
        <v>105</v>
      </c>
      <c r="AM7" s="1" t="s">
        <v>1579</v>
      </c>
      <c r="AN7" s="1" t="s">
        <v>1580</v>
      </c>
      <c r="AO7" s="1" t="s">
        <v>1581</v>
      </c>
      <c r="AP7" s="1" t="s">
        <v>7151</v>
      </c>
      <c r="AQ7" s="1" t="s">
        <v>7152</v>
      </c>
      <c r="AR7" s="1" t="s">
        <v>1507</v>
      </c>
      <c r="AS7" s="1" t="s">
        <v>7153</v>
      </c>
      <c r="AT7" s="1" t="s">
        <v>7154</v>
      </c>
      <c r="AU7" s="1" t="s">
        <v>14704</v>
      </c>
      <c r="AV7" s="1">
        <v>2023</v>
      </c>
      <c r="AW7" s="1">
        <v>888</v>
      </c>
      <c r="AX7" s="1" t="s">
        <v>1507</v>
      </c>
      <c r="AY7" s="1" t="s">
        <v>1507</v>
      </c>
      <c r="AZ7" s="1" t="s">
        <v>1507</v>
      </c>
      <c r="BA7" s="1" t="s">
        <v>1507</v>
      </c>
      <c r="BB7" s="1" t="s">
        <v>1507</v>
      </c>
      <c r="BC7" s="1" t="s">
        <v>1507</v>
      </c>
      <c r="BD7" s="1" t="s">
        <v>1507</v>
      </c>
      <c r="BE7" s="1">
        <v>164154</v>
      </c>
      <c r="BF7" s="1" t="s">
        <v>14705</v>
      </c>
      <c r="BG7" s="1" t="str">
        <f>HYPERLINK("http://dx.doi.org/10.1016/j.scitotenv.2023.164154","http://dx.doi.org/10.1016/j.scitotenv.2023.164154")</f>
        <v>http://dx.doi.org/10.1016/j.scitotenv.2023.164154</v>
      </c>
      <c r="BH7" s="1" t="s">
        <v>1507</v>
      </c>
      <c r="BI7" s="1" t="s">
        <v>4832</v>
      </c>
      <c r="BJ7" s="1">
        <v>14</v>
      </c>
      <c r="BK7" s="1" t="s">
        <v>7038</v>
      </c>
      <c r="BL7" s="1" t="s">
        <v>1573</v>
      </c>
      <c r="BM7" s="1" t="s">
        <v>1839</v>
      </c>
      <c r="BN7" s="1" t="s">
        <v>14706</v>
      </c>
      <c r="BO7" s="1">
        <v>37201835</v>
      </c>
      <c r="BP7" s="1" t="s">
        <v>1507</v>
      </c>
      <c r="BQ7" s="1" t="s">
        <v>1507</v>
      </c>
      <c r="BR7" s="1" t="s">
        <v>1507</v>
      </c>
      <c r="BS7" s="1" t="s">
        <v>13744</v>
      </c>
      <c r="BT7" s="1" t="s">
        <v>14707</v>
      </c>
      <c r="BU7" s="1" t="str">
        <f>HYPERLINK("https%3A%2F%2Fwww.webofscience.com%2Fwos%2Fwoscc%2Ffull-record%2FWOS:001022301500001","View Full Record in Web of Science")</f>
        <v>View Full Record in Web of Science</v>
      </c>
    </row>
    <row r="8" spans="1:73" x14ac:dyDescent="0.25">
      <c r="A8" s="1">
        <v>7</v>
      </c>
      <c r="B8" s="1" t="s">
        <v>1506</v>
      </c>
      <c r="C8" s="1" t="s">
        <v>4611</v>
      </c>
      <c r="D8" s="1" t="s">
        <v>1507</v>
      </c>
      <c r="E8" s="1" t="s">
        <v>1507</v>
      </c>
      <c r="F8" s="1" t="s">
        <v>1507</v>
      </c>
      <c r="G8" s="1" t="s">
        <v>4612</v>
      </c>
      <c r="H8" s="1" t="s">
        <v>1507</v>
      </c>
      <c r="I8" s="1" t="s">
        <v>1507</v>
      </c>
      <c r="J8" s="1" t="s">
        <v>4613</v>
      </c>
      <c r="K8" s="1" t="s">
        <v>4614</v>
      </c>
      <c r="L8" s="1" t="s">
        <v>1507</v>
      </c>
      <c r="M8" s="1" t="s">
        <v>1507</v>
      </c>
      <c r="N8" s="1" t="s">
        <v>42</v>
      </c>
      <c r="O8" s="1" t="s">
        <v>56</v>
      </c>
      <c r="P8" s="1" t="s">
        <v>1507</v>
      </c>
      <c r="Q8" s="1" t="s">
        <v>1507</v>
      </c>
      <c r="R8" s="1" t="s">
        <v>1507</v>
      </c>
      <c r="S8" s="1" t="s">
        <v>1507</v>
      </c>
      <c r="T8" s="1" t="s">
        <v>1507</v>
      </c>
      <c r="U8" s="1" t="s">
        <v>4615</v>
      </c>
      <c r="V8" s="1" t="s">
        <v>4616</v>
      </c>
      <c r="W8" s="1" t="s">
        <v>4617</v>
      </c>
      <c r="X8" s="1" t="s">
        <v>4618</v>
      </c>
      <c r="Y8" s="1" t="s">
        <v>4619</v>
      </c>
      <c r="Z8" s="1" t="s">
        <v>4620</v>
      </c>
      <c r="AA8" s="1" t="s">
        <v>4621</v>
      </c>
      <c r="AB8" s="1" t="s">
        <v>14653</v>
      </c>
      <c r="AC8" s="1" t="s">
        <v>14654</v>
      </c>
      <c r="AD8" s="1" t="s">
        <v>4622</v>
      </c>
      <c r="AE8" s="1" t="s">
        <v>4623</v>
      </c>
      <c r="AF8" s="1" t="s">
        <v>4624</v>
      </c>
      <c r="AG8" s="1" t="s">
        <v>1507</v>
      </c>
      <c r="AH8" s="1">
        <v>93</v>
      </c>
      <c r="AI8" s="1">
        <v>2</v>
      </c>
      <c r="AJ8" s="1">
        <v>2</v>
      </c>
      <c r="AK8" s="1">
        <v>5</v>
      </c>
      <c r="AL8" s="1">
        <v>5</v>
      </c>
      <c r="AM8" s="1" t="s">
        <v>1511</v>
      </c>
      <c r="AN8" s="1" t="s">
        <v>1512</v>
      </c>
      <c r="AO8" s="1" t="s">
        <v>1513</v>
      </c>
      <c r="AP8" s="1" t="s">
        <v>4625</v>
      </c>
      <c r="AQ8" s="1" t="s">
        <v>4626</v>
      </c>
      <c r="AR8" s="1" t="s">
        <v>1507</v>
      </c>
      <c r="AS8" s="1" t="s">
        <v>4627</v>
      </c>
      <c r="AT8" s="1" t="s">
        <v>4628</v>
      </c>
      <c r="AU8" s="1" t="s">
        <v>4556</v>
      </c>
      <c r="AV8" s="1">
        <v>2023</v>
      </c>
      <c r="AW8" s="1">
        <v>15</v>
      </c>
      <c r="AX8" s="1">
        <v>4</v>
      </c>
      <c r="AY8" s="1" t="s">
        <v>1507</v>
      </c>
      <c r="AZ8" s="1" t="s">
        <v>1507</v>
      </c>
      <c r="BA8" s="1" t="s">
        <v>1507</v>
      </c>
      <c r="BB8" s="1" t="s">
        <v>1507</v>
      </c>
      <c r="BC8" s="1">
        <v>1391</v>
      </c>
      <c r="BD8" s="1">
        <v>1406</v>
      </c>
      <c r="BE8" s="1" t="s">
        <v>1507</v>
      </c>
      <c r="BF8" s="1" t="s">
        <v>4629</v>
      </c>
      <c r="BG8" s="1" t="str">
        <f>HYPERLINK("http://dx.doi.org/10.1007/s12559-023-10165-0","http://dx.doi.org/10.1007/s12559-023-10165-0")</f>
        <v>http://dx.doi.org/10.1007/s12559-023-10165-0</v>
      </c>
      <c r="BH8" s="1" t="s">
        <v>1507</v>
      </c>
      <c r="BI8" s="1" t="s">
        <v>4630</v>
      </c>
      <c r="BJ8" s="1">
        <v>16</v>
      </c>
      <c r="BK8" s="1" t="s">
        <v>4631</v>
      </c>
      <c r="BL8" s="1" t="s">
        <v>1573</v>
      </c>
      <c r="BM8" s="1" t="s">
        <v>4632</v>
      </c>
      <c r="BN8" s="1" t="s">
        <v>4633</v>
      </c>
      <c r="BO8" s="1" t="s">
        <v>1507</v>
      </c>
      <c r="BP8" s="1" t="s">
        <v>1507</v>
      </c>
      <c r="BQ8" s="1" t="s">
        <v>1507</v>
      </c>
      <c r="BR8" s="1" t="s">
        <v>1507</v>
      </c>
      <c r="BS8" s="1" t="s">
        <v>13744</v>
      </c>
      <c r="BT8" s="1" t="s">
        <v>4634</v>
      </c>
      <c r="BU8" s="1" t="str">
        <f>HYPERLINK("https%3A%2F%2Fwww.webofscience.com%2Fwos%2Fwoscc%2Ffull-record%2FWOS:001020154100001","View Full Record in Web of Science")</f>
        <v>View Full Record in Web of Science</v>
      </c>
    </row>
    <row r="9" spans="1:73" x14ac:dyDescent="0.25">
      <c r="A9" s="1">
        <v>8</v>
      </c>
      <c r="B9" s="1" t="s">
        <v>5546</v>
      </c>
      <c r="C9" s="1" t="s">
        <v>5547</v>
      </c>
      <c r="D9" s="1" t="s">
        <v>1507</v>
      </c>
      <c r="E9" s="1" t="s">
        <v>1507</v>
      </c>
      <c r="F9" s="1" t="s">
        <v>5548</v>
      </c>
      <c r="G9" s="1" t="s">
        <v>5549</v>
      </c>
      <c r="H9" s="1" t="s">
        <v>1507</v>
      </c>
      <c r="I9" s="1" t="s">
        <v>1507</v>
      </c>
      <c r="J9" s="1" t="s">
        <v>5550</v>
      </c>
      <c r="K9" s="1" t="s">
        <v>5551</v>
      </c>
      <c r="L9" s="1" t="s">
        <v>1507</v>
      </c>
      <c r="M9" s="1" t="s">
        <v>1507</v>
      </c>
      <c r="N9" s="1" t="s">
        <v>42</v>
      </c>
      <c r="O9" s="1" t="s">
        <v>5552</v>
      </c>
      <c r="P9" s="1" t="s">
        <v>5553</v>
      </c>
      <c r="Q9" s="1" t="s">
        <v>5554</v>
      </c>
      <c r="R9" s="1" t="s">
        <v>5555</v>
      </c>
      <c r="S9" s="1" t="s">
        <v>1507</v>
      </c>
      <c r="T9" s="1" t="s">
        <v>1507</v>
      </c>
      <c r="U9" s="1" t="s">
        <v>5556</v>
      </c>
      <c r="V9" s="1" t="s">
        <v>1507</v>
      </c>
      <c r="W9" s="1" t="s">
        <v>5557</v>
      </c>
      <c r="X9" s="1" t="s">
        <v>5558</v>
      </c>
      <c r="Y9" s="1" t="s">
        <v>5559</v>
      </c>
      <c r="Z9" s="1" t="s">
        <v>5560</v>
      </c>
      <c r="AA9" s="1" t="s">
        <v>5561</v>
      </c>
      <c r="AB9" s="1" t="s">
        <v>1507</v>
      </c>
      <c r="AC9" s="1" t="s">
        <v>14818</v>
      </c>
      <c r="AD9" s="1" t="s">
        <v>5562</v>
      </c>
      <c r="AE9" s="1" t="s">
        <v>5563</v>
      </c>
      <c r="AF9" s="1" t="s">
        <v>5564</v>
      </c>
      <c r="AG9" s="1" t="s">
        <v>1507</v>
      </c>
      <c r="AH9" s="1">
        <v>19</v>
      </c>
      <c r="AI9" s="1">
        <v>6</v>
      </c>
      <c r="AJ9" s="1">
        <v>8</v>
      </c>
      <c r="AK9" s="1">
        <v>7</v>
      </c>
      <c r="AL9" s="1">
        <v>7</v>
      </c>
      <c r="AM9" s="1" t="s">
        <v>5565</v>
      </c>
      <c r="AN9" s="1" t="s">
        <v>1512</v>
      </c>
      <c r="AO9" s="1" t="s">
        <v>5566</v>
      </c>
      <c r="AP9" s="1" t="s">
        <v>1507</v>
      </c>
      <c r="AQ9" s="1" t="s">
        <v>1507</v>
      </c>
      <c r="AR9" s="1" t="s">
        <v>5567</v>
      </c>
      <c r="AS9" s="1" t="s">
        <v>1507</v>
      </c>
      <c r="AT9" s="1" t="s">
        <v>1507</v>
      </c>
      <c r="AU9" s="1" t="s">
        <v>1507</v>
      </c>
      <c r="AV9" s="1">
        <v>2023</v>
      </c>
      <c r="AW9" s="1" t="s">
        <v>1507</v>
      </c>
      <c r="AX9" s="1" t="s">
        <v>1507</v>
      </c>
      <c r="AY9" s="1" t="s">
        <v>1507</v>
      </c>
      <c r="AZ9" s="1" t="s">
        <v>1507</v>
      </c>
      <c r="BA9" s="1" t="s">
        <v>1507</v>
      </c>
      <c r="BB9" s="1" t="s">
        <v>1507</v>
      </c>
      <c r="BC9" s="1">
        <v>279</v>
      </c>
      <c r="BD9" s="1">
        <v>285</v>
      </c>
      <c r="BE9" s="1" t="s">
        <v>1507</v>
      </c>
      <c r="BF9" s="1" t="s">
        <v>5568</v>
      </c>
      <c r="BG9" s="1" t="str">
        <f>HYPERLINK("http://dx.doi.org/10.1145/3593434.3593468","http://dx.doi.org/10.1145/3593434.3593468")</f>
        <v>http://dx.doi.org/10.1145/3593434.3593468</v>
      </c>
      <c r="BH9" s="1" t="s">
        <v>1507</v>
      </c>
      <c r="BI9" s="1" t="s">
        <v>1507</v>
      </c>
      <c r="BJ9" s="1">
        <v>7</v>
      </c>
      <c r="BK9" s="1" t="s">
        <v>5569</v>
      </c>
      <c r="BL9" s="1" t="s">
        <v>5570</v>
      </c>
      <c r="BM9" s="1" t="s">
        <v>1577</v>
      </c>
      <c r="BN9" s="1" t="s">
        <v>5571</v>
      </c>
      <c r="BO9" s="1" t="s">
        <v>1507</v>
      </c>
      <c r="BP9" s="1" t="s">
        <v>9343</v>
      </c>
      <c r="BQ9" s="1" t="s">
        <v>1507</v>
      </c>
      <c r="BR9" s="1" t="s">
        <v>1507</v>
      </c>
      <c r="BS9" s="1" t="s">
        <v>13744</v>
      </c>
      <c r="BT9" s="1" t="s">
        <v>5572</v>
      </c>
      <c r="BU9" s="1" t="str">
        <f>HYPERLINK("https%3A%2F%2Fwww.webofscience.com%2Fwos%2Fwoscc%2Ffull-record%2FWOS:001112128800039","View Full Record in Web of Science")</f>
        <v>View Full Record in Web of Science</v>
      </c>
    </row>
    <row r="10" spans="1:73" x14ac:dyDescent="0.25">
      <c r="A10" s="1">
        <v>9</v>
      </c>
      <c r="B10" s="1" t="s">
        <v>1506</v>
      </c>
      <c r="C10" s="1" t="s">
        <v>7626</v>
      </c>
      <c r="D10" s="1" t="s">
        <v>1507</v>
      </c>
      <c r="E10" s="1" t="s">
        <v>1507</v>
      </c>
      <c r="F10" s="1" t="s">
        <v>1507</v>
      </c>
      <c r="G10" s="1" t="s">
        <v>7627</v>
      </c>
      <c r="H10" s="1" t="s">
        <v>1507</v>
      </c>
      <c r="I10" s="1" t="s">
        <v>1507</v>
      </c>
      <c r="J10" s="1" t="s">
        <v>7628</v>
      </c>
      <c r="K10" s="1" t="s">
        <v>7629</v>
      </c>
      <c r="L10" s="1" t="s">
        <v>1507</v>
      </c>
      <c r="M10" s="1" t="s">
        <v>1507</v>
      </c>
      <c r="N10" s="1" t="s">
        <v>42</v>
      </c>
      <c r="O10" s="1" t="s">
        <v>56</v>
      </c>
      <c r="P10" s="1" t="s">
        <v>1507</v>
      </c>
      <c r="Q10" s="1" t="s">
        <v>1507</v>
      </c>
      <c r="R10" s="1" t="s">
        <v>1507</v>
      </c>
      <c r="S10" s="1" t="s">
        <v>1507</v>
      </c>
      <c r="T10" s="1" t="s">
        <v>1507</v>
      </c>
      <c r="U10" s="1" t="s">
        <v>7630</v>
      </c>
      <c r="V10" s="1" t="s">
        <v>7631</v>
      </c>
      <c r="W10" s="1" t="s">
        <v>7632</v>
      </c>
      <c r="X10" s="1" t="s">
        <v>7633</v>
      </c>
      <c r="Y10" s="1" t="s">
        <v>7634</v>
      </c>
      <c r="Z10" s="1" t="s">
        <v>7635</v>
      </c>
      <c r="AA10" s="1" t="s">
        <v>7636</v>
      </c>
      <c r="AB10" s="1" t="s">
        <v>15666</v>
      </c>
      <c r="AC10" s="1" t="s">
        <v>15667</v>
      </c>
      <c r="AD10" s="1" t="s">
        <v>7637</v>
      </c>
      <c r="AE10" s="1" t="s">
        <v>7637</v>
      </c>
      <c r="AF10" s="1" t="s">
        <v>7638</v>
      </c>
      <c r="AG10" s="1" t="s">
        <v>1507</v>
      </c>
      <c r="AH10" s="1">
        <v>35</v>
      </c>
      <c r="AI10" s="1">
        <v>4</v>
      </c>
      <c r="AJ10" s="1">
        <v>4</v>
      </c>
      <c r="AK10" s="1">
        <v>1</v>
      </c>
      <c r="AL10" s="1">
        <v>4</v>
      </c>
      <c r="AM10" s="1" t="s">
        <v>1532</v>
      </c>
      <c r="AN10" s="1" t="s">
        <v>1533</v>
      </c>
      <c r="AO10" s="1" t="s">
        <v>1534</v>
      </c>
      <c r="AP10" s="1" t="s">
        <v>7639</v>
      </c>
      <c r="AQ10" s="1" t="s">
        <v>7640</v>
      </c>
      <c r="AR10" s="1" t="s">
        <v>1507</v>
      </c>
      <c r="AS10" s="1" t="s">
        <v>7641</v>
      </c>
      <c r="AT10" s="1" t="s">
        <v>7642</v>
      </c>
      <c r="AU10" s="1" t="s">
        <v>3992</v>
      </c>
      <c r="AV10" s="1">
        <v>2022</v>
      </c>
      <c r="AW10" s="1">
        <v>8</v>
      </c>
      <c r="AX10" s="1">
        <v>3</v>
      </c>
      <c r="AY10" s="1" t="s">
        <v>1507</v>
      </c>
      <c r="AZ10" s="1" t="s">
        <v>1507</v>
      </c>
      <c r="BA10" s="1" t="s">
        <v>1507</v>
      </c>
      <c r="BB10" s="1" t="s">
        <v>1507</v>
      </c>
      <c r="BC10" s="1">
        <v>4075</v>
      </c>
      <c r="BD10" s="1">
        <v>4091</v>
      </c>
      <c r="BE10" s="1" t="s">
        <v>1507</v>
      </c>
      <c r="BF10" s="1" t="s">
        <v>7643</v>
      </c>
      <c r="BG10" s="1" t="str">
        <f>HYPERLINK("http://dx.doi.org/10.1007/s40808-021-01292-4","http://dx.doi.org/10.1007/s40808-021-01292-4")</f>
        <v>http://dx.doi.org/10.1007/s40808-021-01292-4</v>
      </c>
      <c r="BH10" s="1" t="s">
        <v>1507</v>
      </c>
      <c r="BI10" s="1" t="s">
        <v>7623</v>
      </c>
      <c r="BJ10" s="1">
        <v>17</v>
      </c>
      <c r="BK10" s="1" t="s">
        <v>7038</v>
      </c>
      <c r="BL10" s="1" t="s">
        <v>1529</v>
      </c>
      <c r="BM10" s="1" t="s">
        <v>1839</v>
      </c>
      <c r="BN10" s="1" t="s">
        <v>7644</v>
      </c>
      <c r="BO10" s="1" t="s">
        <v>1507</v>
      </c>
      <c r="BP10" s="1" t="s">
        <v>1507</v>
      </c>
      <c r="BQ10" s="1" t="s">
        <v>1507</v>
      </c>
      <c r="BR10" s="1" t="s">
        <v>1507</v>
      </c>
      <c r="BS10" s="1" t="s">
        <v>13744</v>
      </c>
      <c r="BT10" s="1" t="s">
        <v>7645</v>
      </c>
      <c r="BU10" s="1" t="str">
        <f>HYPERLINK("https%3A%2F%2Fwww.webofscience.com%2Fwos%2Fwoscc%2Ffull-record%2FWOS:000744438500001","View Full Record in Web of Science")</f>
        <v>View Full Record in Web of Science</v>
      </c>
    </row>
    <row r="11" spans="1:73" x14ac:dyDescent="0.25">
      <c r="A11" s="1">
        <v>10</v>
      </c>
      <c r="B11" s="1" t="s">
        <v>1506</v>
      </c>
      <c r="C11" s="1" t="s">
        <v>7510</v>
      </c>
      <c r="D11" s="1" t="s">
        <v>1507</v>
      </c>
      <c r="E11" s="1" t="s">
        <v>1507</v>
      </c>
      <c r="F11" s="1" t="s">
        <v>1507</v>
      </c>
      <c r="G11" s="1" t="s">
        <v>7511</v>
      </c>
      <c r="H11" s="1" t="s">
        <v>1507</v>
      </c>
      <c r="I11" s="1" t="s">
        <v>1507</v>
      </c>
      <c r="J11" s="1" t="s">
        <v>7512</v>
      </c>
      <c r="K11" s="1" t="s">
        <v>7513</v>
      </c>
      <c r="L11" s="1" t="s">
        <v>1507</v>
      </c>
      <c r="M11" s="1" t="s">
        <v>1507</v>
      </c>
      <c r="N11" s="1" t="s">
        <v>42</v>
      </c>
      <c r="O11" s="1" t="s">
        <v>56</v>
      </c>
      <c r="P11" s="1" t="s">
        <v>1507</v>
      </c>
      <c r="Q11" s="1" t="s">
        <v>1507</v>
      </c>
      <c r="R11" s="1" t="s">
        <v>1507</v>
      </c>
      <c r="S11" s="1" t="s">
        <v>1507</v>
      </c>
      <c r="T11" s="1" t="s">
        <v>1507</v>
      </c>
      <c r="U11" s="1" t="s">
        <v>1507</v>
      </c>
      <c r="V11" s="1" t="s">
        <v>1507</v>
      </c>
      <c r="W11" s="1" t="s">
        <v>7514</v>
      </c>
      <c r="X11" s="1" t="s">
        <v>7515</v>
      </c>
      <c r="Y11" s="1" t="s">
        <v>7516</v>
      </c>
      <c r="Z11" s="1" t="s">
        <v>7517</v>
      </c>
      <c r="AA11" s="1" t="s">
        <v>7518</v>
      </c>
      <c r="AB11" s="1" t="s">
        <v>7519</v>
      </c>
      <c r="AC11" s="1" t="s">
        <v>7520</v>
      </c>
      <c r="AD11" s="1" t="s">
        <v>7521</v>
      </c>
      <c r="AE11" s="1" t="s">
        <v>7522</v>
      </c>
      <c r="AF11" s="1" t="s">
        <v>7523</v>
      </c>
      <c r="AG11" s="1" t="s">
        <v>1507</v>
      </c>
      <c r="AH11" s="1">
        <v>28</v>
      </c>
      <c r="AI11" s="1">
        <v>4</v>
      </c>
      <c r="AJ11" s="1">
        <v>4</v>
      </c>
      <c r="AK11" s="1">
        <v>9</v>
      </c>
      <c r="AL11" s="1">
        <v>26</v>
      </c>
      <c r="AM11" s="1" t="s">
        <v>7524</v>
      </c>
      <c r="AN11" s="1" t="s">
        <v>7525</v>
      </c>
      <c r="AO11" s="1" t="s">
        <v>7526</v>
      </c>
      <c r="AP11" s="1" t="s">
        <v>7527</v>
      </c>
      <c r="AQ11" s="1" t="s">
        <v>7528</v>
      </c>
      <c r="AR11" s="1" t="s">
        <v>1507</v>
      </c>
      <c r="AS11" s="1" t="s">
        <v>7529</v>
      </c>
      <c r="AT11" s="1" t="s">
        <v>7530</v>
      </c>
      <c r="AU11" s="1" t="s">
        <v>5424</v>
      </c>
      <c r="AV11" s="1">
        <v>2022</v>
      </c>
      <c r="AW11" s="1">
        <v>131</v>
      </c>
      <c r="AX11" s="1">
        <v>6</v>
      </c>
      <c r="AY11" s="1" t="s">
        <v>1507</v>
      </c>
      <c r="AZ11" s="1" t="s">
        <v>1507</v>
      </c>
      <c r="BA11" s="1" t="s">
        <v>1507</v>
      </c>
      <c r="BB11" s="1" t="s">
        <v>1507</v>
      </c>
      <c r="BC11" s="1" t="s">
        <v>1507</v>
      </c>
      <c r="BD11" s="1" t="s">
        <v>1507</v>
      </c>
      <c r="BE11" s="1">
        <v>65103</v>
      </c>
      <c r="BF11" s="1" t="s">
        <v>7531</v>
      </c>
      <c r="BG11" s="1" t="str">
        <f>HYPERLINK("http://dx.doi.org/10.1063/5.0082085","http://dx.doi.org/10.1063/5.0082085")</f>
        <v>http://dx.doi.org/10.1063/5.0082085</v>
      </c>
      <c r="BH11" s="1" t="s">
        <v>1507</v>
      </c>
      <c r="BI11" s="1" t="s">
        <v>1507</v>
      </c>
      <c r="BJ11" s="1">
        <v>11</v>
      </c>
      <c r="BK11" s="1" t="s">
        <v>7532</v>
      </c>
      <c r="BL11" s="1" t="s">
        <v>1573</v>
      </c>
      <c r="BM11" s="1" t="s">
        <v>2104</v>
      </c>
      <c r="BN11" s="1" t="s">
        <v>7533</v>
      </c>
      <c r="BO11" s="1" t="s">
        <v>1507</v>
      </c>
      <c r="BP11" s="1" t="s">
        <v>1537</v>
      </c>
      <c r="BQ11" s="1" t="s">
        <v>1507</v>
      </c>
      <c r="BR11" s="1" t="s">
        <v>1507</v>
      </c>
      <c r="BS11" s="1" t="s">
        <v>13744</v>
      </c>
      <c r="BT11" s="1" t="s">
        <v>7534</v>
      </c>
      <c r="BU11" s="1" t="str">
        <f>HYPERLINK("https%3A%2F%2Fwww.webofscience.com%2Fwos%2Fwoscc%2Ffull-record%2FWOS:000755065500004","View Full Record in Web of Science")</f>
        <v>View Full Record in Web of Science</v>
      </c>
    </row>
    <row r="12" spans="1:73" x14ac:dyDescent="0.25">
      <c r="A12" s="1">
        <v>11</v>
      </c>
      <c r="B12" s="1" t="s">
        <v>1506</v>
      </c>
      <c r="C12" s="1" t="s">
        <v>3979</v>
      </c>
      <c r="D12" s="1" t="s">
        <v>1507</v>
      </c>
      <c r="E12" s="1" t="s">
        <v>1507</v>
      </c>
      <c r="F12" s="1" t="s">
        <v>1507</v>
      </c>
      <c r="G12" s="1" t="s">
        <v>3980</v>
      </c>
      <c r="H12" s="1" t="s">
        <v>1507</v>
      </c>
      <c r="I12" s="1" t="s">
        <v>1507</v>
      </c>
      <c r="J12" s="1" t="s">
        <v>3981</v>
      </c>
      <c r="K12" s="1" t="s">
        <v>3982</v>
      </c>
      <c r="L12" s="1" t="s">
        <v>1507</v>
      </c>
      <c r="M12" s="1" t="s">
        <v>1507</v>
      </c>
      <c r="N12" s="1" t="s">
        <v>42</v>
      </c>
      <c r="O12" s="1" t="s">
        <v>56</v>
      </c>
      <c r="P12" s="1" t="s">
        <v>1507</v>
      </c>
      <c r="Q12" s="1" t="s">
        <v>1507</v>
      </c>
      <c r="R12" s="1" t="s">
        <v>1507</v>
      </c>
      <c r="S12" s="1" t="s">
        <v>1507</v>
      </c>
      <c r="T12" s="1" t="s">
        <v>1507</v>
      </c>
      <c r="U12" s="1" t="s">
        <v>420</v>
      </c>
      <c r="V12" s="1" t="s">
        <v>1507</v>
      </c>
      <c r="W12" s="1" t="s">
        <v>3983</v>
      </c>
      <c r="X12" s="1" t="s">
        <v>3984</v>
      </c>
      <c r="Y12" s="1" t="s">
        <v>3985</v>
      </c>
      <c r="Z12" s="1" t="s">
        <v>3986</v>
      </c>
      <c r="AA12" s="1" t="s">
        <v>3987</v>
      </c>
      <c r="AB12" s="1" t="s">
        <v>1507</v>
      </c>
      <c r="AC12" s="1" t="s">
        <v>3988</v>
      </c>
      <c r="AD12" s="1" t="s">
        <v>3989</v>
      </c>
      <c r="AE12" s="1" t="s">
        <v>3989</v>
      </c>
      <c r="AF12" s="1" t="s">
        <v>3989</v>
      </c>
      <c r="AG12" s="1" t="s">
        <v>1507</v>
      </c>
      <c r="AH12" s="1">
        <v>40</v>
      </c>
      <c r="AI12" s="1">
        <v>3</v>
      </c>
      <c r="AJ12" s="1">
        <v>3</v>
      </c>
      <c r="AK12" s="1">
        <v>66</v>
      </c>
      <c r="AL12" s="1">
        <v>66</v>
      </c>
      <c r="AM12" s="1" t="s">
        <v>1610</v>
      </c>
      <c r="AN12" s="1" t="s">
        <v>1611</v>
      </c>
      <c r="AO12" s="1" t="s">
        <v>1612</v>
      </c>
      <c r="AP12" s="1" t="s">
        <v>1507</v>
      </c>
      <c r="AQ12" s="1" t="s">
        <v>3990</v>
      </c>
      <c r="AR12" s="1" t="s">
        <v>1507</v>
      </c>
      <c r="AS12" s="1" t="s">
        <v>3991</v>
      </c>
      <c r="AT12" s="1" t="s">
        <v>421</v>
      </c>
      <c r="AU12" s="1" t="s">
        <v>3992</v>
      </c>
      <c r="AV12" s="1">
        <v>2023</v>
      </c>
      <c r="AW12" s="1">
        <v>13</v>
      </c>
      <c r="AX12" s="1">
        <v>9</v>
      </c>
      <c r="AY12" s="1" t="s">
        <v>1507</v>
      </c>
      <c r="AZ12" s="1" t="s">
        <v>1507</v>
      </c>
      <c r="BA12" s="1" t="s">
        <v>1507</v>
      </c>
      <c r="BB12" s="1" t="s">
        <v>1507</v>
      </c>
      <c r="BC12" s="1" t="s">
        <v>1507</v>
      </c>
      <c r="BD12" s="1" t="s">
        <v>1507</v>
      </c>
      <c r="BE12" s="1">
        <v>885</v>
      </c>
      <c r="BF12" s="1" t="s">
        <v>417</v>
      </c>
      <c r="BG12" s="1" t="str">
        <f>HYPERLINK("http://dx.doi.org/10.3390/educsci13090885","http://dx.doi.org/10.3390/educsci13090885")</f>
        <v>http://dx.doi.org/10.3390/educsci13090885</v>
      </c>
      <c r="BH12" s="1" t="s">
        <v>1507</v>
      </c>
      <c r="BI12" s="1" t="s">
        <v>1507</v>
      </c>
      <c r="BJ12" s="1">
        <v>19</v>
      </c>
      <c r="BK12" s="1" t="s">
        <v>1558</v>
      </c>
      <c r="BL12" s="1" t="s">
        <v>1529</v>
      </c>
      <c r="BM12" s="1" t="s">
        <v>1558</v>
      </c>
      <c r="BN12" s="1" t="s">
        <v>3993</v>
      </c>
      <c r="BO12" s="1" t="s">
        <v>1507</v>
      </c>
      <c r="BP12" s="1" t="s">
        <v>1547</v>
      </c>
      <c r="BQ12" s="1" t="s">
        <v>1507</v>
      </c>
      <c r="BR12" s="1" t="s">
        <v>1507</v>
      </c>
      <c r="BS12" s="1" t="s">
        <v>13744</v>
      </c>
      <c r="BT12" s="1" t="s">
        <v>3994</v>
      </c>
      <c r="BU12" s="1" t="str">
        <f>HYPERLINK("https%3A%2F%2Fwww.webofscience.com%2Fwos%2Fwoscc%2Ffull-record%2FWOS:001074344200001","View Full Record in Web of Science")</f>
        <v>View Full Record in Web of Science</v>
      </c>
    </row>
    <row r="13" spans="1:73" x14ac:dyDescent="0.25">
      <c r="A13" s="1">
        <v>12</v>
      </c>
      <c r="B13" s="1" t="s">
        <v>5546</v>
      </c>
      <c r="C13" s="1" t="s">
        <v>5573</v>
      </c>
      <c r="D13" s="1" t="s">
        <v>1507</v>
      </c>
      <c r="E13" s="1" t="s">
        <v>1507</v>
      </c>
      <c r="F13" s="1" t="s">
        <v>5548</v>
      </c>
      <c r="G13" s="1" t="s">
        <v>5574</v>
      </c>
      <c r="H13" s="1" t="s">
        <v>1507</v>
      </c>
      <c r="I13" s="1" t="s">
        <v>1507</v>
      </c>
      <c r="J13" s="1" t="s">
        <v>5575</v>
      </c>
      <c r="K13" s="1" t="s">
        <v>5576</v>
      </c>
      <c r="L13" s="1" t="s">
        <v>1507</v>
      </c>
      <c r="M13" s="1" t="s">
        <v>1507</v>
      </c>
      <c r="N13" s="1" t="s">
        <v>42</v>
      </c>
      <c r="O13" s="1" t="s">
        <v>5552</v>
      </c>
      <c r="P13" s="1" t="s">
        <v>5577</v>
      </c>
      <c r="Q13" s="1" t="s">
        <v>5578</v>
      </c>
      <c r="R13" s="1" t="s">
        <v>5579</v>
      </c>
      <c r="S13" s="1" t="s">
        <v>5580</v>
      </c>
      <c r="T13" s="1" t="s">
        <v>1507</v>
      </c>
      <c r="U13" s="1" t="s">
        <v>5581</v>
      </c>
      <c r="V13" s="1" t="s">
        <v>1507</v>
      </c>
      <c r="W13" s="1" t="s">
        <v>5582</v>
      </c>
      <c r="X13" s="1" t="s">
        <v>5583</v>
      </c>
      <c r="Y13" s="1" t="s">
        <v>5584</v>
      </c>
      <c r="Z13" s="1" t="s">
        <v>5585</v>
      </c>
      <c r="AA13" s="1" t="s">
        <v>5586</v>
      </c>
      <c r="AB13" s="1" t="s">
        <v>1507</v>
      </c>
      <c r="AC13" s="1" t="s">
        <v>14819</v>
      </c>
      <c r="AD13" s="1" t="s">
        <v>5587</v>
      </c>
      <c r="AE13" s="1" t="s">
        <v>5588</v>
      </c>
      <c r="AF13" s="1" t="s">
        <v>5589</v>
      </c>
      <c r="AG13" s="1" t="s">
        <v>1507</v>
      </c>
      <c r="AH13" s="1">
        <v>22</v>
      </c>
      <c r="AI13" s="1">
        <v>1</v>
      </c>
      <c r="AJ13" s="1">
        <v>1</v>
      </c>
      <c r="AK13" s="1">
        <v>2</v>
      </c>
      <c r="AL13" s="1">
        <v>2</v>
      </c>
      <c r="AM13" s="1" t="s">
        <v>5565</v>
      </c>
      <c r="AN13" s="1" t="s">
        <v>1512</v>
      </c>
      <c r="AO13" s="1" t="s">
        <v>5566</v>
      </c>
      <c r="AP13" s="1" t="s">
        <v>1507</v>
      </c>
      <c r="AQ13" s="1" t="s">
        <v>1507</v>
      </c>
      <c r="AR13" s="1" t="s">
        <v>5590</v>
      </c>
      <c r="AS13" s="1" t="s">
        <v>1507</v>
      </c>
      <c r="AT13" s="1" t="s">
        <v>1507</v>
      </c>
      <c r="AU13" s="1" t="s">
        <v>1507</v>
      </c>
      <c r="AV13" s="1">
        <v>2023</v>
      </c>
      <c r="AW13" s="1" t="s">
        <v>1507</v>
      </c>
      <c r="AX13" s="1" t="s">
        <v>1507</v>
      </c>
      <c r="AY13" s="1" t="s">
        <v>1507</v>
      </c>
      <c r="AZ13" s="1" t="s">
        <v>1507</v>
      </c>
      <c r="BA13" s="1" t="s">
        <v>1507</v>
      </c>
      <c r="BB13" s="1" t="s">
        <v>1507</v>
      </c>
      <c r="BC13" s="1">
        <v>1869</v>
      </c>
      <c r="BD13" s="1">
        <v>1873</v>
      </c>
      <c r="BE13" s="1" t="s">
        <v>1507</v>
      </c>
      <c r="BF13" s="1" t="s">
        <v>5591</v>
      </c>
      <c r="BG13" s="1" t="str">
        <f>HYPERLINK("http://dx.doi.org/10.1145/3539618.3591960","http://dx.doi.org/10.1145/3539618.3591960")</f>
        <v>http://dx.doi.org/10.1145/3539618.3591960</v>
      </c>
      <c r="BH13" s="1" t="s">
        <v>1507</v>
      </c>
      <c r="BI13" s="1" t="s">
        <v>1507</v>
      </c>
      <c r="BJ13" s="1">
        <v>5</v>
      </c>
      <c r="BK13" s="1" t="s">
        <v>5160</v>
      </c>
      <c r="BL13" s="1" t="s">
        <v>5570</v>
      </c>
      <c r="BM13" s="1" t="s">
        <v>1577</v>
      </c>
      <c r="BN13" s="1" t="s">
        <v>5592</v>
      </c>
      <c r="BO13" s="1" t="s">
        <v>1507</v>
      </c>
      <c r="BP13" s="1" t="s">
        <v>1507</v>
      </c>
      <c r="BQ13" s="1" t="s">
        <v>1507</v>
      </c>
      <c r="BR13" s="1" t="s">
        <v>1507</v>
      </c>
      <c r="BS13" s="1" t="s">
        <v>13744</v>
      </c>
      <c r="BT13" s="1" t="s">
        <v>5593</v>
      </c>
      <c r="BU13" s="1" t="str">
        <f>HYPERLINK("https%3A%2F%2Fwww.webofscience.com%2Fwos%2Fwoscc%2Ffull-record%2FWOS:001118084001102","View Full Record in Web of Science")</f>
        <v>View Full Record in Web of Science</v>
      </c>
    </row>
    <row r="14" spans="1:73" x14ac:dyDescent="0.25">
      <c r="A14" s="1">
        <v>13</v>
      </c>
      <c r="B14" s="1" t="s">
        <v>5546</v>
      </c>
      <c r="C14" s="1" t="s">
        <v>5594</v>
      </c>
      <c r="D14" s="1" t="s">
        <v>1507</v>
      </c>
      <c r="E14" s="1" t="s">
        <v>1507</v>
      </c>
      <c r="F14" s="1" t="s">
        <v>5548</v>
      </c>
      <c r="G14" s="1" t="s">
        <v>5595</v>
      </c>
      <c r="H14" s="1" t="s">
        <v>1507</v>
      </c>
      <c r="I14" s="1" t="s">
        <v>1507</v>
      </c>
      <c r="J14" s="1" t="s">
        <v>5596</v>
      </c>
      <c r="K14" s="1" t="s">
        <v>5576</v>
      </c>
      <c r="L14" s="1" t="s">
        <v>1507</v>
      </c>
      <c r="M14" s="1" t="s">
        <v>1507</v>
      </c>
      <c r="N14" s="1" t="s">
        <v>42</v>
      </c>
      <c r="O14" s="1" t="s">
        <v>5552</v>
      </c>
      <c r="P14" s="1" t="s">
        <v>5577</v>
      </c>
      <c r="Q14" s="1" t="s">
        <v>5578</v>
      </c>
      <c r="R14" s="1" t="s">
        <v>5579</v>
      </c>
      <c r="S14" s="1" t="s">
        <v>5580</v>
      </c>
      <c r="T14" s="1" t="s">
        <v>1507</v>
      </c>
      <c r="U14" s="1" t="s">
        <v>5597</v>
      </c>
      <c r="V14" s="1" t="s">
        <v>1507</v>
      </c>
      <c r="W14" s="1" t="s">
        <v>5598</v>
      </c>
      <c r="X14" s="1" t="s">
        <v>5599</v>
      </c>
      <c r="Y14" s="1" t="s">
        <v>5600</v>
      </c>
      <c r="Z14" s="1" t="s">
        <v>5601</v>
      </c>
      <c r="AA14" s="1" t="s">
        <v>5602</v>
      </c>
      <c r="AB14" s="1" t="s">
        <v>14820</v>
      </c>
      <c r="AC14" s="1" t="s">
        <v>14821</v>
      </c>
      <c r="AD14" s="1" t="s">
        <v>5603</v>
      </c>
      <c r="AE14" s="1" t="s">
        <v>5603</v>
      </c>
      <c r="AF14" s="1" t="s">
        <v>5604</v>
      </c>
      <c r="AG14" s="1" t="s">
        <v>1507</v>
      </c>
      <c r="AH14" s="1">
        <v>59</v>
      </c>
      <c r="AI14" s="1">
        <v>0</v>
      </c>
      <c r="AJ14" s="1">
        <v>0</v>
      </c>
      <c r="AK14" s="1">
        <v>1</v>
      </c>
      <c r="AL14" s="1">
        <v>1</v>
      </c>
      <c r="AM14" s="1" t="s">
        <v>5565</v>
      </c>
      <c r="AN14" s="1" t="s">
        <v>1512</v>
      </c>
      <c r="AO14" s="1" t="s">
        <v>5566</v>
      </c>
      <c r="AP14" s="1" t="s">
        <v>1507</v>
      </c>
      <c r="AQ14" s="1" t="s">
        <v>1507</v>
      </c>
      <c r="AR14" s="1" t="s">
        <v>5590</v>
      </c>
      <c r="AS14" s="1" t="s">
        <v>1507</v>
      </c>
      <c r="AT14" s="1" t="s">
        <v>1507</v>
      </c>
      <c r="AU14" s="1" t="s">
        <v>1507</v>
      </c>
      <c r="AV14" s="1">
        <v>2023</v>
      </c>
      <c r="AW14" s="1" t="s">
        <v>1507</v>
      </c>
      <c r="AX14" s="1" t="s">
        <v>1507</v>
      </c>
      <c r="AY14" s="1" t="s">
        <v>1507</v>
      </c>
      <c r="AZ14" s="1" t="s">
        <v>1507</v>
      </c>
      <c r="BA14" s="1" t="s">
        <v>1507</v>
      </c>
      <c r="BB14" s="1" t="s">
        <v>1507</v>
      </c>
      <c r="BC14" s="1">
        <v>3075</v>
      </c>
      <c r="BD14" s="1">
        <v>3085</v>
      </c>
      <c r="BE14" s="1" t="s">
        <v>1507</v>
      </c>
      <c r="BF14" s="1" t="s">
        <v>5605</v>
      </c>
      <c r="BG14" s="1" t="str">
        <f>HYPERLINK("http://dx.doi.org/10.1145/3539618.3591913","http://dx.doi.org/10.1145/3539618.3591913")</f>
        <v>http://dx.doi.org/10.1145/3539618.3591913</v>
      </c>
      <c r="BH14" s="1" t="s">
        <v>1507</v>
      </c>
      <c r="BI14" s="1" t="s">
        <v>1507</v>
      </c>
      <c r="BJ14" s="1">
        <v>11</v>
      </c>
      <c r="BK14" s="1" t="s">
        <v>5160</v>
      </c>
      <c r="BL14" s="1" t="s">
        <v>5570</v>
      </c>
      <c r="BM14" s="1" t="s">
        <v>1577</v>
      </c>
      <c r="BN14" s="1" t="s">
        <v>5592</v>
      </c>
      <c r="BO14" s="1" t="s">
        <v>1507</v>
      </c>
      <c r="BP14" s="1" t="s">
        <v>1507</v>
      </c>
      <c r="BQ14" s="1" t="s">
        <v>1507</v>
      </c>
      <c r="BR14" s="1" t="s">
        <v>1507</v>
      </c>
      <c r="BS14" s="1" t="s">
        <v>13744</v>
      </c>
      <c r="BT14" s="1" t="s">
        <v>5606</v>
      </c>
      <c r="BU14" s="1" t="str">
        <f>HYPERLINK("https%3A%2F%2Fwww.webofscience.com%2Fwos%2Fwoscc%2Ffull-record%2FWOS:001118084003012","View Full Record in Web of Science")</f>
        <v>View Full Record in Web of Science</v>
      </c>
    </row>
    <row r="15" spans="1:73" x14ac:dyDescent="0.25">
      <c r="A15" s="1">
        <v>14</v>
      </c>
      <c r="B15" s="1" t="s">
        <v>5546</v>
      </c>
      <c r="C15" s="1" t="s">
        <v>7646</v>
      </c>
      <c r="D15" s="1" t="s">
        <v>1507</v>
      </c>
      <c r="E15" s="1" t="s">
        <v>1507</v>
      </c>
      <c r="F15" s="1" t="s">
        <v>7647</v>
      </c>
      <c r="G15" s="1" t="s">
        <v>7648</v>
      </c>
      <c r="H15" s="1" t="s">
        <v>1507</v>
      </c>
      <c r="I15" s="1" t="s">
        <v>1507</v>
      </c>
      <c r="J15" s="1" t="s">
        <v>7649</v>
      </c>
      <c r="K15" s="1" t="s">
        <v>7650</v>
      </c>
      <c r="L15" s="1" t="s">
        <v>1507</v>
      </c>
      <c r="M15" s="1" t="s">
        <v>1507</v>
      </c>
      <c r="N15" s="1" t="s">
        <v>42</v>
      </c>
      <c r="O15" s="1" t="s">
        <v>5552</v>
      </c>
      <c r="P15" s="1" t="s">
        <v>7651</v>
      </c>
      <c r="Q15" s="1" t="s">
        <v>7652</v>
      </c>
      <c r="R15" s="1" t="s">
        <v>7653</v>
      </c>
      <c r="S15" s="1" t="s">
        <v>7654</v>
      </c>
      <c r="T15" s="1" t="s">
        <v>1507</v>
      </c>
      <c r="U15" s="1" t="s">
        <v>1507</v>
      </c>
      <c r="V15" s="1" t="s">
        <v>1507</v>
      </c>
      <c r="W15" s="1" t="s">
        <v>7655</v>
      </c>
      <c r="X15" s="1" t="s">
        <v>7656</v>
      </c>
      <c r="Y15" s="1" t="s">
        <v>7657</v>
      </c>
      <c r="Z15" s="1" t="s">
        <v>7658</v>
      </c>
      <c r="AA15" s="1" t="s">
        <v>7659</v>
      </c>
      <c r="AB15" s="1" t="s">
        <v>1507</v>
      </c>
      <c r="AC15" s="1" t="s">
        <v>1507</v>
      </c>
      <c r="AD15" s="1" t="s">
        <v>7660</v>
      </c>
      <c r="AE15" s="1" t="s">
        <v>7661</v>
      </c>
      <c r="AF15" s="1" t="s">
        <v>7662</v>
      </c>
      <c r="AG15" s="1" t="s">
        <v>1507</v>
      </c>
      <c r="AH15" s="1">
        <v>8</v>
      </c>
      <c r="AI15" s="1">
        <v>0</v>
      </c>
      <c r="AJ15" s="1">
        <v>0</v>
      </c>
      <c r="AK15" s="1">
        <v>0</v>
      </c>
      <c r="AL15" s="1">
        <v>1</v>
      </c>
      <c r="AM15" s="1" t="s">
        <v>7663</v>
      </c>
      <c r="AN15" s="1" t="s">
        <v>7664</v>
      </c>
      <c r="AO15" s="1" t="s">
        <v>7665</v>
      </c>
      <c r="AP15" s="1" t="s">
        <v>1507</v>
      </c>
      <c r="AQ15" s="1" t="s">
        <v>1507</v>
      </c>
      <c r="AR15" s="1" t="s">
        <v>7666</v>
      </c>
      <c r="AS15" s="1" t="s">
        <v>1507</v>
      </c>
      <c r="AT15" s="1" t="s">
        <v>1507</v>
      </c>
      <c r="AU15" s="1" t="s">
        <v>1507</v>
      </c>
      <c r="AV15" s="1">
        <v>2022</v>
      </c>
      <c r="AW15" s="1" t="s">
        <v>1507</v>
      </c>
      <c r="AX15" s="1" t="s">
        <v>1507</v>
      </c>
      <c r="AY15" s="1" t="s">
        <v>1507</v>
      </c>
      <c r="AZ15" s="1" t="s">
        <v>1507</v>
      </c>
      <c r="BA15" s="1" t="s">
        <v>1507</v>
      </c>
      <c r="BB15" s="1" t="s">
        <v>1507</v>
      </c>
      <c r="BC15" s="1">
        <v>159</v>
      </c>
      <c r="BD15" s="1">
        <v>164</v>
      </c>
      <c r="BE15" s="1" t="s">
        <v>1507</v>
      </c>
      <c r="BF15" s="1" t="s">
        <v>1507</v>
      </c>
      <c r="BG15" s="1" t="s">
        <v>1507</v>
      </c>
      <c r="BH15" s="1" t="s">
        <v>1507</v>
      </c>
      <c r="BI15" s="1" t="s">
        <v>1507</v>
      </c>
      <c r="BJ15" s="1">
        <v>6</v>
      </c>
      <c r="BK15" s="1" t="s">
        <v>7667</v>
      </c>
      <c r="BL15" s="1" t="s">
        <v>5695</v>
      </c>
      <c r="BM15" s="1" t="s">
        <v>7668</v>
      </c>
      <c r="BN15" s="1" t="s">
        <v>7669</v>
      </c>
      <c r="BO15" s="1" t="s">
        <v>1507</v>
      </c>
      <c r="BP15" s="1" t="s">
        <v>1507</v>
      </c>
      <c r="BQ15" s="1" t="s">
        <v>1507</v>
      </c>
      <c r="BR15" s="1" t="s">
        <v>1507</v>
      </c>
      <c r="BS15" s="1" t="s">
        <v>13744</v>
      </c>
      <c r="BT15" s="1" t="s">
        <v>7670</v>
      </c>
      <c r="BU15" s="1" t="str">
        <f>HYPERLINK("https%3A%2F%2Fwww.webofscience.com%2Fwos%2Fwoscc%2Ffull-record%2FWOS:000846896600022","View Full Record in Web of Science")</f>
        <v>View Full Record in Web of Science</v>
      </c>
    </row>
    <row r="16" spans="1:73" x14ac:dyDescent="0.25">
      <c r="A16" s="1">
        <v>15</v>
      </c>
      <c r="B16" s="1" t="s">
        <v>5882</v>
      </c>
      <c r="C16" s="1" t="s">
        <v>11869</v>
      </c>
      <c r="D16" s="1" t="s">
        <v>1507</v>
      </c>
      <c r="E16" s="1" t="s">
        <v>11870</v>
      </c>
      <c r="F16" s="1" t="s">
        <v>1507</v>
      </c>
      <c r="G16" s="1" t="s">
        <v>11871</v>
      </c>
      <c r="H16" s="1" t="s">
        <v>1507</v>
      </c>
      <c r="I16" s="1" t="s">
        <v>1507</v>
      </c>
      <c r="J16" s="1" t="s">
        <v>11872</v>
      </c>
      <c r="K16" s="1" t="s">
        <v>11873</v>
      </c>
      <c r="L16" s="1" t="s">
        <v>1507</v>
      </c>
      <c r="M16" s="1" t="s">
        <v>1507</v>
      </c>
      <c r="N16" s="1" t="s">
        <v>42</v>
      </c>
      <c r="O16" s="1" t="s">
        <v>5888</v>
      </c>
      <c r="P16" s="1" t="s">
        <v>1507</v>
      </c>
      <c r="Q16" s="1" t="s">
        <v>1507</v>
      </c>
      <c r="R16" s="1" t="s">
        <v>1507</v>
      </c>
      <c r="S16" s="1" t="s">
        <v>1507</v>
      </c>
      <c r="T16" s="1" t="s">
        <v>1507</v>
      </c>
      <c r="U16" s="1" t="s">
        <v>1507</v>
      </c>
      <c r="V16" s="1" t="s">
        <v>1507</v>
      </c>
      <c r="W16" s="1" t="s">
        <v>1507</v>
      </c>
      <c r="X16" s="1" t="s">
        <v>11874</v>
      </c>
      <c r="Y16" s="1" t="s">
        <v>7146</v>
      </c>
      <c r="Z16" s="1" t="s">
        <v>11875</v>
      </c>
      <c r="AA16" s="1" t="s">
        <v>1507</v>
      </c>
      <c r="AB16" s="1" t="s">
        <v>1507</v>
      </c>
      <c r="AC16" s="1" t="s">
        <v>1507</v>
      </c>
      <c r="AD16" s="1" t="s">
        <v>11876</v>
      </c>
      <c r="AE16" s="1" t="s">
        <v>11877</v>
      </c>
      <c r="AF16" s="1" t="s">
        <v>11878</v>
      </c>
      <c r="AG16" s="1" t="s">
        <v>1507</v>
      </c>
      <c r="AH16" s="1">
        <v>2</v>
      </c>
      <c r="AI16" s="1">
        <v>0</v>
      </c>
      <c r="AJ16" s="1">
        <v>0</v>
      </c>
      <c r="AK16" s="1">
        <v>0</v>
      </c>
      <c r="AL16" s="1">
        <v>0</v>
      </c>
      <c r="AM16" s="1" t="s">
        <v>3564</v>
      </c>
      <c r="AN16" s="1" t="s">
        <v>1523</v>
      </c>
      <c r="AO16" s="1" t="s">
        <v>11879</v>
      </c>
      <c r="AP16" s="1" t="s">
        <v>1507</v>
      </c>
      <c r="AQ16" s="1" t="s">
        <v>1507</v>
      </c>
      <c r="AR16" s="1" t="s">
        <v>11880</v>
      </c>
      <c r="AS16" s="1" t="s">
        <v>1507</v>
      </c>
      <c r="AT16" s="1" t="s">
        <v>1507</v>
      </c>
      <c r="AU16" s="1" t="s">
        <v>1507</v>
      </c>
      <c r="AV16" s="1">
        <v>2018</v>
      </c>
      <c r="AW16" s="1" t="s">
        <v>1507</v>
      </c>
      <c r="AX16" s="1" t="s">
        <v>1507</v>
      </c>
      <c r="AY16" s="1" t="s">
        <v>1507</v>
      </c>
      <c r="AZ16" s="1" t="s">
        <v>1507</v>
      </c>
      <c r="BA16" s="1" t="s">
        <v>1507</v>
      </c>
      <c r="BB16" s="1" t="s">
        <v>1507</v>
      </c>
      <c r="BC16" s="1">
        <v>9</v>
      </c>
      <c r="BD16" s="1">
        <v>28</v>
      </c>
      <c r="BE16" s="1" t="s">
        <v>1507</v>
      </c>
      <c r="BF16" s="1" t="s">
        <v>1507</v>
      </c>
      <c r="BG16" s="1" t="s">
        <v>1507</v>
      </c>
      <c r="BH16" s="1" t="s">
        <v>11881</v>
      </c>
      <c r="BI16" s="1" t="s">
        <v>1507</v>
      </c>
      <c r="BJ16" s="1">
        <v>20</v>
      </c>
      <c r="BK16" s="1" t="s">
        <v>11882</v>
      </c>
      <c r="BL16" s="1" t="s">
        <v>5899</v>
      </c>
      <c r="BM16" s="1" t="s">
        <v>9056</v>
      </c>
      <c r="BN16" s="1" t="s">
        <v>11883</v>
      </c>
      <c r="BO16" s="1" t="s">
        <v>1507</v>
      </c>
      <c r="BP16" s="1" t="s">
        <v>1507</v>
      </c>
      <c r="BQ16" s="1" t="s">
        <v>1507</v>
      </c>
      <c r="BR16" s="1" t="s">
        <v>1507</v>
      </c>
      <c r="BS16" s="1" t="s">
        <v>13744</v>
      </c>
      <c r="BT16" s="1" t="s">
        <v>11884</v>
      </c>
      <c r="BU16" s="1" t="str">
        <f>HYPERLINK("https%3A%2F%2Fwww.webofscience.com%2Fwos%2Fwoscc%2Ffull-record%2FWOS:000606981800003","View Full Record in Web of Science")</f>
        <v>View Full Record in Web of Science</v>
      </c>
    </row>
    <row r="17" spans="1:73" x14ac:dyDescent="0.25">
      <c r="A17" s="1">
        <v>16</v>
      </c>
      <c r="B17" s="1" t="s">
        <v>1506</v>
      </c>
      <c r="C17" s="1" t="s">
        <v>9613</v>
      </c>
      <c r="D17" s="1" t="s">
        <v>1507</v>
      </c>
      <c r="E17" s="1" t="s">
        <v>1507</v>
      </c>
      <c r="F17" s="1" t="s">
        <v>1507</v>
      </c>
      <c r="G17" s="1" t="s">
        <v>9614</v>
      </c>
      <c r="H17" s="1" t="s">
        <v>1507</v>
      </c>
      <c r="I17" s="1" t="s">
        <v>1507</v>
      </c>
      <c r="J17" s="1" t="s">
        <v>9615</v>
      </c>
      <c r="K17" s="1" t="s">
        <v>9616</v>
      </c>
      <c r="L17" s="1" t="s">
        <v>1507</v>
      </c>
      <c r="M17" s="1" t="s">
        <v>1507</v>
      </c>
      <c r="N17" s="1" t="s">
        <v>42</v>
      </c>
      <c r="O17" s="1" t="s">
        <v>56</v>
      </c>
      <c r="P17" s="1" t="s">
        <v>1507</v>
      </c>
      <c r="Q17" s="1" t="s">
        <v>1507</v>
      </c>
      <c r="R17" s="1" t="s">
        <v>1507</v>
      </c>
      <c r="S17" s="1" t="s">
        <v>1507</v>
      </c>
      <c r="T17" s="1" t="s">
        <v>1507</v>
      </c>
      <c r="U17" s="1" t="s">
        <v>9617</v>
      </c>
      <c r="V17" s="1" t="s">
        <v>9618</v>
      </c>
      <c r="W17" s="1" t="s">
        <v>9619</v>
      </c>
      <c r="X17" s="1" t="s">
        <v>9620</v>
      </c>
      <c r="Y17" s="1" t="s">
        <v>9621</v>
      </c>
      <c r="Z17" s="1" t="s">
        <v>9622</v>
      </c>
      <c r="AA17" s="1" t="s">
        <v>9623</v>
      </c>
      <c r="AB17" s="1" t="s">
        <v>9624</v>
      </c>
      <c r="AC17" s="1" t="s">
        <v>9625</v>
      </c>
      <c r="AD17" s="1" t="s">
        <v>9626</v>
      </c>
      <c r="AE17" s="1" t="s">
        <v>8697</v>
      </c>
      <c r="AF17" s="1" t="s">
        <v>9627</v>
      </c>
      <c r="AG17" s="1" t="s">
        <v>1507</v>
      </c>
      <c r="AH17" s="1">
        <v>30</v>
      </c>
      <c r="AI17" s="1">
        <v>6</v>
      </c>
      <c r="AJ17" s="1">
        <v>6</v>
      </c>
      <c r="AK17" s="1">
        <v>0</v>
      </c>
      <c r="AL17" s="1">
        <v>11</v>
      </c>
      <c r="AM17" s="1" t="s">
        <v>1745</v>
      </c>
      <c r="AN17" s="1" t="s">
        <v>1746</v>
      </c>
      <c r="AO17" s="1" t="s">
        <v>1747</v>
      </c>
      <c r="AP17" s="1" t="s">
        <v>9628</v>
      </c>
      <c r="AQ17" s="1" t="s">
        <v>9629</v>
      </c>
      <c r="AR17" s="1" t="s">
        <v>1507</v>
      </c>
      <c r="AS17" s="1" t="s">
        <v>9630</v>
      </c>
      <c r="AT17" s="1" t="s">
        <v>9631</v>
      </c>
      <c r="AU17" s="1" t="s">
        <v>15797</v>
      </c>
      <c r="AV17" s="1">
        <v>2022</v>
      </c>
      <c r="AW17" s="1">
        <v>51</v>
      </c>
      <c r="AX17" s="1">
        <v>12</v>
      </c>
      <c r="AY17" s="1" t="s">
        <v>1507</v>
      </c>
      <c r="AZ17" s="1" t="s">
        <v>1507</v>
      </c>
      <c r="BA17" s="1" t="s">
        <v>1507</v>
      </c>
      <c r="BB17" s="1" t="s">
        <v>1507</v>
      </c>
      <c r="BC17" s="1">
        <v>4196</v>
      </c>
      <c r="BD17" s="1">
        <v>4209</v>
      </c>
      <c r="BE17" s="1" t="s">
        <v>1507</v>
      </c>
      <c r="BF17" s="1" t="s">
        <v>9632</v>
      </c>
      <c r="BG17" s="1" t="str">
        <f>HYPERLINK("http://dx.doi.org/10.1080/03610926.2020.1811870","http://dx.doi.org/10.1080/03610926.2020.1811870")</f>
        <v>http://dx.doi.org/10.1080/03610926.2020.1811870</v>
      </c>
      <c r="BH17" s="1" t="s">
        <v>1507</v>
      </c>
      <c r="BI17" s="1" t="s">
        <v>9633</v>
      </c>
      <c r="BJ17" s="1">
        <v>14</v>
      </c>
      <c r="BK17" s="1" t="s">
        <v>9634</v>
      </c>
      <c r="BL17" s="1" t="s">
        <v>1573</v>
      </c>
      <c r="BM17" s="1" t="s">
        <v>1615</v>
      </c>
      <c r="BN17" s="1" t="s">
        <v>9635</v>
      </c>
      <c r="BO17" s="1" t="s">
        <v>1507</v>
      </c>
      <c r="BP17" s="1" t="s">
        <v>1507</v>
      </c>
      <c r="BQ17" s="1" t="s">
        <v>1507</v>
      </c>
      <c r="BR17" s="1" t="s">
        <v>1507</v>
      </c>
      <c r="BS17" s="1" t="s">
        <v>13744</v>
      </c>
      <c r="BT17" s="1" t="s">
        <v>9636</v>
      </c>
      <c r="BU17" s="1" t="str">
        <f>HYPERLINK("https%3A%2F%2Fwww.webofscience.com%2Fwos%2Fwoscc%2Ffull-record%2FWOS:000566635400001","View Full Record in Web of Science")</f>
        <v>View Full Record in Web of Science</v>
      </c>
    </row>
    <row r="18" spans="1:73" x14ac:dyDescent="0.25">
      <c r="A18" s="1">
        <v>17</v>
      </c>
      <c r="B18" s="1" t="s">
        <v>1506</v>
      </c>
      <c r="C18" s="1" t="s">
        <v>11025</v>
      </c>
      <c r="D18" s="1" t="s">
        <v>1507</v>
      </c>
      <c r="E18" s="1" t="s">
        <v>1507</v>
      </c>
      <c r="F18" s="1" t="s">
        <v>1507</v>
      </c>
      <c r="G18" s="1" t="s">
        <v>11026</v>
      </c>
      <c r="H18" s="1" t="s">
        <v>1507</v>
      </c>
      <c r="I18" s="1" t="s">
        <v>1507</v>
      </c>
      <c r="J18" s="1" t="s">
        <v>11027</v>
      </c>
      <c r="K18" s="1" t="s">
        <v>9616</v>
      </c>
      <c r="L18" s="1" t="s">
        <v>1507</v>
      </c>
      <c r="M18" s="1" t="s">
        <v>1507</v>
      </c>
      <c r="N18" s="1" t="s">
        <v>42</v>
      </c>
      <c r="O18" s="1" t="s">
        <v>56</v>
      </c>
      <c r="P18" s="1" t="s">
        <v>1507</v>
      </c>
      <c r="Q18" s="1" t="s">
        <v>1507</v>
      </c>
      <c r="R18" s="1" t="s">
        <v>1507</v>
      </c>
      <c r="S18" s="1" t="s">
        <v>1507</v>
      </c>
      <c r="T18" s="1" t="s">
        <v>1507</v>
      </c>
      <c r="U18" s="1" t="s">
        <v>9617</v>
      </c>
      <c r="V18" s="1" t="s">
        <v>11028</v>
      </c>
      <c r="W18" s="1" t="s">
        <v>11029</v>
      </c>
      <c r="X18" s="1" t="s">
        <v>11030</v>
      </c>
      <c r="Y18" s="1" t="s">
        <v>11031</v>
      </c>
      <c r="Z18" s="1" t="s">
        <v>11032</v>
      </c>
      <c r="AA18" s="1" t="s">
        <v>11033</v>
      </c>
      <c r="AB18" s="1" t="s">
        <v>11034</v>
      </c>
      <c r="AC18" s="1" t="s">
        <v>11035</v>
      </c>
      <c r="AD18" s="1" t="s">
        <v>11036</v>
      </c>
      <c r="AE18" s="1" t="s">
        <v>8697</v>
      </c>
      <c r="AF18" s="1" t="s">
        <v>11037</v>
      </c>
      <c r="AG18" s="1" t="s">
        <v>1507</v>
      </c>
      <c r="AH18" s="1">
        <v>40</v>
      </c>
      <c r="AI18" s="1">
        <v>3</v>
      </c>
      <c r="AJ18" s="1">
        <v>3</v>
      </c>
      <c r="AK18" s="1">
        <v>0</v>
      </c>
      <c r="AL18" s="1">
        <v>9</v>
      </c>
      <c r="AM18" s="1" t="s">
        <v>1745</v>
      </c>
      <c r="AN18" s="1" t="s">
        <v>1746</v>
      </c>
      <c r="AO18" s="1" t="s">
        <v>1747</v>
      </c>
      <c r="AP18" s="1" t="s">
        <v>9628</v>
      </c>
      <c r="AQ18" s="1" t="s">
        <v>9629</v>
      </c>
      <c r="AR18" s="1" t="s">
        <v>1507</v>
      </c>
      <c r="AS18" s="1" t="s">
        <v>9630</v>
      </c>
      <c r="AT18" s="1" t="s">
        <v>9631</v>
      </c>
      <c r="AU18" s="1" t="s">
        <v>6775</v>
      </c>
      <c r="AV18" s="1">
        <v>2020</v>
      </c>
      <c r="AW18" s="1">
        <v>49</v>
      </c>
      <c r="AX18" s="1">
        <v>23</v>
      </c>
      <c r="AY18" s="1" t="s">
        <v>1507</v>
      </c>
      <c r="AZ18" s="1" t="s">
        <v>1507</v>
      </c>
      <c r="BA18" s="1" t="s">
        <v>1507</v>
      </c>
      <c r="BB18" s="1" t="s">
        <v>1507</v>
      </c>
      <c r="BC18" s="1">
        <v>5666</v>
      </c>
      <c r="BD18" s="1">
        <v>5685</v>
      </c>
      <c r="BE18" s="1" t="s">
        <v>1507</v>
      </c>
      <c r="BF18" s="1" t="s">
        <v>11038</v>
      </c>
      <c r="BG18" s="1" t="str">
        <f>HYPERLINK("http://dx.doi.org/10.1080/03610926.2019.1620781","http://dx.doi.org/10.1080/03610926.2019.1620781")</f>
        <v>http://dx.doi.org/10.1080/03610926.2019.1620781</v>
      </c>
      <c r="BH18" s="1" t="s">
        <v>1507</v>
      </c>
      <c r="BI18" s="1" t="s">
        <v>11021</v>
      </c>
      <c r="BJ18" s="1">
        <v>20</v>
      </c>
      <c r="BK18" s="1" t="s">
        <v>9634</v>
      </c>
      <c r="BL18" s="1" t="s">
        <v>1573</v>
      </c>
      <c r="BM18" s="1" t="s">
        <v>1615</v>
      </c>
      <c r="BN18" s="1" t="s">
        <v>11039</v>
      </c>
      <c r="BO18" s="1" t="s">
        <v>1507</v>
      </c>
      <c r="BP18" s="1" t="s">
        <v>1507</v>
      </c>
      <c r="BQ18" s="1" t="s">
        <v>1507</v>
      </c>
      <c r="BR18" s="1" t="s">
        <v>1507</v>
      </c>
      <c r="BS18" s="1" t="s">
        <v>13744</v>
      </c>
      <c r="BT18" s="1" t="s">
        <v>11040</v>
      </c>
      <c r="BU18" s="1" t="str">
        <f>HYPERLINK("https%3A%2F%2Fwww.webofscience.com%2Fwos%2Fwoscc%2Ffull-record%2FWOS:000471394700001","View Full Record in Web of Science")</f>
        <v>View Full Record in Web of Science</v>
      </c>
    </row>
    <row r="19" spans="1:73" x14ac:dyDescent="0.25">
      <c r="A19" s="1">
        <v>18</v>
      </c>
      <c r="B19" s="1" t="s">
        <v>1506</v>
      </c>
      <c r="C19" s="1" t="s">
        <v>8685</v>
      </c>
      <c r="D19" s="1" t="s">
        <v>1507</v>
      </c>
      <c r="E19" s="1" t="s">
        <v>1507</v>
      </c>
      <c r="F19" s="1" t="s">
        <v>1507</v>
      </c>
      <c r="G19" s="1" t="s">
        <v>8686</v>
      </c>
      <c r="H19" s="1" t="s">
        <v>1507</v>
      </c>
      <c r="I19" s="1" t="s">
        <v>1507</v>
      </c>
      <c r="J19" s="1" t="s">
        <v>8687</v>
      </c>
      <c r="K19" s="1" t="s">
        <v>1609</v>
      </c>
      <c r="L19" s="1" t="s">
        <v>1507</v>
      </c>
      <c r="M19" s="1" t="s">
        <v>1507</v>
      </c>
      <c r="N19" s="1" t="s">
        <v>42</v>
      </c>
      <c r="O19" s="1" t="s">
        <v>56</v>
      </c>
      <c r="P19" s="1" t="s">
        <v>1507</v>
      </c>
      <c r="Q19" s="1" t="s">
        <v>1507</v>
      </c>
      <c r="R19" s="1" t="s">
        <v>1507</v>
      </c>
      <c r="S19" s="1" t="s">
        <v>1507</v>
      </c>
      <c r="T19" s="1" t="s">
        <v>1507</v>
      </c>
      <c r="U19" s="1" t="s">
        <v>8688</v>
      </c>
      <c r="V19" s="1" t="s">
        <v>8689</v>
      </c>
      <c r="W19" s="1" t="s">
        <v>8690</v>
      </c>
      <c r="X19" s="1" t="s">
        <v>8691</v>
      </c>
      <c r="Y19" s="1" t="s">
        <v>8692</v>
      </c>
      <c r="Z19" s="1" t="s">
        <v>8693</v>
      </c>
      <c r="AA19" s="1" t="s">
        <v>8694</v>
      </c>
      <c r="AB19" s="1" t="s">
        <v>15745</v>
      </c>
      <c r="AC19" s="1" t="s">
        <v>8695</v>
      </c>
      <c r="AD19" s="1" t="s">
        <v>8696</v>
      </c>
      <c r="AE19" s="1" t="s">
        <v>8697</v>
      </c>
      <c r="AF19" s="1" t="s">
        <v>8698</v>
      </c>
      <c r="AG19" s="1" t="s">
        <v>1507</v>
      </c>
      <c r="AH19" s="1">
        <v>19</v>
      </c>
      <c r="AI19" s="1">
        <v>0</v>
      </c>
      <c r="AJ19" s="1">
        <v>0</v>
      </c>
      <c r="AK19" s="1">
        <v>0</v>
      </c>
      <c r="AL19" s="1">
        <v>14</v>
      </c>
      <c r="AM19" s="1" t="s">
        <v>1610</v>
      </c>
      <c r="AN19" s="1" t="s">
        <v>1611</v>
      </c>
      <c r="AO19" s="1" t="s">
        <v>1612</v>
      </c>
      <c r="AP19" s="1" t="s">
        <v>1507</v>
      </c>
      <c r="AQ19" s="1" t="s">
        <v>1613</v>
      </c>
      <c r="AR19" s="1" t="s">
        <v>1507</v>
      </c>
      <c r="AS19" s="1" t="s">
        <v>1614</v>
      </c>
      <c r="AT19" s="1" t="s">
        <v>1615</v>
      </c>
      <c r="AU19" s="1" t="s">
        <v>5045</v>
      </c>
      <c r="AV19" s="1">
        <v>2021</v>
      </c>
      <c r="AW19" s="1">
        <v>9</v>
      </c>
      <c r="AX19" s="1">
        <v>10</v>
      </c>
      <c r="AY19" s="1" t="s">
        <v>1507</v>
      </c>
      <c r="AZ19" s="1" t="s">
        <v>1507</v>
      </c>
      <c r="BA19" s="1" t="s">
        <v>1507</v>
      </c>
      <c r="BB19" s="1" t="s">
        <v>1507</v>
      </c>
      <c r="BC19" s="1" t="s">
        <v>1507</v>
      </c>
      <c r="BD19" s="1" t="s">
        <v>1507</v>
      </c>
      <c r="BE19" s="1">
        <v>1102</v>
      </c>
      <c r="BF19" s="1" t="s">
        <v>8699</v>
      </c>
      <c r="BG19" s="1" t="str">
        <f>HYPERLINK("http://dx.doi.org/10.3390/math9101102","http://dx.doi.org/10.3390/math9101102")</f>
        <v>http://dx.doi.org/10.3390/math9101102</v>
      </c>
      <c r="BH19" s="1" t="s">
        <v>1507</v>
      </c>
      <c r="BI19" s="1" t="s">
        <v>1507</v>
      </c>
      <c r="BJ19" s="1">
        <v>14</v>
      </c>
      <c r="BK19" s="1" t="s">
        <v>1615</v>
      </c>
      <c r="BL19" s="1" t="s">
        <v>1573</v>
      </c>
      <c r="BM19" s="1" t="s">
        <v>1615</v>
      </c>
      <c r="BN19" s="1" t="s">
        <v>8700</v>
      </c>
      <c r="BO19" s="1" t="s">
        <v>1507</v>
      </c>
      <c r="BP19" s="1" t="s">
        <v>1531</v>
      </c>
      <c r="BQ19" s="1" t="s">
        <v>1507</v>
      </c>
      <c r="BR19" s="1" t="s">
        <v>1507</v>
      </c>
      <c r="BS19" s="1" t="s">
        <v>13744</v>
      </c>
      <c r="BT19" s="1" t="s">
        <v>8701</v>
      </c>
      <c r="BU19" s="1" t="str">
        <f>HYPERLINK("https%3A%2F%2Fwww.webofscience.com%2Fwos%2Fwoscc%2Ffull-record%2FWOS:000655197500001","View Full Record in Web of Science")</f>
        <v>View Full Record in Web of Science</v>
      </c>
    </row>
    <row r="20" spans="1:73" x14ac:dyDescent="0.25">
      <c r="A20" s="1">
        <v>19</v>
      </c>
      <c r="B20" s="1" t="s">
        <v>1506</v>
      </c>
      <c r="C20" s="1" t="s">
        <v>4393</v>
      </c>
      <c r="D20" s="1" t="s">
        <v>1507</v>
      </c>
      <c r="E20" s="1" t="s">
        <v>1507</v>
      </c>
      <c r="F20" s="1" t="s">
        <v>1507</v>
      </c>
      <c r="G20" s="1" t="s">
        <v>4394</v>
      </c>
      <c r="H20" s="1" t="s">
        <v>1507</v>
      </c>
      <c r="I20" s="1" t="s">
        <v>1507</v>
      </c>
      <c r="J20" s="1" t="s">
        <v>4395</v>
      </c>
      <c r="K20" s="1" t="s">
        <v>4396</v>
      </c>
      <c r="L20" s="1" t="s">
        <v>1507</v>
      </c>
      <c r="M20" s="1" t="s">
        <v>1507</v>
      </c>
      <c r="N20" s="1" t="s">
        <v>42</v>
      </c>
      <c r="O20" s="1" t="s">
        <v>56</v>
      </c>
      <c r="P20" s="1" t="s">
        <v>1507</v>
      </c>
      <c r="Q20" s="1" t="s">
        <v>1507</v>
      </c>
      <c r="R20" s="1" t="s">
        <v>1507</v>
      </c>
      <c r="S20" s="1" t="s">
        <v>1507</v>
      </c>
      <c r="T20" s="1" t="s">
        <v>1507</v>
      </c>
      <c r="U20" s="1" t="s">
        <v>4397</v>
      </c>
      <c r="V20" s="1" t="s">
        <v>4398</v>
      </c>
      <c r="W20" s="1" t="s">
        <v>4399</v>
      </c>
      <c r="X20" s="1" t="s">
        <v>4400</v>
      </c>
      <c r="Y20" s="1" t="s">
        <v>14598</v>
      </c>
      <c r="Z20" s="1" t="s">
        <v>4401</v>
      </c>
      <c r="AA20" s="1" t="s">
        <v>4402</v>
      </c>
      <c r="AB20" s="1" t="s">
        <v>1507</v>
      </c>
      <c r="AC20" s="1" t="s">
        <v>14599</v>
      </c>
      <c r="AD20" s="1" t="s">
        <v>1507</v>
      </c>
      <c r="AE20" s="1" t="s">
        <v>1507</v>
      </c>
      <c r="AF20" s="1" t="s">
        <v>1507</v>
      </c>
      <c r="AG20" s="1" t="s">
        <v>1507</v>
      </c>
      <c r="AH20" s="1">
        <v>74</v>
      </c>
      <c r="AI20" s="1">
        <v>16</v>
      </c>
      <c r="AJ20" s="1">
        <v>16</v>
      </c>
      <c r="AK20" s="1">
        <v>94</v>
      </c>
      <c r="AL20" s="1">
        <v>117</v>
      </c>
      <c r="AM20" s="1" t="s">
        <v>2883</v>
      </c>
      <c r="AN20" s="1" t="s">
        <v>1512</v>
      </c>
      <c r="AO20" s="1" t="s">
        <v>2884</v>
      </c>
      <c r="AP20" s="1" t="s">
        <v>4403</v>
      </c>
      <c r="AQ20" s="1" t="s">
        <v>4404</v>
      </c>
      <c r="AR20" s="1" t="s">
        <v>1507</v>
      </c>
      <c r="AS20" s="1" t="s">
        <v>4405</v>
      </c>
      <c r="AT20" s="1" t="s">
        <v>4406</v>
      </c>
      <c r="AU20" s="1" t="s">
        <v>4336</v>
      </c>
      <c r="AV20" s="1">
        <v>2023</v>
      </c>
      <c r="AW20" s="1">
        <v>19</v>
      </c>
      <c r="AX20" s="1">
        <v>8</v>
      </c>
      <c r="AY20" s="1" t="s">
        <v>1507</v>
      </c>
      <c r="AZ20" s="1" t="s">
        <v>1507</v>
      </c>
      <c r="BA20" s="1" t="s">
        <v>1507</v>
      </c>
      <c r="BB20" s="1" t="s">
        <v>1507</v>
      </c>
      <c r="BC20" s="1">
        <v>1236</v>
      </c>
      <c r="BD20" s="1">
        <v>1242</v>
      </c>
      <c r="BE20" s="1" t="s">
        <v>1507</v>
      </c>
      <c r="BF20" s="1" t="s">
        <v>4407</v>
      </c>
      <c r="BG20" s="1" t="str">
        <f>HYPERLINK("http://dx.doi.org/10.1016/j.sapharm.2023.05.016","http://dx.doi.org/10.1016/j.sapharm.2023.05.016")</f>
        <v>http://dx.doi.org/10.1016/j.sapharm.2023.05.016</v>
      </c>
      <c r="BH20" s="1" t="s">
        <v>1507</v>
      </c>
      <c r="BI20" s="1" t="s">
        <v>4389</v>
      </c>
      <c r="BJ20" s="1">
        <v>7</v>
      </c>
      <c r="BK20" s="1" t="s">
        <v>4408</v>
      </c>
      <c r="BL20" s="1" t="s">
        <v>1518</v>
      </c>
      <c r="BM20" s="1" t="s">
        <v>4408</v>
      </c>
      <c r="BN20" s="1" t="s">
        <v>4409</v>
      </c>
      <c r="BO20" s="1">
        <v>37321925</v>
      </c>
      <c r="BP20" s="1" t="s">
        <v>1537</v>
      </c>
      <c r="BQ20" s="1" t="s">
        <v>1507</v>
      </c>
      <c r="BR20" s="1" t="s">
        <v>1507</v>
      </c>
      <c r="BS20" s="1" t="s">
        <v>13744</v>
      </c>
      <c r="BT20" s="1" t="s">
        <v>4410</v>
      </c>
      <c r="BU20" s="1" t="str">
        <f>HYPERLINK("https%3A%2F%2Fwww.webofscience.com%2Fwos%2Fwoscc%2Ffull-record%2FWOS:001050843100001","View Full Record in Web of Science")</f>
        <v>View Full Record in Web of Science</v>
      </c>
    </row>
    <row r="21" spans="1:73" x14ac:dyDescent="0.25">
      <c r="A21" s="1">
        <v>20</v>
      </c>
      <c r="B21" s="1" t="s">
        <v>1506</v>
      </c>
      <c r="C21" s="1" t="s">
        <v>4692</v>
      </c>
      <c r="D21" s="1" t="s">
        <v>1507</v>
      </c>
      <c r="E21" s="1" t="s">
        <v>1507</v>
      </c>
      <c r="F21" s="1" t="s">
        <v>1507</v>
      </c>
      <c r="G21" s="1" t="s">
        <v>4693</v>
      </c>
      <c r="H21" s="1" t="s">
        <v>1507</v>
      </c>
      <c r="I21" s="1" t="s">
        <v>1507</v>
      </c>
      <c r="J21" s="1" t="s">
        <v>4694</v>
      </c>
      <c r="K21" s="1" t="s">
        <v>4695</v>
      </c>
      <c r="L21" s="1" t="s">
        <v>1507</v>
      </c>
      <c r="M21" s="1" t="s">
        <v>1507</v>
      </c>
      <c r="N21" s="1" t="s">
        <v>42</v>
      </c>
      <c r="O21" s="1" t="s">
        <v>1509</v>
      </c>
      <c r="P21" s="1" t="s">
        <v>1507</v>
      </c>
      <c r="Q21" s="1" t="s">
        <v>1507</v>
      </c>
      <c r="R21" s="1" t="s">
        <v>1507</v>
      </c>
      <c r="S21" s="1" t="s">
        <v>1507</v>
      </c>
      <c r="T21" s="1" t="s">
        <v>1507</v>
      </c>
      <c r="U21" s="1" t="s">
        <v>1507</v>
      </c>
      <c r="V21" s="1" t="s">
        <v>4696</v>
      </c>
      <c r="W21" s="1" t="s">
        <v>4697</v>
      </c>
      <c r="X21" s="1" t="s">
        <v>4698</v>
      </c>
      <c r="Y21" s="1" t="s">
        <v>4699</v>
      </c>
      <c r="Z21" s="1" t="s">
        <v>4700</v>
      </c>
      <c r="AA21" s="1" t="s">
        <v>4701</v>
      </c>
      <c r="AB21" s="1" t="s">
        <v>1507</v>
      </c>
      <c r="AC21" s="1" t="s">
        <v>1507</v>
      </c>
      <c r="AD21" s="1" t="s">
        <v>4702</v>
      </c>
      <c r="AE21" s="1" t="s">
        <v>4703</v>
      </c>
      <c r="AF21" s="1" t="s">
        <v>4704</v>
      </c>
      <c r="AG21" s="1" t="s">
        <v>1507</v>
      </c>
      <c r="AH21" s="1">
        <v>31</v>
      </c>
      <c r="AI21" s="1">
        <v>0</v>
      </c>
      <c r="AJ21" s="1">
        <v>0</v>
      </c>
      <c r="AK21" s="1">
        <v>0</v>
      </c>
      <c r="AL21" s="1">
        <v>2</v>
      </c>
      <c r="AM21" s="1" t="s">
        <v>1559</v>
      </c>
      <c r="AN21" s="1" t="s">
        <v>1560</v>
      </c>
      <c r="AO21" s="1" t="s">
        <v>1561</v>
      </c>
      <c r="AP21" s="1" t="s">
        <v>4705</v>
      </c>
      <c r="AQ21" s="1" t="s">
        <v>4706</v>
      </c>
      <c r="AR21" s="1" t="s">
        <v>1507</v>
      </c>
      <c r="AS21" s="1" t="s">
        <v>4707</v>
      </c>
      <c r="AT21" s="1" t="s">
        <v>4708</v>
      </c>
      <c r="AU21" s="1" t="s">
        <v>4709</v>
      </c>
      <c r="AV21" s="1">
        <v>2023</v>
      </c>
      <c r="AW21" s="1" t="s">
        <v>1507</v>
      </c>
      <c r="AX21" s="1" t="s">
        <v>1507</v>
      </c>
      <c r="AY21" s="1" t="s">
        <v>1507</v>
      </c>
      <c r="AZ21" s="1" t="s">
        <v>1507</v>
      </c>
      <c r="BA21" s="1" t="s">
        <v>1507</v>
      </c>
      <c r="BB21" s="1" t="s">
        <v>1507</v>
      </c>
      <c r="BC21" s="1" t="s">
        <v>1507</v>
      </c>
      <c r="BD21" s="1" t="s">
        <v>1507</v>
      </c>
      <c r="BE21" s="1" t="s">
        <v>1507</v>
      </c>
      <c r="BF21" s="1" t="s">
        <v>4710</v>
      </c>
      <c r="BG21" s="1" t="str">
        <f>HYPERLINK("http://dx.doi.org/10.1002/naaq.10290","http://dx.doi.org/10.1002/naaq.10290")</f>
        <v>http://dx.doi.org/10.1002/naaq.10290</v>
      </c>
      <c r="BH21" s="1" t="s">
        <v>1507</v>
      </c>
      <c r="BI21" s="1" t="s">
        <v>4630</v>
      </c>
      <c r="BJ21" s="1">
        <v>6</v>
      </c>
      <c r="BK21" s="1" t="s">
        <v>4711</v>
      </c>
      <c r="BL21" s="1" t="s">
        <v>1573</v>
      </c>
      <c r="BM21" s="1" t="s">
        <v>4711</v>
      </c>
      <c r="BN21" s="1" t="s">
        <v>4712</v>
      </c>
      <c r="BO21" s="1" t="s">
        <v>1507</v>
      </c>
      <c r="BP21" s="1" t="s">
        <v>1507</v>
      </c>
      <c r="BQ21" s="1" t="s">
        <v>1507</v>
      </c>
      <c r="BR21" s="1" t="s">
        <v>1507</v>
      </c>
      <c r="BS21" s="1" t="s">
        <v>13744</v>
      </c>
      <c r="BT21" s="1" t="s">
        <v>4713</v>
      </c>
      <c r="BU21" s="1" t="str">
        <f>HYPERLINK("https%3A%2F%2Fwww.webofscience.com%2Fwos%2Fwoscc%2Ffull-record%2FWOS:001000018800001","View Full Record in Web of Science")</f>
        <v>View Full Record in Web of Science</v>
      </c>
    </row>
    <row r="22" spans="1:73" x14ac:dyDescent="0.25">
      <c r="A22" s="1">
        <v>21</v>
      </c>
      <c r="B22" s="1" t="s">
        <v>1506</v>
      </c>
      <c r="C22" s="1" t="s">
        <v>11244</v>
      </c>
      <c r="D22" s="1" t="s">
        <v>1507</v>
      </c>
      <c r="E22" s="1" t="s">
        <v>1507</v>
      </c>
      <c r="F22" s="1" t="s">
        <v>1507</v>
      </c>
      <c r="G22" s="1" t="s">
        <v>11245</v>
      </c>
      <c r="H22" s="1" t="s">
        <v>1507</v>
      </c>
      <c r="I22" s="1" t="s">
        <v>1507</v>
      </c>
      <c r="J22" s="1" t="s">
        <v>11246</v>
      </c>
      <c r="K22" s="1" t="s">
        <v>11247</v>
      </c>
      <c r="L22" s="1" t="s">
        <v>1507</v>
      </c>
      <c r="M22" s="1" t="s">
        <v>1507</v>
      </c>
      <c r="N22" s="1" t="s">
        <v>42</v>
      </c>
      <c r="O22" s="1" t="s">
        <v>56</v>
      </c>
      <c r="P22" s="1" t="s">
        <v>1507</v>
      </c>
      <c r="Q22" s="1" t="s">
        <v>1507</v>
      </c>
      <c r="R22" s="1" t="s">
        <v>1507</v>
      </c>
      <c r="S22" s="1" t="s">
        <v>1507</v>
      </c>
      <c r="T22" s="1" t="s">
        <v>1507</v>
      </c>
      <c r="U22" s="1" t="s">
        <v>11248</v>
      </c>
      <c r="V22" s="1" t="s">
        <v>1507</v>
      </c>
      <c r="W22" s="1" t="s">
        <v>11249</v>
      </c>
      <c r="X22" s="1" t="s">
        <v>11250</v>
      </c>
      <c r="Y22" s="1" t="s">
        <v>15942</v>
      </c>
      <c r="Z22" s="1" t="s">
        <v>11251</v>
      </c>
      <c r="AA22" s="1" t="s">
        <v>1507</v>
      </c>
      <c r="AB22" s="1" t="s">
        <v>1507</v>
      </c>
      <c r="AC22" s="1" t="s">
        <v>11252</v>
      </c>
      <c r="AD22" s="1" t="s">
        <v>11253</v>
      </c>
      <c r="AE22" s="1" t="s">
        <v>11254</v>
      </c>
      <c r="AF22" s="1" t="s">
        <v>11255</v>
      </c>
      <c r="AG22" s="1" t="s">
        <v>1507</v>
      </c>
      <c r="AH22" s="1">
        <v>41</v>
      </c>
      <c r="AI22" s="1">
        <v>15</v>
      </c>
      <c r="AJ22" s="1">
        <v>16</v>
      </c>
      <c r="AK22" s="1">
        <v>0</v>
      </c>
      <c r="AL22" s="1">
        <v>7</v>
      </c>
      <c r="AM22" s="1" t="s">
        <v>3564</v>
      </c>
      <c r="AN22" s="1" t="s">
        <v>1523</v>
      </c>
      <c r="AO22" s="1" t="s">
        <v>3565</v>
      </c>
      <c r="AP22" s="1" t="s">
        <v>11256</v>
      </c>
      <c r="AQ22" s="1" t="s">
        <v>11257</v>
      </c>
      <c r="AR22" s="1" t="s">
        <v>1507</v>
      </c>
      <c r="AS22" s="1" t="s">
        <v>11258</v>
      </c>
      <c r="AT22" s="1" t="s">
        <v>11259</v>
      </c>
      <c r="AU22" s="1" t="s">
        <v>1616</v>
      </c>
      <c r="AV22" s="1">
        <v>2019</v>
      </c>
      <c r="AW22" s="1">
        <v>68</v>
      </c>
      <c r="AX22" s="1">
        <v>1</v>
      </c>
      <c r="AY22" s="1" t="s">
        <v>1507</v>
      </c>
      <c r="AZ22" s="1" t="s">
        <v>1507</v>
      </c>
      <c r="BA22" s="1" t="s">
        <v>1507</v>
      </c>
      <c r="BB22" s="1" t="s">
        <v>1507</v>
      </c>
      <c r="BC22" s="1">
        <v>111</v>
      </c>
      <c r="BD22" s="1">
        <v>140</v>
      </c>
      <c r="BE22" s="1" t="s">
        <v>11260</v>
      </c>
      <c r="BF22" s="1" t="s">
        <v>11261</v>
      </c>
      <c r="BG22" s="1" t="str">
        <f>HYPERLINK("http://dx.doi.org/10.1017/S0020589318000398","http://dx.doi.org/10.1017/S0020589318000398")</f>
        <v>http://dx.doi.org/10.1017/S0020589318000398</v>
      </c>
      <c r="BH22" s="1" t="s">
        <v>1507</v>
      </c>
      <c r="BI22" s="1" t="s">
        <v>1507</v>
      </c>
      <c r="BJ22" s="1">
        <v>30</v>
      </c>
      <c r="BK22" s="1" t="s">
        <v>1535</v>
      </c>
      <c r="BL22" s="1" t="s">
        <v>1518</v>
      </c>
      <c r="BM22" s="1" t="s">
        <v>1536</v>
      </c>
      <c r="BN22" s="1" t="s">
        <v>11262</v>
      </c>
      <c r="BO22" s="1" t="s">
        <v>1507</v>
      </c>
      <c r="BP22" s="1" t="s">
        <v>15943</v>
      </c>
      <c r="BQ22" s="1" t="s">
        <v>1507</v>
      </c>
      <c r="BR22" s="1" t="s">
        <v>1507</v>
      </c>
      <c r="BS22" s="1" t="s">
        <v>13744</v>
      </c>
      <c r="BT22" s="1" t="s">
        <v>11263</v>
      </c>
      <c r="BU22" s="1" t="str">
        <f>HYPERLINK("https%3A%2F%2Fwww.webofscience.com%2Fwos%2Fwoscc%2Ffull-record%2FWOS:000458497300005","View Full Record in Web of Science")</f>
        <v>View Full Record in Web of Science</v>
      </c>
    </row>
    <row r="23" spans="1:73" x14ac:dyDescent="0.25">
      <c r="A23" s="1">
        <v>22</v>
      </c>
      <c r="B23" s="1" t="s">
        <v>1506</v>
      </c>
      <c r="C23" s="1" t="s">
        <v>11264</v>
      </c>
      <c r="D23" s="1" t="s">
        <v>1507</v>
      </c>
      <c r="E23" s="1" t="s">
        <v>1507</v>
      </c>
      <c r="F23" s="1" t="s">
        <v>1507</v>
      </c>
      <c r="G23" s="1" t="s">
        <v>11265</v>
      </c>
      <c r="H23" s="1" t="s">
        <v>1507</v>
      </c>
      <c r="I23" s="1" t="s">
        <v>1507</v>
      </c>
      <c r="J23" s="1" t="s">
        <v>11266</v>
      </c>
      <c r="K23" s="1" t="s">
        <v>11267</v>
      </c>
      <c r="L23" s="1" t="s">
        <v>1507</v>
      </c>
      <c r="M23" s="1" t="s">
        <v>1507</v>
      </c>
      <c r="N23" s="1" t="s">
        <v>42</v>
      </c>
      <c r="O23" s="1" t="s">
        <v>56</v>
      </c>
      <c r="P23" s="1" t="s">
        <v>1507</v>
      </c>
      <c r="Q23" s="1" t="s">
        <v>1507</v>
      </c>
      <c r="R23" s="1" t="s">
        <v>1507</v>
      </c>
      <c r="S23" s="1" t="s">
        <v>1507</v>
      </c>
      <c r="T23" s="1" t="s">
        <v>1507</v>
      </c>
      <c r="U23" s="1" t="s">
        <v>1507</v>
      </c>
      <c r="V23" s="1" t="s">
        <v>11268</v>
      </c>
      <c r="W23" s="1" t="s">
        <v>11269</v>
      </c>
      <c r="X23" s="1" t="s">
        <v>11270</v>
      </c>
      <c r="Y23" s="1" t="s">
        <v>15829</v>
      </c>
      <c r="Z23" s="1" t="s">
        <v>11271</v>
      </c>
      <c r="AA23" s="1" t="s">
        <v>1507</v>
      </c>
      <c r="AB23" s="1" t="s">
        <v>1507</v>
      </c>
      <c r="AC23" s="1" t="s">
        <v>1507</v>
      </c>
      <c r="AD23" s="1" t="s">
        <v>11272</v>
      </c>
      <c r="AE23" s="1" t="s">
        <v>10125</v>
      </c>
      <c r="AF23" s="1" t="s">
        <v>11273</v>
      </c>
      <c r="AG23" s="1" t="s">
        <v>1507</v>
      </c>
      <c r="AH23" s="1">
        <v>71</v>
      </c>
      <c r="AI23" s="1">
        <v>3</v>
      </c>
      <c r="AJ23" s="1">
        <v>3</v>
      </c>
      <c r="AK23" s="1">
        <v>0</v>
      </c>
      <c r="AL23" s="1">
        <v>1</v>
      </c>
      <c r="AM23" s="1" t="s">
        <v>11274</v>
      </c>
      <c r="AN23" s="1" t="s">
        <v>11275</v>
      </c>
      <c r="AO23" s="1" t="s">
        <v>11276</v>
      </c>
      <c r="AP23" s="1" t="s">
        <v>11277</v>
      </c>
      <c r="AQ23" s="1" t="s">
        <v>11278</v>
      </c>
      <c r="AR23" s="1" t="s">
        <v>1507</v>
      </c>
      <c r="AS23" s="1" t="s">
        <v>11279</v>
      </c>
      <c r="AT23" s="1" t="s">
        <v>11280</v>
      </c>
      <c r="AU23" s="1" t="s">
        <v>1507</v>
      </c>
      <c r="AV23" s="1">
        <v>2019</v>
      </c>
      <c r="AW23" s="1">
        <v>43</v>
      </c>
      <c r="AX23" s="1">
        <v>1</v>
      </c>
      <c r="AY23" s="1" t="s">
        <v>1507</v>
      </c>
      <c r="AZ23" s="1" t="s">
        <v>1507</v>
      </c>
      <c r="BA23" s="1" t="s">
        <v>1507</v>
      </c>
      <c r="BB23" s="1" t="s">
        <v>1507</v>
      </c>
      <c r="BC23" s="1">
        <v>1</v>
      </c>
      <c r="BD23" s="1">
        <v>43</v>
      </c>
      <c r="BE23" s="1" t="s">
        <v>1507</v>
      </c>
      <c r="BF23" s="1" t="s">
        <v>1507</v>
      </c>
      <c r="BG23" s="1" t="s">
        <v>1507</v>
      </c>
      <c r="BH23" s="1" t="s">
        <v>1507</v>
      </c>
      <c r="BI23" s="1" t="s">
        <v>1507</v>
      </c>
      <c r="BJ23" s="1">
        <v>43</v>
      </c>
      <c r="BK23" s="1" t="s">
        <v>1535</v>
      </c>
      <c r="BL23" s="1" t="s">
        <v>1518</v>
      </c>
      <c r="BM23" s="1" t="s">
        <v>1536</v>
      </c>
      <c r="BN23" s="1" t="s">
        <v>11281</v>
      </c>
      <c r="BO23" s="1" t="s">
        <v>1507</v>
      </c>
      <c r="BP23" s="1" t="s">
        <v>1507</v>
      </c>
      <c r="BQ23" s="1" t="s">
        <v>1507</v>
      </c>
      <c r="BR23" s="1" t="s">
        <v>1507</v>
      </c>
      <c r="BS23" s="1" t="s">
        <v>13744</v>
      </c>
      <c r="BT23" s="1" t="s">
        <v>11282</v>
      </c>
      <c r="BU23" s="1" t="str">
        <f>HYPERLINK("https%3A%2F%2Fwww.webofscience.com%2Fwos%2Fwoscc%2Ffull-record%2FWOS:000503409400001","View Full Record in Web of Science")</f>
        <v>View Full Record in Web of Science</v>
      </c>
    </row>
    <row r="24" spans="1:73" x14ac:dyDescent="0.25">
      <c r="A24" s="1">
        <v>23</v>
      </c>
      <c r="B24" s="1" t="s">
        <v>1506</v>
      </c>
      <c r="C24" s="1" t="s">
        <v>9345</v>
      </c>
      <c r="D24" s="1" t="s">
        <v>1507</v>
      </c>
      <c r="E24" s="1" t="s">
        <v>1507</v>
      </c>
      <c r="F24" s="1" t="s">
        <v>1507</v>
      </c>
      <c r="G24" s="1" t="s">
        <v>9346</v>
      </c>
      <c r="H24" s="1" t="s">
        <v>1507</v>
      </c>
      <c r="I24" s="1" t="s">
        <v>1507</v>
      </c>
      <c r="J24" s="1" t="s">
        <v>9347</v>
      </c>
      <c r="K24" s="1" t="s">
        <v>9348</v>
      </c>
      <c r="L24" s="1" t="s">
        <v>1507</v>
      </c>
      <c r="M24" s="1" t="s">
        <v>1507</v>
      </c>
      <c r="N24" s="1" t="s">
        <v>42</v>
      </c>
      <c r="O24" s="1" t="s">
        <v>56</v>
      </c>
      <c r="P24" s="1" t="s">
        <v>1507</v>
      </c>
      <c r="Q24" s="1" t="s">
        <v>1507</v>
      </c>
      <c r="R24" s="1" t="s">
        <v>1507</v>
      </c>
      <c r="S24" s="1" t="s">
        <v>1507</v>
      </c>
      <c r="T24" s="1" t="s">
        <v>1507</v>
      </c>
      <c r="U24" s="1" t="s">
        <v>9349</v>
      </c>
      <c r="V24" s="1" t="s">
        <v>9350</v>
      </c>
      <c r="W24" s="1" t="s">
        <v>9351</v>
      </c>
      <c r="X24" s="1" t="s">
        <v>9352</v>
      </c>
      <c r="Y24" s="1" t="s">
        <v>9353</v>
      </c>
      <c r="Z24" s="1" t="s">
        <v>9354</v>
      </c>
      <c r="AA24" s="1" t="s">
        <v>9355</v>
      </c>
      <c r="AB24" s="1" t="s">
        <v>15784</v>
      </c>
      <c r="AC24" s="1" t="s">
        <v>15785</v>
      </c>
      <c r="AD24" s="1" t="s">
        <v>9356</v>
      </c>
      <c r="AE24" s="1" t="s">
        <v>9356</v>
      </c>
      <c r="AF24" s="1" t="s">
        <v>9357</v>
      </c>
      <c r="AG24" s="1" t="s">
        <v>1507</v>
      </c>
      <c r="AH24" s="1">
        <v>166</v>
      </c>
      <c r="AI24" s="1">
        <v>23</v>
      </c>
      <c r="AJ24" s="1">
        <v>23</v>
      </c>
      <c r="AK24" s="1">
        <v>0</v>
      </c>
      <c r="AL24" s="1">
        <v>42</v>
      </c>
      <c r="AM24" s="1" t="s">
        <v>1511</v>
      </c>
      <c r="AN24" s="1" t="s">
        <v>1570</v>
      </c>
      <c r="AO24" s="1" t="s">
        <v>1571</v>
      </c>
      <c r="AP24" s="1" t="s">
        <v>9358</v>
      </c>
      <c r="AQ24" s="1" t="s">
        <v>9359</v>
      </c>
      <c r="AR24" s="1" t="s">
        <v>1507</v>
      </c>
      <c r="AS24" s="1" t="s">
        <v>9360</v>
      </c>
      <c r="AT24" s="1" t="s">
        <v>9361</v>
      </c>
      <c r="AU24" s="1" t="s">
        <v>9054</v>
      </c>
      <c r="AV24" s="1">
        <v>2021</v>
      </c>
      <c r="AW24" s="1">
        <v>36</v>
      </c>
      <c r="AX24" s="1">
        <v>2</v>
      </c>
      <c r="AY24" s="1" t="s">
        <v>1507</v>
      </c>
      <c r="AZ24" s="1" t="s">
        <v>1507</v>
      </c>
      <c r="BA24" s="1" t="s">
        <v>1507</v>
      </c>
      <c r="BB24" s="1" t="s">
        <v>1507</v>
      </c>
      <c r="BC24" s="1">
        <v>637</v>
      </c>
      <c r="BD24" s="1">
        <v>663</v>
      </c>
      <c r="BE24" s="1" t="s">
        <v>1507</v>
      </c>
      <c r="BF24" s="1" t="s">
        <v>9362</v>
      </c>
      <c r="BG24" s="1" t="str">
        <f>HYPERLINK("http://dx.doi.org/10.1007/s10980-020-01161-y","http://dx.doi.org/10.1007/s10980-020-01161-y")</f>
        <v>http://dx.doi.org/10.1007/s10980-020-01161-y</v>
      </c>
      <c r="BH24" s="1" t="s">
        <v>1507</v>
      </c>
      <c r="BI24" s="1" t="s">
        <v>9363</v>
      </c>
      <c r="BJ24" s="1">
        <v>27</v>
      </c>
      <c r="BK24" s="1" t="s">
        <v>9364</v>
      </c>
      <c r="BL24" s="1" t="s">
        <v>1598</v>
      </c>
      <c r="BM24" s="1" t="s">
        <v>9365</v>
      </c>
      <c r="BN24" s="1" t="s">
        <v>9366</v>
      </c>
      <c r="BO24" s="1" t="s">
        <v>1507</v>
      </c>
      <c r="BP24" s="1" t="s">
        <v>2309</v>
      </c>
      <c r="BQ24" s="1" t="s">
        <v>1507</v>
      </c>
      <c r="BR24" s="1" t="s">
        <v>1507</v>
      </c>
      <c r="BS24" s="1" t="s">
        <v>13744</v>
      </c>
      <c r="BT24" s="1" t="s">
        <v>9367</v>
      </c>
      <c r="BU24" s="1" t="str">
        <f>HYPERLINK("https%3A%2F%2Fwww.webofscience.com%2Fwos%2Fwoscc%2Ffull-record%2FWOS:000599036400001","View Full Record in Web of Science")</f>
        <v>View Full Record in Web of Science</v>
      </c>
    </row>
    <row r="25" spans="1:73" x14ac:dyDescent="0.25">
      <c r="A25" s="1">
        <v>24</v>
      </c>
      <c r="B25" s="1" t="s">
        <v>1506</v>
      </c>
      <c r="C25" s="1" t="s">
        <v>3248</v>
      </c>
      <c r="D25" s="1" t="s">
        <v>1507</v>
      </c>
      <c r="E25" s="1" t="s">
        <v>1507</v>
      </c>
      <c r="F25" s="1" t="s">
        <v>1507</v>
      </c>
      <c r="G25" s="1" t="s">
        <v>3249</v>
      </c>
      <c r="H25" s="1" t="s">
        <v>1507</v>
      </c>
      <c r="I25" s="1" t="s">
        <v>1507</v>
      </c>
      <c r="J25" s="1" t="s">
        <v>3250</v>
      </c>
      <c r="K25" s="1" t="s">
        <v>3251</v>
      </c>
      <c r="L25" s="1" t="s">
        <v>1507</v>
      </c>
      <c r="M25" s="1" t="s">
        <v>1507</v>
      </c>
      <c r="N25" s="1" t="s">
        <v>42</v>
      </c>
      <c r="O25" s="1" t="s">
        <v>56</v>
      </c>
      <c r="P25" s="1" t="s">
        <v>1507</v>
      </c>
      <c r="Q25" s="1" t="s">
        <v>1507</v>
      </c>
      <c r="R25" s="1" t="s">
        <v>1507</v>
      </c>
      <c r="S25" s="1" t="s">
        <v>1507</v>
      </c>
      <c r="T25" s="1" t="s">
        <v>1507</v>
      </c>
      <c r="U25" s="1" t="s">
        <v>3252</v>
      </c>
      <c r="V25" s="1" t="s">
        <v>3253</v>
      </c>
      <c r="W25" s="1" t="s">
        <v>3254</v>
      </c>
      <c r="X25" s="1" t="s">
        <v>3255</v>
      </c>
      <c r="Y25" s="1" t="s">
        <v>3256</v>
      </c>
      <c r="Z25" s="1" t="s">
        <v>3257</v>
      </c>
      <c r="AA25" s="1" t="s">
        <v>3258</v>
      </c>
      <c r="AB25" s="1" t="s">
        <v>3259</v>
      </c>
      <c r="AC25" s="1" t="s">
        <v>14296</v>
      </c>
      <c r="AD25" s="1" t="s">
        <v>3260</v>
      </c>
      <c r="AE25" s="1" t="s">
        <v>3261</v>
      </c>
      <c r="AF25" s="1" t="s">
        <v>3262</v>
      </c>
      <c r="AG25" s="1" t="s">
        <v>1507</v>
      </c>
      <c r="AH25" s="1">
        <v>75</v>
      </c>
      <c r="AI25" s="1">
        <v>2</v>
      </c>
      <c r="AJ25" s="1">
        <v>2</v>
      </c>
      <c r="AK25" s="1">
        <v>16</v>
      </c>
      <c r="AL25" s="1">
        <v>16</v>
      </c>
      <c r="AM25" s="1" t="s">
        <v>3263</v>
      </c>
      <c r="AN25" s="1" t="s">
        <v>2300</v>
      </c>
      <c r="AO25" s="1" t="s">
        <v>3264</v>
      </c>
      <c r="AP25" s="1" t="s">
        <v>3265</v>
      </c>
      <c r="AQ25" s="1" t="s">
        <v>3266</v>
      </c>
      <c r="AR25" s="1" t="s">
        <v>1507</v>
      </c>
      <c r="AS25" s="1" t="s">
        <v>3267</v>
      </c>
      <c r="AT25" s="1" t="s">
        <v>3268</v>
      </c>
      <c r="AU25" s="1" t="s">
        <v>3269</v>
      </c>
      <c r="AV25" s="1">
        <v>2023</v>
      </c>
      <c r="AW25" s="1">
        <v>120</v>
      </c>
      <c r="AX25" s="1">
        <v>41</v>
      </c>
      <c r="AY25" s="1" t="s">
        <v>1507</v>
      </c>
      <c r="AZ25" s="1" t="s">
        <v>1507</v>
      </c>
      <c r="BA25" s="1" t="s">
        <v>1507</v>
      </c>
      <c r="BB25" s="1" t="s">
        <v>1507</v>
      </c>
      <c r="BC25" s="1" t="s">
        <v>1507</v>
      </c>
      <c r="BD25" s="1" t="s">
        <v>1507</v>
      </c>
      <c r="BE25" s="1" t="s">
        <v>3270</v>
      </c>
      <c r="BF25" s="1" t="s">
        <v>3271</v>
      </c>
      <c r="BG25" s="1" t="str">
        <f>HYPERLINK("http://dx.doi.org/10.1073/pnas.2311627120","http://dx.doi.org/10.1073/pnas.2311627120")</f>
        <v>http://dx.doi.org/10.1073/pnas.2311627120</v>
      </c>
      <c r="BH25" s="1" t="s">
        <v>1507</v>
      </c>
      <c r="BI25" s="1" t="s">
        <v>1507</v>
      </c>
      <c r="BJ25" s="1">
        <v>8</v>
      </c>
      <c r="BK25" s="1" t="s">
        <v>1776</v>
      </c>
      <c r="BL25" s="1" t="s">
        <v>1573</v>
      </c>
      <c r="BM25" s="1" t="s">
        <v>1777</v>
      </c>
      <c r="BN25" s="1" t="s">
        <v>3272</v>
      </c>
      <c r="BO25" s="1">
        <v>37788311</v>
      </c>
      <c r="BP25" s="1" t="s">
        <v>2309</v>
      </c>
      <c r="BQ25" s="1" t="s">
        <v>1507</v>
      </c>
      <c r="BR25" s="1" t="s">
        <v>1507</v>
      </c>
      <c r="BS25" s="1" t="s">
        <v>13744</v>
      </c>
      <c r="BT25" s="1" t="s">
        <v>3273</v>
      </c>
      <c r="BU25" s="1" t="str">
        <f>HYPERLINK("https%3A%2F%2Fwww.webofscience.com%2Fwos%2Fwoscc%2Ffull-record%2FWOS:001088928400004","View Full Record in Web of Science")</f>
        <v>View Full Record in Web of Science</v>
      </c>
    </row>
    <row r="26" spans="1:73" x14ac:dyDescent="0.25">
      <c r="A26" s="1">
        <v>25</v>
      </c>
      <c r="B26" s="1" t="s">
        <v>1506</v>
      </c>
      <c r="C26" s="1" t="s">
        <v>13775</v>
      </c>
      <c r="D26" s="1" t="s">
        <v>1507</v>
      </c>
      <c r="E26" s="1" t="s">
        <v>1507</v>
      </c>
      <c r="F26" s="1" t="s">
        <v>1507</v>
      </c>
      <c r="G26" s="1" t="s">
        <v>13776</v>
      </c>
      <c r="H26" s="1" t="s">
        <v>1507</v>
      </c>
      <c r="I26" s="1" t="s">
        <v>1507</v>
      </c>
      <c r="J26" s="1" t="s">
        <v>13777</v>
      </c>
      <c r="K26" s="1" t="s">
        <v>13778</v>
      </c>
      <c r="L26" s="1" t="s">
        <v>1507</v>
      </c>
      <c r="M26" s="1" t="s">
        <v>1507</v>
      </c>
      <c r="N26" s="1" t="s">
        <v>42</v>
      </c>
      <c r="O26" s="1" t="s">
        <v>13186</v>
      </c>
      <c r="P26" s="1" t="s">
        <v>1507</v>
      </c>
      <c r="Q26" s="1" t="s">
        <v>1507</v>
      </c>
      <c r="R26" s="1" t="s">
        <v>1507</v>
      </c>
      <c r="S26" s="1" t="s">
        <v>1507</v>
      </c>
      <c r="T26" s="1" t="s">
        <v>1507</v>
      </c>
      <c r="U26" s="1" t="s">
        <v>13779</v>
      </c>
      <c r="V26" s="1" t="s">
        <v>1507</v>
      </c>
      <c r="W26" s="1" t="s">
        <v>1507</v>
      </c>
      <c r="X26" s="1" t="s">
        <v>13780</v>
      </c>
      <c r="Y26" s="1" t="s">
        <v>13781</v>
      </c>
      <c r="Z26" s="1" t="s">
        <v>13782</v>
      </c>
      <c r="AA26" s="1" t="s">
        <v>13783</v>
      </c>
      <c r="AB26" s="1" t="s">
        <v>1507</v>
      </c>
      <c r="AC26" s="1" t="s">
        <v>13784</v>
      </c>
      <c r="AD26" s="1" t="s">
        <v>1507</v>
      </c>
      <c r="AE26" s="1" t="s">
        <v>1507</v>
      </c>
      <c r="AF26" s="1" t="s">
        <v>1507</v>
      </c>
      <c r="AG26" s="1" t="s">
        <v>1507</v>
      </c>
      <c r="AH26" s="1">
        <v>10</v>
      </c>
      <c r="AI26" s="1">
        <v>1</v>
      </c>
      <c r="AJ26" s="1">
        <v>1</v>
      </c>
      <c r="AK26" s="1">
        <v>3</v>
      </c>
      <c r="AL26" s="1">
        <v>3</v>
      </c>
      <c r="AM26" s="1" t="s">
        <v>1582</v>
      </c>
      <c r="AN26" s="1" t="s">
        <v>1583</v>
      </c>
      <c r="AO26" s="1" t="s">
        <v>1584</v>
      </c>
      <c r="AP26" s="1" t="s">
        <v>13785</v>
      </c>
      <c r="AQ26" s="1" t="s">
        <v>13786</v>
      </c>
      <c r="AR26" s="1" t="s">
        <v>1507</v>
      </c>
      <c r="AS26" s="1" t="s">
        <v>13787</v>
      </c>
      <c r="AT26" s="1" t="s">
        <v>13788</v>
      </c>
      <c r="AU26" s="1" t="s">
        <v>13789</v>
      </c>
      <c r="AV26" s="1">
        <v>2024</v>
      </c>
      <c r="AW26" s="1">
        <v>100</v>
      </c>
      <c r="AX26" s="1">
        <v>1182</v>
      </c>
      <c r="AY26" s="1" t="s">
        <v>1507</v>
      </c>
      <c r="AZ26" s="1" t="s">
        <v>1507</v>
      </c>
      <c r="BA26" s="1" t="s">
        <v>1507</v>
      </c>
      <c r="BB26" s="1" t="s">
        <v>1507</v>
      </c>
      <c r="BC26" s="1">
        <v>274</v>
      </c>
      <c r="BD26" s="1">
        <v>275</v>
      </c>
      <c r="BE26" s="1" t="s">
        <v>1507</v>
      </c>
      <c r="BF26" s="1" t="s">
        <v>13790</v>
      </c>
      <c r="BG26" s="1" t="str">
        <f>HYPERLINK("http://dx.doi.org/10.1093/postmj/qgad128","http://dx.doi.org/10.1093/postmj/qgad128")</f>
        <v>http://dx.doi.org/10.1093/postmj/qgad128</v>
      </c>
      <c r="BH26" s="1" t="s">
        <v>1507</v>
      </c>
      <c r="BI26" s="1" t="s">
        <v>1652</v>
      </c>
      <c r="BJ26" s="1">
        <v>2</v>
      </c>
      <c r="BK26" s="1" t="s">
        <v>1949</v>
      </c>
      <c r="BL26" s="1" t="s">
        <v>1573</v>
      </c>
      <c r="BM26" s="1" t="s">
        <v>1950</v>
      </c>
      <c r="BN26" s="1" t="s">
        <v>13791</v>
      </c>
      <c r="BO26" s="1">
        <v>38142282</v>
      </c>
      <c r="BP26" s="1" t="s">
        <v>1507</v>
      </c>
      <c r="BQ26" s="1" t="s">
        <v>1507</v>
      </c>
      <c r="BR26" s="1" t="s">
        <v>1507</v>
      </c>
      <c r="BS26" s="1" t="s">
        <v>13744</v>
      </c>
      <c r="BT26" s="1" t="s">
        <v>13792</v>
      </c>
      <c r="BU26" s="1" t="str">
        <f>HYPERLINK("https%3A%2F%2Fwww.webofscience.com%2Fwos%2Fwoscc%2Ffull-record%2FWOS:001133640600001","View Full Record in Web of Science")</f>
        <v>View Full Record in Web of Science</v>
      </c>
    </row>
    <row r="27" spans="1:73" x14ac:dyDescent="0.25">
      <c r="A27" s="1">
        <v>26</v>
      </c>
      <c r="B27" s="1" t="s">
        <v>1506</v>
      </c>
      <c r="C27" s="1" t="s">
        <v>9871</v>
      </c>
      <c r="D27" s="1" t="s">
        <v>1507</v>
      </c>
      <c r="E27" s="1" t="s">
        <v>1507</v>
      </c>
      <c r="F27" s="1" t="s">
        <v>1507</v>
      </c>
      <c r="G27" s="1" t="s">
        <v>9872</v>
      </c>
      <c r="H27" s="1" t="s">
        <v>1507</v>
      </c>
      <c r="I27" s="1" t="s">
        <v>1507</v>
      </c>
      <c r="J27" s="1" t="s">
        <v>9873</v>
      </c>
      <c r="K27" s="1" t="s">
        <v>9874</v>
      </c>
      <c r="L27" s="1" t="s">
        <v>1507</v>
      </c>
      <c r="M27" s="1" t="s">
        <v>1507</v>
      </c>
      <c r="N27" s="1" t="s">
        <v>42</v>
      </c>
      <c r="O27" s="1" t="s">
        <v>56</v>
      </c>
      <c r="P27" s="1" t="s">
        <v>1507</v>
      </c>
      <c r="Q27" s="1" t="s">
        <v>1507</v>
      </c>
      <c r="R27" s="1" t="s">
        <v>1507</v>
      </c>
      <c r="S27" s="1" t="s">
        <v>1507</v>
      </c>
      <c r="T27" s="1" t="s">
        <v>1507</v>
      </c>
      <c r="U27" s="1" t="s">
        <v>9875</v>
      </c>
      <c r="V27" s="1" t="s">
        <v>9876</v>
      </c>
      <c r="W27" s="1" t="s">
        <v>9877</v>
      </c>
      <c r="X27" s="1" t="s">
        <v>9878</v>
      </c>
      <c r="Y27" s="1" t="s">
        <v>9879</v>
      </c>
      <c r="Z27" s="1" t="s">
        <v>9880</v>
      </c>
      <c r="AA27" s="1" t="s">
        <v>9881</v>
      </c>
      <c r="AB27" s="1" t="s">
        <v>1507</v>
      </c>
      <c r="AC27" s="1" t="s">
        <v>15814</v>
      </c>
      <c r="AD27" s="1" t="s">
        <v>9882</v>
      </c>
      <c r="AE27" s="1" t="s">
        <v>9883</v>
      </c>
      <c r="AF27" s="1" t="s">
        <v>9884</v>
      </c>
      <c r="AG27" s="1" t="s">
        <v>1507</v>
      </c>
      <c r="AH27" s="1">
        <v>77</v>
      </c>
      <c r="AI27" s="1">
        <v>6</v>
      </c>
      <c r="AJ27" s="1">
        <v>6</v>
      </c>
      <c r="AK27" s="1">
        <v>4</v>
      </c>
      <c r="AL27" s="1">
        <v>25</v>
      </c>
      <c r="AM27" s="1" t="s">
        <v>1511</v>
      </c>
      <c r="AN27" s="1" t="s">
        <v>1512</v>
      </c>
      <c r="AO27" s="1" t="s">
        <v>1513</v>
      </c>
      <c r="AP27" s="1" t="s">
        <v>9885</v>
      </c>
      <c r="AQ27" s="1" t="s">
        <v>9886</v>
      </c>
      <c r="AR27" s="1" t="s">
        <v>1507</v>
      </c>
      <c r="AS27" s="1" t="s">
        <v>9887</v>
      </c>
      <c r="AT27" s="1" t="s">
        <v>9888</v>
      </c>
      <c r="AU27" s="1" t="s">
        <v>1616</v>
      </c>
      <c r="AV27" s="1">
        <v>2021</v>
      </c>
      <c r="AW27" s="1">
        <v>44</v>
      </c>
      <c r="AX27" s="1">
        <v>1</v>
      </c>
      <c r="AY27" s="1" t="s">
        <v>1507</v>
      </c>
      <c r="AZ27" s="1" t="s">
        <v>1507</v>
      </c>
      <c r="BA27" s="1" t="s">
        <v>1507</v>
      </c>
      <c r="BB27" s="1" t="s">
        <v>1507</v>
      </c>
      <c r="BC27" s="1">
        <v>178</v>
      </c>
      <c r="BD27" s="1">
        <v>188</v>
      </c>
      <c r="BE27" s="1" t="s">
        <v>1507</v>
      </c>
      <c r="BF27" s="1" t="s">
        <v>9889</v>
      </c>
      <c r="BG27" s="1" t="str">
        <f>HYPERLINK("http://dx.doi.org/10.1007/s12237-020-00765-6","http://dx.doi.org/10.1007/s12237-020-00765-6")</f>
        <v>http://dx.doi.org/10.1007/s12237-020-00765-6</v>
      </c>
      <c r="BH27" s="1" t="s">
        <v>1507</v>
      </c>
      <c r="BI27" s="1" t="s">
        <v>9890</v>
      </c>
      <c r="BJ27" s="1">
        <v>11</v>
      </c>
      <c r="BK27" s="1" t="s">
        <v>9891</v>
      </c>
      <c r="BL27" s="1" t="s">
        <v>1573</v>
      </c>
      <c r="BM27" s="1" t="s">
        <v>9892</v>
      </c>
      <c r="BN27" s="1" t="s">
        <v>9893</v>
      </c>
      <c r="BO27" s="1" t="s">
        <v>1507</v>
      </c>
      <c r="BP27" s="1" t="s">
        <v>1507</v>
      </c>
      <c r="BQ27" s="1" t="s">
        <v>1507</v>
      </c>
      <c r="BR27" s="1" t="s">
        <v>1507</v>
      </c>
      <c r="BS27" s="1" t="s">
        <v>13744</v>
      </c>
      <c r="BT27" s="1" t="s">
        <v>9894</v>
      </c>
      <c r="BU27" s="1" t="str">
        <f>HYPERLINK("https%3A%2F%2Fwww.webofscience.com%2Fwos%2Fwoscc%2Ffull-record%2FWOS:000536447900001","View Full Record in Web of Science")</f>
        <v>View Full Record in Web of Science</v>
      </c>
    </row>
    <row r="28" spans="1:73" x14ac:dyDescent="0.25">
      <c r="A28" s="1">
        <v>27</v>
      </c>
      <c r="B28" s="1" t="s">
        <v>1506</v>
      </c>
      <c r="C28" s="1" t="s">
        <v>14347</v>
      </c>
      <c r="D28" s="1" t="s">
        <v>1507</v>
      </c>
      <c r="E28" s="1" t="s">
        <v>1507</v>
      </c>
      <c r="F28" s="1" t="s">
        <v>1507</v>
      </c>
      <c r="G28" s="1" t="s">
        <v>14348</v>
      </c>
      <c r="H28" s="1" t="s">
        <v>1507</v>
      </c>
      <c r="I28" s="1" t="s">
        <v>1507</v>
      </c>
      <c r="J28" s="1" t="s">
        <v>14349</v>
      </c>
      <c r="K28" s="1" t="s">
        <v>14350</v>
      </c>
      <c r="L28" s="1" t="s">
        <v>1507</v>
      </c>
      <c r="M28" s="1" t="s">
        <v>1507</v>
      </c>
      <c r="N28" s="1" t="s">
        <v>42</v>
      </c>
      <c r="O28" s="1" t="s">
        <v>1487</v>
      </c>
      <c r="P28" s="1" t="s">
        <v>14351</v>
      </c>
      <c r="Q28" s="1" t="s">
        <v>14352</v>
      </c>
      <c r="R28" s="1" t="s">
        <v>14353</v>
      </c>
      <c r="S28" s="1" t="s">
        <v>1507</v>
      </c>
      <c r="T28" s="1" t="s">
        <v>1507</v>
      </c>
      <c r="U28" s="1" t="s">
        <v>1507</v>
      </c>
      <c r="V28" s="1" t="s">
        <v>1507</v>
      </c>
      <c r="W28" s="1" t="s">
        <v>1507</v>
      </c>
      <c r="X28" s="1" t="s">
        <v>14354</v>
      </c>
      <c r="Y28" s="1" t="s">
        <v>4160</v>
      </c>
      <c r="Z28" s="1" t="s">
        <v>1507</v>
      </c>
      <c r="AA28" s="1" t="s">
        <v>1507</v>
      </c>
      <c r="AB28" s="1" t="s">
        <v>1507</v>
      </c>
      <c r="AC28" s="1" t="s">
        <v>14355</v>
      </c>
      <c r="AD28" s="1" t="s">
        <v>1507</v>
      </c>
      <c r="AE28" s="1" t="s">
        <v>1507</v>
      </c>
      <c r="AF28" s="1" t="s">
        <v>1507</v>
      </c>
      <c r="AG28" s="1" t="s">
        <v>1507</v>
      </c>
      <c r="AH28" s="1">
        <v>0</v>
      </c>
      <c r="AI28" s="1">
        <v>0</v>
      </c>
      <c r="AJ28" s="1">
        <v>0</v>
      </c>
      <c r="AK28" s="1">
        <v>1</v>
      </c>
      <c r="AL28" s="1">
        <v>1</v>
      </c>
      <c r="AM28" s="1" t="s">
        <v>14356</v>
      </c>
      <c r="AN28" s="1" t="s">
        <v>1512</v>
      </c>
      <c r="AO28" s="1" t="s">
        <v>14357</v>
      </c>
      <c r="AP28" s="1" t="s">
        <v>14358</v>
      </c>
      <c r="AQ28" s="1" t="s">
        <v>14359</v>
      </c>
      <c r="AR28" s="1" t="s">
        <v>1507</v>
      </c>
      <c r="AS28" s="1" t="s">
        <v>14360</v>
      </c>
      <c r="AT28" s="1" t="s">
        <v>14361</v>
      </c>
      <c r="AU28" s="1" t="s">
        <v>2889</v>
      </c>
      <c r="AV28" s="1">
        <v>2023</v>
      </c>
      <c r="AW28" s="1">
        <v>82</v>
      </c>
      <c r="AX28" s="1">
        <v>4</v>
      </c>
      <c r="AY28" s="1" t="s">
        <v>1507</v>
      </c>
      <c r="AZ28" s="1" t="s">
        <v>11902</v>
      </c>
      <c r="BA28" s="1" t="s">
        <v>1507</v>
      </c>
      <c r="BB28" s="1">
        <v>312</v>
      </c>
      <c r="BC28" s="1" t="s">
        <v>14362</v>
      </c>
      <c r="BD28" s="1" t="s">
        <v>14362</v>
      </c>
      <c r="BE28" s="1" t="s">
        <v>1507</v>
      </c>
      <c r="BF28" s="1" t="s">
        <v>1507</v>
      </c>
      <c r="BG28" s="1" t="s">
        <v>1507</v>
      </c>
      <c r="BH28" s="1" t="s">
        <v>1507</v>
      </c>
      <c r="BI28" s="1" t="s">
        <v>1507</v>
      </c>
      <c r="BJ28" s="1">
        <v>1</v>
      </c>
      <c r="BK28" s="1" t="s">
        <v>1932</v>
      </c>
      <c r="BL28" s="1" t="s">
        <v>11691</v>
      </c>
      <c r="BM28" s="1" t="s">
        <v>1932</v>
      </c>
      <c r="BN28" s="1" t="s">
        <v>14363</v>
      </c>
      <c r="BO28" s="1" t="s">
        <v>1507</v>
      </c>
      <c r="BP28" s="1" t="s">
        <v>1507</v>
      </c>
      <c r="BQ28" s="1" t="s">
        <v>1507</v>
      </c>
      <c r="BR28" s="1" t="s">
        <v>1507</v>
      </c>
      <c r="BS28" s="1" t="s">
        <v>13744</v>
      </c>
      <c r="BT28" s="1" t="s">
        <v>14364</v>
      </c>
      <c r="BU28" s="1" t="str">
        <f>HYPERLINK("https%3A%2F%2Fwww.webofscience.com%2Fwos%2Fwoscc%2Ffull-record%2FWOS:001080998600309","View Full Record in Web of Science")</f>
        <v>View Full Record in Web of Science</v>
      </c>
    </row>
    <row r="29" spans="1:73" x14ac:dyDescent="0.25">
      <c r="A29" s="1">
        <v>28</v>
      </c>
      <c r="B29" s="1" t="s">
        <v>1506</v>
      </c>
      <c r="C29" s="1" t="s">
        <v>10964</v>
      </c>
      <c r="D29" s="1" t="s">
        <v>1507</v>
      </c>
      <c r="E29" s="1" t="s">
        <v>1507</v>
      </c>
      <c r="F29" s="1" t="s">
        <v>1507</v>
      </c>
      <c r="G29" s="1" t="s">
        <v>10965</v>
      </c>
      <c r="H29" s="1" t="s">
        <v>1507</v>
      </c>
      <c r="I29" s="1" t="s">
        <v>1507</v>
      </c>
      <c r="J29" s="1" t="s">
        <v>10966</v>
      </c>
      <c r="K29" s="1" t="s">
        <v>3555</v>
      </c>
      <c r="L29" s="1" t="s">
        <v>1507</v>
      </c>
      <c r="M29" s="1" t="s">
        <v>1507</v>
      </c>
      <c r="N29" s="1" t="s">
        <v>42</v>
      </c>
      <c r="O29" s="1" t="s">
        <v>56</v>
      </c>
      <c r="P29" s="1" t="s">
        <v>1507</v>
      </c>
      <c r="Q29" s="1" t="s">
        <v>1507</v>
      </c>
      <c r="R29" s="1" t="s">
        <v>1507</v>
      </c>
      <c r="S29" s="1" t="s">
        <v>1507</v>
      </c>
      <c r="T29" s="1" t="s">
        <v>1507</v>
      </c>
      <c r="U29" s="1" t="s">
        <v>10967</v>
      </c>
      <c r="V29" s="1" t="s">
        <v>1507</v>
      </c>
      <c r="W29" s="1" t="s">
        <v>10968</v>
      </c>
      <c r="X29" s="1" t="s">
        <v>10969</v>
      </c>
      <c r="Y29" s="1" t="s">
        <v>5170</v>
      </c>
      <c r="Z29" s="1" t="s">
        <v>10970</v>
      </c>
      <c r="AA29" s="1" t="s">
        <v>10971</v>
      </c>
      <c r="AB29" s="1" t="s">
        <v>15929</v>
      </c>
      <c r="AC29" s="1" t="s">
        <v>15930</v>
      </c>
      <c r="AD29" s="1" t="s">
        <v>10973</v>
      </c>
      <c r="AE29" s="1" t="s">
        <v>10973</v>
      </c>
      <c r="AF29" s="1" t="s">
        <v>10974</v>
      </c>
      <c r="AG29" s="1" t="s">
        <v>1507</v>
      </c>
      <c r="AH29" s="1">
        <v>87</v>
      </c>
      <c r="AI29" s="1">
        <v>4</v>
      </c>
      <c r="AJ29" s="1">
        <v>4</v>
      </c>
      <c r="AK29" s="1">
        <v>0</v>
      </c>
      <c r="AL29" s="1">
        <v>1</v>
      </c>
      <c r="AM29" s="1" t="s">
        <v>3564</v>
      </c>
      <c r="AN29" s="1" t="s">
        <v>1523</v>
      </c>
      <c r="AO29" s="1" t="s">
        <v>3565</v>
      </c>
      <c r="AP29" s="1" t="s">
        <v>3566</v>
      </c>
      <c r="AQ29" s="1" t="s">
        <v>3567</v>
      </c>
      <c r="AR29" s="1" t="s">
        <v>1507</v>
      </c>
      <c r="AS29" s="1" t="s">
        <v>3568</v>
      </c>
      <c r="AT29" s="1" t="s">
        <v>3569</v>
      </c>
      <c r="AU29" s="1" t="s">
        <v>4721</v>
      </c>
      <c r="AV29" s="1">
        <v>2019</v>
      </c>
      <c r="AW29" s="1">
        <v>63</v>
      </c>
      <c r="AX29" s="1">
        <v>2</v>
      </c>
      <c r="AY29" s="1" t="s">
        <v>1507</v>
      </c>
      <c r="AZ29" s="1" t="s">
        <v>1507</v>
      </c>
      <c r="BA29" s="1" t="s">
        <v>1507</v>
      </c>
      <c r="BB29" s="1" t="s">
        <v>1507</v>
      </c>
      <c r="BC29" s="1">
        <v>163</v>
      </c>
      <c r="BD29" s="1">
        <v>191</v>
      </c>
      <c r="BE29" s="1" t="s">
        <v>10975</v>
      </c>
      <c r="BF29" s="1" t="s">
        <v>10976</v>
      </c>
      <c r="BG29" s="1" t="str">
        <f>HYPERLINK("http://dx.doi.org/10.1017/S0021855319000196","http://dx.doi.org/10.1017/S0021855319000196")</f>
        <v>http://dx.doi.org/10.1017/S0021855319000196</v>
      </c>
      <c r="BH29" s="1" t="s">
        <v>1507</v>
      </c>
      <c r="BI29" s="1" t="s">
        <v>1507</v>
      </c>
      <c r="BJ29" s="1">
        <v>29</v>
      </c>
      <c r="BK29" s="1" t="s">
        <v>1535</v>
      </c>
      <c r="BL29" s="1" t="s">
        <v>1518</v>
      </c>
      <c r="BM29" s="1" t="s">
        <v>1536</v>
      </c>
      <c r="BN29" s="1" t="s">
        <v>10977</v>
      </c>
      <c r="BO29" s="1" t="s">
        <v>1507</v>
      </c>
      <c r="BP29" s="1" t="s">
        <v>1507</v>
      </c>
      <c r="BQ29" s="1" t="s">
        <v>1507</v>
      </c>
      <c r="BR29" s="1" t="s">
        <v>1507</v>
      </c>
      <c r="BS29" s="1" t="s">
        <v>13744</v>
      </c>
      <c r="BT29" s="1" t="s">
        <v>10978</v>
      </c>
      <c r="BU29" s="1" t="str">
        <f>HYPERLINK("https%3A%2F%2Fwww.webofscience.com%2Fwos%2Fwoscc%2Ffull-record%2FWOS:000484283500002","View Full Record in Web of Science")</f>
        <v>View Full Record in Web of Science</v>
      </c>
    </row>
    <row r="30" spans="1:73" x14ac:dyDescent="0.25">
      <c r="A30" s="1">
        <v>29</v>
      </c>
      <c r="B30" s="1" t="s">
        <v>1506</v>
      </c>
      <c r="C30" s="1" t="s">
        <v>10964</v>
      </c>
      <c r="D30" s="1" t="s">
        <v>1507</v>
      </c>
      <c r="E30" s="1" t="s">
        <v>1507</v>
      </c>
      <c r="F30" s="1" t="s">
        <v>1507</v>
      </c>
      <c r="G30" s="1" t="s">
        <v>10965</v>
      </c>
      <c r="H30" s="1" t="s">
        <v>1507</v>
      </c>
      <c r="I30" s="1" t="s">
        <v>1507</v>
      </c>
      <c r="J30" s="1" t="s">
        <v>11041</v>
      </c>
      <c r="K30" s="1" t="s">
        <v>5034</v>
      </c>
      <c r="L30" s="1" t="s">
        <v>1507</v>
      </c>
      <c r="M30" s="1" t="s">
        <v>1507</v>
      </c>
      <c r="N30" s="1" t="s">
        <v>42</v>
      </c>
      <c r="O30" s="1" t="s">
        <v>56</v>
      </c>
      <c r="P30" s="1" t="s">
        <v>1507</v>
      </c>
      <c r="Q30" s="1" t="s">
        <v>1507</v>
      </c>
      <c r="R30" s="1" t="s">
        <v>1507</v>
      </c>
      <c r="S30" s="1" t="s">
        <v>1507</v>
      </c>
      <c r="T30" s="1" t="s">
        <v>1507</v>
      </c>
      <c r="U30" s="1" t="s">
        <v>1507</v>
      </c>
      <c r="V30" s="1" t="s">
        <v>1507</v>
      </c>
      <c r="W30" s="1" t="s">
        <v>1507</v>
      </c>
      <c r="X30" s="1" t="s">
        <v>10969</v>
      </c>
      <c r="Y30" s="1" t="s">
        <v>5170</v>
      </c>
      <c r="Z30" s="1" t="s">
        <v>10970</v>
      </c>
      <c r="AA30" s="1" t="s">
        <v>1507</v>
      </c>
      <c r="AB30" s="1" t="s">
        <v>15929</v>
      </c>
      <c r="AC30" s="1" t="s">
        <v>15930</v>
      </c>
      <c r="AD30" s="1" t="s">
        <v>10973</v>
      </c>
      <c r="AE30" s="1" t="s">
        <v>10973</v>
      </c>
      <c r="AF30" s="1" t="s">
        <v>11042</v>
      </c>
      <c r="AG30" s="1" t="s">
        <v>1507</v>
      </c>
      <c r="AH30" s="1">
        <v>36</v>
      </c>
      <c r="AI30" s="1">
        <v>5</v>
      </c>
      <c r="AJ30" s="1">
        <v>5</v>
      </c>
      <c r="AK30" s="1">
        <v>0</v>
      </c>
      <c r="AL30" s="1">
        <v>1</v>
      </c>
      <c r="AM30" s="1" t="s">
        <v>3500</v>
      </c>
      <c r="AN30" s="1" t="s">
        <v>3501</v>
      </c>
      <c r="AO30" s="1" t="s">
        <v>3502</v>
      </c>
      <c r="AP30" s="1" t="s">
        <v>5041</v>
      </c>
      <c r="AQ30" s="1" t="s">
        <v>5042</v>
      </c>
      <c r="AR30" s="1" t="s">
        <v>1507</v>
      </c>
      <c r="AS30" s="1" t="s">
        <v>5043</v>
      </c>
      <c r="AT30" s="1" t="s">
        <v>5044</v>
      </c>
      <c r="AU30" s="1" t="s">
        <v>5045</v>
      </c>
      <c r="AV30" s="1">
        <v>2019</v>
      </c>
      <c r="AW30" s="1">
        <v>27</v>
      </c>
      <c r="AX30" s="1">
        <v>2</v>
      </c>
      <c r="AY30" s="1" t="s">
        <v>1507</v>
      </c>
      <c r="AZ30" s="1" t="s">
        <v>1507</v>
      </c>
      <c r="BA30" s="1" t="s">
        <v>1507</v>
      </c>
      <c r="BB30" s="1" t="s">
        <v>1507</v>
      </c>
      <c r="BC30" s="1">
        <v>268</v>
      </c>
      <c r="BD30" s="1">
        <v>291</v>
      </c>
      <c r="BE30" s="1" t="s">
        <v>1507</v>
      </c>
      <c r="BF30" s="1" t="s">
        <v>11043</v>
      </c>
      <c r="BG30" s="1" t="str">
        <f>HYPERLINK("http://dx.doi.org/10.3366/ajicl.2019.0272","http://dx.doi.org/10.3366/ajicl.2019.0272")</f>
        <v>http://dx.doi.org/10.3366/ajicl.2019.0272</v>
      </c>
      <c r="BH30" s="1" t="s">
        <v>1507</v>
      </c>
      <c r="BI30" s="1" t="s">
        <v>1507</v>
      </c>
      <c r="BJ30" s="1">
        <v>24</v>
      </c>
      <c r="BK30" s="1" t="s">
        <v>1535</v>
      </c>
      <c r="BL30" s="1" t="s">
        <v>1529</v>
      </c>
      <c r="BM30" s="1" t="s">
        <v>1536</v>
      </c>
      <c r="BN30" s="1" t="s">
        <v>11044</v>
      </c>
      <c r="BO30" s="1" t="s">
        <v>1507</v>
      </c>
      <c r="BP30" s="1" t="s">
        <v>1507</v>
      </c>
      <c r="BQ30" s="1" t="s">
        <v>1507</v>
      </c>
      <c r="BR30" s="1" t="s">
        <v>1507</v>
      </c>
      <c r="BS30" s="1" t="s">
        <v>13744</v>
      </c>
      <c r="BT30" s="1" t="s">
        <v>11045</v>
      </c>
      <c r="BU30" s="1" t="str">
        <f>HYPERLINK("https%3A%2F%2Fwww.webofscience.com%2Fwos%2Fwoscc%2Ffull-record%2FWOS:000467271000005","View Full Record in Web of Science")</f>
        <v>View Full Record in Web of Science</v>
      </c>
    </row>
    <row r="31" spans="1:73" x14ac:dyDescent="0.25">
      <c r="A31" s="1">
        <v>30</v>
      </c>
      <c r="B31" s="1" t="s">
        <v>1506</v>
      </c>
      <c r="C31" s="1" t="s">
        <v>10964</v>
      </c>
      <c r="D31" s="1" t="s">
        <v>1507</v>
      </c>
      <c r="E31" s="1" t="s">
        <v>1507</v>
      </c>
      <c r="F31" s="1" t="s">
        <v>1507</v>
      </c>
      <c r="G31" s="1" t="s">
        <v>10965</v>
      </c>
      <c r="H31" s="1" t="s">
        <v>1507</v>
      </c>
      <c r="I31" s="1" t="s">
        <v>1507</v>
      </c>
      <c r="J31" s="1" t="s">
        <v>11109</v>
      </c>
      <c r="K31" s="1" t="s">
        <v>11110</v>
      </c>
      <c r="L31" s="1" t="s">
        <v>1507</v>
      </c>
      <c r="M31" s="1" t="s">
        <v>1507</v>
      </c>
      <c r="N31" s="1" t="s">
        <v>42</v>
      </c>
      <c r="O31" s="1" t="s">
        <v>56</v>
      </c>
      <c r="P31" s="1" t="s">
        <v>1507</v>
      </c>
      <c r="Q31" s="1" t="s">
        <v>1507</v>
      </c>
      <c r="R31" s="1" t="s">
        <v>1507</v>
      </c>
      <c r="S31" s="1" t="s">
        <v>1507</v>
      </c>
      <c r="T31" s="1" t="s">
        <v>1507</v>
      </c>
      <c r="U31" s="1" t="s">
        <v>1507</v>
      </c>
      <c r="V31" s="1" t="s">
        <v>1507</v>
      </c>
      <c r="W31" s="1" t="s">
        <v>11111</v>
      </c>
      <c r="X31" s="1" t="s">
        <v>10969</v>
      </c>
      <c r="Y31" s="1" t="s">
        <v>5170</v>
      </c>
      <c r="Z31" s="1" t="s">
        <v>10970</v>
      </c>
      <c r="AA31" s="1" t="s">
        <v>1507</v>
      </c>
      <c r="AB31" s="1" t="s">
        <v>10972</v>
      </c>
      <c r="AC31" s="1" t="s">
        <v>1507</v>
      </c>
      <c r="AD31" s="1" t="s">
        <v>11112</v>
      </c>
      <c r="AE31" s="1" t="s">
        <v>11112</v>
      </c>
      <c r="AF31" s="1" t="s">
        <v>11113</v>
      </c>
      <c r="AG31" s="1" t="s">
        <v>1507</v>
      </c>
      <c r="AH31" s="1">
        <v>53</v>
      </c>
      <c r="AI31" s="1">
        <v>0</v>
      </c>
      <c r="AJ31" s="1">
        <v>0</v>
      </c>
      <c r="AK31" s="1">
        <v>0</v>
      </c>
      <c r="AL31" s="1">
        <v>0</v>
      </c>
      <c r="AM31" s="1" t="s">
        <v>11114</v>
      </c>
      <c r="AN31" s="1" t="s">
        <v>11115</v>
      </c>
      <c r="AO31" s="1" t="s">
        <v>11116</v>
      </c>
      <c r="AP31" s="1" t="s">
        <v>11117</v>
      </c>
      <c r="AQ31" s="1" t="s">
        <v>1507</v>
      </c>
      <c r="AR31" s="1" t="s">
        <v>1507</v>
      </c>
      <c r="AS31" s="1" t="s">
        <v>11118</v>
      </c>
      <c r="AT31" s="1" t="s">
        <v>11119</v>
      </c>
      <c r="AU31" s="1" t="s">
        <v>5362</v>
      </c>
      <c r="AV31" s="1">
        <v>2019</v>
      </c>
      <c r="AW31" s="1">
        <v>52</v>
      </c>
      <c r="AX31" s="1">
        <v>1</v>
      </c>
      <c r="AY31" s="1" t="s">
        <v>1507</v>
      </c>
      <c r="AZ31" s="1" t="s">
        <v>1507</v>
      </c>
      <c r="BA31" s="1" t="s">
        <v>1507</v>
      </c>
      <c r="BB31" s="1" t="s">
        <v>1507</v>
      </c>
      <c r="BC31" s="1">
        <v>42</v>
      </c>
      <c r="BD31" s="1">
        <v>74</v>
      </c>
      <c r="BE31" s="1" t="s">
        <v>1507</v>
      </c>
      <c r="BF31" s="1" t="s">
        <v>1507</v>
      </c>
      <c r="BG31" s="1" t="s">
        <v>1507</v>
      </c>
      <c r="BH31" s="1" t="s">
        <v>1507</v>
      </c>
      <c r="BI31" s="1" t="s">
        <v>1507</v>
      </c>
      <c r="BJ31" s="1">
        <v>33</v>
      </c>
      <c r="BK31" s="1" t="s">
        <v>1535</v>
      </c>
      <c r="BL31" s="1" t="s">
        <v>1529</v>
      </c>
      <c r="BM31" s="1" t="s">
        <v>1536</v>
      </c>
      <c r="BN31" s="1" t="s">
        <v>11120</v>
      </c>
      <c r="BO31" s="1" t="s">
        <v>1507</v>
      </c>
      <c r="BP31" s="1" t="s">
        <v>1507</v>
      </c>
      <c r="BQ31" s="1" t="s">
        <v>1507</v>
      </c>
      <c r="BR31" s="1" t="s">
        <v>1507</v>
      </c>
      <c r="BS31" s="1" t="s">
        <v>13744</v>
      </c>
      <c r="BT31" s="1" t="s">
        <v>11121</v>
      </c>
      <c r="BU31" s="1" t="str">
        <f>HYPERLINK("https%3A%2F%2Fwww.webofscience.com%2Fwos%2Fwoscc%2Ffull-record%2FWOS:000632633200003","View Full Record in Web of Science")</f>
        <v>View Full Record in Web of Science</v>
      </c>
    </row>
    <row r="32" spans="1:73" x14ac:dyDescent="0.25">
      <c r="A32" s="1">
        <v>31</v>
      </c>
      <c r="B32" s="1" t="s">
        <v>1506</v>
      </c>
      <c r="C32" s="1" t="s">
        <v>5607</v>
      </c>
      <c r="D32" s="1" t="s">
        <v>1507</v>
      </c>
      <c r="E32" s="1" t="s">
        <v>1507</v>
      </c>
      <c r="F32" s="1" t="s">
        <v>1507</v>
      </c>
      <c r="G32" s="1" t="s">
        <v>5608</v>
      </c>
      <c r="H32" s="1" t="s">
        <v>1507</v>
      </c>
      <c r="I32" s="1" t="s">
        <v>1507</v>
      </c>
      <c r="J32" s="1" t="s">
        <v>266</v>
      </c>
      <c r="K32" s="1" t="s">
        <v>5609</v>
      </c>
      <c r="L32" s="1" t="s">
        <v>1507</v>
      </c>
      <c r="M32" s="1" t="s">
        <v>1507</v>
      </c>
      <c r="N32" s="1" t="s">
        <v>42</v>
      </c>
      <c r="O32" s="1" t="s">
        <v>56</v>
      </c>
      <c r="P32" s="1" t="s">
        <v>1507</v>
      </c>
      <c r="Q32" s="1" t="s">
        <v>1507</v>
      </c>
      <c r="R32" s="1" t="s">
        <v>1507</v>
      </c>
      <c r="S32" s="1" t="s">
        <v>1507</v>
      </c>
      <c r="T32" s="1" t="s">
        <v>1507</v>
      </c>
      <c r="U32" s="1" t="s">
        <v>5610</v>
      </c>
      <c r="V32" s="1" t="s">
        <v>1507</v>
      </c>
      <c r="W32" s="1" t="s">
        <v>5611</v>
      </c>
      <c r="X32" s="1" t="s">
        <v>5612</v>
      </c>
      <c r="Y32" s="1" t="s">
        <v>5613</v>
      </c>
      <c r="Z32" s="1" t="s">
        <v>5614</v>
      </c>
      <c r="AA32" s="1" t="s">
        <v>5615</v>
      </c>
      <c r="AB32" s="1" t="s">
        <v>1507</v>
      </c>
      <c r="AC32" s="1" t="s">
        <v>14822</v>
      </c>
      <c r="AD32" s="1" t="s">
        <v>5616</v>
      </c>
      <c r="AE32" s="1" t="s">
        <v>5617</v>
      </c>
      <c r="AF32" s="1" t="s">
        <v>5618</v>
      </c>
      <c r="AG32" s="1" t="s">
        <v>1507</v>
      </c>
      <c r="AH32" s="1">
        <v>28</v>
      </c>
      <c r="AI32" s="1">
        <v>0</v>
      </c>
      <c r="AJ32" s="1">
        <v>0</v>
      </c>
      <c r="AK32" s="1">
        <v>13</v>
      </c>
      <c r="AL32" s="1">
        <v>13</v>
      </c>
      <c r="AM32" s="1" t="s">
        <v>5619</v>
      </c>
      <c r="AN32" s="1" t="s">
        <v>5620</v>
      </c>
      <c r="AO32" s="1" t="s">
        <v>5621</v>
      </c>
      <c r="AP32" s="1" t="s">
        <v>5622</v>
      </c>
      <c r="AQ32" s="1" t="s">
        <v>1507</v>
      </c>
      <c r="AR32" s="1" t="s">
        <v>1507</v>
      </c>
      <c r="AS32" s="1" t="s">
        <v>5623</v>
      </c>
      <c r="AT32" s="1" t="s">
        <v>5624</v>
      </c>
      <c r="AU32" s="1" t="s">
        <v>1507</v>
      </c>
      <c r="AV32" s="1">
        <v>2023</v>
      </c>
      <c r="AW32" s="1">
        <v>13</v>
      </c>
      <c r="AX32" s="1">
        <v>8</v>
      </c>
      <c r="AY32" s="1" t="s">
        <v>1507</v>
      </c>
      <c r="AZ32" s="1" t="s">
        <v>1507</v>
      </c>
      <c r="BA32" s="1" t="s">
        <v>1507</v>
      </c>
      <c r="BB32" s="1" t="s">
        <v>1507</v>
      </c>
      <c r="BC32" s="1">
        <v>67</v>
      </c>
      <c r="BD32" s="1">
        <v>83</v>
      </c>
      <c r="BE32" s="1" t="s">
        <v>1507</v>
      </c>
      <c r="BF32" s="1" t="s">
        <v>268</v>
      </c>
      <c r="BG32" s="1" t="str">
        <f>HYPERLINK("http://dx.doi.org/10.3991/ijep.v13i8.45621","http://dx.doi.org/10.3991/ijep.v13i8.45621")</f>
        <v>http://dx.doi.org/10.3991/ijep.v13i8.45621</v>
      </c>
      <c r="BH32" s="1" t="s">
        <v>1507</v>
      </c>
      <c r="BI32" s="1" t="s">
        <v>1507</v>
      </c>
      <c r="BJ32" s="1">
        <v>17</v>
      </c>
      <c r="BK32" s="1" t="s">
        <v>2721</v>
      </c>
      <c r="BL32" s="1" t="s">
        <v>1529</v>
      </c>
      <c r="BM32" s="1" t="s">
        <v>1558</v>
      </c>
      <c r="BN32" s="1" t="s">
        <v>5625</v>
      </c>
      <c r="BO32" s="1" t="s">
        <v>1507</v>
      </c>
      <c r="BP32" s="1" t="s">
        <v>1553</v>
      </c>
      <c r="BQ32" s="1" t="s">
        <v>1507</v>
      </c>
      <c r="BR32" s="1" t="s">
        <v>1507</v>
      </c>
      <c r="BS32" s="1" t="s">
        <v>13744</v>
      </c>
      <c r="BT32" s="1" t="s">
        <v>5626</v>
      </c>
      <c r="BU32" s="1" t="str">
        <f>HYPERLINK("https%3A%2F%2Fwww.webofscience.com%2Fwos%2Fwoscc%2Ffull-record%2FWOS:001126694600008","View Full Record in Web of Science")</f>
        <v>View Full Record in Web of Science</v>
      </c>
    </row>
    <row r="33" spans="1:73" x14ac:dyDescent="0.25">
      <c r="A33" s="1">
        <v>32</v>
      </c>
      <c r="B33" s="1" t="s">
        <v>1506</v>
      </c>
      <c r="C33" s="1" t="s">
        <v>8513</v>
      </c>
      <c r="D33" s="1" t="s">
        <v>1507</v>
      </c>
      <c r="E33" s="1" t="s">
        <v>1507</v>
      </c>
      <c r="F33" s="1" t="s">
        <v>1507</v>
      </c>
      <c r="G33" s="1" t="s">
        <v>8514</v>
      </c>
      <c r="H33" s="1" t="s">
        <v>1507</v>
      </c>
      <c r="I33" s="1" t="s">
        <v>1507</v>
      </c>
      <c r="J33" s="1" t="s">
        <v>8515</v>
      </c>
      <c r="K33" s="1" t="s">
        <v>8516</v>
      </c>
      <c r="L33" s="1" t="s">
        <v>1507</v>
      </c>
      <c r="M33" s="1" t="s">
        <v>1507</v>
      </c>
      <c r="N33" s="1" t="s">
        <v>42</v>
      </c>
      <c r="O33" s="1" t="s">
        <v>56</v>
      </c>
      <c r="P33" s="1" t="s">
        <v>1507</v>
      </c>
      <c r="Q33" s="1" t="s">
        <v>1507</v>
      </c>
      <c r="R33" s="1" t="s">
        <v>1507</v>
      </c>
      <c r="S33" s="1" t="s">
        <v>1507</v>
      </c>
      <c r="T33" s="1" t="s">
        <v>1507</v>
      </c>
      <c r="U33" s="1" t="s">
        <v>8517</v>
      </c>
      <c r="V33" s="1" t="s">
        <v>8518</v>
      </c>
      <c r="W33" s="1" t="s">
        <v>8519</v>
      </c>
      <c r="X33" s="1" t="s">
        <v>8520</v>
      </c>
      <c r="Y33" s="1" t="s">
        <v>4898</v>
      </c>
      <c r="Z33" s="1" t="s">
        <v>8521</v>
      </c>
      <c r="AA33" s="1" t="s">
        <v>8522</v>
      </c>
      <c r="AB33" s="1" t="s">
        <v>15737</v>
      </c>
      <c r="AC33" s="1" t="s">
        <v>15738</v>
      </c>
      <c r="AD33" s="1" t="s">
        <v>8523</v>
      </c>
      <c r="AE33" s="1" t="s">
        <v>8524</v>
      </c>
      <c r="AF33" s="1" t="s">
        <v>8525</v>
      </c>
      <c r="AG33" s="1" t="s">
        <v>1507</v>
      </c>
      <c r="AH33" s="1">
        <v>17</v>
      </c>
      <c r="AI33" s="1">
        <v>1</v>
      </c>
      <c r="AJ33" s="1">
        <v>1</v>
      </c>
      <c r="AK33" s="1">
        <v>0</v>
      </c>
      <c r="AL33" s="1">
        <v>3</v>
      </c>
      <c r="AM33" s="1" t="s">
        <v>8516</v>
      </c>
      <c r="AN33" s="1" t="s">
        <v>8526</v>
      </c>
      <c r="AO33" s="1" t="s">
        <v>8527</v>
      </c>
      <c r="AP33" s="1" t="s">
        <v>8528</v>
      </c>
      <c r="AQ33" s="1" t="s">
        <v>8529</v>
      </c>
      <c r="AR33" s="1" t="s">
        <v>1507</v>
      </c>
      <c r="AS33" s="1" t="s">
        <v>8530</v>
      </c>
      <c r="AT33" s="1" t="s">
        <v>8531</v>
      </c>
      <c r="AU33" s="1" t="s">
        <v>4721</v>
      </c>
      <c r="AV33" s="1">
        <v>2021</v>
      </c>
      <c r="AW33" s="1">
        <v>14</v>
      </c>
      <c r="AX33" s="1">
        <v>6</v>
      </c>
      <c r="AY33" s="1" t="s">
        <v>1507</v>
      </c>
      <c r="AZ33" s="1" t="s">
        <v>1507</v>
      </c>
      <c r="BA33" s="1" t="s">
        <v>1507</v>
      </c>
      <c r="BB33" s="1" t="s">
        <v>1507</v>
      </c>
      <c r="BC33" s="1">
        <v>1638</v>
      </c>
      <c r="BD33" s="1">
        <v>1643</v>
      </c>
      <c r="BE33" s="1" t="s">
        <v>1507</v>
      </c>
      <c r="BF33" s="1" t="s">
        <v>8532</v>
      </c>
      <c r="BG33" s="1" t="str">
        <f>HYPERLINK("http://dx.doi.org/10.14202/vetworld.2021.1638-1643","http://dx.doi.org/10.14202/vetworld.2021.1638-1643")</f>
        <v>http://dx.doi.org/10.14202/vetworld.2021.1638-1643</v>
      </c>
      <c r="BH33" s="1" t="s">
        <v>1507</v>
      </c>
      <c r="BI33" s="1" t="s">
        <v>1507</v>
      </c>
      <c r="BJ33" s="1">
        <v>6</v>
      </c>
      <c r="BK33" s="1" t="s">
        <v>8533</v>
      </c>
      <c r="BL33" s="1" t="s">
        <v>1529</v>
      </c>
      <c r="BM33" s="1" t="s">
        <v>8534</v>
      </c>
      <c r="BN33" s="1" t="s">
        <v>8535</v>
      </c>
      <c r="BO33" s="1">
        <v>34316214</v>
      </c>
      <c r="BP33" s="1" t="s">
        <v>1674</v>
      </c>
      <c r="BQ33" s="1" t="s">
        <v>1507</v>
      </c>
      <c r="BR33" s="1" t="s">
        <v>1507</v>
      </c>
      <c r="BS33" s="1" t="s">
        <v>13744</v>
      </c>
      <c r="BT33" s="1" t="s">
        <v>8536</v>
      </c>
      <c r="BU33" s="1" t="str">
        <f>HYPERLINK("https%3A%2F%2Fwww.webofscience.com%2Fwos%2Fwoscc%2Ffull-record%2FWOS:000671534100024","View Full Record in Web of Science")</f>
        <v>View Full Record in Web of Science</v>
      </c>
    </row>
    <row r="34" spans="1:73" x14ac:dyDescent="0.25">
      <c r="A34" s="1">
        <v>33</v>
      </c>
      <c r="B34" s="1" t="s">
        <v>1506</v>
      </c>
      <c r="C34" s="1" t="s">
        <v>15954</v>
      </c>
      <c r="D34" s="1" t="s">
        <v>1507</v>
      </c>
      <c r="E34" s="1" t="s">
        <v>1507</v>
      </c>
      <c r="F34" s="1" t="s">
        <v>1507</v>
      </c>
      <c r="G34" s="1" t="s">
        <v>15955</v>
      </c>
      <c r="H34" s="1" t="s">
        <v>1507</v>
      </c>
      <c r="I34" s="1" t="s">
        <v>1507</v>
      </c>
      <c r="J34" s="1" t="s">
        <v>15956</v>
      </c>
      <c r="K34" s="1" t="s">
        <v>15957</v>
      </c>
      <c r="L34" s="1" t="s">
        <v>1507</v>
      </c>
      <c r="M34" s="1" t="s">
        <v>1507</v>
      </c>
      <c r="N34" s="1" t="s">
        <v>42</v>
      </c>
      <c r="O34" s="1" t="s">
        <v>12366</v>
      </c>
      <c r="P34" s="1" t="s">
        <v>1507</v>
      </c>
      <c r="Q34" s="1" t="s">
        <v>1507</v>
      </c>
      <c r="R34" s="1" t="s">
        <v>1507</v>
      </c>
      <c r="S34" s="1" t="s">
        <v>1507</v>
      </c>
      <c r="T34" s="1" t="s">
        <v>1507</v>
      </c>
      <c r="U34" s="1" t="s">
        <v>15958</v>
      </c>
      <c r="V34" s="1" t="s">
        <v>15959</v>
      </c>
      <c r="W34" s="1" t="s">
        <v>15960</v>
      </c>
      <c r="X34" s="1" t="s">
        <v>15961</v>
      </c>
      <c r="Y34" s="1" t="s">
        <v>15962</v>
      </c>
      <c r="Z34" s="1" t="s">
        <v>15963</v>
      </c>
      <c r="AA34" s="1" t="s">
        <v>15964</v>
      </c>
      <c r="AB34" s="1" t="s">
        <v>15965</v>
      </c>
      <c r="AC34" s="1" t="s">
        <v>15966</v>
      </c>
      <c r="AD34" s="1" t="s">
        <v>15967</v>
      </c>
      <c r="AE34" s="1" t="s">
        <v>15968</v>
      </c>
      <c r="AF34" s="1" t="s">
        <v>15969</v>
      </c>
      <c r="AG34" s="1" t="s">
        <v>1507</v>
      </c>
      <c r="AH34" s="1">
        <v>136</v>
      </c>
      <c r="AI34" s="1">
        <v>13</v>
      </c>
      <c r="AJ34" s="1">
        <v>14</v>
      </c>
      <c r="AK34" s="1">
        <v>3</v>
      </c>
      <c r="AL34" s="1">
        <v>75</v>
      </c>
      <c r="AM34" s="1" t="s">
        <v>1532</v>
      </c>
      <c r="AN34" s="1" t="s">
        <v>1533</v>
      </c>
      <c r="AO34" s="1" t="s">
        <v>1534</v>
      </c>
      <c r="AP34" s="1" t="s">
        <v>15970</v>
      </c>
      <c r="AQ34" s="1" t="s">
        <v>15971</v>
      </c>
      <c r="AR34" s="1" t="s">
        <v>1507</v>
      </c>
      <c r="AS34" s="1" t="s">
        <v>15972</v>
      </c>
      <c r="AT34" s="1" t="s">
        <v>15973</v>
      </c>
      <c r="AU34" s="1" t="s">
        <v>3992</v>
      </c>
      <c r="AV34" s="1">
        <v>2018</v>
      </c>
      <c r="AW34" s="1">
        <v>91</v>
      </c>
      <c r="AX34" s="1">
        <v>4</v>
      </c>
      <c r="AY34" s="1" t="s">
        <v>1507</v>
      </c>
      <c r="AZ34" s="1" t="s">
        <v>1507</v>
      </c>
      <c r="BA34" s="1" t="s">
        <v>1507</v>
      </c>
      <c r="BB34" s="1" t="s">
        <v>1507</v>
      </c>
      <c r="BC34" s="1">
        <v>1165</v>
      </c>
      <c r="BD34" s="1">
        <v>1179</v>
      </c>
      <c r="BE34" s="1" t="s">
        <v>1507</v>
      </c>
      <c r="BF34" s="1" t="s">
        <v>15974</v>
      </c>
      <c r="BG34" s="1" t="str">
        <f>HYPERLINK("http://dx.doi.org/10.1007/s10340-018-0974-0","http://dx.doi.org/10.1007/s10340-018-0974-0")</f>
        <v>http://dx.doi.org/10.1007/s10340-018-0974-0</v>
      </c>
      <c r="BH34" s="1" t="s">
        <v>1507</v>
      </c>
      <c r="BI34" s="1" t="s">
        <v>1507</v>
      </c>
      <c r="BJ34" s="1">
        <v>15</v>
      </c>
      <c r="BK34" s="1" t="s">
        <v>12099</v>
      </c>
      <c r="BL34" s="1" t="s">
        <v>1573</v>
      </c>
      <c r="BM34" s="1" t="s">
        <v>12099</v>
      </c>
      <c r="BN34" s="1" t="s">
        <v>15975</v>
      </c>
      <c r="BO34" s="1" t="s">
        <v>1507</v>
      </c>
      <c r="BP34" s="1" t="s">
        <v>5957</v>
      </c>
      <c r="BQ34" s="1" t="s">
        <v>1507</v>
      </c>
      <c r="BR34" s="1" t="s">
        <v>1507</v>
      </c>
      <c r="BS34" s="1" t="s">
        <v>13744</v>
      </c>
      <c r="BT34" s="1" t="s">
        <v>15976</v>
      </c>
      <c r="BU34" s="1" t="str">
        <f>HYPERLINK("https%3A%2F%2Fwww.webofscience.com%2Fwos%2Fwoscc%2Ffull-record%2FWOS:000440114600001","View Full Record in Web of Science")</f>
        <v>View Full Record in Web of Science</v>
      </c>
    </row>
    <row r="35" spans="1:73" x14ac:dyDescent="0.25">
      <c r="A35" s="1">
        <v>34</v>
      </c>
      <c r="B35" s="1" t="s">
        <v>1506</v>
      </c>
      <c r="C35" s="1" t="s">
        <v>15550</v>
      </c>
      <c r="D35" s="1" t="s">
        <v>1507</v>
      </c>
      <c r="E35" s="1" t="s">
        <v>1507</v>
      </c>
      <c r="F35" s="1" t="s">
        <v>1507</v>
      </c>
      <c r="G35" s="1" t="s">
        <v>15551</v>
      </c>
      <c r="H35" s="1" t="s">
        <v>1507</v>
      </c>
      <c r="I35" s="1" t="s">
        <v>1507</v>
      </c>
      <c r="J35" s="1" t="s">
        <v>15552</v>
      </c>
      <c r="K35" s="1" t="s">
        <v>14333</v>
      </c>
      <c r="L35" s="1" t="s">
        <v>1507</v>
      </c>
      <c r="M35" s="1" t="s">
        <v>1507</v>
      </c>
      <c r="N35" s="1" t="s">
        <v>42</v>
      </c>
      <c r="O35" s="1" t="s">
        <v>1487</v>
      </c>
      <c r="P35" s="1" t="s">
        <v>14334</v>
      </c>
      <c r="Q35" s="1" t="s">
        <v>15553</v>
      </c>
      <c r="R35" s="1" t="s">
        <v>15554</v>
      </c>
      <c r="S35" s="1" t="s">
        <v>15555</v>
      </c>
      <c r="T35" s="1" t="s">
        <v>1507</v>
      </c>
      <c r="U35" s="1" t="s">
        <v>1507</v>
      </c>
      <c r="V35" s="1" t="s">
        <v>1507</v>
      </c>
      <c r="W35" s="1" t="s">
        <v>1507</v>
      </c>
      <c r="X35" s="1" t="s">
        <v>1507</v>
      </c>
      <c r="Y35" s="1" t="s">
        <v>1507</v>
      </c>
      <c r="Z35" s="1" t="s">
        <v>1507</v>
      </c>
      <c r="AA35" s="1" t="s">
        <v>1507</v>
      </c>
      <c r="AB35" s="1" t="s">
        <v>1507</v>
      </c>
      <c r="AC35" s="1" t="s">
        <v>1507</v>
      </c>
      <c r="AD35" s="1" t="s">
        <v>1507</v>
      </c>
      <c r="AE35" s="1" t="s">
        <v>1507</v>
      </c>
      <c r="AF35" s="1" t="s">
        <v>1507</v>
      </c>
      <c r="AG35" s="1" t="s">
        <v>1507</v>
      </c>
      <c r="AH35" s="1">
        <v>0</v>
      </c>
      <c r="AI35" s="1">
        <v>0</v>
      </c>
      <c r="AJ35" s="1">
        <v>0</v>
      </c>
      <c r="AK35" s="1">
        <v>0</v>
      </c>
      <c r="AL35" s="1">
        <v>0</v>
      </c>
      <c r="AM35" s="1" t="s">
        <v>1579</v>
      </c>
      <c r="AN35" s="1" t="s">
        <v>1580</v>
      </c>
      <c r="AO35" s="1" t="s">
        <v>1581</v>
      </c>
      <c r="AP35" s="1" t="s">
        <v>14338</v>
      </c>
      <c r="AQ35" s="1" t="s">
        <v>14339</v>
      </c>
      <c r="AR35" s="1" t="s">
        <v>1507</v>
      </c>
      <c r="AS35" s="1" t="s">
        <v>14333</v>
      </c>
      <c r="AT35" s="1" t="s">
        <v>14340</v>
      </c>
      <c r="AU35" s="1" t="s">
        <v>2889</v>
      </c>
      <c r="AV35" s="1">
        <v>2022</v>
      </c>
      <c r="AW35" s="1">
        <v>162</v>
      </c>
      <c r="AX35" s="1">
        <v>4</v>
      </c>
      <c r="AY35" s="1" t="s">
        <v>1507</v>
      </c>
      <c r="AZ35" s="1" t="s">
        <v>11902</v>
      </c>
      <c r="BA35" s="1" t="s">
        <v>1507</v>
      </c>
      <c r="BB35" s="1" t="s">
        <v>1507</v>
      </c>
      <c r="BC35" s="1" t="s">
        <v>15556</v>
      </c>
      <c r="BD35" s="1" t="s">
        <v>15557</v>
      </c>
      <c r="BE35" s="1" t="s">
        <v>1507</v>
      </c>
      <c r="BF35" s="1" t="s">
        <v>15558</v>
      </c>
      <c r="BG35" s="1" t="str">
        <f>HYPERLINK("http://dx.doi.org/10.1016/j.chest.2022.08.2182","http://dx.doi.org/10.1016/j.chest.2022.08.2182")</f>
        <v>http://dx.doi.org/10.1016/j.chest.2022.08.2182</v>
      </c>
      <c r="BH35" s="1" t="s">
        <v>1507</v>
      </c>
      <c r="BI35" s="1" t="s">
        <v>6861</v>
      </c>
      <c r="BJ35" s="1">
        <v>3</v>
      </c>
      <c r="BK35" s="1" t="s">
        <v>9710</v>
      </c>
      <c r="BL35" s="1" t="s">
        <v>11691</v>
      </c>
      <c r="BM35" s="1" t="s">
        <v>9711</v>
      </c>
      <c r="BN35" s="1" t="s">
        <v>15559</v>
      </c>
      <c r="BO35" s="1" t="s">
        <v>1507</v>
      </c>
      <c r="BP35" s="1" t="s">
        <v>1507</v>
      </c>
      <c r="BQ35" s="1" t="s">
        <v>1507</v>
      </c>
      <c r="BR35" s="1" t="s">
        <v>1507</v>
      </c>
      <c r="BS35" s="1" t="s">
        <v>13744</v>
      </c>
      <c r="BT35" s="1" t="s">
        <v>15560</v>
      </c>
      <c r="BU35" s="1" t="str">
        <f>HYPERLINK("https%3A%2F%2Fwww.webofscience.com%2Fwos%2Fwoscc%2Ffull-record%2FWOS:000895468902477","View Full Record in Web of Science")</f>
        <v>View Full Record in Web of Science</v>
      </c>
    </row>
    <row r="36" spans="1:73" x14ac:dyDescent="0.25">
      <c r="A36" s="1">
        <v>35</v>
      </c>
      <c r="B36" s="1" t="s">
        <v>1506</v>
      </c>
      <c r="C36" s="1" t="s">
        <v>2107</v>
      </c>
      <c r="D36" s="1" t="s">
        <v>1507</v>
      </c>
      <c r="E36" s="1" t="s">
        <v>1507</v>
      </c>
      <c r="F36" s="1" t="s">
        <v>1507</v>
      </c>
      <c r="G36" s="1" t="s">
        <v>2108</v>
      </c>
      <c r="H36" s="1" t="s">
        <v>1507</v>
      </c>
      <c r="I36" s="1" t="s">
        <v>1507</v>
      </c>
      <c r="J36" s="1" t="s">
        <v>2109</v>
      </c>
      <c r="K36" s="1" t="s">
        <v>1520</v>
      </c>
      <c r="L36" s="1" t="s">
        <v>1507</v>
      </c>
      <c r="M36" s="1" t="s">
        <v>1507</v>
      </c>
      <c r="N36" s="1" t="s">
        <v>42</v>
      </c>
      <c r="O36" s="1" t="s">
        <v>56</v>
      </c>
      <c r="P36" s="1" t="s">
        <v>1507</v>
      </c>
      <c r="Q36" s="1" t="s">
        <v>1507</v>
      </c>
      <c r="R36" s="1" t="s">
        <v>1507</v>
      </c>
      <c r="S36" s="1" t="s">
        <v>1507</v>
      </c>
      <c r="T36" s="1" t="s">
        <v>1507</v>
      </c>
      <c r="U36" s="1" t="s">
        <v>1507</v>
      </c>
      <c r="V36" s="1" t="s">
        <v>2110</v>
      </c>
      <c r="W36" s="1" t="s">
        <v>2111</v>
      </c>
      <c r="X36" s="1" t="s">
        <v>2112</v>
      </c>
      <c r="Y36" s="1" t="s">
        <v>13869</v>
      </c>
      <c r="Z36" s="1" t="s">
        <v>2113</v>
      </c>
      <c r="AA36" s="1" t="s">
        <v>2114</v>
      </c>
      <c r="AB36" s="1" t="s">
        <v>13870</v>
      </c>
      <c r="AC36" s="1" t="s">
        <v>13871</v>
      </c>
      <c r="AD36" s="1" t="s">
        <v>2115</v>
      </c>
      <c r="AE36" s="1" t="s">
        <v>2116</v>
      </c>
      <c r="AF36" s="1" t="s">
        <v>2117</v>
      </c>
      <c r="AG36" s="1" t="s">
        <v>1507</v>
      </c>
      <c r="AH36" s="1">
        <v>128</v>
      </c>
      <c r="AI36" s="1">
        <v>0</v>
      </c>
      <c r="AJ36" s="1">
        <v>0</v>
      </c>
      <c r="AK36" s="1">
        <v>9</v>
      </c>
      <c r="AL36" s="1">
        <v>9</v>
      </c>
      <c r="AM36" s="1" t="s">
        <v>1522</v>
      </c>
      <c r="AN36" s="1" t="s">
        <v>1523</v>
      </c>
      <c r="AO36" s="1" t="s">
        <v>1524</v>
      </c>
      <c r="AP36" s="1" t="s">
        <v>1507</v>
      </c>
      <c r="AQ36" s="1" t="s">
        <v>1525</v>
      </c>
      <c r="AR36" s="1" t="s">
        <v>1507</v>
      </c>
      <c r="AS36" s="1" t="s">
        <v>1526</v>
      </c>
      <c r="AT36" s="1" t="s">
        <v>1527</v>
      </c>
      <c r="AU36" s="1" t="s">
        <v>11221</v>
      </c>
      <c r="AV36" s="1">
        <v>2024</v>
      </c>
      <c r="AW36" s="1">
        <v>3</v>
      </c>
      <c r="AX36" s="1">
        <v>1</v>
      </c>
      <c r="AY36" s="1" t="s">
        <v>1507</v>
      </c>
      <c r="AZ36" s="1" t="s">
        <v>1507</v>
      </c>
      <c r="BA36" s="1" t="s">
        <v>1507</v>
      </c>
      <c r="BB36" s="1" t="s">
        <v>1507</v>
      </c>
      <c r="BC36" s="1">
        <v>23</v>
      </c>
      <c r="BD36" s="1">
        <v>33</v>
      </c>
      <c r="BE36" s="1" t="s">
        <v>1507</v>
      </c>
      <c r="BF36" s="1" t="s">
        <v>2118</v>
      </c>
      <c r="BG36" s="1" t="str">
        <f>HYPERLINK("http://dx.doi.org/10.1039/d3dd00213f","http://dx.doi.org/10.1039/d3dd00213f")</f>
        <v>http://dx.doi.org/10.1039/d3dd00213f</v>
      </c>
      <c r="BH36" s="1" t="s">
        <v>1507</v>
      </c>
      <c r="BI36" s="1" t="s">
        <v>1652</v>
      </c>
      <c r="BJ36" s="1">
        <v>11</v>
      </c>
      <c r="BK36" s="1" t="s">
        <v>1528</v>
      </c>
      <c r="BL36" s="1" t="s">
        <v>1529</v>
      </c>
      <c r="BM36" s="1" t="s">
        <v>1530</v>
      </c>
      <c r="BN36" s="1" t="s">
        <v>2119</v>
      </c>
      <c r="BO36" s="1">
        <v>38239898</v>
      </c>
      <c r="BP36" s="1" t="s">
        <v>1674</v>
      </c>
      <c r="BQ36" s="1" t="s">
        <v>1507</v>
      </c>
      <c r="BR36" s="1" t="s">
        <v>1507</v>
      </c>
      <c r="BS36" s="1" t="s">
        <v>13744</v>
      </c>
      <c r="BT36" s="1" t="s">
        <v>2120</v>
      </c>
      <c r="BU36" s="1" t="str">
        <f>HYPERLINK("https%3A%2F%2Fwww.webofscience.com%2Fwos%2Fwoscc%2Ffull-record%2FWOS:001129394000001","View Full Record in Web of Science")</f>
        <v>View Full Record in Web of Science</v>
      </c>
    </row>
    <row r="37" spans="1:73" x14ac:dyDescent="0.25">
      <c r="A37" s="1">
        <v>36</v>
      </c>
      <c r="B37" s="1" t="s">
        <v>1506</v>
      </c>
      <c r="C37" s="1" t="s">
        <v>7579</v>
      </c>
      <c r="D37" s="1" t="s">
        <v>1507</v>
      </c>
      <c r="E37" s="1" t="s">
        <v>1507</v>
      </c>
      <c r="F37" s="1" t="s">
        <v>1507</v>
      </c>
      <c r="G37" s="1" t="s">
        <v>7580</v>
      </c>
      <c r="H37" s="1" t="s">
        <v>1507</v>
      </c>
      <c r="I37" s="1" t="s">
        <v>1507</v>
      </c>
      <c r="J37" s="1" t="s">
        <v>7581</v>
      </c>
      <c r="K37" s="1" t="s">
        <v>6825</v>
      </c>
      <c r="L37" s="1" t="s">
        <v>1507</v>
      </c>
      <c r="M37" s="1" t="s">
        <v>1507</v>
      </c>
      <c r="N37" s="1" t="s">
        <v>42</v>
      </c>
      <c r="O37" s="1" t="s">
        <v>56</v>
      </c>
      <c r="P37" s="1" t="s">
        <v>1507</v>
      </c>
      <c r="Q37" s="1" t="s">
        <v>1507</v>
      </c>
      <c r="R37" s="1" t="s">
        <v>1507</v>
      </c>
      <c r="S37" s="1" t="s">
        <v>1507</v>
      </c>
      <c r="T37" s="1" t="s">
        <v>1507</v>
      </c>
      <c r="U37" s="1" t="s">
        <v>7582</v>
      </c>
      <c r="V37" s="1" t="s">
        <v>7583</v>
      </c>
      <c r="W37" s="1" t="s">
        <v>7584</v>
      </c>
      <c r="X37" s="1" t="s">
        <v>7585</v>
      </c>
      <c r="Y37" s="1" t="s">
        <v>7586</v>
      </c>
      <c r="Z37" s="1" t="s">
        <v>7587</v>
      </c>
      <c r="AA37" s="1" t="s">
        <v>7588</v>
      </c>
      <c r="AB37" s="1" t="s">
        <v>15661</v>
      </c>
      <c r="AC37" s="1" t="s">
        <v>15662</v>
      </c>
      <c r="AD37" s="1" t="s">
        <v>7589</v>
      </c>
      <c r="AE37" s="1" t="s">
        <v>7590</v>
      </c>
      <c r="AF37" s="1" t="s">
        <v>7591</v>
      </c>
      <c r="AG37" s="1" t="s">
        <v>1507</v>
      </c>
      <c r="AH37" s="1">
        <v>43</v>
      </c>
      <c r="AI37" s="1">
        <v>6</v>
      </c>
      <c r="AJ37" s="1">
        <v>6</v>
      </c>
      <c r="AK37" s="1">
        <v>1</v>
      </c>
      <c r="AL37" s="1">
        <v>3</v>
      </c>
      <c r="AM37" s="1" t="s">
        <v>1725</v>
      </c>
      <c r="AN37" s="1" t="s">
        <v>1551</v>
      </c>
      <c r="AO37" s="1" t="s">
        <v>1726</v>
      </c>
      <c r="AP37" s="1" t="s">
        <v>1507</v>
      </c>
      <c r="AQ37" s="1" t="s">
        <v>6837</v>
      </c>
      <c r="AR37" s="1" t="s">
        <v>1507</v>
      </c>
      <c r="AS37" s="1" t="s">
        <v>6825</v>
      </c>
      <c r="AT37" s="1" t="s">
        <v>6838</v>
      </c>
      <c r="AU37" s="1" t="s">
        <v>7592</v>
      </c>
      <c r="AV37" s="1">
        <v>2022</v>
      </c>
      <c r="AW37" s="1">
        <v>22</v>
      </c>
      <c r="AX37" s="1">
        <v>1</v>
      </c>
      <c r="AY37" s="1" t="s">
        <v>1507</v>
      </c>
      <c r="AZ37" s="1" t="s">
        <v>1507</v>
      </c>
      <c r="BA37" s="1" t="s">
        <v>1507</v>
      </c>
      <c r="BB37" s="1" t="s">
        <v>1507</v>
      </c>
      <c r="BC37" s="1" t="s">
        <v>1507</v>
      </c>
      <c r="BD37" s="1" t="s">
        <v>1507</v>
      </c>
      <c r="BE37" s="1">
        <v>228</v>
      </c>
      <c r="BF37" s="1" t="s">
        <v>7593</v>
      </c>
      <c r="BG37" s="1" t="str">
        <f>HYPERLINK("http://dx.doi.org/10.1186/s12889-022-12595-1","http://dx.doi.org/10.1186/s12889-022-12595-1")</f>
        <v>http://dx.doi.org/10.1186/s12889-022-12595-1</v>
      </c>
      <c r="BH37" s="1" t="s">
        <v>1507</v>
      </c>
      <c r="BI37" s="1" t="s">
        <v>1507</v>
      </c>
      <c r="BJ37" s="1">
        <v>12</v>
      </c>
      <c r="BK37" s="1" t="s">
        <v>6841</v>
      </c>
      <c r="BL37" s="1" t="s">
        <v>1573</v>
      </c>
      <c r="BM37" s="1" t="s">
        <v>6841</v>
      </c>
      <c r="BN37" s="1" t="s">
        <v>7594</v>
      </c>
      <c r="BO37" s="1">
        <v>35120488</v>
      </c>
      <c r="BP37" s="1" t="s">
        <v>1674</v>
      </c>
      <c r="BQ37" s="1" t="s">
        <v>1507</v>
      </c>
      <c r="BR37" s="1" t="s">
        <v>1507</v>
      </c>
      <c r="BS37" s="1" t="s">
        <v>13744</v>
      </c>
      <c r="BT37" s="1" t="s">
        <v>7595</v>
      </c>
      <c r="BU37" s="1" t="str">
        <f>HYPERLINK("https%3A%2F%2Fwww.webofscience.com%2Fwos%2Fwoscc%2Ffull-record%2FWOS:000751326100002","View Full Record in Web of Science")</f>
        <v>View Full Record in Web of Science</v>
      </c>
    </row>
    <row r="38" spans="1:73" x14ac:dyDescent="0.25">
      <c r="A38" s="1">
        <v>37</v>
      </c>
      <c r="B38" s="1" t="s">
        <v>5546</v>
      </c>
      <c r="C38" s="1" t="s">
        <v>9138</v>
      </c>
      <c r="D38" s="1" t="s">
        <v>1507</v>
      </c>
      <c r="E38" s="1" t="s">
        <v>1507</v>
      </c>
      <c r="F38" s="1" t="s">
        <v>7647</v>
      </c>
      <c r="G38" s="1" t="s">
        <v>9139</v>
      </c>
      <c r="H38" s="1" t="s">
        <v>1507</v>
      </c>
      <c r="I38" s="1" t="s">
        <v>1507</v>
      </c>
      <c r="J38" s="1" t="s">
        <v>9140</v>
      </c>
      <c r="K38" s="1" t="s">
        <v>9141</v>
      </c>
      <c r="L38" s="1" t="s">
        <v>1507</v>
      </c>
      <c r="M38" s="1" t="s">
        <v>1507</v>
      </c>
      <c r="N38" s="1" t="s">
        <v>42</v>
      </c>
      <c r="O38" s="1" t="s">
        <v>5552</v>
      </c>
      <c r="P38" s="1" t="s">
        <v>9142</v>
      </c>
      <c r="Q38" s="1" t="s">
        <v>9143</v>
      </c>
      <c r="R38" s="1" t="s">
        <v>6272</v>
      </c>
      <c r="S38" s="1" t="s">
        <v>9144</v>
      </c>
      <c r="T38" s="1" t="s">
        <v>1507</v>
      </c>
      <c r="U38" s="1" t="s">
        <v>1507</v>
      </c>
      <c r="V38" s="1" t="s">
        <v>1507</v>
      </c>
      <c r="W38" s="1" t="s">
        <v>9145</v>
      </c>
      <c r="X38" s="1" t="s">
        <v>9146</v>
      </c>
      <c r="Y38" s="1" t="s">
        <v>9147</v>
      </c>
      <c r="Z38" s="1" t="s">
        <v>9148</v>
      </c>
      <c r="AA38" s="1" t="s">
        <v>9149</v>
      </c>
      <c r="AB38" s="1" t="s">
        <v>9150</v>
      </c>
      <c r="AC38" s="1" t="s">
        <v>1507</v>
      </c>
      <c r="AD38" s="1" t="s">
        <v>9151</v>
      </c>
      <c r="AE38" s="1" t="s">
        <v>9151</v>
      </c>
      <c r="AF38" s="1" t="s">
        <v>9152</v>
      </c>
      <c r="AG38" s="1" t="s">
        <v>1507</v>
      </c>
      <c r="AH38" s="1">
        <v>30</v>
      </c>
      <c r="AI38" s="1">
        <v>1</v>
      </c>
      <c r="AJ38" s="1">
        <v>1</v>
      </c>
      <c r="AK38" s="1">
        <v>4</v>
      </c>
      <c r="AL38" s="1">
        <v>4</v>
      </c>
      <c r="AM38" s="1" t="s">
        <v>7663</v>
      </c>
      <c r="AN38" s="1" t="s">
        <v>7664</v>
      </c>
      <c r="AO38" s="1" t="s">
        <v>7665</v>
      </c>
      <c r="AP38" s="1" t="s">
        <v>1507</v>
      </c>
      <c r="AQ38" s="1" t="s">
        <v>1507</v>
      </c>
      <c r="AR38" s="1" t="s">
        <v>9153</v>
      </c>
      <c r="AS38" s="1" t="s">
        <v>1507</v>
      </c>
      <c r="AT38" s="1" t="s">
        <v>1507</v>
      </c>
      <c r="AU38" s="1" t="s">
        <v>1507</v>
      </c>
      <c r="AV38" s="1">
        <v>2021</v>
      </c>
      <c r="AW38" s="1" t="s">
        <v>1507</v>
      </c>
      <c r="AX38" s="1" t="s">
        <v>1507</v>
      </c>
      <c r="AY38" s="1" t="s">
        <v>1507</v>
      </c>
      <c r="AZ38" s="1" t="s">
        <v>1507</v>
      </c>
      <c r="BA38" s="1" t="s">
        <v>1507</v>
      </c>
      <c r="BB38" s="1" t="s">
        <v>1507</v>
      </c>
      <c r="BC38" s="1">
        <v>322</v>
      </c>
      <c r="BD38" s="1">
        <v>330</v>
      </c>
      <c r="BE38" s="1" t="s">
        <v>1507</v>
      </c>
      <c r="BF38" s="1" t="s">
        <v>1507</v>
      </c>
      <c r="BG38" s="1" t="s">
        <v>1507</v>
      </c>
      <c r="BH38" s="1" t="s">
        <v>1507</v>
      </c>
      <c r="BI38" s="1" t="s">
        <v>1507</v>
      </c>
      <c r="BJ38" s="1">
        <v>9</v>
      </c>
      <c r="BK38" s="1" t="s">
        <v>7862</v>
      </c>
      <c r="BL38" s="1" t="s">
        <v>5695</v>
      </c>
      <c r="BM38" s="1" t="s">
        <v>1546</v>
      </c>
      <c r="BN38" s="1" t="s">
        <v>9154</v>
      </c>
      <c r="BO38" s="1" t="s">
        <v>1507</v>
      </c>
      <c r="BP38" s="1" t="s">
        <v>1507</v>
      </c>
      <c r="BQ38" s="1" t="s">
        <v>1507</v>
      </c>
      <c r="BR38" s="1" t="s">
        <v>1507</v>
      </c>
      <c r="BS38" s="1" t="s">
        <v>13744</v>
      </c>
      <c r="BT38" s="1" t="s">
        <v>9155</v>
      </c>
      <c r="BU38" s="1" t="str">
        <f>HYPERLINK("https%3A%2F%2Fwww.webofscience.com%2Fwos%2Fwoscc%2Ffull-record%2FWOS:000694699300032","View Full Record in Web of Science")</f>
        <v>View Full Record in Web of Science</v>
      </c>
    </row>
    <row r="39" spans="1:73" x14ac:dyDescent="0.25">
      <c r="A39" s="1">
        <v>38</v>
      </c>
      <c r="B39" s="1" t="s">
        <v>1506</v>
      </c>
      <c r="C39" s="1" t="s">
        <v>4101</v>
      </c>
      <c r="D39" s="1" t="s">
        <v>1507</v>
      </c>
      <c r="E39" s="1" t="s">
        <v>1507</v>
      </c>
      <c r="F39" s="1" t="s">
        <v>1507</v>
      </c>
      <c r="G39" s="1" t="s">
        <v>4102</v>
      </c>
      <c r="H39" s="1" t="s">
        <v>1507</v>
      </c>
      <c r="I39" s="1" t="s">
        <v>1507</v>
      </c>
      <c r="J39" s="1" t="s">
        <v>4103</v>
      </c>
      <c r="K39" s="1" t="s">
        <v>4104</v>
      </c>
      <c r="L39" s="1" t="s">
        <v>1507</v>
      </c>
      <c r="M39" s="1" t="s">
        <v>1507</v>
      </c>
      <c r="N39" s="1" t="s">
        <v>42</v>
      </c>
      <c r="O39" s="1" t="s">
        <v>1509</v>
      </c>
      <c r="P39" s="1" t="s">
        <v>1507</v>
      </c>
      <c r="Q39" s="1" t="s">
        <v>1507</v>
      </c>
      <c r="R39" s="1" t="s">
        <v>1507</v>
      </c>
      <c r="S39" s="1" t="s">
        <v>1507</v>
      </c>
      <c r="T39" s="1" t="s">
        <v>1507</v>
      </c>
      <c r="U39" s="1" t="s">
        <v>4105</v>
      </c>
      <c r="V39" s="1" t="s">
        <v>4106</v>
      </c>
      <c r="W39" s="1" t="s">
        <v>4107</v>
      </c>
      <c r="X39" s="1" t="s">
        <v>4108</v>
      </c>
      <c r="Y39" s="1" t="s">
        <v>4109</v>
      </c>
      <c r="Z39" s="1" t="s">
        <v>4110</v>
      </c>
      <c r="AA39" s="1" t="s">
        <v>4111</v>
      </c>
      <c r="AB39" s="1" t="s">
        <v>1507</v>
      </c>
      <c r="AC39" s="1" t="s">
        <v>1507</v>
      </c>
      <c r="AD39" s="1" t="s">
        <v>4112</v>
      </c>
      <c r="AE39" s="1" t="s">
        <v>4112</v>
      </c>
      <c r="AF39" s="1" t="s">
        <v>4113</v>
      </c>
      <c r="AG39" s="1" t="s">
        <v>1507</v>
      </c>
      <c r="AH39" s="1">
        <v>56</v>
      </c>
      <c r="AI39" s="1">
        <v>2</v>
      </c>
      <c r="AJ39" s="1">
        <v>2</v>
      </c>
      <c r="AK39" s="1">
        <v>36</v>
      </c>
      <c r="AL39" s="1">
        <v>36</v>
      </c>
      <c r="AM39" s="1" t="s">
        <v>3564</v>
      </c>
      <c r="AN39" s="1" t="s">
        <v>1523</v>
      </c>
      <c r="AO39" s="1" t="s">
        <v>3565</v>
      </c>
      <c r="AP39" s="1" t="s">
        <v>4114</v>
      </c>
      <c r="AQ39" s="1" t="s">
        <v>4115</v>
      </c>
      <c r="AR39" s="1" t="s">
        <v>1507</v>
      </c>
      <c r="AS39" s="1" t="s">
        <v>4116</v>
      </c>
      <c r="AT39" s="1" t="s">
        <v>4117</v>
      </c>
      <c r="AU39" s="1" t="s">
        <v>4118</v>
      </c>
      <c r="AV39" s="1">
        <v>2023</v>
      </c>
      <c r="AW39" s="1" t="s">
        <v>1507</v>
      </c>
      <c r="AX39" s="1" t="s">
        <v>1507</v>
      </c>
      <c r="AY39" s="1" t="s">
        <v>1507</v>
      </c>
      <c r="AZ39" s="1" t="s">
        <v>1507</v>
      </c>
      <c r="BA39" s="1" t="s">
        <v>1507</v>
      </c>
      <c r="BB39" s="1" t="s">
        <v>1507</v>
      </c>
      <c r="BC39" s="1" t="s">
        <v>1507</v>
      </c>
      <c r="BD39" s="1" t="s">
        <v>1507</v>
      </c>
      <c r="BE39" s="1" t="s">
        <v>1507</v>
      </c>
      <c r="BF39" s="1" t="s">
        <v>4119</v>
      </c>
      <c r="BG39" s="1" t="str">
        <f>HYPERLINK("http://dx.doi.org/10.1017/S1351324923000438","http://dx.doi.org/10.1017/S1351324923000438")</f>
        <v>http://dx.doi.org/10.1017/S1351324923000438</v>
      </c>
      <c r="BH39" s="1" t="s">
        <v>1507</v>
      </c>
      <c r="BI39" s="1" t="s">
        <v>4056</v>
      </c>
      <c r="BJ39" s="1">
        <v>30</v>
      </c>
      <c r="BK39" s="1" t="s">
        <v>1544</v>
      </c>
      <c r="BL39" s="1" t="s">
        <v>1545</v>
      </c>
      <c r="BM39" s="1" t="s">
        <v>1546</v>
      </c>
      <c r="BN39" s="1" t="s">
        <v>4120</v>
      </c>
      <c r="BO39" s="1" t="s">
        <v>1507</v>
      </c>
      <c r="BP39" s="1" t="s">
        <v>1574</v>
      </c>
      <c r="BQ39" s="1" t="s">
        <v>1507</v>
      </c>
      <c r="BR39" s="1" t="s">
        <v>1507</v>
      </c>
      <c r="BS39" s="1" t="s">
        <v>13744</v>
      </c>
      <c r="BT39" s="1" t="s">
        <v>4121</v>
      </c>
      <c r="BU39" s="1" t="str">
        <f>HYPERLINK("https%3A%2F%2Fwww.webofscience.com%2Fwos%2Fwoscc%2Ffull-record%2FWOS:001077062200001","View Full Record in Web of Science")</f>
        <v>View Full Record in Web of Science</v>
      </c>
    </row>
    <row r="40" spans="1:73" x14ac:dyDescent="0.25">
      <c r="A40" s="1">
        <v>39</v>
      </c>
      <c r="B40" s="1" t="s">
        <v>1506</v>
      </c>
      <c r="C40" s="1" t="s">
        <v>10748</v>
      </c>
      <c r="D40" s="1" t="s">
        <v>1507</v>
      </c>
      <c r="E40" s="1" t="s">
        <v>1507</v>
      </c>
      <c r="F40" s="1" t="s">
        <v>1507</v>
      </c>
      <c r="G40" s="1" t="s">
        <v>10749</v>
      </c>
      <c r="H40" s="1" t="s">
        <v>1507</v>
      </c>
      <c r="I40" s="1" t="s">
        <v>1507</v>
      </c>
      <c r="J40" s="1" t="s">
        <v>10750</v>
      </c>
      <c r="K40" s="1" t="s">
        <v>10751</v>
      </c>
      <c r="L40" s="1" t="s">
        <v>1507</v>
      </c>
      <c r="M40" s="1" t="s">
        <v>1507</v>
      </c>
      <c r="N40" s="1" t="s">
        <v>42</v>
      </c>
      <c r="O40" s="1" t="s">
        <v>56</v>
      </c>
      <c r="P40" s="1" t="s">
        <v>1507</v>
      </c>
      <c r="Q40" s="1" t="s">
        <v>1507</v>
      </c>
      <c r="R40" s="1" t="s">
        <v>1507</v>
      </c>
      <c r="S40" s="1" t="s">
        <v>1507</v>
      </c>
      <c r="T40" s="1" t="s">
        <v>1507</v>
      </c>
      <c r="U40" s="1" t="s">
        <v>1507</v>
      </c>
      <c r="V40" s="1" t="s">
        <v>10752</v>
      </c>
      <c r="W40" s="1" t="s">
        <v>10753</v>
      </c>
      <c r="X40" s="1" t="s">
        <v>10754</v>
      </c>
      <c r="Y40" s="1" t="s">
        <v>10755</v>
      </c>
      <c r="Z40" s="1" t="s">
        <v>10756</v>
      </c>
      <c r="AA40" s="1" t="s">
        <v>10757</v>
      </c>
      <c r="AB40" s="1" t="s">
        <v>1507</v>
      </c>
      <c r="AC40" s="1" t="s">
        <v>10758</v>
      </c>
      <c r="AD40" s="1" t="s">
        <v>10759</v>
      </c>
      <c r="AE40" s="1" t="s">
        <v>10759</v>
      </c>
      <c r="AF40" s="1" t="s">
        <v>10760</v>
      </c>
      <c r="AG40" s="1" t="s">
        <v>1507</v>
      </c>
      <c r="AH40" s="1">
        <v>92</v>
      </c>
      <c r="AI40" s="1">
        <v>15</v>
      </c>
      <c r="AJ40" s="1">
        <v>16</v>
      </c>
      <c r="AK40" s="1">
        <v>0</v>
      </c>
      <c r="AL40" s="1">
        <v>3</v>
      </c>
      <c r="AM40" s="1" t="s">
        <v>3564</v>
      </c>
      <c r="AN40" s="1" t="s">
        <v>1523</v>
      </c>
      <c r="AO40" s="1" t="s">
        <v>3565</v>
      </c>
      <c r="AP40" s="1" t="s">
        <v>10761</v>
      </c>
      <c r="AQ40" s="1" t="s">
        <v>10762</v>
      </c>
      <c r="AR40" s="1" t="s">
        <v>1507</v>
      </c>
      <c r="AS40" s="1" t="s">
        <v>10763</v>
      </c>
      <c r="AT40" s="1" t="s">
        <v>10764</v>
      </c>
      <c r="AU40" s="1" t="s">
        <v>4336</v>
      </c>
      <c r="AV40" s="1">
        <v>2019</v>
      </c>
      <c r="AW40" s="1">
        <v>44</v>
      </c>
      <c r="AX40" s="1">
        <v>3</v>
      </c>
      <c r="AY40" s="1" t="s">
        <v>1507</v>
      </c>
      <c r="AZ40" s="1" t="s">
        <v>1507</v>
      </c>
      <c r="BA40" s="1" t="s">
        <v>1507</v>
      </c>
      <c r="BB40" s="1" t="s">
        <v>1507</v>
      </c>
      <c r="BC40" s="1">
        <v>647</v>
      </c>
      <c r="BD40" s="1">
        <v>678</v>
      </c>
      <c r="BE40" s="1" t="s">
        <v>10765</v>
      </c>
      <c r="BF40" s="1" t="s">
        <v>10766</v>
      </c>
      <c r="BG40" s="1" t="str">
        <f>HYPERLINK("http://dx.doi.org/10.1017/lsi.2018.12","http://dx.doi.org/10.1017/lsi.2018.12")</f>
        <v>http://dx.doi.org/10.1017/lsi.2018.12</v>
      </c>
      <c r="BH40" s="1" t="s">
        <v>1507</v>
      </c>
      <c r="BI40" s="1" t="s">
        <v>1507</v>
      </c>
      <c r="BJ40" s="1">
        <v>32</v>
      </c>
      <c r="BK40" s="1" t="s">
        <v>1535</v>
      </c>
      <c r="BL40" s="1" t="s">
        <v>1518</v>
      </c>
      <c r="BM40" s="1" t="s">
        <v>1536</v>
      </c>
      <c r="BN40" s="1" t="s">
        <v>10767</v>
      </c>
      <c r="BO40" s="1" t="s">
        <v>1507</v>
      </c>
      <c r="BP40" s="1" t="s">
        <v>1600</v>
      </c>
      <c r="BQ40" s="1" t="s">
        <v>1507</v>
      </c>
      <c r="BR40" s="1" t="s">
        <v>1507</v>
      </c>
      <c r="BS40" s="1" t="s">
        <v>13744</v>
      </c>
      <c r="BT40" s="1" t="s">
        <v>10768</v>
      </c>
      <c r="BU40" s="1" t="str">
        <f>HYPERLINK("https%3A%2F%2Fwww.webofscience.com%2Fwos%2Fwoscc%2Ffull-record%2FWOS:000488857600004","View Full Record in Web of Science")</f>
        <v>View Full Record in Web of Science</v>
      </c>
    </row>
    <row r="41" spans="1:73" x14ac:dyDescent="0.25">
      <c r="A41" s="1">
        <v>40</v>
      </c>
      <c r="B41" s="1" t="s">
        <v>5546</v>
      </c>
      <c r="C41" s="1" t="s">
        <v>5627</v>
      </c>
      <c r="D41" s="1" t="s">
        <v>1507</v>
      </c>
      <c r="E41" s="1" t="s">
        <v>1507</v>
      </c>
      <c r="F41" s="1" t="s">
        <v>5628</v>
      </c>
      <c r="G41" s="1" t="s">
        <v>5629</v>
      </c>
      <c r="H41" s="1" t="s">
        <v>1507</v>
      </c>
      <c r="I41" s="1" t="s">
        <v>1507</v>
      </c>
      <c r="J41" s="1" t="s">
        <v>5630</v>
      </c>
      <c r="K41" s="1" t="s">
        <v>5631</v>
      </c>
      <c r="L41" s="1" t="s">
        <v>1507</v>
      </c>
      <c r="M41" s="1" t="s">
        <v>1507</v>
      </c>
      <c r="N41" s="1" t="s">
        <v>42</v>
      </c>
      <c r="O41" s="1" t="s">
        <v>5552</v>
      </c>
      <c r="P41" s="1" t="s">
        <v>5632</v>
      </c>
      <c r="Q41" s="1" t="s">
        <v>5633</v>
      </c>
      <c r="R41" s="1" t="s">
        <v>5634</v>
      </c>
      <c r="S41" s="1" t="s">
        <v>5635</v>
      </c>
      <c r="T41" s="1" t="s">
        <v>1507</v>
      </c>
      <c r="U41" s="1" t="s">
        <v>5636</v>
      </c>
      <c r="V41" s="1" t="s">
        <v>1507</v>
      </c>
      <c r="W41" s="1" t="s">
        <v>5637</v>
      </c>
      <c r="X41" s="1" t="s">
        <v>5638</v>
      </c>
      <c r="Y41" s="1" t="s">
        <v>5639</v>
      </c>
      <c r="Z41" s="1" t="s">
        <v>5640</v>
      </c>
      <c r="AA41" s="1" t="s">
        <v>5641</v>
      </c>
      <c r="AB41" s="1" t="s">
        <v>1507</v>
      </c>
      <c r="AC41" s="1" t="s">
        <v>1507</v>
      </c>
      <c r="AD41" s="1" t="s">
        <v>5642</v>
      </c>
      <c r="AE41" s="1" t="s">
        <v>5643</v>
      </c>
      <c r="AF41" s="1" t="s">
        <v>5644</v>
      </c>
      <c r="AG41" s="1" t="s">
        <v>1507</v>
      </c>
      <c r="AH41" s="1">
        <v>11</v>
      </c>
      <c r="AI41" s="1">
        <v>1</v>
      </c>
      <c r="AJ41" s="1">
        <v>1</v>
      </c>
      <c r="AK41" s="1">
        <v>0</v>
      </c>
      <c r="AL41" s="1">
        <v>0</v>
      </c>
      <c r="AM41" s="1" t="s">
        <v>5645</v>
      </c>
      <c r="AN41" s="1" t="s">
        <v>5646</v>
      </c>
      <c r="AO41" s="1" t="s">
        <v>5647</v>
      </c>
      <c r="AP41" s="1" t="s">
        <v>1507</v>
      </c>
      <c r="AQ41" s="1" t="s">
        <v>1507</v>
      </c>
      <c r="AR41" s="1" t="s">
        <v>5648</v>
      </c>
      <c r="AS41" s="1" t="s">
        <v>1507</v>
      </c>
      <c r="AT41" s="1" t="s">
        <v>1507</v>
      </c>
      <c r="AU41" s="1" t="s">
        <v>1507</v>
      </c>
      <c r="AV41" s="1">
        <v>2023</v>
      </c>
      <c r="AW41" s="1" t="s">
        <v>1507</v>
      </c>
      <c r="AX41" s="1" t="s">
        <v>1507</v>
      </c>
      <c r="AY41" s="1" t="s">
        <v>1507</v>
      </c>
      <c r="AZ41" s="1" t="s">
        <v>1507</v>
      </c>
      <c r="BA41" s="1" t="s">
        <v>1507</v>
      </c>
      <c r="BB41" s="1" t="s">
        <v>1507</v>
      </c>
      <c r="BC41" s="1">
        <v>264</v>
      </c>
      <c r="BD41" s="1">
        <v>265</v>
      </c>
      <c r="BE41" s="1" t="s">
        <v>1507</v>
      </c>
      <c r="BF41" s="1" t="s">
        <v>5649</v>
      </c>
      <c r="BG41" s="1" t="str">
        <f>HYPERLINK("http://dx.doi.org/10.1109/CAI54212.2023.00118","http://dx.doi.org/10.1109/CAI54212.2023.00118")</f>
        <v>http://dx.doi.org/10.1109/CAI54212.2023.00118</v>
      </c>
      <c r="BH41" s="1" t="s">
        <v>1507</v>
      </c>
      <c r="BI41" s="1" t="s">
        <v>1507</v>
      </c>
      <c r="BJ41" s="1">
        <v>2</v>
      </c>
      <c r="BK41" s="1" t="s">
        <v>5650</v>
      </c>
      <c r="BL41" s="1" t="s">
        <v>5570</v>
      </c>
      <c r="BM41" s="1" t="s">
        <v>1577</v>
      </c>
      <c r="BN41" s="1" t="s">
        <v>5651</v>
      </c>
      <c r="BO41" s="1" t="s">
        <v>1507</v>
      </c>
      <c r="BP41" s="1" t="s">
        <v>1507</v>
      </c>
      <c r="BQ41" s="1" t="s">
        <v>1507</v>
      </c>
      <c r="BR41" s="1" t="s">
        <v>1507</v>
      </c>
      <c r="BS41" s="1" t="s">
        <v>13744</v>
      </c>
      <c r="BT41" s="1" t="s">
        <v>5652</v>
      </c>
      <c r="BU41" s="1" t="str">
        <f>HYPERLINK("https%3A%2F%2Fwww.webofscience.com%2Fwos%2Fwoscc%2Ffull-record%2FWOS:001046447800108","View Full Record in Web of Science")</f>
        <v>View Full Record in Web of Science</v>
      </c>
    </row>
    <row r="42" spans="1:73" x14ac:dyDescent="0.25">
      <c r="A42" s="1">
        <v>41</v>
      </c>
      <c r="B42" s="1" t="s">
        <v>1506</v>
      </c>
      <c r="C42" s="1" t="s">
        <v>2871</v>
      </c>
      <c r="D42" s="1" t="s">
        <v>1507</v>
      </c>
      <c r="E42" s="1" t="s">
        <v>1507</v>
      </c>
      <c r="F42" s="1" t="s">
        <v>1507</v>
      </c>
      <c r="G42" s="1" t="s">
        <v>2872</v>
      </c>
      <c r="H42" s="1" t="s">
        <v>1507</v>
      </c>
      <c r="I42" s="1" t="s">
        <v>1507</v>
      </c>
      <c r="J42" s="1" t="s">
        <v>2873</v>
      </c>
      <c r="K42" s="1" t="s">
        <v>2874</v>
      </c>
      <c r="L42" s="1" t="s">
        <v>1507</v>
      </c>
      <c r="M42" s="1" t="s">
        <v>1507</v>
      </c>
      <c r="N42" s="1" t="s">
        <v>42</v>
      </c>
      <c r="O42" s="1" t="s">
        <v>56</v>
      </c>
      <c r="P42" s="1" t="s">
        <v>1507</v>
      </c>
      <c r="Q42" s="1" t="s">
        <v>1507</v>
      </c>
      <c r="R42" s="1" t="s">
        <v>1507</v>
      </c>
      <c r="S42" s="1" t="s">
        <v>1507</v>
      </c>
      <c r="T42" s="1" t="s">
        <v>1507</v>
      </c>
      <c r="U42" s="1" t="s">
        <v>2875</v>
      </c>
      <c r="V42" s="1" t="s">
        <v>2876</v>
      </c>
      <c r="W42" s="1" t="s">
        <v>2877</v>
      </c>
      <c r="X42" s="1" t="s">
        <v>2878</v>
      </c>
      <c r="Y42" s="1" t="s">
        <v>14223</v>
      </c>
      <c r="Z42" s="1" t="s">
        <v>2879</v>
      </c>
      <c r="AA42" s="1" t="s">
        <v>2880</v>
      </c>
      <c r="AB42" s="1" t="s">
        <v>2881</v>
      </c>
      <c r="AC42" s="1" t="s">
        <v>2882</v>
      </c>
      <c r="AD42" s="1" t="s">
        <v>1507</v>
      </c>
      <c r="AE42" s="1" t="s">
        <v>1507</v>
      </c>
      <c r="AF42" s="1" t="s">
        <v>1507</v>
      </c>
      <c r="AG42" s="1" t="s">
        <v>1507</v>
      </c>
      <c r="AH42" s="1">
        <v>18</v>
      </c>
      <c r="AI42" s="1">
        <v>9</v>
      </c>
      <c r="AJ42" s="1">
        <v>9</v>
      </c>
      <c r="AK42" s="1">
        <v>4</v>
      </c>
      <c r="AL42" s="1">
        <v>7</v>
      </c>
      <c r="AM42" s="1" t="s">
        <v>2883</v>
      </c>
      <c r="AN42" s="1" t="s">
        <v>1512</v>
      </c>
      <c r="AO42" s="1" t="s">
        <v>2884</v>
      </c>
      <c r="AP42" s="1" t="s">
        <v>2885</v>
      </c>
      <c r="AQ42" s="1" t="s">
        <v>2886</v>
      </c>
      <c r="AR42" s="1" t="s">
        <v>1507</v>
      </c>
      <c r="AS42" s="1" t="s">
        <v>2887</v>
      </c>
      <c r="AT42" s="1" t="s">
        <v>2888</v>
      </c>
      <c r="AU42" s="1" t="s">
        <v>2889</v>
      </c>
      <c r="AV42" s="1">
        <v>2023</v>
      </c>
      <c r="AW42" s="1">
        <v>20</v>
      </c>
      <c r="AX42" s="1">
        <v>10</v>
      </c>
      <c r="AY42" s="1" t="s">
        <v>1507</v>
      </c>
      <c r="AZ42" s="1" t="s">
        <v>1507</v>
      </c>
      <c r="BA42" s="1" t="s">
        <v>1507</v>
      </c>
      <c r="BB42" s="1" t="s">
        <v>1507</v>
      </c>
      <c r="BC42" s="1">
        <v>998</v>
      </c>
      <c r="BD42" s="1">
        <v>1003</v>
      </c>
      <c r="BE42" s="1" t="s">
        <v>1507</v>
      </c>
      <c r="BF42" s="1" t="s">
        <v>2890</v>
      </c>
      <c r="BG42" s="1" t="str">
        <f>HYPERLINK("http://dx.doi.org/10.1016/j.jacr.2023.06.009","http://dx.doi.org/10.1016/j.jacr.2023.06.009")</f>
        <v>http://dx.doi.org/10.1016/j.jacr.2023.06.009</v>
      </c>
      <c r="BH42" s="1" t="s">
        <v>1507</v>
      </c>
      <c r="BI42" s="1" t="s">
        <v>2891</v>
      </c>
      <c r="BJ42" s="1">
        <v>6</v>
      </c>
      <c r="BK42" s="1" t="s">
        <v>1653</v>
      </c>
      <c r="BL42" s="1" t="s">
        <v>1573</v>
      </c>
      <c r="BM42" s="1" t="s">
        <v>1653</v>
      </c>
      <c r="BN42" s="1" t="s">
        <v>2892</v>
      </c>
      <c r="BO42" s="1">
        <v>37423350</v>
      </c>
      <c r="BP42" s="1" t="s">
        <v>1507</v>
      </c>
      <c r="BQ42" s="1" t="s">
        <v>1507</v>
      </c>
      <c r="BR42" s="1" t="s">
        <v>1507</v>
      </c>
      <c r="BS42" s="1" t="s">
        <v>13744</v>
      </c>
      <c r="BT42" s="1" t="s">
        <v>2893</v>
      </c>
      <c r="BU42" s="1" t="str">
        <f>HYPERLINK("https%3A%2F%2Fwww.webofscience.com%2Fwos%2Fwoscc%2Ffull-record%2FWOS:001101353300001","View Full Record in Web of Science")</f>
        <v>View Full Record in Web of Science</v>
      </c>
    </row>
    <row r="43" spans="1:73" x14ac:dyDescent="0.25">
      <c r="A43" s="1">
        <v>42</v>
      </c>
      <c r="B43" s="1" t="s">
        <v>1506</v>
      </c>
      <c r="C43" s="1" t="s">
        <v>2576</v>
      </c>
      <c r="D43" s="1" t="s">
        <v>1507</v>
      </c>
      <c r="E43" s="1" t="s">
        <v>1507</v>
      </c>
      <c r="F43" s="1" t="s">
        <v>1507</v>
      </c>
      <c r="G43" s="1" t="s">
        <v>2577</v>
      </c>
      <c r="H43" s="1" t="s">
        <v>1507</v>
      </c>
      <c r="I43" s="1" t="s">
        <v>1507</v>
      </c>
      <c r="J43" s="1" t="s">
        <v>2578</v>
      </c>
      <c r="K43" s="1" t="s">
        <v>2579</v>
      </c>
      <c r="L43" s="1" t="s">
        <v>1507</v>
      </c>
      <c r="M43" s="1" t="s">
        <v>1507</v>
      </c>
      <c r="N43" s="1" t="s">
        <v>42</v>
      </c>
      <c r="O43" s="1" t="s">
        <v>56</v>
      </c>
      <c r="P43" s="1" t="s">
        <v>1507</v>
      </c>
      <c r="Q43" s="1" t="s">
        <v>1507</v>
      </c>
      <c r="R43" s="1" t="s">
        <v>1507</v>
      </c>
      <c r="S43" s="1" t="s">
        <v>1507</v>
      </c>
      <c r="T43" s="1" t="s">
        <v>1507</v>
      </c>
      <c r="U43" s="1" t="s">
        <v>2580</v>
      </c>
      <c r="V43" s="1" t="s">
        <v>2581</v>
      </c>
      <c r="W43" s="1" t="s">
        <v>2582</v>
      </c>
      <c r="X43" s="1" t="s">
        <v>2583</v>
      </c>
      <c r="Y43" s="1" t="s">
        <v>2584</v>
      </c>
      <c r="Z43" s="1" t="s">
        <v>2585</v>
      </c>
      <c r="AA43" s="1" t="s">
        <v>2586</v>
      </c>
      <c r="AB43" s="1" t="s">
        <v>1507</v>
      </c>
      <c r="AC43" s="1" t="s">
        <v>2587</v>
      </c>
      <c r="AD43" s="1" t="s">
        <v>2588</v>
      </c>
      <c r="AE43" s="1" t="s">
        <v>2588</v>
      </c>
      <c r="AF43" s="1" t="s">
        <v>2588</v>
      </c>
      <c r="AG43" s="1" t="s">
        <v>1507</v>
      </c>
      <c r="AH43" s="1">
        <v>52</v>
      </c>
      <c r="AI43" s="1">
        <v>2</v>
      </c>
      <c r="AJ43" s="1">
        <v>2</v>
      </c>
      <c r="AK43" s="1">
        <v>169</v>
      </c>
      <c r="AL43" s="1">
        <v>169</v>
      </c>
      <c r="AM43" s="1" t="s">
        <v>1511</v>
      </c>
      <c r="AN43" s="1" t="s">
        <v>1512</v>
      </c>
      <c r="AO43" s="1" t="s">
        <v>1513</v>
      </c>
      <c r="AP43" s="1" t="s">
        <v>2589</v>
      </c>
      <c r="AQ43" s="1" t="s">
        <v>1507</v>
      </c>
      <c r="AR43" s="1" t="s">
        <v>1507</v>
      </c>
      <c r="AS43" s="1" t="s">
        <v>2590</v>
      </c>
      <c r="AT43" s="1" t="s">
        <v>2591</v>
      </c>
      <c r="AU43" s="1" t="s">
        <v>2592</v>
      </c>
      <c r="AV43" s="1">
        <v>2023</v>
      </c>
      <c r="AW43" s="1">
        <v>20</v>
      </c>
      <c r="AX43" s="1">
        <v>1</v>
      </c>
      <c r="AY43" s="1" t="s">
        <v>1507</v>
      </c>
      <c r="AZ43" s="1" t="s">
        <v>1507</v>
      </c>
      <c r="BA43" s="1" t="s">
        <v>1507</v>
      </c>
      <c r="BB43" s="1" t="s">
        <v>1507</v>
      </c>
      <c r="BC43" s="1" t="s">
        <v>1507</v>
      </c>
      <c r="BD43" s="1" t="s">
        <v>1507</v>
      </c>
      <c r="BE43" s="1">
        <v>59</v>
      </c>
      <c r="BF43" s="1" t="s">
        <v>106</v>
      </c>
      <c r="BG43" s="1" t="str">
        <f>HYPERLINK("http://dx.doi.org/10.1186/s41239-023-00427-0","http://dx.doi.org/10.1186/s41239-023-00427-0")</f>
        <v>http://dx.doi.org/10.1186/s41239-023-00427-0</v>
      </c>
      <c r="BH43" s="1" t="s">
        <v>1507</v>
      </c>
      <c r="BI43" s="1" t="s">
        <v>1507</v>
      </c>
      <c r="BJ43" s="1">
        <v>24</v>
      </c>
      <c r="BK43" s="1" t="s">
        <v>1558</v>
      </c>
      <c r="BL43" s="1" t="s">
        <v>1518</v>
      </c>
      <c r="BM43" s="1" t="s">
        <v>1558</v>
      </c>
      <c r="BN43" s="1" t="s">
        <v>2593</v>
      </c>
      <c r="BO43" s="1" t="s">
        <v>1507</v>
      </c>
      <c r="BP43" s="1" t="s">
        <v>1531</v>
      </c>
      <c r="BQ43" s="1" t="s">
        <v>1507</v>
      </c>
      <c r="BR43" s="1" t="s">
        <v>1507</v>
      </c>
      <c r="BS43" s="1" t="s">
        <v>13744</v>
      </c>
      <c r="BT43" s="1" t="s">
        <v>2594</v>
      </c>
      <c r="BU43" s="1" t="str">
        <f>HYPERLINK("https%3A%2F%2Fwww.webofscience.com%2Fwos%2Fwoscc%2Ffull-record%2FWOS:001099156200001","View Full Record in Web of Science")</f>
        <v>View Full Record in Web of Science</v>
      </c>
    </row>
    <row r="44" spans="1:73" x14ac:dyDescent="0.25">
      <c r="A44" s="1">
        <v>43</v>
      </c>
      <c r="B44" s="1" t="s">
        <v>1506</v>
      </c>
      <c r="C44" s="1" t="s">
        <v>11816</v>
      </c>
      <c r="D44" s="1" t="s">
        <v>1507</v>
      </c>
      <c r="E44" s="1" t="s">
        <v>1507</v>
      </c>
      <c r="F44" s="1" t="s">
        <v>1507</v>
      </c>
      <c r="G44" s="1" t="s">
        <v>11817</v>
      </c>
      <c r="H44" s="1" t="s">
        <v>1507</v>
      </c>
      <c r="I44" s="1" t="s">
        <v>1507</v>
      </c>
      <c r="J44" s="1" t="s">
        <v>11818</v>
      </c>
      <c r="K44" s="1" t="s">
        <v>11819</v>
      </c>
      <c r="L44" s="1" t="s">
        <v>1507</v>
      </c>
      <c r="M44" s="1" t="s">
        <v>1507</v>
      </c>
      <c r="N44" s="1" t="s">
        <v>42</v>
      </c>
      <c r="O44" s="1" t="s">
        <v>56</v>
      </c>
      <c r="P44" s="1" t="s">
        <v>1507</v>
      </c>
      <c r="Q44" s="1" t="s">
        <v>1507</v>
      </c>
      <c r="R44" s="1" t="s">
        <v>1507</v>
      </c>
      <c r="S44" s="1" t="s">
        <v>1507</v>
      </c>
      <c r="T44" s="1" t="s">
        <v>1507</v>
      </c>
      <c r="U44" s="1" t="s">
        <v>1507</v>
      </c>
      <c r="V44" s="1" t="s">
        <v>11820</v>
      </c>
      <c r="W44" s="1" t="s">
        <v>1507</v>
      </c>
      <c r="X44" s="1" t="s">
        <v>11821</v>
      </c>
      <c r="Y44" s="1" t="s">
        <v>11822</v>
      </c>
      <c r="Z44" s="1" t="s">
        <v>11823</v>
      </c>
      <c r="AA44" s="1" t="s">
        <v>11824</v>
      </c>
      <c r="AB44" s="1" t="s">
        <v>11825</v>
      </c>
      <c r="AC44" s="1" t="s">
        <v>11826</v>
      </c>
      <c r="AD44" s="1" t="s">
        <v>11827</v>
      </c>
      <c r="AE44" s="1" t="s">
        <v>11828</v>
      </c>
      <c r="AF44" s="1" t="s">
        <v>11829</v>
      </c>
      <c r="AG44" s="1" t="s">
        <v>1507</v>
      </c>
      <c r="AH44" s="1">
        <v>57</v>
      </c>
      <c r="AI44" s="1">
        <v>41</v>
      </c>
      <c r="AJ44" s="1">
        <v>45</v>
      </c>
      <c r="AK44" s="1">
        <v>4</v>
      </c>
      <c r="AL44" s="1">
        <v>31</v>
      </c>
      <c r="AM44" s="1" t="s">
        <v>11830</v>
      </c>
      <c r="AN44" s="1" t="s">
        <v>11831</v>
      </c>
      <c r="AO44" s="1" t="s">
        <v>11832</v>
      </c>
      <c r="AP44" s="1" t="s">
        <v>11833</v>
      </c>
      <c r="AQ44" s="1" t="s">
        <v>11834</v>
      </c>
      <c r="AR44" s="1" t="s">
        <v>1507</v>
      </c>
      <c r="AS44" s="1" t="s">
        <v>11819</v>
      </c>
      <c r="AT44" s="1" t="s">
        <v>11835</v>
      </c>
      <c r="AU44" s="1" t="s">
        <v>5362</v>
      </c>
      <c r="AV44" s="1">
        <v>2018</v>
      </c>
      <c r="AW44" s="1">
        <v>30</v>
      </c>
      <c r="AX44" s="1">
        <v>3</v>
      </c>
      <c r="AY44" s="1" t="s">
        <v>1507</v>
      </c>
      <c r="AZ44" s="1" t="s">
        <v>1507</v>
      </c>
      <c r="BA44" s="1" t="s">
        <v>1507</v>
      </c>
      <c r="BB44" s="1" t="s">
        <v>1507</v>
      </c>
      <c r="BC44" s="1">
        <v>582</v>
      </c>
      <c r="BD44" s="1">
        <v>599</v>
      </c>
      <c r="BE44" s="1" t="s">
        <v>1507</v>
      </c>
      <c r="BF44" s="1" t="s">
        <v>11836</v>
      </c>
      <c r="BG44" s="1" t="str">
        <f>HYPERLINK("http://dx.doi.org/10.1105/tpc.17.00947","http://dx.doi.org/10.1105/tpc.17.00947")</f>
        <v>http://dx.doi.org/10.1105/tpc.17.00947</v>
      </c>
      <c r="BH44" s="1" t="s">
        <v>1507</v>
      </c>
      <c r="BI44" s="1" t="s">
        <v>1507</v>
      </c>
      <c r="BJ44" s="1">
        <v>18</v>
      </c>
      <c r="BK44" s="1" t="s">
        <v>11837</v>
      </c>
      <c r="BL44" s="1" t="s">
        <v>1573</v>
      </c>
      <c r="BM44" s="1" t="s">
        <v>11837</v>
      </c>
      <c r="BN44" s="1" t="s">
        <v>11838</v>
      </c>
      <c r="BO44" s="1">
        <v>29453227</v>
      </c>
      <c r="BP44" s="1" t="s">
        <v>9713</v>
      </c>
      <c r="BQ44" s="1" t="s">
        <v>1507</v>
      </c>
      <c r="BR44" s="1" t="s">
        <v>1507</v>
      </c>
      <c r="BS44" s="1" t="s">
        <v>13744</v>
      </c>
      <c r="BT44" s="1" t="s">
        <v>11839</v>
      </c>
      <c r="BU44" s="1" t="str">
        <f>HYPERLINK("https%3A%2F%2Fwww.webofscience.com%2Fwos%2Fwoscc%2Ffull-record%2FWOS:000429441400011","View Full Record in Web of Science")</f>
        <v>View Full Record in Web of Science</v>
      </c>
    </row>
    <row r="45" spans="1:73" x14ac:dyDescent="0.25">
      <c r="A45" s="1">
        <v>44</v>
      </c>
      <c r="B45" s="1" t="s">
        <v>1506</v>
      </c>
      <c r="C45" s="1" t="s">
        <v>9656</v>
      </c>
      <c r="D45" s="1" t="s">
        <v>1507</v>
      </c>
      <c r="E45" s="1" t="s">
        <v>1507</v>
      </c>
      <c r="F45" s="1" t="s">
        <v>1507</v>
      </c>
      <c r="G45" s="1" t="s">
        <v>9657</v>
      </c>
      <c r="H45" s="1" t="s">
        <v>1507</v>
      </c>
      <c r="I45" s="1" t="s">
        <v>1507</v>
      </c>
      <c r="J45" s="1" t="s">
        <v>9658</v>
      </c>
      <c r="K45" s="1" t="s">
        <v>9659</v>
      </c>
      <c r="L45" s="1" t="s">
        <v>1507</v>
      </c>
      <c r="M45" s="1" t="s">
        <v>1507</v>
      </c>
      <c r="N45" s="1" t="s">
        <v>42</v>
      </c>
      <c r="O45" s="1" t="s">
        <v>56</v>
      </c>
      <c r="P45" s="1" t="s">
        <v>1507</v>
      </c>
      <c r="Q45" s="1" t="s">
        <v>1507</v>
      </c>
      <c r="R45" s="1" t="s">
        <v>1507</v>
      </c>
      <c r="S45" s="1" t="s">
        <v>1507</v>
      </c>
      <c r="T45" s="1" t="s">
        <v>1507</v>
      </c>
      <c r="U45" s="1" t="s">
        <v>9660</v>
      </c>
      <c r="V45" s="1" t="s">
        <v>9661</v>
      </c>
      <c r="W45" s="1" t="s">
        <v>9662</v>
      </c>
      <c r="X45" s="1" t="s">
        <v>9663</v>
      </c>
      <c r="Y45" s="1" t="s">
        <v>9664</v>
      </c>
      <c r="Z45" s="1" t="s">
        <v>9665</v>
      </c>
      <c r="AA45" s="1" t="s">
        <v>9666</v>
      </c>
      <c r="AB45" s="1" t="s">
        <v>15801</v>
      </c>
      <c r="AC45" s="1" t="s">
        <v>15802</v>
      </c>
      <c r="AD45" s="1" t="s">
        <v>9667</v>
      </c>
      <c r="AE45" s="1" t="s">
        <v>9668</v>
      </c>
      <c r="AF45" s="1" t="s">
        <v>9669</v>
      </c>
      <c r="AG45" s="1" t="s">
        <v>1507</v>
      </c>
      <c r="AH45" s="1">
        <v>46</v>
      </c>
      <c r="AI45" s="1">
        <v>5</v>
      </c>
      <c r="AJ45" s="1">
        <v>5</v>
      </c>
      <c r="AK45" s="1">
        <v>1</v>
      </c>
      <c r="AL45" s="1">
        <v>11</v>
      </c>
      <c r="AM45" s="1" t="s">
        <v>9670</v>
      </c>
      <c r="AN45" s="1" t="s">
        <v>3501</v>
      </c>
      <c r="AO45" s="1" t="s">
        <v>9671</v>
      </c>
      <c r="AP45" s="1" t="s">
        <v>9672</v>
      </c>
      <c r="AQ45" s="1" t="s">
        <v>9673</v>
      </c>
      <c r="AR45" s="1" t="s">
        <v>1507</v>
      </c>
      <c r="AS45" s="1" t="s">
        <v>9674</v>
      </c>
      <c r="AT45" s="1" t="s">
        <v>9675</v>
      </c>
      <c r="AU45" s="1" t="s">
        <v>4336</v>
      </c>
      <c r="AV45" s="1">
        <v>2020</v>
      </c>
      <c r="AW45" s="1">
        <v>39</v>
      </c>
      <c r="AX45" s="1">
        <v>8</v>
      </c>
      <c r="AY45" s="1" t="s">
        <v>1507</v>
      </c>
      <c r="AZ45" s="1" t="s">
        <v>1507</v>
      </c>
      <c r="BA45" s="1" t="s">
        <v>1507</v>
      </c>
      <c r="BB45" s="1" t="s">
        <v>1507</v>
      </c>
      <c r="BC45" s="1">
        <v>2463</v>
      </c>
      <c r="BD45" s="1">
        <v>2470</v>
      </c>
      <c r="BE45" s="1" t="s">
        <v>1507</v>
      </c>
      <c r="BF45" s="1" t="s">
        <v>9676</v>
      </c>
      <c r="BG45" s="1" t="str">
        <f>HYPERLINK("http://dx.doi.org/10.1016/j.clnu.2019.10.032","http://dx.doi.org/10.1016/j.clnu.2019.10.032")</f>
        <v>http://dx.doi.org/10.1016/j.clnu.2019.10.032</v>
      </c>
      <c r="BH45" s="1" t="s">
        <v>1507</v>
      </c>
      <c r="BI45" s="1" t="s">
        <v>1507</v>
      </c>
      <c r="BJ45" s="1">
        <v>8</v>
      </c>
      <c r="BK45" s="1" t="s">
        <v>7211</v>
      </c>
      <c r="BL45" s="1" t="s">
        <v>1598</v>
      </c>
      <c r="BM45" s="1" t="s">
        <v>7211</v>
      </c>
      <c r="BN45" s="1" t="s">
        <v>9677</v>
      </c>
      <c r="BO45" s="1">
        <v>31727381</v>
      </c>
      <c r="BP45" s="1" t="s">
        <v>5957</v>
      </c>
      <c r="BQ45" s="1" t="s">
        <v>1507</v>
      </c>
      <c r="BR45" s="1" t="s">
        <v>1507</v>
      </c>
      <c r="BS45" s="1" t="s">
        <v>13744</v>
      </c>
      <c r="BT45" s="1" t="s">
        <v>9678</v>
      </c>
      <c r="BU45" s="1" t="str">
        <f>HYPERLINK("https%3A%2F%2Fwww.webofscience.com%2Fwos%2Fwoscc%2Ffull-record%2FWOS:000553453200016","View Full Record in Web of Science")</f>
        <v>View Full Record in Web of Science</v>
      </c>
    </row>
    <row r="46" spans="1:73" x14ac:dyDescent="0.25">
      <c r="A46" s="1">
        <v>45</v>
      </c>
      <c r="B46" s="1" t="s">
        <v>1506</v>
      </c>
      <c r="C46" s="1" t="s">
        <v>4965</v>
      </c>
      <c r="D46" s="1" t="s">
        <v>1507</v>
      </c>
      <c r="E46" s="1" t="s">
        <v>1507</v>
      </c>
      <c r="F46" s="1" t="s">
        <v>1507</v>
      </c>
      <c r="G46" s="1" t="s">
        <v>4966</v>
      </c>
      <c r="H46" s="1" t="s">
        <v>1507</v>
      </c>
      <c r="I46" s="1" t="s">
        <v>1507</v>
      </c>
      <c r="J46" s="1" t="s">
        <v>69</v>
      </c>
      <c r="K46" s="1" t="s">
        <v>4967</v>
      </c>
      <c r="L46" s="1" t="s">
        <v>1507</v>
      </c>
      <c r="M46" s="1" t="s">
        <v>1507</v>
      </c>
      <c r="N46" s="1" t="s">
        <v>42</v>
      </c>
      <c r="O46" s="1" t="s">
        <v>1509</v>
      </c>
      <c r="P46" s="1" t="s">
        <v>1507</v>
      </c>
      <c r="Q46" s="1" t="s">
        <v>1507</v>
      </c>
      <c r="R46" s="1" t="s">
        <v>1507</v>
      </c>
      <c r="S46" s="1" t="s">
        <v>1507</v>
      </c>
      <c r="T46" s="1" t="s">
        <v>1507</v>
      </c>
      <c r="U46" s="1" t="s">
        <v>75</v>
      </c>
      <c r="V46" s="1" t="s">
        <v>4968</v>
      </c>
      <c r="W46" s="1" t="s">
        <v>4969</v>
      </c>
      <c r="X46" s="1" t="s">
        <v>4970</v>
      </c>
      <c r="Y46" s="1" t="s">
        <v>4971</v>
      </c>
      <c r="Z46" s="1" t="s">
        <v>4972</v>
      </c>
      <c r="AA46" s="1" t="s">
        <v>4973</v>
      </c>
      <c r="AB46" s="1" t="s">
        <v>1507</v>
      </c>
      <c r="AC46" s="1" t="s">
        <v>14710</v>
      </c>
      <c r="AD46" s="1" t="s">
        <v>4974</v>
      </c>
      <c r="AE46" s="1" t="s">
        <v>4975</v>
      </c>
      <c r="AF46" s="1" t="s">
        <v>4976</v>
      </c>
      <c r="AG46" s="1" t="s">
        <v>1507</v>
      </c>
      <c r="AH46" s="1">
        <v>122</v>
      </c>
      <c r="AI46" s="1">
        <v>12</v>
      </c>
      <c r="AJ46" s="1">
        <v>12</v>
      </c>
      <c r="AK46" s="1">
        <v>111</v>
      </c>
      <c r="AL46" s="1">
        <v>213</v>
      </c>
      <c r="AM46" s="1" t="s">
        <v>1559</v>
      </c>
      <c r="AN46" s="1" t="s">
        <v>1560</v>
      </c>
      <c r="AO46" s="1" t="s">
        <v>1561</v>
      </c>
      <c r="AP46" s="1" t="s">
        <v>4977</v>
      </c>
      <c r="AQ46" s="1" t="s">
        <v>4978</v>
      </c>
      <c r="AR46" s="1" t="s">
        <v>1507</v>
      </c>
      <c r="AS46" s="1" t="s">
        <v>4979</v>
      </c>
      <c r="AT46" s="1" t="s">
        <v>4980</v>
      </c>
      <c r="AU46" s="1" t="s">
        <v>4981</v>
      </c>
      <c r="AV46" s="1">
        <v>2023</v>
      </c>
      <c r="AW46" s="1" t="s">
        <v>1507</v>
      </c>
      <c r="AX46" s="1" t="s">
        <v>1507</v>
      </c>
      <c r="AY46" s="1" t="s">
        <v>1507</v>
      </c>
      <c r="AZ46" s="1" t="s">
        <v>1507</v>
      </c>
      <c r="BA46" s="1" t="s">
        <v>1507</v>
      </c>
      <c r="BB46" s="1" t="s">
        <v>1507</v>
      </c>
      <c r="BC46" s="1" t="s">
        <v>1507</v>
      </c>
      <c r="BD46" s="1" t="s">
        <v>1507</v>
      </c>
      <c r="BE46" s="1" t="s">
        <v>1507</v>
      </c>
      <c r="BF46" s="1" t="s">
        <v>71</v>
      </c>
      <c r="BG46" s="1" t="str">
        <f>HYPERLINK("http://dx.doi.org/10.1111/bjet.13336","http://dx.doi.org/10.1111/bjet.13336")</f>
        <v>http://dx.doi.org/10.1111/bjet.13336</v>
      </c>
      <c r="BH46" s="1" t="s">
        <v>1507</v>
      </c>
      <c r="BI46" s="1" t="s">
        <v>4832</v>
      </c>
      <c r="BJ46" s="1">
        <v>24</v>
      </c>
      <c r="BK46" s="1" t="s">
        <v>1558</v>
      </c>
      <c r="BL46" s="1" t="s">
        <v>1518</v>
      </c>
      <c r="BM46" s="1" t="s">
        <v>1558</v>
      </c>
      <c r="BN46" s="1" t="s">
        <v>4982</v>
      </c>
      <c r="BO46" s="1" t="s">
        <v>1507</v>
      </c>
      <c r="BP46" s="1" t="s">
        <v>4214</v>
      </c>
      <c r="BQ46" s="1" t="s">
        <v>1507</v>
      </c>
      <c r="BR46" s="1" t="s">
        <v>1507</v>
      </c>
      <c r="BS46" s="1" t="s">
        <v>13744</v>
      </c>
      <c r="BT46" s="1" t="s">
        <v>4983</v>
      </c>
      <c r="BU46" s="1" t="str">
        <f>HYPERLINK("https%3A%2F%2Fwww.webofscience.com%2Fwos%2Fwoscc%2Ffull-record%2FWOS:000992259800001","View Full Record in Web of Science")</f>
        <v>View Full Record in Web of Science</v>
      </c>
    </row>
    <row r="47" spans="1:73" x14ac:dyDescent="0.25">
      <c r="A47" s="1">
        <v>46</v>
      </c>
      <c r="B47" s="1" t="s">
        <v>1506</v>
      </c>
      <c r="C47" s="1" t="s">
        <v>10769</v>
      </c>
      <c r="D47" s="1" t="s">
        <v>1507</v>
      </c>
      <c r="E47" s="1" t="s">
        <v>1507</v>
      </c>
      <c r="F47" s="1" t="s">
        <v>1507</v>
      </c>
      <c r="G47" s="1" t="s">
        <v>10770</v>
      </c>
      <c r="H47" s="1" t="s">
        <v>1507</v>
      </c>
      <c r="I47" s="1" t="s">
        <v>1507</v>
      </c>
      <c r="J47" s="1" t="s">
        <v>10771</v>
      </c>
      <c r="K47" s="1" t="s">
        <v>10772</v>
      </c>
      <c r="L47" s="1" t="s">
        <v>1507</v>
      </c>
      <c r="M47" s="1" t="s">
        <v>1507</v>
      </c>
      <c r="N47" s="1" t="s">
        <v>42</v>
      </c>
      <c r="O47" s="1" t="s">
        <v>56</v>
      </c>
      <c r="P47" s="1" t="s">
        <v>1507</v>
      </c>
      <c r="Q47" s="1" t="s">
        <v>1507</v>
      </c>
      <c r="R47" s="1" t="s">
        <v>1507</v>
      </c>
      <c r="S47" s="1" t="s">
        <v>1507</v>
      </c>
      <c r="T47" s="1" t="s">
        <v>1507</v>
      </c>
      <c r="U47" s="1" t="s">
        <v>1507</v>
      </c>
      <c r="V47" s="1" t="s">
        <v>10773</v>
      </c>
      <c r="W47" s="1" t="s">
        <v>10774</v>
      </c>
      <c r="X47" s="1" t="s">
        <v>10775</v>
      </c>
      <c r="Y47" s="1" t="s">
        <v>10776</v>
      </c>
      <c r="Z47" s="1" t="s">
        <v>10777</v>
      </c>
      <c r="AA47" s="1" t="s">
        <v>10778</v>
      </c>
      <c r="AB47" s="1" t="s">
        <v>15914</v>
      </c>
      <c r="AC47" s="1" t="s">
        <v>15915</v>
      </c>
      <c r="AD47" s="1" t="s">
        <v>10779</v>
      </c>
      <c r="AE47" s="1" t="s">
        <v>10780</v>
      </c>
      <c r="AF47" s="1" t="s">
        <v>10781</v>
      </c>
      <c r="AG47" s="1" t="s">
        <v>1507</v>
      </c>
      <c r="AH47" s="1">
        <v>53</v>
      </c>
      <c r="AI47" s="1">
        <v>32</v>
      </c>
      <c r="AJ47" s="1">
        <v>35</v>
      </c>
      <c r="AK47" s="1">
        <v>0</v>
      </c>
      <c r="AL47" s="1">
        <v>33</v>
      </c>
      <c r="AM47" s="1" t="s">
        <v>10620</v>
      </c>
      <c r="AN47" s="1" t="s">
        <v>1551</v>
      </c>
      <c r="AO47" s="1" t="s">
        <v>10621</v>
      </c>
      <c r="AP47" s="1" t="s">
        <v>10782</v>
      </c>
      <c r="AQ47" s="1" t="s">
        <v>10783</v>
      </c>
      <c r="AR47" s="1" t="s">
        <v>1507</v>
      </c>
      <c r="AS47" s="1" t="s">
        <v>10784</v>
      </c>
      <c r="AT47" s="1" t="s">
        <v>10785</v>
      </c>
      <c r="AU47" s="1" t="s">
        <v>4336</v>
      </c>
      <c r="AV47" s="1">
        <v>2019</v>
      </c>
      <c r="AW47" s="1">
        <v>15</v>
      </c>
      <c r="AX47" s="1">
        <v>8</v>
      </c>
      <c r="AY47" s="1" t="s">
        <v>1507</v>
      </c>
      <c r="AZ47" s="1" t="s">
        <v>1507</v>
      </c>
      <c r="BA47" s="1" t="s">
        <v>1507</v>
      </c>
      <c r="BB47" s="1" t="s">
        <v>1507</v>
      </c>
      <c r="BC47" s="1">
        <v>848</v>
      </c>
      <c r="BD47" s="1">
        <v>857</v>
      </c>
      <c r="BE47" s="1" t="s">
        <v>1507</v>
      </c>
      <c r="BF47" s="1" t="s">
        <v>10786</v>
      </c>
      <c r="BG47" s="1" t="str">
        <f>HYPERLINK("http://dx.doi.org/10.1038/s41567-019-0505-9","http://dx.doi.org/10.1038/s41567-019-0505-9")</f>
        <v>http://dx.doi.org/10.1038/s41567-019-0505-9</v>
      </c>
      <c r="BH47" s="1" t="s">
        <v>1507</v>
      </c>
      <c r="BI47" s="1" t="s">
        <v>1507</v>
      </c>
      <c r="BJ47" s="1">
        <v>10</v>
      </c>
      <c r="BK47" s="1" t="s">
        <v>10787</v>
      </c>
      <c r="BL47" s="1" t="s">
        <v>1573</v>
      </c>
      <c r="BM47" s="1" t="s">
        <v>2104</v>
      </c>
      <c r="BN47" s="1" t="s">
        <v>10788</v>
      </c>
      <c r="BO47" s="1" t="s">
        <v>1507</v>
      </c>
      <c r="BP47" s="1" t="s">
        <v>1507</v>
      </c>
      <c r="BQ47" s="1" t="s">
        <v>1507</v>
      </c>
      <c r="BR47" s="1" t="s">
        <v>1507</v>
      </c>
      <c r="BS47" s="1" t="s">
        <v>13744</v>
      </c>
      <c r="BT47" s="1" t="s">
        <v>10789</v>
      </c>
      <c r="BU47" s="1" t="str">
        <f>HYPERLINK("https%3A%2F%2Fwww.webofscience.com%2Fwos%2Fwoscc%2Ffull-record%2FWOS:000478082100033","View Full Record in Web of Science")</f>
        <v>View Full Record in Web of Science</v>
      </c>
    </row>
    <row r="48" spans="1:73" x14ac:dyDescent="0.25">
      <c r="A48" s="1">
        <v>47</v>
      </c>
      <c r="B48" s="1" t="s">
        <v>1506</v>
      </c>
      <c r="C48" s="1" t="s">
        <v>8749</v>
      </c>
      <c r="D48" s="1" t="s">
        <v>1507</v>
      </c>
      <c r="E48" s="1" t="s">
        <v>1507</v>
      </c>
      <c r="F48" s="1" t="s">
        <v>1507</v>
      </c>
      <c r="G48" s="1" t="s">
        <v>8750</v>
      </c>
      <c r="H48" s="1" t="s">
        <v>1507</v>
      </c>
      <c r="I48" s="1" t="s">
        <v>1507</v>
      </c>
      <c r="J48" s="1" t="s">
        <v>8751</v>
      </c>
      <c r="K48" s="1" t="s">
        <v>8752</v>
      </c>
      <c r="L48" s="1" t="s">
        <v>1507</v>
      </c>
      <c r="M48" s="1" t="s">
        <v>1507</v>
      </c>
      <c r="N48" s="1" t="s">
        <v>42</v>
      </c>
      <c r="O48" s="1" t="s">
        <v>56</v>
      </c>
      <c r="P48" s="1" t="s">
        <v>1507</v>
      </c>
      <c r="Q48" s="1" t="s">
        <v>1507</v>
      </c>
      <c r="R48" s="1" t="s">
        <v>1507</v>
      </c>
      <c r="S48" s="1" t="s">
        <v>1507</v>
      </c>
      <c r="T48" s="1" t="s">
        <v>1507</v>
      </c>
      <c r="U48" s="1" t="s">
        <v>8753</v>
      </c>
      <c r="V48" s="1" t="s">
        <v>8754</v>
      </c>
      <c r="W48" s="1" t="s">
        <v>8755</v>
      </c>
      <c r="X48" s="1" t="s">
        <v>8756</v>
      </c>
      <c r="Y48" s="1" t="s">
        <v>8757</v>
      </c>
      <c r="Z48" s="1" t="s">
        <v>8758</v>
      </c>
      <c r="AA48" s="1" t="s">
        <v>8759</v>
      </c>
      <c r="AB48" s="1" t="s">
        <v>15749</v>
      </c>
      <c r="AC48" s="1" t="s">
        <v>15750</v>
      </c>
      <c r="AD48" s="1" t="s">
        <v>8760</v>
      </c>
      <c r="AE48" s="1" t="s">
        <v>8761</v>
      </c>
      <c r="AF48" s="1" t="s">
        <v>8762</v>
      </c>
      <c r="AG48" s="1" t="s">
        <v>1507</v>
      </c>
      <c r="AH48" s="1">
        <v>136</v>
      </c>
      <c r="AI48" s="1">
        <v>9</v>
      </c>
      <c r="AJ48" s="1">
        <v>9</v>
      </c>
      <c r="AK48" s="1">
        <v>0</v>
      </c>
      <c r="AL48" s="1">
        <v>0</v>
      </c>
      <c r="AM48" s="1" t="s">
        <v>1564</v>
      </c>
      <c r="AN48" s="1" t="s">
        <v>1565</v>
      </c>
      <c r="AO48" s="1" t="s">
        <v>1566</v>
      </c>
      <c r="AP48" s="1" t="s">
        <v>1507</v>
      </c>
      <c r="AQ48" s="1" t="s">
        <v>8763</v>
      </c>
      <c r="AR48" s="1" t="s">
        <v>1507</v>
      </c>
      <c r="AS48" s="1" t="s">
        <v>8764</v>
      </c>
      <c r="AT48" s="1" t="s">
        <v>8765</v>
      </c>
      <c r="AU48" s="1" t="s">
        <v>8766</v>
      </c>
      <c r="AV48" s="1">
        <v>2021</v>
      </c>
      <c r="AW48" s="1">
        <v>12</v>
      </c>
      <c r="AX48" s="1" t="s">
        <v>1507</v>
      </c>
      <c r="AY48" s="1" t="s">
        <v>1507</v>
      </c>
      <c r="AZ48" s="1" t="s">
        <v>1507</v>
      </c>
      <c r="BA48" s="1" t="s">
        <v>1507</v>
      </c>
      <c r="BB48" s="1" t="s">
        <v>1507</v>
      </c>
      <c r="BC48" s="1" t="s">
        <v>1507</v>
      </c>
      <c r="BD48" s="1" t="s">
        <v>1507</v>
      </c>
      <c r="BE48" s="1">
        <v>651497</v>
      </c>
      <c r="BF48" s="1" t="s">
        <v>8767</v>
      </c>
      <c r="BG48" s="1" t="str">
        <f>HYPERLINK("http://dx.doi.org/10.3389/fphar.2021.651497","http://dx.doi.org/10.3389/fphar.2021.651497")</f>
        <v>http://dx.doi.org/10.3389/fphar.2021.651497</v>
      </c>
      <c r="BH48" s="1" t="s">
        <v>1507</v>
      </c>
      <c r="BI48" s="1" t="s">
        <v>1507</v>
      </c>
      <c r="BJ48" s="1">
        <v>15</v>
      </c>
      <c r="BK48" s="1" t="s">
        <v>8768</v>
      </c>
      <c r="BL48" s="1" t="s">
        <v>1573</v>
      </c>
      <c r="BM48" s="1" t="s">
        <v>8768</v>
      </c>
      <c r="BN48" s="1" t="s">
        <v>8769</v>
      </c>
      <c r="BO48" s="1">
        <v>33986679</v>
      </c>
      <c r="BP48" s="1" t="s">
        <v>1674</v>
      </c>
      <c r="BQ48" s="1" t="s">
        <v>1507</v>
      </c>
      <c r="BR48" s="1" t="s">
        <v>1507</v>
      </c>
      <c r="BS48" s="1" t="s">
        <v>13744</v>
      </c>
      <c r="BT48" s="1" t="s">
        <v>8770</v>
      </c>
      <c r="BU48" s="1" t="str">
        <f>HYPERLINK("https%3A%2F%2Fwww.webofscience.com%2Fwos%2Fwoscc%2Ffull-record%2FWOS:000648898300001","View Full Record in Web of Science")</f>
        <v>View Full Record in Web of Science</v>
      </c>
    </row>
    <row r="49" spans="1:73" x14ac:dyDescent="0.25">
      <c r="A49" s="1">
        <v>48</v>
      </c>
      <c r="B49" s="1" t="s">
        <v>1506</v>
      </c>
      <c r="C49" s="1" t="s">
        <v>3036</v>
      </c>
      <c r="D49" s="1" t="s">
        <v>1507</v>
      </c>
      <c r="E49" s="1" t="s">
        <v>1507</v>
      </c>
      <c r="F49" s="1" t="s">
        <v>1507</v>
      </c>
      <c r="G49" s="1" t="s">
        <v>3037</v>
      </c>
      <c r="H49" s="1" t="s">
        <v>1507</v>
      </c>
      <c r="I49" s="1" t="s">
        <v>1507</v>
      </c>
      <c r="J49" s="1" t="s">
        <v>3038</v>
      </c>
      <c r="K49" s="1" t="s">
        <v>3039</v>
      </c>
      <c r="L49" s="1" t="s">
        <v>1507</v>
      </c>
      <c r="M49" s="1" t="s">
        <v>1507</v>
      </c>
      <c r="N49" s="1" t="s">
        <v>42</v>
      </c>
      <c r="O49" s="1" t="s">
        <v>1509</v>
      </c>
      <c r="P49" s="1" t="s">
        <v>1507</v>
      </c>
      <c r="Q49" s="1" t="s">
        <v>1507</v>
      </c>
      <c r="R49" s="1" t="s">
        <v>1507</v>
      </c>
      <c r="S49" s="1" t="s">
        <v>1507</v>
      </c>
      <c r="T49" s="1" t="s">
        <v>1507</v>
      </c>
      <c r="U49" s="1" t="s">
        <v>3040</v>
      </c>
      <c r="V49" s="1" t="s">
        <v>3041</v>
      </c>
      <c r="W49" s="1" t="s">
        <v>3042</v>
      </c>
      <c r="X49" s="1" t="s">
        <v>3043</v>
      </c>
      <c r="Y49" s="1" t="s">
        <v>1507</v>
      </c>
      <c r="Z49" s="1" t="s">
        <v>3044</v>
      </c>
      <c r="AA49" s="1" t="s">
        <v>3045</v>
      </c>
      <c r="AB49" s="1" t="s">
        <v>1507</v>
      </c>
      <c r="AC49" s="1" t="s">
        <v>14249</v>
      </c>
      <c r="AD49" s="1" t="s">
        <v>3046</v>
      </c>
      <c r="AE49" s="1" t="s">
        <v>3046</v>
      </c>
      <c r="AF49" s="1" t="s">
        <v>3047</v>
      </c>
      <c r="AG49" s="1" t="s">
        <v>1507</v>
      </c>
      <c r="AH49" s="1">
        <v>129</v>
      </c>
      <c r="AI49" s="1">
        <v>0</v>
      </c>
      <c r="AJ49" s="1">
        <v>0</v>
      </c>
      <c r="AK49" s="1">
        <v>13</v>
      </c>
      <c r="AL49" s="1">
        <v>13</v>
      </c>
      <c r="AM49" s="1" t="s">
        <v>3048</v>
      </c>
      <c r="AN49" s="1" t="s">
        <v>1551</v>
      </c>
      <c r="AO49" s="1" t="s">
        <v>3049</v>
      </c>
      <c r="AP49" s="1" t="s">
        <v>3050</v>
      </c>
      <c r="AQ49" s="1" t="s">
        <v>3051</v>
      </c>
      <c r="AR49" s="1" t="s">
        <v>1507</v>
      </c>
      <c r="AS49" s="1" t="s">
        <v>3052</v>
      </c>
      <c r="AT49" s="1" t="s">
        <v>3053</v>
      </c>
      <c r="AU49" s="1" t="s">
        <v>3054</v>
      </c>
      <c r="AV49" s="1">
        <v>2023</v>
      </c>
      <c r="AW49" s="1" t="s">
        <v>1507</v>
      </c>
      <c r="AX49" s="1" t="s">
        <v>1507</v>
      </c>
      <c r="AY49" s="1" t="s">
        <v>1507</v>
      </c>
      <c r="AZ49" s="1" t="s">
        <v>1507</v>
      </c>
      <c r="BA49" s="1" t="s">
        <v>1507</v>
      </c>
      <c r="BB49" s="1" t="s">
        <v>1507</v>
      </c>
      <c r="BC49" s="1" t="s">
        <v>1507</v>
      </c>
      <c r="BD49" s="1" t="s">
        <v>1507</v>
      </c>
      <c r="BE49" s="1" t="s">
        <v>1507</v>
      </c>
      <c r="BF49" s="1" t="s">
        <v>3055</v>
      </c>
      <c r="BG49" s="1" t="str">
        <f>HYPERLINK("http://dx.doi.org/10.1177/10597123231206604","http://dx.doi.org/10.1177/10597123231206604")</f>
        <v>http://dx.doi.org/10.1177/10597123231206604</v>
      </c>
      <c r="BH49" s="1" t="s">
        <v>1507</v>
      </c>
      <c r="BI49" s="1" t="s">
        <v>2891</v>
      </c>
      <c r="BJ49" s="1">
        <v>15</v>
      </c>
      <c r="BK49" s="1" t="s">
        <v>3056</v>
      </c>
      <c r="BL49" s="1" t="s">
        <v>1598</v>
      </c>
      <c r="BM49" s="1" t="s">
        <v>3057</v>
      </c>
      <c r="BN49" s="1" t="s">
        <v>3058</v>
      </c>
      <c r="BO49" s="1" t="s">
        <v>1507</v>
      </c>
      <c r="BP49" s="1" t="s">
        <v>1507</v>
      </c>
      <c r="BQ49" s="1" t="s">
        <v>1507</v>
      </c>
      <c r="BR49" s="1" t="s">
        <v>1507</v>
      </c>
      <c r="BS49" s="1" t="s">
        <v>13744</v>
      </c>
      <c r="BT49" s="1" t="s">
        <v>3059</v>
      </c>
      <c r="BU49" s="1" t="str">
        <f>HYPERLINK("https%3A%2F%2Fwww.webofscience.com%2Fwos%2Fwoscc%2Ffull-record%2FWOS:001090820300001","View Full Record in Web of Science")</f>
        <v>View Full Record in Web of Science</v>
      </c>
    </row>
    <row r="50" spans="1:73" x14ac:dyDescent="0.25">
      <c r="A50" s="1">
        <v>49</v>
      </c>
      <c r="B50" s="1" t="s">
        <v>1506</v>
      </c>
      <c r="C50" s="1" t="s">
        <v>4122</v>
      </c>
      <c r="D50" s="1" t="s">
        <v>1507</v>
      </c>
      <c r="E50" s="1" t="s">
        <v>1507</v>
      </c>
      <c r="F50" s="1" t="s">
        <v>1507</v>
      </c>
      <c r="G50" s="1" t="s">
        <v>4123</v>
      </c>
      <c r="H50" s="1" t="s">
        <v>1507</v>
      </c>
      <c r="I50" s="1" t="s">
        <v>1507</v>
      </c>
      <c r="J50" s="1" t="s">
        <v>4124</v>
      </c>
      <c r="K50" s="1" t="s">
        <v>3315</v>
      </c>
      <c r="L50" s="1" t="s">
        <v>1507</v>
      </c>
      <c r="M50" s="1" t="s">
        <v>1507</v>
      </c>
      <c r="N50" s="1" t="s">
        <v>42</v>
      </c>
      <c r="O50" s="1" t="s">
        <v>56</v>
      </c>
      <c r="P50" s="1" t="s">
        <v>1507</v>
      </c>
      <c r="Q50" s="1" t="s">
        <v>1507</v>
      </c>
      <c r="R50" s="1" t="s">
        <v>1507</v>
      </c>
      <c r="S50" s="1" t="s">
        <v>1507</v>
      </c>
      <c r="T50" s="1" t="s">
        <v>1507</v>
      </c>
      <c r="U50" s="1" t="s">
        <v>1507</v>
      </c>
      <c r="V50" s="1" t="s">
        <v>1507</v>
      </c>
      <c r="W50" s="1" t="s">
        <v>4125</v>
      </c>
      <c r="X50" s="1" t="s">
        <v>4126</v>
      </c>
      <c r="Y50" s="1" t="s">
        <v>4127</v>
      </c>
      <c r="Z50" s="1" t="s">
        <v>4128</v>
      </c>
      <c r="AA50" s="1" t="s">
        <v>4129</v>
      </c>
      <c r="AB50" s="1" t="s">
        <v>14558</v>
      </c>
      <c r="AC50" s="1" t="s">
        <v>14559</v>
      </c>
      <c r="AD50" s="1" t="s">
        <v>4130</v>
      </c>
      <c r="AE50" s="1" t="s">
        <v>4131</v>
      </c>
      <c r="AF50" s="1" t="s">
        <v>4132</v>
      </c>
      <c r="AG50" s="1" t="s">
        <v>1507</v>
      </c>
      <c r="AH50" s="1">
        <v>36</v>
      </c>
      <c r="AI50" s="1">
        <v>12</v>
      </c>
      <c r="AJ50" s="1">
        <v>12</v>
      </c>
      <c r="AK50" s="1">
        <v>22</v>
      </c>
      <c r="AL50" s="1">
        <v>26</v>
      </c>
      <c r="AM50" s="1" t="s">
        <v>3324</v>
      </c>
      <c r="AN50" s="1" t="s">
        <v>3325</v>
      </c>
      <c r="AO50" s="1" t="s">
        <v>3326</v>
      </c>
      <c r="AP50" s="1" t="s">
        <v>3327</v>
      </c>
      <c r="AQ50" s="1" t="s">
        <v>1507</v>
      </c>
      <c r="AR50" s="1" t="s">
        <v>1507</v>
      </c>
      <c r="AS50" s="1" t="s">
        <v>3328</v>
      </c>
      <c r="AT50" s="1" t="s">
        <v>1406</v>
      </c>
      <c r="AU50" s="1" t="s">
        <v>4133</v>
      </c>
      <c r="AV50" s="1">
        <v>2023</v>
      </c>
      <c r="AW50" s="1">
        <v>6</v>
      </c>
      <c r="AX50" s="1">
        <v>8</v>
      </c>
      <c r="AY50" s="1" t="s">
        <v>1507</v>
      </c>
      <c r="AZ50" s="1" t="s">
        <v>1507</v>
      </c>
      <c r="BA50" s="1" t="s">
        <v>1507</v>
      </c>
      <c r="BB50" s="1" t="s">
        <v>1507</v>
      </c>
      <c r="BC50" s="1" t="s">
        <v>1507</v>
      </c>
      <c r="BD50" s="1" t="s">
        <v>1507</v>
      </c>
      <c r="BE50" s="1" t="s">
        <v>4134</v>
      </c>
      <c r="BF50" s="1" t="s">
        <v>4135</v>
      </c>
      <c r="BG50" s="1" t="str">
        <f>HYPERLINK("http://dx.doi.org/10.1001/jamanetworkopen.2023.30320","http://dx.doi.org/10.1001/jamanetworkopen.2023.30320")</f>
        <v>http://dx.doi.org/10.1001/jamanetworkopen.2023.30320</v>
      </c>
      <c r="BH50" s="1" t="s">
        <v>1507</v>
      </c>
      <c r="BI50" s="1" t="s">
        <v>1507</v>
      </c>
      <c r="BJ50" s="1">
        <v>11</v>
      </c>
      <c r="BK50" s="1" t="s">
        <v>1949</v>
      </c>
      <c r="BL50" s="1" t="s">
        <v>1573</v>
      </c>
      <c r="BM50" s="1" t="s">
        <v>1950</v>
      </c>
      <c r="BN50" s="1" t="s">
        <v>4136</v>
      </c>
      <c r="BO50" s="1">
        <v>37606922</v>
      </c>
      <c r="BP50" s="1" t="s">
        <v>1952</v>
      </c>
      <c r="BQ50" s="1" t="s">
        <v>1507</v>
      </c>
      <c r="BR50" s="1" t="s">
        <v>1507</v>
      </c>
      <c r="BS50" s="1" t="s">
        <v>13744</v>
      </c>
      <c r="BT50" s="1" t="s">
        <v>4137</v>
      </c>
      <c r="BU50" s="1" t="str">
        <f>HYPERLINK("https%3A%2F%2Fwww.webofscience.com%2Fwos%2Fwoscc%2Ffull-record%2FWOS:001059499000003","View Full Record in Web of Science")</f>
        <v>View Full Record in Web of Science</v>
      </c>
    </row>
    <row r="51" spans="1:73" x14ac:dyDescent="0.25">
      <c r="A51" s="1">
        <v>50</v>
      </c>
      <c r="B51" s="1" t="s">
        <v>1506</v>
      </c>
      <c r="C51" s="1" t="s">
        <v>10245</v>
      </c>
      <c r="D51" s="1" t="s">
        <v>1507</v>
      </c>
      <c r="E51" s="1" t="s">
        <v>1507</v>
      </c>
      <c r="F51" s="1" t="s">
        <v>1507</v>
      </c>
      <c r="G51" s="1" t="s">
        <v>10246</v>
      </c>
      <c r="H51" s="1" t="s">
        <v>1507</v>
      </c>
      <c r="I51" s="1" t="s">
        <v>1507</v>
      </c>
      <c r="J51" s="1" t="s">
        <v>10247</v>
      </c>
      <c r="K51" s="1" t="s">
        <v>10248</v>
      </c>
      <c r="L51" s="1" t="s">
        <v>1507</v>
      </c>
      <c r="M51" s="1" t="s">
        <v>1507</v>
      </c>
      <c r="N51" s="1" t="s">
        <v>42</v>
      </c>
      <c r="O51" s="1" t="s">
        <v>56</v>
      </c>
      <c r="P51" s="1" t="s">
        <v>1507</v>
      </c>
      <c r="Q51" s="1" t="s">
        <v>1507</v>
      </c>
      <c r="R51" s="1" t="s">
        <v>1507</v>
      </c>
      <c r="S51" s="1" t="s">
        <v>1507</v>
      </c>
      <c r="T51" s="1" t="s">
        <v>1507</v>
      </c>
      <c r="U51" s="1" t="s">
        <v>10249</v>
      </c>
      <c r="V51" s="1" t="s">
        <v>1507</v>
      </c>
      <c r="W51" s="1" t="s">
        <v>10250</v>
      </c>
      <c r="X51" s="1" t="s">
        <v>10251</v>
      </c>
      <c r="Y51" s="1" t="s">
        <v>10252</v>
      </c>
      <c r="Z51" s="1" t="s">
        <v>10253</v>
      </c>
      <c r="AA51" s="1" t="s">
        <v>10254</v>
      </c>
      <c r="AB51" s="1" t="s">
        <v>15835</v>
      </c>
      <c r="AC51" s="1" t="s">
        <v>10255</v>
      </c>
      <c r="AD51" s="1" t="s">
        <v>10256</v>
      </c>
      <c r="AE51" s="1" t="s">
        <v>10257</v>
      </c>
      <c r="AF51" s="1" t="s">
        <v>10258</v>
      </c>
      <c r="AG51" s="1" t="s">
        <v>1507</v>
      </c>
      <c r="AH51" s="1">
        <v>17</v>
      </c>
      <c r="AI51" s="1">
        <v>1</v>
      </c>
      <c r="AJ51" s="1">
        <v>1</v>
      </c>
      <c r="AK51" s="1">
        <v>0</v>
      </c>
      <c r="AL51" s="1">
        <v>12</v>
      </c>
      <c r="AM51" s="1" t="s">
        <v>10259</v>
      </c>
      <c r="AN51" s="1" t="s">
        <v>10260</v>
      </c>
      <c r="AO51" s="1" t="s">
        <v>10261</v>
      </c>
      <c r="AP51" s="1" t="s">
        <v>10262</v>
      </c>
      <c r="AQ51" s="1" t="s">
        <v>1507</v>
      </c>
      <c r="AR51" s="1" t="s">
        <v>1507</v>
      </c>
      <c r="AS51" s="1" t="s">
        <v>10263</v>
      </c>
      <c r="AT51" s="1" t="s">
        <v>10264</v>
      </c>
      <c r="AU51" s="1" t="s">
        <v>1507</v>
      </c>
      <c r="AV51" s="1">
        <v>2020</v>
      </c>
      <c r="AW51" s="1">
        <v>22</v>
      </c>
      <c r="AX51" s="1">
        <v>1</v>
      </c>
      <c r="AY51" s="1" t="s">
        <v>1507</v>
      </c>
      <c r="AZ51" s="1" t="s">
        <v>1507</v>
      </c>
      <c r="BA51" s="1" t="s">
        <v>1507</v>
      </c>
      <c r="BB51" s="1" t="s">
        <v>1507</v>
      </c>
      <c r="BC51" s="1">
        <v>181</v>
      </c>
      <c r="BD51" s="1">
        <v>195</v>
      </c>
      <c r="BE51" s="1" t="s">
        <v>1507</v>
      </c>
      <c r="BF51" s="1" t="s">
        <v>1507</v>
      </c>
      <c r="BG51" s="1" t="s">
        <v>1507</v>
      </c>
      <c r="BH51" s="1" t="s">
        <v>1507</v>
      </c>
      <c r="BI51" s="1" t="s">
        <v>1507</v>
      </c>
      <c r="BJ51" s="1">
        <v>15</v>
      </c>
      <c r="BK51" s="1" t="s">
        <v>7038</v>
      </c>
      <c r="BL51" s="1" t="s">
        <v>1573</v>
      </c>
      <c r="BM51" s="1" t="s">
        <v>1839</v>
      </c>
      <c r="BN51" s="1" t="s">
        <v>10265</v>
      </c>
      <c r="BO51" s="1" t="s">
        <v>1507</v>
      </c>
      <c r="BP51" s="1" t="s">
        <v>1507</v>
      </c>
      <c r="BQ51" s="1" t="s">
        <v>1507</v>
      </c>
      <c r="BR51" s="1" t="s">
        <v>1507</v>
      </c>
      <c r="BS51" s="1" t="s">
        <v>13744</v>
      </c>
      <c r="BT51" s="1" t="s">
        <v>10266</v>
      </c>
      <c r="BU51" s="1" t="str">
        <f>HYPERLINK("https%3A%2F%2Fwww.webofscience.com%2Fwos%2Fwoscc%2Ffull-record%2FWOS:000593301200011","View Full Record in Web of Science")</f>
        <v>View Full Record in Web of Science</v>
      </c>
    </row>
    <row r="52" spans="1:73" x14ac:dyDescent="0.25">
      <c r="A52" s="1">
        <v>51</v>
      </c>
      <c r="B52" s="1" t="s">
        <v>5546</v>
      </c>
      <c r="C52" s="1" t="s">
        <v>14823</v>
      </c>
      <c r="D52" s="1" t="s">
        <v>1507</v>
      </c>
      <c r="E52" s="1" t="s">
        <v>14824</v>
      </c>
      <c r="F52" s="1" t="s">
        <v>1507</v>
      </c>
      <c r="G52" s="1" t="s">
        <v>14825</v>
      </c>
      <c r="H52" s="1" t="s">
        <v>1507</v>
      </c>
      <c r="I52" s="1" t="s">
        <v>1507</v>
      </c>
      <c r="J52" s="1" t="s">
        <v>14826</v>
      </c>
      <c r="K52" s="1" t="s">
        <v>14827</v>
      </c>
      <c r="L52" s="1" t="s">
        <v>1507</v>
      </c>
      <c r="M52" s="1" t="s">
        <v>1507</v>
      </c>
      <c r="N52" s="1" t="s">
        <v>42</v>
      </c>
      <c r="O52" s="1" t="s">
        <v>5552</v>
      </c>
      <c r="P52" s="1" t="s">
        <v>14828</v>
      </c>
      <c r="Q52" s="1" t="s">
        <v>14829</v>
      </c>
      <c r="R52" s="1" t="s">
        <v>6057</v>
      </c>
      <c r="S52" s="1" t="s">
        <v>14830</v>
      </c>
      <c r="T52" s="1" t="s">
        <v>1507</v>
      </c>
      <c r="U52" s="1" t="s">
        <v>14831</v>
      </c>
      <c r="V52" s="1" t="s">
        <v>1507</v>
      </c>
      <c r="W52" s="1" t="s">
        <v>14832</v>
      </c>
      <c r="X52" s="1" t="s">
        <v>14833</v>
      </c>
      <c r="Y52" s="1" t="s">
        <v>14834</v>
      </c>
      <c r="Z52" s="1" t="s">
        <v>14835</v>
      </c>
      <c r="AA52" s="1" t="s">
        <v>14836</v>
      </c>
      <c r="AB52" s="1" t="s">
        <v>1507</v>
      </c>
      <c r="AC52" s="1" t="s">
        <v>14837</v>
      </c>
      <c r="AD52" s="1" t="s">
        <v>14838</v>
      </c>
      <c r="AE52" s="1" t="s">
        <v>14839</v>
      </c>
      <c r="AF52" s="1" t="s">
        <v>14840</v>
      </c>
      <c r="AG52" s="1" t="s">
        <v>1507</v>
      </c>
      <c r="AH52" s="1">
        <v>10</v>
      </c>
      <c r="AI52" s="1">
        <v>0</v>
      </c>
      <c r="AJ52" s="1">
        <v>0</v>
      </c>
      <c r="AK52" s="1">
        <v>0</v>
      </c>
      <c r="AL52" s="1">
        <v>0</v>
      </c>
      <c r="AM52" s="1" t="s">
        <v>5565</v>
      </c>
      <c r="AN52" s="1" t="s">
        <v>1512</v>
      </c>
      <c r="AO52" s="1" t="s">
        <v>5566</v>
      </c>
      <c r="AP52" s="1" t="s">
        <v>1507</v>
      </c>
      <c r="AQ52" s="1" t="s">
        <v>1507</v>
      </c>
      <c r="AR52" s="1" t="s">
        <v>14841</v>
      </c>
      <c r="AS52" s="1" t="s">
        <v>1507</v>
      </c>
      <c r="AT52" s="1" t="s">
        <v>1507</v>
      </c>
      <c r="AU52" s="1" t="s">
        <v>1507</v>
      </c>
      <c r="AV52" s="1">
        <v>2023</v>
      </c>
      <c r="AW52" s="1" t="s">
        <v>1507</v>
      </c>
      <c r="AX52" s="1" t="s">
        <v>1507</v>
      </c>
      <c r="AY52" s="1" t="s">
        <v>1507</v>
      </c>
      <c r="AZ52" s="1" t="s">
        <v>1507</v>
      </c>
      <c r="BA52" s="1" t="s">
        <v>1507</v>
      </c>
      <c r="BB52" s="1" t="s">
        <v>1507</v>
      </c>
      <c r="BC52" s="1">
        <v>424</v>
      </c>
      <c r="BD52" s="1">
        <v>427</v>
      </c>
      <c r="BE52" s="1" t="s">
        <v>1507</v>
      </c>
      <c r="BF52" s="1" t="s">
        <v>14842</v>
      </c>
      <c r="BG52" s="1" t="str">
        <f>HYPERLINK("http://dx.doi.org/10.1145/3589132.3625625","http://dx.doi.org/10.1145/3589132.3625625")</f>
        <v>http://dx.doi.org/10.1145/3589132.3625625</v>
      </c>
      <c r="BH52" s="1" t="s">
        <v>1507</v>
      </c>
      <c r="BI52" s="1" t="s">
        <v>1507</v>
      </c>
      <c r="BJ52" s="1">
        <v>4</v>
      </c>
      <c r="BK52" s="1" t="s">
        <v>14843</v>
      </c>
      <c r="BL52" s="1" t="s">
        <v>5570</v>
      </c>
      <c r="BM52" s="1" t="s">
        <v>14844</v>
      </c>
      <c r="BN52" s="1" t="s">
        <v>14845</v>
      </c>
      <c r="BO52" s="1" t="s">
        <v>1507</v>
      </c>
      <c r="BP52" s="1" t="s">
        <v>1574</v>
      </c>
      <c r="BQ52" s="1" t="s">
        <v>1507</v>
      </c>
      <c r="BR52" s="1" t="s">
        <v>1507</v>
      </c>
      <c r="BS52" s="1" t="s">
        <v>13744</v>
      </c>
      <c r="BT52" s="1" t="s">
        <v>14846</v>
      </c>
      <c r="BU52" s="1" t="str">
        <f>HYPERLINK("https%3A%2F%2Fwww.webofscience.com%2Fwos%2Fwoscc%2Ffull-record%2FWOS:001156830400075","View Full Record in Web of Science")</f>
        <v>View Full Record in Web of Science</v>
      </c>
    </row>
    <row r="53" spans="1:73" x14ac:dyDescent="0.25">
      <c r="A53" s="1">
        <v>52</v>
      </c>
      <c r="B53" s="1" t="s">
        <v>1506</v>
      </c>
      <c r="C53" s="1" t="s">
        <v>14330</v>
      </c>
      <c r="D53" s="1" t="s">
        <v>1507</v>
      </c>
      <c r="E53" s="1" t="s">
        <v>1507</v>
      </c>
      <c r="F53" s="1" t="s">
        <v>1507</v>
      </c>
      <c r="G53" s="1" t="s">
        <v>14331</v>
      </c>
      <c r="H53" s="1" t="s">
        <v>1507</v>
      </c>
      <c r="I53" s="1" t="s">
        <v>1507</v>
      </c>
      <c r="J53" s="1" t="s">
        <v>14332</v>
      </c>
      <c r="K53" s="1" t="s">
        <v>14333</v>
      </c>
      <c r="L53" s="1" t="s">
        <v>1507</v>
      </c>
      <c r="M53" s="1" t="s">
        <v>1507</v>
      </c>
      <c r="N53" s="1" t="s">
        <v>42</v>
      </c>
      <c r="O53" s="1" t="s">
        <v>1487</v>
      </c>
      <c r="P53" s="1" t="s">
        <v>14334</v>
      </c>
      <c r="Q53" s="1" t="s">
        <v>14335</v>
      </c>
      <c r="R53" s="1" t="s">
        <v>14336</v>
      </c>
      <c r="S53" s="1" t="s">
        <v>14337</v>
      </c>
      <c r="T53" s="1" t="s">
        <v>1507</v>
      </c>
      <c r="U53" s="1" t="s">
        <v>1507</v>
      </c>
      <c r="V53" s="1" t="s">
        <v>1507</v>
      </c>
      <c r="W53" s="1" t="s">
        <v>1507</v>
      </c>
      <c r="X53" s="1" t="s">
        <v>1507</v>
      </c>
      <c r="Y53" s="1" t="s">
        <v>1507</v>
      </c>
      <c r="Z53" s="1" t="s">
        <v>1507</v>
      </c>
      <c r="AA53" s="1" t="s">
        <v>1507</v>
      </c>
      <c r="AB53" s="1" t="s">
        <v>1507</v>
      </c>
      <c r="AC53" s="1" t="s">
        <v>1507</v>
      </c>
      <c r="AD53" s="1" t="s">
        <v>1507</v>
      </c>
      <c r="AE53" s="1" t="s">
        <v>1507</v>
      </c>
      <c r="AF53" s="1" t="s">
        <v>1507</v>
      </c>
      <c r="AG53" s="1" t="s">
        <v>1507</v>
      </c>
      <c r="AH53" s="1">
        <v>0</v>
      </c>
      <c r="AI53" s="1">
        <v>0</v>
      </c>
      <c r="AJ53" s="1">
        <v>0</v>
      </c>
      <c r="AK53" s="1">
        <v>0</v>
      </c>
      <c r="AL53" s="1">
        <v>0</v>
      </c>
      <c r="AM53" s="1" t="s">
        <v>1579</v>
      </c>
      <c r="AN53" s="1" t="s">
        <v>1580</v>
      </c>
      <c r="AO53" s="1" t="s">
        <v>1581</v>
      </c>
      <c r="AP53" s="1" t="s">
        <v>14338</v>
      </c>
      <c r="AQ53" s="1" t="s">
        <v>14339</v>
      </c>
      <c r="AR53" s="1" t="s">
        <v>1507</v>
      </c>
      <c r="AS53" s="1" t="s">
        <v>14333</v>
      </c>
      <c r="AT53" s="1" t="s">
        <v>14340</v>
      </c>
      <c r="AU53" s="1" t="s">
        <v>2889</v>
      </c>
      <c r="AV53" s="1">
        <v>2023</v>
      </c>
      <c r="AW53" s="1">
        <v>164</v>
      </c>
      <c r="AX53" s="1">
        <v>4</v>
      </c>
      <c r="AY53" s="1" t="s">
        <v>1507</v>
      </c>
      <c r="AZ53" s="1" t="s">
        <v>11902</v>
      </c>
      <c r="BA53" s="1" t="s">
        <v>1507</v>
      </c>
      <c r="BB53" s="1" t="s">
        <v>1507</v>
      </c>
      <c r="BC53" s="1" t="s">
        <v>14341</v>
      </c>
      <c r="BD53" s="1" t="s">
        <v>14342</v>
      </c>
      <c r="BE53" s="1" t="s">
        <v>1507</v>
      </c>
      <c r="BF53" s="1" t="s">
        <v>14343</v>
      </c>
      <c r="BG53" s="1" t="str">
        <f>HYPERLINK("http://dx.doi.org/10.1016/j.chest.2023.07.4211","http://dx.doi.org/10.1016/j.chest.2023.07.4211")</f>
        <v>http://dx.doi.org/10.1016/j.chest.2023.07.4211</v>
      </c>
      <c r="BH53" s="1" t="s">
        <v>1507</v>
      </c>
      <c r="BI53" s="1" t="s">
        <v>2891</v>
      </c>
      <c r="BJ53" s="1">
        <v>4</v>
      </c>
      <c r="BK53" s="1" t="s">
        <v>9710</v>
      </c>
      <c r="BL53" s="1" t="s">
        <v>11691</v>
      </c>
      <c r="BM53" s="1" t="s">
        <v>9711</v>
      </c>
      <c r="BN53" s="1" t="s">
        <v>14344</v>
      </c>
      <c r="BO53" s="1" t="s">
        <v>1507</v>
      </c>
      <c r="BP53" s="1" t="s">
        <v>3572</v>
      </c>
      <c r="BQ53" s="1" t="s">
        <v>1507</v>
      </c>
      <c r="BR53" s="1" t="s">
        <v>1507</v>
      </c>
      <c r="BS53" s="1" t="s">
        <v>13744</v>
      </c>
      <c r="BT53" s="1" t="s">
        <v>14345</v>
      </c>
      <c r="BU53" s="1" t="str">
        <f>HYPERLINK("https%3A%2F%2Fwww.webofscience.com%2Fwos%2Fwoscc%2Ffull-record%2FWOS:001085062006207","View Full Record in Web of Science")</f>
        <v>View Full Record in Web of Science</v>
      </c>
    </row>
    <row r="54" spans="1:73" x14ac:dyDescent="0.25">
      <c r="A54" s="1">
        <v>53</v>
      </c>
      <c r="B54" s="1" t="s">
        <v>1506</v>
      </c>
      <c r="C54" s="1" t="s">
        <v>4714</v>
      </c>
      <c r="D54" s="1" t="s">
        <v>1507</v>
      </c>
      <c r="E54" s="1" t="s">
        <v>1507</v>
      </c>
      <c r="F54" s="1" t="s">
        <v>1507</v>
      </c>
      <c r="G54" s="1" t="s">
        <v>4715</v>
      </c>
      <c r="H54" s="1" t="s">
        <v>1507</v>
      </c>
      <c r="I54" s="1" t="s">
        <v>1507</v>
      </c>
      <c r="J54" s="1" t="s">
        <v>723</v>
      </c>
      <c r="K54" s="1" t="s">
        <v>4595</v>
      </c>
      <c r="L54" s="1" t="s">
        <v>1507</v>
      </c>
      <c r="M54" s="1" t="s">
        <v>1507</v>
      </c>
      <c r="N54" s="1" t="s">
        <v>42</v>
      </c>
      <c r="O54" s="1" t="s">
        <v>56</v>
      </c>
      <c r="P54" s="1" t="s">
        <v>1507</v>
      </c>
      <c r="Q54" s="1" t="s">
        <v>1507</v>
      </c>
      <c r="R54" s="1" t="s">
        <v>1507</v>
      </c>
      <c r="S54" s="1" t="s">
        <v>1507</v>
      </c>
      <c r="T54" s="1" t="s">
        <v>1507</v>
      </c>
      <c r="U54" s="1" t="s">
        <v>1507</v>
      </c>
      <c r="V54" s="1" t="s">
        <v>1507</v>
      </c>
      <c r="W54" s="1" t="s">
        <v>4716</v>
      </c>
      <c r="X54" s="1" t="s">
        <v>4717</v>
      </c>
      <c r="Y54" s="1" t="s">
        <v>4718</v>
      </c>
      <c r="Z54" s="1" t="s">
        <v>4719</v>
      </c>
      <c r="AA54" s="1" t="s">
        <v>4720</v>
      </c>
      <c r="AB54" s="1" t="s">
        <v>14679</v>
      </c>
      <c r="AC54" s="1" t="s">
        <v>14680</v>
      </c>
      <c r="AD54" s="1" t="s">
        <v>1507</v>
      </c>
      <c r="AE54" s="1" t="s">
        <v>1507</v>
      </c>
      <c r="AF54" s="1" t="s">
        <v>1507</v>
      </c>
      <c r="AG54" s="1" t="s">
        <v>1507</v>
      </c>
      <c r="AH54" s="1">
        <v>30</v>
      </c>
      <c r="AI54" s="1">
        <v>61</v>
      </c>
      <c r="AJ54" s="1">
        <v>62</v>
      </c>
      <c r="AK54" s="1">
        <v>29</v>
      </c>
      <c r="AL54" s="1">
        <v>39</v>
      </c>
      <c r="AM54" s="1" t="s">
        <v>4605</v>
      </c>
      <c r="AN54" s="1" t="s">
        <v>4606</v>
      </c>
      <c r="AO54" s="1" t="s">
        <v>4607</v>
      </c>
      <c r="AP54" s="1" t="s">
        <v>4608</v>
      </c>
      <c r="AQ54" s="1" t="s">
        <v>1507</v>
      </c>
      <c r="AR54" s="1" t="s">
        <v>1507</v>
      </c>
      <c r="AS54" s="1" t="s">
        <v>4595</v>
      </c>
      <c r="AT54" s="1" t="s">
        <v>366</v>
      </c>
      <c r="AU54" s="1" t="s">
        <v>4721</v>
      </c>
      <c r="AV54" s="1">
        <v>2023</v>
      </c>
      <c r="AW54" s="1">
        <v>307</v>
      </c>
      <c r="AX54" s="1">
        <v>5</v>
      </c>
      <c r="AY54" s="1" t="s">
        <v>1507</v>
      </c>
      <c r="AZ54" s="1" t="s">
        <v>1507</v>
      </c>
      <c r="BA54" s="1" t="s">
        <v>1507</v>
      </c>
      <c r="BB54" s="1" t="s">
        <v>1507</v>
      </c>
      <c r="BC54" s="1" t="s">
        <v>1507</v>
      </c>
      <c r="BD54" s="1" t="s">
        <v>1507</v>
      </c>
      <c r="BE54" s="1" t="s">
        <v>724</v>
      </c>
      <c r="BF54" s="1" t="s">
        <v>725</v>
      </c>
      <c r="BG54" s="1" t="str">
        <f>HYPERLINK("http://dx.doi.org/10.1148/radiol.230582","http://dx.doi.org/10.1148/radiol.230582")</f>
        <v>http://dx.doi.org/10.1148/radiol.230582</v>
      </c>
      <c r="BH54" s="1" t="s">
        <v>1507</v>
      </c>
      <c r="BI54" s="1" t="s">
        <v>1507</v>
      </c>
      <c r="BJ54" s="1">
        <v>8</v>
      </c>
      <c r="BK54" s="1" t="s">
        <v>1653</v>
      </c>
      <c r="BL54" s="1" t="s">
        <v>1573</v>
      </c>
      <c r="BM54" s="1" t="s">
        <v>1653</v>
      </c>
      <c r="BN54" s="1" t="s">
        <v>4722</v>
      </c>
      <c r="BO54" s="1">
        <v>37191485</v>
      </c>
      <c r="BP54" s="1" t="s">
        <v>1507</v>
      </c>
      <c r="BQ54" s="1" t="s">
        <v>1507</v>
      </c>
      <c r="BR54" s="1" t="s">
        <v>1507</v>
      </c>
      <c r="BS54" s="1" t="s">
        <v>13744</v>
      </c>
      <c r="BT54" s="1" t="s">
        <v>4723</v>
      </c>
      <c r="BU54" s="1" t="str">
        <f>HYPERLINK("https%3A%2F%2Fwww.webofscience.com%2Fwos%2Fwoscc%2Ffull-record%2FWOS:001038622300007","View Full Record in Web of Science")</f>
        <v>View Full Record in Web of Science</v>
      </c>
    </row>
    <row r="55" spans="1:73" x14ac:dyDescent="0.25">
      <c r="A55" s="1">
        <v>54</v>
      </c>
      <c r="B55" s="1" t="s">
        <v>1506</v>
      </c>
      <c r="C55" s="1" t="s">
        <v>10728</v>
      </c>
      <c r="D55" s="1" t="s">
        <v>1507</v>
      </c>
      <c r="E55" s="1" t="s">
        <v>1507</v>
      </c>
      <c r="F55" s="1" t="s">
        <v>1507</v>
      </c>
      <c r="G55" s="1" t="s">
        <v>10729</v>
      </c>
      <c r="H55" s="1" t="s">
        <v>1507</v>
      </c>
      <c r="I55" s="1" t="s">
        <v>1507</v>
      </c>
      <c r="J55" s="1" t="s">
        <v>10730</v>
      </c>
      <c r="K55" s="1" t="s">
        <v>10731</v>
      </c>
      <c r="L55" s="1" t="s">
        <v>1507</v>
      </c>
      <c r="M55" s="1" t="s">
        <v>1507</v>
      </c>
      <c r="N55" s="1" t="s">
        <v>42</v>
      </c>
      <c r="O55" s="1" t="s">
        <v>56</v>
      </c>
      <c r="P55" s="1" t="s">
        <v>1507</v>
      </c>
      <c r="Q55" s="1" t="s">
        <v>1507</v>
      </c>
      <c r="R55" s="1" t="s">
        <v>1507</v>
      </c>
      <c r="S55" s="1" t="s">
        <v>1507</v>
      </c>
      <c r="T55" s="1" t="s">
        <v>1507</v>
      </c>
      <c r="U55" s="1" t="s">
        <v>1507</v>
      </c>
      <c r="V55" s="1" t="s">
        <v>10732</v>
      </c>
      <c r="W55" s="1" t="s">
        <v>10733</v>
      </c>
      <c r="X55" s="1" t="s">
        <v>10734</v>
      </c>
      <c r="Y55" s="1" t="s">
        <v>10735</v>
      </c>
      <c r="Z55" s="1" t="s">
        <v>10736</v>
      </c>
      <c r="AA55" s="1" t="s">
        <v>10737</v>
      </c>
      <c r="AB55" s="1" t="s">
        <v>10738</v>
      </c>
      <c r="AC55" s="1" t="s">
        <v>10739</v>
      </c>
      <c r="AD55" s="1" t="s">
        <v>10740</v>
      </c>
      <c r="AE55" s="1" t="s">
        <v>10741</v>
      </c>
      <c r="AF55" s="1" t="s">
        <v>10742</v>
      </c>
      <c r="AG55" s="1" t="s">
        <v>1507</v>
      </c>
      <c r="AH55" s="1">
        <v>20</v>
      </c>
      <c r="AI55" s="1">
        <v>2</v>
      </c>
      <c r="AJ55" s="1">
        <v>2</v>
      </c>
      <c r="AK55" s="1">
        <v>0</v>
      </c>
      <c r="AL55" s="1">
        <v>5</v>
      </c>
      <c r="AM55" s="1" t="s">
        <v>1559</v>
      </c>
      <c r="AN55" s="1" t="s">
        <v>1560</v>
      </c>
      <c r="AO55" s="1" t="s">
        <v>1561</v>
      </c>
      <c r="AP55" s="1" t="s">
        <v>10743</v>
      </c>
      <c r="AQ55" s="1" t="s">
        <v>10744</v>
      </c>
      <c r="AR55" s="1" t="s">
        <v>1507</v>
      </c>
      <c r="AS55" s="1" t="s">
        <v>10745</v>
      </c>
      <c r="AT55" s="1" t="s">
        <v>963</v>
      </c>
      <c r="AU55" s="1" t="s">
        <v>2771</v>
      </c>
      <c r="AV55" s="1">
        <v>2019</v>
      </c>
      <c r="AW55" s="1">
        <v>48</v>
      </c>
      <c r="AX55" s="1">
        <v>6</v>
      </c>
      <c r="AY55" s="1" t="s">
        <v>1507</v>
      </c>
      <c r="AZ55" s="1" t="s">
        <v>1507</v>
      </c>
      <c r="BA55" s="1" t="s">
        <v>1507</v>
      </c>
      <c r="BB55" s="1" t="s">
        <v>1507</v>
      </c>
      <c r="BC55" s="1">
        <v>696</v>
      </c>
      <c r="BD55" s="1">
        <v>699</v>
      </c>
      <c r="BE55" s="1" t="s">
        <v>1507</v>
      </c>
      <c r="BF55" s="1" t="s">
        <v>956</v>
      </c>
      <c r="BG55" s="1" t="str">
        <f>HYPERLINK("http://dx.doi.org/10.1002/xrs.3110","http://dx.doi.org/10.1002/xrs.3110")</f>
        <v>http://dx.doi.org/10.1002/xrs.3110</v>
      </c>
      <c r="BH55" s="1" t="s">
        <v>1507</v>
      </c>
      <c r="BI55" s="1" t="s">
        <v>10724</v>
      </c>
      <c r="BJ55" s="1">
        <v>4</v>
      </c>
      <c r="BK55" s="1" t="s">
        <v>4390</v>
      </c>
      <c r="BL55" s="1" t="s">
        <v>1573</v>
      </c>
      <c r="BM55" s="1" t="s">
        <v>4390</v>
      </c>
      <c r="BN55" s="1" t="s">
        <v>10746</v>
      </c>
      <c r="BO55" s="1" t="s">
        <v>1507</v>
      </c>
      <c r="BP55" s="1" t="s">
        <v>1507</v>
      </c>
      <c r="BQ55" s="1" t="s">
        <v>1507</v>
      </c>
      <c r="BR55" s="1" t="s">
        <v>1507</v>
      </c>
      <c r="BS55" s="1" t="s">
        <v>13744</v>
      </c>
      <c r="BT55" s="1" t="s">
        <v>10747</v>
      </c>
      <c r="BU55" s="1" t="str">
        <f>HYPERLINK("https%3A%2F%2Fwww.webofscience.com%2Fwos%2Fwoscc%2Ffull-record%2FWOS:000480162200001","View Full Record in Web of Science")</f>
        <v>View Full Record in Web of Science</v>
      </c>
    </row>
    <row r="56" spans="1:73" x14ac:dyDescent="0.25">
      <c r="A56" s="1">
        <v>55</v>
      </c>
      <c r="B56" s="1" t="s">
        <v>1506</v>
      </c>
      <c r="C56" s="1" t="s">
        <v>14763</v>
      </c>
      <c r="D56" s="1" t="s">
        <v>1507</v>
      </c>
      <c r="E56" s="1" t="s">
        <v>1507</v>
      </c>
      <c r="F56" s="1" t="s">
        <v>1507</v>
      </c>
      <c r="G56" s="1" t="s">
        <v>14764</v>
      </c>
      <c r="H56" s="1" t="s">
        <v>1507</v>
      </c>
      <c r="I56" s="1" t="s">
        <v>1507</v>
      </c>
      <c r="J56" s="1" t="s">
        <v>14765</v>
      </c>
      <c r="K56" s="1" t="s">
        <v>14766</v>
      </c>
      <c r="L56" s="1" t="s">
        <v>1507</v>
      </c>
      <c r="M56" s="1" t="s">
        <v>1507</v>
      </c>
      <c r="N56" s="1" t="s">
        <v>42</v>
      </c>
      <c r="O56" s="1" t="s">
        <v>13950</v>
      </c>
      <c r="P56" s="1" t="s">
        <v>1507</v>
      </c>
      <c r="Q56" s="1" t="s">
        <v>1507</v>
      </c>
      <c r="R56" s="1" t="s">
        <v>1507</v>
      </c>
      <c r="S56" s="1" t="s">
        <v>1507</v>
      </c>
      <c r="T56" s="1" t="s">
        <v>1507</v>
      </c>
      <c r="U56" s="1" t="s">
        <v>1507</v>
      </c>
      <c r="V56" s="1" t="s">
        <v>1507</v>
      </c>
      <c r="W56" s="1" t="s">
        <v>14767</v>
      </c>
      <c r="X56" s="1" t="s">
        <v>14768</v>
      </c>
      <c r="Y56" s="1" t="s">
        <v>14769</v>
      </c>
      <c r="Z56" s="1" t="s">
        <v>14770</v>
      </c>
      <c r="AA56" s="1" t="s">
        <v>14771</v>
      </c>
      <c r="AB56" s="1" t="s">
        <v>1507</v>
      </c>
      <c r="AC56" s="1" t="s">
        <v>14772</v>
      </c>
      <c r="AD56" s="1" t="s">
        <v>14773</v>
      </c>
      <c r="AE56" s="1" t="s">
        <v>14774</v>
      </c>
      <c r="AF56" s="1" t="s">
        <v>14775</v>
      </c>
      <c r="AG56" s="1" t="s">
        <v>1507</v>
      </c>
      <c r="AH56" s="1">
        <v>12</v>
      </c>
      <c r="AI56" s="1">
        <v>30</v>
      </c>
      <c r="AJ56" s="1">
        <v>31</v>
      </c>
      <c r="AK56" s="1">
        <v>7</v>
      </c>
      <c r="AL56" s="1">
        <v>22</v>
      </c>
      <c r="AM56" s="1" t="s">
        <v>1591</v>
      </c>
      <c r="AN56" s="1" t="s">
        <v>1592</v>
      </c>
      <c r="AO56" s="1" t="s">
        <v>1593</v>
      </c>
      <c r="AP56" s="1" t="s">
        <v>1507</v>
      </c>
      <c r="AQ56" s="1" t="s">
        <v>14776</v>
      </c>
      <c r="AR56" s="1" t="s">
        <v>1507</v>
      </c>
      <c r="AS56" s="1" t="s">
        <v>14777</v>
      </c>
      <c r="AT56" s="1" t="s">
        <v>14778</v>
      </c>
      <c r="AU56" s="1" t="s">
        <v>5045</v>
      </c>
      <c r="AV56" s="1">
        <v>2023</v>
      </c>
      <c r="AW56" s="1">
        <v>5</v>
      </c>
      <c r="AX56" s="1">
        <v>5</v>
      </c>
      <c r="AY56" s="1" t="s">
        <v>1507</v>
      </c>
      <c r="AZ56" s="1" t="s">
        <v>1507</v>
      </c>
      <c r="BA56" s="1" t="s">
        <v>1507</v>
      </c>
      <c r="BB56" s="1" t="s">
        <v>1507</v>
      </c>
      <c r="BC56" s="1">
        <v>277</v>
      </c>
      <c r="BD56" s="1">
        <v>280</v>
      </c>
      <c r="BE56" s="1" t="s">
        <v>1507</v>
      </c>
      <c r="BF56" s="1" t="s">
        <v>14779</v>
      </c>
      <c r="BG56" s="1" t="str">
        <f>HYPERLINK("http://dx.doi.org/10.1038/s42254-023-00581-4","http://dx.doi.org/10.1038/s42254-023-00581-4")</f>
        <v>http://dx.doi.org/10.1038/s42254-023-00581-4</v>
      </c>
      <c r="BH56" s="1" t="s">
        <v>1507</v>
      </c>
      <c r="BI56" s="1" t="s">
        <v>5090</v>
      </c>
      <c r="BJ56" s="1">
        <v>4</v>
      </c>
      <c r="BK56" s="1" t="s">
        <v>14780</v>
      </c>
      <c r="BL56" s="1" t="s">
        <v>1573</v>
      </c>
      <c r="BM56" s="1" t="s">
        <v>2104</v>
      </c>
      <c r="BN56" s="1" t="s">
        <v>14781</v>
      </c>
      <c r="BO56" s="1" t="s">
        <v>1507</v>
      </c>
      <c r="BP56" s="1" t="s">
        <v>3572</v>
      </c>
      <c r="BQ56" s="1" t="s">
        <v>1507</v>
      </c>
      <c r="BR56" s="1" t="s">
        <v>1507</v>
      </c>
      <c r="BS56" s="1" t="s">
        <v>13744</v>
      </c>
      <c r="BT56" s="1" t="s">
        <v>14782</v>
      </c>
      <c r="BU56" s="1" t="str">
        <f>HYPERLINK("https%3A%2F%2Fwww.webofscience.com%2Fwos%2Fwoscc%2Ffull-record%2FWOS:000979468400002","View Full Record in Web of Science")</f>
        <v>View Full Record in Web of Science</v>
      </c>
    </row>
    <row r="57" spans="1:73" x14ac:dyDescent="0.25">
      <c r="A57" s="1">
        <v>56</v>
      </c>
      <c r="B57" s="1" t="s">
        <v>1506</v>
      </c>
      <c r="C57" s="1" t="s">
        <v>3080</v>
      </c>
      <c r="D57" s="1" t="s">
        <v>1507</v>
      </c>
      <c r="E57" s="1" t="s">
        <v>1507</v>
      </c>
      <c r="F57" s="1" t="s">
        <v>1507</v>
      </c>
      <c r="G57" s="1" t="s">
        <v>3081</v>
      </c>
      <c r="H57" s="1" t="s">
        <v>1507</v>
      </c>
      <c r="I57" s="1" t="s">
        <v>1507</v>
      </c>
      <c r="J57" s="1" t="s">
        <v>3082</v>
      </c>
      <c r="K57" s="1" t="s">
        <v>3083</v>
      </c>
      <c r="L57" s="1" t="s">
        <v>1507</v>
      </c>
      <c r="M57" s="1" t="s">
        <v>1507</v>
      </c>
      <c r="N57" s="1" t="s">
        <v>42</v>
      </c>
      <c r="O57" s="1" t="s">
        <v>56</v>
      </c>
      <c r="P57" s="1" t="s">
        <v>1507</v>
      </c>
      <c r="Q57" s="1" t="s">
        <v>1507</v>
      </c>
      <c r="R57" s="1" t="s">
        <v>1507</v>
      </c>
      <c r="S57" s="1" t="s">
        <v>1507</v>
      </c>
      <c r="T57" s="1" t="s">
        <v>1507</v>
      </c>
      <c r="U57" s="1" t="s">
        <v>3084</v>
      </c>
      <c r="V57" s="1" t="s">
        <v>1507</v>
      </c>
      <c r="W57" s="1" t="s">
        <v>3085</v>
      </c>
      <c r="X57" s="1" t="s">
        <v>3086</v>
      </c>
      <c r="Y57" s="1" t="s">
        <v>1507</v>
      </c>
      <c r="Z57" s="1" t="s">
        <v>3087</v>
      </c>
      <c r="AA57" s="1" t="s">
        <v>3088</v>
      </c>
      <c r="AB57" s="1" t="s">
        <v>3089</v>
      </c>
      <c r="AC57" s="1" t="s">
        <v>3090</v>
      </c>
      <c r="AD57" s="1" t="s">
        <v>1507</v>
      </c>
      <c r="AE57" s="1" t="s">
        <v>1507</v>
      </c>
      <c r="AF57" s="1" t="s">
        <v>1507</v>
      </c>
      <c r="AG57" s="1" t="s">
        <v>1507</v>
      </c>
      <c r="AH57" s="1">
        <v>20</v>
      </c>
      <c r="AI57" s="1">
        <v>0</v>
      </c>
      <c r="AJ57" s="1">
        <v>0</v>
      </c>
      <c r="AK57" s="1">
        <v>7</v>
      </c>
      <c r="AL57" s="1">
        <v>7</v>
      </c>
      <c r="AM57" s="1" t="s">
        <v>1601</v>
      </c>
      <c r="AN57" s="1" t="s">
        <v>1551</v>
      </c>
      <c r="AO57" s="1" t="s">
        <v>1602</v>
      </c>
      <c r="AP57" s="1" t="s">
        <v>1507</v>
      </c>
      <c r="AQ57" s="1" t="s">
        <v>3091</v>
      </c>
      <c r="AR57" s="1" t="s">
        <v>1507</v>
      </c>
      <c r="AS57" s="1" t="s">
        <v>3092</v>
      </c>
      <c r="AT57" s="1" t="s">
        <v>3093</v>
      </c>
      <c r="AU57" s="1" t="s">
        <v>3094</v>
      </c>
      <c r="AV57" s="1">
        <v>2023</v>
      </c>
      <c r="AW57" s="1">
        <v>15</v>
      </c>
      <c r="AX57" s="1">
        <v>10</v>
      </c>
      <c r="AY57" s="1" t="s">
        <v>1507</v>
      </c>
      <c r="AZ57" s="1" t="s">
        <v>1507</v>
      </c>
      <c r="BA57" s="1" t="s">
        <v>1507</v>
      </c>
      <c r="BB57" s="1" t="s">
        <v>1507</v>
      </c>
      <c r="BC57" s="1" t="s">
        <v>1507</v>
      </c>
      <c r="BD57" s="1" t="s">
        <v>1507</v>
      </c>
      <c r="BE57" s="1" t="s">
        <v>3095</v>
      </c>
      <c r="BF57" s="1" t="s">
        <v>3096</v>
      </c>
      <c r="BG57" s="1" t="str">
        <f>HYPERLINK("http://dx.doi.org/10.7759/cureus.47468","http://dx.doi.org/10.7759/cureus.47468")</f>
        <v>http://dx.doi.org/10.7759/cureus.47468</v>
      </c>
      <c r="BH57" s="1" t="s">
        <v>1507</v>
      </c>
      <c r="BI57" s="1" t="s">
        <v>1507</v>
      </c>
      <c r="BJ57" s="1">
        <v>8</v>
      </c>
      <c r="BK57" s="1" t="s">
        <v>1949</v>
      </c>
      <c r="BL57" s="1" t="s">
        <v>1529</v>
      </c>
      <c r="BM57" s="1" t="s">
        <v>1950</v>
      </c>
      <c r="BN57" s="1" t="s">
        <v>3097</v>
      </c>
      <c r="BO57" s="1">
        <v>38021810</v>
      </c>
      <c r="BP57" s="1" t="s">
        <v>1952</v>
      </c>
      <c r="BQ57" s="1" t="s">
        <v>1507</v>
      </c>
      <c r="BR57" s="1" t="s">
        <v>1507</v>
      </c>
      <c r="BS57" s="1" t="s">
        <v>13744</v>
      </c>
      <c r="BT57" s="1" t="s">
        <v>3098</v>
      </c>
      <c r="BU57" s="1" t="str">
        <f>HYPERLINK("https%3A%2F%2Fwww.webofscience.com%2Fwos%2Fwoscc%2Ffull-record%2FWOS:001109606100002","View Full Record in Web of Science")</f>
        <v>View Full Record in Web of Science</v>
      </c>
    </row>
    <row r="58" spans="1:73" x14ac:dyDescent="0.25">
      <c r="A58" s="1">
        <v>57</v>
      </c>
      <c r="B58" s="1" t="s">
        <v>1506</v>
      </c>
      <c r="C58" s="1" t="s">
        <v>11885</v>
      </c>
      <c r="D58" s="1" t="s">
        <v>1507</v>
      </c>
      <c r="E58" s="1" t="s">
        <v>1507</v>
      </c>
      <c r="F58" s="1" t="s">
        <v>1507</v>
      </c>
      <c r="G58" s="1" t="s">
        <v>11886</v>
      </c>
      <c r="H58" s="1" t="s">
        <v>1507</v>
      </c>
      <c r="I58" s="1" t="s">
        <v>1507</v>
      </c>
      <c r="J58" s="1" t="s">
        <v>11887</v>
      </c>
      <c r="K58" s="1" t="s">
        <v>11888</v>
      </c>
      <c r="L58" s="1" t="s">
        <v>1507</v>
      </c>
      <c r="M58" s="1" t="s">
        <v>1507</v>
      </c>
      <c r="N58" s="1" t="s">
        <v>42</v>
      </c>
      <c r="O58" s="1" t="s">
        <v>56</v>
      </c>
      <c r="P58" s="1" t="s">
        <v>1507</v>
      </c>
      <c r="Q58" s="1" t="s">
        <v>1507</v>
      </c>
      <c r="R58" s="1" t="s">
        <v>1507</v>
      </c>
      <c r="S58" s="1" t="s">
        <v>1507</v>
      </c>
      <c r="T58" s="1" t="s">
        <v>1507</v>
      </c>
      <c r="U58" s="1" t="s">
        <v>1507</v>
      </c>
      <c r="V58" s="1" t="s">
        <v>11889</v>
      </c>
      <c r="W58" s="1" t="s">
        <v>11890</v>
      </c>
      <c r="X58" s="1" t="s">
        <v>11891</v>
      </c>
      <c r="Y58" s="1" t="s">
        <v>11892</v>
      </c>
      <c r="Z58" s="1" t="s">
        <v>11893</v>
      </c>
      <c r="AA58" s="1" t="s">
        <v>1507</v>
      </c>
      <c r="AB58" s="1" t="s">
        <v>11894</v>
      </c>
      <c r="AC58" s="1" t="s">
        <v>1507</v>
      </c>
      <c r="AD58" s="1" t="s">
        <v>1507</v>
      </c>
      <c r="AE58" s="1" t="s">
        <v>1507</v>
      </c>
      <c r="AF58" s="1" t="s">
        <v>1507</v>
      </c>
      <c r="AG58" s="1" t="s">
        <v>1507</v>
      </c>
      <c r="AH58" s="1">
        <v>122</v>
      </c>
      <c r="AI58" s="1">
        <v>0</v>
      </c>
      <c r="AJ58" s="1">
        <v>1</v>
      </c>
      <c r="AK58" s="1">
        <v>0</v>
      </c>
      <c r="AL58" s="1">
        <v>1</v>
      </c>
      <c r="AM58" s="1" t="s">
        <v>11895</v>
      </c>
      <c r="AN58" s="1" t="s">
        <v>1746</v>
      </c>
      <c r="AO58" s="1" t="s">
        <v>11896</v>
      </c>
      <c r="AP58" s="1" t="s">
        <v>11897</v>
      </c>
      <c r="AQ58" s="1" t="s">
        <v>1507</v>
      </c>
      <c r="AR58" s="1" t="s">
        <v>1507</v>
      </c>
      <c r="AS58" s="1" t="s">
        <v>11898</v>
      </c>
      <c r="AT58" s="1" t="s">
        <v>11899</v>
      </c>
      <c r="AU58" s="1" t="s">
        <v>1507</v>
      </c>
      <c r="AV58" s="1">
        <v>2018</v>
      </c>
      <c r="AW58" s="1">
        <v>39</v>
      </c>
      <c r="AX58" s="1">
        <v>3</v>
      </c>
      <c r="AY58" s="1" t="s">
        <v>1507</v>
      </c>
      <c r="AZ58" s="1" t="s">
        <v>1507</v>
      </c>
      <c r="BA58" s="1" t="s">
        <v>1507</v>
      </c>
      <c r="BB58" s="1" t="s">
        <v>1507</v>
      </c>
      <c r="BC58" s="1">
        <v>707</v>
      </c>
      <c r="BD58" s="1" t="s">
        <v>1774</v>
      </c>
      <c r="BE58" s="1" t="s">
        <v>1507</v>
      </c>
      <c r="BF58" s="1" t="s">
        <v>1507</v>
      </c>
      <c r="BG58" s="1" t="s">
        <v>1507</v>
      </c>
      <c r="BH58" s="1" t="s">
        <v>1507</v>
      </c>
      <c r="BI58" s="1" t="s">
        <v>1507</v>
      </c>
      <c r="BJ58" s="1">
        <v>43</v>
      </c>
      <c r="BK58" s="1" t="s">
        <v>1535</v>
      </c>
      <c r="BL58" s="1" t="s">
        <v>1518</v>
      </c>
      <c r="BM58" s="1" t="s">
        <v>1536</v>
      </c>
      <c r="BN58" s="1" t="s">
        <v>11900</v>
      </c>
      <c r="BO58" s="1" t="s">
        <v>1507</v>
      </c>
      <c r="BP58" s="1" t="s">
        <v>1507</v>
      </c>
      <c r="BQ58" s="1" t="s">
        <v>1507</v>
      </c>
      <c r="BR58" s="1" t="s">
        <v>1507</v>
      </c>
      <c r="BS58" s="1" t="s">
        <v>13744</v>
      </c>
      <c r="BT58" s="1" t="s">
        <v>11901</v>
      </c>
      <c r="BU58" s="1" t="str">
        <f>HYPERLINK("https%3A%2F%2Fwww.webofscience.com%2Fwos%2Fwoscc%2Ffull-record%2FWOS:000442155800003","View Full Record in Web of Science")</f>
        <v>View Full Record in Web of Science</v>
      </c>
    </row>
    <row r="59" spans="1:73" x14ac:dyDescent="0.25">
      <c r="A59" s="1">
        <v>58</v>
      </c>
      <c r="B59" s="1" t="s">
        <v>1506</v>
      </c>
      <c r="C59" s="1" t="s">
        <v>1996</v>
      </c>
      <c r="D59" s="1" t="s">
        <v>1507</v>
      </c>
      <c r="E59" s="1" t="s">
        <v>1507</v>
      </c>
      <c r="F59" s="1" t="s">
        <v>1507</v>
      </c>
      <c r="G59" s="1" t="s">
        <v>1997</v>
      </c>
      <c r="H59" s="1" t="s">
        <v>1507</v>
      </c>
      <c r="I59" s="1" t="s">
        <v>1507</v>
      </c>
      <c r="J59" s="1" t="s">
        <v>1998</v>
      </c>
      <c r="K59" s="1" t="s">
        <v>1999</v>
      </c>
      <c r="L59" s="1" t="s">
        <v>1507</v>
      </c>
      <c r="M59" s="1" t="s">
        <v>1507</v>
      </c>
      <c r="N59" s="1" t="s">
        <v>42</v>
      </c>
      <c r="O59" s="1" t="s">
        <v>56</v>
      </c>
      <c r="P59" s="1" t="s">
        <v>1507</v>
      </c>
      <c r="Q59" s="1" t="s">
        <v>1507</v>
      </c>
      <c r="R59" s="1" t="s">
        <v>1507</v>
      </c>
      <c r="S59" s="1" t="s">
        <v>1507</v>
      </c>
      <c r="T59" s="1" t="s">
        <v>1507</v>
      </c>
      <c r="U59" s="1" t="s">
        <v>1507</v>
      </c>
      <c r="V59" s="1" t="s">
        <v>2000</v>
      </c>
      <c r="W59" s="1" t="s">
        <v>2001</v>
      </c>
      <c r="X59" s="1" t="s">
        <v>2002</v>
      </c>
      <c r="Y59" s="1" t="s">
        <v>2003</v>
      </c>
      <c r="Z59" s="1" t="s">
        <v>2004</v>
      </c>
      <c r="AA59" s="1" t="s">
        <v>2005</v>
      </c>
      <c r="AB59" s="1" t="s">
        <v>13866</v>
      </c>
      <c r="AC59" s="1" t="s">
        <v>13867</v>
      </c>
      <c r="AD59" s="1" t="s">
        <v>2006</v>
      </c>
      <c r="AE59" s="1" t="s">
        <v>2007</v>
      </c>
      <c r="AF59" s="1" t="s">
        <v>2008</v>
      </c>
      <c r="AG59" s="1" t="s">
        <v>1507</v>
      </c>
      <c r="AH59" s="1">
        <v>42</v>
      </c>
      <c r="AI59" s="1">
        <v>0</v>
      </c>
      <c r="AJ59" s="1">
        <v>0</v>
      </c>
      <c r="AK59" s="1">
        <v>0</v>
      </c>
      <c r="AL59" s="1">
        <v>0</v>
      </c>
      <c r="AM59" s="1" t="s">
        <v>2009</v>
      </c>
      <c r="AN59" s="1" t="s">
        <v>2010</v>
      </c>
      <c r="AO59" s="1" t="s">
        <v>2011</v>
      </c>
      <c r="AP59" s="1" t="s">
        <v>2012</v>
      </c>
      <c r="AQ59" s="1" t="s">
        <v>1507</v>
      </c>
      <c r="AR59" s="1" t="s">
        <v>1507</v>
      </c>
      <c r="AS59" s="1" t="s">
        <v>1999</v>
      </c>
      <c r="AT59" s="1" t="s">
        <v>2013</v>
      </c>
      <c r="AU59" s="1" t="s">
        <v>2014</v>
      </c>
      <c r="AV59" s="1">
        <v>2023</v>
      </c>
      <c r="AW59" s="1">
        <v>18</v>
      </c>
      <c r="AX59" s="1">
        <v>12</v>
      </c>
      <c r="AY59" s="1" t="s">
        <v>1507</v>
      </c>
      <c r="AZ59" s="1" t="s">
        <v>1507</v>
      </c>
      <c r="BA59" s="1" t="s">
        <v>1507</v>
      </c>
      <c r="BB59" s="1" t="s">
        <v>1507</v>
      </c>
      <c r="BC59" s="1" t="s">
        <v>1507</v>
      </c>
      <c r="BD59" s="1" t="s">
        <v>1507</v>
      </c>
      <c r="BE59" s="1" t="s">
        <v>2015</v>
      </c>
      <c r="BF59" s="1" t="s">
        <v>2016</v>
      </c>
      <c r="BG59" s="1" t="str">
        <f>HYPERLINK("http://dx.doi.org/10.1371/journal.pone.0295383","http://dx.doi.org/10.1371/journal.pone.0295383")</f>
        <v>http://dx.doi.org/10.1371/journal.pone.0295383</v>
      </c>
      <c r="BH59" s="1" t="s">
        <v>1507</v>
      </c>
      <c r="BI59" s="1" t="s">
        <v>1507</v>
      </c>
      <c r="BJ59" s="1">
        <v>18</v>
      </c>
      <c r="BK59" s="1" t="s">
        <v>1776</v>
      </c>
      <c r="BL59" s="1" t="s">
        <v>1573</v>
      </c>
      <c r="BM59" s="1" t="s">
        <v>1777</v>
      </c>
      <c r="BN59" s="1" t="s">
        <v>2017</v>
      </c>
      <c r="BO59" s="1">
        <v>38064436</v>
      </c>
      <c r="BP59" s="1" t="s">
        <v>1952</v>
      </c>
      <c r="BQ59" s="1" t="s">
        <v>1507</v>
      </c>
      <c r="BR59" s="1" t="s">
        <v>1507</v>
      </c>
      <c r="BS59" s="1" t="s">
        <v>13744</v>
      </c>
      <c r="BT59" s="1" t="s">
        <v>2018</v>
      </c>
      <c r="BU59" s="1" t="str">
        <f>HYPERLINK("https%3A%2F%2Fwww.webofscience.com%2Fwos%2Fwoscc%2Ffull-record%2FWOS:001121859600027","View Full Record in Web of Science")</f>
        <v>View Full Record in Web of Science</v>
      </c>
    </row>
    <row r="60" spans="1:73" x14ac:dyDescent="0.25">
      <c r="A60" s="1">
        <v>59</v>
      </c>
      <c r="B60" s="1" t="s">
        <v>1506</v>
      </c>
      <c r="C60" s="1" t="s">
        <v>9982</v>
      </c>
      <c r="D60" s="1" t="s">
        <v>1507</v>
      </c>
      <c r="E60" s="1" t="s">
        <v>1507</v>
      </c>
      <c r="F60" s="1" t="s">
        <v>1507</v>
      </c>
      <c r="G60" s="1" t="s">
        <v>9983</v>
      </c>
      <c r="H60" s="1" t="s">
        <v>1507</v>
      </c>
      <c r="I60" s="1" t="s">
        <v>1507</v>
      </c>
      <c r="J60" s="1" t="s">
        <v>9984</v>
      </c>
      <c r="K60" s="1" t="s">
        <v>9985</v>
      </c>
      <c r="L60" s="1" t="s">
        <v>1507</v>
      </c>
      <c r="M60" s="1" t="s">
        <v>1507</v>
      </c>
      <c r="N60" s="1" t="s">
        <v>42</v>
      </c>
      <c r="O60" s="1" t="s">
        <v>56</v>
      </c>
      <c r="P60" s="1" t="s">
        <v>1507</v>
      </c>
      <c r="Q60" s="1" t="s">
        <v>1507</v>
      </c>
      <c r="R60" s="1" t="s">
        <v>1507</v>
      </c>
      <c r="S60" s="1" t="s">
        <v>1507</v>
      </c>
      <c r="T60" s="1" t="s">
        <v>1507</v>
      </c>
      <c r="U60" s="1" t="s">
        <v>9986</v>
      </c>
      <c r="V60" s="1" t="s">
        <v>9987</v>
      </c>
      <c r="W60" s="1" t="s">
        <v>9988</v>
      </c>
      <c r="X60" s="1" t="s">
        <v>9989</v>
      </c>
      <c r="Y60" s="1" t="s">
        <v>9990</v>
      </c>
      <c r="Z60" s="1" t="s">
        <v>9991</v>
      </c>
      <c r="AA60" s="1" t="s">
        <v>2005</v>
      </c>
      <c r="AB60" s="1" t="s">
        <v>15824</v>
      </c>
      <c r="AC60" s="1" t="s">
        <v>15825</v>
      </c>
      <c r="AD60" s="1" t="s">
        <v>9992</v>
      </c>
      <c r="AE60" s="1" t="s">
        <v>9993</v>
      </c>
      <c r="AF60" s="1" t="s">
        <v>9994</v>
      </c>
      <c r="AG60" s="1" t="s">
        <v>1507</v>
      </c>
      <c r="AH60" s="1">
        <v>77</v>
      </c>
      <c r="AI60" s="1">
        <v>8</v>
      </c>
      <c r="AJ60" s="1">
        <v>8</v>
      </c>
      <c r="AK60" s="1">
        <v>1</v>
      </c>
      <c r="AL60" s="1">
        <v>7</v>
      </c>
      <c r="AM60" s="1" t="s">
        <v>1579</v>
      </c>
      <c r="AN60" s="1" t="s">
        <v>1580</v>
      </c>
      <c r="AO60" s="1" t="s">
        <v>8485</v>
      </c>
      <c r="AP60" s="1" t="s">
        <v>9995</v>
      </c>
      <c r="AQ60" s="1" t="s">
        <v>9996</v>
      </c>
      <c r="AR60" s="1" t="s">
        <v>1507</v>
      </c>
      <c r="AS60" s="1" t="s">
        <v>9997</v>
      </c>
      <c r="AT60" s="1" t="s">
        <v>9998</v>
      </c>
      <c r="AU60" s="1" t="s">
        <v>9999</v>
      </c>
      <c r="AV60" s="1">
        <v>2020</v>
      </c>
      <c r="AW60" s="1">
        <v>266</v>
      </c>
      <c r="AX60" s="1" t="s">
        <v>1507</v>
      </c>
      <c r="AY60" s="1" t="s">
        <v>1507</v>
      </c>
      <c r="AZ60" s="1" t="s">
        <v>1507</v>
      </c>
      <c r="BA60" s="1" t="s">
        <v>1507</v>
      </c>
      <c r="BB60" s="1" t="s">
        <v>1507</v>
      </c>
      <c r="BC60" s="1">
        <v>215</v>
      </c>
      <c r="BD60" s="1">
        <v>222</v>
      </c>
      <c r="BE60" s="1" t="s">
        <v>1507</v>
      </c>
      <c r="BF60" s="1" t="s">
        <v>10000</v>
      </c>
      <c r="BG60" s="1" t="str">
        <f>HYPERLINK("http://dx.doi.org/10.1016/j.jad.2020.01.078","http://dx.doi.org/10.1016/j.jad.2020.01.078")</f>
        <v>http://dx.doi.org/10.1016/j.jad.2020.01.078</v>
      </c>
      <c r="BH60" s="1" t="s">
        <v>1507</v>
      </c>
      <c r="BI60" s="1" t="s">
        <v>1507</v>
      </c>
      <c r="BJ60" s="1">
        <v>8</v>
      </c>
      <c r="BK60" s="1" t="s">
        <v>10001</v>
      </c>
      <c r="BL60" s="1" t="s">
        <v>1598</v>
      </c>
      <c r="BM60" s="1" t="s">
        <v>10002</v>
      </c>
      <c r="BN60" s="1" t="s">
        <v>10003</v>
      </c>
      <c r="BO60" s="1">
        <v>32056879</v>
      </c>
      <c r="BP60" s="1" t="s">
        <v>1537</v>
      </c>
      <c r="BQ60" s="1" t="s">
        <v>1507</v>
      </c>
      <c r="BR60" s="1" t="s">
        <v>1507</v>
      </c>
      <c r="BS60" s="1" t="s">
        <v>13744</v>
      </c>
      <c r="BT60" s="1" t="s">
        <v>10004</v>
      </c>
      <c r="BU60" s="1" t="str">
        <f>HYPERLINK("https%3A%2F%2Fwww.webofscience.com%2Fwos%2Fwoscc%2Ffull-record%2FWOS:000520892700029","View Full Record in Web of Science")</f>
        <v>View Full Record in Web of Science</v>
      </c>
    </row>
    <row r="61" spans="1:73" x14ac:dyDescent="0.25">
      <c r="A61" s="1">
        <v>60</v>
      </c>
      <c r="B61" s="1" t="s">
        <v>1506</v>
      </c>
      <c r="C61" s="1" t="s">
        <v>7402</v>
      </c>
      <c r="D61" s="1" t="s">
        <v>1507</v>
      </c>
      <c r="E61" s="1" t="s">
        <v>1507</v>
      </c>
      <c r="F61" s="1" t="s">
        <v>1507</v>
      </c>
      <c r="G61" s="1" t="s">
        <v>7403</v>
      </c>
      <c r="H61" s="1" t="s">
        <v>1507</v>
      </c>
      <c r="I61" s="1" t="s">
        <v>1507</v>
      </c>
      <c r="J61" s="1" t="s">
        <v>7404</v>
      </c>
      <c r="K61" s="1" t="s">
        <v>7405</v>
      </c>
      <c r="L61" s="1" t="s">
        <v>1507</v>
      </c>
      <c r="M61" s="1" t="s">
        <v>1507</v>
      </c>
      <c r="N61" s="1" t="s">
        <v>42</v>
      </c>
      <c r="O61" s="1" t="s">
        <v>56</v>
      </c>
      <c r="P61" s="1" t="s">
        <v>1507</v>
      </c>
      <c r="Q61" s="1" t="s">
        <v>1507</v>
      </c>
      <c r="R61" s="1" t="s">
        <v>1507</v>
      </c>
      <c r="S61" s="1" t="s">
        <v>1507</v>
      </c>
      <c r="T61" s="1" t="s">
        <v>1507</v>
      </c>
      <c r="U61" s="1" t="s">
        <v>7406</v>
      </c>
      <c r="V61" s="1" t="s">
        <v>7407</v>
      </c>
      <c r="W61" s="1" t="s">
        <v>7408</v>
      </c>
      <c r="X61" s="1" t="s">
        <v>7409</v>
      </c>
      <c r="Y61" s="1" t="s">
        <v>7410</v>
      </c>
      <c r="Z61" s="1" t="s">
        <v>7411</v>
      </c>
      <c r="AA61" s="1" t="s">
        <v>7412</v>
      </c>
      <c r="AB61" s="1" t="s">
        <v>7413</v>
      </c>
      <c r="AC61" s="1" t="s">
        <v>7414</v>
      </c>
      <c r="AD61" s="1" t="s">
        <v>7415</v>
      </c>
      <c r="AE61" s="1" t="s">
        <v>7416</v>
      </c>
      <c r="AF61" s="1" t="s">
        <v>7417</v>
      </c>
      <c r="AG61" s="1" t="s">
        <v>1507</v>
      </c>
      <c r="AH61" s="1">
        <v>33</v>
      </c>
      <c r="AI61" s="1">
        <v>13</v>
      </c>
      <c r="AJ61" s="1">
        <v>13</v>
      </c>
      <c r="AK61" s="1">
        <v>0</v>
      </c>
      <c r="AL61" s="1">
        <v>3</v>
      </c>
      <c r="AM61" s="1" t="s">
        <v>2883</v>
      </c>
      <c r="AN61" s="1" t="s">
        <v>1512</v>
      </c>
      <c r="AO61" s="1" t="s">
        <v>2884</v>
      </c>
      <c r="AP61" s="1" t="s">
        <v>7418</v>
      </c>
      <c r="AQ61" s="1" t="s">
        <v>7419</v>
      </c>
      <c r="AR61" s="1" t="s">
        <v>1507</v>
      </c>
      <c r="AS61" s="1" t="s">
        <v>7420</v>
      </c>
      <c r="AT61" s="1" t="s">
        <v>7421</v>
      </c>
      <c r="AU61" s="1" t="s">
        <v>5362</v>
      </c>
      <c r="AV61" s="1">
        <v>2022</v>
      </c>
      <c r="AW61" s="1">
        <v>102</v>
      </c>
      <c r="AX61" s="1">
        <v>3</v>
      </c>
      <c r="AY61" s="1" t="s">
        <v>1507</v>
      </c>
      <c r="AZ61" s="1" t="s">
        <v>1507</v>
      </c>
      <c r="BA61" s="1" t="s">
        <v>1507</v>
      </c>
      <c r="BB61" s="1" t="s">
        <v>1507</v>
      </c>
      <c r="BC61" s="1" t="s">
        <v>1507</v>
      </c>
      <c r="BD61" s="1" t="s">
        <v>1507</v>
      </c>
      <c r="BE61" s="1">
        <v>115597</v>
      </c>
      <c r="BF61" s="1" t="s">
        <v>7422</v>
      </c>
      <c r="BG61" s="1" t="str">
        <f>HYPERLINK("http://dx.doi.org/10.1016/j.diagmicrobio.2021.115597","http://dx.doi.org/10.1016/j.diagmicrobio.2021.115597")</f>
        <v>http://dx.doi.org/10.1016/j.diagmicrobio.2021.115597</v>
      </c>
      <c r="BH61" s="1" t="s">
        <v>1507</v>
      </c>
      <c r="BI61" s="1" t="s">
        <v>1507</v>
      </c>
      <c r="BJ61" s="1">
        <v>6</v>
      </c>
      <c r="BK61" s="1" t="s">
        <v>7423</v>
      </c>
      <c r="BL61" s="1" t="s">
        <v>1573</v>
      </c>
      <c r="BM61" s="1" t="s">
        <v>7423</v>
      </c>
      <c r="BN61" s="1" t="s">
        <v>7424</v>
      </c>
      <c r="BO61" s="1">
        <v>34902621</v>
      </c>
      <c r="BP61" s="1" t="s">
        <v>7508</v>
      </c>
      <c r="BQ61" s="1" t="s">
        <v>1507</v>
      </c>
      <c r="BR61" s="1" t="s">
        <v>1507</v>
      </c>
      <c r="BS61" s="1" t="s">
        <v>13744</v>
      </c>
      <c r="BT61" s="1" t="s">
        <v>7425</v>
      </c>
      <c r="BU61" s="1" t="str">
        <f>HYPERLINK("https%3A%2F%2Fwww.webofscience.com%2Fwos%2Fwoscc%2Ffull-record%2FWOS:000820488700003","View Full Record in Web of Science")</f>
        <v>View Full Record in Web of Science</v>
      </c>
    </row>
    <row r="62" spans="1:73" x14ac:dyDescent="0.25">
      <c r="A62" s="1">
        <v>61</v>
      </c>
      <c r="B62" s="1" t="s">
        <v>1506</v>
      </c>
      <c r="C62" s="1" t="s">
        <v>10450</v>
      </c>
      <c r="D62" s="1" t="s">
        <v>1507</v>
      </c>
      <c r="E62" s="1" t="s">
        <v>1507</v>
      </c>
      <c r="F62" s="1" t="s">
        <v>1507</v>
      </c>
      <c r="G62" s="1" t="s">
        <v>10451</v>
      </c>
      <c r="H62" s="1" t="s">
        <v>1507</v>
      </c>
      <c r="I62" s="1" t="s">
        <v>1507</v>
      </c>
      <c r="J62" s="1" t="s">
        <v>10452</v>
      </c>
      <c r="K62" s="1" t="s">
        <v>2159</v>
      </c>
      <c r="L62" s="1" t="s">
        <v>1507</v>
      </c>
      <c r="M62" s="1" t="s">
        <v>1507</v>
      </c>
      <c r="N62" s="1" t="s">
        <v>42</v>
      </c>
      <c r="O62" s="1" t="s">
        <v>56</v>
      </c>
      <c r="P62" s="1" t="s">
        <v>1507</v>
      </c>
      <c r="Q62" s="1" t="s">
        <v>1507</v>
      </c>
      <c r="R62" s="1" t="s">
        <v>1507</v>
      </c>
      <c r="S62" s="1" t="s">
        <v>1507</v>
      </c>
      <c r="T62" s="1" t="s">
        <v>1507</v>
      </c>
      <c r="U62" s="1" t="s">
        <v>1507</v>
      </c>
      <c r="V62" s="1" t="s">
        <v>10453</v>
      </c>
      <c r="W62" s="1" t="s">
        <v>10454</v>
      </c>
      <c r="X62" s="1" t="s">
        <v>10455</v>
      </c>
      <c r="Y62" s="1" t="s">
        <v>10456</v>
      </c>
      <c r="Z62" s="1" t="s">
        <v>10457</v>
      </c>
      <c r="AA62" s="1" t="s">
        <v>10458</v>
      </c>
      <c r="AB62" s="1" t="s">
        <v>15856</v>
      </c>
      <c r="AC62" s="1" t="s">
        <v>15857</v>
      </c>
      <c r="AD62" s="1" t="s">
        <v>10459</v>
      </c>
      <c r="AE62" s="1" t="s">
        <v>10460</v>
      </c>
      <c r="AF62" s="1" t="s">
        <v>10461</v>
      </c>
      <c r="AG62" s="1" t="s">
        <v>1507</v>
      </c>
      <c r="AH62" s="1">
        <v>46</v>
      </c>
      <c r="AI62" s="1">
        <v>46</v>
      </c>
      <c r="AJ62" s="1">
        <v>51</v>
      </c>
      <c r="AK62" s="1">
        <v>2</v>
      </c>
      <c r="AL62" s="1">
        <v>25</v>
      </c>
      <c r="AM62" s="1" t="s">
        <v>10462</v>
      </c>
      <c r="AN62" s="1" t="s">
        <v>1592</v>
      </c>
      <c r="AO62" s="1" t="s">
        <v>1593</v>
      </c>
      <c r="AP62" s="1" t="s">
        <v>2169</v>
      </c>
      <c r="AQ62" s="1" t="s">
        <v>1507</v>
      </c>
      <c r="AR62" s="1" t="s">
        <v>1507</v>
      </c>
      <c r="AS62" s="1" t="s">
        <v>2170</v>
      </c>
      <c r="AT62" s="1" t="s">
        <v>439</v>
      </c>
      <c r="AU62" s="1" t="s">
        <v>2191</v>
      </c>
      <c r="AV62" s="1">
        <v>2019</v>
      </c>
      <c r="AW62" s="1">
        <v>2</v>
      </c>
      <c r="AX62" s="1">
        <v>1</v>
      </c>
      <c r="AY62" s="1" t="s">
        <v>1507</v>
      </c>
      <c r="AZ62" s="1" t="s">
        <v>1507</v>
      </c>
      <c r="BA62" s="1" t="s">
        <v>1507</v>
      </c>
      <c r="BB62" s="1" t="s">
        <v>1507</v>
      </c>
      <c r="BC62" s="1" t="s">
        <v>1507</v>
      </c>
      <c r="BD62" s="1" t="s">
        <v>1507</v>
      </c>
      <c r="BE62" s="1">
        <v>131</v>
      </c>
      <c r="BF62" s="1" t="s">
        <v>10463</v>
      </c>
      <c r="BG62" s="1" t="str">
        <f>HYPERLINK("http://dx.doi.org/10.1038/s41746-019-0210-1","http://dx.doi.org/10.1038/s41746-019-0210-1")</f>
        <v>http://dx.doi.org/10.1038/s41746-019-0210-1</v>
      </c>
      <c r="BH62" s="1" t="s">
        <v>1507</v>
      </c>
      <c r="BI62" s="1" t="s">
        <v>1507</v>
      </c>
      <c r="BJ62" s="1">
        <v>9</v>
      </c>
      <c r="BK62" s="1" t="s">
        <v>1585</v>
      </c>
      <c r="BL62" s="1" t="s">
        <v>1573</v>
      </c>
      <c r="BM62" s="1" t="s">
        <v>1585</v>
      </c>
      <c r="BN62" s="1" t="s">
        <v>10464</v>
      </c>
      <c r="BO62" s="1" t="s">
        <v>1507</v>
      </c>
      <c r="BP62" s="1" t="s">
        <v>1952</v>
      </c>
      <c r="BQ62" s="1" t="s">
        <v>1507</v>
      </c>
      <c r="BR62" s="1" t="s">
        <v>1507</v>
      </c>
      <c r="BS62" s="1" t="s">
        <v>13744</v>
      </c>
      <c r="BT62" s="1" t="s">
        <v>10465</v>
      </c>
      <c r="BU62" s="1" t="str">
        <f>HYPERLINK("https%3A%2F%2Fwww.webofscience.com%2Fwos%2Fwoscc%2Ffull-record%2FWOS:000509571300001","View Full Record in Web of Science")</f>
        <v>View Full Record in Web of Science</v>
      </c>
    </row>
    <row r="63" spans="1:73" x14ac:dyDescent="0.25">
      <c r="A63" s="1">
        <v>62</v>
      </c>
      <c r="B63" s="1" t="s">
        <v>1506</v>
      </c>
      <c r="C63" s="1" t="s">
        <v>1757</v>
      </c>
      <c r="D63" s="1" t="s">
        <v>1507</v>
      </c>
      <c r="E63" s="1" t="s">
        <v>1507</v>
      </c>
      <c r="F63" s="1" t="s">
        <v>1507</v>
      </c>
      <c r="G63" s="1" t="s">
        <v>1758</v>
      </c>
      <c r="H63" s="1" t="s">
        <v>1507</v>
      </c>
      <c r="I63" s="1" t="s">
        <v>1507</v>
      </c>
      <c r="J63" s="1" t="s">
        <v>1759</v>
      </c>
      <c r="K63" s="1" t="s">
        <v>1760</v>
      </c>
      <c r="L63" s="1" t="s">
        <v>1507</v>
      </c>
      <c r="M63" s="1" t="s">
        <v>1507</v>
      </c>
      <c r="N63" s="1" t="s">
        <v>42</v>
      </c>
      <c r="O63" s="1" t="s">
        <v>56</v>
      </c>
      <c r="P63" s="1" t="s">
        <v>1507</v>
      </c>
      <c r="Q63" s="1" t="s">
        <v>1507</v>
      </c>
      <c r="R63" s="1" t="s">
        <v>1507</v>
      </c>
      <c r="S63" s="1" t="s">
        <v>1507</v>
      </c>
      <c r="T63" s="1" t="s">
        <v>1507</v>
      </c>
      <c r="U63" s="1" t="s">
        <v>1507</v>
      </c>
      <c r="V63" s="1" t="s">
        <v>13794</v>
      </c>
      <c r="W63" s="1" t="s">
        <v>1761</v>
      </c>
      <c r="X63" s="1" t="s">
        <v>1762</v>
      </c>
      <c r="Y63" s="1" t="s">
        <v>1763</v>
      </c>
      <c r="Z63" s="1" t="s">
        <v>1764</v>
      </c>
      <c r="AA63" s="1" t="s">
        <v>1765</v>
      </c>
      <c r="AB63" s="1" t="s">
        <v>1507</v>
      </c>
      <c r="AC63" s="1" t="s">
        <v>1766</v>
      </c>
      <c r="AD63" s="1" t="s">
        <v>1767</v>
      </c>
      <c r="AE63" s="1" t="s">
        <v>1768</v>
      </c>
      <c r="AF63" s="1" t="s">
        <v>1769</v>
      </c>
      <c r="AG63" s="1" t="s">
        <v>1507</v>
      </c>
      <c r="AH63" s="1">
        <v>77</v>
      </c>
      <c r="AI63" s="1">
        <v>13</v>
      </c>
      <c r="AJ63" s="1">
        <v>13</v>
      </c>
      <c r="AK63" s="1">
        <v>60</v>
      </c>
      <c r="AL63" s="1">
        <v>60</v>
      </c>
      <c r="AM63" s="1" t="s">
        <v>1591</v>
      </c>
      <c r="AN63" s="1" t="s">
        <v>1592</v>
      </c>
      <c r="AO63" s="1" t="s">
        <v>1593</v>
      </c>
      <c r="AP63" s="1" t="s">
        <v>1770</v>
      </c>
      <c r="AQ63" s="1" t="s">
        <v>1771</v>
      </c>
      <c r="AR63" s="1" t="s">
        <v>1507</v>
      </c>
      <c r="AS63" s="1" t="s">
        <v>1760</v>
      </c>
      <c r="AT63" s="1" t="s">
        <v>1772</v>
      </c>
      <c r="AU63" s="1" t="s">
        <v>1773</v>
      </c>
      <c r="AV63" s="1">
        <v>2023</v>
      </c>
      <c r="AW63" s="1">
        <v>624</v>
      </c>
      <c r="AX63" s="1">
        <v>7992</v>
      </c>
      <c r="AY63" s="1" t="s">
        <v>1507</v>
      </c>
      <c r="AZ63" s="1" t="s">
        <v>1507</v>
      </c>
      <c r="BA63" s="1" t="s">
        <v>1507</v>
      </c>
      <c r="BB63" s="1" t="s">
        <v>1507</v>
      </c>
      <c r="BC63" s="1">
        <v>570</v>
      </c>
      <c r="BD63" s="1" t="s">
        <v>1774</v>
      </c>
      <c r="BE63" s="1" t="s">
        <v>1507</v>
      </c>
      <c r="BF63" s="1" t="s">
        <v>1775</v>
      </c>
      <c r="BG63" s="1" t="str">
        <f>HYPERLINK("http://dx.doi.org/10.1038/s41586-023-06792-0","http://dx.doi.org/10.1038/s41586-023-06792-0")</f>
        <v>http://dx.doi.org/10.1038/s41586-023-06792-0</v>
      </c>
      <c r="BH63" s="1" t="s">
        <v>1507</v>
      </c>
      <c r="BI63" s="1" t="s">
        <v>1507</v>
      </c>
      <c r="BJ63" s="1">
        <v>13</v>
      </c>
      <c r="BK63" s="1" t="s">
        <v>1776</v>
      </c>
      <c r="BL63" s="1" t="s">
        <v>1573</v>
      </c>
      <c r="BM63" s="1" t="s">
        <v>1777</v>
      </c>
      <c r="BN63" s="1" t="s">
        <v>1778</v>
      </c>
      <c r="BO63" s="1">
        <v>38123806</v>
      </c>
      <c r="BP63" s="1" t="s">
        <v>1537</v>
      </c>
      <c r="BQ63" s="1" t="s">
        <v>1507</v>
      </c>
      <c r="BR63" s="1" t="s">
        <v>1507</v>
      </c>
      <c r="BS63" s="1" t="s">
        <v>13744</v>
      </c>
      <c r="BT63" s="1" t="s">
        <v>13795</v>
      </c>
      <c r="BU63" s="1" t="str">
        <f>HYPERLINK("https%3A%2F%2Fwww.webofscience.com%2Fwos%2Fwoscc%2Ffull-record%2FWOS:001128871300010","View Full Record in Web of Science")</f>
        <v>View Full Record in Web of Science</v>
      </c>
    </row>
    <row r="64" spans="1:73" x14ac:dyDescent="0.25">
      <c r="A64" s="1">
        <v>63</v>
      </c>
      <c r="B64" s="1" t="s">
        <v>1506</v>
      </c>
      <c r="C64" s="1" t="s">
        <v>7671</v>
      </c>
      <c r="D64" s="1" t="s">
        <v>1507</v>
      </c>
      <c r="E64" s="1" t="s">
        <v>1507</v>
      </c>
      <c r="F64" s="1" t="s">
        <v>1507</v>
      </c>
      <c r="G64" s="1" t="s">
        <v>7672</v>
      </c>
      <c r="H64" s="1" t="s">
        <v>1507</v>
      </c>
      <c r="I64" s="1" t="s">
        <v>1507</v>
      </c>
      <c r="J64" s="1" t="s">
        <v>7673</v>
      </c>
      <c r="K64" s="1" t="s">
        <v>7674</v>
      </c>
      <c r="L64" s="1" t="s">
        <v>1507</v>
      </c>
      <c r="M64" s="1" t="s">
        <v>1507</v>
      </c>
      <c r="N64" s="1" t="s">
        <v>42</v>
      </c>
      <c r="O64" s="1" t="s">
        <v>56</v>
      </c>
      <c r="P64" s="1" t="s">
        <v>1507</v>
      </c>
      <c r="Q64" s="1" t="s">
        <v>1507</v>
      </c>
      <c r="R64" s="1" t="s">
        <v>1507</v>
      </c>
      <c r="S64" s="1" t="s">
        <v>1507</v>
      </c>
      <c r="T64" s="1" t="s">
        <v>1507</v>
      </c>
      <c r="U64" s="1" t="s">
        <v>1507</v>
      </c>
      <c r="V64" s="1" t="s">
        <v>7675</v>
      </c>
      <c r="W64" s="1" t="s">
        <v>7676</v>
      </c>
      <c r="X64" s="1" t="s">
        <v>7677</v>
      </c>
      <c r="Y64" s="1" t="s">
        <v>7678</v>
      </c>
      <c r="Z64" s="1" t="s">
        <v>7679</v>
      </c>
      <c r="AA64" s="1" t="s">
        <v>7680</v>
      </c>
      <c r="AB64" s="1" t="s">
        <v>1507</v>
      </c>
      <c r="AC64" s="1" t="s">
        <v>15668</v>
      </c>
      <c r="AD64" s="1" t="s">
        <v>7681</v>
      </c>
      <c r="AE64" s="1" t="s">
        <v>7682</v>
      </c>
      <c r="AF64" s="1" t="s">
        <v>7683</v>
      </c>
      <c r="AG64" s="1" t="s">
        <v>1507</v>
      </c>
      <c r="AH64" s="1">
        <v>34</v>
      </c>
      <c r="AI64" s="1">
        <v>5</v>
      </c>
      <c r="AJ64" s="1">
        <v>7</v>
      </c>
      <c r="AK64" s="1">
        <v>3</v>
      </c>
      <c r="AL64" s="1">
        <v>11</v>
      </c>
      <c r="AM64" s="1" t="s">
        <v>2009</v>
      </c>
      <c r="AN64" s="1" t="s">
        <v>2010</v>
      </c>
      <c r="AO64" s="1" t="s">
        <v>2011</v>
      </c>
      <c r="AP64" s="1" t="s">
        <v>7684</v>
      </c>
      <c r="AQ64" s="1" t="s">
        <v>7685</v>
      </c>
      <c r="AR64" s="1" t="s">
        <v>1507</v>
      </c>
      <c r="AS64" s="1" t="s">
        <v>7686</v>
      </c>
      <c r="AT64" s="1" t="s">
        <v>7687</v>
      </c>
      <c r="AU64" s="1" t="s">
        <v>1616</v>
      </c>
      <c r="AV64" s="1">
        <v>2022</v>
      </c>
      <c r="AW64" s="1">
        <v>20</v>
      </c>
      <c r="AX64" s="1">
        <v>1</v>
      </c>
      <c r="AY64" s="1" t="s">
        <v>1507</v>
      </c>
      <c r="AZ64" s="1" t="s">
        <v>1507</v>
      </c>
      <c r="BA64" s="1" t="s">
        <v>1507</v>
      </c>
      <c r="BB64" s="1" t="s">
        <v>1507</v>
      </c>
      <c r="BC64" s="1" t="s">
        <v>1507</v>
      </c>
      <c r="BD64" s="1" t="s">
        <v>1507</v>
      </c>
      <c r="BE64" s="1" t="s">
        <v>7688</v>
      </c>
      <c r="BF64" s="1" t="s">
        <v>7689</v>
      </c>
      <c r="BG64" s="1" t="str">
        <f>HYPERLINK("http://dx.doi.org/10.1371/journal.pbio.3001527","http://dx.doi.org/10.1371/journal.pbio.3001527")</f>
        <v>http://dx.doi.org/10.1371/journal.pbio.3001527</v>
      </c>
      <c r="BH64" s="1" t="s">
        <v>1507</v>
      </c>
      <c r="BI64" s="1" t="s">
        <v>1507</v>
      </c>
      <c r="BJ64" s="1">
        <v>16</v>
      </c>
      <c r="BK64" s="1" t="s">
        <v>7690</v>
      </c>
      <c r="BL64" s="1" t="s">
        <v>1573</v>
      </c>
      <c r="BM64" s="1" t="s">
        <v>7691</v>
      </c>
      <c r="BN64" s="1" t="s">
        <v>7692</v>
      </c>
      <c r="BO64" s="1">
        <v>35089911</v>
      </c>
      <c r="BP64" s="1" t="s">
        <v>1674</v>
      </c>
      <c r="BQ64" s="1" t="s">
        <v>1507</v>
      </c>
      <c r="BR64" s="1" t="s">
        <v>1507</v>
      </c>
      <c r="BS64" s="1" t="s">
        <v>13744</v>
      </c>
      <c r="BT64" s="1" t="s">
        <v>7693</v>
      </c>
      <c r="BU64" s="1" t="str">
        <f>HYPERLINK("https%3A%2F%2Fwww.webofscience.com%2Fwos%2Fwoscc%2Ffull-record%2FWOS:000754811500001","View Full Record in Web of Science")</f>
        <v>View Full Record in Web of Science</v>
      </c>
    </row>
    <row r="65" spans="1:73" x14ac:dyDescent="0.25">
      <c r="A65" s="1">
        <v>64</v>
      </c>
      <c r="B65" s="1" t="s">
        <v>1506</v>
      </c>
      <c r="C65" s="1" t="s">
        <v>7426</v>
      </c>
      <c r="D65" s="1" t="s">
        <v>1507</v>
      </c>
      <c r="E65" s="1" t="s">
        <v>1507</v>
      </c>
      <c r="F65" s="1" t="s">
        <v>1507</v>
      </c>
      <c r="G65" s="1" t="s">
        <v>7427</v>
      </c>
      <c r="H65" s="1" t="s">
        <v>1507</v>
      </c>
      <c r="I65" s="1" t="s">
        <v>1507</v>
      </c>
      <c r="J65" s="1" t="s">
        <v>7428</v>
      </c>
      <c r="K65" s="1" t="s">
        <v>7429</v>
      </c>
      <c r="L65" s="1" t="s">
        <v>1507</v>
      </c>
      <c r="M65" s="1" t="s">
        <v>1507</v>
      </c>
      <c r="N65" s="1" t="s">
        <v>42</v>
      </c>
      <c r="O65" s="1" t="s">
        <v>56</v>
      </c>
      <c r="P65" s="1" t="s">
        <v>1507</v>
      </c>
      <c r="Q65" s="1" t="s">
        <v>1507</v>
      </c>
      <c r="R65" s="1" t="s">
        <v>1507</v>
      </c>
      <c r="S65" s="1" t="s">
        <v>1507</v>
      </c>
      <c r="T65" s="1" t="s">
        <v>1507</v>
      </c>
      <c r="U65" s="1" t="s">
        <v>7430</v>
      </c>
      <c r="V65" s="1" t="s">
        <v>1507</v>
      </c>
      <c r="W65" s="1" t="s">
        <v>7431</v>
      </c>
      <c r="X65" s="1" t="s">
        <v>7432</v>
      </c>
      <c r="Y65" s="1" t="s">
        <v>5613</v>
      </c>
      <c r="Z65" s="1" t="s">
        <v>7433</v>
      </c>
      <c r="AA65" s="1" t="s">
        <v>7434</v>
      </c>
      <c r="AB65" s="1" t="s">
        <v>15628</v>
      </c>
      <c r="AC65" s="1" t="s">
        <v>15629</v>
      </c>
      <c r="AD65" s="1" t="s">
        <v>7435</v>
      </c>
      <c r="AE65" s="1" t="s">
        <v>7436</v>
      </c>
      <c r="AF65" s="1" t="s">
        <v>7437</v>
      </c>
      <c r="AG65" s="1" t="s">
        <v>1507</v>
      </c>
      <c r="AH65" s="1">
        <v>29</v>
      </c>
      <c r="AI65" s="1">
        <v>5</v>
      </c>
      <c r="AJ65" s="1">
        <v>5</v>
      </c>
      <c r="AK65" s="1">
        <v>5</v>
      </c>
      <c r="AL65" s="1">
        <v>11</v>
      </c>
      <c r="AM65" s="1" t="s">
        <v>3385</v>
      </c>
      <c r="AN65" s="1" t="s">
        <v>3386</v>
      </c>
      <c r="AO65" s="1" t="s">
        <v>3387</v>
      </c>
      <c r="AP65" s="1" t="s">
        <v>7438</v>
      </c>
      <c r="AQ65" s="1" t="s">
        <v>1507</v>
      </c>
      <c r="AR65" s="1" t="s">
        <v>1507</v>
      </c>
      <c r="AS65" s="1" t="s">
        <v>7429</v>
      </c>
      <c r="AT65" s="1" t="s">
        <v>7439</v>
      </c>
      <c r="AU65" s="1" t="s">
        <v>5362</v>
      </c>
      <c r="AV65" s="1">
        <v>2022</v>
      </c>
      <c r="AW65" s="1">
        <v>87</v>
      </c>
      <c r="AX65" s="1">
        <v>3</v>
      </c>
      <c r="AY65" s="1" t="s">
        <v>1507</v>
      </c>
      <c r="AZ65" s="1" t="s">
        <v>1507</v>
      </c>
      <c r="BA65" s="1" t="s">
        <v>1507</v>
      </c>
      <c r="BB65" s="1" t="s">
        <v>1507</v>
      </c>
      <c r="BC65" s="1" t="s">
        <v>1507</v>
      </c>
      <c r="BD65" s="1" t="s">
        <v>1507</v>
      </c>
      <c r="BE65" s="1" t="s">
        <v>7440</v>
      </c>
      <c r="BF65" s="1" t="s">
        <v>7441</v>
      </c>
      <c r="BG65" s="1" t="str">
        <f>HYPERLINK("http://dx.doi.org/10.1002/cplu.202200049","http://dx.doi.org/10.1002/cplu.202200049")</f>
        <v>http://dx.doi.org/10.1002/cplu.202200049</v>
      </c>
      <c r="BH65" s="1" t="s">
        <v>1507</v>
      </c>
      <c r="BI65" s="1" t="s">
        <v>1507</v>
      </c>
      <c r="BJ65" s="1">
        <v>9</v>
      </c>
      <c r="BK65" s="1" t="s">
        <v>2634</v>
      </c>
      <c r="BL65" s="1" t="s">
        <v>1573</v>
      </c>
      <c r="BM65" s="1" t="s">
        <v>2380</v>
      </c>
      <c r="BN65" s="1" t="s">
        <v>7442</v>
      </c>
      <c r="BO65" s="1">
        <v>35324090</v>
      </c>
      <c r="BP65" s="1" t="s">
        <v>2309</v>
      </c>
      <c r="BQ65" s="1" t="s">
        <v>1507</v>
      </c>
      <c r="BR65" s="1" t="s">
        <v>1507</v>
      </c>
      <c r="BS65" s="1" t="s">
        <v>13744</v>
      </c>
      <c r="BT65" s="1" t="s">
        <v>7443</v>
      </c>
      <c r="BU65" s="1" t="str">
        <f>HYPERLINK("https%3A%2F%2Fwww.webofscience.com%2Fwos%2Fwoscc%2Ffull-record%2FWOS:000772496600001","View Full Record in Web of Science")</f>
        <v>View Full Record in Web of Science</v>
      </c>
    </row>
    <row r="66" spans="1:73" x14ac:dyDescent="0.25">
      <c r="A66" s="1">
        <v>65</v>
      </c>
      <c r="B66" s="1" t="s">
        <v>1506</v>
      </c>
      <c r="C66" s="1" t="s">
        <v>5496</v>
      </c>
      <c r="D66" s="1" t="s">
        <v>1507</v>
      </c>
      <c r="E66" s="1" t="s">
        <v>1507</v>
      </c>
      <c r="F66" s="1" t="s">
        <v>1507</v>
      </c>
      <c r="G66" s="1" t="s">
        <v>5497</v>
      </c>
      <c r="H66" s="1" t="s">
        <v>1507</v>
      </c>
      <c r="I66" s="1" t="s">
        <v>1507</v>
      </c>
      <c r="J66" s="1" t="s">
        <v>5498</v>
      </c>
      <c r="K66" s="1" t="s">
        <v>5499</v>
      </c>
      <c r="L66" s="1" t="s">
        <v>1507</v>
      </c>
      <c r="M66" s="1" t="s">
        <v>1507</v>
      </c>
      <c r="N66" s="1" t="s">
        <v>42</v>
      </c>
      <c r="O66" s="1" t="s">
        <v>56</v>
      </c>
      <c r="P66" s="1" t="s">
        <v>1507</v>
      </c>
      <c r="Q66" s="1" t="s">
        <v>1507</v>
      </c>
      <c r="R66" s="1" t="s">
        <v>1507</v>
      </c>
      <c r="S66" s="1" t="s">
        <v>1507</v>
      </c>
      <c r="T66" s="1" t="s">
        <v>1507</v>
      </c>
      <c r="U66" s="1" t="s">
        <v>5500</v>
      </c>
      <c r="V66" s="1" t="s">
        <v>5501</v>
      </c>
      <c r="W66" s="1" t="s">
        <v>5502</v>
      </c>
      <c r="X66" s="1" t="s">
        <v>5503</v>
      </c>
      <c r="Y66" s="1" t="s">
        <v>5504</v>
      </c>
      <c r="Z66" s="1" t="s">
        <v>5505</v>
      </c>
      <c r="AA66" s="1" t="s">
        <v>5506</v>
      </c>
      <c r="AB66" s="1" t="s">
        <v>14815</v>
      </c>
      <c r="AC66" s="1" t="s">
        <v>14816</v>
      </c>
      <c r="AD66" s="1" t="s">
        <v>5507</v>
      </c>
      <c r="AE66" s="1" t="s">
        <v>5508</v>
      </c>
      <c r="AF66" s="1" t="s">
        <v>5509</v>
      </c>
      <c r="AG66" s="1" t="s">
        <v>1507</v>
      </c>
      <c r="AH66" s="1">
        <v>40</v>
      </c>
      <c r="AI66" s="1">
        <v>0</v>
      </c>
      <c r="AJ66" s="1">
        <v>0</v>
      </c>
      <c r="AK66" s="1">
        <v>0</v>
      </c>
      <c r="AL66" s="1">
        <v>0</v>
      </c>
      <c r="AM66" s="1" t="s">
        <v>5510</v>
      </c>
      <c r="AN66" s="1" t="s">
        <v>1856</v>
      </c>
      <c r="AO66" s="1" t="s">
        <v>5511</v>
      </c>
      <c r="AP66" s="1" t="s">
        <v>1507</v>
      </c>
      <c r="AQ66" s="1" t="s">
        <v>5512</v>
      </c>
      <c r="AR66" s="1" t="s">
        <v>1507</v>
      </c>
      <c r="AS66" s="1" t="s">
        <v>5513</v>
      </c>
      <c r="AT66" s="1" t="s">
        <v>5514</v>
      </c>
      <c r="AU66" s="1" t="s">
        <v>5362</v>
      </c>
      <c r="AV66" s="1">
        <v>2023</v>
      </c>
      <c r="AW66" s="1">
        <v>8</v>
      </c>
      <c r="AX66" s="1">
        <v>1</v>
      </c>
      <c r="AY66" s="1" t="s">
        <v>1507</v>
      </c>
      <c r="AZ66" s="1" t="s">
        <v>1507</v>
      </c>
      <c r="BA66" s="1" t="s">
        <v>1507</v>
      </c>
      <c r="BB66" s="1" t="s">
        <v>1507</v>
      </c>
      <c r="BC66" s="1">
        <v>145</v>
      </c>
      <c r="BD66" s="1">
        <v>158</v>
      </c>
      <c r="BE66" s="1" t="s">
        <v>1507</v>
      </c>
      <c r="BF66" s="1" t="s">
        <v>5515</v>
      </c>
      <c r="BG66" s="1" t="str">
        <f>HYPERLINK("http://dx.doi.org/10.1016/j.idm.2022.12.005","http://dx.doi.org/10.1016/j.idm.2022.12.005")</f>
        <v>http://dx.doi.org/10.1016/j.idm.2022.12.005</v>
      </c>
      <c r="BH66" s="1" t="s">
        <v>1507</v>
      </c>
      <c r="BI66" s="1" t="s">
        <v>5446</v>
      </c>
      <c r="BJ66" s="1">
        <v>14</v>
      </c>
      <c r="BK66" s="1" t="s">
        <v>5516</v>
      </c>
      <c r="BL66" s="1" t="s">
        <v>1529</v>
      </c>
      <c r="BM66" s="1" t="s">
        <v>5516</v>
      </c>
      <c r="BN66" s="1" t="s">
        <v>5517</v>
      </c>
      <c r="BO66" s="1">
        <v>36589597</v>
      </c>
      <c r="BP66" s="1" t="s">
        <v>4312</v>
      </c>
      <c r="BQ66" s="1" t="s">
        <v>1507</v>
      </c>
      <c r="BR66" s="1" t="s">
        <v>1507</v>
      </c>
      <c r="BS66" s="1" t="s">
        <v>13744</v>
      </c>
      <c r="BT66" s="1" t="s">
        <v>5518</v>
      </c>
      <c r="BU66" s="1" t="str">
        <f>HYPERLINK("https%3A%2F%2Fwww.webofscience.com%2Fwos%2Fwoscc%2Ffull-record%2FWOS:000926629200001","View Full Record in Web of Science")</f>
        <v>View Full Record in Web of Science</v>
      </c>
    </row>
    <row r="67" spans="1:73" x14ac:dyDescent="0.25">
      <c r="A67" s="1">
        <v>66</v>
      </c>
      <c r="B67" s="1" t="s">
        <v>1506</v>
      </c>
      <c r="C67" s="1" t="s">
        <v>2175</v>
      </c>
      <c r="D67" s="1" t="s">
        <v>1507</v>
      </c>
      <c r="E67" s="1" t="s">
        <v>1507</v>
      </c>
      <c r="F67" s="1" t="s">
        <v>1507</v>
      </c>
      <c r="G67" s="1" t="s">
        <v>2176</v>
      </c>
      <c r="H67" s="1" t="s">
        <v>1507</v>
      </c>
      <c r="I67" s="1" t="s">
        <v>1507</v>
      </c>
      <c r="J67" s="1" t="s">
        <v>2177</v>
      </c>
      <c r="K67" s="1" t="s">
        <v>2178</v>
      </c>
      <c r="L67" s="1" t="s">
        <v>1507</v>
      </c>
      <c r="M67" s="1" t="s">
        <v>1507</v>
      </c>
      <c r="N67" s="1" t="s">
        <v>42</v>
      </c>
      <c r="O67" s="1" t="s">
        <v>56</v>
      </c>
      <c r="P67" s="1" t="s">
        <v>1507</v>
      </c>
      <c r="Q67" s="1" t="s">
        <v>1507</v>
      </c>
      <c r="R67" s="1" t="s">
        <v>1507</v>
      </c>
      <c r="S67" s="1" t="s">
        <v>1507</v>
      </c>
      <c r="T67" s="1" t="s">
        <v>1507</v>
      </c>
      <c r="U67" s="1" t="s">
        <v>2179</v>
      </c>
      <c r="V67" s="1" t="s">
        <v>2461</v>
      </c>
      <c r="W67" s="1" t="s">
        <v>2180</v>
      </c>
      <c r="X67" s="1" t="s">
        <v>2181</v>
      </c>
      <c r="Y67" s="1" t="s">
        <v>2182</v>
      </c>
      <c r="Z67" s="1" t="s">
        <v>2183</v>
      </c>
      <c r="AA67" s="1" t="s">
        <v>2184</v>
      </c>
      <c r="AB67" s="1" t="s">
        <v>1507</v>
      </c>
      <c r="AC67" s="1" t="s">
        <v>1507</v>
      </c>
      <c r="AD67" s="1" t="s">
        <v>2185</v>
      </c>
      <c r="AE67" s="1" t="s">
        <v>2185</v>
      </c>
      <c r="AF67" s="1" t="s">
        <v>2186</v>
      </c>
      <c r="AG67" s="1" t="s">
        <v>1507</v>
      </c>
      <c r="AH67" s="1">
        <v>44</v>
      </c>
      <c r="AI67" s="1">
        <v>0</v>
      </c>
      <c r="AJ67" s="1">
        <v>0</v>
      </c>
      <c r="AK67" s="1">
        <v>8</v>
      </c>
      <c r="AL67" s="1">
        <v>8</v>
      </c>
      <c r="AM67" s="1" t="s">
        <v>1511</v>
      </c>
      <c r="AN67" s="1" t="s">
        <v>1570</v>
      </c>
      <c r="AO67" s="1" t="s">
        <v>1571</v>
      </c>
      <c r="AP67" s="1" t="s">
        <v>2187</v>
      </c>
      <c r="AQ67" s="1" t="s">
        <v>2188</v>
      </c>
      <c r="AR67" s="1" t="s">
        <v>1507</v>
      </c>
      <c r="AS67" s="1" t="s">
        <v>2189</v>
      </c>
      <c r="AT67" s="1" t="s">
        <v>2190</v>
      </c>
      <c r="AU67" s="1" t="s">
        <v>2191</v>
      </c>
      <c r="AV67" s="1">
        <v>2023</v>
      </c>
      <c r="AW67" s="1">
        <v>109</v>
      </c>
      <c r="AX67" s="1">
        <v>4</v>
      </c>
      <c r="AY67" s="1" t="s">
        <v>1507</v>
      </c>
      <c r="AZ67" s="1" t="s">
        <v>1507</v>
      </c>
      <c r="BA67" s="1" t="s">
        <v>1507</v>
      </c>
      <c r="BB67" s="1" t="s">
        <v>1507</v>
      </c>
      <c r="BC67" s="1" t="s">
        <v>1507</v>
      </c>
      <c r="BD67" s="1" t="s">
        <v>1507</v>
      </c>
      <c r="BE67" s="1">
        <v>91</v>
      </c>
      <c r="BF67" s="1" t="s">
        <v>2192</v>
      </c>
      <c r="BG67" s="1" t="str">
        <f>HYPERLINK("http://dx.doi.org/10.1007/s10846-023-01991-3","http://dx.doi.org/10.1007/s10846-023-01991-3")</f>
        <v>http://dx.doi.org/10.1007/s10846-023-01991-3</v>
      </c>
      <c r="BH67" s="1" t="s">
        <v>1507</v>
      </c>
      <c r="BI67" s="1" t="s">
        <v>1507</v>
      </c>
      <c r="BJ67" s="1">
        <v>13</v>
      </c>
      <c r="BK67" s="1" t="s">
        <v>2193</v>
      </c>
      <c r="BL67" s="1" t="s">
        <v>1573</v>
      </c>
      <c r="BM67" s="1" t="s">
        <v>2194</v>
      </c>
      <c r="BN67" s="1" t="s">
        <v>2195</v>
      </c>
      <c r="BO67" s="1" t="s">
        <v>1507</v>
      </c>
      <c r="BP67" s="1" t="s">
        <v>1507</v>
      </c>
      <c r="BQ67" s="1" t="s">
        <v>1507</v>
      </c>
      <c r="BR67" s="1" t="s">
        <v>1507</v>
      </c>
      <c r="BS67" s="1" t="s">
        <v>13744</v>
      </c>
      <c r="BT67" s="1" t="s">
        <v>2196</v>
      </c>
      <c r="BU67" s="1" t="str">
        <f>HYPERLINK("https%3A%2F%2Fwww.webofscience.com%2Fwos%2Fwoscc%2Ffull-record%2FWOS:001117621200001","View Full Record in Web of Science")</f>
        <v>View Full Record in Web of Science</v>
      </c>
    </row>
    <row r="68" spans="1:73" x14ac:dyDescent="0.25">
      <c r="A68" s="1">
        <v>67</v>
      </c>
      <c r="B68" s="1" t="s">
        <v>1506</v>
      </c>
      <c r="C68" s="1" t="s">
        <v>11283</v>
      </c>
      <c r="D68" s="1" t="s">
        <v>1507</v>
      </c>
      <c r="E68" s="1" t="s">
        <v>1507</v>
      </c>
      <c r="F68" s="1" t="s">
        <v>1507</v>
      </c>
      <c r="G68" s="1" t="s">
        <v>11284</v>
      </c>
      <c r="H68" s="1" t="s">
        <v>1507</v>
      </c>
      <c r="I68" s="1" t="s">
        <v>1507</v>
      </c>
      <c r="J68" s="1" t="s">
        <v>11285</v>
      </c>
      <c r="K68" s="1" t="s">
        <v>11228</v>
      </c>
      <c r="L68" s="1" t="s">
        <v>1507</v>
      </c>
      <c r="M68" s="1" t="s">
        <v>1507</v>
      </c>
      <c r="N68" s="1" t="s">
        <v>42</v>
      </c>
      <c r="O68" s="1" t="s">
        <v>56</v>
      </c>
      <c r="P68" s="1" t="s">
        <v>1507</v>
      </c>
      <c r="Q68" s="1" t="s">
        <v>1507</v>
      </c>
      <c r="R68" s="1" t="s">
        <v>1507</v>
      </c>
      <c r="S68" s="1" t="s">
        <v>1507</v>
      </c>
      <c r="T68" s="1" t="s">
        <v>1507</v>
      </c>
      <c r="U68" s="1" t="s">
        <v>1507</v>
      </c>
      <c r="V68" s="1" t="s">
        <v>1507</v>
      </c>
      <c r="W68" s="1" t="s">
        <v>1507</v>
      </c>
      <c r="X68" s="1" t="s">
        <v>11286</v>
      </c>
      <c r="Y68" s="1" t="s">
        <v>5341</v>
      </c>
      <c r="Z68" s="1" t="s">
        <v>11287</v>
      </c>
      <c r="AA68" s="1" t="s">
        <v>11288</v>
      </c>
      <c r="AB68" s="1" t="s">
        <v>1507</v>
      </c>
      <c r="AC68" s="1" t="s">
        <v>1507</v>
      </c>
      <c r="AD68" s="1" t="s">
        <v>11289</v>
      </c>
      <c r="AE68" s="1" t="s">
        <v>11289</v>
      </c>
      <c r="AF68" s="1" t="s">
        <v>11290</v>
      </c>
      <c r="AG68" s="1" t="s">
        <v>1507</v>
      </c>
      <c r="AH68" s="1">
        <v>50</v>
      </c>
      <c r="AI68" s="1">
        <v>4</v>
      </c>
      <c r="AJ68" s="1">
        <v>4</v>
      </c>
      <c r="AK68" s="1">
        <v>0</v>
      </c>
      <c r="AL68" s="1">
        <v>0</v>
      </c>
      <c r="AM68" s="1" t="s">
        <v>11236</v>
      </c>
      <c r="AN68" s="1" t="s">
        <v>11237</v>
      </c>
      <c r="AO68" s="1" t="s">
        <v>11238</v>
      </c>
      <c r="AP68" s="1" t="s">
        <v>11239</v>
      </c>
      <c r="AQ68" s="1" t="s">
        <v>1507</v>
      </c>
      <c r="AR68" s="1" t="s">
        <v>1507</v>
      </c>
      <c r="AS68" s="1" t="s">
        <v>11240</v>
      </c>
      <c r="AT68" s="1" t="s">
        <v>11241</v>
      </c>
      <c r="AU68" s="1" t="s">
        <v>1507</v>
      </c>
      <c r="AV68" s="1">
        <v>2019</v>
      </c>
      <c r="AW68" s="1">
        <v>13</v>
      </c>
      <c r="AX68" s="1">
        <v>1</v>
      </c>
      <c r="AY68" s="1" t="s">
        <v>1507</v>
      </c>
      <c r="AZ68" s="1" t="s">
        <v>1507</v>
      </c>
      <c r="BA68" s="1" t="s">
        <v>1507</v>
      </c>
      <c r="BB68" s="1" t="s">
        <v>1507</v>
      </c>
      <c r="BC68" s="1">
        <v>27</v>
      </c>
      <c r="BD68" s="1">
        <v>71</v>
      </c>
      <c r="BE68" s="1" t="s">
        <v>1507</v>
      </c>
      <c r="BF68" s="1" t="s">
        <v>1507</v>
      </c>
      <c r="BG68" s="1" t="s">
        <v>1507</v>
      </c>
      <c r="BH68" s="1" t="s">
        <v>1507</v>
      </c>
      <c r="BI68" s="1" t="s">
        <v>1507</v>
      </c>
      <c r="BJ68" s="1">
        <v>45</v>
      </c>
      <c r="BK68" s="1" t="s">
        <v>1535</v>
      </c>
      <c r="BL68" s="1" t="s">
        <v>1529</v>
      </c>
      <c r="BM68" s="1" t="s">
        <v>1536</v>
      </c>
      <c r="BN68" s="1" t="s">
        <v>11291</v>
      </c>
      <c r="BO68" s="1" t="s">
        <v>1507</v>
      </c>
      <c r="BP68" s="1" t="s">
        <v>1507</v>
      </c>
      <c r="BQ68" s="1" t="s">
        <v>1507</v>
      </c>
      <c r="BR68" s="1" t="s">
        <v>1507</v>
      </c>
      <c r="BS68" s="1" t="s">
        <v>13744</v>
      </c>
      <c r="BT68" s="1" t="s">
        <v>11292</v>
      </c>
      <c r="BU68" s="1" t="str">
        <f>HYPERLINK("https%3A%2F%2Fwww.webofscience.com%2Fwos%2Fwoscc%2Ffull-record%2FWOS:000502789400002","View Full Record in Web of Science")</f>
        <v>View Full Record in Web of Science</v>
      </c>
    </row>
    <row r="69" spans="1:73" x14ac:dyDescent="0.25">
      <c r="A69" s="1">
        <v>68</v>
      </c>
      <c r="B69" s="1" t="s">
        <v>1506</v>
      </c>
      <c r="C69" s="1" t="s">
        <v>14847</v>
      </c>
      <c r="D69" s="1" t="s">
        <v>1507</v>
      </c>
      <c r="E69" s="1" t="s">
        <v>1507</v>
      </c>
      <c r="F69" s="1" t="s">
        <v>1507</v>
      </c>
      <c r="G69" s="1" t="s">
        <v>14848</v>
      </c>
      <c r="H69" s="1" t="s">
        <v>1507</v>
      </c>
      <c r="I69" s="1" t="s">
        <v>1507</v>
      </c>
      <c r="J69" s="1" t="s">
        <v>13052</v>
      </c>
      <c r="K69" s="1" t="s">
        <v>14849</v>
      </c>
      <c r="L69" s="1" t="s">
        <v>1507</v>
      </c>
      <c r="M69" s="1" t="s">
        <v>1507</v>
      </c>
      <c r="N69" s="1" t="s">
        <v>42</v>
      </c>
      <c r="O69" s="1" t="s">
        <v>12366</v>
      </c>
      <c r="P69" s="1" t="s">
        <v>1507</v>
      </c>
      <c r="Q69" s="1" t="s">
        <v>1507</v>
      </c>
      <c r="R69" s="1" t="s">
        <v>1507</v>
      </c>
      <c r="S69" s="1" t="s">
        <v>1507</v>
      </c>
      <c r="T69" s="1" t="s">
        <v>1507</v>
      </c>
      <c r="U69" s="1" t="s">
        <v>14850</v>
      </c>
      <c r="V69" s="1" t="s">
        <v>4023</v>
      </c>
      <c r="W69" s="1" t="s">
        <v>14851</v>
      </c>
      <c r="X69" s="1" t="s">
        <v>14852</v>
      </c>
      <c r="Y69" s="1" t="s">
        <v>14853</v>
      </c>
      <c r="Z69" s="1" t="s">
        <v>14854</v>
      </c>
      <c r="AA69" s="1" t="s">
        <v>14855</v>
      </c>
      <c r="AB69" s="1" t="s">
        <v>14856</v>
      </c>
      <c r="AC69" s="1" t="s">
        <v>14857</v>
      </c>
      <c r="AD69" s="1" t="s">
        <v>14858</v>
      </c>
      <c r="AE69" s="1" t="s">
        <v>14859</v>
      </c>
      <c r="AF69" s="1" t="s">
        <v>13043</v>
      </c>
      <c r="AG69" s="1" t="s">
        <v>1507</v>
      </c>
      <c r="AH69" s="1">
        <v>28</v>
      </c>
      <c r="AI69" s="1">
        <v>0</v>
      </c>
      <c r="AJ69" s="1">
        <v>0</v>
      </c>
      <c r="AK69" s="1">
        <v>120</v>
      </c>
      <c r="AL69" s="1">
        <v>120</v>
      </c>
      <c r="AM69" s="1" t="s">
        <v>14860</v>
      </c>
      <c r="AN69" s="1" t="s">
        <v>14861</v>
      </c>
      <c r="AO69" s="1" t="s">
        <v>14862</v>
      </c>
      <c r="AP69" s="1" t="s">
        <v>14863</v>
      </c>
      <c r="AQ69" s="1" t="s">
        <v>1507</v>
      </c>
      <c r="AR69" s="1" t="s">
        <v>1507</v>
      </c>
      <c r="AS69" s="1" t="s">
        <v>14864</v>
      </c>
      <c r="AT69" s="1" t="s">
        <v>14865</v>
      </c>
      <c r="AU69" s="1" t="s">
        <v>1507</v>
      </c>
      <c r="AV69" s="1">
        <v>2023</v>
      </c>
      <c r="AW69" s="1">
        <v>15</v>
      </c>
      <c r="AX69" s="1">
        <v>4</v>
      </c>
      <c r="AY69" s="1" t="s">
        <v>1507</v>
      </c>
      <c r="AZ69" s="1" t="s">
        <v>1507</v>
      </c>
      <c r="BA69" s="1" t="s">
        <v>1507</v>
      </c>
      <c r="BB69" s="1" t="s">
        <v>1507</v>
      </c>
      <c r="BC69" s="1">
        <v>261</v>
      </c>
      <c r="BD69" s="1">
        <v>270</v>
      </c>
      <c r="BE69" s="1" t="s">
        <v>1507</v>
      </c>
      <c r="BF69" s="1" t="s">
        <v>13050</v>
      </c>
      <c r="BG69" s="1" t="str">
        <f>HYPERLINK("http://dx.doi.org/10.55982/openpraxis.15.4.609","http://dx.doi.org/10.55982/openpraxis.15.4.609")</f>
        <v>http://dx.doi.org/10.55982/openpraxis.15.4.609</v>
      </c>
      <c r="BH69" s="1" t="s">
        <v>1507</v>
      </c>
      <c r="BI69" s="1" t="s">
        <v>1507</v>
      </c>
      <c r="BJ69" s="1">
        <v>10</v>
      </c>
      <c r="BK69" s="1" t="s">
        <v>1558</v>
      </c>
      <c r="BL69" s="1" t="s">
        <v>1529</v>
      </c>
      <c r="BM69" s="1" t="s">
        <v>1558</v>
      </c>
      <c r="BN69" s="1" t="s">
        <v>14866</v>
      </c>
      <c r="BO69" s="1" t="s">
        <v>1507</v>
      </c>
      <c r="BP69" s="1" t="s">
        <v>1531</v>
      </c>
      <c r="BQ69" s="1" t="s">
        <v>1507</v>
      </c>
      <c r="BR69" s="1" t="s">
        <v>1507</v>
      </c>
      <c r="BS69" s="1" t="s">
        <v>13744</v>
      </c>
      <c r="BT69" s="1" t="s">
        <v>14867</v>
      </c>
      <c r="BU69" s="1" t="str">
        <f>HYPERLINK("https%3A%2F%2Fwww.webofscience.com%2Fwos%2Fwoscc%2Ffull-record%2FWOS:001112866700002","View Full Record in Web of Science")</f>
        <v>View Full Record in Web of Science</v>
      </c>
    </row>
    <row r="70" spans="1:73" x14ac:dyDescent="0.25">
      <c r="A70" s="1">
        <v>69</v>
      </c>
      <c r="B70" s="1" t="s">
        <v>1506</v>
      </c>
      <c r="C70" s="1" t="s">
        <v>11293</v>
      </c>
      <c r="D70" s="1" t="s">
        <v>1507</v>
      </c>
      <c r="E70" s="1" t="s">
        <v>1507</v>
      </c>
      <c r="F70" s="1" t="s">
        <v>1507</v>
      </c>
      <c r="G70" s="1" t="s">
        <v>11294</v>
      </c>
      <c r="H70" s="1" t="s">
        <v>1507</v>
      </c>
      <c r="I70" s="1" t="s">
        <v>1507</v>
      </c>
      <c r="J70" s="1" t="s">
        <v>11295</v>
      </c>
      <c r="K70" s="1" t="s">
        <v>11296</v>
      </c>
      <c r="L70" s="1" t="s">
        <v>1507</v>
      </c>
      <c r="M70" s="1" t="s">
        <v>1507</v>
      </c>
      <c r="N70" s="1" t="s">
        <v>42</v>
      </c>
      <c r="O70" s="1" t="s">
        <v>56</v>
      </c>
      <c r="P70" s="1" t="s">
        <v>1507</v>
      </c>
      <c r="Q70" s="1" t="s">
        <v>1507</v>
      </c>
      <c r="R70" s="1" t="s">
        <v>1507</v>
      </c>
      <c r="S70" s="1" t="s">
        <v>1507</v>
      </c>
      <c r="T70" s="1" t="s">
        <v>1507</v>
      </c>
      <c r="U70" s="1" t="s">
        <v>11297</v>
      </c>
      <c r="V70" s="1" t="s">
        <v>11298</v>
      </c>
      <c r="W70" s="1" t="s">
        <v>11299</v>
      </c>
      <c r="X70" s="1" t="s">
        <v>11300</v>
      </c>
      <c r="Y70" s="1" t="s">
        <v>11301</v>
      </c>
      <c r="Z70" s="1" t="s">
        <v>11302</v>
      </c>
      <c r="AA70" s="1" t="s">
        <v>11303</v>
      </c>
      <c r="AB70" s="1" t="s">
        <v>1507</v>
      </c>
      <c r="AC70" s="1" t="s">
        <v>1507</v>
      </c>
      <c r="AD70" s="1" t="s">
        <v>1507</v>
      </c>
      <c r="AE70" s="1" t="s">
        <v>1507</v>
      </c>
      <c r="AF70" s="1" t="s">
        <v>1507</v>
      </c>
      <c r="AG70" s="1" t="s">
        <v>1507</v>
      </c>
      <c r="AH70" s="1">
        <v>38</v>
      </c>
      <c r="AI70" s="1">
        <v>1</v>
      </c>
      <c r="AJ70" s="1">
        <v>1</v>
      </c>
      <c r="AK70" s="1">
        <v>1</v>
      </c>
      <c r="AL70" s="1">
        <v>1</v>
      </c>
      <c r="AM70" s="1" t="s">
        <v>1555</v>
      </c>
      <c r="AN70" s="1" t="s">
        <v>1556</v>
      </c>
      <c r="AO70" s="1" t="s">
        <v>1557</v>
      </c>
      <c r="AP70" s="1" t="s">
        <v>11304</v>
      </c>
      <c r="AQ70" s="1" t="s">
        <v>11305</v>
      </c>
      <c r="AR70" s="1" t="s">
        <v>1507</v>
      </c>
      <c r="AS70" s="1" t="s">
        <v>11306</v>
      </c>
      <c r="AT70" s="1" t="s">
        <v>837</v>
      </c>
      <c r="AU70" s="1" t="s">
        <v>1507</v>
      </c>
      <c r="AV70" s="1">
        <v>2019</v>
      </c>
      <c r="AW70" s="1">
        <v>53</v>
      </c>
      <c r="AX70" s="1">
        <v>1</v>
      </c>
      <c r="AY70" s="1" t="s">
        <v>1507</v>
      </c>
      <c r="AZ70" s="1" t="s">
        <v>1507</v>
      </c>
      <c r="BA70" s="1" t="s">
        <v>1507</v>
      </c>
      <c r="BB70" s="1" t="s">
        <v>1507</v>
      </c>
      <c r="BC70" s="1">
        <v>70</v>
      </c>
      <c r="BD70" s="1">
        <v>89</v>
      </c>
      <c r="BE70" s="1" t="s">
        <v>1507</v>
      </c>
      <c r="BF70" s="1" t="s">
        <v>869</v>
      </c>
      <c r="BG70" s="1" t="str">
        <f>HYPERLINK("http://dx.doi.org/10.1080/03069400.2018.1489995","http://dx.doi.org/10.1080/03069400.2018.1489995")</f>
        <v>http://dx.doi.org/10.1080/03069400.2018.1489995</v>
      </c>
      <c r="BH70" s="1" t="s">
        <v>1507</v>
      </c>
      <c r="BI70" s="1" t="s">
        <v>1507</v>
      </c>
      <c r="BJ70" s="1">
        <v>20</v>
      </c>
      <c r="BK70" s="1" t="s">
        <v>1558</v>
      </c>
      <c r="BL70" s="1" t="s">
        <v>1529</v>
      </c>
      <c r="BM70" s="1" t="s">
        <v>1558</v>
      </c>
      <c r="BN70" s="1" t="s">
        <v>11307</v>
      </c>
      <c r="BO70" s="1" t="s">
        <v>1507</v>
      </c>
      <c r="BP70" s="1" t="s">
        <v>5957</v>
      </c>
      <c r="BQ70" s="1" t="s">
        <v>1507</v>
      </c>
      <c r="BR70" s="1" t="s">
        <v>1507</v>
      </c>
      <c r="BS70" s="1" t="s">
        <v>13744</v>
      </c>
      <c r="BT70" s="1" t="s">
        <v>11308</v>
      </c>
      <c r="BU70" s="1" t="str">
        <f>HYPERLINK("https%3A%2F%2Fwww.webofscience.com%2Fwos%2Fwoscc%2Ffull-record%2FWOS:000470653300004","View Full Record in Web of Science")</f>
        <v>View Full Record in Web of Science</v>
      </c>
    </row>
    <row r="71" spans="1:73" x14ac:dyDescent="0.25">
      <c r="A71" s="1">
        <v>70</v>
      </c>
      <c r="B71" s="1" t="s">
        <v>1506</v>
      </c>
      <c r="C71" s="1" t="s">
        <v>14365</v>
      </c>
      <c r="D71" s="1" t="s">
        <v>1507</v>
      </c>
      <c r="E71" s="1" t="s">
        <v>1507</v>
      </c>
      <c r="F71" s="1" t="s">
        <v>1507</v>
      </c>
      <c r="G71" s="1" t="s">
        <v>14366</v>
      </c>
      <c r="H71" s="1" t="s">
        <v>1507</v>
      </c>
      <c r="I71" s="1" t="s">
        <v>1507</v>
      </c>
      <c r="J71" s="1" t="s">
        <v>14367</v>
      </c>
      <c r="K71" s="1" t="s">
        <v>14368</v>
      </c>
      <c r="L71" s="1" t="s">
        <v>1507</v>
      </c>
      <c r="M71" s="1" t="s">
        <v>1507</v>
      </c>
      <c r="N71" s="1" t="s">
        <v>42</v>
      </c>
      <c r="O71" s="1" t="s">
        <v>1487</v>
      </c>
      <c r="P71" s="1" t="s">
        <v>14369</v>
      </c>
      <c r="Q71" s="1" t="s">
        <v>14370</v>
      </c>
      <c r="R71" s="1" t="s">
        <v>5909</v>
      </c>
      <c r="S71" s="1" t="s">
        <v>1507</v>
      </c>
      <c r="T71" s="1" t="s">
        <v>1507</v>
      </c>
      <c r="U71" s="1" t="s">
        <v>1507</v>
      </c>
      <c r="V71" s="1" t="s">
        <v>1507</v>
      </c>
      <c r="W71" s="1" t="s">
        <v>1507</v>
      </c>
      <c r="X71" s="1" t="s">
        <v>14371</v>
      </c>
      <c r="Y71" s="1" t="s">
        <v>1507</v>
      </c>
      <c r="Z71" s="1" t="s">
        <v>1507</v>
      </c>
      <c r="AA71" s="1" t="s">
        <v>1507</v>
      </c>
      <c r="AB71" s="1" t="s">
        <v>1507</v>
      </c>
      <c r="AC71" s="1" t="s">
        <v>1507</v>
      </c>
      <c r="AD71" s="1" t="s">
        <v>1507</v>
      </c>
      <c r="AE71" s="1" t="s">
        <v>1507</v>
      </c>
      <c r="AF71" s="1" t="s">
        <v>1507</v>
      </c>
      <c r="AG71" s="1" t="s">
        <v>1507</v>
      </c>
      <c r="AH71" s="1">
        <v>0</v>
      </c>
      <c r="AI71" s="1">
        <v>0</v>
      </c>
      <c r="AJ71" s="1">
        <v>0</v>
      </c>
      <c r="AK71" s="1">
        <v>3</v>
      </c>
      <c r="AL71" s="1">
        <v>3</v>
      </c>
      <c r="AM71" s="1" t="s">
        <v>4330</v>
      </c>
      <c r="AN71" s="1" t="s">
        <v>1746</v>
      </c>
      <c r="AO71" s="1" t="s">
        <v>4331</v>
      </c>
      <c r="AP71" s="1" t="s">
        <v>14372</v>
      </c>
      <c r="AQ71" s="1" t="s">
        <v>14373</v>
      </c>
      <c r="AR71" s="1" t="s">
        <v>1507</v>
      </c>
      <c r="AS71" s="1" t="s">
        <v>14374</v>
      </c>
      <c r="AT71" s="1" t="s">
        <v>14375</v>
      </c>
      <c r="AU71" s="1" t="s">
        <v>2889</v>
      </c>
      <c r="AV71" s="1">
        <v>2023</v>
      </c>
      <c r="AW71" s="1">
        <v>118</v>
      </c>
      <c r="AX71" s="1">
        <v>10</v>
      </c>
      <c r="AY71" s="1" t="s">
        <v>1507</v>
      </c>
      <c r="AZ71" s="1" t="s">
        <v>11902</v>
      </c>
      <c r="BA71" s="1" t="s">
        <v>1507</v>
      </c>
      <c r="BB71" s="1" t="s">
        <v>14376</v>
      </c>
      <c r="BC71" s="1" t="s">
        <v>14377</v>
      </c>
      <c r="BD71" s="1" t="s">
        <v>14377</v>
      </c>
      <c r="BE71" s="1" t="s">
        <v>1507</v>
      </c>
      <c r="BF71" s="1" t="s">
        <v>1507</v>
      </c>
      <c r="BG71" s="1" t="s">
        <v>1507</v>
      </c>
      <c r="BH71" s="1" t="s">
        <v>1507</v>
      </c>
      <c r="BI71" s="1" t="s">
        <v>1507</v>
      </c>
      <c r="BJ71" s="1">
        <v>1</v>
      </c>
      <c r="BK71" s="1" t="s">
        <v>9749</v>
      </c>
      <c r="BL71" s="1" t="s">
        <v>11691</v>
      </c>
      <c r="BM71" s="1" t="s">
        <v>9749</v>
      </c>
      <c r="BN71" s="1" t="s">
        <v>14378</v>
      </c>
      <c r="BO71" s="1" t="s">
        <v>1507</v>
      </c>
      <c r="BP71" s="1" t="s">
        <v>1507</v>
      </c>
      <c r="BQ71" s="1" t="s">
        <v>1507</v>
      </c>
      <c r="BR71" s="1" t="s">
        <v>1507</v>
      </c>
      <c r="BS71" s="1" t="s">
        <v>13744</v>
      </c>
      <c r="BT71" s="1" t="s">
        <v>14379</v>
      </c>
      <c r="BU71" s="1" t="str">
        <f>HYPERLINK("https%3A%2F%2Fwww.webofscience.com%2Fwos%2Fwoscc%2Ffull-record%2FWOS:001091849303399","View Full Record in Web of Science")</f>
        <v>View Full Record in Web of Science</v>
      </c>
    </row>
    <row r="72" spans="1:73" x14ac:dyDescent="0.25">
      <c r="A72" s="1">
        <v>71</v>
      </c>
      <c r="B72" s="1" t="s">
        <v>1506</v>
      </c>
      <c r="C72" s="1" t="s">
        <v>11046</v>
      </c>
      <c r="D72" s="1" t="s">
        <v>1507</v>
      </c>
      <c r="E72" s="1" t="s">
        <v>1507</v>
      </c>
      <c r="F72" s="1" t="s">
        <v>1507</v>
      </c>
      <c r="G72" s="1" t="s">
        <v>11047</v>
      </c>
      <c r="H72" s="1" t="s">
        <v>1507</v>
      </c>
      <c r="I72" s="1" t="s">
        <v>1507</v>
      </c>
      <c r="J72" s="1" t="s">
        <v>11048</v>
      </c>
      <c r="K72" s="1" t="s">
        <v>11049</v>
      </c>
      <c r="L72" s="1" t="s">
        <v>1507</v>
      </c>
      <c r="M72" s="1" t="s">
        <v>1507</v>
      </c>
      <c r="N72" s="1" t="s">
        <v>42</v>
      </c>
      <c r="O72" s="1" t="s">
        <v>56</v>
      </c>
      <c r="P72" s="1" t="s">
        <v>1507</v>
      </c>
      <c r="Q72" s="1" t="s">
        <v>1507</v>
      </c>
      <c r="R72" s="1" t="s">
        <v>1507</v>
      </c>
      <c r="S72" s="1" t="s">
        <v>1507</v>
      </c>
      <c r="T72" s="1" t="s">
        <v>1507</v>
      </c>
      <c r="U72" s="1" t="s">
        <v>11050</v>
      </c>
      <c r="V72" s="1" t="s">
        <v>11051</v>
      </c>
      <c r="W72" s="1" t="s">
        <v>11052</v>
      </c>
      <c r="X72" s="1" t="s">
        <v>11053</v>
      </c>
      <c r="Y72" s="1" t="s">
        <v>11054</v>
      </c>
      <c r="Z72" s="1" t="s">
        <v>11055</v>
      </c>
      <c r="AA72" s="1" t="s">
        <v>11056</v>
      </c>
      <c r="AB72" s="1" t="s">
        <v>1507</v>
      </c>
      <c r="AC72" s="1" t="s">
        <v>15933</v>
      </c>
      <c r="AD72" s="1" t="s">
        <v>11057</v>
      </c>
      <c r="AE72" s="1" t="s">
        <v>11058</v>
      </c>
      <c r="AF72" s="1" t="s">
        <v>11059</v>
      </c>
      <c r="AG72" s="1" t="s">
        <v>1507</v>
      </c>
      <c r="AH72" s="1">
        <v>81</v>
      </c>
      <c r="AI72" s="1">
        <v>18</v>
      </c>
      <c r="AJ72" s="1">
        <v>20</v>
      </c>
      <c r="AK72" s="1">
        <v>1</v>
      </c>
      <c r="AL72" s="1">
        <v>10</v>
      </c>
      <c r="AM72" s="1" t="s">
        <v>1559</v>
      </c>
      <c r="AN72" s="1" t="s">
        <v>1560</v>
      </c>
      <c r="AO72" s="1" t="s">
        <v>1561</v>
      </c>
      <c r="AP72" s="1" t="s">
        <v>11060</v>
      </c>
      <c r="AQ72" s="1" t="s">
        <v>1507</v>
      </c>
      <c r="AR72" s="1" t="s">
        <v>1507</v>
      </c>
      <c r="AS72" s="1" t="s">
        <v>11061</v>
      </c>
      <c r="AT72" s="1" t="s">
        <v>11062</v>
      </c>
      <c r="AU72" s="1" t="s">
        <v>5045</v>
      </c>
      <c r="AV72" s="1">
        <v>2019</v>
      </c>
      <c r="AW72" s="1">
        <v>9</v>
      </c>
      <c r="AX72" s="1">
        <v>10</v>
      </c>
      <c r="AY72" s="1" t="s">
        <v>1507</v>
      </c>
      <c r="AZ72" s="1" t="s">
        <v>1507</v>
      </c>
      <c r="BA72" s="1" t="s">
        <v>1507</v>
      </c>
      <c r="BB72" s="1" t="s">
        <v>1507</v>
      </c>
      <c r="BC72" s="1">
        <v>6082</v>
      </c>
      <c r="BD72" s="1">
        <v>6095</v>
      </c>
      <c r="BE72" s="1" t="s">
        <v>1507</v>
      </c>
      <c r="BF72" s="1" t="s">
        <v>11063</v>
      </c>
      <c r="BG72" s="1" t="str">
        <f>HYPERLINK("http://dx.doi.org/10.1002/ece3.5192","http://dx.doi.org/10.1002/ece3.5192")</f>
        <v>http://dx.doi.org/10.1002/ece3.5192</v>
      </c>
      <c r="BH72" s="1" t="s">
        <v>1507</v>
      </c>
      <c r="BI72" s="1" t="s">
        <v>1507</v>
      </c>
      <c r="BJ72" s="1">
        <v>14</v>
      </c>
      <c r="BK72" s="1" t="s">
        <v>11064</v>
      </c>
      <c r="BL72" s="1" t="s">
        <v>1573</v>
      </c>
      <c r="BM72" s="1" t="s">
        <v>11065</v>
      </c>
      <c r="BN72" s="1" t="s">
        <v>11066</v>
      </c>
      <c r="BO72" s="1">
        <v>31161020</v>
      </c>
      <c r="BP72" s="1" t="s">
        <v>1674</v>
      </c>
      <c r="BQ72" s="1" t="s">
        <v>1507</v>
      </c>
      <c r="BR72" s="1" t="s">
        <v>1507</v>
      </c>
      <c r="BS72" s="1" t="s">
        <v>13744</v>
      </c>
      <c r="BT72" s="1" t="s">
        <v>11067</v>
      </c>
      <c r="BU72" s="1" t="str">
        <f>HYPERLINK("https%3A%2F%2Fwww.webofscience.com%2Fwos%2Fwoscc%2Ffull-record%2FWOS:000470923500042","View Full Record in Web of Science")</f>
        <v>View Full Record in Web of Science</v>
      </c>
    </row>
    <row r="73" spans="1:73" x14ac:dyDescent="0.25">
      <c r="A73" s="1">
        <v>72</v>
      </c>
      <c r="B73" s="1" t="s">
        <v>1506</v>
      </c>
      <c r="C73" s="1" t="s">
        <v>3274</v>
      </c>
      <c r="D73" s="1" t="s">
        <v>1507</v>
      </c>
      <c r="E73" s="1" t="s">
        <v>1507</v>
      </c>
      <c r="F73" s="1" t="s">
        <v>1507</v>
      </c>
      <c r="G73" s="1" t="s">
        <v>3275</v>
      </c>
      <c r="H73" s="1" t="s">
        <v>1507</v>
      </c>
      <c r="I73" s="1" t="s">
        <v>1507</v>
      </c>
      <c r="J73" s="1" t="s">
        <v>3276</v>
      </c>
      <c r="K73" s="1" t="s">
        <v>3277</v>
      </c>
      <c r="L73" s="1" t="s">
        <v>1507</v>
      </c>
      <c r="M73" s="1" t="s">
        <v>1507</v>
      </c>
      <c r="N73" s="1" t="s">
        <v>42</v>
      </c>
      <c r="O73" s="1" t="s">
        <v>1509</v>
      </c>
      <c r="P73" s="1" t="s">
        <v>1507</v>
      </c>
      <c r="Q73" s="1" t="s">
        <v>1507</v>
      </c>
      <c r="R73" s="1" t="s">
        <v>1507</v>
      </c>
      <c r="S73" s="1" t="s">
        <v>1507</v>
      </c>
      <c r="T73" s="1" t="s">
        <v>1507</v>
      </c>
      <c r="U73" s="1" t="s">
        <v>3278</v>
      </c>
      <c r="V73" s="1" t="s">
        <v>1507</v>
      </c>
      <c r="W73" s="1" t="s">
        <v>3279</v>
      </c>
      <c r="X73" s="1" t="s">
        <v>3280</v>
      </c>
      <c r="Y73" s="1" t="s">
        <v>3281</v>
      </c>
      <c r="Z73" s="1" t="s">
        <v>3282</v>
      </c>
      <c r="AA73" s="1" t="s">
        <v>3283</v>
      </c>
      <c r="AB73" s="1" t="s">
        <v>1507</v>
      </c>
      <c r="AC73" s="1" t="s">
        <v>1507</v>
      </c>
      <c r="AD73" s="1" t="s">
        <v>3281</v>
      </c>
      <c r="AE73" s="1" t="s">
        <v>3281</v>
      </c>
      <c r="AF73" s="1" t="s">
        <v>3284</v>
      </c>
      <c r="AG73" s="1" t="s">
        <v>1507</v>
      </c>
      <c r="AH73" s="1">
        <v>16</v>
      </c>
      <c r="AI73" s="1">
        <v>1</v>
      </c>
      <c r="AJ73" s="1">
        <v>1</v>
      </c>
      <c r="AK73" s="1">
        <v>10</v>
      </c>
      <c r="AL73" s="1">
        <v>10</v>
      </c>
      <c r="AM73" s="1" t="s">
        <v>1511</v>
      </c>
      <c r="AN73" s="1" t="s">
        <v>1570</v>
      </c>
      <c r="AO73" s="1" t="s">
        <v>1571</v>
      </c>
      <c r="AP73" s="1" t="s">
        <v>3285</v>
      </c>
      <c r="AQ73" s="1" t="s">
        <v>3286</v>
      </c>
      <c r="AR73" s="1" t="s">
        <v>1507</v>
      </c>
      <c r="AS73" s="1" t="s">
        <v>3287</v>
      </c>
      <c r="AT73" s="1" t="s">
        <v>3288</v>
      </c>
      <c r="AU73" s="1" t="s">
        <v>3289</v>
      </c>
      <c r="AV73" s="1">
        <v>2023</v>
      </c>
      <c r="AW73" s="1" t="s">
        <v>1507</v>
      </c>
      <c r="AX73" s="1" t="s">
        <v>1507</v>
      </c>
      <c r="AY73" s="1" t="s">
        <v>1507</v>
      </c>
      <c r="AZ73" s="1" t="s">
        <v>1507</v>
      </c>
      <c r="BA73" s="1" t="s">
        <v>1507</v>
      </c>
      <c r="BB73" s="1" t="s">
        <v>1507</v>
      </c>
      <c r="BC73" s="1" t="s">
        <v>1507</v>
      </c>
      <c r="BD73" s="1" t="s">
        <v>1507</v>
      </c>
      <c r="BE73" s="1" t="s">
        <v>1507</v>
      </c>
      <c r="BF73" s="1" t="s">
        <v>3290</v>
      </c>
      <c r="BG73" s="1" t="str">
        <f>HYPERLINK("http://dx.doi.org/10.1007/s10472-023-09894-7","http://dx.doi.org/10.1007/s10472-023-09894-7")</f>
        <v>http://dx.doi.org/10.1007/s10472-023-09894-7</v>
      </c>
      <c r="BH73" s="1" t="s">
        <v>1507</v>
      </c>
      <c r="BI73" s="1" t="s">
        <v>2891</v>
      </c>
      <c r="BJ73" s="1">
        <v>21</v>
      </c>
      <c r="BK73" s="1" t="s">
        <v>3291</v>
      </c>
      <c r="BL73" s="1" t="s">
        <v>1573</v>
      </c>
      <c r="BM73" s="1" t="s">
        <v>3292</v>
      </c>
      <c r="BN73" s="1" t="s">
        <v>3293</v>
      </c>
      <c r="BO73" s="1" t="s">
        <v>1507</v>
      </c>
      <c r="BP73" s="1" t="s">
        <v>1537</v>
      </c>
      <c r="BQ73" s="1" t="s">
        <v>1507</v>
      </c>
      <c r="BR73" s="1" t="s">
        <v>1507</v>
      </c>
      <c r="BS73" s="1" t="s">
        <v>13744</v>
      </c>
      <c r="BT73" s="1" t="s">
        <v>3294</v>
      </c>
      <c r="BU73" s="1" t="str">
        <f>HYPERLINK("https%3A%2F%2Fwww.webofscience.com%2Fwos%2Fwoscc%2Ffull-record%2FWOS:001080562200001","View Full Record in Web of Science")</f>
        <v>View Full Record in Web of Science</v>
      </c>
    </row>
    <row r="74" spans="1:73" x14ac:dyDescent="0.25">
      <c r="A74" s="1">
        <v>73</v>
      </c>
      <c r="B74" s="1" t="s">
        <v>1506</v>
      </c>
      <c r="C74" s="1" t="s">
        <v>7321</v>
      </c>
      <c r="D74" s="1" t="s">
        <v>1507</v>
      </c>
      <c r="E74" s="1" t="s">
        <v>1507</v>
      </c>
      <c r="F74" s="1" t="s">
        <v>1507</v>
      </c>
      <c r="G74" s="1" t="s">
        <v>7322</v>
      </c>
      <c r="H74" s="1" t="s">
        <v>1507</v>
      </c>
      <c r="I74" s="1" t="s">
        <v>1507</v>
      </c>
      <c r="J74" s="1" t="s">
        <v>7323</v>
      </c>
      <c r="K74" s="1" t="s">
        <v>3922</v>
      </c>
      <c r="L74" s="1" t="s">
        <v>1507</v>
      </c>
      <c r="M74" s="1" t="s">
        <v>1507</v>
      </c>
      <c r="N74" s="1" t="s">
        <v>42</v>
      </c>
      <c r="O74" s="1" t="s">
        <v>56</v>
      </c>
      <c r="P74" s="1" t="s">
        <v>1507</v>
      </c>
      <c r="Q74" s="1" t="s">
        <v>1507</v>
      </c>
      <c r="R74" s="1" t="s">
        <v>1507</v>
      </c>
      <c r="S74" s="1" t="s">
        <v>1507</v>
      </c>
      <c r="T74" s="1" t="s">
        <v>1507</v>
      </c>
      <c r="U74" s="1" t="s">
        <v>1507</v>
      </c>
      <c r="V74" s="1" t="s">
        <v>7324</v>
      </c>
      <c r="W74" s="1" t="s">
        <v>7325</v>
      </c>
      <c r="X74" s="1" t="s">
        <v>7326</v>
      </c>
      <c r="Y74" s="1" t="s">
        <v>15621</v>
      </c>
      <c r="Z74" s="1" t="s">
        <v>7327</v>
      </c>
      <c r="AA74" s="1" t="s">
        <v>7328</v>
      </c>
      <c r="AB74" s="1" t="s">
        <v>7329</v>
      </c>
      <c r="AC74" s="1" t="s">
        <v>7330</v>
      </c>
      <c r="AD74" s="1" t="s">
        <v>7331</v>
      </c>
      <c r="AE74" s="1" t="s">
        <v>7332</v>
      </c>
      <c r="AF74" s="1" t="s">
        <v>7333</v>
      </c>
      <c r="AG74" s="1" t="s">
        <v>1507</v>
      </c>
      <c r="AH74" s="1">
        <v>60</v>
      </c>
      <c r="AI74" s="1">
        <v>4</v>
      </c>
      <c r="AJ74" s="1">
        <v>4</v>
      </c>
      <c r="AK74" s="1">
        <v>0</v>
      </c>
      <c r="AL74" s="1">
        <v>3</v>
      </c>
      <c r="AM74" s="1" t="s">
        <v>3766</v>
      </c>
      <c r="AN74" s="1" t="s">
        <v>2300</v>
      </c>
      <c r="AO74" s="1" t="s">
        <v>3767</v>
      </c>
      <c r="AP74" s="1" t="s">
        <v>3932</v>
      </c>
      <c r="AQ74" s="1" t="s">
        <v>1507</v>
      </c>
      <c r="AR74" s="1" t="s">
        <v>1507</v>
      </c>
      <c r="AS74" s="1" t="s">
        <v>3933</v>
      </c>
      <c r="AT74" s="1" t="s">
        <v>3934</v>
      </c>
      <c r="AU74" s="1" t="s">
        <v>5201</v>
      </c>
      <c r="AV74" s="1">
        <v>2022</v>
      </c>
      <c r="AW74" s="1">
        <v>8</v>
      </c>
      <c r="AX74" s="1">
        <v>14</v>
      </c>
      <c r="AY74" s="1" t="s">
        <v>1507</v>
      </c>
      <c r="AZ74" s="1" t="s">
        <v>1507</v>
      </c>
      <c r="BA74" s="1" t="s">
        <v>1507</v>
      </c>
      <c r="BB74" s="1" t="s">
        <v>1507</v>
      </c>
      <c r="BC74" s="1" t="s">
        <v>1507</v>
      </c>
      <c r="BD74" s="1" t="s">
        <v>1507</v>
      </c>
      <c r="BE74" s="1" t="s">
        <v>7334</v>
      </c>
      <c r="BF74" s="1" t="s">
        <v>7335</v>
      </c>
      <c r="BG74" s="1" t="str">
        <f>HYPERLINK("http://dx.doi.org/10.1126/sciadv.abl5209","http://dx.doi.org/10.1126/sciadv.abl5209")</f>
        <v>http://dx.doi.org/10.1126/sciadv.abl5209</v>
      </c>
      <c r="BH74" s="1" t="s">
        <v>1507</v>
      </c>
      <c r="BI74" s="1" t="s">
        <v>1507</v>
      </c>
      <c r="BJ74" s="1">
        <v>15</v>
      </c>
      <c r="BK74" s="1" t="s">
        <v>1776</v>
      </c>
      <c r="BL74" s="1" t="s">
        <v>1573</v>
      </c>
      <c r="BM74" s="1" t="s">
        <v>1777</v>
      </c>
      <c r="BN74" s="1" t="s">
        <v>7336</v>
      </c>
      <c r="BO74" s="1">
        <v>35385318</v>
      </c>
      <c r="BP74" s="1" t="s">
        <v>5071</v>
      </c>
      <c r="BQ74" s="1" t="s">
        <v>1507</v>
      </c>
      <c r="BR74" s="1" t="s">
        <v>1507</v>
      </c>
      <c r="BS74" s="1" t="s">
        <v>13744</v>
      </c>
      <c r="BT74" s="1" t="s">
        <v>7337</v>
      </c>
      <c r="BU74" s="1" t="str">
        <f>HYPERLINK("https%3A%2F%2Fwww.webofscience.com%2Fwos%2Fwoscc%2Ffull-record%2FWOS:000778897800019","View Full Record in Web of Science")</f>
        <v>View Full Record in Web of Science</v>
      </c>
    </row>
    <row r="75" spans="1:73" x14ac:dyDescent="0.25">
      <c r="A75" s="1">
        <v>74</v>
      </c>
      <c r="B75" s="1" t="s">
        <v>1506</v>
      </c>
      <c r="C75" s="1" t="s">
        <v>4510</v>
      </c>
      <c r="D75" s="1" t="s">
        <v>1507</v>
      </c>
      <c r="E75" s="1" t="s">
        <v>1507</v>
      </c>
      <c r="F75" s="1" t="s">
        <v>1507</v>
      </c>
      <c r="G75" s="1" t="s">
        <v>4511</v>
      </c>
      <c r="H75" s="1" t="s">
        <v>1507</v>
      </c>
      <c r="I75" s="1" t="s">
        <v>1507</v>
      </c>
      <c r="J75" s="1" t="s">
        <v>405</v>
      </c>
      <c r="K75" s="1" t="s">
        <v>4512</v>
      </c>
      <c r="L75" s="1" t="s">
        <v>1507</v>
      </c>
      <c r="M75" s="1" t="s">
        <v>1507</v>
      </c>
      <c r="N75" s="1" t="s">
        <v>42</v>
      </c>
      <c r="O75" s="1" t="s">
        <v>56</v>
      </c>
      <c r="P75" s="1" t="s">
        <v>1507</v>
      </c>
      <c r="Q75" s="1" t="s">
        <v>1507</v>
      </c>
      <c r="R75" s="1" t="s">
        <v>1507</v>
      </c>
      <c r="S75" s="1" t="s">
        <v>1507</v>
      </c>
      <c r="T75" s="1" t="s">
        <v>1507</v>
      </c>
      <c r="U75" s="1" t="s">
        <v>4513</v>
      </c>
      <c r="V75" s="1" t="s">
        <v>4514</v>
      </c>
      <c r="W75" s="1" t="s">
        <v>4515</v>
      </c>
      <c r="X75" s="1" t="s">
        <v>4516</v>
      </c>
      <c r="Y75" s="1" t="s">
        <v>4517</v>
      </c>
      <c r="Z75" s="1" t="s">
        <v>4518</v>
      </c>
      <c r="AA75" s="1" t="s">
        <v>4519</v>
      </c>
      <c r="AB75" s="1" t="s">
        <v>4520</v>
      </c>
      <c r="AC75" s="1" t="s">
        <v>4521</v>
      </c>
      <c r="AD75" s="1" t="s">
        <v>1507</v>
      </c>
      <c r="AE75" s="1" t="s">
        <v>1507</v>
      </c>
      <c r="AF75" s="1" t="s">
        <v>1507</v>
      </c>
      <c r="AG75" s="1" t="s">
        <v>1507</v>
      </c>
      <c r="AH75" s="1">
        <v>57</v>
      </c>
      <c r="AI75" s="1">
        <v>2</v>
      </c>
      <c r="AJ75" s="1">
        <v>2</v>
      </c>
      <c r="AK75" s="1">
        <v>9</v>
      </c>
      <c r="AL75" s="1">
        <v>10</v>
      </c>
      <c r="AM75" s="1" t="s">
        <v>1511</v>
      </c>
      <c r="AN75" s="1" t="s">
        <v>1512</v>
      </c>
      <c r="AO75" s="1" t="s">
        <v>1513</v>
      </c>
      <c r="AP75" s="1" t="s">
        <v>1507</v>
      </c>
      <c r="AQ75" s="1" t="s">
        <v>4522</v>
      </c>
      <c r="AR75" s="1" t="s">
        <v>1507</v>
      </c>
      <c r="AS75" s="1" t="s">
        <v>4523</v>
      </c>
      <c r="AT75" s="1" t="s">
        <v>4524</v>
      </c>
      <c r="AU75" s="1" t="s">
        <v>4525</v>
      </c>
      <c r="AV75" s="1">
        <v>2023</v>
      </c>
      <c r="AW75" s="1">
        <v>8</v>
      </c>
      <c r="AX75" s="1">
        <v>1</v>
      </c>
      <c r="AY75" s="1" t="s">
        <v>1507</v>
      </c>
      <c r="AZ75" s="1" t="s">
        <v>1507</v>
      </c>
      <c r="BA75" s="1" t="s">
        <v>1507</v>
      </c>
      <c r="BB75" s="1" t="s">
        <v>1507</v>
      </c>
      <c r="BC75" s="1" t="s">
        <v>1507</v>
      </c>
      <c r="BD75" s="1" t="s">
        <v>1507</v>
      </c>
      <c r="BE75" s="1">
        <v>20</v>
      </c>
      <c r="BF75" s="1" t="s">
        <v>407</v>
      </c>
      <c r="BG75" s="1" t="str">
        <f>HYPERLINK("http://dx.doi.org/10.1186/s40862-023-00194-5","http://dx.doi.org/10.1186/s40862-023-00194-5")</f>
        <v>http://dx.doi.org/10.1186/s40862-023-00194-5</v>
      </c>
      <c r="BH75" s="1" t="s">
        <v>1507</v>
      </c>
      <c r="BI75" s="1" t="s">
        <v>1507</v>
      </c>
      <c r="BJ75" s="1">
        <v>22</v>
      </c>
      <c r="BK75" s="1" t="s">
        <v>4526</v>
      </c>
      <c r="BL75" s="1" t="s">
        <v>1529</v>
      </c>
      <c r="BM75" s="1" t="s">
        <v>4526</v>
      </c>
      <c r="BN75" s="1" t="s">
        <v>4527</v>
      </c>
      <c r="BO75" s="1" t="s">
        <v>1507</v>
      </c>
      <c r="BP75" s="1" t="s">
        <v>1531</v>
      </c>
      <c r="BQ75" s="1" t="s">
        <v>1507</v>
      </c>
      <c r="BR75" s="1" t="s">
        <v>1507</v>
      </c>
      <c r="BS75" s="1" t="s">
        <v>13744</v>
      </c>
      <c r="BT75" s="1" t="s">
        <v>4528</v>
      </c>
      <c r="BU75" s="1" t="str">
        <f>HYPERLINK("https%3A%2F%2Fwww.webofscience.com%2Fwos%2Fwoscc%2Ffull-record%2FWOS:001022419300001","View Full Record in Web of Science")</f>
        <v>View Full Record in Web of Science</v>
      </c>
    </row>
    <row r="76" spans="1:73" x14ac:dyDescent="0.25">
      <c r="A76" s="1">
        <v>75</v>
      </c>
      <c r="B76" s="1" t="s">
        <v>1506</v>
      </c>
      <c r="C76" s="1" t="s">
        <v>4510</v>
      </c>
      <c r="D76" s="1" t="s">
        <v>1507</v>
      </c>
      <c r="E76" s="1" t="s">
        <v>1507</v>
      </c>
      <c r="F76" s="1" t="s">
        <v>1507</v>
      </c>
      <c r="G76" s="1" t="s">
        <v>4511</v>
      </c>
      <c r="H76" s="1" t="s">
        <v>1507</v>
      </c>
      <c r="I76" s="1" t="s">
        <v>1507</v>
      </c>
      <c r="J76" s="1" t="s">
        <v>8176</v>
      </c>
      <c r="K76" s="1" t="s">
        <v>5077</v>
      </c>
      <c r="L76" s="1" t="s">
        <v>1507</v>
      </c>
      <c r="M76" s="1" t="s">
        <v>1507</v>
      </c>
      <c r="N76" s="1" t="s">
        <v>42</v>
      </c>
      <c r="O76" s="1" t="s">
        <v>56</v>
      </c>
      <c r="P76" s="1" t="s">
        <v>1507</v>
      </c>
      <c r="Q76" s="1" t="s">
        <v>1507</v>
      </c>
      <c r="R76" s="1" t="s">
        <v>1507</v>
      </c>
      <c r="S76" s="1" t="s">
        <v>1507</v>
      </c>
      <c r="T76" s="1" t="s">
        <v>1507</v>
      </c>
      <c r="U76" s="1" t="s">
        <v>8177</v>
      </c>
      <c r="V76" s="1" t="s">
        <v>8178</v>
      </c>
      <c r="W76" s="1" t="s">
        <v>8179</v>
      </c>
      <c r="X76" s="1" t="s">
        <v>8180</v>
      </c>
      <c r="Y76" s="1" t="s">
        <v>8181</v>
      </c>
      <c r="Z76" s="1" t="s">
        <v>8182</v>
      </c>
      <c r="AA76" s="1" t="s">
        <v>8183</v>
      </c>
      <c r="AB76" s="1" t="s">
        <v>4520</v>
      </c>
      <c r="AC76" s="1" t="s">
        <v>4521</v>
      </c>
      <c r="AD76" s="1" t="s">
        <v>1507</v>
      </c>
      <c r="AE76" s="1" t="s">
        <v>1507</v>
      </c>
      <c r="AF76" s="1" t="s">
        <v>1507</v>
      </c>
      <c r="AG76" s="1" t="s">
        <v>1507</v>
      </c>
      <c r="AH76" s="1">
        <v>84</v>
      </c>
      <c r="AI76" s="1">
        <v>14</v>
      </c>
      <c r="AJ76" s="1">
        <v>14</v>
      </c>
      <c r="AK76" s="1">
        <v>7</v>
      </c>
      <c r="AL76" s="1">
        <v>56</v>
      </c>
      <c r="AM76" s="1" t="s">
        <v>1586</v>
      </c>
      <c r="AN76" s="1" t="s">
        <v>1583</v>
      </c>
      <c r="AO76" s="1" t="s">
        <v>3684</v>
      </c>
      <c r="AP76" s="1" t="s">
        <v>8184</v>
      </c>
      <c r="AQ76" s="1" t="s">
        <v>8185</v>
      </c>
      <c r="AR76" s="1" t="s">
        <v>1507</v>
      </c>
      <c r="AS76" s="1" t="s">
        <v>5077</v>
      </c>
      <c r="AT76" s="1" t="s">
        <v>1016</v>
      </c>
      <c r="AU76" s="1" t="s">
        <v>2191</v>
      </c>
      <c r="AV76" s="1">
        <v>2021</v>
      </c>
      <c r="AW76" s="1">
        <v>103</v>
      </c>
      <c r="AX76" s="1" t="s">
        <v>1507</v>
      </c>
      <c r="AY76" s="1" t="s">
        <v>1507</v>
      </c>
      <c r="AZ76" s="1" t="s">
        <v>1507</v>
      </c>
      <c r="BA76" s="1" t="s">
        <v>1507</v>
      </c>
      <c r="BB76" s="1" t="s">
        <v>1507</v>
      </c>
      <c r="BC76" s="1" t="s">
        <v>1507</v>
      </c>
      <c r="BD76" s="1" t="s">
        <v>1507</v>
      </c>
      <c r="BE76" s="1">
        <v>102645</v>
      </c>
      <c r="BF76" s="1" t="s">
        <v>1017</v>
      </c>
      <c r="BG76" s="1" t="str">
        <f>HYPERLINK("http://dx.doi.org/10.1016/j.system.2021.102645","http://dx.doi.org/10.1016/j.system.2021.102645")</f>
        <v>http://dx.doi.org/10.1016/j.system.2021.102645</v>
      </c>
      <c r="BH76" s="1" t="s">
        <v>1507</v>
      </c>
      <c r="BI76" s="1" t="s">
        <v>8170</v>
      </c>
      <c r="BJ76" s="1">
        <v>15</v>
      </c>
      <c r="BK76" s="1" t="s">
        <v>4526</v>
      </c>
      <c r="BL76" s="1" t="s">
        <v>1518</v>
      </c>
      <c r="BM76" s="1" t="s">
        <v>4526</v>
      </c>
      <c r="BN76" s="1" t="s">
        <v>8186</v>
      </c>
      <c r="BO76" s="1" t="s">
        <v>1507</v>
      </c>
      <c r="BP76" s="1" t="s">
        <v>4214</v>
      </c>
      <c r="BQ76" s="1" t="s">
        <v>1507</v>
      </c>
      <c r="BR76" s="1" t="s">
        <v>1507</v>
      </c>
      <c r="BS76" s="1" t="s">
        <v>13744</v>
      </c>
      <c r="BT76" s="1" t="s">
        <v>8187</v>
      </c>
      <c r="BU76" s="1" t="str">
        <f>HYPERLINK("https%3A%2F%2Fwww.webofscience.com%2Fwos%2Fwoscc%2Ffull-record%2FWOS:000697046100001","View Full Record in Web of Science")</f>
        <v>View Full Record in Web of Science</v>
      </c>
    </row>
    <row r="77" spans="1:73" x14ac:dyDescent="0.25">
      <c r="A77" s="1">
        <v>76</v>
      </c>
      <c r="B77" s="1" t="s">
        <v>11902</v>
      </c>
      <c r="C77" s="1" t="s">
        <v>11903</v>
      </c>
      <c r="D77" s="1" t="s">
        <v>1507</v>
      </c>
      <c r="E77" s="1" t="s">
        <v>11904</v>
      </c>
      <c r="F77" s="1" t="s">
        <v>1507</v>
      </c>
      <c r="G77" s="1" t="s">
        <v>11905</v>
      </c>
      <c r="H77" s="1" t="s">
        <v>1507</v>
      </c>
      <c r="I77" s="1" t="s">
        <v>1507</v>
      </c>
      <c r="J77" s="1" t="s">
        <v>11906</v>
      </c>
      <c r="K77" s="1" t="s">
        <v>11907</v>
      </c>
      <c r="L77" s="1" t="s">
        <v>11908</v>
      </c>
      <c r="M77" s="1" t="s">
        <v>1507</v>
      </c>
      <c r="N77" s="1" t="s">
        <v>42</v>
      </c>
      <c r="O77" s="1" t="s">
        <v>5888</v>
      </c>
      <c r="P77" s="1" t="s">
        <v>1507</v>
      </c>
      <c r="Q77" s="1" t="s">
        <v>1507</v>
      </c>
      <c r="R77" s="1" t="s">
        <v>1507</v>
      </c>
      <c r="S77" s="1" t="s">
        <v>1507</v>
      </c>
      <c r="T77" s="1" t="s">
        <v>1507</v>
      </c>
      <c r="U77" s="1" t="s">
        <v>1507</v>
      </c>
      <c r="V77" s="1" t="s">
        <v>1507</v>
      </c>
      <c r="W77" s="1" t="s">
        <v>1507</v>
      </c>
      <c r="X77" s="1" t="s">
        <v>11909</v>
      </c>
      <c r="Y77" s="1" t="s">
        <v>11910</v>
      </c>
      <c r="Z77" s="1" t="s">
        <v>11911</v>
      </c>
      <c r="AA77" s="1" t="s">
        <v>11912</v>
      </c>
      <c r="AB77" s="1" t="s">
        <v>11913</v>
      </c>
      <c r="AC77" s="1" t="s">
        <v>11914</v>
      </c>
      <c r="AD77" s="1" t="s">
        <v>1507</v>
      </c>
      <c r="AE77" s="1" t="s">
        <v>1507</v>
      </c>
      <c r="AF77" s="1" t="s">
        <v>1507</v>
      </c>
      <c r="AG77" s="1" t="s">
        <v>1507</v>
      </c>
      <c r="AH77" s="1">
        <v>20</v>
      </c>
      <c r="AI77" s="1">
        <v>2</v>
      </c>
      <c r="AJ77" s="1">
        <v>2</v>
      </c>
      <c r="AK77" s="1">
        <v>0</v>
      </c>
      <c r="AL77" s="1">
        <v>1</v>
      </c>
      <c r="AM77" s="1" t="s">
        <v>11915</v>
      </c>
      <c r="AN77" s="1" t="s">
        <v>1592</v>
      </c>
      <c r="AO77" s="1" t="s">
        <v>11916</v>
      </c>
      <c r="AP77" s="1" t="s">
        <v>11917</v>
      </c>
      <c r="AQ77" s="1" t="s">
        <v>1507</v>
      </c>
      <c r="AR77" s="1" t="s">
        <v>11918</v>
      </c>
      <c r="AS77" s="1" t="s">
        <v>11919</v>
      </c>
      <c r="AT77" s="1" t="s">
        <v>1507</v>
      </c>
      <c r="AU77" s="1" t="s">
        <v>1507</v>
      </c>
      <c r="AV77" s="1">
        <v>2018</v>
      </c>
      <c r="AW77" s="1" t="s">
        <v>1507</v>
      </c>
      <c r="AX77" s="1" t="s">
        <v>1507</v>
      </c>
      <c r="AY77" s="1" t="s">
        <v>1507</v>
      </c>
      <c r="AZ77" s="1" t="s">
        <v>1507</v>
      </c>
      <c r="BA77" s="1" t="s">
        <v>1507</v>
      </c>
      <c r="BB77" s="1" t="s">
        <v>1507</v>
      </c>
      <c r="BC77" s="1">
        <v>241</v>
      </c>
      <c r="BD77" s="1">
        <v>255</v>
      </c>
      <c r="BE77" s="1" t="s">
        <v>1507</v>
      </c>
      <c r="BF77" s="1" t="s">
        <v>11920</v>
      </c>
      <c r="BG77" s="1" t="str">
        <f>HYPERLINK("http://dx.doi.org/10.1007/978-3-319-70479-1_15","http://dx.doi.org/10.1007/978-3-319-70479-1_15")</f>
        <v>http://dx.doi.org/10.1007/978-3-319-70479-1_15</v>
      </c>
      <c r="BH77" s="1" t="s">
        <v>11921</v>
      </c>
      <c r="BI77" s="1" t="s">
        <v>1507</v>
      </c>
      <c r="BJ77" s="1">
        <v>15</v>
      </c>
      <c r="BK77" s="1" t="s">
        <v>11922</v>
      </c>
      <c r="BL77" s="1" t="s">
        <v>5899</v>
      </c>
      <c r="BM77" s="1" t="s">
        <v>11923</v>
      </c>
      <c r="BN77" s="1" t="s">
        <v>11924</v>
      </c>
      <c r="BO77" s="1" t="s">
        <v>1507</v>
      </c>
      <c r="BP77" s="1" t="s">
        <v>1507</v>
      </c>
      <c r="BQ77" s="1" t="s">
        <v>1507</v>
      </c>
      <c r="BR77" s="1" t="s">
        <v>1507</v>
      </c>
      <c r="BS77" s="1" t="s">
        <v>13744</v>
      </c>
      <c r="BT77" s="1" t="s">
        <v>11925</v>
      </c>
      <c r="BU77" s="1" t="str">
        <f>HYPERLINK("https%3A%2F%2Fwww.webofscience.com%2Fwos%2Fwoscc%2Ffull-record%2FWOS:000446842600016","View Full Record in Web of Science")</f>
        <v>View Full Record in Web of Science</v>
      </c>
    </row>
    <row r="78" spans="1:73" x14ac:dyDescent="0.25">
      <c r="A78" s="1">
        <v>77</v>
      </c>
      <c r="B78" s="1" t="s">
        <v>1506</v>
      </c>
      <c r="C78" s="1" t="s">
        <v>6695</v>
      </c>
      <c r="D78" s="1" t="s">
        <v>1507</v>
      </c>
      <c r="E78" s="1" t="s">
        <v>1507</v>
      </c>
      <c r="F78" s="1" t="s">
        <v>1507</v>
      </c>
      <c r="G78" s="1" t="s">
        <v>6696</v>
      </c>
      <c r="H78" s="1" t="s">
        <v>1507</v>
      </c>
      <c r="I78" s="1" t="s">
        <v>1507</v>
      </c>
      <c r="J78" s="1" t="s">
        <v>6697</v>
      </c>
      <c r="K78" s="1" t="s">
        <v>6698</v>
      </c>
      <c r="L78" s="1" t="s">
        <v>1507</v>
      </c>
      <c r="M78" s="1" t="s">
        <v>1507</v>
      </c>
      <c r="N78" s="1" t="s">
        <v>42</v>
      </c>
      <c r="O78" s="1" t="s">
        <v>56</v>
      </c>
      <c r="P78" s="1" t="s">
        <v>1507</v>
      </c>
      <c r="Q78" s="1" t="s">
        <v>1507</v>
      </c>
      <c r="R78" s="1" t="s">
        <v>1507</v>
      </c>
      <c r="S78" s="1" t="s">
        <v>1507</v>
      </c>
      <c r="T78" s="1" t="s">
        <v>1507</v>
      </c>
      <c r="U78" s="1" t="s">
        <v>6699</v>
      </c>
      <c r="V78" s="1" t="s">
        <v>6700</v>
      </c>
      <c r="W78" s="1" t="s">
        <v>6701</v>
      </c>
      <c r="X78" s="1" t="s">
        <v>6702</v>
      </c>
      <c r="Y78" s="1" t="s">
        <v>6703</v>
      </c>
      <c r="Z78" s="1" t="s">
        <v>6704</v>
      </c>
      <c r="AA78" s="1" t="s">
        <v>6705</v>
      </c>
      <c r="AB78" s="1" t="s">
        <v>1507</v>
      </c>
      <c r="AC78" s="1" t="s">
        <v>6706</v>
      </c>
      <c r="AD78" s="1" t="s">
        <v>6707</v>
      </c>
      <c r="AE78" s="1" t="s">
        <v>6708</v>
      </c>
      <c r="AF78" s="1" t="s">
        <v>6709</v>
      </c>
      <c r="AG78" s="1" t="s">
        <v>1507</v>
      </c>
      <c r="AH78" s="1">
        <v>66</v>
      </c>
      <c r="AI78" s="1">
        <v>2</v>
      </c>
      <c r="AJ78" s="1">
        <v>2</v>
      </c>
      <c r="AK78" s="1">
        <v>1</v>
      </c>
      <c r="AL78" s="1">
        <v>1</v>
      </c>
      <c r="AM78" s="1" t="s">
        <v>2053</v>
      </c>
      <c r="AN78" s="1" t="s">
        <v>1556</v>
      </c>
      <c r="AO78" s="1" t="s">
        <v>2054</v>
      </c>
      <c r="AP78" s="1" t="s">
        <v>6710</v>
      </c>
      <c r="AQ78" s="1" t="s">
        <v>6711</v>
      </c>
      <c r="AR78" s="1" t="s">
        <v>1507</v>
      </c>
      <c r="AS78" s="1" t="s">
        <v>6712</v>
      </c>
      <c r="AT78" s="1" t="s">
        <v>6713</v>
      </c>
      <c r="AU78" s="1" t="s">
        <v>6714</v>
      </c>
      <c r="AV78" s="1">
        <v>2022</v>
      </c>
      <c r="AW78" s="1">
        <v>50</v>
      </c>
      <c r="AX78" s="1">
        <v>1</v>
      </c>
      <c r="AY78" s="1" t="s">
        <v>1507</v>
      </c>
      <c r="AZ78" s="1" t="s">
        <v>1507</v>
      </c>
      <c r="BA78" s="1" t="s">
        <v>1507</v>
      </c>
      <c r="BB78" s="1" t="s">
        <v>1507</v>
      </c>
      <c r="BC78" s="1">
        <v>702</v>
      </c>
      <c r="BD78" s="1">
        <v>707</v>
      </c>
      <c r="BE78" s="1" t="s">
        <v>1507</v>
      </c>
      <c r="BF78" s="1" t="s">
        <v>6715</v>
      </c>
      <c r="BG78" s="1" t="str">
        <f>HYPERLINK("http://dx.doi.org/10.1080/09712119.2022.2147184","http://dx.doi.org/10.1080/09712119.2022.2147184")</f>
        <v>http://dx.doi.org/10.1080/09712119.2022.2147184</v>
      </c>
      <c r="BH78" s="1" t="s">
        <v>1507</v>
      </c>
      <c r="BI78" s="1" t="s">
        <v>1507</v>
      </c>
      <c r="BJ78" s="1">
        <v>6</v>
      </c>
      <c r="BK78" s="1" t="s">
        <v>6716</v>
      </c>
      <c r="BL78" s="1" t="s">
        <v>1573</v>
      </c>
      <c r="BM78" s="1" t="s">
        <v>6512</v>
      </c>
      <c r="BN78" s="1" t="s">
        <v>6717</v>
      </c>
      <c r="BO78" s="1" t="s">
        <v>1507</v>
      </c>
      <c r="BP78" s="1" t="s">
        <v>1531</v>
      </c>
      <c r="BQ78" s="1" t="s">
        <v>1507</v>
      </c>
      <c r="BR78" s="1" t="s">
        <v>1507</v>
      </c>
      <c r="BS78" s="1" t="s">
        <v>13744</v>
      </c>
      <c r="BT78" s="1" t="s">
        <v>6718</v>
      </c>
      <c r="BU78" s="1" t="str">
        <f>HYPERLINK("https%3A%2F%2Fwww.webofscience.com%2Fwos%2Fwoscc%2Ffull-record%2FWOS:000894206700001","View Full Record in Web of Science")</f>
        <v>View Full Record in Web of Science</v>
      </c>
    </row>
    <row r="79" spans="1:73" x14ac:dyDescent="0.25">
      <c r="A79" s="1">
        <v>78</v>
      </c>
      <c r="B79" s="1" t="s">
        <v>1506</v>
      </c>
      <c r="C79" s="1" t="s">
        <v>15887</v>
      </c>
      <c r="D79" s="1" t="s">
        <v>1507</v>
      </c>
      <c r="E79" s="1" t="s">
        <v>1507</v>
      </c>
      <c r="F79" s="1" t="s">
        <v>1507</v>
      </c>
      <c r="G79" s="1" t="s">
        <v>15888</v>
      </c>
      <c r="H79" s="1" t="s">
        <v>1507</v>
      </c>
      <c r="I79" s="1" t="s">
        <v>1507</v>
      </c>
      <c r="J79" s="1" t="s">
        <v>15889</v>
      </c>
      <c r="K79" s="1" t="s">
        <v>15876</v>
      </c>
      <c r="L79" s="1" t="s">
        <v>1507</v>
      </c>
      <c r="M79" s="1" t="s">
        <v>1507</v>
      </c>
      <c r="N79" s="1" t="s">
        <v>42</v>
      </c>
      <c r="O79" s="1" t="s">
        <v>1487</v>
      </c>
      <c r="P79" s="1" t="s">
        <v>15877</v>
      </c>
      <c r="Q79" s="1" t="s">
        <v>15878</v>
      </c>
      <c r="R79" s="1" t="s">
        <v>15267</v>
      </c>
      <c r="S79" s="1" t="s">
        <v>15879</v>
      </c>
      <c r="T79" s="1" t="s">
        <v>1507</v>
      </c>
      <c r="U79" s="1" t="s">
        <v>1507</v>
      </c>
      <c r="V79" s="1" t="s">
        <v>1507</v>
      </c>
      <c r="W79" s="1" t="s">
        <v>1507</v>
      </c>
      <c r="X79" s="1" t="s">
        <v>15890</v>
      </c>
      <c r="Y79" s="1" t="s">
        <v>1507</v>
      </c>
      <c r="Z79" s="1" t="s">
        <v>1507</v>
      </c>
      <c r="AA79" s="1" t="s">
        <v>1507</v>
      </c>
      <c r="AB79" s="1" t="s">
        <v>1507</v>
      </c>
      <c r="AC79" s="1" t="s">
        <v>1507</v>
      </c>
      <c r="AD79" s="1" t="s">
        <v>1507</v>
      </c>
      <c r="AE79" s="1" t="s">
        <v>1507</v>
      </c>
      <c r="AF79" s="1" t="s">
        <v>1507</v>
      </c>
      <c r="AG79" s="1" t="s">
        <v>1507</v>
      </c>
      <c r="AH79" s="1">
        <v>0</v>
      </c>
      <c r="AI79" s="1">
        <v>0</v>
      </c>
      <c r="AJ79" s="1">
        <v>0</v>
      </c>
      <c r="AK79" s="1">
        <v>0</v>
      </c>
      <c r="AL79" s="1">
        <v>0</v>
      </c>
      <c r="AM79" s="1" t="s">
        <v>1559</v>
      </c>
      <c r="AN79" s="1" t="s">
        <v>1560</v>
      </c>
      <c r="AO79" s="1" t="s">
        <v>1561</v>
      </c>
      <c r="AP79" s="1" t="s">
        <v>15881</v>
      </c>
      <c r="AQ79" s="1" t="s">
        <v>15882</v>
      </c>
      <c r="AR79" s="1" t="s">
        <v>1507</v>
      </c>
      <c r="AS79" s="1" t="s">
        <v>15883</v>
      </c>
      <c r="AT79" s="1" t="s">
        <v>15884</v>
      </c>
      <c r="AU79" s="1" t="s">
        <v>2889</v>
      </c>
      <c r="AV79" s="1">
        <v>2019</v>
      </c>
      <c r="AW79" s="1">
        <v>71</v>
      </c>
      <c r="AX79" s="1" t="s">
        <v>1507</v>
      </c>
      <c r="AY79" s="1" t="s">
        <v>1507</v>
      </c>
      <c r="AZ79" s="1">
        <v>10</v>
      </c>
      <c r="BA79" s="1" t="s">
        <v>1507</v>
      </c>
      <c r="BB79" s="1">
        <v>2266</v>
      </c>
      <c r="BC79" s="1" t="s">
        <v>1507</v>
      </c>
      <c r="BD79" s="1" t="s">
        <v>1507</v>
      </c>
      <c r="BE79" s="1" t="s">
        <v>1507</v>
      </c>
      <c r="BF79" s="1" t="s">
        <v>1507</v>
      </c>
      <c r="BG79" s="1" t="s">
        <v>1507</v>
      </c>
      <c r="BH79" s="1" t="s">
        <v>1507</v>
      </c>
      <c r="BI79" s="1" t="s">
        <v>1507</v>
      </c>
      <c r="BJ79" s="1">
        <v>2</v>
      </c>
      <c r="BK79" s="1" t="s">
        <v>4937</v>
      </c>
      <c r="BL79" s="1" t="s">
        <v>11691</v>
      </c>
      <c r="BM79" s="1" t="s">
        <v>4937</v>
      </c>
      <c r="BN79" s="1" t="s">
        <v>15885</v>
      </c>
      <c r="BO79" s="1" t="s">
        <v>1507</v>
      </c>
      <c r="BP79" s="1" t="s">
        <v>1507</v>
      </c>
      <c r="BQ79" s="1" t="s">
        <v>1507</v>
      </c>
      <c r="BR79" s="1" t="s">
        <v>1507</v>
      </c>
      <c r="BS79" s="1" t="s">
        <v>13744</v>
      </c>
      <c r="BT79" s="1" t="s">
        <v>15891</v>
      </c>
      <c r="BU79" s="1" t="str">
        <f>HYPERLINK("https%3A%2F%2Fwww.webofscience.com%2Fwos%2Fwoscc%2Ffull-record%2FWOS:000507466904030","View Full Record in Web of Science")</f>
        <v>View Full Record in Web of Science</v>
      </c>
    </row>
    <row r="80" spans="1:73" x14ac:dyDescent="0.25">
      <c r="A80" s="1">
        <v>79</v>
      </c>
      <c r="B80" s="1" t="s">
        <v>1506</v>
      </c>
      <c r="C80" s="1" t="s">
        <v>14655</v>
      </c>
      <c r="D80" s="1" t="s">
        <v>1507</v>
      </c>
      <c r="E80" s="1" t="s">
        <v>1507</v>
      </c>
      <c r="F80" s="1" t="s">
        <v>1507</v>
      </c>
      <c r="G80" s="1" t="s">
        <v>14656</v>
      </c>
      <c r="H80" s="1" t="s">
        <v>1507</v>
      </c>
      <c r="I80" s="1" t="s">
        <v>14657</v>
      </c>
      <c r="J80" s="1" t="s">
        <v>14658</v>
      </c>
      <c r="K80" s="1" t="s">
        <v>14659</v>
      </c>
      <c r="L80" s="1" t="s">
        <v>1507</v>
      </c>
      <c r="M80" s="1" t="s">
        <v>1507</v>
      </c>
      <c r="N80" s="1" t="s">
        <v>42</v>
      </c>
      <c r="O80" s="1" t="s">
        <v>13186</v>
      </c>
      <c r="P80" s="1" t="s">
        <v>1507</v>
      </c>
      <c r="Q80" s="1" t="s">
        <v>1507</v>
      </c>
      <c r="R80" s="1" t="s">
        <v>1507</v>
      </c>
      <c r="S80" s="1" t="s">
        <v>1507</v>
      </c>
      <c r="T80" s="1" t="s">
        <v>1507</v>
      </c>
      <c r="U80" s="1" t="s">
        <v>1507</v>
      </c>
      <c r="V80" s="1" t="s">
        <v>1507</v>
      </c>
      <c r="W80" s="1" t="s">
        <v>1507</v>
      </c>
      <c r="X80" s="1" t="s">
        <v>14660</v>
      </c>
      <c r="Y80" s="1" t="s">
        <v>14661</v>
      </c>
      <c r="Z80" s="1" t="s">
        <v>14662</v>
      </c>
      <c r="AA80" s="1" t="s">
        <v>14663</v>
      </c>
      <c r="AB80" s="1" t="s">
        <v>14664</v>
      </c>
      <c r="AC80" s="1" t="s">
        <v>14665</v>
      </c>
      <c r="AD80" s="1" t="s">
        <v>14666</v>
      </c>
      <c r="AE80" s="1" t="s">
        <v>14667</v>
      </c>
      <c r="AF80" s="1" t="s">
        <v>14668</v>
      </c>
      <c r="AG80" s="1" t="s">
        <v>1507</v>
      </c>
      <c r="AH80" s="1">
        <v>10</v>
      </c>
      <c r="AI80" s="1">
        <v>11</v>
      </c>
      <c r="AJ80" s="1">
        <v>11</v>
      </c>
      <c r="AK80" s="1">
        <v>7</v>
      </c>
      <c r="AL80" s="1">
        <v>12</v>
      </c>
      <c r="AM80" s="1" t="s">
        <v>1586</v>
      </c>
      <c r="AN80" s="1" t="s">
        <v>1583</v>
      </c>
      <c r="AO80" s="1" t="s">
        <v>3684</v>
      </c>
      <c r="AP80" s="1" t="s">
        <v>14669</v>
      </c>
      <c r="AQ80" s="1" t="s">
        <v>14670</v>
      </c>
      <c r="AR80" s="1" t="s">
        <v>1507</v>
      </c>
      <c r="AS80" s="1" t="s">
        <v>14671</v>
      </c>
      <c r="AT80" s="1" t="s">
        <v>14672</v>
      </c>
      <c r="AU80" s="1" t="s">
        <v>4556</v>
      </c>
      <c r="AV80" s="1">
        <v>2023</v>
      </c>
      <c r="AW80" s="1">
        <v>23</v>
      </c>
      <c r="AX80" s="1">
        <v>7</v>
      </c>
      <c r="AY80" s="1" t="s">
        <v>1507</v>
      </c>
      <c r="AZ80" s="1" t="s">
        <v>1507</v>
      </c>
      <c r="BA80" s="1" t="s">
        <v>1507</v>
      </c>
      <c r="BB80" s="1" t="s">
        <v>1507</v>
      </c>
      <c r="BC80" s="1">
        <v>781</v>
      </c>
      <c r="BD80" s="1">
        <v>781</v>
      </c>
      <c r="BE80" s="1" t="s">
        <v>1507</v>
      </c>
      <c r="BF80" s="1" t="s">
        <v>14673</v>
      </c>
      <c r="BG80" s="1" t="str">
        <f>HYPERLINK("http://dx.doi.org/10.1016/S1473-3099(23)00290-6","http://dx.doi.org/10.1016/S1473-3099(23)00290-6")</f>
        <v>http://dx.doi.org/10.1016/S1473-3099(23)00290-6</v>
      </c>
      <c r="BH80" s="1" t="s">
        <v>1507</v>
      </c>
      <c r="BI80" s="1" t="s">
        <v>4630</v>
      </c>
      <c r="BJ80" s="1">
        <v>1</v>
      </c>
      <c r="BK80" s="1" t="s">
        <v>4015</v>
      </c>
      <c r="BL80" s="1" t="s">
        <v>1573</v>
      </c>
      <c r="BM80" s="1" t="s">
        <v>4015</v>
      </c>
      <c r="BN80" s="1" t="s">
        <v>14674</v>
      </c>
      <c r="BO80" s="1">
        <v>37178707</v>
      </c>
      <c r="BP80" s="1" t="s">
        <v>3572</v>
      </c>
      <c r="BQ80" s="1" t="s">
        <v>1507</v>
      </c>
      <c r="BR80" s="1" t="s">
        <v>1507</v>
      </c>
      <c r="BS80" s="1" t="s">
        <v>13744</v>
      </c>
      <c r="BT80" s="1" t="s">
        <v>14675</v>
      </c>
      <c r="BU80" s="1" t="str">
        <f>HYPERLINK("https%3A%2F%2Fwww.webofscience.com%2Fwos%2Fwoscc%2Ffull-record%2FWOS:001032512000001","View Full Record in Web of Science")</f>
        <v>View Full Record in Web of Science</v>
      </c>
    </row>
    <row r="81" spans="1:73" x14ac:dyDescent="0.25">
      <c r="A81" s="1">
        <v>80</v>
      </c>
      <c r="B81" s="1" t="s">
        <v>1506</v>
      </c>
      <c r="C81" s="1" t="s">
        <v>4449</v>
      </c>
      <c r="D81" s="1" t="s">
        <v>1507</v>
      </c>
      <c r="E81" s="1" t="s">
        <v>1507</v>
      </c>
      <c r="F81" s="1" t="s">
        <v>1507</v>
      </c>
      <c r="G81" s="1" t="s">
        <v>4450</v>
      </c>
      <c r="H81" s="1" t="s">
        <v>1507</v>
      </c>
      <c r="I81" s="1" t="s">
        <v>1507</v>
      </c>
      <c r="J81" s="1" t="s">
        <v>4451</v>
      </c>
      <c r="K81" s="1" t="s">
        <v>4452</v>
      </c>
      <c r="L81" s="1" t="s">
        <v>1507</v>
      </c>
      <c r="M81" s="1" t="s">
        <v>1507</v>
      </c>
      <c r="N81" s="1" t="s">
        <v>42</v>
      </c>
      <c r="O81" s="1" t="s">
        <v>1509</v>
      </c>
      <c r="P81" s="1" t="s">
        <v>1507</v>
      </c>
      <c r="Q81" s="1" t="s">
        <v>1507</v>
      </c>
      <c r="R81" s="1" t="s">
        <v>1507</v>
      </c>
      <c r="S81" s="1" t="s">
        <v>1507</v>
      </c>
      <c r="T81" s="1" t="s">
        <v>1507</v>
      </c>
      <c r="U81" s="1" t="s">
        <v>4453</v>
      </c>
      <c r="V81" s="1" t="s">
        <v>4454</v>
      </c>
      <c r="W81" s="1" t="s">
        <v>4455</v>
      </c>
      <c r="X81" s="1" t="s">
        <v>4456</v>
      </c>
      <c r="Y81" s="1" t="s">
        <v>4457</v>
      </c>
      <c r="Z81" s="1" t="s">
        <v>4458</v>
      </c>
      <c r="AA81" s="1" t="s">
        <v>4459</v>
      </c>
      <c r="AB81" s="1" t="s">
        <v>1507</v>
      </c>
      <c r="AC81" s="1" t="s">
        <v>1507</v>
      </c>
      <c r="AD81" s="1" t="s">
        <v>4460</v>
      </c>
      <c r="AE81" s="1" t="s">
        <v>4461</v>
      </c>
      <c r="AF81" s="1" t="s">
        <v>4462</v>
      </c>
      <c r="AG81" s="1" t="s">
        <v>1507</v>
      </c>
      <c r="AH81" s="1">
        <v>51</v>
      </c>
      <c r="AI81" s="1">
        <v>1</v>
      </c>
      <c r="AJ81" s="1">
        <v>1</v>
      </c>
      <c r="AK81" s="1">
        <v>2</v>
      </c>
      <c r="AL81" s="1">
        <v>5</v>
      </c>
      <c r="AM81" s="1" t="s">
        <v>1511</v>
      </c>
      <c r="AN81" s="1" t="s">
        <v>1512</v>
      </c>
      <c r="AO81" s="1" t="s">
        <v>1513</v>
      </c>
      <c r="AP81" s="1" t="s">
        <v>4463</v>
      </c>
      <c r="AQ81" s="1" t="s">
        <v>1507</v>
      </c>
      <c r="AR81" s="1" t="s">
        <v>1507</v>
      </c>
      <c r="AS81" s="1" t="s">
        <v>4464</v>
      </c>
      <c r="AT81" s="1" t="s">
        <v>4465</v>
      </c>
      <c r="AU81" s="1" t="s">
        <v>4466</v>
      </c>
      <c r="AV81" s="1">
        <v>2023</v>
      </c>
      <c r="AW81" s="1" t="s">
        <v>1507</v>
      </c>
      <c r="AX81" s="1" t="s">
        <v>1507</v>
      </c>
      <c r="AY81" s="1" t="s">
        <v>1507</v>
      </c>
      <c r="AZ81" s="1" t="s">
        <v>1507</v>
      </c>
      <c r="BA81" s="1" t="s">
        <v>1507</v>
      </c>
      <c r="BB81" s="1" t="s">
        <v>1507</v>
      </c>
      <c r="BC81" s="1" t="s">
        <v>1507</v>
      </c>
      <c r="BD81" s="1" t="s">
        <v>1507</v>
      </c>
      <c r="BE81" s="1" t="s">
        <v>1507</v>
      </c>
      <c r="BF81" s="1" t="s">
        <v>4467</v>
      </c>
      <c r="BG81" s="1" t="str">
        <f>HYPERLINK("http://dx.doi.org/10.1007/s40858-023-00594-5","http://dx.doi.org/10.1007/s40858-023-00594-5")</f>
        <v>http://dx.doi.org/10.1007/s40858-023-00594-5</v>
      </c>
      <c r="BH81" s="1" t="s">
        <v>1507</v>
      </c>
      <c r="BI81" s="1" t="s">
        <v>4389</v>
      </c>
      <c r="BJ81" s="1">
        <v>16</v>
      </c>
      <c r="BK81" s="1" t="s">
        <v>2914</v>
      </c>
      <c r="BL81" s="1" t="s">
        <v>1573</v>
      </c>
      <c r="BM81" s="1" t="s">
        <v>2914</v>
      </c>
      <c r="BN81" s="1" t="s">
        <v>4468</v>
      </c>
      <c r="BO81" s="1" t="s">
        <v>1507</v>
      </c>
      <c r="BP81" s="1" t="s">
        <v>1507</v>
      </c>
      <c r="BQ81" s="1" t="s">
        <v>1507</v>
      </c>
      <c r="BR81" s="1" t="s">
        <v>1507</v>
      </c>
      <c r="BS81" s="1" t="s">
        <v>13744</v>
      </c>
      <c r="BT81" s="1" t="s">
        <v>4469</v>
      </c>
      <c r="BU81" s="1" t="str">
        <f>HYPERLINK("https%3A%2F%2Fwww.webofscience.com%2Fwos%2Fwoscc%2Ffull-record%2FWOS:001031413900002","View Full Record in Web of Science")</f>
        <v>View Full Record in Web of Science</v>
      </c>
    </row>
    <row r="82" spans="1:73" x14ac:dyDescent="0.25">
      <c r="A82" s="1">
        <v>81</v>
      </c>
      <c r="B82" s="1" t="s">
        <v>1506</v>
      </c>
      <c r="C82" s="1" t="s">
        <v>14746</v>
      </c>
      <c r="D82" s="1" t="s">
        <v>1507</v>
      </c>
      <c r="E82" s="1" t="s">
        <v>1507</v>
      </c>
      <c r="F82" s="1" t="s">
        <v>1507</v>
      </c>
      <c r="G82" s="1" t="s">
        <v>14747</v>
      </c>
      <c r="H82" s="1" t="s">
        <v>1507</v>
      </c>
      <c r="I82" s="1" t="s">
        <v>1507</v>
      </c>
      <c r="J82" s="1" t="s">
        <v>14748</v>
      </c>
      <c r="K82" s="1" t="s">
        <v>14749</v>
      </c>
      <c r="L82" s="1" t="s">
        <v>1507</v>
      </c>
      <c r="M82" s="1" t="s">
        <v>1507</v>
      </c>
      <c r="N82" s="1" t="s">
        <v>42</v>
      </c>
      <c r="O82" s="1" t="s">
        <v>1487</v>
      </c>
      <c r="P82" s="1" t="s">
        <v>1507</v>
      </c>
      <c r="Q82" s="1" t="s">
        <v>1507</v>
      </c>
      <c r="R82" s="1" t="s">
        <v>1507</v>
      </c>
      <c r="S82" s="1" t="s">
        <v>1507</v>
      </c>
      <c r="T82" s="1" t="s">
        <v>1507</v>
      </c>
      <c r="U82" s="1" t="s">
        <v>1507</v>
      </c>
      <c r="V82" s="1" t="s">
        <v>1507</v>
      </c>
      <c r="W82" s="1" t="s">
        <v>1507</v>
      </c>
      <c r="X82" s="1" t="s">
        <v>14750</v>
      </c>
      <c r="Y82" s="1" t="s">
        <v>4861</v>
      </c>
      <c r="Z82" s="1" t="s">
        <v>1507</v>
      </c>
      <c r="AA82" s="1" t="s">
        <v>1507</v>
      </c>
      <c r="AB82" s="1" t="s">
        <v>1507</v>
      </c>
      <c r="AC82" s="1" t="s">
        <v>1507</v>
      </c>
      <c r="AD82" s="1" t="s">
        <v>4861</v>
      </c>
      <c r="AE82" s="1" t="s">
        <v>4861</v>
      </c>
      <c r="AF82" s="1" t="s">
        <v>14751</v>
      </c>
      <c r="AG82" s="1" t="s">
        <v>1507</v>
      </c>
      <c r="AH82" s="1">
        <v>0</v>
      </c>
      <c r="AI82" s="1">
        <v>0</v>
      </c>
      <c r="AJ82" s="1">
        <v>0</v>
      </c>
      <c r="AK82" s="1">
        <v>0</v>
      </c>
      <c r="AL82" s="1">
        <v>0</v>
      </c>
      <c r="AM82" s="1" t="s">
        <v>4267</v>
      </c>
      <c r="AN82" s="1" t="s">
        <v>4268</v>
      </c>
      <c r="AO82" s="1" t="s">
        <v>4269</v>
      </c>
      <c r="AP82" s="1" t="s">
        <v>14752</v>
      </c>
      <c r="AQ82" s="1" t="s">
        <v>14753</v>
      </c>
      <c r="AR82" s="1" t="s">
        <v>1507</v>
      </c>
      <c r="AS82" s="1" t="s">
        <v>14754</v>
      </c>
      <c r="AT82" s="1" t="s">
        <v>14755</v>
      </c>
      <c r="AU82" s="1" t="s">
        <v>5045</v>
      </c>
      <c r="AV82" s="1">
        <v>2023</v>
      </c>
      <c r="AW82" s="1">
        <v>45</v>
      </c>
      <c r="AX82" s="1" t="s">
        <v>1507</v>
      </c>
      <c r="AY82" s="1" t="s">
        <v>1507</v>
      </c>
      <c r="AZ82" s="1">
        <v>1</v>
      </c>
      <c r="BA82" s="1" t="s">
        <v>1507</v>
      </c>
      <c r="BB82" s="1" t="s">
        <v>1507</v>
      </c>
      <c r="BC82" s="1" t="s">
        <v>14756</v>
      </c>
      <c r="BD82" s="1" t="s">
        <v>14757</v>
      </c>
      <c r="BE82" s="1" t="s">
        <v>1507</v>
      </c>
      <c r="BF82" s="1" t="s">
        <v>1507</v>
      </c>
      <c r="BG82" s="1" t="s">
        <v>1507</v>
      </c>
      <c r="BH82" s="1" t="s">
        <v>1507</v>
      </c>
      <c r="BI82" s="1" t="s">
        <v>1507</v>
      </c>
      <c r="BJ82" s="1">
        <v>2</v>
      </c>
      <c r="BK82" s="1" t="s">
        <v>14758</v>
      </c>
      <c r="BL82" s="1" t="s">
        <v>1598</v>
      </c>
      <c r="BM82" s="1" t="s">
        <v>14759</v>
      </c>
      <c r="BN82" s="1" t="s">
        <v>14760</v>
      </c>
      <c r="BO82" s="1" t="s">
        <v>1507</v>
      </c>
      <c r="BP82" s="1" t="s">
        <v>1507</v>
      </c>
      <c r="BQ82" s="1" t="s">
        <v>1507</v>
      </c>
      <c r="BR82" s="1" t="s">
        <v>1507</v>
      </c>
      <c r="BS82" s="1" t="s">
        <v>13744</v>
      </c>
      <c r="BT82" s="1" t="s">
        <v>14761</v>
      </c>
      <c r="BU82" s="1" t="str">
        <f>HYPERLINK("https%3A%2F%2Fwww.webofscience.com%2Fwos%2Fwoscc%2Ffull-record%2FWOS:000993921600220","View Full Record in Web of Science")</f>
        <v>View Full Record in Web of Science</v>
      </c>
    </row>
    <row r="83" spans="1:73" x14ac:dyDescent="0.25">
      <c r="A83" s="1">
        <v>82</v>
      </c>
      <c r="B83" s="1" t="s">
        <v>1506</v>
      </c>
      <c r="C83" s="1" t="s">
        <v>15979</v>
      </c>
      <c r="D83" s="1" t="s">
        <v>1507</v>
      </c>
      <c r="E83" s="1" t="s">
        <v>1507</v>
      </c>
      <c r="F83" s="1" t="s">
        <v>1507</v>
      </c>
      <c r="G83" s="1" t="s">
        <v>15980</v>
      </c>
      <c r="H83" s="1" t="s">
        <v>1507</v>
      </c>
      <c r="I83" s="1" t="s">
        <v>1507</v>
      </c>
      <c r="J83" s="1" t="s">
        <v>15981</v>
      </c>
      <c r="K83" s="1" t="s">
        <v>15982</v>
      </c>
      <c r="L83" s="1" t="s">
        <v>1507</v>
      </c>
      <c r="M83" s="1" t="s">
        <v>1507</v>
      </c>
      <c r="N83" s="1" t="s">
        <v>42</v>
      </c>
      <c r="O83" s="1" t="s">
        <v>12366</v>
      </c>
      <c r="P83" s="1" t="s">
        <v>1507</v>
      </c>
      <c r="Q83" s="1" t="s">
        <v>1507</v>
      </c>
      <c r="R83" s="1" t="s">
        <v>1507</v>
      </c>
      <c r="S83" s="1" t="s">
        <v>1507</v>
      </c>
      <c r="T83" s="1" t="s">
        <v>1507</v>
      </c>
      <c r="U83" s="1" t="s">
        <v>15983</v>
      </c>
      <c r="V83" s="1" t="s">
        <v>15984</v>
      </c>
      <c r="W83" s="1" t="s">
        <v>15985</v>
      </c>
      <c r="X83" s="1" t="s">
        <v>15986</v>
      </c>
      <c r="Y83" s="1" t="s">
        <v>15987</v>
      </c>
      <c r="Z83" s="1" t="s">
        <v>15988</v>
      </c>
      <c r="AA83" s="1" t="s">
        <v>15989</v>
      </c>
      <c r="AB83" s="1" t="s">
        <v>15990</v>
      </c>
      <c r="AC83" s="1" t="s">
        <v>15991</v>
      </c>
      <c r="AD83" s="1" t="s">
        <v>15992</v>
      </c>
      <c r="AE83" s="1" t="s">
        <v>15993</v>
      </c>
      <c r="AF83" s="1" t="s">
        <v>15994</v>
      </c>
      <c r="AG83" s="1" t="s">
        <v>1507</v>
      </c>
      <c r="AH83" s="1">
        <v>93</v>
      </c>
      <c r="AI83" s="1">
        <v>95</v>
      </c>
      <c r="AJ83" s="1">
        <v>109</v>
      </c>
      <c r="AK83" s="1">
        <v>8</v>
      </c>
      <c r="AL83" s="1">
        <v>46</v>
      </c>
      <c r="AM83" s="1" t="s">
        <v>1564</v>
      </c>
      <c r="AN83" s="1" t="s">
        <v>1565</v>
      </c>
      <c r="AO83" s="1" t="s">
        <v>1566</v>
      </c>
      <c r="AP83" s="1" t="s">
        <v>15995</v>
      </c>
      <c r="AQ83" s="1" t="s">
        <v>1507</v>
      </c>
      <c r="AR83" s="1" t="s">
        <v>1507</v>
      </c>
      <c r="AS83" s="1" t="s">
        <v>15996</v>
      </c>
      <c r="AT83" s="1" t="s">
        <v>15997</v>
      </c>
      <c r="AU83" s="1" t="s">
        <v>15998</v>
      </c>
      <c r="AV83" s="1">
        <v>2018</v>
      </c>
      <c r="AW83" s="1">
        <v>9</v>
      </c>
      <c r="AX83" s="1" t="s">
        <v>1507</v>
      </c>
      <c r="AY83" s="1" t="s">
        <v>1507</v>
      </c>
      <c r="AZ83" s="1" t="s">
        <v>1507</v>
      </c>
      <c r="BA83" s="1" t="s">
        <v>1507</v>
      </c>
      <c r="BB83" s="1" t="s">
        <v>1507</v>
      </c>
      <c r="BC83" s="1" t="s">
        <v>1507</v>
      </c>
      <c r="BD83" s="1" t="s">
        <v>1507</v>
      </c>
      <c r="BE83" s="1">
        <v>329</v>
      </c>
      <c r="BF83" s="1" t="s">
        <v>15999</v>
      </c>
      <c r="BG83" s="1" t="str">
        <f>HYPERLINK("http://dx.doi.org/10.3389/fpsyt.2018.00329","http://dx.doi.org/10.3389/fpsyt.2018.00329")</f>
        <v>http://dx.doi.org/10.3389/fpsyt.2018.00329</v>
      </c>
      <c r="BH83" s="1" t="s">
        <v>1507</v>
      </c>
      <c r="BI83" s="1" t="s">
        <v>1507</v>
      </c>
      <c r="BJ83" s="1">
        <v>17</v>
      </c>
      <c r="BK83" s="1" t="s">
        <v>2977</v>
      </c>
      <c r="BL83" s="1" t="s">
        <v>1598</v>
      </c>
      <c r="BM83" s="1" t="s">
        <v>2977</v>
      </c>
      <c r="BN83" s="1" t="s">
        <v>16000</v>
      </c>
      <c r="BO83" s="1">
        <v>30123142</v>
      </c>
      <c r="BP83" s="1" t="s">
        <v>1674</v>
      </c>
      <c r="BQ83" s="1" t="s">
        <v>1507</v>
      </c>
      <c r="BR83" s="1" t="s">
        <v>1507</v>
      </c>
      <c r="BS83" s="1" t="s">
        <v>13744</v>
      </c>
      <c r="BT83" s="1" t="s">
        <v>16001</v>
      </c>
      <c r="BU83" s="1" t="str">
        <f>HYPERLINK("https%3A%2F%2Fwww.webofscience.com%2Fwos%2Fwoscc%2Ffull-record%2FWOS:000440708900001","View Full Record in Web of Science")</f>
        <v>View Full Record in Web of Science</v>
      </c>
    </row>
    <row r="84" spans="1:73" x14ac:dyDescent="0.25">
      <c r="A84" s="1">
        <v>83</v>
      </c>
      <c r="B84" s="1" t="s">
        <v>1506</v>
      </c>
      <c r="C84" s="1" t="s">
        <v>8771</v>
      </c>
      <c r="D84" s="1" t="s">
        <v>1507</v>
      </c>
      <c r="E84" s="1" t="s">
        <v>1507</v>
      </c>
      <c r="F84" s="1" t="s">
        <v>1507</v>
      </c>
      <c r="G84" s="1" t="s">
        <v>8772</v>
      </c>
      <c r="H84" s="1" t="s">
        <v>1507</v>
      </c>
      <c r="I84" s="1" t="s">
        <v>1507</v>
      </c>
      <c r="J84" s="1" t="s">
        <v>8773</v>
      </c>
      <c r="K84" s="1" t="s">
        <v>8774</v>
      </c>
      <c r="L84" s="1" t="s">
        <v>1507</v>
      </c>
      <c r="M84" s="1" t="s">
        <v>1507</v>
      </c>
      <c r="N84" s="1" t="s">
        <v>42</v>
      </c>
      <c r="O84" s="1" t="s">
        <v>56</v>
      </c>
      <c r="P84" s="1" t="s">
        <v>1507</v>
      </c>
      <c r="Q84" s="1" t="s">
        <v>1507</v>
      </c>
      <c r="R84" s="1" t="s">
        <v>1507</v>
      </c>
      <c r="S84" s="1" t="s">
        <v>1507</v>
      </c>
      <c r="T84" s="1" t="s">
        <v>1507</v>
      </c>
      <c r="U84" s="1" t="s">
        <v>1507</v>
      </c>
      <c r="V84" s="1" t="s">
        <v>8775</v>
      </c>
      <c r="W84" s="1" t="s">
        <v>8776</v>
      </c>
      <c r="X84" s="1" t="s">
        <v>8777</v>
      </c>
      <c r="Y84" s="1" t="s">
        <v>8778</v>
      </c>
      <c r="Z84" s="1" t="s">
        <v>8779</v>
      </c>
      <c r="AA84" s="1" t="s">
        <v>1507</v>
      </c>
      <c r="AB84" s="1" t="s">
        <v>8780</v>
      </c>
      <c r="AC84" s="1" t="s">
        <v>8781</v>
      </c>
      <c r="AD84" s="1" t="s">
        <v>8782</v>
      </c>
      <c r="AE84" s="1" t="s">
        <v>8783</v>
      </c>
      <c r="AF84" s="1" t="s">
        <v>8784</v>
      </c>
      <c r="AG84" s="1" t="s">
        <v>1507</v>
      </c>
      <c r="AH84" s="1">
        <v>360</v>
      </c>
      <c r="AI84" s="1">
        <v>4</v>
      </c>
      <c r="AJ84" s="1">
        <v>4</v>
      </c>
      <c r="AK84" s="1">
        <v>0</v>
      </c>
      <c r="AL84" s="1">
        <v>8</v>
      </c>
      <c r="AM84" s="1" t="s">
        <v>8785</v>
      </c>
      <c r="AN84" s="1" t="s">
        <v>2010</v>
      </c>
      <c r="AO84" s="1" t="s">
        <v>8786</v>
      </c>
      <c r="AP84" s="1" t="s">
        <v>8787</v>
      </c>
      <c r="AQ84" s="1" t="s">
        <v>1507</v>
      </c>
      <c r="AR84" s="1" t="s">
        <v>1507</v>
      </c>
      <c r="AS84" s="1" t="s">
        <v>8788</v>
      </c>
      <c r="AT84" s="1" t="s">
        <v>8789</v>
      </c>
      <c r="AU84" s="1" t="s">
        <v>8790</v>
      </c>
      <c r="AV84" s="1">
        <v>2021</v>
      </c>
      <c r="AW84" s="1">
        <v>72</v>
      </c>
      <c r="AX84" s="1">
        <v>4</v>
      </c>
      <c r="AY84" s="1" t="s">
        <v>1507</v>
      </c>
      <c r="AZ84" s="1" t="s">
        <v>1507</v>
      </c>
      <c r="BA84" s="1" t="s">
        <v>1507</v>
      </c>
      <c r="BB84" s="1" t="s">
        <v>1507</v>
      </c>
      <c r="BC84" s="1">
        <v>999</v>
      </c>
      <c r="BD84" s="1">
        <v>1053</v>
      </c>
      <c r="BE84" s="1" t="s">
        <v>1507</v>
      </c>
      <c r="BF84" s="1" t="s">
        <v>1507</v>
      </c>
      <c r="BG84" s="1" t="s">
        <v>1507</v>
      </c>
      <c r="BH84" s="1" t="s">
        <v>1507</v>
      </c>
      <c r="BI84" s="1" t="s">
        <v>1507</v>
      </c>
      <c r="BJ84" s="1">
        <v>55</v>
      </c>
      <c r="BK84" s="1" t="s">
        <v>1535</v>
      </c>
      <c r="BL84" s="1" t="s">
        <v>1518</v>
      </c>
      <c r="BM84" s="1" t="s">
        <v>1536</v>
      </c>
      <c r="BN84" s="1" t="s">
        <v>8791</v>
      </c>
      <c r="BO84" s="1" t="s">
        <v>1507</v>
      </c>
      <c r="BP84" s="1" t="s">
        <v>1507</v>
      </c>
      <c r="BQ84" s="1" t="s">
        <v>1507</v>
      </c>
      <c r="BR84" s="1" t="s">
        <v>1507</v>
      </c>
      <c r="BS84" s="1" t="s">
        <v>13744</v>
      </c>
      <c r="BT84" s="1" t="s">
        <v>8792</v>
      </c>
      <c r="BU84" s="1" t="str">
        <f>HYPERLINK("https%3A%2F%2Fwww.webofscience.com%2Fwos%2Fwoscc%2Ffull-record%2FWOS:000641588600001","View Full Record in Web of Science")</f>
        <v>View Full Record in Web of Science</v>
      </c>
    </row>
    <row r="85" spans="1:73" x14ac:dyDescent="0.25">
      <c r="A85" s="1">
        <v>84</v>
      </c>
      <c r="B85" s="1" t="s">
        <v>5546</v>
      </c>
      <c r="C85" s="1" t="s">
        <v>14868</v>
      </c>
      <c r="D85" s="1" t="s">
        <v>1507</v>
      </c>
      <c r="E85" s="1" t="s">
        <v>1507</v>
      </c>
      <c r="F85" s="1" t="s">
        <v>5628</v>
      </c>
      <c r="G85" s="1" t="s">
        <v>14869</v>
      </c>
      <c r="H85" s="1" t="s">
        <v>1507</v>
      </c>
      <c r="I85" s="1" t="s">
        <v>1507</v>
      </c>
      <c r="J85" s="1" t="s">
        <v>14870</v>
      </c>
      <c r="K85" s="1" t="s">
        <v>14871</v>
      </c>
      <c r="L85" s="1" t="s">
        <v>1507</v>
      </c>
      <c r="M85" s="1" t="s">
        <v>1507</v>
      </c>
      <c r="N85" s="1" t="s">
        <v>42</v>
      </c>
      <c r="O85" s="1" t="s">
        <v>5552</v>
      </c>
      <c r="P85" s="1" t="s">
        <v>14872</v>
      </c>
      <c r="Q85" s="1" t="s">
        <v>14873</v>
      </c>
      <c r="R85" s="1" t="s">
        <v>14874</v>
      </c>
      <c r="S85" s="1" t="s">
        <v>5628</v>
      </c>
      <c r="T85" s="1" t="s">
        <v>1507</v>
      </c>
      <c r="U85" s="1" t="s">
        <v>1507</v>
      </c>
      <c r="V85" s="1" t="s">
        <v>1507</v>
      </c>
      <c r="W85" s="1" t="s">
        <v>14875</v>
      </c>
      <c r="X85" s="1" t="s">
        <v>14876</v>
      </c>
      <c r="Y85" s="1" t="s">
        <v>14877</v>
      </c>
      <c r="Z85" s="1" t="s">
        <v>14878</v>
      </c>
      <c r="AA85" s="1" t="s">
        <v>1507</v>
      </c>
      <c r="AB85" s="1" t="s">
        <v>1507</v>
      </c>
      <c r="AC85" s="1" t="s">
        <v>1507</v>
      </c>
      <c r="AD85" s="1" t="s">
        <v>14879</v>
      </c>
      <c r="AE85" s="1" t="s">
        <v>14880</v>
      </c>
      <c r="AF85" s="1" t="s">
        <v>14881</v>
      </c>
      <c r="AG85" s="1" t="s">
        <v>1507</v>
      </c>
      <c r="AH85" s="1">
        <v>39</v>
      </c>
      <c r="AI85" s="1">
        <v>1</v>
      </c>
      <c r="AJ85" s="1">
        <v>1</v>
      </c>
      <c r="AK85" s="1">
        <v>0</v>
      </c>
      <c r="AL85" s="1">
        <v>0</v>
      </c>
      <c r="AM85" s="1" t="s">
        <v>5628</v>
      </c>
      <c r="AN85" s="1" t="s">
        <v>1512</v>
      </c>
      <c r="AO85" s="1" t="s">
        <v>6457</v>
      </c>
      <c r="AP85" s="1" t="s">
        <v>1507</v>
      </c>
      <c r="AQ85" s="1" t="s">
        <v>1507</v>
      </c>
      <c r="AR85" s="1" t="s">
        <v>14882</v>
      </c>
      <c r="AS85" s="1" t="s">
        <v>1507</v>
      </c>
      <c r="AT85" s="1" t="s">
        <v>1507</v>
      </c>
      <c r="AU85" s="1" t="s">
        <v>1507</v>
      </c>
      <c r="AV85" s="1">
        <v>2023</v>
      </c>
      <c r="AW85" s="1" t="s">
        <v>1507</v>
      </c>
      <c r="AX85" s="1" t="s">
        <v>1507</v>
      </c>
      <c r="AY85" s="1" t="s">
        <v>1507</v>
      </c>
      <c r="AZ85" s="1" t="s">
        <v>1507</v>
      </c>
      <c r="BA85" s="1" t="s">
        <v>1507</v>
      </c>
      <c r="BB85" s="1" t="s">
        <v>1507</v>
      </c>
      <c r="BC85" s="1">
        <v>396</v>
      </c>
      <c r="BD85" s="1">
        <v>402</v>
      </c>
      <c r="BE85" s="1" t="s">
        <v>1507</v>
      </c>
      <c r="BF85" s="1" t="s">
        <v>14883</v>
      </c>
      <c r="BG85" s="1" t="str">
        <f>HYPERLINK("http://dx.doi.org/10.1109/ICDL55364.2023.10364374","http://dx.doi.org/10.1109/ICDL55364.2023.10364374")</f>
        <v>http://dx.doi.org/10.1109/ICDL55364.2023.10364374</v>
      </c>
      <c r="BH85" s="1" t="s">
        <v>1507</v>
      </c>
      <c r="BI85" s="1" t="s">
        <v>1507</v>
      </c>
      <c r="BJ85" s="1">
        <v>7</v>
      </c>
      <c r="BK85" s="1" t="s">
        <v>14884</v>
      </c>
      <c r="BL85" s="1" t="s">
        <v>5570</v>
      </c>
      <c r="BM85" s="1" t="s">
        <v>14885</v>
      </c>
      <c r="BN85" s="1" t="s">
        <v>14886</v>
      </c>
      <c r="BO85" s="1" t="s">
        <v>1507</v>
      </c>
      <c r="BP85" s="1" t="s">
        <v>1600</v>
      </c>
      <c r="BQ85" s="1" t="s">
        <v>1507</v>
      </c>
      <c r="BR85" s="1" t="s">
        <v>1507</v>
      </c>
      <c r="BS85" s="1" t="s">
        <v>13744</v>
      </c>
      <c r="BT85" s="1" t="s">
        <v>14887</v>
      </c>
      <c r="BU85" s="1" t="str">
        <f>HYPERLINK("https%3A%2F%2Fwww.webofscience.com%2Fwos%2Fwoscc%2Ffull-record%2FWOS:001172928700062","View Full Record in Web of Science")</f>
        <v>View Full Record in Web of Science</v>
      </c>
    </row>
    <row r="86" spans="1:73" x14ac:dyDescent="0.25">
      <c r="A86" s="1">
        <v>85</v>
      </c>
      <c r="B86" s="1" t="s">
        <v>1506</v>
      </c>
      <c r="C86" s="1" t="s">
        <v>11591</v>
      </c>
      <c r="D86" s="1" t="s">
        <v>1507</v>
      </c>
      <c r="E86" s="1" t="s">
        <v>1507</v>
      </c>
      <c r="F86" s="1" t="s">
        <v>1507</v>
      </c>
      <c r="G86" s="1" t="s">
        <v>11592</v>
      </c>
      <c r="H86" s="1" t="s">
        <v>1507</v>
      </c>
      <c r="I86" s="1" t="s">
        <v>1507</v>
      </c>
      <c r="J86" s="1" t="s">
        <v>11593</v>
      </c>
      <c r="K86" s="1" t="s">
        <v>7674</v>
      </c>
      <c r="L86" s="1" t="s">
        <v>1507</v>
      </c>
      <c r="M86" s="1" t="s">
        <v>1507</v>
      </c>
      <c r="N86" s="1" t="s">
        <v>42</v>
      </c>
      <c r="O86" s="1" t="s">
        <v>56</v>
      </c>
      <c r="P86" s="1" t="s">
        <v>1507</v>
      </c>
      <c r="Q86" s="1" t="s">
        <v>1507</v>
      </c>
      <c r="R86" s="1" t="s">
        <v>1507</v>
      </c>
      <c r="S86" s="1" t="s">
        <v>1507</v>
      </c>
      <c r="T86" s="1" t="s">
        <v>1507</v>
      </c>
      <c r="U86" s="1" t="s">
        <v>1507</v>
      </c>
      <c r="V86" s="1" t="s">
        <v>11594</v>
      </c>
      <c r="W86" s="1" t="s">
        <v>11595</v>
      </c>
      <c r="X86" s="1" t="s">
        <v>11596</v>
      </c>
      <c r="Y86" s="1" t="s">
        <v>11597</v>
      </c>
      <c r="Z86" s="1" t="s">
        <v>11598</v>
      </c>
      <c r="AA86" s="1" t="s">
        <v>11599</v>
      </c>
      <c r="AB86" s="1" t="s">
        <v>15977</v>
      </c>
      <c r="AC86" s="1" t="s">
        <v>15978</v>
      </c>
      <c r="AD86" s="1" t="s">
        <v>11600</v>
      </c>
      <c r="AE86" s="1" t="s">
        <v>11601</v>
      </c>
      <c r="AF86" s="1" t="s">
        <v>11602</v>
      </c>
      <c r="AG86" s="1" t="s">
        <v>1507</v>
      </c>
      <c r="AH86" s="1">
        <v>76</v>
      </c>
      <c r="AI86" s="1">
        <v>29</v>
      </c>
      <c r="AJ86" s="1">
        <v>31</v>
      </c>
      <c r="AK86" s="1">
        <v>0</v>
      </c>
      <c r="AL86" s="1">
        <v>1</v>
      </c>
      <c r="AM86" s="1" t="s">
        <v>2009</v>
      </c>
      <c r="AN86" s="1" t="s">
        <v>2010</v>
      </c>
      <c r="AO86" s="1" t="s">
        <v>2011</v>
      </c>
      <c r="AP86" s="1" t="s">
        <v>7685</v>
      </c>
      <c r="AQ86" s="1" t="s">
        <v>1507</v>
      </c>
      <c r="AR86" s="1" t="s">
        <v>1507</v>
      </c>
      <c r="AS86" s="1" t="s">
        <v>7686</v>
      </c>
      <c r="AT86" s="1" t="s">
        <v>7687</v>
      </c>
      <c r="AU86" s="1" t="s">
        <v>3992</v>
      </c>
      <c r="AV86" s="1">
        <v>2018</v>
      </c>
      <c r="AW86" s="1">
        <v>16</v>
      </c>
      <c r="AX86" s="1">
        <v>9</v>
      </c>
      <c r="AY86" s="1" t="s">
        <v>1507</v>
      </c>
      <c r="AZ86" s="1" t="s">
        <v>1507</v>
      </c>
      <c r="BA86" s="1" t="s">
        <v>1507</v>
      </c>
      <c r="BB86" s="1" t="s">
        <v>1507</v>
      </c>
      <c r="BC86" s="1" t="s">
        <v>1507</v>
      </c>
      <c r="BD86" s="1" t="s">
        <v>1507</v>
      </c>
      <c r="BE86" s="1" t="s">
        <v>11603</v>
      </c>
      <c r="BF86" s="1" t="s">
        <v>11604</v>
      </c>
      <c r="BG86" s="1" t="str">
        <f>HYPERLINK("http://dx.doi.org/10.1371/journal.pbio.2005513","http://dx.doi.org/10.1371/journal.pbio.2005513")</f>
        <v>http://dx.doi.org/10.1371/journal.pbio.2005513</v>
      </c>
      <c r="BH86" s="1" t="s">
        <v>1507</v>
      </c>
      <c r="BI86" s="1" t="s">
        <v>1507</v>
      </c>
      <c r="BJ86" s="1">
        <v>38</v>
      </c>
      <c r="BK86" s="1" t="s">
        <v>7690</v>
      </c>
      <c r="BL86" s="1" t="s">
        <v>1573</v>
      </c>
      <c r="BM86" s="1" t="s">
        <v>7691</v>
      </c>
      <c r="BN86" s="1" t="s">
        <v>11605</v>
      </c>
      <c r="BO86" s="1">
        <v>30260948</v>
      </c>
      <c r="BP86" s="1" t="s">
        <v>4312</v>
      </c>
      <c r="BQ86" s="1" t="s">
        <v>1507</v>
      </c>
      <c r="BR86" s="1" t="s">
        <v>1507</v>
      </c>
      <c r="BS86" s="1" t="s">
        <v>13744</v>
      </c>
      <c r="BT86" s="1" t="s">
        <v>11606</v>
      </c>
      <c r="BU86" s="1" t="str">
        <f>HYPERLINK("https%3A%2F%2Fwww.webofscience.com%2Fwos%2Fwoscc%2Ffull-record%2FWOS:000446154800008","View Full Record in Web of Science")</f>
        <v>View Full Record in Web of Science</v>
      </c>
    </row>
    <row r="87" spans="1:73" x14ac:dyDescent="0.25">
      <c r="A87" s="1">
        <v>86</v>
      </c>
      <c r="B87" s="1" t="s">
        <v>1506</v>
      </c>
      <c r="C87" s="1" t="s">
        <v>15692</v>
      </c>
      <c r="D87" s="1" t="s">
        <v>1507</v>
      </c>
      <c r="E87" s="1" t="s">
        <v>1507</v>
      </c>
      <c r="F87" s="1" t="s">
        <v>1507</v>
      </c>
      <c r="G87" s="1" t="s">
        <v>15693</v>
      </c>
      <c r="H87" s="1" t="s">
        <v>1507</v>
      </c>
      <c r="I87" s="1" t="s">
        <v>1507</v>
      </c>
      <c r="J87" s="1" t="s">
        <v>15694</v>
      </c>
      <c r="K87" s="1" t="s">
        <v>5244</v>
      </c>
      <c r="L87" s="1" t="s">
        <v>1507</v>
      </c>
      <c r="M87" s="1" t="s">
        <v>1507</v>
      </c>
      <c r="N87" s="1" t="s">
        <v>42</v>
      </c>
      <c r="O87" s="1" t="s">
        <v>12366</v>
      </c>
      <c r="P87" s="1" t="s">
        <v>1507</v>
      </c>
      <c r="Q87" s="1" t="s">
        <v>1507</v>
      </c>
      <c r="R87" s="1" t="s">
        <v>1507</v>
      </c>
      <c r="S87" s="1" t="s">
        <v>1507</v>
      </c>
      <c r="T87" s="1" t="s">
        <v>1507</v>
      </c>
      <c r="U87" s="1" t="s">
        <v>1507</v>
      </c>
      <c r="V87" s="1" t="s">
        <v>15695</v>
      </c>
      <c r="W87" s="1" t="s">
        <v>15696</v>
      </c>
      <c r="X87" s="1" t="s">
        <v>15697</v>
      </c>
      <c r="Y87" s="1" t="s">
        <v>15698</v>
      </c>
      <c r="Z87" s="1" t="s">
        <v>15699</v>
      </c>
      <c r="AA87" s="1" t="s">
        <v>15700</v>
      </c>
      <c r="AB87" s="1" t="s">
        <v>15701</v>
      </c>
      <c r="AC87" s="1" t="s">
        <v>15702</v>
      </c>
      <c r="AD87" s="1" t="s">
        <v>15703</v>
      </c>
      <c r="AE87" s="1" t="s">
        <v>15704</v>
      </c>
      <c r="AF87" s="1" t="s">
        <v>15705</v>
      </c>
      <c r="AG87" s="1" t="s">
        <v>1507</v>
      </c>
      <c r="AH87" s="1">
        <v>262</v>
      </c>
      <c r="AI87" s="1">
        <v>21</v>
      </c>
      <c r="AJ87" s="1">
        <v>22</v>
      </c>
      <c r="AK87" s="1">
        <v>3</v>
      </c>
      <c r="AL87" s="1">
        <v>27</v>
      </c>
      <c r="AM87" s="1" t="s">
        <v>2372</v>
      </c>
      <c r="AN87" s="1" t="s">
        <v>2300</v>
      </c>
      <c r="AO87" s="1" t="s">
        <v>2373</v>
      </c>
      <c r="AP87" s="1" t="s">
        <v>5255</v>
      </c>
      <c r="AQ87" s="1" t="s">
        <v>5256</v>
      </c>
      <c r="AR87" s="1" t="s">
        <v>1507</v>
      </c>
      <c r="AS87" s="1" t="s">
        <v>5257</v>
      </c>
      <c r="AT87" s="1" t="s">
        <v>5258</v>
      </c>
      <c r="AU87" s="1" t="s">
        <v>15706</v>
      </c>
      <c r="AV87" s="1">
        <v>2021</v>
      </c>
      <c r="AW87" s="1">
        <v>35</v>
      </c>
      <c r="AX87" s="1">
        <v>20</v>
      </c>
      <c r="AY87" s="1" t="s">
        <v>1507</v>
      </c>
      <c r="AZ87" s="1" t="s">
        <v>1507</v>
      </c>
      <c r="BA87" s="1" t="s">
        <v>1507</v>
      </c>
      <c r="BB87" s="1" t="s">
        <v>1507</v>
      </c>
      <c r="BC87" s="1">
        <v>16335</v>
      </c>
      <c r="BD87" s="1">
        <v>16376</v>
      </c>
      <c r="BE87" s="1" t="s">
        <v>1507</v>
      </c>
      <c r="BF87" s="1" t="s">
        <v>15707</v>
      </c>
      <c r="BG87" s="1" t="str">
        <f>HYPERLINK("http://dx.doi.org/10.1021/acs.energyfuels.1c02107","http://dx.doi.org/10.1021/acs.energyfuels.1c02107")</f>
        <v>http://dx.doi.org/10.1021/acs.energyfuels.1c02107</v>
      </c>
      <c r="BH87" s="1" t="s">
        <v>1507</v>
      </c>
      <c r="BI87" s="1" t="s">
        <v>8149</v>
      </c>
      <c r="BJ87" s="1">
        <v>42</v>
      </c>
      <c r="BK87" s="1" t="s">
        <v>5261</v>
      </c>
      <c r="BL87" s="1" t="s">
        <v>1573</v>
      </c>
      <c r="BM87" s="1" t="s">
        <v>5262</v>
      </c>
      <c r="BN87" s="1" t="s">
        <v>15708</v>
      </c>
      <c r="BO87" s="1" t="s">
        <v>1507</v>
      </c>
      <c r="BP87" s="1" t="s">
        <v>1507</v>
      </c>
      <c r="BQ87" s="1" t="s">
        <v>1507</v>
      </c>
      <c r="BR87" s="1" t="s">
        <v>1507</v>
      </c>
      <c r="BS87" s="1" t="s">
        <v>13744</v>
      </c>
      <c r="BT87" s="1" t="s">
        <v>15709</v>
      </c>
      <c r="BU87" s="1" t="str">
        <f>HYPERLINK("https%3A%2F%2Fwww.webofscience.com%2Fwos%2Fwoscc%2Ffull-record%2FWOS:000711024500003","View Full Record in Web of Science")</f>
        <v>View Full Record in Web of Science</v>
      </c>
    </row>
    <row r="88" spans="1:73" x14ac:dyDescent="0.25">
      <c r="A88" s="1">
        <v>87</v>
      </c>
      <c r="B88" s="1" t="s">
        <v>1506</v>
      </c>
      <c r="C88" s="1" t="s">
        <v>5241</v>
      </c>
      <c r="D88" s="1" t="s">
        <v>1507</v>
      </c>
      <c r="E88" s="1" t="s">
        <v>1507</v>
      </c>
      <c r="F88" s="1" t="s">
        <v>1507</v>
      </c>
      <c r="G88" s="1" t="s">
        <v>5242</v>
      </c>
      <c r="H88" s="1" t="s">
        <v>1507</v>
      </c>
      <c r="I88" s="1" t="s">
        <v>1507</v>
      </c>
      <c r="J88" s="1" t="s">
        <v>5243</v>
      </c>
      <c r="K88" s="1" t="s">
        <v>5244</v>
      </c>
      <c r="L88" s="1" t="s">
        <v>1507</v>
      </c>
      <c r="M88" s="1" t="s">
        <v>1507</v>
      </c>
      <c r="N88" s="1" t="s">
        <v>42</v>
      </c>
      <c r="O88" s="1" t="s">
        <v>56</v>
      </c>
      <c r="P88" s="1" t="s">
        <v>1507</v>
      </c>
      <c r="Q88" s="1" t="s">
        <v>1507</v>
      </c>
      <c r="R88" s="1" t="s">
        <v>1507</v>
      </c>
      <c r="S88" s="1" t="s">
        <v>1507</v>
      </c>
      <c r="T88" s="1" t="s">
        <v>1507</v>
      </c>
      <c r="U88" s="1" t="s">
        <v>1507</v>
      </c>
      <c r="V88" s="1" t="s">
        <v>5245</v>
      </c>
      <c r="W88" s="1" t="s">
        <v>5246</v>
      </c>
      <c r="X88" s="1" t="s">
        <v>5247</v>
      </c>
      <c r="Y88" s="1" t="s">
        <v>5248</v>
      </c>
      <c r="Z88" s="1" t="s">
        <v>5249</v>
      </c>
      <c r="AA88" s="1" t="s">
        <v>5250</v>
      </c>
      <c r="AB88" s="1" t="s">
        <v>5251</v>
      </c>
      <c r="AC88" s="1" t="s">
        <v>14798</v>
      </c>
      <c r="AD88" s="1" t="s">
        <v>5252</v>
      </c>
      <c r="AE88" s="1" t="s">
        <v>5253</v>
      </c>
      <c r="AF88" s="1" t="s">
        <v>5254</v>
      </c>
      <c r="AG88" s="1" t="s">
        <v>1507</v>
      </c>
      <c r="AH88" s="1">
        <v>84</v>
      </c>
      <c r="AI88" s="1">
        <v>6</v>
      </c>
      <c r="AJ88" s="1">
        <v>6</v>
      </c>
      <c r="AK88" s="1">
        <v>7</v>
      </c>
      <c r="AL88" s="1">
        <v>12</v>
      </c>
      <c r="AM88" s="1" t="s">
        <v>2372</v>
      </c>
      <c r="AN88" s="1" t="s">
        <v>2300</v>
      </c>
      <c r="AO88" s="1" t="s">
        <v>2373</v>
      </c>
      <c r="AP88" s="1" t="s">
        <v>5255</v>
      </c>
      <c r="AQ88" s="1" t="s">
        <v>5256</v>
      </c>
      <c r="AR88" s="1" t="s">
        <v>1507</v>
      </c>
      <c r="AS88" s="1" t="s">
        <v>5257</v>
      </c>
      <c r="AT88" s="1" t="s">
        <v>5258</v>
      </c>
      <c r="AU88" s="1" t="s">
        <v>14799</v>
      </c>
      <c r="AV88" s="1">
        <v>2023</v>
      </c>
      <c r="AW88" s="1">
        <v>37</v>
      </c>
      <c r="AX88" s="1">
        <v>7</v>
      </c>
      <c r="AY88" s="1" t="s">
        <v>1507</v>
      </c>
      <c r="AZ88" s="1" t="s">
        <v>1507</v>
      </c>
      <c r="BA88" s="1" t="s">
        <v>1507</v>
      </c>
      <c r="BB88" s="1" t="s">
        <v>1507</v>
      </c>
      <c r="BC88" s="1">
        <v>5341</v>
      </c>
      <c r="BD88" s="1">
        <v>5360</v>
      </c>
      <c r="BE88" s="1" t="s">
        <v>1507</v>
      </c>
      <c r="BF88" s="1" t="s">
        <v>5259</v>
      </c>
      <c r="BG88" s="1" t="str">
        <f>HYPERLINK("http://dx.doi.org/10.1021/acs.energyfuels.2c04274","http://dx.doi.org/10.1021/acs.energyfuels.2c04274")</f>
        <v>http://dx.doi.org/10.1021/acs.energyfuels.2c04274</v>
      </c>
      <c r="BH88" s="1" t="s">
        <v>1507</v>
      </c>
      <c r="BI88" s="1" t="s">
        <v>5260</v>
      </c>
      <c r="BJ88" s="1">
        <v>20</v>
      </c>
      <c r="BK88" s="1" t="s">
        <v>5261</v>
      </c>
      <c r="BL88" s="1" t="s">
        <v>1573</v>
      </c>
      <c r="BM88" s="1" t="s">
        <v>5262</v>
      </c>
      <c r="BN88" s="1" t="s">
        <v>5263</v>
      </c>
      <c r="BO88" s="1" t="s">
        <v>1507</v>
      </c>
      <c r="BP88" s="1" t="s">
        <v>1507</v>
      </c>
      <c r="BQ88" s="1" t="s">
        <v>1507</v>
      </c>
      <c r="BR88" s="1" t="s">
        <v>1507</v>
      </c>
      <c r="BS88" s="1" t="s">
        <v>13744</v>
      </c>
      <c r="BT88" s="1" t="s">
        <v>5264</v>
      </c>
      <c r="BU88" s="1" t="str">
        <f>HYPERLINK("https%3A%2F%2Fwww.webofscience.com%2Fwos%2Fwoscc%2Ffull-record%2FWOS:000954645900001","View Full Record in Web of Science")</f>
        <v>View Full Record in Web of Science</v>
      </c>
    </row>
    <row r="89" spans="1:73" x14ac:dyDescent="0.25">
      <c r="A89" s="1">
        <v>88</v>
      </c>
      <c r="B89" s="1" t="s">
        <v>1506</v>
      </c>
      <c r="C89" s="1" t="s">
        <v>14182</v>
      </c>
      <c r="D89" s="1" t="s">
        <v>1507</v>
      </c>
      <c r="E89" s="1" t="s">
        <v>1507</v>
      </c>
      <c r="F89" s="1" t="s">
        <v>1507</v>
      </c>
      <c r="G89" s="1" t="s">
        <v>14183</v>
      </c>
      <c r="H89" s="1" t="s">
        <v>1507</v>
      </c>
      <c r="I89" s="1" t="s">
        <v>1507</v>
      </c>
      <c r="J89" s="1" t="s">
        <v>14184</v>
      </c>
      <c r="K89" s="1" t="s">
        <v>14185</v>
      </c>
      <c r="L89" s="1" t="s">
        <v>1507</v>
      </c>
      <c r="M89" s="1" t="s">
        <v>1507</v>
      </c>
      <c r="N89" s="1" t="s">
        <v>42</v>
      </c>
      <c r="O89" s="1" t="s">
        <v>12366</v>
      </c>
      <c r="P89" s="1" t="s">
        <v>1507</v>
      </c>
      <c r="Q89" s="1" t="s">
        <v>1507</v>
      </c>
      <c r="R89" s="1" t="s">
        <v>1507</v>
      </c>
      <c r="S89" s="1" t="s">
        <v>1507</v>
      </c>
      <c r="T89" s="1" t="s">
        <v>1507</v>
      </c>
      <c r="U89" s="1" t="s">
        <v>14186</v>
      </c>
      <c r="V89" s="1" t="s">
        <v>14187</v>
      </c>
      <c r="W89" s="1" t="s">
        <v>14188</v>
      </c>
      <c r="X89" s="1" t="s">
        <v>14189</v>
      </c>
      <c r="Y89" s="1" t="s">
        <v>14190</v>
      </c>
      <c r="Z89" s="1" t="s">
        <v>14191</v>
      </c>
      <c r="AA89" s="1" t="s">
        <v>14192</v>
      </c>
      <c r="AB89" s="1" t="s">
        <v>14193</v>
      </c>
      <c r="AC89" s="1" t="s">
        <v>14194</v>
      </c>
      <c r="AD89" s="1" t="s">
        <v>14195</v>
      </c>
      <c r="AE89" s="1" t="s">
        <v>14196</v>
      </c>
      <c r="AF89" s="1" t="s">
        <v>14197</v>
      </c>
      <c r="AG89" s="1" t="s">
        <v>1507</v>
      </c>
      <c r="AH89" s="1">
        <v>145</v>
      </c>
      <c r="AI89" s="1">
        <v>3</v>
      </c>
      <c r="AJ89" s="1">
        <v>3</v>
      </c>
      <c r="AK89" s="1">
        <v>24</v>
      </c>
      <c r="AL89" s="1">
        <v>24</v>
      </c>
      <c r="AM89" s="1" t="s">
        <v>1564</v>
      </c>
      <c r="AN89" s="1" t="s">
        <v>1565</v>
      </c>
      <c r="AO89" s="1" t="s">
        <v>1566</v>
      </c>
      <c r="AP89" s="1" t="s">
        <v>1507</v>
      </c>
      <c r="AQ89" s="1" t="s">
        <v>14198</v>
      </c>
      <c r="AR89" s="1" t="s">
        <v>1507</v>
      </c>
      <c r="AS89" s="1" t="s">
        <v>14199</v>
      </c>
      <c r="AT89" s="1" t="s">
        <v>14200</v>
      </c>
      <c r="AU89" s="1" t="s">
        <v>14177</v>
      </c>
      <c r="AV89" s="1">
        <v>2023</v>
      </c>
      <c r="AW89" s="1">
        <v>6</v>
      </c>
      <c r="AX89" s="1" t="s">
        <v>1507</v>
      </c>
      <c r="AY89" s="1" t="s">
        <v>1507</v>
      </c>
      <c r="AZ89" s="1" t="s">
        <v>1507</v>
      </c>
      <c r="BA89" s="1" t="s">
        <v>1507</v>
      </c>
      <c r="BB89" s="1" t="s">
        <v>1507</v>
      </c>
      <c r="BC89" s="1" t="s">
        <v>1507</v>
      </c>
      <c r="BD89" s="1" t="s">
        <v>1507</v>
      </c>
      <c r="BE89" s="1">
        <v>1237704</v>
      </c>
      <c r="BF89" s="1" t="s">
        <v>14201</v>
      </c>
      <c r="BG89" s="1" t="str">
        <f>HYPERLINK("http://dx.doi.org/10.3389/frai.2023.1237704","http://dx.doi.org/10.3389/frai.2023.1237704")</f>
        <v>http://dx.doi.org/10.3389/frai.2023.1237704</v>
      </c>
      <c r="BH89" s="1" t="s">
        <v>1507</v>
      </c>
      <c r="BI89" s="1" t="s">
        <v>1507</v>
      </c>
      <c r="BJ89" s="1">
        <v>17</v>
      </c>
      <c r="BK89" s="1" t="s">
        <v>5650</v>
      </c>
      <c r="BL89" s="1" t="s">
        <v>1529</v>
      </c>
      <c r="BM89" s="1" t="s">
        <v>1577</v>
      </c>
      <c r="BN89" s="1" t="s">
        <v>14202</v>
      </c>
      <c r="BO89" s="1">
        <v>38028668</v>
      </c>
      <c r="BP89" s="1" t="s">
        <v>1952</v>
      </c>
      <c r="BQ89" s="1" t="s">
        <v>1507</v>
      </c>
      <c r="BR89" s="1" t="s">
        <v>1507</v>
      </c>
      <c r="BS89" s="1" t="s">
        <v>13744</v>
      </c>
      <c r="BT89" s="1" t="s">
        <v>14203</v>
      </c>
      <c r="BU89" s="1" t="str">
        <f>HYPERLINK("https%3A%2F%2Fwww.webofscience.com%2Fwos%2Fwoscc%2Ffull-record%2FWOS:001101628500001","View Full Record in Web of Science")</f>
        <v>View Full Record in Web of Science</v>
      </c>
    </row>
    <row r="90" spans="1:73" x14ac:dyDescent="0.25">
      <c r="A90" s="1">
        <v>89</v>
      </c>
      <c r="B90" s="1" t="s">
        <v>1506</v>
      </c>
      <c r="C90" s="1" t="s">
        <v>14380</v>
      </c>
      <c r="D90" s="1" t="s">
        <v>1507</v>
      </c>
      <c r="E90" s="1" t="s">
        <v>1507</v>
      </c>
      <c r="F90" s="1" t="s">
        <v>1507</v>
      </c>
      <c r="G90" s="1" t="s">
        <v>14381</v>
      </c>
      <c r="H90" s="1" t="s">
        <v>1507</v>
      </c>
      <c r="I90" s="1" t="s">
        <v>1507</v>
      </c>
      <c r="J90" s="1" t="s">
        <v>14382</v>
      </c>
      <c r="K90" s="1" t="s">
        <v>14368</v>
      </c>
      <c r="L90" s="1" t="s">
        <v>1507</v>
      </c>
      <c r="M90" s="1" t="s">
        <v>1507</v>
      </c>
      <c r="N90" s="1" t="s">
        <v>42</v>
      </c>
      <c r="O90" s="1" t="s">
        <v>1487</v>
      </c>
      <c r="P90" s="1" t="s">
        <v>14369</v>
      </c>
      <c r="Q90" s="1" t="s">
        <v>14370</v>
      </c>
      <c r="R90" s="1" t="s">
        <v>5909</v>
      </c>
      <c r="S90" s="1" t="s">
        <v>1507</v>
      </c>
      <c r="T90" s="1" t="s">
        <v>1507</v>
      </c>
      <c r="U90" s="1" t="s">
        <v>1507</v>
      </c>
      <c r="V90" s="1" t="s">
        <v>1507</v>
      </c>
      <c r="W90" s="1" t="s">
        <v>1507</v>
      </c>
      <c r="X90" s="1" t="s">
        <v>14383</v>
      </c>
      <c r="Y90" s="1" t="s">
        <v>14384</v>
      </c>
      <c r="Z90" s="1" t="s">
        <v>1507</v>
      </c>
      <c r="AA90" s="1" t="s">
        <v>1507</v>
      </c>
      <c r="AB90" s="1" t="s">
        <v>1507</v>
      </c>
      <c r="AC90" s="1" t="s">
        <v>1507</v>
      </c>
      <c r="AD90" s="1" t="s">
        <v>1507</v>
      </c>
      <c r="AE90" s="1" t="s">
        <v>1507</v>
      </c>
      <c r="AF90" s="1" t="s">
        <v>1507</v>
      </c>
      <c r="AG90" s="1" t="s">
        <v>1507</v>
      </c>
      <c r="AH90" s="1">
        <v>0</v>
      </c>
      <c r="AI90" s="1">
        <v>0</v>
      </c>
      <c r="AJ90" s="1">
        <v>0</v>
      </c>
      <c r="AK90" s="1">
        <v>5</v>
      </c>
      <c r="AL90" s="1">
        <v>5</v>
      </c>
      <c r="AM90" s="1" t="s">
        <v>4330</v>
      </c>
      <c r="AN90" s="1" t="s">
        <v>1746</v>
      </c>
      <c r="AO90" s="1" t="s">
        <v>4331</v>
      </c>
      <c r="AP90" s="1" t="s">
        <v>14372</v>
      </c>
      <c r="AQ90" s="1" t="s">
        <v>14373</v>
      </c>
      <c r="AR90" s="1" t="s">
        <v>1507</v>
      </c>
      <c r="AS90" s="1" t="s">
        <v>14374</v>
      </c>
      <c r="AT90" s="1" t="s">
        <v>14375</v>
      </c>
      <c r="AU90" s="1" t="s">
        <v>2889</v>
      </c>
      <c r="AV90" s="1">
        <v>2023</v>
      </c>
      <c r="AW90" s="1">
        <v>118</v>
      </c>
      <c r="AX90" s="1">
        <v>10</v>
      </c>
      <c r="AY90" s="1" t="s">
        <v>1507</v>
      </c>
      <c r="AZ90" s="1" t="s">
        <v>11902</v>
      </c>
      <c r="BA90" s="1" t="s">
        <v>1507</v>
      </c>
      <c r="BB90" s="1" t="s">
        <v>14385</v>
      </c>
      <c r="BC90" s="1" t="s">
        <v>14386</v>
      </c>
      <c r="BD90" s="1" t="s">
        <v>14386</v>
      </c>
      <c r="BE90" s="1" t="s">
        <v>1507</v>
      </c>
      <c r="BF90" s="1" t="s">
        <v>1507</v>
      </c>
      <c r="BG90" s="1" t="s">
        <v>1507</v>
      </c>
      <c r="BH90" s="1" t="s">
        <v>1507</v>
      </c>
      <c r="BI90" s="1" t="s">
        <v>1507</v>
      </c>
      <c r="BJ90" s="1">
        <v>1</v>
      </c>
      <c r="BK90" s="1" t="s">
        <v>9749</v>
      </c>
      <c r="BL90" s="1" t="s">
        <v>11691</v>
      </c>
      <c r="BM90" s="1" t="s">
        <v>9749</v>
      </c>
      <c r="BN90" s="1" t="s">
        <v>14378</v>
      </c>
      <c r="BO90" s="1" t="s">
        <v>1507</v>
      </c>
      <c r="BP90" s="1" t="s">
        <v>1507</v>
      </c>
      <c r="BQ90" s="1" t="s">
        <v>1507</v>
      </c>
      <c r="BR90" s="1" t="s">
        <v>1507</v>
      </c>
      <c r="BS90" s="1" t="s">
        <v>13744</v>
      </c>
      <c r="BT90" s="1" t="s">
        <v>14387</v>
      </c>
      <c r="BU90" s="1" t="str">
        <f>HYPERLINK("https%3A%2F%2Fwww.webofscience.com%2Fwos%2Fwoscc%2Ffull-record%2FWOS:001091849300301","View Full Record in Web of Science")</f>
        <v>View Full Record in Web of Science</v>
      </c>
    </row>
    <row r="91" spans="1:73" x14ac:dyDescent="0.25">
      <c r="A91" s="1">
        <v>90</v>
      </c>
      <c r="B91" s="1" t="s">
        <v>1506</v>
      </c>
      <c r="C91" s="1" t="s">
        <v>11656</v>
      </c>
      <c r="D91" s="1" t="s">
        <v>1507</v>
      </c>
      <c r="E91" s="1" t="s">
        <v>1507</v>
      </c>
      <c r="F91" s="1" t="s">
        <v>1507</v>
      </c>
      <c r="G91" s="1" t="s">
        <v>11657</v>
      </c>
      <c r="H91" s="1" t="s">
        <v>1507</v>
      </c>
      <c r="I91" s="1" t="s">
        <v>1507</v>
      </c>
      <c r="J91" s="1" t="s">
        <v>11658</v>
      </c>
      <c r="K91" s="1" t="s">
        <v>11659</v>
      </c>
      <c r="L91" s="1" t="s">
        <v>1507</v>
      </c>
      <c r="M91" s="1" t="s">
        <v>1507</v>
      </c>
      <c r="N91" s="1" t="s">
        <v>42</v>
      </c>
      <c r="O91" s="1" t="s">
        <v>56</v>
      </c>
      <c r="P91" s="1" t="s">
        <v>1507</v>
      </c>
      <c r="Q91" s="1" t="s">
        <v>1507</v>
      </c>
      <c r="R91" s="1" t="s">
        <v>1507</v>
      </c>
      <c r="S91" s="1" t="s">
        <v>1507</v>
      </c>
      <c r="T91" s="1" t="s">
        <v>1507</v>
      </c>
      <c r="U91" s="1" t="s">
        <v>1507</v>
      </c>
      <c r="V91" s="1" t="s">
        <v>11660</v>
      </c>
      <c r="W91" s="1" t="s">
        <v>11661</v>
      </c>
      <c r="X91" s="1" t="s">
        <v>11662</v>
      </c>
      <c r="Y91" s="1" t="s">
        <v>11663</v>
      </c>
      <c r="Z91" s="1" t="s">
        <v>11664</v>
      </c>
      <c r="AA91" s="1" t="s">
        <v>11665</v>
      </c>
      <c r="AB91" s="1" t="s">
        <v>1507</v>
      </c>
      <c r="AC91" s="1" t="s">
        <v>1507</v>
      </c>
      <c r="AD91" s="1" t="s">
        <v>11666</v>
      </c>
      <c r="AE91" s="1" t="s">
        <v>11667</v>
      </c>
      <c r="AF91" s="1" t="s">
        <v>11668</v>
      </c>
      <c r="AG91" s="1" t="s">
        <v>1507</v>
      </c>
      <c r="AH91" s="1">
        <v>61</v>
      </c>
      <c r="AI91" s="1">
        <v>5</v>
      </c>
      <c r="AJ91" s="1">
        <v>5</v>
      </c>
      <c r="AK91" s="1">
        <v>0</v>
      </c>
      <c r="AL91" s="1">
        <v>1</v>
      </c>
      <c r="AM91" s="1" t="s">
        <v>11669</v>
      </c>
      <c r="AN91" s="1" t="s">
        <v>11670</v>
      </c>
      <c r="AO91" s="1" t="s">
        <v>11671</v>
      </c>
      <c r="AP91" s="1" t="s">
        <v>11672</v>
      </c>
      <c r="AQ91" s="1" t="s">
        <v>1507</v>
      </c>
      <c r="AR91" s="1" t="s">
        <v>1507</v>
      </c>
      <c r="AS91" s="1" t="s">
        <v>11673</v>
      </c>
      <c r="AT91" s="1" t="s">
        <v>11674</v>
      </c>
      <c r="AU91" s="1" t="s">
        <v>4556</v>
      </c>
      <c r="AV91" s="1">
        <v>2018</v>
      </c>
      <c r="AW91" s="1">
        <v>103</v>
      </c>
      <c r="AX91" s="1">
        <v>5</v>
      </c>
      <c r="AY91" s="1" t="s">
        <v>1507</v>
      </c>
      <c r="AZ91" s="1" t="s">
        <v>1507</v>
      </c>
      <c r="BA91" s="1" t="s">
        <v>1507</v>
      </c>
      <c r="BB91" s="1" t="s">
        <v>1507</v>
      </c>
      <c r="BC91" s="1">
        <v>1915</v>
      </c>
      <c r="BD91" s="1">
        <v>1944</v>
      </c>
      <c r="BE91" s="1" t="s">
        <v>1507</v>
      </c>
      <c r="BF91" s="1" t="s">
        <v>1507</v>
      </c>
      <c r="BG91" s="1" t="s">
        <v>1507</v>
      </c>
      <c r="BH91" s="1" t="s">
        <v>1507</v>
      </c>
      <c r="BI91" s="1" t="s">
        <v>1507</v>
      </c>
      <c r="BJ91" s="1">
        <v>30</v>
      </c>
      <c r="BK91" s="1" t="s">
        <v>1535</v>
      </c>
      <c r="BL91" s="1" t="s">
        <v>1518</v>
      </c>
      <c r="BM91" s="1" t="s">
        <v>1536</v>
      </c>
      <c r="BN91" s="1" t="s">
        <v>11675</v>
      </c>
      <c r="BO91" s="1" t="s">
        <v>1507</v>
      </c>
      <c r="BP91" s="1" t="s">
        <v>1507</v>
      </c>
      <c r="BQ91" s="1" t="s">
        <v>1507</v>
      </c>
      <c r="BR91" s="1" t="s">
        <v>1507</v>
      </c>
      <c r="BS91" s="1" t="s">
        <v>13744</v>
      </c>
      <c r="BT91" s="1" t="s">
        <v>11676</v>
      </c>
      <c r="BU91" s="1" t="str">
        <f>HYPERLINK("https%3A%2F%2Fwww.webofscience.com%2Fwos%2Fwoscc%2Ffull-record%2FWOS:000441372000002","View Full Record in Web of Science")</f>
        <v>View Full Record in Web of Science</v>
      </c>
    </row>
    <row r="92" spans="1:73" x14ac:dyDescent="0.25">
      <c r="A92" s="1">
        <v>91</v>
      </c>
      <c r="B92" s="1" t="s">
        <v>1506</v>
      </c>
      <c r="C92" s="1" t="s">
        <v>8727</v>
      </c>
      <c r="D92" s="1" t="s">
        <v>1507</v>
      </c>
      <c r="E92" s="1" t="s">
        <v>1507</v>
      </c>
      <c r="F92" s="1" t="s">
        <v>1507</v>
      </c>
      <c r="G92" s="1" t="s">
        <v>8728</v>
      </c>
      <c r="H92" s="1" t="s">
        <v>1507</v>
      </c>
      <c r="I92" s="1" t="s">
        <v>1507</v>
      </c>
      <c r="J92" s="1" t="s">
        <v>8729</v>
      </c>
      <c r="K92" s="1" t="s">
        <v>8730</v>
      </c>
      <c r="L92" s="1" t="s">
        <v>1507</v>
      </c>
      <c r="M92" s="1" t="s">
        <v>1507</v>
      </c>
      <c r="N92" s="1" t="s">
        <v>42</v>
      </c>
      <c r="O92" s="1" t="s">
        <v>56</v>
      </c>
      <c r="P92" s="1" t="s">
        <v>1507</v>
      </c>
      <c r="Q92" s="1" t="s">
        <v>1507</v>
      </c>
      <c r="R92" s="1" t="s">
        <v>1507</v>
      </c>
      <c r="S92" s="1" t="s">
        <v>1507</v>
      </c>
      <c r="T92" s="1" t="s">
        <v>1507</v>
      </c>
      <c r="U92" s="1" t="s">
        <v>1507</v>
      </c>
      <c r="V92" s="1" t="s">
        <v>8731</v>
      </c>
      <c r="W92" s="1" t="s">
        <v>8732</v>
      </c>
      <c r="X92" s="1" t="s">
        <v>8733</v>
      </c>
      <c r="Y92" s="1" t="s">
        <v>8734</v>
      </c>
      <c r="Z92" s="1" t="s">
        <v>8735</v>
      </c>
      <c r="AA92" s="1" t="s">
        <v>8736</v>
      </c>
      <c r="AB92" s="1" t="s">
        <v>1507</v>
      </c>
      <c r="AC92" s="1" t="s">
        <v>8737</v>
      </c>
      <c r="AD92" s="1" t="s">
        <v>8738</v>
      </c>
      <c r="AE92" s="1" t="s">
        <v>8739</v>
      </c>
      <c r="AF92" s="1" t="s">
        <v>8740</v>
      </c>
      <c r="AG92" s="1" t="s">
        <v>1507</v>
      </c>
      <c r="AH92" s="1">
        <v>114</v>
      </c>
      <c r="AI92" s="1">
        <v>12</v>
      </c>
      <c r="AJ92" s="1">
        <v>12</v>
      </c>
      <c r="AK92" s="1">
        <v>1</v>
      </c>
      <c r="AL92" s="1">
        <v>5</v>
      </c>
      <c r="AM92" s="1" t="s">
        <v>1582</v>
      </c>
      <c r="AN92" s="1" t="s">
        <v>1583</v>
      </c>
      <c r="AO92" s="1" t="s">
        <v>1584</v>
      </c>
      <c r="AP92" s="1" t="s">
        <v>8741</v>
      </c>
      <c r="AQ92" s="1" t="s">
        <v>8742</v>
      </c>
      <c r="AR92" s="1" t="s">
        <v>1507</v>
      </c>
      <c r="AS92" s="1" t="s">
        <v>8743</v>
      </c>
      <c r="AT92" s="1" t="s">
        <v>8744</v>
      </c>
      <c r="AU92" s="1" t="s">
        <v>15748</v>
      </c>
      <c r="AV92" s="1">
        <v>2021</v>
      </c>
      <c r="AW92" s="1">
        <v>13</v>
      </c>
      <c r="AX92" s="1" t="s">
        <v>1507</v>
      </c>
      <c r="AY92" s="1" t="s">
        <v>1507</v>
      </c>
      <c r="AZ92" s="1" t="s">
        <v>1507</v>
      </c>
      <c r="BA92" s="1" t="s">
        <v>1507</v>
      </c>
      <c r="BB92" s="1" t="s">
        <v>1507</v>
      </c>
      <c r="BC92" s="1">
        <v>231</v>
      </c>
      <c r="BD92" s="1">
        <v>282</v>
      </c>
      <c r="BE92" s="1" t="s">
        <v>1507</v>
      </c>
      <c r="BF92" s="1" t="s">
        <v>8745</v>
      </c>
      <c r="BG92" s="1" t="str">
        <f>HYPERLINK("http://dx.doi.org/10.1093/jla/laaa004","http://dx.doi.org/10.1093/jla/laaa004")</f>
        <v>http://dx.doi.org/10.1093/jla/laaa004</v>
      </c>
      <c r="BH92" s="1" t="s">
        <v>1507</v>
      </c>
      <c r="BI92" s="1" t="s">
        <v>8746</v>
      </c>
      <c r="BJ92" s="1">
        <v>52</v>
      </c>
      <c r="BK92" s="1" t="s">
        <v>1535</v>
      </c>
      <c r="BL92" s="1" t="s">
        <v>1518</v>
      </c>
      <c r="BM92" s="1" t="s">
        <v>1536</v>
      </c>
      <c r="BN92" s="1" t="s">
        <v>8747</v>
      </c>
      <c r="BO92" s="1" t="s">
        <v>1507</v>
      </c>
      <c r="BP92" s="1" t="s">
        <v>1531</v>
      </c>
      <c r="BQ92" s="1" t="s">
        <v>1507</v>
      </c>
      <c r="BR92" s="1" t="s">
        <v>1507</v>
      </c>
      <c r="BS92" s="1" t="s">
        <v>13744</v>
      </c>
      <c r="BT92" s="1" t="s">
        <v>8748</v>
      </c>
      <c r="BU92" s="1" t="str">
        <f>HYPERLINK("https%3A%2F%2Fwww.webofscience.com%2Fwos%2Fwoscc%2Ffull-record%2FWOS:000745979700001","View Full Record in Web of Science")</f>
        <v>View Full Record in Web of Science</v>
      </c>
    </row>
    <row r="93" spans="1:73" x14ac:dyDescent="0.25">
      <c r="A93" s="1">
        <v>92</v>
      </c>
      <c r="B93" s="1" t="s">
        <v>1506</v>
      </c>
      <c r="C93" s="1" t="s">
        <v>13875</v>
      </c>
      <c r="D93" s="1" t="s">
        <v>1507</v>
      </c>
      <c r="E93" s="1" t="s">
        <v>1507</v>
      </c>
      <c r="F93" s="1" t="s">
        <v>1507</v>
      </c>
      <c r="G93" s="1" t="s">
        <v>13876</v>
      </c>
      <c r="H93" s="1" t="s">
        <v>1507</v>
      </c>
      <c r="I93" s="1" t="s">
        <v>1507</v>
      </c>
      <c r="J93" s="1" t="s">
        <v>13877</v>
      </c>
      <c r="K93" s="1" t="s">
        <v>13878</v>
      </c>
      <c r="L93" s="1" t="s">
        <v>1507</v>
      </c>
      <c r="M93" s="1" t="s">
        <v>1507</v>
      </c>
      <c r="N93" s="1" t="s">
        <v>42</v>
      </c>
      <c r="O93" s="1" t="s">
        <v>12366</v>
      </c>
      <c r="P93" s="1" t="s">
        <v>1507</v>
      </c>
      <c r="Q93" s="1" t="s">
        <v>1507</v>
      </c>
      <c r="R93" s="1" t="s">
        <v>1507</v>
      </c>
      <c r="S93" s="1" t="s">
        <v>1507</v>
      </c>
      <c r="T93" s="1" t="s">
        <v>1507</v>
      </c>
      <c r="U93" s="1" t="s">
        <v>13879</v>
      </c>
      <c r="V93" s="1" t="s">
        <v>4023</v>
      </c>
      <c r="W93" s="1" t="s">
        <v>13880</v>
      </c>
      <c r="X93" s="1" t="s">
        <v>13881</v>
      </c>
      <c r="Y93" s="1" t="s">
        <v>13882</v>
      </c>
      <c r="Z93" s="1" t="s">
        <v>13883</v>
      </c>
      <c r="AA93" s="1" t="s">
        <v>13884</v>
      </c>
      <c r="AB93" s="1" t="s">
        <v>13885</v>
      </c>
      <c r="AC93" s="1" t="s">
        <v>13886</v>
      </c>
      <c r="AD93" s="1" t="s">
        <v>13887</v>
      </c>
      <c r="AE93" s="1" t="s">
        <v>13888</v>
      </c>
      <c r="AF93" s="1" t="s">
        <v>13889</v>
      </c>
      <c r="AG93" s="1" t="s">
        <v>1507</v>
      </c>
      <c r="AH93" s="1">
        <v>70</v>
      </c>
      <c r="AI93" s="1">
        <v>2</v>
      </c>
      <c r="AJ93" s="1">
        <v>2</v>
      </c>
      <c r="AK93" s="1">
        <v>21</v>
      </c>
      <c r="AL93" s="1">
        <v>21</v>
      </c>
      <c r="AM93" s="1" t="s">
        <v>1559</v>
      </c>
      <c r="AN93" s="1" t="s">
        <v>1560</v>
      </c>
      <c r="AO93" s="1" t="s">
        <v>1561</v>
      </c>
      <c r="AP93" s="1" t="s">
        <v>1507</v>
      </c>
      <c r="AQ93" s="1" t="s">
        <v>13890</v>
      </c>
      <c r="AR93" s="1" t="s">
        <v>1507</v>
      </c>
      <c r="AS93" s="1" t="s">
        <v>13891</v>
      </c>
      <c r="AT93" s="1" t="s">
        <v>13892</v>
      </c>
      <c r="AU93" s="1" t="s">
        <v>6775</v>
      </c>
      <c r="AV93" s="1">
        <v>2023</v>
      </c>
      <c r="AW93" s="1">
        <v>10</v>
      </c>
      <c r="AX93" s="1">
        <v>1</v>
      </c>
      <c r="AY93" s="1" t="s">
        <v>1507</v>
      </c>
      <c r="AZ93" s="1" t="s">
        <v>1507</v>
      </c>
      <c r="BA93" s="1" t="s">
        <v>1507</v>
      </c>
      <c r="BB93" s="1" t="s">
        <v>1507</v>
      </c>
      <c r="BC93" s="1" t="s">
        <v>1507</v>
      </c>
      <c r="BD93" s="1" t="s">
        <v>1507</v>
      </c>
      <c r="BE93" s="1">
        <v>128</v>
      </c>
      <c r="BF93" s="1" t="s">
        <v>13893</v>
      </c>
      <c r="BG93" s="1" t="str">
        <f>HYPERLINK("http://dx.doi.org/10.1186/s40634-023-00700-1","http://dx.doi.org/10.1186/s40634-023-00700-1")</f>
        <v>http://dx.doi.org/10.1186/s40634-023-00700-1</v>
      </c>
      <c r="BH93" s="1" t="s">
        <v>1507</v>
      </c>
      <c r="BI93" s="1" t="s">
        <v>1507</v>
      </c>
      <c r="BJ93" s="1">
        <v>10</v>
      </c>
      <c r="BK93" s="1" t="s">
        <v>13894</v>
      </c>
      <c r="BL93" s="1" t="s">
        <v>1529</v>
      </c>
      <c r="BM93" s="1" t="s">
        <v>13894</v>
      </c>
      <c r="BN93" s="1" t="s">
        <v>13895</v>
      </c>
      <c r="BO93" s="1">
        <v>38038796</v>
      </c>
      <c r="BP93" s="1" t="s">
        <v>1531</v>
      </c>
      <c r="BQ93" s="1" t="s">
        <v>1507</v>
      </c>
      <c r="BR93" s="1" t="s">
        <v>1507</v>
      </c>
      <c r="BS93" s="1" t="s">
        <v>13744</v>
      </c>
      <c r="BT93" s="1" t="s">
        <v>13896</v>
      </c>
      <c r="BU93" s="1" t="str">
        <f>HYPERLINK("https%3A%2F%2Fwww.webofscience.com%2Fwos%2Fwoscc%2Ffull-record%2FWOS:001112035900001","View Full Record in Web of Science")</f>
        <v>View Full Record in Web of Science</v>
      </c>
    </row>
    <row r="94" spans="1:73" x14ac:dyDescent="0.25">
      <c r="A94" s="1">
        <v>93</v>
      </c>
      <c r="B94" s="1" t="s">
        <v>1506</v>
      </c>
      <c r="C94" s="1" t="s">
        <v>9033</v>
      </c>
      <c r="D94" s="1" t="s">
        <v>1507</v>
      </c>
      <c r="E94" s="1" t="s">
        <v>1507</v>
      </c>
      <c r="F94" s="1" t="s">
        <v>1507</v>
      </c>
      <c r="G94" s="1" t="s">
        <v>9034</v>
      </c>
      <c r="H94" s="1" t="s">
        <v>1507</v>
      </c>
      <c r="I94" s="1" t="s">
        <v>1507</v>
      </c>
      <c r="J94" s="1" t="s">
        <v>9035</v>
      </c>
      <c r="K94" s="1" t="s">
        <v>9036</v>
      </c>
      <c r="L94" s="1" t="s">
        <v>1507</v>
      </c>
      <c r="M94" s="1" t="s">
        <v>1507</v>
      </c>
      <c r="N94" s="1" t="s">
        <v>42</v>
      </c>
      <c r="O94" s="1" t="s">
        <v>56</v>
      </c>
      <c r="P94" s="1" t="s">
        <v>1507</v>
      </c>
      <c r="Q94" s="1" t="s">
        <v>1507</v>
      </c>
      <c r="R94" s="1" t="s">
        <v>1507</v>
      </c>
      <c r="S94" s="1" t="s">
        <v>1507</v>
      </c>
      <c r="T94" s="1" t="s">
        <v>1507</v>
      </c>
      <c r="U94" s="1" t="s">
        <v>9037</v>
      </c>
      <c r="V94" s="1" t="s">
        <v>1507</v>
      </c>
      <c r="W94" s="1" t="s">
        <v>9038</v>
      </c>
      <c r="X94" s="1" t="s">
        <v>9039</v>
      </c>
      <c r="Y94" s="1" t="s">
        <v>9040</v>
      </c>
      <c r="Z94" s="1" t="s">
        <v>9041</v>
      </c>
      <c r="AA94" s="1" t="s">
        <v>9042</v>
      </c>
      <c r="AB94" s="1" t="s">
        <v>9043</v>
      </c>
      <c r="AC94" s="1" t="s">
        <v>1507</v>
      </c>
      <c r="AD94" s="1" t="s">
        <v>9044</v>
      </c>
      <c r="AE94" s="1" t="s">
        <v>9045</v>
      </c>
      <c r="AF94" s="1" t="s">
        <v>9046</v>
      </c>
      <c r="AG94" s="1" t="s">
        <v>1507</v>
      </c>
      <c r="AH94" s="1">
        <v>38</v>
      </c>
      <c r="AI94" s="1">
        <v>0</v>
      </c>
      <c r="AJ94" s="1">
        <v>0</v>
      </c>
      <c r="AK94" s="1">
        <v>4</v>
      </c>
      <c r="AL94" s="1">
        <v>22</v>
      </c>
      <c r="AM94" s="1" t="s">
        <v>9047</v>
      </c>
      <c r="AN94" s="1" t="s">
        <v>9048</v>
      </c>
      <c r="AO94" s="1" t="s">
        <v>9049</v>
      </c>
      <c r="AP94" s="1" t="s">
        <v>9050</v>
      </c>
      <c r="AQ94" s="1" t="s">
        <v>9051</v>
      </c>
      <c r="AR94" s="1" t="s">
        <v>1507</v>
      </c>
      <c r="AS94" s="1" t="s">
        <v>9052</v>
      </c>
      <c r="AT94" s="1" t="s">
        <v>9053</v>
      </c>
      <c r="AU94" s="1" t="s">
        <v>9054</v>
      </c>
      <c r="AV94" s="1">
        <v>2021</v>
      </c>
      <c r="AW94" s="1">
        <v>55</v>
      </c>
      <c r="AX94" s="1">
        <v>1</v>
      </c>
      <c r="AY94" s="1" t="s">
        <v>1507</v>
      </c>
      <c r="AZ94" s="1" t="s">
        <v>1507</v>
      </c>
      <c r="BA94" s="1" t="s">
        <v>1507</v>
      </c>
      <c r="BB94" s="1" t="s">
        <v>1507</v>
      </c>
      <c r="BC94" s="1">
        <v>171</v>
      </c>
      <c r="BD94" s="1">
        <v>195</v>
      </c>
      <c r="BE94" s="1" t="s">
        <v>1507</v>
      </c>
      <c r="BF94" s="1" t="s">
        <v>1507</v>
      </c>
      <c r="BG94" s="1" t="s">
        <v>1507</v>
      </c>
      <c r="BH94" s="1" t="s">
        <v>1507</v>
      </c>
      <c r="BI94" s="1" t="s">
        <v>1507</v>
      </c>
      <c r="BJ94" s="1">
        <v>25</v>
      </c>
      <c r="BK94" s="1" t="s">
        <v>9055</v>
      </c>
      <c r="BL94" s="1" t="s">
        <v>1518</v>
      </c>
      <c r="BM94" s="1" t="s">
        <v>9056</v>
      </c>
      <c r="BN94" s="1" t="s">
        <v>9057</v>
      </c>
      <c r="BO94" s="1" t="s">
        <v>1507</v>
      </c>
      <c r="BP94" s="1" t="s">
        <v>1507</v>
      </c>
      <c r="BQ94" s="1" t="s">
        <v>1507</v>
      </c>
      <c r="BR94" s="1" t="s">
        <v>1507</v>
      </c>
      <c r="BS94" s="1" t="s">
        <v>13744</v>
      </c>
      <c r="BT94" s="1" t="s">
        <v>9058</v>
      </c>
      <c r="BU94" s="1" t="str">
        <f>HYPERLINK("https%3A%2F%2Fwww.webofscience.com%2Fwos%2Fwoscc%2Ffull-record%2FWOS:000623368700007","View Full Record in Web of Science")</f>
        <v>View Full Record in Web of Science</v>
      </c>
    </row>
    <row r="95" spans="1:73" x14ac:dyDescent="0.25">
      <c r="A95" s="1">
        <v>94</v>
      </c>
      <c r="B95" s="1" t="s">
        <v>1506</v>
      </c>
      <c r="C95" s="1" t="s">
        <v>5073</v>
      </c>
      <c r="D95" s="1" t="s">
        <v>1507</v>
      </c>
      <c r="E95" s="1" t="s">
        <v>1507</v>
      </c>
      <c r="F95" s="1" t="s">
        <v>1507</v>
      </c>
      <c r="G95" s="1" t="s">
        <v>5074</v>
      </c>
      <c r="H95" s="1" t="s">
        <v>1507</v>
      </c>
      <c r="I95" s="1" t="s">
        <v>1507</v>
      </c>
      <c r="J95" s="1" t="s">
        <v>693</v>
      </c>
      <c r="K95" s="1" t="s">
        <v>5075</v>
      </c>
      <c r="L95" s="1" t="s">
        <v>1507</v>
      </c>
      <c r="M95" s="1" t="s">
        <v>1507</v>
      </c>
      <c r="N95" s="1" t="s">
        <v>42</v>
      </c>
      <c r="O95" s="1" t="s">
        <v>56</v>
      </c>
      <c r="P95" s="1" t="s">
        <v>1507</v>
      </c>
      <c r="Q95" s="1" t="s">
        <v>1507</v>
      </c>
      <c r="R95" s="1" t="s">
        <v>1507</v>
      </c>
      <c r="S95" s="1" t="s">
        <v>1507</v>
      </c>
      <c r="T95" s="1" t="s">
        <v>1507</v>
      </c>
      <c r="U95" s="1" t="s">
        <v>5076</v>
      </c>
      <c r="V95" s="1" t="s">
        <v>5077</v>
      </c>
      <c r="W95" s="1" t="s">
        <v>5078</v>
      </c>
      <c r="X95" s="1" t="s">
        <v>5079</v>
      </c>
      <c r="Y95" s="1" t="s">
        <v>5080</v>
      </c>
      <c r="Z95" s="1" t="s">
        <v>5081</v>
      </c>
      <c r="AA95" s="1" t="s">
        <v>5082</v>
      </c>
      <c r="AB95" s="1" t="s">
        <v>14762</v>
      </c>
      <c r="AC95" s="1" t="s">
        <v>1507</v>
      </c>
      <c r="AD95" s="1" t="s">
        <v>5083</v>
      </c>
      <c r="AE95" s="1" t="s">
        <v>5084</v>
      </c>
      <c r="AF95" s="1" t="s">
        <v>5085</v>
      </c>
      <c r="AG95" s="1" t="s">
        <v>1507</v>
      </c>
      <c r="AH95" s="1">
        <v>30</v>
      </c>
      <c r="AI95" s="1">
        <v>3</v>
      </c>
      <c r="AJ95" s="1">
        <v>4</v>
      </c>
      <c r="AK95" s="1">
        <v>14</v>
      </c>
      <c r="AL95" s="1">
        <v>32</v>
      </c>
      <c r="AM95" s="1" t="s">
        <v>3156</v>
      </c>
      <c r="AN95" s="1" t="s">
        <v>3157</v>
      </c>
      <c r="AO95" s="1" t="s">
        <v>3158</v>
      </c>
      <c r="AP95" s="1" t="s">
        <v>5086</v>
      </c>
      <c r="AQ95" s="1" t="s">
        <v>5087</v>
      </c>
      <c r="AR95" s="1" t="s">
        <v>1507</v>
      </c>
      <c r="AS95" s="1" t="s">
        <v>5088</v>
      </c>
      <c r="AT95" s="1" t="s">
        <v>5089</v>
      </c>
      <c r="AU95" s="1" t="s">
        <v>4721</v>
      </c>
      <c r="AV95" s="1">
        <v>2023</v>
      </c>
      <c r="AW95" s="1">
        <v>142</v>
      </c>
      <c r="AX95" s="1" t="s">
        <v>1507</v>
      </c>
      <c r="AY95" s="1" t="s">
        <v>1507</v>
      </c>
      <c r="AZ95" s="1" t="s">
        <v>1507</v>
      </c>
      <c r="BA95" s="1" t="s">
        <v>1507</v>
      </c>
      <c r="BB95" s="1" t="s">
        <v>1507</v>
      </c>
      <c r="BC95" s="1" t="s">
        <v>1507</v>
      </c>
      <c r="BD95" s="1" t="s">
        <v>1507</v>
      </c>
      <c r="BE95" s="1">
        <v>104370</v>
      </c>
      <c r="BF95" s="1" t="s">
        <v>695</v>
      </c>
      <c r="BG95" s="1" t="str">
        <f>HYPERLINK("http://dx.doi.org/10.1016/j.jbi.2023.104370","http://dx.doi.org/10.1016/j.jbi.2023.104370")</f>
        <v>http://dx.doi.org/10.1016/j.jbi.2023.104370</v>
      </c>
      <c r="BH95" s="1" t="s">
        <v>1507</v>
      </c>
      <c r="BI95" s="1" t="s">
        <v>5090</v>
      </c>
      <c r="BJ95" s="1">
        <v>6</v>
      </c>
      <c r="BK95" s="1" t="s">
        <v>5091</v>
      </c>
      <c r="BL95" s="1" t="s">
        <v>1573</v>
      </c>
      <c r="BM95" s="1" t="s">
        <v>5092</v>
      </c>
      <c r="BN95" s="1" t="s">
        <v>5093</v>
      </c>
      <c r="BO95" s="1">
        <v>37100106</v>
      </c>
      <c r="BP95" s="1" t="s">
        <v>9611</v>
      </c>
      <c r="BQ95" s="1" t="s">
        <v>1507</v>
      </c>
      <c r="BR95" s="1" t="s">
        <v>1507</v>
      </c>
      <c r="BS95" s="1" t="s">
        <v>13744</v>
      </c>
      <c r="BT95" s="1" t="s">
        <v>5094</v>
      </c>
      <c r="BU95" s="1" t="str">
        <f>HYPERLINK("https%3A%2F%2Fwww.webofscience.com%2Fwos%2Fwoscc%2Ffull-record%2FWOS:000991137100001","View Full Record in Web of Science")</f>
        <v>View Full Record in Web of Science</v>
      </c>
    </row>
    <row r="96" spans="1:73" x14ac:dyDescent="0.25">
      <c r="A96" s="1">
        <v>95</v>
      </c>
      <c r="B96" s="1" t="s">
        <v>1506</v>
      </c>
      <c r="C96" s="1" t="s">
        <v>11926</v>
      </c>
      <c r="D96" s="1" t="s">
        <v>1507</v>
      </c>
      <c r="E96" s="1" t="s">
        <v>1507</v>
      </c>
      <c r="F96" s="1" t="s">
        <v>1507</v>
      </c>
      <c r="G96" s="1" t="s">
        <v>11927</v>
      </c>
      <c r="H96" s="1" t="s">
        <v>1507</v>
      </c>
      <c r="I96" s="1" t="s">
        <v>1507</v>
      </c>
      <c r="J96" s="1" t="s">
        <v>11928</v>
      </c>
      <c r="K96" s="1" t="s">
        <v>11929</v>
      </c>
      <c r="L96" s="1" t="s">
        <v>1507</v>
      </c>
      <c r="M96" s="1" t="s">
        <v>1507</v>
      </c>
      <c r="N96" s="1" t="s">
        <v>42</v>
      </c>
      <c r="O96" s="1" t="s">
        <v>56</v>
      </c>
      <c r="P96" s="1" t="s">
        <v>1507</v>
      </c>
      <c r="Q96" s="1" t="s">
        <v>1507</v>
      </c>
      <c r="R96" s="1" t="s">
        <v>1507</v>
      </c>
      <c r="S96" s="1" t="s">
        <v>1507</v>
      </c>
      <c r="T96" s="1" t="s">
        <v>1507</v>
      </c>
      <c r="U96" s="1" t="s">
        <v>11930</v>
      </c>
      <c r="V96" s="1" t="s">
        <v>11931</v>
      </c>
      <c r="W96" s="1" t="s">
        <v>11932</v>
      </c>
      <c r="X96" s="1" t="s">
        <v>11933</v>
      </c>
      <c r="Y96" s="1" t="s">
        <v>16034</v>
      </c>
      <c r="Z96" s="1" t="s">
        <v>11934</v>
      </c>
      <c r="AA96" s="1" t="s">
        <v>11935</v>
      </c>
      <c r="AB96" s="1" t="s">
        <v>16035</v>
      </c>
      <c r="AC96" s="1" t="s">
        <v>1507</v>
      </c>
      <c r="AD96" s="1" t="s">
        <v>11936</v>
      </c>
      <c r="AE96" s="1" t="s">
        <v>11937</v>
      </c>
      <c r="AF96" s="1" t="s">
        <v>11938</v>
      </c>
      <c r="AG96" s="1" t="s">
        <v>1507</v>
      </c>
      <c r="AH96" s="1">
        <v>59</v>
      </c>
      <c r="AI96" s="1">
        <v>16</v>
      </c>
      <c r="AJ96" s="1">
        <v>19</v>
      </c>
      <c r="AK96" s="1">
        <v>1</v>
      </c>
      <c r="AL96" s="1">
        <v>2</v>
      </c>
      <c r="AM96" s="1" t="s">
        <v>11939</v>
      </c>
      <c r="AN96" s="1" t="s">
        <v>11940</v>
      </c>
      <c r="AO96" s="1" t="s">
        <v>11941</v>
      </c>
      <c r="AP96" s="1" t="s">
        <v>11942</v>
      </c>
      <c r="AQ96" s="1" t="s">
        <v>1507</v>
      </c>
      <c r="AR96" s="1" t="s">
        <v>1507</v>
      </c>
      <c r="AS96" s="1" t="s">
        <v>11943</v>
      </c>
      <c r="AT96" s="1" t="s">
        <v>11944</v>
      </c>
      <c r="AU96" s="1" t="s">
        <v>1507</v>
      </c>
      <c r="AV96" s="1">
        <v>2018</v>
      </c>
      <c r="AW96" s="1">
        <v>8</v>
      </c>
      <c r="AX96" s="1">
        <v>9</v>
      </c>
      <c r="AY96" s="1" t="s">
        <v>1507</v>
      </c>
      <c r="AZ96" s="1" t="s">
        <v>1507</v>
      </c>
      <c r="BA96" s="1" t="s">
        <v>1507</v>
      </c>
      <c r="BB96" s="1" t="s">
        <v>1507</v>
      </c>
      <c r="BC96" s="1">
        <v>1887</v>
      </c>
      <c r="BD96" s="1" t="s">
        <v>1774</v>
      </c>
      <c r="BE96" s="1" t="s">
        <v>1507</v>
      </c>
      <c r="BF96" s="1" t="s">
        <v>1507</v>
      </c>
      <c r="BG96" s="1" t="s">
        <v>1507</v>
      </c>
      <c r="BH96" s="1" t="s">
        <v>1507</v>
      </c>
      <c r="BI96" s="1" t="s">
        <v>1507</v>
      </c>
      <c r="BJ96" s="1">
        <v>13</v>
      </c>
      <c r="BK96" s="1" t="s">
        <v>3875</v>
      </c>
      <c r="BL96" s="1" t="s">
        <v>1573</v>
      </c>
      <c r="BM96" s="1" t="s">
        <v>3875</v>
      </c>
      <c r="BN96" s="1" t="s">
        <v>11945</v>
      </c>
      <c r="BO96" s="1">
        <v>30323980</v>
      </c>
      <c r="BP96" s="1" t="s">
        <v>1507</v>
      </c>
      <c r="BQ96" s="1" t="s">
        <v>1507</v>
      </c>
      <c r="BR96" s="1" t="s">
        <v>1507</v>
      </c>
      <c r="BS96" s="1" t="s">
        <v>13744</v>
      </c>
      <c r="BT96" s="1" t="s">
        <v>11946</v>
      </c>
      <c r="BU96" s="1" t="str">
        <f>HYPERLINK("https%3A%2F%2Fwww.webofscience.com%2Fwos%2Fwoscc%2Ffull-record%2FWOS:000445929700020","View Full Record in Web of Science")</f>
        <v>View Full Record in Web of Science</v>
      </c>
    </row>
    <row r="97" spans="1:73" x14ac:dyDescent="0.25">
      <c r="A97" s="1">
        <v>96</v>
      </c>
      <c r="B97" s="1" t="s">
        <v>5546</v>
      </c>
      <c r="C97" s="1" t="s">
        <v>5653</v>
      </c>
      <c r="D97" s="1" t="s">
        <v>1507</v>
      </c>
      <c r="E97" s="1" t="s">
        <v>1507</v>
      </c>
      <c r="F97" s="1" t="s">
        <v>5548</v>
      </c>
      <c r="G97" s="1" t="s">
        <v>5654</v>
      </c>
      <c r="H97" s="1" t="s">
        <v>1507</v>
      </c>
      <c r="I97" s="1" t="s">
        <v>1507</v>
      </c>
      <c r="J97" s="1" t="s">
        <v>5655</v>
      </c>
      <c r="K97" s="1" t="s">
        <v>5656</v>
      </c>
      <c r="L97" s="1" t="s">
        <v>1507</v>
      </c>
      <c r="M97" s="1" t="s">
        <v>1507</v>
      </c>
      <c r="N97" s="1" t="s">
        <v>42</v>
      </c>
      <c r="O97" s="1" t="s">
        <v>5552</v>
      </c>
      <c r="P97" s="1" t="s">
        <v>5657</v>
      </c>
      <c r="Q97" s="1" t="s">
        <v>5658</v>
      </c>
      <c r="R97" s="1" t="s">
        <v>5659</v>
      </c>
      <c r="S97" s="1" t="s">
        <v>5660</v>
      </c>
      <c r="T97" s="1" t="s">
        <v>1507</v>
      </c>
      <c r="U97" s="1" t="s">
        <v>5661</v>
      </c>
      <c r="V97" s="1" t="s">
        <v>1507</v>
      </c>
      <c r="W97" s="1" t="s">
        <v>5662</v>
      </c>
      <c r="X97" s="1" t="s">
        <v>5663</v>
      </c>
      <c r="Y97" s="1" t="s">
        <v>14888</v>
      </c>
      <c r="Z97" s="1" t="s">
        <v>5664</v>
      </c>
      <c r="AA97" s="1" t="s">
        <v>5665</v>
      </c>
      <c r="AB97" s="1" t="s">
        <v>1507</v>
      </c>
      <c r="AC97" s="1" t="s">
        <v>1507</v>
      </c>
      <c r="AD97" s="1" t="s">
        <v>5666</v>
      </c>
      <c r="AE97" s="1" t="s">
        <v>5666</v>
      </c>
      <c r="AF97" s="1" t="s">
        <v>5667</v>
      </c>
      <c r="AG97" s="1" t="s">
        <v>1507</v>
      </c>
      <c r="AH97" s="1">
        <v>72</v>
      </c>
      <c r="AI97" s="1">
        <v>0</v>
      </c>
      <c r="AJ97" s="1">
        <v>0</v>
      </c>
      <c r="AK97" s="1">
        <v>3</v>
      </c>
      <c r="AL97" s="1">
        <v>3</v>
      </c>
      <c r="AM97" s="1" t="s">
        <v>5565</v>
      </c>
      <c r="AN97" s="1" t="s">
        <v>1512</v>
      </c>
      <c r="AO97" s="1" t="s">
        <v>5566</v>
      </c>
      <c r="AP97" s="1" t="s">
        <v>1507</v>
      </c>
      <c r="AQ97" s="1" t="s">
        <v>1507</v>
      </c>
      <c r="AR97" s="1" t="s">
        <v>5668</v>
      </c>
      <c r="AS97" s="1" t="s">
        <v>1507</v>
      </c>
      <c r="AT97" s="1" t="s">
        <v>1507</v>
      </c>
      <c r="AU97" s="1" t="s">
        <v>1507</v>
      </c>
      <c r="AV97" s="1">
        <v>2023</v>
      </c>
      <c r="AW97" s="1" t="s">
        <v>1507</v>
      </c>
      <c r="AX97" s="1" t="s">
        <v>1507</v>
      </c>
      <c r="AY97" s="1" t="s">
        <v>1507</v>
      </c>
      <c r="AZ97" s="1" t="s">
        <v>1507</v>
      </c>
      <c r="BA97" s="1" t="s">
        <v>1507</v>
      </c>
      <c r="BB97" s="1" t="s">
        <v>1507</v>
      </c>
      <c r="BC97" s="1">
        <v>366</v>
      </c>
      <c r="BD97" s="1">
        <v>378</v>
      </c>
      <c r="BE97" s="1" t="s">
        <v>1507</v>
      </c>
      <c r="BF97" s="1" t="s">
        <v>5669</v>
      </c>
      <c r="BG97" s="1" t="str">
        <f>HYPERLINK("http://dx.doi.org/10.1145/3627106.3627196","http://dx.doi.org/10.1145/3627106.3627196")</f>
        <v>http://dx.doi.org/10.1145/3627106.3627196</v>
      </c>
      <c r="BH97" s="1" t="s">
        <v>1507</v>
      </c>
      <c r="BI97" s="1" t="s">
        <v>1507</v>
      </c>
      <c r="BJ97" s="1">
        <v>13</v>
      </c>
      <c r="BK97" s="1" t="s">
        <v>5670</v>
      </c>
      <c r="BL97" s="1" t="s">
        <v>5570</v>
      </c>
      <c r="BM97" s="1" t="s">
        <v>5671</v>
      </c>
      <c r="BN97" s="1" t="s">
        <v>5672</v>
      </c>
      <c r="BO97" s="1" t="s">
        <v>1507</v>
      </c>
      <c r="BP97" s="1" t="s">
        <v>1537</v>
      </c>
      <c r="BQ97" s="1" t="s">
        <v>1507</v>
      </c>
      <c r="BR97" s="1" t="s">
        <v>1507</v>
      </c>
      <c r="BS97" s="1" t="s">
        <v>13744</v>
      </c>
      <c r="BT97" s="1" t="s">
        <v>5673</v>
      </c>
      <c r="BU97" s="1" t="str">
        <f>HYPERLINK("https%3A%2F%2Fwww.webofscience.com%2Fwos%2Fwoscc%2Ffull-record%2FWOS:001148013400028","View Full Record in Web of Science")</f>
        <v>View Full Record in Web of Science</v>
      </c>
    </row>
    <row r="98" spans="1:73" x14ac:dyDescent="0.25">
      <c r="A98" s="1">
        <v>97</v>
      </c>
      <c r="B98" s="1" t="s">
        <v>1506</v>
      </c>
      <c r="C98" s="1" t="s">
        <v>13807</v>
      </c>
      <c r="D98" s="1" t="s">
        <v>1507</v>
      </c>
      <c r="E98" s="1" t="s">
        <v>1507</v>
      </c>
      <c r="F98" s="1" t="s">
        <v>1507</v>
      </c>
      <c r="G98" s="1" t="s">
        <v>13808</v>
      </c>
      <c r="H98" s="1" t="s">
        <v>1507</v>
      </c>
      <c r="I98" s="1" t="s">
        <v>1507</v>
      </c>
      <c r="J98" s="1" t="s">
        <v>13809</v>
      </c>
      <c r="K98" s="1" t="s">
        <v>3251</v>
      </c>
      <c r="L98" s="1" t="s">
        <v>1507</v>
      </c>
      <c r="M98" s="1" t="s">
        <v>1507</v>
      </c>
      <c r="N98" s="1" t="s">
        <v>42</v>
      </c>
      <c r="O98" s="1" t="s">
        <v>56</v>
      </c>
      <c r="P98" s="1" t="s">
        <v>1507</v>
      </c>
      <c r="Q98" s="1" t="s">
        <v>1507</v>
      </c>
      <c r="R98" s="1" t="s">
        <v>1507</v>
      </c>
      <c r="S98" s="1" t="s">
        <v>1507</v>
      </c>
      <c r="T98" s="1" t="s">
        <v>1507</v>
      </c>
      <c r="U98" s="1" t="s">
        <v>13810</v>
      </c>
      <c r="V98" s="1" t="s">
        <v>13811</v>
      </c>
      <c r="W98" s="1" t="s">
        <v>13812</v>
      </c>
      <c r="X98" s="1" t="s">
        <v>13813</v>
      </c>
      <c r="Y98" s="1" t="s">
        <v>13814</v>
      </c>
      <c r="Z98" s="1" t="s">
        <v>13815</v>
      </c>
      <c r="AA98" s="1" t="s">
        <v>13816</v>
      </c>
      <c r="AB98" s="1" t="s">
        <v>1507</v>
      </c>
      <c r="AC98" s="1" t="s">
        <v>1507</v>
      </c>
      <c r="AD98" s="1" t="s">
        <v>13817</v>
      </c>
      <c r="AE98" s="1" t="s">
        <v>13818</v>
      </c>
      <c r="AF98" s="1" t="s">
        <v>13819</v>
      </c>
      <c r="AG98" s="1" t="s">
        <v>1507</v>
      </c>
      <c r="AH98" s="1">
        <v>79</v>
      </c>
      <c r="AI98" s="1">
        <v>1</v>
      </c>
      <c r="AJ98" s="1">
        <v>1</v>
      </c>
      <c r="AK98" s="1">
        <v>19</v>
      </c>
      <c r="AL98" s="1">
        <v>19</v>
      </c>
      <c r="AM98" s="1" t="s">
        <v>3263</v>
      </c>
      <c r="AN98" s="1" t="s">
        <v>2300</v>
      </c>
      <c r="AO98" s="1" t="s">
        <v>3264</v>
      </c>
      <c r="AP98" s="1" t="s">
        <v>3265</v>
      </c>
      <c r="AQ98" s="1" t="s">
        <v>3266</v>
      </c>
      <c r="AR98" s="1" t="s">
        <v>1507</v>
      </c>
      <c r="AS98" s="1" t="s">
        <v>3267</v>
      </c>
      <c r="AT98" s="1" t="s">
        <v>3268</v>
      </c>
      <c r="AU98" s="1" t="s">
        <v>13820</v>
      </c>
      <c r="AV98" s="1">
        <v>2023</v>
      </c>
      <c r="AW98" s="1">
        <v>120</v>
      </c>
      <c r="AX98" s="1">
        <v>51</v>
      </c>
      <c r="AY98" s="1" t="s">
        <v>1507</v>
      </c>
      <c r="AZ98" s="1" t="s">
        <v>1507</v>
      </c>
      <c r="BA98" s="1" t="s">
        <v>1507</v>
      </c>
      <c r="BB98" s="1" t="s">
        <v>1507</v>
      </c>
      <c r="BC98" s="1" t="s">
        <v>1507</v>
      </c>
      <c r="BD98" s="1" t="s">
        <v>1507</v>
      </c>
      <c r="BE98" s="1">
        <v>2316205120</v>
      </c>
      <c r="BF98" s="1" t="s">
        <v>13821</v>
      </c>
      <c r="BG98" s="1" t="str">
        <f>HYPERLINK("http://dx.doi.org/10.1073/pnas.2316205120","http://dx.doi.org/10.1073/pnas.2316205120")</f>
        <v>http://dx.doi.org/10.1073/pnas.2316205120</v>
      </c>
      <c r="BH98" s="1" t="s">
        <v>1507</v>
      </c>
      <c r="BI98" s="1" t="s">
        <v>1507</v>
      </c>
      <c r="BJ98" s="1">
        <v>9</v>
      </c>
      <c r="BK98" s="1" t="s">
        <v>1776</v>
      </c>
      <c r="BL98" s="1" t="s">
        <v>1573</v>
      </c>
      <c r="BM98" s="1" t="s">
        <v>1777</v>
      </c>
      <c r="BN98" s="1" t="s">
        <v>13822</v>
      </c>
      <c r="BO98" s="1">
        <v>38085780</v>
      </c>
      <c r="BP98" s="1" t="s">
        <v>2574</v>
      </c>
      <c r="BQ98" s="1" t="s">
        <v>1507</v>
      </c>
      <c r="BR98" s="1" t="s">
        <v>1507</v>
      </c>
      <c r="BS98" s="1" t="s">
        <v>13744</v>
      </c>
      <c r="BT98" s="1" t="s">
        <v>13823</v>
      </c>
      <c r="BU98" s="1" t="str">
        <f>HYPERLINK("https%3A%2F%2Fwww.webofscience.com%2Fwos%2Fwoscc%2Ffull-record%2FWOS:001157836300008","View Full Record in Web of Science")</f>
        <v>View Full Record in Web of Science</v>
      </c>
    </row>
    <row r="99" spans="1:73" x14ac:dyDescent="0.25">
      <c r="A99" s="1">
        <v>98</v>
      </c>
      <c r="B99" s="1" t="s">
        <v>1506</v>
      </c>
      <c r="C99" s="1" t="s">
        <v>9156</v>
      </c>
      <c r="D99" s="1" t="s">
        <v>1507</v>
      </c>
      <c r="E99" s="1" t="s">
        <v>1507</v>
      </c>
      <c r="F99" s="1" t="s">
        <v>1507</v>
      </c>
      <c r="G99" s="1" t="s">
        <v>9157</v>
      </c>
      <c r="H99" s="1" t="s">
        <v>1507</v>
      </c>
      <c r="I99" s="1" t="s">
        <v>1507</v>
      </c>
      <c r="J99" s="1" t="s">
        <v>9158</v>
      </c>
      <c r="K99" s="1" t="s">
        <v>1625</v>
      </c>
      <c r="L99" s="1" t="s">
        <v>1507</v>
      </c>
      <c r="M99" s="1" t="s">
        <v>1507</v>
      </c>
      <c r="N99" s="1" t="s">
        <v>42</v>
      </c>
      <c r="O99" s="1" t="s">
        <v>56</v>
      </c>
      <c r="P99" s="1" t="s">
        <v>1507</v>
      </c>
      <c r="Q99" s="1" t="s">
        <v>1507</v>
      </c>
      <c r="R99" s="1" t="s">
        <v>1507</v>
      </c>
      <c r="S99" s="1" t="s">
        <v>1507</v>
      </c>
      <c r="T99" s="1" t="s">
        <v>1507</v>
      </c>
      <c r="U99" s="1" t="s">
        <v>9159</v>
      </c>
      <c r="V99" s="1" t="s">
        <v>1507</v>
      </c>
      <c r="W99" s="1" t="s">
        <v>9160</v>
      </c>
      <c r="X99" s="1" t="s">
        <v>9161</v>
      </c>
      <c r="Y99" s="1" t="s">
        <v>9162</v>
      </c>
      <c r="Z99" s="1" t="s">
        <v>9163</v>
      </c>
      <c r="AA99" s="1" t="s">
        <v>9164</v>
      </c>
      <c r="AB99" s="1" t="s">
        <v>1507</v>
      </c>
      <c r="AC99" s="1" t="s">
        <v>9165</v>
      </c>
      <c r="AD99" s="1" t="s">
        <v>9166</v>
      </c>
      <c r="AE99" s="1" t="s">
        <v>9167</v>
      </c>
      <c r="AF99" s="1" t="s">
        <v>9168</v>
      </c>
      <c r="AG99" s="1" t="s">
        <v>1507</v>
      </c>
      <c r="AH99" s="1">
        <v>48</v>
      </c>
      <c r="AI99" s="1">
        <v>4</v>
      </c>
      <c r="AJ99" s="1">
        <v>4</v>
      </c>
      <c r="AK99" s="1">
        <v>3</v>
      </c>
      <c r="AL99" s="1">
        <v>19</v>
      </c>
      <c r="AM99" s="1" t="s">
        <v>1626</v>
      </c>
      <c r="AN99" s="1" t="s">
        <v>1627</v>
      </c>
      <c r="AO99" s="1" t="s">
        <v>1628</v>
      </c>
      <c r="AP99" s="1" t="s">
        <v>1629</v>
      </c>
      <c r="AQ99" s="1" t="s">
        <v>1507</v>
      </c>
      <c r="AR99" s="1" t="s">
        <v>1507</v>
      </c>
      <c r="AS99" s="1" t="s">
        <v>1625</v>
      </c>
      <c r="AT99" s="1" t="s">
        <v>1630</v>
      </c>
      <c r="AU99" s="1" t="s">
        <v>1507</v>
      </c>
      <c r="AV99" s="1">
        <v>2021</v>
      </c>
      <c r="AW99" s="1">
        <v>9</v>
      </c>
      <c r="AX99" s="1" t="s">
        <v>1507</v>
      </c>
      <c r="AY99" s="1" t="s">
        <v>1507</v>
      </c>
      <c r="AZ99" s="1" t="s">
        <v>1507</v>
      </c>
      <c r="BA99" s="1" t="s">
        <v>1507</v>
      </c>
      <c r="BB99" s="1" t="s">
        <v>1507</v>
      </c>
      <c r="BC99" s="1">
        <v>106703</v>
      </c>
      <c r="BD99" s="1">
        <v>106713</v>
      </c>
      <c r="BE99" s="1" t="s">
        <v>1507</v>
      </c>
      <c r="BF99" s="1" t="s">
        <v>9169</v>
      </c>
      <c r="BG99" s="1" t="str">
        <f>HYPERLINK("http://dx.doi.org/10.1109/ACCESS.2021.3100299","http://dx.doi.org/10.1109/ACCESS.2021.3100299")</f>
        <v>http://dx.doi.org/10.1109/ACCESS.2021.3100299</v>
      </c>
      <c r="BH99" s="1" t="s">
        <v>1507</v>
      </c>
      <c r="BI99" s="1" t="s">
        <v>1507</v>
      </c>
      <c r="BJ99" s="1">
        <v>11</v>
      </c>
      <c r="BK99" s="1" t="s">
        <v>1631</v>
      </c>
      <c r="BL99" s="1" t="s">
        <v>1573</v>
      </c>
      <c r="BM99" s="1" t="s">
        <v>1632</v>
      </c>
      <c r="BN99" s="1" t="s">
        <v>9170</v>
      </c>
      <c r="BO99" s="1" t="s">
        <v>1507</v>
      </c>
      <c r="BP99" s="1" t="s">
        <v>1531</v>
      </c>
      <c r="BQ99" s="1" t="s">
        <v>1507</v>
      </c>
      <c r="BR99" s="1" t="s">
        <v>1507</v>
      </c>
      <c r="BS99" s="1" t="s">
        <v>13744</v>
      </c>
      <c r="BT99" s="1" t="s">
        <v>9171</v>
      </c>
      <c r="BU99" s="1" t="str">
        <f>HYPERLINK("https%3A%2F%2Fwww.webofscience.com%2Fwos%2Fwoscc%2Ffull-record%2FWOS:000681081100001","View Full Record in Web of Science")</f>
        <v>View Full Record in Web of Science</v>
      </c>
    </row>
    <row r="100" spans="1:73" x14ac:dyDescent="0.25">
      <c r="A100" s="1">
        <v>99</v>
      </c>
      <c r="B100" s="1" t="s">
        <v>1506</v>
      </c>
      <c r="C100" s="1" t="s">
        <v>11309</v>
      </c>
      <c r="D100" s="1" t="s">
        <v>1507</v>
      </c>
      <c r="E100" s="1" t="s">
        <v>1507</v>
      </c>
      <c r="F100" s="1" t="s">
        <v>1507</v>
      </c>
      <c r="G100" s="1" t="s">
        <v>11310</v>
      </c>
      <c r="H100" s="1" t="s">
        <v>1507</v>
      </c>
      <c r="I100" s="1" t="s">
        <v>1507</v>
      </c>
      <c r="J100" s="1" t="s">
        <v>11311</v>
      </c>
      <c r="K100" s="1" t="s">
        <v>7697</v>
      </c>
      <c r="L100" s="1" t="s">
        <v>1507</v>
      </c>
      <c r="M100" s="1" t="s">
        <v>1507</v>
      </c>
      <c r="N100" s="1" t="s">
        <v>42</v>
      </c>
      <c r="O100" s="1" t="s">
        <v>56</v>
      </c>
      <c r="P100" s="1" t="s">
        <v>1507</v>
      </c>
      <c r="Q100" s="1" t="s">
        <v>1507</v>
      </c>
      <c r="R100" s="1" t="s">
        <v>1507</v>
      </c>
      <c r="S100" s="1" t="s">
        <v>1507</v>
      </c>
      <c r="T100" s="1" t="s">
        <v>1507</v>
      </c>
      <c r="U100" s="1" t="s">
        <v>1507</v>
      </c>
      <c r="V100" s="1" t="s">
        <v>1507</v>
      </c>
      <c r="W100" s="1" t="s">
        <v>11312</v>
      </c>
      <c r="X100" s="1" t="s">
        <v>11313</v>
      </c>
      <c r="Y100" s="1" t="s">
        <v>11314</v>
      </c>
      <c r="Z100" s="1" t="s">
        <v>11315</v>
      </c>
      <c r="AA100" s="1" t="s">
        <v>1507</v>
      </c>
      <c r="AB100" s="1" t="s">
        <v>15944</v>
      </c>
      <c r="AC100" s="1" t="s">
        <v>15945</v>
      </c>
      <c r="AD100" s="1" t="s">
        <v>11316</v>
      </c>
      <c r="AE100" s="1" t="s">
        <v>11316</v>
      </c>
      <c r="AF100" s="1" t="s">
        <v>11317</v>
      </c>
      <c r="AG100" s="1" t="s">
        <v>1507</v>
      </c>
      <c r="AH100" s="1">
        <v>32</v>
      </c>
      <c r="AI100" s="1">
        <v>2</v>
      </c>
      <c r="AJ100" s="1">
        <v>2</v>
      </c>
      <c r="AK100" s="1">
        <v>4</v>
      </c>
      <c r="AL100" s="1">
        <v>16</v>
      </c>
      <c r="AM100" s="1" t="s">
        <v>7708</v>
      </c>
      <c r="AN100" s="1" t="s">
        <v>7709</v>
      </c>
      <c r="AO100" s="1" t="s">
        <v>7710</v>
      </c>
      <c r="AP100" s="1" t="s">
        <v>7711</v>
      </c>
      <c r="AQ100" s="1" t="s">
        <v>1507</v>
      </c>
      <c r="AR100" s="1" t="s">
        <v>1507</v>
      </c>
      <c r="AS100" s="1" t="s">
        <v>7712</v>
      </c>
      <c r="AT100" s="1" t="s">
        <v>7713</v>
      </c>
      <c r="AU100" s="1" t="s">
        <v>1507</v>
      </c>
      <c r="AV100" s="1">
        <v>2019</v>
      </c>
      <c r="AW100" s="1">
        <v>49</v>
      </c>
      <c r="AX100" s="1" t="s">
        <v>1507</v>
      </c>
      <c r="AY100" s="1">
        <v>2</v>
      </c>
      <c r="AZ100" s="1" t="s">
        <v>1507</v>
      </c>
      <c r="BA100" s="1" t="s">
        <v>1507</v>
      </c>
      <c r="BB100" s="1" t="s">
        <v>1507</v>
      </c>
      <c r="BC100" s="1">
        <v>719</v>
      </c>
      <c r="BD100" s="1">
        <v>748</v>
      </c>
      <c r="BE100" s="1" t="s">
        <v>1507</v>
      </c>
      <c r="BF100" s="1" t="s">
        <v>1507</v>
      </c>
      <c r="BG100" s="1" t="s">
        <v>1507</v>
      </c>
      <c r="BH100" s="1" t="s">
        <v>1507</v>
      </c>
      <c r="BI100" s="1" t="s">
        <v>1507</v>
      </c>
      <c r="BJ100" s="1">
        <v>30</v>
      </c>
      <c r="BK100" s="1" t="s">
        <v>1535</v>
      </c>
      <c r="BL100" s="1" t="s">
        <v>1518</v>
      </c>
      <c r="BM100" s="1" t="s">
        <v>1536</v>
      </c>
      <c r="BN100" s="1" t="s">
        <v>11318</v>
      </c>
      <c r="BO100" s="1" t="s">
        <v>1507</v>
      </c>
      <c r="BP100" s="1" t="s">
        <v>1507</v>
      </c>
      <c r="BQ100" s="1" t="s">
        <v>1507</v>
      </c>
      <c r="BR100" s="1" t="s">
        <v>1507</v>
      </c>
      <c r="BS100" s="1" t="s">
        <v>13744</v>
      </c>
      <c r="BT100" s="1" t="s">
        <v>11319</v>
      </c>
      <c r="BU100" s="1" t="str">
        <f>HYPERLINK("https%3A%2F%2Fwww.webofscience.com%2Fwos%2Fwoscc%2Ffull-record%2FWOS:000485086500013","View Full Record in Web of Science")</f>
        <v>View Full Record in Web of Science</v>
      </c>
    </row>
    <row r="101" spans="1:73" x14ac:dyDescent="0.25">
      <c r="A101" s="1">
        <v>100</v>
      </c>
      <c r="B101" s="1" t="s">
        <v>1506</v>
      </c>
      <c r="C101" s="1" t="s">
        <v>7694</v>
      </c>
      <c r="D101" s="1" t="s">
        <v>1507</v>
      </c>
      <c r="E101" s="1" t="s">
        <v>1507</v>
      </c>
      <c r="F101" s="1" t="s">
        <v>1507</v>
      </c>
      <c r="G101" s="1" t="s">
        <v>7695</v>
      </c>
      <c r="H101" s="1" t="s">
        <v>1507</v>
      </c>
      <c r="I101" s="1" t="s">
        <v>1507</v>
      </c>
      <c r="J101" s="1" t="s">
        <v>7696</v>
      </c>
      <c r="K101" s="1" t="s">
        <v>7697</v>
      </c>
      <c r="L101" s="1" t="s">
        <v>1507</v>
      </c>
      <c r="M101" s="1" t="s">
        <v>1507</v>
      </c>
      <c r="N101" s="1" t="s">
        <v>42</v>
      </c>
      <c r="O101" s="1" t="s">
        <v>56</v>
      </c>
      <c r="P101" s="1" t="s">
        <v>1507</v>
      </c>
      <c r="Q101" s="1" t="s">
        <v>1507</v>
      </c>
      <c r="R101" s="1" t="s">
        <v>1507</v>
      </c>
      <c r="S101" s="1" t="s">
        <v>1507</v>
      </c>
      <c r="T101" s="1" t="s">
        <v>1507</v>
      </c>
      <c r="U101" s="1" t="s">
        <v>1507</v>
      </c>
      <c r="V101" s="1" t="s">
        <v>7698</v>
      </c>
      <c r="W101" s="1" t="s">
        <v>7699</v>
      </c>
      <c r="X101" s="1" t="s">
        <v>7700</v>
      </c>
      <c r="Y101" s="1" t="s">
        <v>7701</v>
      </c>
      <c r="Z101" s="1" t="s">
        <v>7702</v>
      </c>
      <c r="AA101" s="1" t="s">
        <v>1507</v>
      </c>
      <c r="AB101" s="1" t="s">
        <v>7703</v>
      </c>
      <c r="AC101" s="1" t="s">
        <v>7704</v>
      </c>
      <c r="AD101" s="1" t="s">
        <v>7705</v>
      </c>
      <c r="AE101" s="1" t="s">
        <v>7706</v>
      </c>
      <c r="AF101" s="1" t="s">
        <v>7707</v>
      </c>
      <c r="AG101" s="1" t="s">
        <v>1507</v>
      </c>
      <c r="AH101" s="1">
        <v>77</v>
      </c>
      <c r="AI101" s="1">
        <v>0</v>
      </c>
      <c r="AJ101" s="1">
        <v>0</v>
      </c>
      <c r="AK101" s="1">
        <v>2</v>
      </c>
      <c r="AL101" s="1">
        <v>4</v>
      </c>
      <c r="AM101" s="1" t="s">
        <v>7708</v>
      </c>
      <c r="AN101" s="1" t="s">
        <v>7709</v>
      </c>
      <c r="AO101" s="1" t="s">
        <v>7710</v>
      </c>
      <c r="AP101" s="1" t="s">
        <v>7711</v>
      </c>
      <c r="AQ101" s="1" t="s">
        <v>1507</v>
      </c>
      <c r="AR101" s="1" t="s">
        <v>1507</v>
      </c>
      <c r="AS101" s="1" t="s">
        <v>7712</v>
      </c>
      <c r="AT101" s="1" t="s">
        <v>7713</v>
      </c>
      <c r="AU101" s="1" t="s">
        <v>1507</v>
      </c>
      <c r="AV101" s="1">
        <v>2022</v>
      </c>
      <c r="AW101" s="1">
        <v>52</v>
      </c>
      <c r="AX101" s="1" t="s">
        <v>1507</v>
      </c>
      <c r="AY101" s="1">
        <v>1</v>
      </c>
      <c r="AZ101" s="1" t="s">
        <v>1507</v>
      </c>
      <c r="BA101" s="1" t="s">
        <v>1507</v>
      </c>
      <c r="BB101" s="1" t="s">
        <v>1507</v>
      </c>
      <c r="BC101" s="1">
        <v>157</v>
      </c>
      <c r="BD101" s="1">
        <v>181</v>
      </c>
      <c r="BE101" s="1" t="s">
        <v>1507</v>
      </c>
      <c r="BF101" s="1" t="s">
        <v>1507</v>
      </c>
      <c r="BG101" s="1" t="s">
        <v>1507</v>
      </c>
      <c r="BH101" s="1" t="s">
        <v>1507</v>
      </c>
      <c r="BI101" s="1" t="s">
        <v>1507</v>
      </c>
      <c r="BJ101" s="1">
        <v>25</v>
      </c>
      <c r="BK101" s="1" t="s">
        <v>1535</v>
      </c>
      <c r="BL101" s="1" t="s">
        <v>1518</v>
      </c>
      <c r="BM101" s="1" t="s">
        <v>1536</v>
      </c>
      <c r="BN101" s="1" t="s">
        <v>7714</v>
      </c>
      <c r="BO101" s="1" t="s">
        <v>1507</v>
      </c>
      <c r="BP101" s="1" t="s">
        <v>1507</v>
      </c>
      <c r="BQ101" s="1" t="s">
        <v>1507</v>
      </c>
      <c r="BR101" s="1" t="s">
        <v>1507</v>
      </c>
      <c r="BS101" s="1" t="s">
        <v>13744</v>
      </c>
      <c r="BT101" s="1" t="s">
        <v>7715</v>
      </c>
      <c r="BU101" s="1" t="str">
        <f>HYPERLINK("https%3A%2F%2Fwww.webofscience.com%2Fwos%2Fwoscc%2Ffull-record%2FWOS:000781969400007","View Full Record in Web of Science")</f>
        <v>View Full Record in Web of Science</v>
      </c>
    </row>
    <row r="102" spans="1:73" x14ac:dyDescent="0.25">
      <c r="A102" s="1">
        <v>101</v>
      </c>
      <c r="B102" s="1" t="s">
        <v>1506</v>
      </c>
      <c r="C102" s="1" t="s">
        <v>1697</v>
      </c>
      <c r="D102" s="1" t="s">
        <v>1507</v>
      </c>
      <c r="E102" s="1" t="s">
        <v>1507</v>
      </c>
      <c r="F102" s="1" t="s">
        <v>1507</v>
      </c>
      <c r="G102" s="1" t="s">
        <v>1698</v>
      </c>
      <c r="H102" s="1" t="s">
        <v>1507</v>
      </c>
      <c r="I102" s="1" t="s">
        <v>1507</v>
      </c>
      <c r="J102" s="1" t="s">
        <v>1699</v>
      </c>
      <c r="K102" s="1" t="s">
        <v>1657</v>
      </c>
      <c r="L102" s="1" t="s">
        <v>1507</v>
      </c>
      <c r="M102" s="1" t="s">
        <v>1507</v>
      </c>
      <c r="N102" s="1" t="s">
        <v>42</v>
      </c>
      <c r="O102" s="1" t="s">
        <v>56</v>
      </c>
      <c r="P102" s="1" t="s">
        <v>1507</v>
      </c>
      <c r="Q102" s="1" t="s">
        <v>1507</v>
      </c>
      <c r="R102" s="1" t="s">
        <v>1507</v>
      </c>
      <c r="S102" s="1" t="s">
        <v>1507</v>
      </c>
      <c r="T102" s="1" t="s">
        <v>1507</v>
      </c>
      <c r="U102" s="1" t="s">
        <v>1700</v>
      </c>
      <c r="V102" s="1" t="s">
        <v>1507</v>
      </c>
      <c r="W102" s="1" t="s">
        <v>1701</v>
      </c>
      <c r="X102" s="1" t="s">
        <v>1702</v>
      </c>
      <c r="Y102" s="1" t="s">
        <v>13770</v>
      </c>
      <c r="Z102" s="1" t="s">
        <v>1703</v>
      </c>
      <c r="AA102" s="1" t="s">
        <v>1704</v>
      </c>
      <c r="AB102" s="1" t="s">
        <v>13771</v>
      </c>
      <c r="AC102" s="1" t="s">
        <v>13772</v>
      </c>
      <c r="AD102" s="1" t="s">
        <v>1705</v>
      </c>
      <c r="AE102" s="1" t="s">
        <v>1706</v>
      </c>
      <c r="AF102" s="1" t="s">
        <v>1707</v>
      </c>
      <c r="AG102" s="1" t="s">
        <v>1507</v>
      </c>
      <c r="AH102" s="1">
        <v>11</v>
      </c>
      <c r="AI102" s="1">
        <v>0</v>
      </c>
      <c r="AJ102" s="1">
        <v>0</v>
      </c>
      <c r="AK102" s="1">
        <v>20</v>
      </c>
      <c r="AL102" s="1">
        <v>20</v>
      </c>
      <c r="AM102" s="1" t="s">
        <v>1667</v>
      </c>
      <c r="AN102" s="1" t="s">
        <v>1668</v>
      </c>
      <c r="AO102" s="1" t="s">
        <v>1669</v>
      </c>
      <c r="AP102" s="1" t="s">
        <v>1670</v>
      </c>
      <c r="AQ102" s="1" t="s">
        <v>1507</v>
      </c>
      <c r="AR102" s="1" t="s">
        <v>1507</v>
      </c>
      <c r="AS102" s="1" t="s">
        <v>1671</v>
      </c>
      <c r="AT102" s="1" t="s">
        <v>567</v>
      </c>
      <c r="AU102" s="1" t="s">
        <v>1708</v>
      </c>
      <c r="AV102" s="1">
        <v>2023</v>
      </c>
      <c r="AW102" s="1">
        <v>25</v>
      </c>
      <c r="AX102" s="1" t="s">
        <v>1507</v>
      </c>
      <c r="AY102" s="1" t="s">
        <v>1507</v>
      </c>
      <c r="AZ102" s="1" t="s">
        <v>1507</v>
      </c>
      <c r="BA102" s="1" t="s">
        <v>1507</v>
      </c>
      <c r="BB102" s="1" t="s">
        <v>1507</v>
      </c>
      <c r="BC102" s="1" t="s">
        <v>1507</v>
      </c>
      <c r="BD102" s="1" t="s">
        <v>1507</v>
      </c>
      <c r="BE102" s="1" t="s">
        <v>1709</v>
      </c>
      <c r="BF102" s="1" t="s">
        <v>1710</v>
      </c>
      <c r="BG102" s="1" t="str">
        <f>HYPERLINK("http://dx.doi.org/10.2196/51229","http://dx.doi.org/10.2196/51229")</f>
        <v>http://dx.doi.org/10.2196/51229</v>
      </c>
      <c r="BH102" s="1" t="s">
        <v>1507</v>
      </c>
      <c r="BI102" s="1" t="s">
        <v>1507</v>
      </c>
      <c r="BJ102" s="1">
        <v>9</v>
      </c>
      <c r="BK102" s="1" t="s">
        <v>1585</v>
      </c>
      <c r="BL102" s="1" t="s">
        <v>1573</v>
      </c>
      <c r="BM102" s="1" t="s">
        <v>1585</v>
      </c>
      <c r="BN102" s="1" t="s">
        <v>1711</v>
      </c>
      <c r="BO102" s="1">
        <v>38145486</v>
      </c>
      <c r="BP102" s="1" t="s">
        <v>1531</v>
      </c>
      <c r="BQ102" s="1" t="s">
        <v>1507</v>
      </c>
      <c r="BR102" s="1" t="s">
        <v>1507</v>
      </c>
      <c r="BS102" s="1" t="s">
        <v>13744</v>
      </c>
      <c r="BT102" s="1" t="s">
        <v>1712</v>
      </c>
      <c r="BU102" s="1" t="str">
        <f>HYPERLINK("https%3A%2F%2Fwww.webofscience.com%2Fwos%2Fwoscc%2Ffull-record%2FWOS:001146575700003","View Full Record in Web of Science")</f>
        <v>View Full Record in Web of Science</v>
      </c>
    </row>
    <row r="103" spans="1:73" x14ac:dyDescent="0.25">
      <c r="A103" s="1">
        <v>102</v>
      </c>
      <c r="B103" s="1" t="s">
        <v>1506</v>
      </c>
      <c r="C103" s="1" t="s">
        <v>7214</v>
      </c>
      <c r="D103" s="1" t="s">
        <v>1507</v>
      </c>
      <c r="E103" s="1" t="s">
        <v>1507</v>
      </c>
      <c r="F103" s="1" t="s">
        <v>1507</v>
      </c>
      <c r="G103" s="1" t="s">
        <v>7215</v>
      </c>
      <c r="H103" s="1" t="s">
        <v>1507</v>
      </c>
      <c r="I103" s="1" t="s">
        <v>1507</v>
      </c>
      <c r="J103" s="1" t="s">
        <v>7216</v>
      </c>
      <c r="K103" s="1" t="s">
        <v>7217</v>
      </c>
      <c r="L103" s="1" t="s">
        <v>1507</v>
      </c>
      <c r="M103" s="1" t="s">
        <v>1507</v>
      </c>
      <c r="N103" s="1" t="s">
        <v>42</v>
      </c>
      <c r="O103" s="1" t="s">
        <v>56</v>
      </c>
      <c r="P103" s="1" t="s">
        <v>1507</v>
      </c>
      <c r="Q103" s="1" t="s">
        <v>1507</v>
      </c>
      <c r="R103" s="1" t="s">
        <v>1507</v>
      </c>
      <c r="S103" s="1" t="s">
        <v>1507</v>
      </c>
      <c r="T103" s="1" t="s">
        <v>1507</v>
      </c>
      <c r="U103" s="1" t="s">
        <v>1507</v>
      </c>
      <c r="V103" s="1" t="s">
        <v>1507</v>
      </c>
      <c r="W103" s="1" t="s">
        <v>7218</v>
      </c>
      <c r="X103" s="1" t="s">
        <v>7219</v>
      </c>
      <c r="Y103" s="1" t="s">
        <v>7220</v>
      </c>
      <c r="Z103" s="1" t="s">
        <v>7221</v>
      </c>
      <c r="AA103" s="1" t="s">
        <v>7222</v>
      </c>
      <c r="AB103" s="1" t="s">
        <v>15614</v>
      </c>
      <c r="AC103" s="1" t="s">
        <v>15615</v>
      </c>
      <c r="AD103" s="1" t="s">
        <v>7223</v>
      </c>
      <c r="AE103" s="1" t="s">
        <v>7224</v>
      </c>
      <c r="AF103" s="1" t="s">
        <v>7225</v>
      </c>
      <c r="AG103" s="1" t="s">
        <v>1507</v>
      </c>
      <c r="AH103" s="1">
        <v>31</v>
      </c>
      <c r="AI103" s="1">
        <v>22</v>
      </c>
      <c r="AJ103" s="1">
        <v>25</v>
      </c>
      <c r="AK103" s="1">
        <v>1</v>
      </c>
      <c r="AL103" s="1">
        <v>7</v>
      </c>
      <c r="AM103" s="1" t="s">
        <v>7226</v>
      </c>
      <c r="AN103" s="1" t="s">
        <v>7227</v>
      </c>
      <c r="AO103" s="1" t="s">
        <v>7228</v>
      </c>
      <c r="AP103" s="1" t="s">
        <v>7229</v>
      </c>
      <c r="AQ103" s="1" t="s">
        <v>7230</v>
      </c>
      <c r="AR103" s="1" t="s">
        <v>1507</v>
      </c>
      <c r="AS103" s="1" t="s">
        <v>7217</v>
      </c>
      <c r="AT103" s="1" t="s">
        <v>7231</v>
      </c>
      <c r="AU103" s="1" t="s">
        <v>7232</v>
      </c>
      <c r="AV103" s="1">
        <v>2022</v>
      </c>
      <c r="AW103" s="1">
        <v>27</v>
      </c>
      <c r="AX103" s="1">
        <v>18</v>
      </c>
      <c r="AY103" s="1" t="s">
        <v>1507</v>
      </c>
      <c r="AZ103" s="1" t="s">
        <v>1507</v>
      </c>
      <c r="BA103" s="1" t="s">
        <v>1507</v>
      </c>
      <c r="BB103" s="1" t="s">
        <v>1507</v>
      </c>
      <c r="BC103" s="1">
        <v>14</v>
      </c>
      <c r="BD103" s="1">
        <v>24</v>
      </c>
      <c r="BE103" s="1" t="s">
        <v>1507</v>
      </c>
      <c r="BF103" s="1" t="s">
        <v>7233</v>
      </c>
      <c r="BG103" s="1" t="str">
        <f>HYPERLINK("http://dx.doi.org/10.2807/1560-7917.ES.2022.27.18.2200178","http://dx.doi.org/10.2807/1560-7917.ES.2022.27.18.2200178")</f>
        <v>http://dx.doi.org/10.2807/1560-7917.ES.2022.27.18.2200178</v>
      </c>
      <c r="BH103" s="1" t="s">
        <v>1507</v>
      </c>
      <c r="BI103" s="1" t="s">
        <v>1507</v>
      </c>
      <c r="BJ103" s="1">
        <v>11</v>
      </c>
      <c r="BK103" s="1" t="s">
        <v>4015</v>
      </c>
      <c r="BL103" s="1" t="s">
        <v>1573</v>
      </c>
      <c r="BM103" s="1" t="s">
        <v>4015</v>
      </c>
      <c r="BN103" s="1" t="s">
        <v>7234</v>
      </c>
      <c r="BO103" s="1">
        <v>35514306</v>
      </c>
      <c r="BP103" s="1" t="s">
        <v>1674</v>
      </c>
      <c r="BQ103" s="1" t="s">
        <v>1507</v>
      </c>
      <c r="BR103" s="1" t="s">
        <v>1507</v>
      </c>
      <c r="BS103" s="1" t="s">
        <v>13744</v>
      </c>
      <c r="BT103" s="1" t="s">
        <v>7235</v>
      </c>
      <c r="BU103" s="1" t="str">
        <f>HYPERLINK("https%3A%2F%2Fwww.webofscience.com%2Fwos%2Fwoscc%2Ffull-record%2FWOS:000834892300003","View Full Record in Web of Science")</f>
        <v>View Full Record in Web of Science</v>
      </c>
    </row>
    <row r="104" spans="1:73" x14ac:dyDescent="0.25">
      <c r="A104" s="1">
        <v>103</v>
      </c>
      <c r="B104" s="1" t="s">
        <v>1506</v>
      </c>
      <c r="C104" s="1" t="s">
        <v>2742</v>
      </c>
      <c r="D104" s="1" t="s">
        <v>1507</v>
      </c>
      <c r="E104" s="1" t="s">
        <v>1507</v>
      </c>
      <c r="F104" s="1" t="s">
        <v>1507</v>
      </c>
      <c r="G104" s="1" t="s">
        <v>2743</v>
      </c>
      <c r="H104" s="1" t="s">
        <v>1507</v>
      </c>
      <c r="I104" s="1" t="s">
        <v>1507</v>
      </c>
      <c r="J104" s="1" t="s">
        <v>569</v>
      </c>
      <c r="K104" s="1" t="s">
        <v>2744</v>
      </c>
      <c r="L104" s="1" t="s">
        <v>1507</v>
      </c>
      <c r="M104" s="1" t="s">
        <v>1507</v>
      </c>
      <c r="N104" s="1" t="s">
        <v>42</v>
      </c>
      <c r="O104" s="1" t="s">
        <v>56</v>
      </c>
      <c r="P104" s="1" t="s">
        <v>1507</v>
      </c>
      <c r="Q104" s="1" t="s">
        <v>1507</v>
      </c>
      <c r="R104" s="1" t="s">
        <v>1507</v>
      </c>
      <c r="S104" s="1" t="s">
        <v>1507</v>
      </c>
      <c r="T104" s="1" t="s">
        <v>1507</v>
      </c>
      <c r="U104" s="1" t="s">
        <v>2745</v>
      </c>
      <c r="V104" s="1" t="s">
        <v>1507</v>
      </c>
      <c r="W104" s="1" t="s">
        <v>2746</v>
      </c>
      <c r="X104" s="1" t="s">
        <v>2747</v>
      </c>
      <c r="Y104" s="1" t="s">
        <v>14045</v>
      </c>
      <c r="Z104" s="1" t="s">
        <v>2748</v>
      </c>
      <c r="AA104" s="1" t="s">
        <v>2749</v>
      </c>
      <c r="AB104" s="1" t="s">
        <v>1507</v>
      </c>
      <c r="AC104" s="1" t="s">
        <v>14046</v>
      </c>
      <c r="AD104" s="1" t="s">
        <v>1507</v>
      </c>
      <c r="AE104" s="1" t="s">
        <v>1507</v>
      </c>
      <c r="AF104" s="1" t="s">
        <v>1507</v>
      </c>
      <c r="AG104" s="1" t="s">
        <v>1507</v>
      </c>
      <c r="AH104" s="1">
        <v>28</v>
      </c>
      <c r="AI104" s="1">
        <v>3</v>
      </c>
      <c r="AJ104" s="1">
        <v>3</v>
      </c>
      <c r="AK104" s="1">
        <v>7</v>
      </c>
      <c r="AL104" s="1">
        <v>7</v>
      </c>
      <c r="AM104" s="1" t="s">
        <v>1511</v>
      </c>
      <c r="AN104" s="1" t="s">
        <v>1512</v>
      </c>
      <c r="AO104" s="1" t="s">
        <v>1513</v>
      </c>
      <c r="AP104" s="1" t="s">
        <v>2750</v>
      </c>
      <c r="AQ104" s="1" t="s">
        <v>2751</v>
      </c>
      <c r="AR104" s="1" t="s">
        <v>1507</v>
      </c>
      <c r="AS104" s="1" t="s">
        <v>2752</v>
      </c>
      <c r="AT104" s="1" t="s">
        <v>2753</v>
      </c>
      <c r="AU104" s="1" t="s">
        <v>9054</v>
      </c>
      <c r="AV104" s="1">
        <v>2024</v>
      </c>
      <c r="AW104" s="1">
        <v>281</v>
      </c>
      <c r="AX104" s="1">
        <v>2</v>
      </c>
      <c r="AY104" s="1" t="s">
        <v>1507</v>
      </c>
      <c r="AZ104" s="1" t="s">
        <v>1507</v>
      </c>
      <c r="BA104" s="1" t="s">
        <v>1507</v>
      </c>
      <c r="BB104" s="1" t="s">
        <v>1507</v>
      </c>
      <c r="BC104" s="1">
        <v>985</v>
      </c>
      <c r="BD104" s="1">
        <v>993</v>
      </c>
      <c r="BE104" s="1" t="s">
        <v>1507</v>
      </c>
      <c r="BF104" s="1" t="s">
        <v>570</v>
      </c>
      <c r="BG104" s="1" t="str">
        <f>HYPERLINK("http://dx.doi.org/10.1007/s00405-023-08319-9","http://dx.doi.org/10.1007/s00405-023-08319-9")</f>
        <v>http://dx.doi.org/10.1007/s00405-023-08319-9</v>
      </c>
      <c r="BH104" s="1" t="s">
        <v>1507</v>
      </c>
      <c r="BI104" s="1" t="s">
        <v>2396</v>
      </c>
      <c r="BJ104" s="1">
        <v>9</v>
      </c>
      <c r="BK104" s="1" t="s">
        <v>2754</v>
      </c>
      <c r="BL104" s="1" t="s">
        <v>1573</v>
      </c>
      <c r="BM104" s="1" t="s">
        <v>2754</v>
      </c>
      <c r="BN104" s="1" t="s">
        <v>2755</v>
      </c>
      <c r="BO104" s="1">
        <v>37917165</v>
      </c>
      <c r="BP104" s="1" t="s">
        <v>1507</v>
      </c>
      <c r="BQ104" s="1" t="s">
        <v>1507</v>
      </c>
      <c r="BR104" s="1" t="s">
        <v>1507</v>
      </c>
      <c r="BS104" s="1" t="s">
        <v>13744</v>
      </c>
      <c r="BT104" s="1" t="s">
        <v>2756</v>
      </c>
      <c r="BU104" s="1" t="str">
        <f>HYPERLINK("https%3A%2F%2Fwww.webofscience.com%2Fwos%2Fwoscc%2Ffull-record%2FWOS:001098005800002","View Full Record in Web of Science")</f>
        <v>View Full Record in Web of Science</v>
      </c>
    </row>
    <row r="105" spans="1:73" x14ac:dyDescent="0.25">
      <c r="A105" s="1">
        <v>104</v>
      </c>
      <c r="B105" s="1" t="s">
        <v>5546</v>
      </c>
      <c r="C105" s="1" t="s">
        <v>5674</v>
      </c>
      <c r="D105" s="1" t="s">
        <v>1507</v>
      </c>
      <c r="E105" s="1" t="s">
        <v>1507</v>
      </c>
      <c r="F105" s="1" t="s">
        <v>5548</v>
      </c>
      <c r="G105" s="1" t="s">
        <v>5675</v>
      </c>
      <c r="H105" s="1" t="s">
        <v>1507</v>
      </c>
      <c r="I105" s="1" t="s">
        <v>1507</v>
      </c>
      <c r="J105" s="1" t="s">
        <v>5676</v>
      </c>
      <c r="K105" s="1" t="s">
        <v>5677</v>
      </c>
      <c r="L105" s="1" t="s">
        <v>1507</v>
      </c>
      <c r="M105" s="1" t="s">
        <v>1507</v>
      </c>
      <c r="N105" s="1" t="s">
        <v>42</v>
      </c>
      <c r="O105" s="1" t="s">
        <v>5552</v>
      </c>
      <c r="P105" s="1" t="s">
        <v>5678</v>
      </c>
      <c r="Q105" s="1" t="s">
        <v>5679</v>
      </c>
      <c r="R105" s="1" t="s">
        <v>5680</v>
      </c>
      <c r="S105" s="1" t="s">
        <v>5681</v>
      </c>
      <c r="T105" s="1" t="s">
        <v>5682</v>
      </c>
      <c r="U105" s="1" t="s">
        <v>5683</v>
      </c>
      <c r="V105" s="1" t="s">
        <v>1507</v>
      </c>
      <c r="W105" s="1" t="s">
        <v>5684</v>
      </c>
      <c r="X105" s="1" t="s">
        <v>5685</v>
      </c>
      <c r="Y105" s="1" t="s">
        <v>5686</v>
      </c>
      <c r="Z105" s="1" t="s">
        <v>5687</v>
      </c>
      <c r="AA105" s="1" t="s">
        <v>5688</v>
      </c>
      <c r="AB105" s="1" t="s">
        <v>1507</v>
      </c>
      <c r="AC105" s="1" t="s">
        <v>1507</v>
      </c>
      <c r="AD105" s="1" t="s">
        <v>5689</v>
      </c>
      <c r="AE105" s="1" t="s">
        <v>5690</v>
      </c>
      <c r="AF105" s="1" t="s">
        <v>5691</v>
      </c>
      <c r="AG105" s="1" t="s">
        <v>1507</v>
      </c>
      <c r="AH105" s="1">
        <v>62</v>
      </c>
      <c r="AI105" s="1">
        <v>2</v>
      </c>
      <c r="AJ105" s="1">
        <v>2</v>
      </c>
      <c r="AK105" s="1">
        <v>4</v>
      </c>
      <c r="AL105" s="1">
        <v>4</v>
      </c>
      <c r="AM105" s="1" t="s">
        <v>5565</v>
      </c>
      <c r="AN105" s="1" t="s">
        <v>1512</v>
      </c>
      <c r="AO105" s="1" t="s">
        <v>5566</v>
      </c>
      <c r="AP105" s="1" t="s">
        <v>1507</v>
      </c>
      <c r="AQ105" s="1" t="s">
        <v>1507</v>
      </c>
      <c r="AR105" s="1" t="s">
        <v>5692</v>
      </c>
      <c r="AS105" s="1" t="s">
        <v>1507</v>
      </c>
      <c r="AT105" s="1" t="s">
        <v>1507</v>
      </c>
      <c r="AU105" s="1" t="s">
        <v>1507</v>
      </c>
      <c r="AV105" s="1">
        <v>2023</v>
      </c>
      <c r="AW105" s="1" t="s">
        <v>1507</v>
      </c>
      <c r="AX105" s="1" t="s">
        <v>1507</v>
      </c>
      <c r="AY105" s="1" t="s">
        <v>1507</v>
      </c>
      <c r="AZ105" s="1" t="s">
        <v>1507</v>
      </c>
      <c r="BA105" s="1" t="s">
        <v>1507</v>
      </c>
      <c r="BB105" s="1" t="s">
        <v>1507</v>
      </c>
      <c r="BC105" s="1" t="s">
        <v>1507</v>
      </c>
      <c r="BD105" s="1" t="s">
        <v>1507</v>
      </c>
      <c r="BE105" s="1" t="s">
        <v>1507</v>
      </c>
      <c r="BF105" s="1" t="s">
        <v>5693</v>
      </c>
      <c r="BG105" s="1" t="str">
        <f>HYPERLINK("http://dx.doi.org/10.1145/3604930.3605705","http://dx.doi.org/10.1145/3604930.3605705")</f>
        <v>http://dx.doi.org/10.1145/3604930.3605705</v>
      </c>
      <c r="BH105" s="1" t="s">
        <v>1507</v>
      </c>
      <c r="BI105" s="1" t="s">
        <v>1507</v>
      </c>
      <c r="BJ105" s="1">
        <v>7</v>
      </c>
      <c r="BK105" s="1" t="s">
        <v>5694</v>
      </c>
      <c r="BL105" s="1" t="s">
        <v>5695</v>
      </c>
      <c r="BM105" s="1" t="s">
        <v>3418</v>
      </c>
      <c r="BN105" s="1" t="s">
        <v>5696</v>
      </c>
      <c r="BO105" s="1" t="s">
        <v>1507</v>
      </c>
      <c r="BP105" s="1" t="s">
        <v>1537</v>
      </c>
      <c r="BQ105" s="1" t="s">
        <v>1507</v>
      </c>
      <c r="BR105" s="1" t="s">
        <v>1507</v>
      </c>
      <c r="BS105" s="1" t="s">
        <v>13744</v>
      </c>
      <c r="BT105" s="1" t="s">
        <v>5697</v>
      </c>
      <c r="BU105" s="1" t="str">
        <f>HYPERLINK("https%3A%2F%2Fwww.webofscience.com%2Fwos%2Fwoscc%2Ffull-record%2FWOS:001124735600011","View Full Record in Web of Science")</f>
        <v>View Full Record in Web of Science</v>
      </c>
    </row>
    <row r="106" spans="1:73" x14ac:dyDescent="0.25">
      <c r="A106" s="1">
        <v>105</v>
      </c>
      <c r="B106" s="1" t="s">
        <v>1506</v>
      </c>
      <c r="C106" s="1" t="s">
        <v>10979</v>
      </c>
      <c r="D106" s="1" t="s">
        <v>1507</v>
      </c>
      <c r="E106" s="1" t="s">
        <v>1507</v>
      </c>
      <c r="F106" s="1" t="s">
        <v>1507</v>
      </c>
      <c r="G106" s="1" t="s">
        <v>10980</v>
      </c>
      <c r="H106" s="1" t="s">
        <v>1507</v>
      </c>
      <c r="I106" s="1" t="s">
        <v>1507</v>
      </c>
      <c r="J106" s="1" t="s">
        <v>10981</v>
      </c>
      <c r="K106" s="1" t="s">
        <v>10982</v>
      </c>
      <c r="L106" s="1" t="s">
        <v>1507</v>
      </c>
      <c r="M106" s="1" t="s">
        <v>1507</v>
      </c>
      <c r="N106" s="1" t="s">
        <v>42</v>
      </c>
      <c r="O106" s="1" t="s">
        <v>56</v>
      </c>
      <c r="P106" s="1" t="s">
        <v>1507</v>
      </c>
      <c r="Q106" s="1" t="s">
        <v>1507</v>
      </c>
      <c r="R106" s="1" t="s">
        <v>1507</v>
      </c>
      <c r="S106" s="1" t="s">
        <v>1507</v>
      </c>
      <c r="T106" s="1" t="s">
        <v>1507</v>
      </c>
      <c r="U106" s="1" t="s">
        <v>10983</v>
      </c>
      <c r="V106" s="1" t="s">
        <v>1507</v>
      </c>
      <c r="W106" s="1" t="s">
        <v>10984</v>
      </c>
      <c r="X106" s="1" t="s">
        <v>10985</v>
      </c>
      <c r="Y106" s="1" t="s">
        <v>10986</v>
      </c>
      <c r="Z106" s="1" t="s">
        <v>10987</v>
      </c>
      <c r="AA106" s="1" t="s">
        <v>1507</v>
      </c>
      <c r="AB106" s="1" t="s">
        <v>15931</v>
      </c>
      <c r="AC106" s="1" t="s">
        <v>15932</v>
      </c>
      <c r="AD106" s="1" t="s">
        <v>1507</v>
      </c>
      <c r="AE106" s="1" t="s">
        <v>1507</v>
      </c>
      <c r="AF106" s="1" t="s">
        <v>1507</v>
      </c>
      <c r="AG106" s="1" t="s">
        <v>1507</v>
      </c>
      <c r="AH106" s="1">
        <v>28</v>
      </c>
      <c r="AI106" s="1">
        <v>3</v>
      </c>
      <c r="AJ106" s="1">
        <v>3</v>
      </c>
      <c r="AK106" s="1">
        <v>2</v>
      </c>
      <c r="AL106" s="1">
        <v>5</v>
      </c>
      <c r="AM106" s="1" t="s">
        <v>10988</v>
      </c>
      <c r="AN106" s="1" t="s">
        <v>10989</v>
      </c>
      <c r="AO106" s="1" t="s">
        <v>10990</v>
      </c>
      <c r="AP106" s="1" t="s">
        <v>10991</v>
      </c>
      <c r="AQ106" s="1" t="s">
        <v>10992</v>
      </c>
      <c r="AR106" s="1" t="s">
        <v>1507</v>
      </c>
      <c r="AS106" s="1" t="s">
        <v>10993</v>
      </c>
      <c r="AT106" s="1" t="s">
        <v>10994</v>
      </c>
      <c r="AU106" s="1" t="s">
        <v>10995</v>
      </c>
      <c r="AV106" s="1">
        <v>2019</v>
      </c>
      <c r="AW106" s="1">
        <v>10</v>
      </c>
      <c r="AX106" s="1" t="s">
        <v>1507</v>
      </c>
      <c r="AY106" s="1" t="s">
        <v>1507</v>
      </c>
      <c r="AZ106" s="1" t="s">
        <v>1507</v>
      </c>
      <c r="BA106" s="1" t="s">
        <v>3506</v>
      </c>
      <c r="BB106" s="1" t="s">
        <v>1507</v>
      </c>
      <c r="BC106" s="1">
        <v>10</v>
      </c>
      <c r="BD106" s="1">
        <v>30</v>
      </c>
      <c r="BE106" s="1" t="s">
        <v>1507</v>
      </c>
      <c r="BF106" s="1" t="s">
        <v>10996</v>
      </c>
      <c r="BG106" s="1" t="str">
        <f>HYPERLINK("http://dx.doi.org/10.22055/RALS.2019.14672","http://dx.doi.org/10.22055/RALS.2019.14672")</f>
        <v>http://dx.doi.org/10.22055/RALS.2019.14672</v>
      </c>
      <c r="BH106" s="1" t="s">
        <v>1507</v>
      </c>
      <c r="BI106" s="1" t="s">
        <v>1507</v>
      </c>
      <c r="BJ106" s="1">
        <v>21</v>
      </c>
      <c r="BK106" s="1" t="s">
        <v>6612</v>
      </c>
      <c r="BL106" s="1" t="s">
        <v>1529</v>
      </c>
      <c r="BM106" s="1" t="s">
        <v>6612</v>
      </c>
      <c r="BN106" s="1" t="s">
        <v>10997</v>
      </c>
      <c r="BO106" s="1" t="s">
        <v>1507</v>
      </c>
      <c r="BP106" s="1" t="s">
        <v>1507</v>
      </c>
      <c r="BQ106" s="1" t="s">
        <v>1507</v>
      </c>
      <c r="BR106" s="1" t="s">
        <v>1507</v>
      </c>
      <c r="BS106" s="1" t="s">
        <v>13744</v>
      </c>
      <c r="BT106" s="1" t="s">
        <v>10998</v>
      </c>
      <c r="BU106" s="1" t="str">
        <f>HYPERLINK("https%3A%2F%2Fwww.webofscience.com%2Fwos%2Fwoscc%2Ffull-record%2FWOS:000484739800002","View Full Record in Web of Science")</f>
        <v>View Full Record in Web of Science</v>
      </c>
    </row>
    <row r="107" spans="1:73" x14ac:dyDescent="0.25">
      <c r="A107" s="1">
        <v>106</v>
      </c>
      <c r="B107" s="1" t="s">
        <v>1506</v>
      </c>
      <c r="C107" s="1" t="s">
        <v>9020</v>
      </c>
      <c r="D107" s="1" t="s">
        <v>1507</v>
      </c>
      <c r="E107" s="1" t="s">
        <v>1507</v>
      </c>
      <c r="F107" s="1" t="s">
        <v>1507</v>
      </c>
      <c r="G107" s="1" t="s">
        <v>9021</v>
      </c>
      <c r="H107" s="1" t="s">
        <v>1507</v>
      </c>
      <c r="I107" s="1" t="s">
        <v>1507</v>
      </c>
      <c r="J107" s="1" t="s">
        <v>9022</v>
      </c>
      <c r="K107" s="1" t="s">
        <v>5166</v>
      </c>
      <c r="L107" s="1" t="s">
        <v>1507</v>
      </c>
      <c r="M107" s="1" t="s">
        <v>1507</v>
      </c>
      <c r="N107" s="1" t="s">
        <v>42</v>
      </c>
      <c r="O107" s="1" t="s">
        <v>56</v>
      </c>
      <c r="P107" s="1" t="s">
        <v>1507</v>
      </c>
      <c r="Q107" s="1" t="s">
        <v>1507</v>
      </c>
      <c r="R107" s="1" t="s">
        <v>1507</v>
      </c>
      <c r="S107" s="1" t="s">
        <v>1507</v>
      </c>
      <c r="T107" s="1" t="s">
        <v>1507</v>
      </c>
      <c r="U107" s="1" t="s">
        <v>9023</v>
      </c>
      <c r="V107" s="1" t="s">
        <v>1507</v>
      </c>
      <c r="W107" s="1" t="s">
        <v>9024</v>
      </c>
      <c r="X107" s="1" t="s">
        <v>9025</v>
      </c>
      <c r="Y107" s="1" t="s">
        <v>5170</v>
      </c>
      <c r="Z107" s="1" t="s">
        <v>5171</v>
      </c>
      <c r="AA107" s="1" t="s">
        <v>9026</v>
      </c>
      <c r="AB107" s="1" t="s">
        <v>5173</v>
      </c>
      <c r="AC107" s="1" t="s">
        <v>5174</v>
      </c>
      <c r="AD107" s="1" t="s">
        <v>9027</v>
      </c>
      <c r="AE107" s="1" t="s">
        <v>9028</v>
      </c>
      <c r="AF107" s="1" t="s">
        <v>9029</v>
      </c>
      <c r="AG107" s="1" t="s">
        <v>1507</v>
      </c>
      <c r="AH107" s="1">
        <v>44</v>
      </c>
      <c r="AI107" s="1">
        <v>3</v>
      </c>
      <c r="AJ107" s="1">
        <v>3</v>
      </c>
      <c r="AK107" s="1">
        <v>0</v>
      </c>
      <c r="AL107" s="1">
        <v>5</v>
      </c>
      <c r="AM107" s="1" t="s">
        <v>5178</v>
      </c>
      <c r="AN107" s="1" t="s">
        <v>5179</v>
      </c>
      <c r="AO107" s="1" t="s">
        <v>5180</v>
      </c>
      <c r="AP107" s="1" t="s">
        <v>5181</v>
      </c>
      <c r="AQ107" s="1" t="s">
        <v>5182</v>
      </c>
      <c r="AR107" s="1" t="s">
        <v>1507</v>
      </c>
      <c r="AS107" s="1" t="s">
        <v>5183</v>
      </c>
      <c r="AT107" s="1" t="s">
        <v>5184</v>
      </c>
      <c r="AU107" s="1" t="s">
        <v>15706</v>
      </c>
      <c r="AV107" s="1">
        <v>2021</v>
      </c>
      <c r="AW107" s="1">
        <v>24</v>
      </c>
      <c r="AX107" s="1">
        <v>4</v>
      </c>
      <c r="AY107" s="1" t="s">
        <v>1507</v>
      </c>
      <c r="AZ107" s="1" t="s">
        <v>1507</v>
      </c>
      <c r="BA107" s="1" t="s">
        <v>1507</v>
      </c>
      <c r="BB107" s="1" t="s">
        <v>1507</v>
      </c>
      <c r="BC107" s="1">
        <v>789</v>
      </c>
      <c r="BD107" s="1">
        <v>805</v>
      </c>
      <c r="BE107" s="1" t="s">
        <v>1507</v>
      </c>
      <c r="BF107" s="1" t="s">
        <v>9030</v>
      </c>
      <c r="BG107" s="1" t="str">
        <f>HYPERLINK("http://dx.doi.org/10.1108/JMLC-10-2020-0120","http://dx.doi.org/10.1108/JMLC-10-2020-0120")</f>
        <v>http://dx.doi.org/10.1108/JMLC-10-2020-0120</v>
      </c>
      <c r="BH107" s="1" t="s">
        <v>1507</v>
      </c>
      <c r="BI107" s="1" t="s">
        <v>8999</v>
      </c>
      <c r="BJ107" s="1">
        <v>17</v>
      </c>
      <c r="BK107" s="1" t="s">
        <v>5187</v>
      </c>
      <c r="BL107" s="1" t="s">
        <v>1529</v>
      </c>
      <c r="BM107" s="1" t="s">
        <v>5187</v>
      </c>
      <c r="BN107" s="1" t="s">
        <v>9031</v>
      </c>
      <c r="BO107" s="1" t="s">
        <v>1507</v>
      </c>
      <c r="BP107" s="1" t="s">
        <v>1507</v>
      </c>
      <c r="BQ107" s="1" t="s">
        <v>1507</v>
      </c>
      <c r="BR107" s="1" t="s">
        <v>1507</v>
      </c>
      <c r="BS107" s="1" t="s">
        <v>13744</v>
      </c>
      <c r="BT107" s="1" t="s">
        <v>9032</v>
      </c>
      <c r="BU107" s="1" t="str">
        <f>HYPERLINK("https%3A%2F%2Fwww.webofscience.com%2Fwos%2Fwoscc%2Ffull-record%2FWOS:000618350600001","View Full Record in Web of Science")</f>
        <v>View Full Record in Web of Science</v>
      </c>
    </row>
    <row r="108" spans="1:73" x14ac:dyDescent="0.25">
      <c r="A108" s="1">
        <v>107</v>
      </c>
      <c r="B108" s="1" t="s">
        <v>1506</v>
      </c>
      <c r="C108" s="1" t="s">
        <v>5163</v>
      </c>
      <c r="D108" s="1" t="s">
        <v>1507</v>
      </c>
      <c r="E108" s="1" t="s">
        <v>1507</v>
      </c>
      <c r="F108" s="1" t="s">
        <v>1507</v>
      </c>
      <c r="G108" s="1" t="s">
        <v>5164</v>
      </c>
      <c r="H108" s="1" t="s">
        <v>1507</v>
      </c>
      <c r="I108" s="1" t="s">
        <v>1507</v>
      </c>
      <c r="J108" s="1" t="s">
        <v>5165</v>
      </c>
      <c r="K108" s="1" t="s">
        <v>5166</v>
      </c>
      <c r="L108" s="1" t="s">
        <v>1507</v>
      </c>
      <c r="M108" s="1" t="s">
        <v>1507</v>
      </c>
      <c r="N108" s="1" t="s">
        <v>42</v>
      </c>
      <c r="O108" s="1" t="s">
        <v>56</v>
      </c>
      <c r="P108" s="1" t="s">
        <v>1507</v>
      </c>
      <c r="Q108" s="1" t="s">
        <v>1507</v>
      </c>
      <c r="R108" s="1" t="s">
        <v>1507</v>
      </c>
      <c r="S108" s="1" t="s">
        <v>1507</v>
      </c>
      <c r="T108" s="1" t="s">
        <v>1507</v>
      </c>
      <c r="U108" s="1" t="s">
        <v>5167</v>
      </c>
      <c r="V108" s="1" t="s">
        <v>1507</v>
      </c>
      <c r="W108" s="1" t="s">
        <v>5168</v>
      </c>
      <c r="X108" s="1" t="s">
        <v>5169</v>
      </c>
      <c r="Y108" s="1" t="s">
        <v>5170</v>
      </c>
      <c r="Z108" s="1" t="s">
        <v>5171</v>
      </c>
      <c r="AA108" s="1" t="s">
        <v>5172</v>
      </c>
      <c r="AB108" s="1" t="s">
        <v>5173</v>
      </c>
      <c r="AC108" s="1" t="s">
        <v>5174</v>
      </c>
      <c r="AD108" s="1" t="s">
        <v>5175</v>
      </c>
      <c r="AE108" s="1" t="s">
        <v>5176</v>
      </c>
      <c r="AF108" s="1" t="s">
        <v>5177</v>
      </c>
      <c r="AG108" s="1" t="s">
        <v>1507</v>
      </c>
      <c r="AH108" s="1">
        <v>50</v>
      </c>
      <c r="AI108" s="1">
        <v>0</v>
      </c>
      <c r="AJ108" s="1">
        <v>0</v>
      </c>
      <c r="AK108" s="1">
        <v>0</v>
      </c>
      <c r="AL108" s="1">
        <v>0</v>
      </c>
      <c r="AM108" s="1" t="s">
        <v>5178</v>
      </c>
      <c r="AN108" s="1" t="s">
        <v>5179</v>
      </c>
      <c r="AO108" s="1" t="s">
        <v>5180</v>
      </c>
      <c r="AP108" s="1" t="s">
        <v>5181</v>
      </c>
      <c r="AQ108" s="1" t="s">
        <v>5182</v>
      </c>
      <c r="AR108" s="1" t="s">
        <v>1507</v>
      </c>
      <c r="AS108" s="1" t="s">
        <v>5183</v>
      </c>
      <c r="AT108" s="1" t="s">
        <v>5184</v>
      </c>
      <c r="AU108" s="1" t="s">
        <v>5185</v>
      </c>
      <c r="AV108" s="1">
        <v>2023</v>
      </c>
      <c r="AW108" s="1">
        <v>26</v>
      </c>
      <c r="AX108" s="1">
        <v>7</v>
      </c>
      <c r="AY108" s="1" t="s">
        <v>1507</v>
      </c>
      <c r="AZ108" s="1" t="s">
        <v>1507</v>
      </c>
      <c r="BA108" s="1" t="s">
        <v>1507</v>
      </c>
      <c r="BB108" s="1" t="s">
        <v>1507</v>
      </c>
      <c r="BC108" s="1">
        <v>138</v>
      </c>
      <c r="BD108" s="1">
        <v>154</v>
      </c>
      <c r="BE108" s="1" t="s">
        <v>1507</v>
      </c>
      <c r="BF108" s="1" t="s">
        <v>5186</v>
      </c>
      <c r="BG108" s="1" t="str">
        <f>HYPERLINK("http://dx.doi.org/10.1108/JMLC-01-2023-0016","http://dx.doi.org/10.1108/JMLC-01-2023-0016")</f>
        <v>http://dx.doi.org/10.1108/JMLC-01-2023-0016</v>
      </c>
      <c r="BH108" s="1" t="s">
        <v>1507</v>
      </c>
      <c r="BI108" s="1" t="s">
        <v>1507</v>
      </c>
      <c r="BJ108" s="1">
        <v>17</v>
      </c>
      <c r="BK108" s="1" t="s">
        <v>5187</v>
      </c>
      <c r="BL108" s="1" t="s">
        <v>1529</v>
      </c>
      <c r="BM108" s="1" t="s">
        <v>5187</v>
      </c>
      <c r="BN108" s="1" t="s">
        <v>5188</v>
      </c>
      <c r="BO108" s="1" t="s">
        <v>1507</v>
      </c>
      <c r="BP108" s="1" t="s">
        <v>1537</v>
      </c>
      <c r="BQ108" s="1" t="s">
        <v>1507</v>
      </c>
      <c r="BR108" s="1" t="s">
        <v>1507</v>
      </c>
      <c r="BS108" s="1" t="s">
        <v>13744</v>
      </c>
      <c r="BT108" s="1" t="s">
        <v>5189</v>
      </c>
      <c r="BU108" s="1" t="str">
        <f>HYPERLINK("https%3A%2F%2Fwww.webofscience.com%2Fwos%2Fwoscc%2Ffull-record%2FWOS:000971837800001","View Full Record in Web of Science")</f>
        <v>View Full Record in Web of Science</v>
      </c>
    </row>
    <row r="109" spans="1:73" x14ac:dyDescent="0.25">
      <c r="A109" s="1">
        <v>108</v>
      </c>
      <c r="B109" s="1" t="s">
        <v>1506</v>
      </c>
      <c r="C109" s="1" t="s">
        <v>5163</v>
      </c>
      <c r="D109" s="1" t="s">
        <v>1507</v>
      </c>
      <c r="E109" s="1" t="s">
        <v>1507</v>
      </c>
      <c r="F109" s="1" t="s">
        <v>1507</v>
      </c>
      <c r="G109" s="1" t="s">
        <v>5164</v>
      </c>
      <c r="H109" s="1" t="s">
        <v>1507</v>
      </c>
      <c r="I109" s="1" t="s">
        <v>1507</v>
      </c>
      <c r="J109" s="1" t="s">
        <v>5306</v>
      </c>
      <c r="K109" s="1" t="s">
        <v>5166</v>
      </c>
      <c r="L109" s="1" t="s">
        <v>1507</v>
      </c>
      <c r="M109" s="1" t="s">
        <v>1507</v>
      </c>
      <c r="N109" s="1" t="s">
        <v>42</v>
      </c>
      <c r="O109" s="1" t="s">
        <v>56</v>
      </c>
      <c r="P109" s="1" t="s">
        <v>1507</v>
      </c>
      <c r="Q109" s="1" t="s">
        <v>1507</v>
      </c>
      <c r="R109" s="1" t="s">
        <v>1507</v>
      </c>
      <c r="S109" s="1" t="s">
        <v>1507</v>
      </c>
      <c r="T109" s="1" t="s">
        <v>1507</v>
      </c>
      <c r="U109" s="1" t="s">
        <v>5307</v>
      </c>
      <c r="V109" s="1" t="s">
        <v>1507</v>
      </c>
      <c r="W109" s="1" t="s">
        <v>5308</v>
      </c>
      <c r="X109" s="1" t="s">
        <v>5169</v>
      </c>
      <c r="Y109" s="1" t="s">
        <v>5170</v>
      </c>
      <c r="Z109" s="1" t="s">
        <v>5171</v>
      </c>
      <c r="AA109" s="1" t="s">
        <v>5172</v>
      </c>
      <c r="AB109" s="1" t="s">
        <v>5173</v>
      </c>
      <c r="AC109" s="1" t="s">
        <v>5174</v>
      </c>
      <c r="AD109" s="1" t="s">
        <v>5175</v>
      </c>
      <c r="AE109" s="1" t="s">
        <v>5176</v>
      </c>
      <c r="AF109" s="1" t="s">
        <v>5309</v>
      </c>
      <c r="AG109" s="1" t="s">
        <v>1507</v>
      </c>
      <c r="AH109" s="1">
        <v>25</v>
      </c>
      <c r="AI109" s="1">
        <v>0</v>
      </c>
      <c r="AJ109" s="1">
        <v>0</v>
      </c>
      <c r="AK109" s="1">
        <v>1</v>
      </c>
      <c r="AL109" s="1">
        <v>2</v>
      </c>
      <c r="AM109" s="1" t="s">
        <v>5178</v>
      </c>
      <c r="AN109" s="1" t="s">
        <v>5179</v>
      </c>
      <c r="AO109" s="1" t="s">
        <v>5180</v>
      </c>
      <c r="AP109" s="1" t="s">
        <v>5181</v>
      </c>
      <c r="AQ109" s="1" t="s">
        <v>5182</v>
      </c>
      <c r="AR109" s="1" t="s">
        <v>1507</v>
      </c>
      <c r="AS109" s="1" t="s">
        <v>5183</v>
      </c>
      <c r="AT109" s="1" t="s">
        <v>5184</v>
      </c>
      <c r="AU109" s="1" t="s">
        <v>12094</v>
      </c>
      <c r="AV109" s="1">
        <v>2023</v>
      </c>
      <c r="AW109" s="1">
        <v>26</v>
      </c>
      <c r="AX109" s="1">
        <v>7</v>
      </c>
      <c r="AY109" s="1" t="s">
        <v>1507</v>
      </c>
      <c r="AZ109" s="1" t="s">
        <v>1507</v>
      </c>
      <c r="BA109" s="1" t="s">
        <v>1507</v>
      </c>
      <c r="BB109" s="1" t="s">
        <v>1507</v>
      </c>
      <c r="BC109" s="1">
        <v>127</v>
      </c>
      <c r="BD109" s="1">
        <v>137</v>
      </c>
      <c r="BE109" s="1" t="s">
        <v>1507</v>
      </c>
      <c r="BF109" s="1" t="s">
        <v>5310</v>
      </c>
      <c r="BG109" s="1" t="str">
        <f>HYPERLINK("http://dx.doi.org/10.1108/JMLC-01-2023-0004","http://dx.doi.org/10.1108/JMLC-01-2023-0004")</f>
        <v>http://dx.doi.org/10.1108/JMLC-01-2023-0004</v>
      </c>
      <c r="BH109" s="1" t="s">
        <v>1507</v>
      </c>
      <c r="BI109" s="1" t="s">
        <v>5260</v>
      </c>
      <c r="BJ109" s="1">
        <v>11</v>
      </c>
      <c r="BK109" s="1" t="s">
        <v>5187</v>
      </c>
      <c r="BL109" s="1" t="s">
        <v>1529</v>
      </c>
      <c r="BM109" s="1" t="s">
        <v>5187</v>
      </c>
      <c r="BN109" s="1" t="s">
        <v>5311</v>
      </c>
      <c r="BO109" s="1" t="s">
        <v>1507</v>
      </c>
      <c r="BP109" s="1" t="s">
        <v>1537</v>
      </c>
      <c r="BQ109" s="1" t="s">
        <v>1507</v>
      </c>
      <c r="BR109" s="1" t="s">
        <v>1507</v>
      </c>
      <c r="BS109" s="1" t="s">
        <v>13744</v>
      </c>
      <c r="BT109" s="1" t="s">
        <v>5312</v>
      </c>
      <c r="BU109" s="1" t="str">
        <f>HYPERLINK("https%3A%2F%2Fwww.webofscience.com%2Fwos%2Fwoscc%2Ffull-record%2FWOS:000943757200001","View Full Record in Web of Science")</f>
        <v>View Full Record in Web of Science</v>
      </c>
    </row>
    <row r="110" spans="1:73" x14ac:dyDescent="0.25">
      <c r="A110" s="1">
        <v>109</v>
      </c>
      <c r="B110" s="1" t="s">
        <v>1506</v>
      </c>
      <c r="C110" s="1" t="s">
        <v>5163</v>
      </c>
      <c r="D110" s="1" t="s">
        <v>1507</v>
      </c>
      <c r="E110" s="1" t="s">
        <v>1507</v>
      </c>
      <c r="F110" s="1" t="s">
        <v>1507</v>
      </c>
      <c r="G110" s="1" t="s">
        <v>5164</v>
      </c>
      <c r="H110" s="1" t="s">
        <v>1507</v>
      </c>
      <c r="I110" s="1" t="s">
        <v>1507</v>
      </c>
      <c r="J110" s="1" t="s">
        <v>6913</v>
      </c>
      <c r="K110" s="1" t="s">
        <v>5166</v>
      </c>
      <c r="L110" s="1" t="s">
        <v>1507</v>
      </c>
      <c r="M110" s="1" t="s">
        <v>1507</v>
      </c>
      <c r="N110" s="1" t="s">
        <v>42</v>
      </c>
      <c r="O110" s="1" t="s">
        <v>56</v>
      </c>
      <c r="P110" s="1" t="s">
        <v>1507</v>
      </c>
      <c r="Q110" s="1" t="s">
        <v>1507</v>
      </c>
      <c r="R110" s="1" t="s">
        <v>1507</v>
      </c>
      <c r="S110" s="1" t="s">
        <v>1507</v>
      </c>
      <c r="T110" s="1" t="s">
        <v>1507</v>
      </c>
      <c r="U110" s="1" t="s">
        <v>6914</v>
      </c>
      <c r="V110" s="1" t="s">
        <v>1507</v>
      </c>
      <c r="W110" s="1" t="s">
        <v>6915</v>
      </c>
      <c r="X110" s="1" t="s">
        <v>5169</v>
      </c>
      <c r="Y110" s="1" t="s">
        <v>5170</v>
      </c>
      <c r="Z110" s="1" t="s">
        <v>5171</v>
      </c>
      <c r="AA110" s="1" t="s">
        <v>6916</v>
      </c>
      <c r="AB110" s="1" t="s">
        <v>5173</v>
      </c>
      <c r="AC110" s="1" t="s">
        <v>5174</v>
      </c>
      <c r="AD110" s="1" t="s">
        <v>5175</v>
      </c>
      <c r="AE110" s="1" t="s">
        <v>5176</v>
      </c>
      <c r="AF110" s="1" t="s">
        <v>6917</v>
      </c>
      <c r="AG110" s="1" t="s">
        <v>1507</v>
      </c>
      <c r="AH110" s="1">
        <v>31</v>
      </c>
      <c r="AI110" s="1">
        <v>2</v>
      </c>
      <c r="AJ110" s="1">
        <v>2</v>
      </c>
      <c r="AK110" s="1">
        <v>2</v>
      </c>
      <c r="AL110" s="1">
        <v>7</v>
      </c>
      <c r="AM110" s="1" t="s">
        <v>5178</v>
      </c>
      <c r="AN110" s="1" t="s">
        <v>5179</v>
      </c>
      <c r="AO110" s="1" t="s">
        <v>5180</v>
      </c>
      <c r="AP110" s="1" t="s">
        <v>5181</v>
      </c>
      <c r="AQ110" s="1" t="s">
        <v>5182</v>
      </c>
      <c r="AR110" s="1" t="s">
        <v>1507</v>
      </c>
      <c r="AS110" s="1" t="s">
        <v>5183</v>
      </c>
      <c r="AT110" s="1" t="s">
        <v>5184</v>
      </c>
      <c r="AU110" s="1" t="s">
        <v>15588</v>
      </c>
      <c r="AV110" s="1">
        <v>2022</v>
      </c>
      <c r="AW110" s="1">
        <v>26</v>
      </c>
      <c r="AX110" s="1">
        <v>7</v>
      </c>
      <c r="AY110" s="1" t="s">
        <v>1507</v>
      </c>
      <c r="AZ110" s="1" t="s">
        <v>1507</v>
      </c>
      <c r="BA110" s="1" t="s">
        <v>1507</v>
      </c>
      <c r="BB110" s="1" t="s">
        <v>1507</v>
      </c>
      <c r="BC110" s="1">
        <v>53</v>
      </c>
      <c r="BD110" s="1">
        <v>62</v>
      </c>
      <c r="BE110" s="1" t="s">
        <v>1507</v>
      </c>
      <c r="BF110" s="1" t="s">
        <v>6918</v>
      </c>
      <c r="BG110" s="1" t="str">
        <f>HYPERLINK("http://dx.doi.org/10.1108/JMLC-07-2022-0102","http://dx.doi.org/10.1108/JMLC-07-2022-0102")</f>
        <v>http://dx.doi.org/10.1108/JMLC-07-2022-0102</v>
      </c>
      <c r="BH110" s="1" t="s">
        <v>1507</v>
      </c>
      <c r="BI110" s="1" t="s">
        <v>6910</v>
      </c>
      <c r="BJ110" s="1">
        <v>10</v>
      </c>
      <c r="BK110" s="1" t="s">
        <v>5187</v>
      </c>
      <c r="BL110" s="1" t="s">
        <v>1529</v>
      </c>
      <c r="BM110" s="1" t="s">
        <v>5187</v>
      </c>
      <c r="BN110" s="1" t="s">
        <v>6919</v>
      </c>
      <c r="BO110" s="1" t="s">
        <v>1507</v>
      </c>
      <c r="BP110" s="1" t="s">
        <v>1537</v>
      </c>
      <c r="BQ110" s="1" t="s">
        <v>1507</v>
      </c>
      <c r="BR110" s="1" t="s">
        <v>1507</v>
      </c>
      <c r="BS110" s="1" t="s">
        <v>13744</v>
      </c>
      <c r="BT110" s="1" t="s">
        <v>6920</v>
      </c>
      <c r="BU110" s="1" t="str">
        <f>HYPERLINK("https%3A%2F%2Fwww.webofscience.com%2Fwos%2Fwoscc%2Ffull-record%2FWOS:000851216500001","View Full Record in Web of Science")</f>
        <v>View Full Record in Web of Science</v>
      </c>
    </row>
    <row r="111" spans="1:73" x14ac:dyDescent="0.25">
      <c r="A111" s="1">
        <v>110</v>
      </c>
      <c r="B111" s="1" t="s">
        <v>1506</v>
      </c>
      <c r="C111" s="1" t="s">
        <v>14047</v>
      </c>
      <c r="D111" s="1" t="s">
        <v>1507</v>
      </c>
      <c r="E111" s="1" t="s">
        <v>1507</v>
      </c>
      <c r="F111" s="1" t="s">
        <v>1507</v>
      </c>
      <c r="G111" s="1" t="s">
        <v>14048</v>
      </c>
      <c r="H111" s="1" t="s">
        <v>1507</v>
      </c>
      <c r="I111" s="1" t="s">
        <v>1507</v>
      </c>
      <c r="J111" s="1" t="s">
        <v>14049</v>
      </c>
      <c r="K111" s="1" t="s">
        <v>14050</v>
      </c>
      <c r="L111" s="1" t="s">
        <v>1507</v>
      </c>
      <c r="M111" s="1" t="s">
        <v>1507</v>
      </c>
      <c r="N111" s="1" t="s">
        <v>42</v>
      </c>
      <c r="O111" s="1" t="s">
        <v>12366</v>
      </c>
      <c r="P111" s="1" t="s">
        <v>1507</v>
      </c>
      <c r="Q111" s="1" t="s">
        <v>1507</v>
      </c>
      <c r="R111" s="1" t="s">
        <v>1507</v>
      </c>
      <c r="S111" s="1" t="s">
        <v>1507</v>
      </c>
      <c r="T111" s="1" t="s">
        <v>1507</v>
      </c>
      <c r="U111" s="1" t="s">
        <v>14051</v>
      </c>
      <c r="V111" s="1" t="s">
        <v>14052</v>
      </c>
      <c r="W111" s="1" t="s">
        <v>14053</v>
      </c>
      <c r="X111" s="1" t="s">
        <v>14054</v>
      </c>
      <c r="Y111" s="1" t="s">
        <v>14055</v>
      </c>
      <c r="Z111" s="1" t="s">
        <v>14056</v>
      </c>
      <c r="AA111" s="1" t="s">
        <v>14057</v>
      </c>
      <c r="AB111" s="1" t="s">
        <v>1507</v>
      </c>
      <c r="AC111" s="1" t="s">
        <v>14058</v>
      </c>
      <c r="AD111" s="1" t="s">
        <v>14059</v>
      </c>
      <c r="AE111" s="1" t="s">
        <v>14059</v>
      </c>
      <c r="AF111" s="1" t="s">
        <v>14060</v>
      </c>
      <c r="AG111" s="1" t="s">
        <v>1507</v>
      </c>
      <c r="AH111" s="1">
        <v>39</v>
      </c>
      <c r="AI111" s="1">
        <v>2</v>
      </c>
      <c r="AJ111" s="1">
        <v>2</v>
      </c>
      <c r="AK111" s="1">
        <v>0</v>
      </c>
      <c r="AL111" s="1">
        <v>0</v>
      </c>
      <c r="AM111" s="1" t="s">
        <v>14061</v>
      </c>
      <c r="AN111" s="1" t="s">
        <v>14062</v>
      </c>
      <c r="AO111" s="1" t="s">
        <v>14063</v>
      </c>
      <c r="AP111" s="1" t="s">
        <v>14064</v>
      </c>
      <c r="AQ111" s="1" t="s">
        <v>14065</v>
      </c>
      <c r="AR111" s="1" t="s">
        <v>1507</v>
      </c>
      <c r="AS111" s="1" t="s">
        <v>14066</v>
      </c>
      <c r="AT111" s="1" t="s">
        <v>14067</v>
      </c>
      <c r="AU111" s="1" t="s">
        <v>2771</v>
      </c>
      <c r="AV111" s="1">
        <v>2023</v>
      </c>
      <c r="AW111" s="1">
        <v>27</v>
      </c>
      <c r="AX111" s="1" t="s">
        <v>1507</v>
      </c>
      <c r="AY111" s="1" t="s">
        <v>1507</v>
      </c>
      <c r="AZ111" s="1">
        <v>2</v>
      </c>
      <c r="BA111" s="1" t="s">
        <v>1507</v>
      </c>
      <c r="BB111" s="1" t="s">
        <v>1507</v>
      </c>
      <c r="BC111" s="1" t="s">
        <v>14068</v>
      </c>
      <c r="BD111" s="1" t="s">
        <v>14069</v>
      </c>
      <c r="BE111" s="1" t="s">
        <v>1507</v>
      </c>
      <c r="BF111" s="1" t="s">
        <v>14070</v>
      </c>
      <c r="BG111" s="1" t="str">
        <f>HYPERLINK("http://dx.doi.org/10.5213/inj.2346294.147","http://dx.doi.org/10.5213/inj.2346294.147")</f>
        <v>http://dx.doi.org/10.5213/inj.2346294.147</v>
      </c>
      <c r="BH111" s="1" t="s">
        <v>1507</v>
      </c>
      <c r="BI111" s="1" t="s">
        <v>1507</v>
      </c>
      <c r="BJ111" s="1">
        <v>9</v>
      </c>
      <c r="BK111" s="1" t="s">
        <v>9833</v>
      </c>
      <c r="BL111" s="1" t="s">
        <v>1573</v>
      </c>
      <c r="BM111" s="1" t="s">
        <v>9833</v>
      </c>
      <c r="BN111" s="1" t="s">
        <v>14071</v>
      </c>
      <c r="BO111" s="1">
        <v>38048820</v>
      </c>
      <c r="BP111" s="1" t="s">
        <v>1537</v>
      </c>
      <c r="BQ111" s="1" t="s">
        <v>1507</v>
      </c>
      <c r="BR111" s="1" t="s">
        <v>1507</v>
      </c>
      <c r="BS111" s="1" t="s">
        <v>13744</v>
      </c>
      <c r="BT111" s="1" t="s">
        <v>14072</v>
      </c>
      <c r="BU111" s="1" t="str">
        <f>HYPERLINK("https%3A%2F%2Fwww.webofscience.com%2Fwos%2Fwoscc%2Ffull-record%2FWOS:001111259500003","View Full Record in Web of Science")</f>
        <v>View Full Record in Web of Science</v>
      </c>
    </row>
    <row r="112" spans="1:73" x14ac:dyDescent="0.25">
      <c r="A112" s="1">
        <v>111</v>
      </c>
      <c r="B112" s="1" t="s">
        <v>1506</v>
      </c>
      <c r="C112" s="1" t="s">
        <v>2499</v>
      </c>
      <c r="D112" s="1" t="s">
        <v>1507</v>
      </c>
      <c r="E112" s="1" t="s">
        <v>1507</v>
      </c>
      <c r="F112" s="1" t="s">
        <v>1507</v>
      </c>
      <c r="G112" s="1" t="s">
        <v>2500</v>
      </c>
      <c r="H112" s="1" t="s">
        <v>1507</v>
      </c>
      <c r="I112" s="1" t="s">
        <v>1507</v>
      </c>
      <c r="J112" s="1" t="s">
        <v>2501</v>
      </c>
      <c r="K112" s="1" t="s">
        <v>2502</v>
      </c>
      <c r="L112" s="1" t="s">
        <v>1507</v>
      </c>
      <c r="M112" s="1" t="s">
        <v>1507</v>
      </c>
      <c r="N112" s="1" t="s">
        <v>42</v>
      </c>
      <c r="O112" s="1" t="s">
        <v>56</v>
      </c>
      <c r="P112" s="1" t="s">
        <v>1507</v>
      </c>
      <c r="Q112" s="1" t="s">
        <v>1507</v>
      </c>
      <c r="R112" s="1" t="s">
        <v>1507</v>
      </c>
      <c r="S112" s="1" t="s">
        <v>1507</v>
      </c>
      <c r="T112" s="1" t="s">
        <v>1507</v>
      </c>
      <c r="U112" s="1" t="s">
        <v>2503</v>
      </c>
      <c r="V112" s="1" t="s">
        <v>11396</v>
      </c>
      <c r="W112" s="1" t="s">
        <v>2504</v>
      </c>
      <c r="X112" s="1" t="s">
        <v>2505</v>
      </c>
      <c r="Y112" s="1" t="s">
        <v>2506</v>
      </c>
      <c r="Z112" s="1" t="s">
        <v>2507</v>
      </c>
      <c r="AA112" s="1" t="s">
        <v>2508</v>
      </c>
      <c r="AB112" s="1" t="s">
        <v>1507</v>
      </c>
      <c r="AC112" s="1" t="s">
        <v>1507</v>
      </c>
      <c r="AD112" s="1" t="s">
        <v>2509</v>
      </c>
      <c r="AE112" s="1" t="s">
        <v>2509</v>
      </c>
      <c r="AF112" s="1" t="s">
        <v>2510</v>
      </c>
      <c r="AG112" s="1" t="s">
        <v>1507</v>
      </c>
      <c r="AH112" s="1">
        <v>38</v>
      </c>
      <c r="AI112" s="1">
        <v>1</v>
      </c>
      <c r="AJ112" s="1">
        <v>1</v>
      </c>
      <c r="AK112" s="1">
        <v>17</v>
      </c>
      <c r="AL112" s="1">
        <v>17</v>
      </c>
      <c r="AM112" s="1" t="s">
        <v>1725</v>
      </c>
      <c r="AN112" s="1" t="s">
        <v>1551</v>
      </c>
      <c r="AO112" s="1" t="s">
        <v>1726</v>
      </c>
      <c r="AP112" s="1" t="s">
        <v>1507</v>
      </c>
      <c r="AQ112" s="1" t="s">
        <v>2511</v>
      </c>
      <c r="AR112" s="1" t="s">
        <v>1507</v>
      </c>
      <c r="AS112" s="1" t="s">
        <v>2512</v>
      </c>
      <c r="AT112" s="1" t="s">
        <v>2513</v>
      </c>
      <c r="AU112" s="1" t="s">
        <v>2514</v>
      </c>
      <c r="AV112" s="1">
        <v>2023</v>
      </c>
      <c r="AW112" s="1">
        <v>23</v>
      </c>
      <c r="AX112" s="1">
        <v>1</v>
      </c>
      <c r="AY112" s="1" t="s">
        <v>1507</v>
      </c>
      <c r="AZ112" s="1" t="s">
        <v>1507</v>
      </c>
      <c r="BA112" s="1" t="s">
        <v>1507</v>
      </c>
      <c r="BB112" s="1" t="s">
        <v>1507</v>
      </c>
      <c r="BC112" s="1" t="s">
        <v>1507</v>
      </c>
      <c r="BD112" s="1" t="s">
        <v>1507</v>
      </c>
      <c r="BE112" s="1">
        <v>864</v>
      </c>
      <c r="BF112" s="1" t="s">
        <v>2515</v>
      </c>
      <c r="BG112" s="1" t="str">
        <f>HYPERLINK("http://dx.doi.org/10.1186/s12909-023-04832-x","http://dx.doi.org/10.1186/s12909-023-04832-x")</f>
        <v>http://dx.doi.org/10.1186/s12909-023-04832-x</v>
      </c>
      <c r="BH112" s="1" t="s">
        <v>1507</v>
      </c>
      <c r="BI112" s="1" t="s">
        <v>1507</v>
      </c>
      <c r="BJ112" s="1">
        <v>8</v>
      </c>
      <c r="BK112" s="1" t="s">
        <v>2516</v>
      </c>
      <c r="BL112" s="1" t="s">
        <v>1598</v>
      </c>
      <c r="BM112" s="1" t="s">
        <v>1558</v>
      </c>
      <c r="BN112" s="1" t="s">
        <v>2517</v>
      </c>
      <c r="BO112" s="1">
        <v>37957666</v>
      </c>
      <c r="BP112" s="1" t="s">
        <v>4312</v>
      </c>
      <c r="BQ112" s="1" t="s">
        <v>1507</v>
      </c>
      <c r="BR112" s="1" t="s">
        <v>1507</v>
      </c>
      <c r="BS112" s="1" t="s">
        <v>13744</v>
      </c>
      <c r="BT112" s="1" t="s">
        <v>2519</v>
      </c>
      <c r="BU112" s="1" t="str">
        <f>HYPERLINK("https%3A%2F%2Fwww.webofscience.com%2Fwos%2Fwoscc%2Ffull-record%2FWOS:001104030200001","View Full Record in Web of Science")</f>
        <v>View Full Record in Web of Science</v>
      </c>
    </row>
    <row r="113" spans="1:73" x14ac:dyDescent="0.25">
      <c r="A113" s="1">
        <v>112</v>
      </c>
      <c r="B113" s="1" t="s">
        <v>1506</v>
      </c>
      <c r="C113" s="1" t="s">
        <v>6739</v>
      </c>
      <c r="D113" s="1" t="s">
        <v>1507</v>
      </c>
      <c r="E113" s="1" t="s">
        <v>1507</v>
      </c>
      <c r="F113" s="1" t="s">
        <v>1507</v>
      </c>
      <c r="G113" s="1" t="s">
        <v>6740</v>
      </c>
      <c r="H113" s="1" t="s">
        <v>1507</v>
      </c>
      <c r="I113" s="1" t="s">
        <v>1507</v>
      </c>
      <c r="J113" s="1" t="s">
        <v>6741</v>
      </c>
      <c r="K113" s="1" t="s">
        <v>4943</v>
      </c>
      <c r="L113" s="1" t="s">
        <v>1507</v>
      </c>
      <c r="M113" s="1" t="s">
        <v>1507</v>
      </c>
      <c r="N113" s="1" t="s">
        <v>42</v>
      </c>
      <c r="O113" s="1" t="s">
        <v>56</v>
      </c>
      <c r="P113" s="1" t="s">
        <v>1507</v>
      </c>
      <c r="Q113" s="1" t="s">
        <v>1507</v>
      </c>
      <c r="R113" s="1" t="s">
        <v>1507</v>
      </c>
      <c r="S113" s="1" t="s">
        <v>1507</v>
      </c>
      <c r="T113" s="1" t="s">
        <v>1507</v>
      </c>
      <c r="U113" s="1" t="s">
        <v>6742</v>
      </c>
      <c r="V113" s="1" t="s">
        <v>6743</v>
      </c>
      <c r="W113" s="1" t="s">
        <v>6744</v>
      </c>
      <c r="X113" s="1" t="s">
        <v>6745</v>
      </c>
      <c r="Y113" s="1" t="s">
        <v>6746</v>
      </c>
      <c r="Z113" s="1" t="s">
        <v>6747</v>
      </c>
      <c r="AA113" s="1" t="s">
        <v>6748</v>
      </c>
      <c r="AB113" s="1" t="s">
        <v>6749</v>
      </c>
      <c r="AC113" s="1" t="s">
        <v>1507</v>
      </c>
      <c r="AD113" s="1" t="s">
        <v>6750</v>
      </c>
      <c r="AE113" s="1" t="s">
        <v>6751</v>
      </c>
      <c r="AF113" s="1" t="s">
        <v>6752</v>
      </c>
      <c r="AG113" s="1" t="s">
        <v>1507</v>
      </c>
      <c r="AH113" s="1">
        <v>34</v>
      </c>
      <c r="AI113" s="1">
        <v>2</v>
      </c>
      <c r="AJ113" s="1">
        <v>2</v>
      </c>
      <c r="AK113" s="1">
        <v>1</v>
      </c>
      <c r="AL113" s="1">
        <v>2</v>
      </c>
      <c r="AM113" s="1" t="s">
        <v>4954</v>
      </c>
      <c r="AN113" s="1" t="s">
        <v>1575</v>
      </c>
      <c r="AO113" s="1" t="s">
        <v>4955</v>
      </c>
      <c r="AP113" s="1" t="s">
        <v>4956</v>
      </c>
      <c r="AQ113" s="1" t="s">
        <v>4957</v>
      </c>
      <c r="AR113" s="1" t="s">
        <v>1507</v>
      </c>
      <c r="AS113" s="1" t="s">
        <v>4958</v>
      </c>
      <c r="AT113" s="1" t="s">
        <v>4959</v>
      </c>
      <c r="AU113" s="1" t="s">
        <v>1507</v>
      </c>
      <c r="AV113" s="1">
        <v>2023</v>
      </c>
      <c r="AW113" s="1">
        <v>30</v>
      </c>
      <c r="AX113" s="1">
        <v>10</v>
      </c>
      <c r="AY113" s="1" t="s">
        <v>1507</v>
      </c>
      <c r="AZ113" s="1" t="s">
        <v>1507</v>
      </c>
      <c r="BA113" s="1" t="s">
        <v>1507</v>
      </c>
      <c r="BB113" s="1" t="s">
        <v>1507</v>
      </c>
      <c r="BC113" s="1">
        <v>1317</v>
      </c>
      <c r="BD113" s="1">
        <v>1326</v>
      </c>
      <c r="BE113" s="1" t="s">
        <v>1507</v>
      </c>
      <c r="BF113" s="1" t="s">
        <v>6753</v>
      </c>
      <c r="BG113" s="1" t="str">
        <f>HYPERLINK("http://dx.doi.org/10.5551/jat.63389","http://dx.doi.org/10.5551/jat.63389")</f>
        <v>http://dx.doi.org/10.5551/jat.63389</v>
      </c>
      <c r="BH113" s="1" t="s">
        <v>1507</v>
      </c>
      <c r="BI113" s="1" t="s">
        <v>6734</v>
      </c>
      <c r="BJ113" s="1">
        <v>10</v>
      </c>
      <c r="BK113" s="1" t="s">
        <v>4961</v>
      </c>
      <c r="BL113" s="1" t="s">
        <v>1573</v>
      </c>
      <c r="BM113" s="1" t="s">
        <v>4962</v>
      </c>
      <c r="BN113" s="1" t="s">
        <v>6754</v>
      </c>
      <c r="BO113" s="1">
        <v>36567112</v>
      </c>
      <c r="BP113" s="1" t="s">
        <v>1674</v>
      </c>
      <c r="BQ113" s="1" t="s">
        <v>1507</v>
      </c>
      <c r="BR113" s="1" t="s">
        <v>1507</v>
      </c>
      <c r="BS113" s="1" t="s">
        <v>13744</v>
      </c>
      <c r="BT113" s="1" t="s">
        <v>6755</v>
      </c>
      <c r="BU113" s="1" t="str">
        <f>HYPERLINK("https%3A%2F%2Fwww.webofscience.com%2Fwos%2Fwoscc%2Ffull-record%2FWOS:000943507800001","View Full Record in Web of Science")</f>
        <v>View Full Record in Web of Science</v>
      </c>
    </row>
    <row r="114" spans="1:73" x14ac:dyDescent="0.25">
      <c r="A114" s="1">
        <v>113</v>
      </c>
      <c r="B114" s="1" t="s">
        <v>1506</v>
      </c>
      <c r="C114" s="1" t="s">
        <v>3491</v>
      </c>
      <c r="D114" s="1" t="s">
        <v>1507</v>
      </c>
      <c r="E114" s="1" t="s">
        <v>1507</v>
      </c>
      <c r="F114" s="1" t="s">
        <v>1507</v>
      </c>
      <c r="G114" s="1" t="s">
        <v>3492</v>
      </c>
      <c r="H114" s="1" t="s">
        <v>1507</v>
      </c>
      <c r="I114" s="1" t="s">
        <v>1507</v>
      </c>
      <c r="J114" s="1" t="s">
        <v>714</v>
      </c>
      <c r="K114" s="1" t="s">
        <v>3493</v>
      </c>
      <c r="L114" s="1" t="s">
        <v>1507</v>
      </c>
      <c r="M114" s="1" t="s">
        <v>1507</v>
      </c>
      <c r="N114" s="1" t="s">
        <v>42</v>
      </c>
      <c r="O114" s="1" t="s">
        <v>56</v>
      </c>
      <c r="P114" s="1" t="s">
        <v>1507</v>
      </c>
      <c r="Q114" s="1" t="s">
        <v>1507</v>
      </c>
      <c r="R114" s="1" t="s">
        <v>1507</v>
      </c>
      <c r="S114" s="1" t="s">
        <v>1507</v>
      </c>
      <c r="T114" s="1" t="s">
        <v>1507</v>
      </c>
      <c r="U114" s="1" t="s">
        <v>3494</v>
      </c>
      <c r="V114" s="1" t="s">
        <v>1507</v>
      </c>
      <c r="W114" s="1" t="s">
        <v>3495</v>
      </c>
      <c r="X114" s="1" t="s">
        <v>3496</v>
      </c>
      <c r="Y114" s="1" t="s">
        <v>3497</v>
      </c>
      <c r="Z114" s="1" t="s">
        <v>3498</v>
      </c>
      <c r="AA114" s="1" t="s">
        <v>1507</v>
      </c>
      <c r="AB114" s="1" t="s">
        <v>1507</v>
      </c>
      <c r="AC114" s="1" t="s">
        <v>3499</v>
      </c>
      <c r="AD114" s="1" t="s">
        <v>1507</v>
      </c>
      <c r="AE114" s="1" t="s">
        <v>1507</v>
      </c>
      <c r="AF114" s="1" t="s">
        <v>1507</v>
      </c>
      <c r="AG114" s="1" t="s">
        <v>1507</v>
      </c>
      <c r="AH114" s="1">
        <v>109</v>
      </c>
      <c r="AI114" s="1">
        <v>0</v>
      </c>
      <c r="AJ114" s="1">
        <v>0</v>
      </c>
      <c r="AK114" s="1">
        <v>32</v>
      </c>
      <c r="AL114" s="1">
        <v>32</v>
      </c>
      <c r="AM114" s="1" t="s">
        <v>3500</v>
      </c>
      <c r="AN114" s="1" t="s">
        <v>3501</v>
      </c>
      <c r="AO114" s="1" t="s">
        <v>3502</v>
      </c>
      <c r="AP114" s="1" t="s">
        <v>3503</v>
      </c>
      <c r="AQ114" s="1" t="s">
        <v>3504</v>
      </c>
      <c r="AR114" s="1" t="s">
        <v>1507</v>
      </c>
      <c r="AS114" s="1" t="s">
        <v>3505</v>
      </c>
      <c r="AT114" s="1" t="s">
        <v>721</v>
      </c>
      <c r="AU114" s="1" t="s">
        <v>2889</v>
      </c>
      <c r="AV114" s="1">
        <v>2023</v>
      </c>
      <c r="AW114" s="1">
        <v>17</v>
      </c>
      <c r="AX114" s="1">
        <v>2</v>
      </c>
      <c r="AY114" s="1" t="s">
        <v>1507</v>
      </c>
      <c r="AZ114" s="1" t="s">
        <v>1507</v>
      </c>
      <c r="BA114" s="1" t="s">
        <v>3506</v>
      </c>
      <c r="BB114" s="1" t="s">
        <v>1507</v>
      </c>
      <c r="BC114" s="1">
        <v>147</v>
      </c>
      <c r="BD114" s="1">
        <v>167</v>
      </c>
      <c r="BE114" s="1" t="s">
        <v>1507</v>
      </c>
      <c r="BF114" s="1" t="s">
        <v>716</v>
      </c>
      <c r="BG114" s="1" t="str">
        <f>HYPERLINK("http://dx.doi.org/10.3366/ijhac.2023.0310","http://dx.doi.org/10.3366/ijhac.2023.0310")</f>
        <v>http://dx.doi.org/10.3366/ijhac.2023.0310</v>
      </c>
      <c r="BH114" s="1" t="s">
        <v>1507</v>
      </c>
      <c r="BI114" s="1" t="s">
        <v>1507</v>
      </c>
      <c r="BJ114" s="1">
        <v>21</v>
      </c>
      <c r="BK114" s="1" t="s">
        <v>3507</v>
      </c>
      <c r="BL114" s="1" t="s">
        <v>3140</v>
      </c>
      <c r="BM114" s="1" t="s">
        <v>3508</v>
      </c>
      <c r="BN114" s="1" t="s">
        <v>3509</v>
      </c>
      <c r="BO114" s="1" t="s">
        <v>1507</v>
      </c>
      <c r="BP114" s="1" t="s">
        <v>1507</v>
      </c>
      <c r="BQ114" s="1" t="s">
        <v>1507</v>
      </c>
      <c r="BR114" s="1" t="s">
        <v>1507</v>
      </c>
      <c r="BS114" s="1" t="s">
        <v>13744</v>
      </c>
      <c r="BT114" s="1" t="s">
        <v>3510</v>
      </c>
      <c r="BU114" s="1" t="str">
        <f>HYPERLINK("https%3A%2F%2Fwww.webofscience.com%2Fwos%2Fwoscc%2Ffull-record%2FWOS:001087046600008","View Full Record in Web of Science")</f>
        <v>View Full Record in Web of Science</v>
      </c>
    </row>
    <row r="115" spans="1:73" x14ac:dyDescent="0.25">
      <c r="A115" s="1">
        <v>114</v>
      </c>
      <c r="B115" s="1" t="s">
        <v>5546</v>
      </c>
      <c r="C115" s="1" t="s">
        <v>5698</v>
      </c>
      <c r="D115" s="1" t="s">
        <v>1507</v>
      </c>
      <c r="E115" s="1" t="s">
        <v>1507</v>
      </c>
      <c r="F115" s="1" t="s">
        <v>5548</v>
      </c>
      <c r="G115" s="1" t="s">
        <v>5699</v>
      </c>
      <c r="H115" s="1" t="s">
        <v>1507</v>
      </c>
      <c r="I115" s="1" t="s">
        <v>1507</v>
      </c>
      <c r="J115" s="1" t="s">
        <v>58</v>
      </c>
      <c r="K115" s="1" t="s">
        <v>5700</v>
      </c>
      <c r="L115" s="1" t="s">
        <v>1507</v>
      </c>
      <c r="M115" s="1" t="s">
        <v>1507</v>
      </c>
      <c r="N115" s="1" t="s">
        <v>42</v>
      </c>
      <c r="O115" s="1" t="s">
        <v>5552</v>
      </c>
      <c r="P115" s="1" t="s">
        <v>5701</v>
      </c>
      <c r="Q115" s="1" t="s">
        <v>5702</v>
      </c>
      <c r="R115" s="1" t="s">
        <v>5703</v>
      </c>
      <c r="S115" s="1" t="s">
        <v>5704</v>
      </c>
      <c r="T115" s="1" t="s">
        <v>5705</v>
      </c>
      <c r="U115" s="1" t="s">
        <v>5706</v>
      </c>
      <c r="V115" s="1" t="s">
        <v>1507</v>
      </c>
      <c r="W115" s="1" t="s">
        <v>5707</v>
      </c>
      <c r="X115" s="1" t="s">
        <v>5708</v>
      </c>
      <c r="Y115" s="1" t="s">
        <v>5709</v>
      </c>
      <c r="Z115" s="1" t="s">
        <v>5710</v>
      </c>
      <c r="AA115" s="1" t="s">
        <v>5711</v>
      </c>
      <c r="AB115" s="1" t="s">
        <v>1507</v>
      </c>
      <c r="AC115" s="1" t="s">
        <v>5712</v>
      </c>
      <c r="AD115" s="1" t="s">
        <v>5713</v>
      </c>
      <c r="AE115" s="1" t="s">
        <v>5714</v>
      </c>
      <c r="AF115" s="1" t="s">
        <v>5715</v>
      </c>
      <c r="AG115" s="1" t="s">
        <v>1507</v>
      </c>
      <c r="AH115" s="1">
        <v>17</v>
      </c>
      <c r="AI115" s="1">
        <v>4</v>
      </c>
      <c r="AJ115" s="1">
        <v>4</v>
      </c>
      <c r="AK115" s="1">
        <v>12</v>
      </c>
      <c r="AL115" s="1">
        <v>12</v>
      </c>
      <c r="AM115" s="1" t="s">
        <v>5565</v>
      </c>
      <c r="AN115" s="1" t="s">
        <v>1512</v>
      </c>
      <c r="AO115" s="1" t="s">
        <v>5566</v>
      </c>
      <c r="AP115" s="1" t="s">
        <v>1507</v>
      </c>
      <c r="AQ115" s="1" t="s">
        <v>1507</v>
      </c>
      <c r="AR115" s="1" t="s">
        <v>5716</v>
      </c>
      <c r="AS115" s="1" t="s">
        <v>1507</v>
      </c>
      <c r="AT115" s="1" t="s">
        <v>1507</v>
      </c>
      <c r="AU115" s="1" t="s">
        <v>1507</v>
      </c>
      <c r="AV115" s="1">
        <v>2023</v>
      </c>
      <c r="AW115" s="1" t="s">
        <v>1507</v>
      </c>
      <c r="AX115" s="1" t="s">
        <v>1507</v>
      </c>
      <c r="AY115" s="1" t="s">
        <v>1507</v>
      </c>
      <c r="AZ115" s="1" t="s">
        <v>1507</v>
      </c>
      <c r="BA115" s="1" t="s">
        <v>1507</v>
      </c>
      <c r="BB115" s="1" t="s">
        <v>1507</v>
      </c>
      <c r="BC115" s="1">
        <v>61</v>
      </c>
      <c r="BD115" s="1">
        <v>67</v>
      </c>
      <c r="BE115" s="1" t="s">
        <v>1507</v>
      </c>
      <c r="BF115" s="1" t="s">
        <v>60</v>
      </c>
      <c r="BG115" s="1" t="str">
        <f>HYPERLINK("http://dx.doi.org/10.1145/3587102.3588814","http://dx.doi.org/10.1145/3587102.3588814")</f>
        <v>http://dx.doi.org/10.1145/3587102.3588814</v>
      </c>
      <c r="BH115" s="1" t="s">
        <v>1507</v>
      </c>
      <c r="BI115" s="1" t="s">
        <v>1507</v>
      </c>
      <c r="BJ115" s="1">
        <v>7</v>
      </c>
      <c r="BK115" s="1" t="s">
        <v>2516</v>
      </c>
      <c r="BL115" s="1" t="s">
        <v>5695</v>
      </c>
      <c r="BM115" s="1" t="s">
        <v>1558</v>
      </c>
      <c r="BN115" s="1" t="s">
        <v>5717</v>
      </c>
      <c r="BO115" s="1" t="s">
        <v>1507</v>
      </c>
      <c r="BP115" s="1" t="s">
        <v>3572</v>
      </c>
      <c r="BQ115" s="1" t="s">
        <v>1507</v>
      </c>
      <c r="BR115" s="1" t="s">
        <v>1507</v>
      </c>
      <c r="BS115" s="1" t="s">
        <v>13744</v>
      </c>
      <c r="BT115" s="1" t="s">
        <v>5718</v>
      </c>
      <c r="BU115" s="1" t="str">
        <f>HYPERLINK("https%3A%2F%2Fwww.webofscience.com%2Fwos%2Fwoscc%2Ffull-record%2FWOS:001051691300011","View Full Record in Web of Science")</f>
        <v>View Full Record in Web of Science</v>
      </c>
    </row>
    <row r="116" spans="1:73" x14ac:dyDescent="0.25">
      <c r="A116" s="1">
        <v>115</v>
      </c>
      <c r="B116" s="1" t="s">
        <v>1506</v>
      </c>
      <c r="C116" s="1" t="s">
        <v>4813</v>
      </c>
      <c r="D116" s="1" t="s">
        <v>1507</v>
      </c>
      <c r="E116" s="1" t="s">
        <v>1507</v>
      </c>
      <c r="F116" s="1" t="s">
        <v>1507</v>
      </c>
      <c r="G116" s="1" t="s">
        <v>4814</v>
      </c>
      <c r="H116" s="1" t="s">
        <v>1507</v>
      </c>
      <c r="I116" s="1" t="s">
        <v>1507</v>
      </c>
      <c r="J116" s="1" t="s">
        <v>4815</v>
      </c>
      <c r="K116" s="1" t="s">
        <v>4816</v>
      </c>
      <c r="L116" s="1" t="s">
        <v>1507</v>
      </c>
      <c r="M116" s="1" t="s">
        <v>1507</v>
      </c>
      <c r="N116" s="1" t="s">
        <v>42</v>
      </c>
      <c r="O116" s="1" t="s">
        <v>56</v>
      </c>
      <c r="P116" s="1" t="s">
        <v>1507</v>
      </c>
      <c r="Q116" s="1" t="s">
        <v>1507</v>
      </c>
      <c r="R116" s="1" t="s">
        <v>1507</v>
      </c>
      <c r="S116" s="1" t="s">
        <v>1507</v>
      </c>
      <c r="T116" s="1" t="s">
        <v>1507</v>
      </c>
      <c r="U116" s="1" t="s">
        <v>4817</v>
      </c>
      <c r="V116" s="1" t="s">
        <v>4818</v>
      </c>
      <c r="W116" s="1" t="s">
        <v>4819</v>
      </c>
      <c r="X116" s="1" t="s">
        <v>4820</v>
      </c>
      <c r="Y116" s="1" t="s">
        <v>1507</v>
      </c>
      <c r="Z116" s="1" t="s">
        <v>4821</v>
      </c>
      <c r="AA116" s="1" t="s">
        <v>4822</v>
      </c>
      <c r="AB116" s="1" t="s">
        <v>4823</v>
      </c>
      <c r="AC116" s="1" t="s">
        <v>14685</v>
      </c>
      <c r="AD116" s="1" t="s">
        <v>4824</v>
      </c>
      <c r="AE116" s="1" t="s">
        <v>4825</v>
      </c>
      <c r="AF116" s="1" t="s">
        <v>4826</v>
      </c>
      <c r="AG116" s="1" t="s">
        <v>1507</v>
      </c>
      <c r="AH116" s="1">
        <v>54</v>
      </c>
      <c r="AI116" s="1">
        <v>2</v>
      </c>
      <c r="AJ116" s="1">
        <v>2</v>
      </c>
      <c r="AK116" s="1">
        <v>2</v>
      </c>
      <c r="AL116" s="1">
        <v>6</v>
      </c>
      <c r="AM116" s="1" t="s">
        <v>1548</v>
      </c>
      <c r="AN116" s="1" t="s">
        <v>1549</v>
      </c>
      <c r="AO116" s="1" t="s">
        <v>1550</v>
      </c>
      <c r="AP116" s="1" t="s">
        <v>4827</v>
      </c>
      <c r="AQ116" s="1" t="s">
        <v>4828</v>
      </c>
      <c r="AR116" s="1" t="s">
        <v>1507</v>
      </c>
      <c r="AS116" s="1" t="s">
        <v>4829</v>
      </c>
      <c r="AT116" s="1" t="s">
        <v>4830</v>
      </c>
      <c r="AU116" s="1" t="s">
        <v>2889</v>
      </c>
      <c r="AV116" s="1">
        <v>2023</v>
      </c>
      <c r="AW116" s="1">
        <v>79</v>
      </c>
      <c r="AX116" s="1">
        <v>10</v>
      </c>
      <c r="AY116" s="1" t="s">
        <v>1507</v>
      </c>
      <c r="AZ116" s="1" t="s">
        <v>1507</v>
      </c>
      <c r="BA116" s="1" t="s">
        <v>1507</v>
      </c>
      <c r="BB116" s="1" t="s">
        <v>1507</v>
      </c>
      <c r="BC116" s="1">
        <v>3749</v>
      </c>
      <c r="BD116" s="1">
        <v>3756</v>
      </c>
      <c r="BE116" s="1" t="s">
        <v>1507</v>
      </c>
      <c r="BF116" s="1" t="s">
        <v>4831</v>
      </c>
      <c r="BG116" s="1" t="str">
        <f>HYPERLINK("http://dx.doi.org/10.1002/ps.7557","http://dx.doi.org/10.1002/ps.7557")</f>
        <v>http://dx.doi.org/10.1002/ps.7557</v>
      </c>
      <c r="BH116" s="1" t="s">
        <v>1507</v>
      </c>
      <c r="BI116" s="1" t="s">
        <v>4832</v>
      </c>
      <c r="BJ116" s="1">
        <v>8</v>
      </c>
      <c r="BK116" s="1" t="s">
        <v>4833</v>
      </c>
      <c r="BL116" s="1" t="s">
        <v>1573</v>
      </c>
      <c r="BM116" s="1" t="s">
        <v>4834</v>
      </c>
      <c r="BN116" s="1" t="s">
        <v>14686</v>
      </c>
      <c r="BO116" s="1">
        <v>37198351</v>
      </c>
      <c r="BP116" s="1" t="s">
        <v>1507</v>
      </c>
      <c r="BQ116" s="1" t="s">
        <v>1507</v>
      </c>
      <c r="BR116" s="1" t="s">
        <v>1507</v>
      </c>
      <c r="BS116" s="1" t="s">
        <v>13744</v>
      </c>
      <c r="BT116" s="1" t="s">
        <v>4835</v>
      </c>
      <c r="BU116" s="1" t="str">
        <f>HYPERLINK("https%3A%2F%2Fwww.webofscience.com%2Fwos%2Fwoscc%2Ffull-record%2FWOS:000998248700001","View Full Record in Web of Science")</f>
        <v>View Full Record in Web of Science</v>
      </c>
    </row>
    <row r="117" spans="1:73" x14ac:dyDescent="0.25">
      <c r="A117" s="1">
        <v>116</v>
      </c>
      <c r="B117" s="1" t="s">
        <v>1506</v>
      </c>
      <c r="C117" s="1" t="s">
        <v>4635</v>
      </c>
      <c r="D117" s="1" t="s">
        <v>1507</v>
      </c>
      <c r="E117" s="1" t="s">
        <v>1507</v>
      </c>
      <c r="F117" s="1" t="s">
        <v>1507</v>
      </c>
      <c r="G117" s="1" t="s">
        <v>4636</v>
      </c>
      <c r="H117" s="1" t="s">
        <v>1507</v>
      </c>
      <c r="I117" s="1" t="s">
        <v>1507</v>
      </c>
      <c r="J117" s="1" t="s">
        <v>4637</v>
      </c>
      <c r="K117" s="1" t="s">
        <v>2982</v>
      </c>
      <c r="L117" s="1" t="s">
        <v>1507</v>
      </c>
      <c r="M117" s="1" t="s">
        <v>1507</v>
      </c>
      <c r="N117" s="1" t="s">
        <v>42</v>
      </c>
      <c r="O117" s="1" t="s">
        <v>1509</v>
      </c>
      <c r="P117" s="1" t="s">
        <v>1507</v>
      </c>
      <c r="Q117" s="1" t="s">
        <v>1507</v>
      </c>
      <c r="R117" s="1" t="s">
        <v>1507</v>
      </c>
      <c r="S117" s="1" t="s">
        <v>1507</v>
      </c>
      <c r="T117" s="1" t="s">
        <v>1507</v>
      </c>
      <c r="U117" s="1" t="s">
        <v>4638</v>
      </c>
      <c r="V117" s="1" t="s">
        <v>1507</v>
      </c>
      <c r="W117" s="1" t="s">
        <v>4639</v>
      </c>
      <c r="X117" s="1" t="s">
        <v>4640</v>
      </c>
      <c r="Y117" s="1" t="s">
        <v>4641</v>
      </c>
      <c r="Z117" s="1" t="s">
        <v>4642</v>
      </c>
      <c r="AA117" s="1" t="s">
        <v>4643</v>
      </c>
      <c r="AB117" s="1" t="s">
        <v>1507</v>
      </c>
      <c r="AC117" s="1" t="s">
        <v>4644</v>
      </c>
      <c r="AD117" s="1" t="s">
        <v>4645</v>
      </c>
      <c r="AE117" s="1" t="s">
        <v>4645</v>
      </c>
      <c r="AF117" s="1" t="s">
        <v>4646</v>
      </c>
      <c r="AG117" s="1" t="s">
        <v>1507</v>
      </c>
      <c r="AH117" s="1">
        <v>62</v>
      </c>
      <c r="AI117" s="1">
        <v>5</v>
      </c>
      <c r="AJ117" s="1">
        <v>5</v>
      </c>
      <c r="AK117" s="1">
        <v>12</v>
      </c>
      <c r="AL117" s="1">
        <v>25</v>
      </c>
      <c r="AM117" s="1" t="s">
        <v>1511</v>
      </c>
      <c r="AN117" s="1" t="s">
        <v>1512</v>
      </c>
      <c r="AO117" s="1" t="s">
        <v>1513</v>
      </c>
      <c r="AP117" s="1" t="s">
        <v>2990</v>
      </c>
      <c r="AQ117" s="1" t="s">
        <v>2991</v>
      </c>
      <c r="AR117" s="1" t="s">
        <v>1507</v>
      </c>
      <c r="AS117" s="1" t="s">
        <v>2992</v>
      </c>
      <c r="AT117" s="1" t="s">
        <v>1185</v>
      </c>
      <c r="AU117" s="1" t="s">
        <v>4647</v>
      </c>
      <c r="AV117" s="1">
        <v>2023</v>
      </c>
      <c r="AW117" s="1" t="s">
        <v>1507</v>
      </c>
      <c r="AX117" s="1" t="s">
        <v>1507</v>
      </c>
      <c r="AY117" s="1" t="s">
        <v>1507</v>
      </c>
      <c r="AZ117" s="1" t="s">
        <v>1507</v>
      </c>
      <c r="BA117" s="1" t="s">
        <v>1507</v>
      </c>
      <c r="BB117" s="1" t="s">
        <v>1507</v>
      </c>
      <c r="BC117" s="1" t="s">
        <v>1507</v>
      </c>
      <c r="BD117" s="1" t="s">
        <v>1507</v>
      </c>
      <c r="BE117" s="1" t="s">
        <v>1507</v>
      </c>
      <c r="BF117" s="1" t="s">
        <v>4648</v>
      </c>
      <c r="BG117" s="1" t="str">
        <f>HYPERLINK("http://dx.doi.org/10.1007/s00146-023-01710-4","http://dx.doi.org/10.1007/s00146-023-01710-4")</f>
        <v>http://dx.doi.org/10.1007/s00146-023-01710-4</v>
      </c>
      <c r="BH117" s="1" t="s">
        <v>1507</v>
      </c>
      <c r="BI117" s="1" t="s">
        <v>4630</v>
      </c>
      <c r="BJ117" s="1">
        <v>11</v>
      </c>
      <c r="BK117" s="1" t="s">
        <v>2994</v>
      </c>
      <c r="BL117" s="1" t="s">
        <v>1529</v>
      </c>
      <c r="BM117" s="1" t="s">
        <v>1577</v>
      </c>
      <c r="BN117" s="1" t="s">
        <v>4649</v>
      </c>
      <c r="BO117" s="1" t="s">
        <v>1507</v>
      </c>
      <c r="BP117" s="1" t="s">
        <v>1537</v>
      </c>
      <c r="BQ117" s="1" t="s">
        <v>1507</v>
      </c>
      <c r="BR117" s="1" t="s">
        <v>1507</v>
      </c>
      <c r="BS117" s="1" t="s">
        <v>13744</v>
      </c>
      <c r="BT117" s="1" t="s">
        <v>4650</v>
      </c>
      <c r="BU117" s="1" t="str">
        <f>HYPERLINK("https%3A%2F%2Fwww.webofscience.com%2Fwos%2Fwoscc%2Ffull-record%2FWOS:001013911000001","View Full Record in Web of Science")</f>
        <v>View Full Record in Web of Science</v>
      </c>
    </row>
    <row r="118" spans="1:73" x14ac:dyDescent="0.25">
      <c r="A118" s="1">
        <v>117</v>
      </c>
      <c r="B118" s="1" t="s">
        <v>1506</v>
      </c>
      <c r="C118" s="1" t="s">
        <v>4293</v>
      </c>
      <c r="D118" s="1" t="s">
        <v>1507</v>
      </c>
      <c r="E118" s="1" t="s">
        <v>1507</v>
      </c>
      <c r="F118" s="1" t="s">
        <v>1507</v>
      </c>
      <c r="G118" s="1" t="s">
        <v>4294</v>
      </c>
      <c r="H118" s="1" t="s">
        <v>1507</v>
      </c>
      <c r="I118" s="1" t="s">
        <v>1507</v>
      </c>
      <c r="J118" s="1" t="s">
        <v>4295</v>
      </c>
      <c r="K118" s="1" t="s">
        <v>4296</v>
      </c>
      <c r="L118" s="1" t="s">
        <v>1507</v>
      </c>
      <c r="M118" s="1" t="s">
        <v>1507</v>
      </c>
      <c r="N118" s="1" t="s">
        <v>42</v>
      </c>
      <c r="O118" s="1" t="s">
        <v>56</v>
      </c>
      <c r="P118" s="1" t="s">
        <v>1507</v>
      </c>
      <c r="Q118" s="1" t="s">
        <v>1507</v>
      </c>
      <c r="R118" s="1" t="s">
        <v>1507</v>
      </c>
      <c r="S118" s="1" t="s">
        <v>1507</v>
      </c>
      <c r="T118" s="1" t="s">
        <v>1507</v>
      </c>
      <c r="U118" s="1" t="s">
        <v>1507</v>
      </c>
      <c r="V118" s="1" t="s">
        <v>4297</v>
      </c>
      <c r="W118" s="1" t="s">
        <v>4298</v>
      </c>
      <c r="X118" s="1" t="s">
        <v>4299</v>
      </c>
      <c r="Y118" s="1" t="s">
        <v>14570</v>
      </c>
      <c r="Z118" s="1" t="s">
        <v>4300</v>
      </c>
      <c r="AA118" s="1" t="s">
        <v>4301</v>
      </c>
      <c r="AB118" s="1" t="s">
        <v>14571</v>
      </c>
      <c r="AC118" s="1" t="s">
        <v>14572</v>
      </c>
      <c r="AD118" s="1" t="s">
        <v>4302</v>
      </c>
      <c r="AE118" s="1" t="s">
        <v>4303</v>
      </c>
      <c r="AF118" s="1" t="s">
        <v>4304</v>
      </c>
      <c r="AG118" s="1" t="s">
        <v>1507</v>
      </c>
      <c r="AH118" s="1">
        <v>118</v>
      </c>
      <c r="AI118" s="1">
        <v>8</v>
      </c>
      <c r="AJ118" s="1">
        <v>8</v>
      </c>
      <c r="AK118" s="1">
        <v>20</v>
      </c>
      <c r="AL118" s="1">
        <v>20</v>
      </c>
      <c r="AM118" s="1" t="s">
        <v>1604</v>
      </c>
      <c r="AN118" s="1" t="s">
        <v>1605</v>
      </c>
      <c r="AO118" s="1" t="s">
        <v>1606</v>
      </c>
      <c r="AP118" s="1" t="s">
        <v>4305</v>
      </c>
      <c r="AQ118" s="1" t="s">
        <v>4306</v>
      </c>
      <c r="AR118" s="1" t="s">
        <v>1507</v>
      </c>
      <c r="AS118" s="1" t="s">
        <v>4307</v>
      </c>
      <c r="AT118" s="1" t="s">
        <v>4308</v>
      </c>
      <c r="AU118" s="1" t="s">
        <v>4309</v>
      </c>
      <c r="AV118" s="1">
        <v>2023</v>
      </c>
      <c r="AW118" s="1">
        <v>267</v>
      </c>
      <c r="AX118" s="1">
        <v>2</v>
      </c>
      <c r="AY118" s="1" t="s">
        <v>1507</v>
      </c>
      <c r="AZ118" s="1" t="s">
        <v>1507</v>
      </c>
      <c r="BA118" s="1" t="s">
        <v>1507</v>
      </c>
      <c r="BB118" s="1" t="s">
        <v>1507</v>
      </c>
      <c r="BC118" s="1" t="s">
        <v>1507</v>
      </c>
      <c r="BD118" s="1" t="s">
        <v>1507</v>
      </c>
      <c r="BE118" s="1">
        <v>31</v>
      </c>
      <c r="BF118" s="1" t="s">
        <v>4310</v>
      </c>
      <c r="BG118" s="1" t="str">
        <f>HYPERLINK("http://dx.doi.org/10.3847/1538-4365/acdee1","http://dx.doi.org/10.3847/1538-4365/acdee1")</f>
        <v>http://dx.doi.org/10.3847/1538-4365/acdee1</v>
      </c>
      <c r="BH118" s="1" t="s">
        <v>1507</v>
      </c>
      <c r="BI118" s="1" t="s">
        <v>1507</v>
      </c>
      <c r="BJ118" s="1">
        <v>17</v>
      </c>
      <c r="BK118" s="1" t="s">
        <v>1608</v>
      </c>
      <c r="BL118" s="1" t="s">
        <v>1573</v>
      </c>
      <c r="BM118" s="1" t="s">
        <v>1608</v>
      </c>
      <c r="BN118" s="1" t="s">
        <v>4311</v>
      </c>
      <c r="BO118" s="1" t="s">
        <v>1507</v>
      </c>
      <c r="BP118" s="1" t="s">
        <v>10606</v>
      </c>
      <c r="BQ118" s="1" t="s">
        <v>1507</v>
      </c>
      <c r="BR118" s="1" t="s">
        <v>1507</v>
      </c>
      <c r="BS118" s="1" t="s">
        <v>13744</v>
      </c>
      <c r="BT118" s="1" t="s">
        <v>4313</v>
      </c>
      <c r="BU118" s="1" t="str">
        <f>HYPERLINK("https%3A%2F%2Fwww.webofscience.com%2Fwos%2Fwoscc%2Ffull-record%2FWOS:001041591800001","View Full Record in Web of Science")</f>
        <v>View Full Record in Web of Science</v>
      </c>
    </row>
    <row r="119" spans="1:73" x14ac:dyDescent="0.25">
      <c r="A119" s="1">
        <v>118</v>
      </c>
      <c r="B119" s="1" t="s">
        <v>1506</v>
      </c>
      <c r="C119" s="1" t="s">
        <v>7117</v>
      </c>
      <c r="D119" s="1" t="s">
        <v>1507</v>
      </c>
      <c r="E119" s="1" t="s">
        <v>1507</v>
      </c>
      <c r="F119" s="1" t="s">
        <v>1507</v>
      </c>
      <c r="G119" s="1" t="s">
        <v>7118</v>
      </c>
      <c r="H119" s="1" t="s">
        <v>1507</v>
      </c>
      <c r="I119" s="1" t="s">
        <v>1507</v>
      </c>
      <c r="J119" s="1" t="s">
        <v>7119</v>
      </c>
      <c r="K119" s="1" t="s">
        <v>7120</v>
      </c>
      <c r="L119" s="1" t="s">
        <v>1507</v>
      </c>
      <c r="M119" s="1" t="s">
        <v>1507</v>
      </c>
      <c r="N119" s="1" t="s">
        <v>42</v>
      </c>
      <c r="O119" s="1" t="s">
        <v>56</v>
      </c>
      <c r="P119" s="1" t="s">
        <v>1507</v>
      </c>
      <c r="Q119" s="1" t="s">
        <v>1507</v>
      </c>
      <c r="R119" s="1" t="s">
        <v>1507</v>
      </c>
      <c r="S119" s="1" t="s">
        <v>1507</v>
      </c>
      <c r="T119" s="1" t="s">
        <v>1507</v>
      </c>
      <c r="U119" s="1" t="s">
        <v>7121</v>
      </c>
      <c r="V119" s="1" t="s">
        <v>7122</v>
      </c>
      <c r="W119" s="1" t="s">
        <v>7123</v>
      </c>
      <c r="X119" s="1" t="s">
        <v>7124</v>
      </c>
      <c r="Y119" s="1" t="s">
        <v>7125</v>
      </c>
      <c r="Z119" s="1" t="s">
        <v>7126</v>
      </c>
      <c r="AA119" s="1" t="s">
        <v>7127</v>
      </c>
      <c r="AB119" s="1" t="s">
        <v>15604</v>
      </c>
      <c r="AC119" s="1" t="s">
        <v>15605</v>
      </c>
      <c r="AD119" s="1" t="s">
        <v>7128</v>
      </c>
      <c r="AE119" s="1" t="s">
        <v>7129</v>
      </c>
      <c r="AF119" s="1" t="s">
        <v>7130</v>
      </c>
      <c r="AG119" s="1" t="s">
        <v>1507</v>
      </c>
      <c r="AH119" s="1">
        <v>19</v>
      </c>
      <c r="AI119" s="1">
        <v>9</v>
      </c>
      <c r="AJ119" s="1">
        <v>10</v>
      </c>
      <c r="AK119" s="1">
        <v>0</v>
      </c>
      <c r="AL119" s="1">
        <v>1</v>
      </c>
      <c r="AM119" s="1" t="s">
        <v>1586</v>
      </c>
      <c r="AN119" s="1" t="s">
        <v>1583</v>
      </c>
      <c r="AO119" s="1" t="s">
        <v>3684</v>
      </c>
      <c r="AP119" s="1" t="s">
        <v>7131</v>
      </c>
      <c r="AQ119" s="1" t="s">
        <v>7132</v>
      </c>
      <c r="AR119" s="1" t="s">
        <v>1507</v>
      </c>
      <c r="AS119" s="1" t="s">
        <v>7120</v>
      </c>
      <c r="AT119" s="1" t="s">
        <v>7133</v>
      </c>
      <c r="AU119" s="1" t="s">
        <v>15606</v>
      </c>
      <c r="AV119" s="1">
        <v>2022</v>
      </c>
      <c r="AW119" s="1">
        <v>40</v>
      </c>
      <c r="AX119" s="1">
        <v>32</v>
      </c>
      <c r="AY119" s="1" t="s">
        <v>1507</v>
      </c>
      <c r="AZ119" s="1" t="s">
        <v>1507</v>
      </c>
      <c r="BA119" s="1" t="s">
        <v>1507</v>
      </c>
      <c r="BB119" s="1" t="s">
        <v>1507</v>
      </c>
      <c r="BC119" s="1">
        <v>4312</v>
      </c>
      <c r="BD119" s="1">
        <v>4317</v>
      </c>
      <c r="BE119" s="1" t="s">
        <v>1507</v>
      </c>
      <c r="BF119" s="1" t="s">
        <v>7134</v>
      </c>
      <c r="BG119" s="1" t="str">
        <f>HYPERLINK("http://dx.doi.org/10.1016/j.vaccine.2022.05.033","http://dx.doi.org/10.1016/j.vaccine.2022.05.033")</f>
        <v>http://dx.doi.org/10.1016/j.vaccine.2022.05.033</v>
      </c>
      <c r="BH119" s="1" t="s">
        <v>1507</v>
      </c>
      <c r="BI119" s="1" t="s">
        <v>7135</v>
      </c>
      <c r="BJ119" s="1">
        <v>6</v>
      </c>
      <c r="BK119" s="1" t="s">
        <v>3450</v>
      </c>
      <c r="BL119" s="1" t="s">
        <v>1573</v>
      </c>
      <c r="BM119" s="1" t="s">
        <v>3451</v>
      </c>
      <c r="BN119" s="1" t="s">
        <v>7136</v>
      </c>
      <c r="BO119" s="1">
        <v>35701327</v>
      </c>
      <c r="BP119" s="1" t="s">
        <v>1574</v>
      </c>
      <c r="BQ119" s="1" t="s">
        <v>1507</v>
      </c>
      <c r="BR119" s="1" t="s">
        <v>1507</v>
      </c>
      <c r="BS119" s="1" t="s">
        <v>13744</v>
      </c>
      <c r="BT119" s="1" t="s">
        <v>7137</v>
      </c>
      <c r="BU119" s="1" t="str">
        <f>HYPERLINK("https%3A%2F%2Fwww.webofscience.com%2Fwos%2Fwoscc%2Ffull-record%2FWOS:000839593900007","View Full Record in Web of Science")</f>
        <v>View Full Record in Web of Science</v>
      </c>
    </row>
    <row r="120" spans="1:73" x14ac:dyDescent="0.25">
      <c r="A120" s="1">
        <v>119</v>
      </c>
      <c r="B120" s="1" t="s">
        <v>1506</v>
      </c>
      <c r="C120" s="1" t="s">
        <v>5719</v>
      </c>
      <c r="D120" s="1" t="s">
        <v>1507</v>
      </c>
      <c r="E120" s="1" t="s">
        <v>1507</v>
      </c>
      <c r="F120" s="1" t="s">
        <v>1507</v>
      </c>
      <c r="G120" s="1" t="s">
        <v>5720</v>
      </c>
      <c r="H120" s="1" t="s">
        <v>1507</v>
      </c>
      <c r="I120" s="1" t="s">
        <v>1507</v>
      </c>
      <c r="J120" s="1" t="s">
        <v>933</v>
      </c>
      <c r="K120" s="1" t="s">
        <v>5721</v>
      </c>
      <c r="L120" s="1" t="s">
        <v>1507</v>
      </c>
      <c r="M120" s="1" t="s">
        <v>1507</v>
      </c>
      <c r="N120" s="1" t="s">
        <v>42</v>
      </c>
      <c r="O120" s="1" t="s">
        <v>56</v>
      </c>
      <c r="P120" s="1" t="s">
        <v>1507</v>
      </c>
      <c r="Q120" s="1" t="s">
        <v>1507</v>
      </c>
      <c r="R120" s="1" t="s">
        <v>1507</v>
      </c>
      <c r="S120" s="1" t="s">
        <v>1507</v>
      </c>
      <c r="T120" s="1" t="s">
        <v>1507</v>
      </c>
      <c r="U120" s="1" t="s">
        <v>5722</v>
      </c>
      <c r="V120" s="1" t="s">
        <v>5723</v>
      </c>
      <c r="W120" s="1" t="s">
        <v>5724</v>
      </c>
      <c r="X120" s="1" t="s">
        <v>5725</v>
      </c>
      <c r="Y120" s="1" t="s">
        <v>5726</v>
      </c>
      <c r="Z120" s="1" t="s">
        <v>5727</v>
      </c>
      <c r="AA120" s="1" t="s">
        <v>5728</v>
      </c>
      <c r="AB120" s="1" t="s">
        <v>14889</v>
      </c>
      <c r="AC120" s="1" t="s">
        <v>14890</v>
      </c>
      <c r="AD120" s="1" t="s">
        <v>1507</v>
      </c>
      <c r="AE120" s="1" t="s">
        <v>1507</v>
      </c>
      <c r="AF120" s="1" t="s">
        <v>1507</v>
      </c>
      <c r="AG120" s="1" t="s">
        <v>1507</v>
      </c>
      <c r="AH120" s="1">
        <v>45</v>
      </c>
      <c r="AI120" s="1">
        <v>0</v>
      </c>
      <c r="AJ120" s="1">
        <v>0</v>
      </c>
      <c r="AK120" s="1">
        <v>46</v>
      </c>
      <c r="AL120" s="1">
        <v>46</v>
      </c>
      <c r="AM120" s="1" t="s">
        <v>5729</v>
      </c>
      <c r="AN120" s="1" t="s">
        <v>5730</v>
      </c>
      <c r="AO120" s="1" t="s">
        <v>5731</v>
      </c>
      <c r="AP120" s="1" t="s">
        <v>5732</v>
      </c>
      <c r="AQ120" s="1" t="s">
        <v>5733</v>
      </c>
      <c r="AR120" s="1" t="s">
        <v>1507</v>
      </c>
      <c r="AS120" s="1" t="s">
        <v>5734</v>
      </c>
      <c r="AT120" s="1" t="s">
        <v>941</v>
      </c>
      <c r="AU120" s="1" t="s">
        <v>1507</v>
      </c>
      <c r="AV120" s="1">
        <v>2023</v>
      </c>
      <c r="AW120" s="1">
        <v>39</v>
      </c>
      <c r="AX120" s="1">
        <v>4</v>
      </c>
      <c r="AY120" s="1" t="s">
        <v>1507</v>
      </c>
      <c r="AZ120" s="1" t="s">
        <v>1507</v>
      </c>
      <c r="BA120" s="1" t="s">
        <v>3506</v>
      </c>
      <c r="BB120" s="1" t="s">
        <v>1507</v>
      </c>
      <c r="BC120" s="1">
        <v>89</v>
      </c>
      <c r="BD120" s="1">
        <v>103</v>
      </c>
      <c r="BE120" s="1" t="s">
        <v>1507</v>
      </c>
      <c r="BF120" s="1" t="s">
        <v>935</v>
      </c>
      <c r="BG120" s="1" t="str">
        <f>HYPERLINK("http://dx.doi.org/10.14742/ajet.8598","http://dx.doi.org/10.14742/ajet.8598")</f>
        <v>http://dx.doi.org/10.14742/ajet.8598</v>
      </c>
      <c r="BH120" s="1" t="s">
        <v>1507</v>
      </c>
      <c r="BI120" s="1" t="s">
        <v>1507</v>
      </c>
      <c r="BJ120" s="1">
        <v>15</v>
      </c>
      <c r="BK120" s="1" t="s">
        <v>1558</v>
      </c>
      <c r="BL120" s="1" t="s">
        <v>1518</v>
      </c>
      <c r="BM120" s="1" t="s">
        <v>1558</v>
      </c>
      <c r="BN120" s="1" t="s">
        <v>5735</v>
      </c>
      <c r="BO120" s="1" t="s">
        <v>1507</v>
      </c>
      <c r="BP120" s="1" t="s">
        <v>1531</v>
      </c>
      <c r="BQ120" s="1" t="s">
        <v>1507</v>
      </c>
      <c r="BR120" s="1" t="s">
        <v>1507</v>
      </c>
      <c r="BS120" s="1" t="s">
        <v>13744</v>
      </c>
      <c r="BT120" s="1" t="s">
        <v>5736</v>
      </c>
      <c r="BU120" s="1" t="str">
        <f>HYPERLINK("https%3A%2F%2Fwww.webofscience.com%2Fwos%2Fwoscc%2Ffull-record%2FWOS:001115427000006","View Full Record in Web of Science")</f>
        <v>View Full Record in Web of Science</v>
      </c>
    </row>
    <row r="121" spans="1:73" x14ac:dyDescent="0.25">
      <c r="A121" s="1">
        <v>120</v>
      </c>
      <c r="B121" s="1" t="s">
        <v>1506</v>
      </c>
      <c r="C121" s="1" t="s">
        <v>5763</v>
      </c>
      <c r="D121" s="1" t="s">
        <v>1507</v>
      </c>
      <c r="E121" s="1" t="s">
        <v>1507</v>
      </c>
      <c r="F121" s="1" t="s">
        <v>1507</v>
      </c>
      <c r="G121" s="1" t="s">
        <v>5764</v>
      </c>
      <c r="H121" s="1" t="s">
        <v>1507</v>
      </c>
      <c r="I121" s="1" t="s">
        <v>1507</v>
      </c>
      <c r="J121" s="1" t="s">
        <v>5765</v>
      </c>
      <c r="K121" s="1" t="s">
        <v>5740</v>
      </c>
      <c r="L121" s="1" t="s">
        <v>1507</v>
      </c>
      <c r="M121" s="1" t="s">
        <v>1507</v>
      </c>
      <c r="N121" s="1" t="s">
        <v>42</v>
      </c>
      <c r="O121" s="1" t="s">
        <v>56</v>
      </c>
      <c r="P121" s="1" t="s">
        <v>1507</v>
      </c>
      <c r="Q121" s="1" t="s">
        <v>1507</v>
      </c>
      <c r="R121" s="1" t="s">
        <v>1507</v>
      </c>
      <c r="S121" s="1" t="s">
        <v>1507</v>
      </c>
      <c r="T121" s="1" t="s">
        <v>1507</v>
      </c>
      <c r="U121" s="1" t="s">
        <v>5766</v>
      </c>
      <c r="V121" s="1" t="s">
        <v>5767</v>
      </c>
      <c r="W121" s="1" t="s">
        <v>5768</v>
      </c>
      <c r="X121" s="1" t="s">
        <v>5769</v>
      </c>
      <c r="Y121" s="1" t="s">
        <v>5770</v>
      </c>
      <c r="Z121" s="1" t="s">
        <v>5727</v>
      </c>
      <c r="AA121" s="1" t="s">
        <v>5771</v>
      </c>
      <c r="AB121" s="1" t="s">
        <v>14892</v>
      </c>
      <c r="AC121" s="1" t="s">
        <v>14893</v>
      </c>
      <c r="AD121" s="1" t="s">
        <v>1507</v>
      </c>
      <c r="AE121" s="1" t="s">
        <v>1507</v>
      </c>
      <c r="AF121" s="1" t="s">
        <v>1507</v>
      </c>
      <c r="AG121" s="1" t="s">
        <v>1507</v>
      </c>
      <c r="AH121" s="1">
        <v>72</v>
      </c>
      <c r="AI121" s="1">
        <v>58</v>
      </c>
      <c r="AJ121" s="1">
        <v>58</v>
      </c>
      <c r="AK121" s="1">
        <v>76</v>
      </c>
      <c r="AL121" s="1">
        <v>320</v>
      </c>
      <c r="AM121" s="1" t="s">
        <v>5748</v>
      </c>
      <c r="AN121" s="1" t="s">
        <v>5749</v>
      </c>
      <c r="AO121" s="1" t="s">
        <v>5750</v>
      </c>
      <c r="AP121" s="1" t="s">
        <v>5751</v>
      </c>
      <c r="AQ121" s="1" t="s">
        <v>1507</v>
      </c>
      <c r="AR121" s="1" t="s">
        <v>1507</v>
      </c>
      <c r="AS121" s="1" t="s">
        <v>5752</v>
      </c>
      <c r="AT121" s="1" t="s">
        <v>804</v>
      </c>
      <c r="AU121" s="1" t="s">
        <v>1507</v>
      </c>
      <c r="AV121" s="1">
        <v>2023</v>
      </c>
      <c r="AW121" s="1">
        <v>20</v>
      </c>
      <c r="AX121" s="1">
        <v>3</v>
      </c>
      <c r="AY121" s="1" t="s">
        <v>1507</v>
      </c>
      <c r="AZ121" s="1" t="s">
        <v>1507</v>
      </c>
      <c r="BA121" s="1" t="s">
        <v>1507</v>
      </c>
      <c r="BB121" s="1" t="s">
        <v>1507</v>
      </c>
      <c r="BC121" s="1" t="s">
        <v>1507</v>
      </c>
      <c r="BD121" s="1" t="s">
        <v>1507</v>
      </c>
      <c r="BE121" s="1">
        <v>2</v>
      </c>
      <c r="BF121" s="1" t="s">
        <v>1222</v>
      </c>
      <c r="BG121" s="1" t="str">
        <f>HYPERLINK("http://dx.doi.org/10.53761/1.20.3.02","http://dx.doi.org/10.53761/1.20.3.02")</f>
        <v>http://dx.doi.org/10.53761/1.20.3.02</v>
      </c>
      <c r="BH121" s="1" t="s">
        <v>1507</v>
      </c>
      <c r="BI121" s="1" t="s">
        <v>1507</v>
      </c>
      <c r="BJ121" s="1">
        <v>21</v>
      </c>
      <c r="BK121" s="1" t="s">
        <v>1558</v>
      </c>
      <c r="BL121" s="1" t="s">
        <v>1529</v>
      </c>
      <c r="BM121" s="1" t="s">
        <v>1558</v>
      </c>
      <c r="BN121" s="1" t="s">
        <v>5772</v>
      </c>
      <c r="BO121" s="1" t="s">
        <v>1507</v>
      </c>
      <c r="BP121" s="1" t="s">
        <v>1553</v>
      </c>
      <c r="BQ121" s="1" t="s">
        <v>1507</v>
      </c>
      <c r="BR121" s="1" t="s">
        <v>1507</v>
      </c>
      <c r="BS121" s="1" t="s">
        <v>13744</v>
      </c>
      <c r="BT121" s="1" t="s">
        <v>5773</v>
      </c>
      <c r="BU121" s="1" t="str">
        <f>HYPERLINK("https%3A%2F%2Fwww.webofscience.com%2Fwos%2Fwoscc%2Ffull-record%2FWOS:000950113500004","View Full Record in Web of Science")</f>
        <v>View Full Record in Web of Science</v>
      </c>
    </row>
    <row r="122" spans="1:73" x14ac:dyDescent="0.25">
      <c r="A122" s="1">
        <v>121</v>
      </c>
      <c r="B122" s="1" t="s">
        <v>1506</v>
      </c>
      <c r="C122" s="1" t="s">
        <v>5756</v>
      </c>
      <c r="D122" s="1" t="s">
        <v>1507</v>
      </c>
      <c r="E122" s="1" t="s">
        <v>1507</v>
      </c>
      <c r="F122" s="1" t="s">
        <v>1507</v>
      </c>
      <c r="G122" s="1" t="s">
        <v>5757</v>
      </c>
      <c r="H122" s="1" t="s">
        <v>1507</v>
      </c>
      <c r="I122" s="1" t="s">
        <v>1507</v>
      </c>
      <c r="J122" s="1" t="s">
        <v>1285</v>
      </c>
      <c r="K122" s="1" t="s">
        <v>5740</v>
      </c>
      <c r="L122" s="1" t="s">
        <v>1507</v>
      </c>
      <c r="M122" s="1" t="s">
        <v>1507</v>
      </c>
      <c r="N122" s="1" t="s">
        <v>42</v>
      </c>
      <c r="O122" s="1" t="s">
        <v>56</v>
      </c>
      <c r="P122" s="1" t="s">
        <v>1507</v>
      </c>
      <c r="Q122" s="1" t="s">
        <v>1507</v>
      </c>
      <c r="R122" s="1" t="s">
        <v>1507</v>
      </c>
      <c r="S122" s="1" t="s">
        <v>1507</v>
      </c>
      <c r="T122" s="1" t="s">
        <v>1507</v>
      </c>
      <c r="U122" s="1" t="s">
        <v>5758</v>
      </c>
      <c r="V122" s="1" t="s">
        <v>1507</v>
      </c>
      <c r="W122" s="1" t="s">
        <v>5759</v>
      </c>
      <c r="X122" s="1" t="s">
        <v>1507</v>
      </c>
      <c r="Y122" s="1" t="s">
        <v>1507</v>
      </c>
      <c r="Z122" s="1" t="s">
        <v>1507</v>
      </c>
      <c r="AA122" s="1" t="s">
        <v>1507</v>
      </c>
      <c r="AB122" s="1" t="s">
        <v>14891</v>
      </c>
      <c r="AC122" s="1" t="s">
        <v>5760</v>
      </c>
      <c r="AD122" s="1" t="s">
        <v>1507</v>
      </c>
      <c r="AE122" s="1" t="s">
        <v>1507</v>
      </c>
      <c r="AF122" s="1" t="s">
        <v>1507</v>
      </c>
      <c r="AG122" s="1" t="s">
        <v>1507</v>
      </c>
      <c r="AH122" s="1">
        <v>36</v>
      </c>
      <c r="AI122" s="1">
        <v>0</v>
      </c>
      <c r="AJ122" s="1">
        <v>0</v>
      </c>
      <c r="AK122" s="1">
        <v>9</v>
      </c>
      <c r="AL122" s="1">
        <v>9</v>
      </c>
      <c r="AM122" s="1" t="s">
        <v>5748</v>
      </c>
      <c r="AN122" s="1" t="s">
        <v>5749</v>
      </c>
      <c r="AO122" s="1" t="s">
        <v>5750</v>
      </c>
      <c r="AP122" s="1" t="s">
        <v>5751</v>
      </c>
      <c r="AQ122" s="1" t="s">
        <v>1507</v>
      </c>
      <c r="AR122" s="1" t="s">
        <v>1507</v>
      </c>
      <c r="AS122" s="1" t="s">
        <v>5752</v>
      </c>
      <c r="AT122" s="1" t="s">
        <v>804</v>
      </c>
      <c r="AU122" s="1" t="s">
        <v>1507</v>
      </c>
      <c r="AV122" s="1">
        <v>2023</v>
      </c>
      <c r="AW122" s="1">
        <v>20</v>
      </c>
      <c r="AX122" s="1">
        <v>5</v>
      </c>
      <c r="AY122" s="1" t="s">
        <v>1507</v>
      </c>
      <c r="AZ122" s="1" t="s">
        <v>1507</v>
      </c>
      <c r="BA122" s="1" t="s">
        <v>1507</v>
      </c>
      <c r="BB122" s="1" t="s">
        <v>1507</v>
      </c>
      <c r="BC122" s="1" t="s">
        <v>1507</v>
      </c>
      <c r="BD122" s="1" t="s">
        <v>1507</v>
      </c>
      <c r="BE122" s="1">
        <v>1</v>
      </c>
      <c r="BF122" s="1" t="s">
        <v>1507</v>
      </c>
      <c r="BG122" s="1" t="s">
        <v>1507</v>
      </c>
      <c r="BH122" s="1" t="s">
        <v>1507</v>
      </c>
      <c r="BI122" s="1" t="s">
        <v>1507</v>
      </c>
      <c r="BJ122" s="1">
        <v>12</v>
      </c>
      <c r="BK122" s="1" t="s">
        <v>1558</v>
      </c>
      <c r="BL122" s="1" t="s">
        <v>1529</v>
      </c>
      <c r="BM122" s="1" t="s">
        <v>1558</v>
      </c>
      <c r="BN122" s="1" t="s">
        <v>5761</v>
      </c>
      <c r="BO122" s="1" t="s">
        <v>1507</v>
      </c>
      <c r="BP122" s="1" t="s">
        <v>1507</v>
      </c>
      <c r="BQ122" s="1" t="s">
        <v>1507</v>
      </c>
      <c r="BR122" s="1" t="s">
        <v>1507</v>
      </c>
      <c r="BS122" s="1" t="s">
        <v>13744</v>
      </c>
      <c r="BT122" s="1" t="s">
        <v>5762</v>
      </c>
      <c r="BU122" s="1" t="str">
        <f>HYPERLINK("https%3A%2F%2Fwww.webofscience.com%2Fwos%2Fwoscc%2Ffull-record%2FWOS:001060245600001","View Full Record in Web of Science")</f>
        <v>View Full Record in Web of Science</v>
      </c>
    </row>
    <row r="123" spans="1:73" x14ac:dyDescent="0.25">
      <c r="A123" s="1">
        <v>122</v>
      </c>
      <c r="B123" s="1" t="s">
        <v>1506</v>
      </c>
      <c r="C123" s="1" t="s">
        <v>5737</v>
      </c>
      <c r="D123" s="1" t="s">
        <v>1507</v>
      </c>
      <c r="E123" s="1" t="s">
        <v>1507</v>
      </c>
      <c r="F123" s="1" t="s">
        <v>1507</v>
      </c>
      <c r="G123" s="1" t="s">
        <v>5738</v>
      </c>
      <c r="H123" s="1" t="s">
        <v>1507</v>
      </c>
      <c r="I123" s="1" t="s">
        <v>1507</v>
      </c>
      <c r="J123" s="1" t="s">
        <v>5739</v>
      </c>
      <c r="K123" s="1" t="s">
        <v>5740</v>
      </c>
      <c r="L123" s="1" t="s">
        <v>1507</v>
      </c>
      <c r="M123" s="1" t="s">
        <v>1507</v>
      </c>
      <c r="N123" s="1" t="s">
        <v>42</v>
      </c>
      <c r="O123" s="1" t="s">
        <v>56</v>
      </c>
      <c r="P123" s="1" t="s">
        <v>1507</v>
      </c>
      <c r="Q123" s="1" t="s">
        <v>1507</v>
      </c>
      <c r="R123" s="1" t="s">
        <v>1507</v>
      </c>
      <c r="S123" s="1" t="s">
        <v>1507</v>
      </c>
      <c r="T123" s="1" t="s">
        <v>1507</v>
      </c>
      <c r="U123" s="1" t="s">
        <v>5741</v>
      </c>
      <c r="V123" s="1" t="s">
        <v>5742</v>
      </c>
      <c r="W123" s="1" t="s">
        <v>5743</v>
      </c>
      <c r="X123" s="1" t="s">
        <v>5744</v>
      </c>
      <c r="Y123" s="1" t="s">
        <v>5745</v>
      </c>
      <c r="Z123" s="1" t="s">
        <v>5746</v>
      </c>
      <c r="AA123" s="1" t="s">
        <v>5747</v>
      </c>
      <c r="AB123" s="1" t="s">
        <v>1507</v>
      </c>
      <c r="AC123" s="1" t="s">
        <v>1507</v>
      </c>
      <c r="AD123" s="1" t="s">
        <v>1507</v>
      </c>
      <c r="AE123" s="1" t="s">
        <v>1507</v>
      </c>
      <c r="AF123" s="1" t="s">
        <v>1507</v>
      </c>
      <c r="AG123" s="1" t="s">
        <v>1507</v>
      </c>
      <c r="AH123" s="1">
        <v>47</v>
      </c>
      <c r="AI123" s="1">
        <v>0</v>
      </c>
      <c r="AJ123" s="1">
        <v>0</v>
      </c>
      <c r="AK123" s="1">
        <v>24</v>
      </c>
      <c r="AL123" s="1">
        <v>24</v>
      </c>
      <c r="AM123" s="1" t="s">
        <v>5748</v>
      </c>
      <c r="AN123" s="1" t="s">
        <v>5749</v>
      </c>
      <c r="AO123" s="1" t="s">
        <v>5750</v>
      </c>
      <c r="AP123" s="1" t="s">
        <v>5751</v>
      </c>
      <c r="AQ123" s="1" t="s">
        <v>1507</v>
      </c>
      <c r="AR123" s="1" t="s">
        <v>1507</v>
      </c>
      <c r="AS123" s="1" t="s">
        <v>5752</v>
      </c>
      <c r="AT123" s="1" t="s">
        <v>804</v>
      </c>
      <c r="AU123" s="1" t="s">
        <v>1507</v>
      </c>
      <c r="AV123" s="1">
        <v>2023</v>
      </c>
      <c r="AW123" s="1">
        <v>20</v>
      </c>
      <c r="AX123" s="1">
        <v>7</v>
      </c>
      <c r="AY123" s="1" t="s">
        <v>1507</v>
      </c>
      <c r="AZ123" s="1" t="s">
        <v>1507</v>
      </c>
      <c r="BA123" s="1" t="s">
        <v>1507</v>
      </c>
      <c r="BB123" s="1" t="s">
        <v>1507</v>
      </c>
      <c r="BC123" s="1" t="s">
        <v>1507</v>
      </c>
      <c r="BD123" s="1" t="s">
        <v>1507</v>
      </c>
      <c r="BE123" s="1">
        <v>1</v>
      </c>
      <c r="BF123" s="1" t="s">
        <v>5753</v>
      </c>
      <c r="BG123" s="1" t="str">
        <f>HYPERLINK("http://dx.doi.org/10.53761/1.20.7.01","http://dx.doi.org/10.53761/1.20.7.01")</f>
        <v>http://dx.doi.org/10.53761/1.20.7.01</v>
      </c>
      <c r="BH123" s="1" t="s">
        <v>1507</v>
      </c>
      <c r="BI123" s="1" t="s">
        <v>1507</v>
      </c>
      <c r="BJ123" s="1">
        <v>14</v>
      </c>
      <c r="BK123" s="1" t="s">
        <v>1558</v>
      </c>
      <c r="BL123" s="1" t="s">
        <v>1529</v>
      </c>
      <c r="BM123" s="1" t="s">
        <v>1558</v>
      </c>
      <c r="BN123" s="1" t="s">
        <v>5754</v>
      </c>
      <c r="BO123" s="1" t="s">
        <v>1507</v>
      </c>
      <c r="BP123" s="1" t="s">
        <v>1547</v>
      </c>
      <c r="BQ123" s="1" t="s">
        <v>1507</v>
      </c>
      <c r="BR123" s="1" t="s">
        <v>1507</v>
      </c>
      <c r="BS123" s="1" t="s">
        <v>13744</v>
      </c>
      <c r="BT123" s="1" t="s">
        <v>5755</v>
      </c>
      <c r="BU123" s="1" t="str">
        <f>HYPERLINK("https%3A%2F%2Fwww.webofscience.com%2Fwos%2Fwoscc%2Ffull-record%2FWOS:001103781300009","View Full Record in Web of Science")</f>
        <v>View Full Record in Web of Science</v>
      </c>
    </row>
    <row r="124" spans="1:73" x14ac:dyDescent="0.25">
      <c r="A124" s="1">
        <v>123</v>
      </c>
      <c r="B124" s="1" t="s">
        <v>1506</v>
      </c>
      <c r="C124" s="1" t="s">
        <v>5774</v>
      </c>
      <c r="D124" s="1" t="s">
        <v>1507</v>
      </c>
      <c r="E124" s="1" t="s">
        <v>1507</v>
      </c>
      <c r="F124" s="1" t="s">
        <v>1507</v>
      </c>
      <c r="G124" s="1" t="s">
        <v>5775</v>
      </c>
      <c r="H124" s="1" t="s">
        <v>1507</v>
      </c>
      <c r="I124" s="1" t="s">
        <v>1507</v>
      </c>
      <c r="J124" s="1" t="s">
        <v>233</v>
      </c>
      <c r="K124" s="1" t="s">
        <v>5776</v>
      </c>
      <c r="L124" s="1" t="s">
        <v>1507</v>
      </c>
      <c r="M124" s="1" t="s">
        <v>1507</v>
      </c>
      <c r="N124" s="1" t="s">
        <v>42</v>
      </c>
      <c r="O124" s="1" t="s">
        <v>56</v>
      </c>
      <c r="P124" s="1" t="s">
        <v>1507</v>
      </c>
      <c r="Q124" s="1" t="s">
        <v>1507</v>
      </c>
      <c r="R124" s="1" t="s">
        <v>1507</v>
      </c>
      <c r="S124" s="1" t="s">
        <v>1507</v>
      </c>
      <c r="T124" s="1" t="s">
        <v>1507</v>
      </c>
      <c r="U124" s="1" t="s">
        <v>5777</v>
      </c>
      <c r="V124" s="1" t="s">
        <v>5778</v>
      </c>
      <c r="W124" s="1" t="s">
        <v>5779</v>
      </c>
      <c r="X124" s="1" t="s">
        <v>5780</v>
      </c>
      <c r="Y124" s="1" t="s">
        <v>1507</v>
      </c>
      <c r="Z124" s="1" t="s">
        <v>5781</v>
      </c>
      <c r="AA124" s="1" t="s">
        <v>5782</v>
      </c>
      <c r="AB124" s="1" t="s">
        <v>14894</v>
      </c>
      <c r="AC124" s="1" t="s">
        <v>14895</v>
      </c>
      <c r="AD124" s="1" t="s">
        <v>1507</v>
      </c>
      <c r="AE124" s="1" t="s">
        <v>1507</v>
      </c>
      <c r="AF124" s="1" t="s">
        <v>1507</v>
      </c>
      <c r="AG124" s="1" t="s">
        <v>1507</v>
      </c>
      <c r="AH124" s="1">
        <v>28</v>
      </c>
      <c r="AI124" s="1">
        <v>0</v>
      </c>
      <c r="AJ124" s="1">
        <v>0</v>
      </c>
      <c r="AK124" s="1">
        <v>48</v>
      </c>
      <c r="AL124" s="1">
        <v>48</v>
      </c>
      <c r="AM124" s="1" t="s">
        <v>5783</v>
      </c>
      <c r="AN124" s="1" t="s">
        <v>5784</v>
      </c>
      <c r="AO124" s="1" t="s">
        <v>5785</v>
      </c>
      <c r="AP124" s="1" t="s">
        <v>1507</v>
      </c>
      <c r="AQ124" s="1" t="s">
        <v>5786</v>
      </c>
      <c r="AR124" s="1" t="s">
        <v>1507</v>
      </c>
      <c r="AS124" s="1" t="s">
        <v>5787</v>
      </c>
      <c r="AT124" s="1" t="s">
        <v>5788</v>
      </c>
      <c r="AU124" s="1" t="s">
        <v>1507</v>
      </c>
      <c r="AV124" s="1">
        <v>2023</v>
      </c>
      <c r="AW124" s="1">
        <v>9</v>
      </c>
      <c r="AX124" s="1">
        <v>4</v>
      </c>
      <c r="AY124" s="1" t="s">
        <v>1507</v>
      </c>
      <c r="AZ124" s="1" t="s">
        <v>1507</v>
      </c>
      <c r="BA124" s="1" t="s">
        <v>1507</v>
      </c>
      <c r="BB124" s="1" t="s">
        <v>1507</v>
      </c>
      <c r="BC124" s="1">
        <v>128</v>
      </c>
      <c r="BD124" s="1">
        <v>138</v>
      </c>
      <c r="BE124" s="1" t="s">
        <v>1507</v>
      </c>
      <c r="BF124" s="1" t="s">
        <v>235</v>
      </c>
      <c r="BG124" s="1" t="str">
        <f>HYPERLINK("http://dx.doi.org/10.17323/jle.2023.17379","http://dx.doi.org/10.17323/jle.2023.17379")</f>
        <v>http://dx.doi.org/10.17323/jle.2023.17379</v>
      </c>
      <c r="BH124" s="1" t="s">
        <v>1507</v>
      </c>
      <c r="BI124" s="1" t="s">
        <v>1507</v>
      </c>
      <c r="BJ124" s="1">
        <v>11</v>
      </c>
      <c r="BK124" s="1" t="s">
        <v>4526</v>
      </c>
      <c r="BL124" s="1" t="s">
        <v>1529</v>
      </c>
      <c r="BM124" s="1" t="s">
        <v>4526</v>
      </c>
      <c r="BN124" s="1" t="s">
        <v>5789</v>
      </c>
      <c r="BO124" s="1" t="s">
        <v>1507</v>
      </c>
      <c r="BP124" s="1" t="s">
        <v>1531</v>
      </c>
      <c r="BQ124" s="1" t="s">
        <v>1507</v>
      </c>
      <c r="BR124" s="1" t="s">
        <v>1507</v>
      </c>
      <c r="BS124" s="1" t="s">
        <v>13744</v>
      </c>
      <c r="BT124" s="1" t="s">
        <v>5790</v>
      </c>
      <c r="BU124" s="1" t="str">
        <f>HYPERLINK("https%3A%2F%2Fwww.webofscience.com%2Fwos%2Fwoscc%2Ffull-record%2FWOS:001137479500002","View Full Record in Web of Science")</f>
        <v>View Full Record in Web of Science</v>
      </c>
    </row>
    <row r="125" spans="1:73" x14ac:dyDescent="0.25">
      <c r="A125" s="1">
        <v>124</v>
      </c>
      <c r="B125" s="1" t="s">
        <v>1506</v>
      </c>
      <c r="C125" s="1" t="s">
        <v>4529</v>
      </c>
      <c r="D125" s="1" t="s">
        <v>1507</v>
      </c>
      <c r="E125" s="1" t="s">
        <v>1507</v>
      </c>
      <c r="F125" s="1" t="s">
        <v>1507</v>
      </c>
      <c r="G125" s="1" t="s">
        <v>4530</v>
      </c>
      <c r="H125" s="1" t="s">
        <v>1507</v>
      </c>
      <c r="I125" s="1" t="s">
        <v>1507</v>
      </c>
      <c r="J125" s="1" t="s">
        <v>4531</v>
      </c>
      <c r="K125" s="1" t="s">
        <v>3083</v>
      </c>
      <c r="L125" s="1" t="s">
        <v>1507</v>
      </c>
      <c r="M125" s="1" t="s">
        <v>1507</v>
      </c>
      <c r="N125" s="1" t="s">
        <v>42</v>
      </c>
      <c r="O125" s="1" t="s">
        <v>56</v>
      </c>
      <c r="P125" s="1" t="s">
        <v>1507</v>
      </c>
      <c r="Q125" s="1" t="s">
        <v>1507</v>
      </c>
      <c r="R125" s="1" t="s">
        <v>1507</v>
      </c>
      <c r="S125" s="1" t="s">
        <v>1507</v>
      </c>
      <c r="T125" s="1" t="s">
        <v>1507</v>
      </c>
      <c r="U125" s="1" t="s">
        <v>4532</v>
      </c>
      <c r="V125" s="1" t="s">
        <v>1507</v>
      </c>
      <c r="W125" s="1" t="s">
        <v>4533</v>
      </c>
      <c r="X125" s="1" t="s">
        <v>4534</v>
      </c>
      <c r="Y125" s="1" t="s">
        <v>4535</v>
      </c>
      <c r="Z125" s="1" t="s">
        <v>4536</v>
      </c>
      <c r="AA125" s="1" t="s">
        <v>4537</v>
      </c>
      <c r="AB125" s="1" t="s">
        <v>4538</v>
      </c>
      <c r="AC125" s="1" t="s">
        <v>14632</v>
      </c>
      <c r="AD125" s="1" t="s">
        <v>1507</v>
      </c>
      <c r="AE125" s="1" t="s">
        <v>1507</v>
      </c>
      <c r="AF125" s="1" t="s">
        <v>1507</v>
      </c>
      <c r="AG125" s="1" t="s">
        <v>1507</v>
      </c>
      <c r="AH125" s="1">
        <v>14</v>
      </c>
      <c r="AI125" s="1">
        <v>6</v>
      </c>
      <c r="AJ125" s="1">
        <v>6</v>
      </c>
      <c r="AK125" s="1">
        <v>21</v>
      </c>
      <c r="AL125" s="1">
        <v>32</v>
      </c>
      <c r="AM125" s="1" t="s">
        <v>1601</v>
      </c>
      <c r="AN125" s="1" t="s">
        <v>1551</v>
      </c>
      <c r="AO125" s="1" t="s">
        <v>1602</v>
      </c>
      <c r="AP125" s="1" t="s">
        <v>1507</v>
      </c>
      <c r="AQ125" s="1" t="s">
        <v>3091</v>
      </c>
      <c r="AR125" s="1" t="s">
        <v>1507</v>
      </c>
      <c r="AS125" s="1" t="s">
        <v>3092</v>
      </c>
      <c r="AT125" s="1" t="s">
        <v>3093</v>
      </c>
      <c r="AU125" s="1" t="s">
        <v>4539</v>
      </c>
      <c r="AV125" s="1">
        <v>2023</v>
      </c>
      <c r="AW125" s="1">
        <v>15</v>
      </c>
      <c r="AX125" s="1">
        <v>7</v>
      </c>
      <c r="AY125" s="1" t="s">
        <v>1507</v>
      </c>
      <c r="AZ125" s="1" t="s">
        <v>1507</v>
      </c>
      <c r="BA125" s="1" t="s">
        <v>1507</v>
      </c>
      <c r="BB125" s="1" t="s">
        <v>1507</v>
      </c>
      <c r="BC125" s="1" t="s">
        <v>1507</v>
      </c>
      <c r="BD125" s="1" t="s">
        <v>1507</v>
      </c>
      <c r="BE125" s="1" t="s">
        <v>4540</v>
      </c>
      <c r="BF125" s="1" t="s">
        <v>4541</v>
      </c>
      <c r="BG125" s="1" t="str">
        <f>HYPERLINK("http://dx.doi.org/10.7759/cureus.41399","http://dx.doi.org/10.7759/cureus.41399")</f>
        <v>http://dx.doi.org/10.7759/cureus.41399</v>
      </c>
      <c r="BH125" s="1" t="s">
        <v>1507</v>
      </c>
      <c r="BI125" s="1" t="s">
        <v>1507</v>
      </c>
      <c r="BJ125" s="1">
        <v>11</v>
      </c>
      <c r="BK125" s="1" t="s">
        <v>1949</v>
      </c>
      <c r="BL125" s="1" t="s">
        <v>1529</v>
      </c>
      <c r="BM125" s="1" t="s">
        <v>1950</v>
      </c>
      <c r="BN125" s="1" t="s">
        <v>4542</v>
      </c>
      <c r="BO125" s="1">
        <v>37426402</v>
      </c>
      <c r="BP125" s="1" t="s">
        <v>1952</v>
      </c>
      <c r="BQ125" s="1" t="s">
        <v>1507</v>
      </c>
      <c r="BR125" s="1" t="s">
        <v>1507</v>
      </c>
      <c r="BS125" s="1" t="s">
        <v>13744</v>
      </c>
      <c r="BT125" s="1" t="s">
        <v>4543</v>
      </c>
      <c r="BU125" s="1" t="str">
        <f>HYPERLINK("https%3A%2F%2Fwww.webofscience.com%2Fwos%2Fwoscc%2Ffull-record%2FWOS:001055896400011","View Full Record in Web of Science")</f>
        <v>View Full Record in Web of Science</v>
      </c>
    </row>
    <row r="126" spans="1:73" x14ac:dyDescent="0.25">
      <c r="A126" s="1">
        <v>125</v>
      </c>
      <c r="B126" s="1" t="s">
        <v>1506</v>
      </c>
      <c r="C126" s="1" t="s">
        <v>2703</v>
      </c>
      <c r="D126" s="1" t="s">
        <v>1507</v>
      </c>
      <c r="E126" s="1" t="s">
        <v>1507</v>
      </c>
      <c r="F126" s="1" t="s">
        <v>1507</v>
      </c>
      <c r="G126" s="1" t="s">
        <v>2704</v>
      </c>
      <c r="H126" s="1" t="s">
        <v>1507</v>
      </c>
      <c r="I126" s="1" t="s">
        <v>1507</v>
      </c>
      <c r="J126" s="1" t="s">
        <v>2705</v>
      </c>
      <c r="K126" s="1" t="s">
        <v>2706</v>
      </c>
      <c r="L126" s="1" t="s">
        <v>1507</v>
      </c>
      <c r="M126" s="1" t="s">
        <v>1507</v>
      </c>
      <c r="N126" s="1" t="s">
        <v>42</v>
      </c>
      <c r="O126" s="1" t="s">
        <v>56</v>
      </c>
      <c r="P126" s="1" t="s">
        <v>1507</v>
      </c>
      <c r="Q126" s="1" t="s">
        <v>1507</v>
      </c>
      <c r="R126" s="1" t="s">
        <v>1507</v>
      </c>
      <c r="S126" s="1" t="s">
        <v>1507</v>
      </c>
      <c r="T126" s="1" t="s">
        <v>1507</v>
      </c>
      <c r="U126" s="1" t="s">
        <v>2707</v>
      </c>
      <c r="V126" s="1" t="s">
        <v>2708</v>
      </c>
      <c r="W126" s="1" t="s">
        <v>2709</v>
      </c>
      <c r="X126" s="1" t="s">
        <v>2710</v>
      </c>
      <c r="Y126" s="1" t="s">
        <v>2711</v>
      </c>
      <c r="Z126" s="1" t="s">
        <v>2712</v>
      </c>
      <c r="AA126" s="1" t="s">
        <v>2713</v>
      </c>
      <c r="AB126" s="1" t="s">
        <v>1507</v>
      </c>
      <c r="AC126" s="1" t="s">
        <v>14006</v>
      </c>
      <c r="AD126" s="1" t="s">
        <v>2714</v>
      </c>
      <c r="AE126" s="1" t="s">
        <v>2714</v>
      </c>
      <c r="AF126" s="1" t="s">
        <v>2715</v>
      </c>
      <c r="AG126" s="1" t="s">
        <v>1507</v>
      </c>
      <c r="AH126" s="1">
        <v>38</v>
      </c>
      <c r="AI126" s="1">
        <v>0</v>
      </c>
      <c r="AJ126" s="1">
        <v>0</v>
      </c>
      <c r="AK126" s="1">
        <v>6</v>
      </c>
      <c r="AL126" s="1">
        <v>6</v>
      </c>
      <c r="AM126" s="1" t="s">
        <v>2299</v>
      </c>
      <c r="AN126" s="1" t="s">
        <v>2300</v>
      </c>
      <c r="AO126" s="1" t="s">
        <v>2301</v>
      </c>
      <c r="AP126" s="1" t="s">
        <v>2716</v>
      </c>
      <c r="AQ126" s="1" t="s">
        <v>2717</v>
      </c>
      <c r="AR126" s="1" t="s">
        <v>1507</v>
      </c>
      <c r="AS126" s="1" t="s">
        <v>2718</v>
      </c>
      <c r="AT126" s="1" t="s">
        <v>2719</v>
      </c>
      <c r="AU126" s="1" t="s">
        <v>14007</v>
      </c>
      <c r="AV126" s="1">
        <v>2023</v>
      </c>
      <c r="AW126" s="1">
        <v>24</v>
      </c>
      <c r="AX126" s="1">
        <v>3</v>
      </c>
      <c r="AY126" s="1" t="s">
        <v>1507</v>
      </c>
      <c r="AZ126" s="1" t="s">
        <v>1507</v>
      </c>
      <c r="BA126" s="1" t="s">
        <v>1507</v>
      </c>
      <c r="BB126" s="1" t="s">
        <v>1507</v>
      </c>
      <c r="BC126" s="1" t="s">
        <v>1507</v>
      </c>
      <c r="BD126" s="1" t="s">
        <v>1507</v>
      </c>
      <c r="BE126" s="1" t="s">
        <v>1507</v>
      </c>
      <c r="BF126" s="1" t="s">
        <v>2720</v>
      </c>
      <c r="BG126" s="1" t="str">
        <f>HYPERLINK("http://dx.doi.org/10.1128/jmbe.00153-23","http://dx.doi.org/10.1128/jmbe.00153-23")</f>
        <v>http://dx.doi.org/10.1128/jmbe.00153-23</v>
      </c>
      <c r="BH126" s="1" t="s">
        <v>1507</v>
      </c>
      <c r="BI126" s="1" t="s">
        <v>2396</v>
      </c>
      <c r="BJ126" s="1">
        <v>14</v>
      </c>
      <c r="BK126" s="1" t="s">
        <v>2721</v>
      </c>
      <c r="BL126" s="1" t="s">
        <v>1529</v>
      </c>
      <c r="BM126" s="1" t="s">
        <v>1558</v>
      </c>
      <c r="BN126" s="1" t="s">
        <v>2722</v>
      </c>
      <c r="BO126" s="1">
        <v>38107990</v>
      </c>
      <c r="BP126" s="1" t="s">
        <v>1952</v>
      </c>
      <c r="BQ126" s="1" t="s">
        <v>1507</v>
      </c>
      <c r="BR126" s="1" t="s">
        <v>1507</v>
      </c>
      <c r="BS126" s="1" t="s">
        <v>13744</v>
      </c>
      <c r="BT126" s="1" t="s">
        <v>2723</v>
      </c>
      <c r="BU126" s="1" t="str">
        <f>HYPERLINK("https%3A%2F%2Fwww.webofscience.com%2Fwos%2Fwoscc%2Ffull-record%2FWOS:001095972600001","View Full Record in Web of Science")</f>
        <v>View Full Record in Web of Science</v>
      </c>
    </row>
    <row r="127" spans="1:73" x14ac:dyDescent="0.25">
      <c r="A127" s="1">
        <v>126</v>
      </c>
      <c r="B127" s="1" t="s">
        <v>1506</v>
      </c>
      <c r="C127" s="1" t="s">
        <v>10865</v>
      </c>
      <c r="D127" s="1" t="s">
        <v>1507</v>
      </c>
      <c r="E127" s="1" t="s">
        <v>1507</v>
      </c>
      <c r="F127" s="1" t="s">
        <v>1507</v>
      </c>
      <c r="G127" s="1" t="s">
        <v>10866</v>
      </c>
      <c r="H127" s="1" t="s">
        <v>1507</v>
      </c>
      <c r="I127" s="1" t="s">
        <v>1507</v>
      </c>
      <c r="J127" s="1" t="s">
        <v>10867</v>
      </c>
      <c r="K127" s="1" t="s">
        <v>10868</v>
      </c>
      <c r="L127" s="1" t="s">
        <v>1507</v>
      </c>
      <c r="M127" s="1" t="s">
        <v>1507</v>
      </c>
      <c r="N127" s="1" t="s">
        <v>42</v>
      </c>
      <c r="O127" s="1" t="s">
        <v>56</v>
      </c>
      <c r="P127" s="1" t="s">
        <v>1507</v>
      </c>
      <c r="Q127" s="1" t="s">
        <v>1507</v>
      </c>
      <c r="R127" s="1" t="s">
        <v>1507</v>
      </c>
      <c r="S127" s="1" t="s">
        <v>1507</v>
      </c>
      <c r="T127" s="1" t="s">
        <v>1507</v>
      </c>
      <c r="U127" s="1" t="s">
        <v>10869</v>
      </c>
      <c r="V127" s="1" t="s">
        <v>10870</v>
      </c>
      <c r="W127" s="1" t="s">
        <v>10871</v>
      </c>
      <c r="X127" s="1" t="s">
        <v>10872</v>
      </c>
      <c r="Y127" s="1" t="s">
        <v>10873</v>
      </c>
      <c r="Z127" s="1" t="s">
        <v>10874</v>
      </c>
      <c r="AA127" s="1" t="s">
        <v>10875</v>
      </c>
      <c r="AB127" s="1" t="s">
        <v>15923</v>
      </c>
      <c r="AC127" s="1" t="s">
        <v>15924</v>
      </c>
      <c r="AD127" s="1" t="s">
        <v>10876</v>
      </c>
      <c r="AE127" s="1" t="s">
        <v>10877</v>
      </c>
      <c r="AF127" s="1" t="s">
        <v>10878</v>
      </c>
      <c r="AG127" s="1" t="s">
        <v>1507</v>
      </c>
      <c r="AH127" s="1">
        <v>48</v>
      </c>
      <c r="AI127" s="1">
        <v>15</v>
      </c>
      <c r="AJ127" s="1">
        <v>16</v>
      </c>
      <c r="AK127" s="1">
        <v>0</v>
      </c>
      <c r="AL127" s="1">
        <v>3</v>
      </c>
      <c r="AM127" s="1" t="s">
        <v>1725</v>
      </c>
      <c r="AN127" s="1" t="s">
        <v>1551</v>
      </c>
      <c r="AO127" s="1" t="s">
        <v>1726</v>
      </c>
      <c r="AP127" s="1" t="s">
        <v>10879</v>
      </c>
      <c r="AQ127" s="1" t="s">
        <v>10880</v>
      </c>
      <c r="AR127" s="1" t="s">
        <v>1507</v>
      </c>
      <c r="AS127" s="1" t="s">
        <v>10881</v>
      </c>
      <c r="AT127" s="1" t="s">
        <v>10882</v>
      </c>
      <c r="AU127" s="1" t="s">
        <v>10883</v>
      </c>
      <c r="AV127" s="1">
        <v>2019</v>
      </c>
      <c r="AW127" s="1">
        <v>23</v>
      </c>
      <c r="AX127" s="1" t="s">
        <v>1507</v>
      </c>
      <c r="AY127" s="1" t="s">
        <v>1507</v>
      </c>
      <c r="AZ127" s="1" t="s">
        <v>1507</v>
      </c>
      <c r="BA127" s="1" t="s">
        <v>1507</v>
      </c>
      <c r="BB127" s="1" t="s">
        <v>1507</v>
      </c>
      <c r="BC127" s="1" t="s">
        <v>1507</v>
      </c>
      <c r="BD127" s="1" t="s">
        <v>1507</v>
      </c>
      <c r="BE127" s="1">
        <v>230</v>
      </c>
      <c r="BF127" s="1" t="s">
        <v>10884</v>
      </c>
      <c r="BG127" s="1" t="str">
        <f>HYPERLINK("http://dx.doi.org/10.1186/s13054-019-2505-7","http://dx.doi.org/10.1186/s13054-019-2505-7")</f>
        <v>http://dx.doi.org/10.1186/s13054-019-2505-7</v>
      </c>
      <c r="BH127" s="1" t="s">
        <v>1507</v>
      </c>
      <c r="BI127" s="1" t="s">
        <v>1507</v>
      </c>
      <c r="BJ127" s="1">
        <v>11</v>
      </c>
      <c r="BK127" s="1" t="s">
        <v>10885</v>
      </c>
      <c r="BL127" s="1" t="s">
        <v>1573</v>
      </c>
      <c r="BM127" s="1" t="s">
        <v>1950</v>
      </c>
      <c r="BN127" s="1" t="s">
        <v>10886</v>
      </c>
      <c r="BO127" s="1">
        <v>31234943</v>
      </c>
      <c r="BP127" s="1" t="s">
        <v>1952</v>
      </c>
      <c r="BQ127" s="1" t="s">
        <v>1507</v>
      </c>
      <c r="BR127" s="1" t="s">
        <v>1507</v>
      </c>
      <c r="BS127" s="1" t="s">
        <v>13744</v>
      </c>
      <c r="BT127" s="1" t="s">
        <v>10887</v>
      </c>
      <c r="BU127" s="1" t="str">
        <f>HYPERLINK("https%3A%2F%2Fwww.webofscience.com%2Fwos%2Fwoscc%2Ffull-record%2FWOS:000472899700001","View Full Record in Web of Science")</f>
        <v>View Full Record in Web of Science</v>
      </c>
    </row>
    <row r="128" spans="1:73" x14ac:dyDescent="0.25">
      <c r="A128" s="1">
        <v>127</v>
      </c>
      <c r="B128" s="1" t="s">
        <v>1506</v>
      </c>
      <c r="C128" s="1" t="s">
        <v>2997</v>
      </c>
      <c r="D128" s="1" t="s">
        <v>1507</v>
      </c>
      <c r="E128" s="1" t="s">
        <v>1507</v>
      </c>
      <c r="F128" s="1" t="s">
        <v>1507</v>
      </c>
      <c r="G128" s="1" t="s">
        <v>2998</v>
      </c>
      <c r="H128" s="1" t="s">
        <v>1507</v>
      </c>
      <c r="I128" s="1" t="s">
        <v>1507</v>
      </c>
      <c r="J128" s="1" t="s">
        <v>2999</v>
      </c>
      <c r="K128" s="1" t="s">
        <v>3000</v>
      </c>
      <c r="L128" s="1" t="s">
        <v>1507</v>
      </c>
      <c r="M128" s="1" t="s">
        <v>1507</v>
      </c>
      <c r="N128" s="1" t="s">
        <v>42</v>
      </c>
      <c r="O128" s="1" t="s">
        <v>56</v>
      </c>
      <c r="P128" s="1" t="s">
        <v>1507</v>
      </c>
      <c r="Q128" s="1" t="s">
        <v>1507</v>
      </c>
      <c r="R128" s="1" t="s">
        <v>1507</v>
      </c>
      <c r="S128" s="1" t="s">
        <v>1507</v>
      </c>
      <c r="T128" s="1" t="s">
        <v>1507</v>
      </c>
      <c r="U128" s="1" t="s">
        <v>1507</v>
      </c>
      <c r="V128" s="1" t="s">
        <v>3001</v>
      </c>
      <c r="W128" s="1" t="s">
        <v>3002</v>
      </c>
      <c r="X128" s="1" t="s">
        <v>3003</v>
      </c>
      <c r="Y128" s="1" t="s">
        <v>14243</v>
      </c>
      <c r="Z128" s="1" t="s">
        <v>3004</v>
      </c>
      <c r="AA128" s="1" t="s">
        <v>3005</v>
      </c>
      <c r="AB128" s="1" t="s">
        <v>14244</v>
      </c>
      <c r="AC128" s="1" t="s">
        <v>3006</v>
      </c>
      <c r="AD128" s="1" t="s">
        <v>3007</v>
      </c>
      <c r="AE128" s="1" t="s">
        <v>3008</v>
      </c>
      <c r="AF128" s="1" t="s">
        <v>3009</v>
      </c>
      <c r="AG128" s="1" t="s">
        <v>1507</v>
      </c>
      <c r="AH128" s="1">
        <v>96</v>
      </c>
      <c r="AI128" s="1">
        <v>0</v>
      </c>
      <c r="AJ128" s="1">
        <v>0</v>
      </c>
      <c r="AK128" s="1">
        <v>10</v>
      </c>
      <c r="AL128" s="1">
        <v>10</v>
      </c>
      <c r="AM128" s="1" t="s">
        <v>1522</v>
      </c>
      <c r="AN128" s="1" t="s">
        <v>1523</v>
      </c>
      <c r="AO128" s="1" t="s">
        <v>1524</v>
      </c>
      <c r="AP128" s="1" t="s">
        <v>3010</v>
      </c>
      <c r="AQ128" s="1" t="s">
        <v>3011</v>
      </c>
      <c r="AR128" s="1" t="s">
        <v>1507</v>
      </c>
      <c r="AS128" s="1" t="s">
        <v>3012</v>
      </c>
      <c r="AT128" s="1" t="s">
        <v>3013</v>
      </c>
      <c r="AU128" s="1" t="s">
        <v>14245</v>
      </c>
      <c r="AV128" s="1">
        <v>2024</v>
      </c>
      <c r="AW128" s="1">
        <v>26</v>
      </c>
      <c r="AX128" s="1">
        <v>1</v>
      </c>
      <c r="AY128" s="1" t="s">
        <v>1507</v>
      </c>
      <c r="AZ128" s="1" t="s">
        <v>1507</v>
      </c>
      <c r="BA128" s="1" t="s">
        <v>1507</v>
      </c>
      <c r="BB128" s="1" t="s">
        <v>1507</v>
      </c>
      <c r="BC128" s="1" t="s">
        <v>1507</v>
      </c>
      <c r="BD128" s="1" t="s">
        <v>1507</v>
      </c>
      <c r="BE128" s="1" t="s">
        <v>1507</v>
      </c>
      <c r="BF128" s="1" t="s">
        <v>3014</v>
      </c>
      <c r="BG128" s="1" t="str">
        <f>HYPERLINK("http://dx.doi.org/10.1039/d3em00280b","http://dx.doi.org/10.1039/d3em00280b")</f>
        <v>http://dx.doi.org/10.1039/d3em00280b</v>
      </c>
      <c r="BH128" s="1" t="s">
        <v>1507</v>
      </c>
      <c r="BI128" s="1" t="s">
        <v>2891</v>
      </c>
      <c r="BJ128" s="1">
        <v>22</v>
      </c>
      <c r="BK128" s="1" t="s">
        <v>3015</v>
      </c>
      <c r="BL128" s="1" t="s">
        <v>1573</v>
      </c>
      <c r="BM128" s="1" t="s">
        <v>3016</v>
      </c>
      <c r="BN128" s="1" t="s">
        <v>3017</v>
      </c>
      <c r="BO128" s="1">
        <v>37873726</v>
      </c>
      <c r="BP128" s="1" t="s">
        <v>1507</v>
      </c>
      <c r="BQ128" s="1" t="s">
        <v>1507</v>
      </c>
      <c r="BR128" s="1" t="s">
        <v>1507</v>
      </c>
      <c r="BS128" s="1" t="s">
        <v>13744</v>
      </c>
      <c r="BT128" s="1" t="s">
        <v>3018</v>
      </c>
      <c r="BU128" s="1" t="str">
        <f>HYPERLINK("https%3A%2F%2Fwww.webofscience.com%2Fwos%2Fwoscc%2Ffull-record%2FWOS:001087836700001","View Full Record in Web of Science")</f>
        <v>View Full Record in Web of Science</v>
      </c>
    </row>
    <row r="129" spans="1:73" x14ac:dyDescent="0.25">
      <c r="A129" s="1">
        <v>128</v>
      </c>
      <c r="B129" s="1" t="s">
        <v>5546</v>
      </c>
      <c r="C129" s="1" t="s">
        <v>14896</v>
      </c>
      <c r="D129" s="1" t="s">
        <v>1507</v>
      </c>
      <c r="E129" s="1" t="s">
        <v>1507</v>
      </c>
      <c r="F129" s="1" t="s">
        <v>5548</v>
      </c>
      <c r="G129" s="1" t="s">
        <v>14897</v>
      </c>
      <c r="H129" s="1" t="s">
        <v>1507</v>
      </c>
      <c r="I129" s="1" t="s">
        <v>1507</v>
      </c>
      <c r="J129" s="1" t="s">
        <v>14898</v>
      </c>
      <c r="K129" s="1" t="s">
        <v>14899</v>
      </c>
      <c r="L129" s="1" t="s">
        <v>1507</v>
      </c>
      <c r="M129" s="1" t="s">
        <v>1507</v>
      </c>
      <c r="N129" s="1" t="s">
        <v>42</v>
      </c>
      <c r="O129" s="1" t="s">
        <v>5552</v>
      </c>
      <c r="P129" s="1" t="s">
        <v>14900</v>
      </c>
      <c r="Q129" s="1" t="s">
        <v>14901</v>
      </c>
      <c r="R129" s="1" t="s">
        <v>12090</v>
      </c>
      <c r="S129" s="1" t="s">
        <v>5681</v>
      </c>
      <c r="T129" s="1" t="s">
        <v>1507</v>
      </c>
      <c r="U129" s="1" t="s">
        <v>14902</v>
      </c>
      <c r="V129" s="1" t="s">
        <v>1507</v>
      </c>
      <c r="W129" s="1" t="s">
        <v>14903</v>
      </c>
      <c r="X129" s="1" t="s">
        <v>14904</v>
      </c>
      <c r="Y129" s="1" t="s">
        <v>14905</v>
      </c>
      <c r="Z129" s="1" t="s">
        <v>14906</v>
      </c>
      <c r="AA129" s="1" t="s">
        <v>14907</v>
      </c>
      <c r="AB129" s="1" t="s">
        <v>14908</v>
      </c>
      <c r="AC129" s="1" t="s">
        <v>14909</v>
      </c>
      <c r="AD129" s="1" t="s">
        <v>14910</v>
      </c>
      <c r="AE129" s="1" t="s">
        <v>14911</v>
      </c>
      <c r="AF129" s="1" t="s">
        <v>14912</v>
      </c>
      <c r="AG129" s="1" t="s">
        <v>1507</v>
      </c>
      <c r="AH129" s="1">
        <v>31</v>
      </c>
      <c r="AI129" s="1">
        <v>2</v>
      </c>
      <c r="AJ129" s="1">
        <v>2</v>
      </c>
      <c r="AK129" s="1">
        <v>6</v>
      </c>
      <c r="AL129" s="1">
        <v>6</v>
      </c>
      <c r="AM129" s="1" t="s">
        <v>5565</v>
      </c>
      <c r="AN129" s="1" t="s">
        <v>1512</v>
      </c>
      <c r="AO129" s="1" t="s">
        <v>5566</v>
      </c>
      <c r="AP129" s="1" t="s">
        <v>1507</v>
      </c>
      <c r="AQ129" s="1" t="s">
        <v>1507</v>
      </c>
      <c r="AR129" s="1" t="s">
        <v>14913</v>
      </c>
      <c r="AS129" s="1" t="s">
        <v>1507</v>
      </c>
      <c r="AT129" s="1" t="s">
        <v>1507</v>
      </c>
      <c r="AU129" s="1" t="s">
        <v>1507</v>
      </c>
      <c r="AV129" s="1">
        <v>2023</v>
      </c>
      <c r="AW129" s="1" t="s">
        <v>1507</v>
      </c>
      <c r="AX129" s="1" t="s">
        <v>1507</v>
      </c>
      <c r="AY129" s="1" t="s">
        <v>1507</v>
      </c>
      <c r="AZ129" s="1" t="s">
        <v>1507</v>
      </c>
      <c r="BA129" s="1" t="s">
        <v>1507</v>
      </c>
      <c r="BB129" s="1" t="s">
        <v>1507</v>
      </c>
      <c r="BC129" s="1">
        <v>1126</v>
      </c>
      <c r="BD129" s="1">
        <v>1132</v>
      </c>
      <c r="BE129" s="1" t="s">
        <v>1507</v>
      </c>
      <c r="BF129" s="1" t="s">
        <v>14914</v>
      </c>
      <c r="BG129" s="1" t="str">
        <f>HYPERLINK("http://dx.doi.org/10.1145/3604915.3610646","http://dx.doi.org/10.1145/3604915.3610646")</f>
        <v>http://dx.doi.org/10.1145/3604915.3610646</v>
      </c>
      <c r="BH129" s="1" t="s">
        <v>1507</v>
      </c>
      <c r="BI129" s="1" t="s">
        <v>1507</v>
      </c>
      <c r="BJ129" s="1">
        <v>7</v>
      </c>
      <c r="BK129" s="1" t="s">
        <v>2230</v>
      </c>
      <c r="BL129" s="1" t="s">
        <v>5570</v>
      </c>
      <c r="BM129" s="1" t="s">
        <v>1577</v>
      </c>
      <c r="BN129" s="1" t="s">
        <v>14915</v>
      </c>
      <c r="BO129" s="1" t="s">
        <v>1507</v>
      </c>
      <c r="BP129" s="1" t="s">
        <v>1600</v>
      </c>
      <c r="BQ129" s="1" t="s">
        <v>1507</v>
      </c>
      <c r="BR129" s="1" t="s">
        <v>1507</v>
      </c>
      <c r="BS129" s="1" t="s">
        <v>13744</v>
      </c>
      <c r="BT129" s="1" t="s">
        <v>14916</v>
      </c>
      <c r="BU129" s="1" t="str">
        <f>HYPERLINK("https%3A%2F%2Fwww.webofscience.com%2Fwos%2Fwoscc%2Ffull-record%2FWOS:001156630300140","View Full Record in Web of Science")</f>
        <v>View Full Record in Web of Science</v>
      </c>
    </row>
    <row r="130" spans="1:73" x14ac:dyDescent="0.25">
      <c r="A130" s="1">
        <v>129</v>
      </c>
      <c r="B130" s="1" t="s">
        <v>5546</v>
      </c>
      <c r="C130" s="1" t="s">
        <v>7716</v>
      </c>
      <c r="D130" s="1" t="s">
        <v>1507</v>
      </c>
      <c r="E130" s="1" t="s">
        <v>1507</v>
      </c>
      <c r="F130" s="1" t="s">
        <v>5628</v>
      </c>
      <c r="G130" s="1" t="s">
        <v>7717</v>
      </c>
      <c r="H130" s="1" t="s">
        <v>1507</v>
      </c>
      <c r="I130" s="1" t="s">
        <v>1507</v>
      </c>
      <c r="J130" s="1" t="s">
        <v>7718</v>
      </c>
      <c r="K130" s="1" t="s">
        <v>7719</v>
      </c>
      <c r="L130" s="1" t="s">
        <v>1507</v>
      </c>
      <c r="M130" s="1" t="s">
        <v>1507</v>
      </c>
      <c r="N130" s="1" t="s">
        <v>42</v>
      </c>
      <c r="O130" s="1" t="s">
        <v>5552</v>
      </c>
      <c r="P130" s="1" t="s">
        <v>7720</v>
      </c>
      <c r="Q130" s="1" t="s">
        <v>7721</v>
      </c>
      <c r="R130" s="1" t="s">
        <v>6272</v>
      </c>
      <c r="S130" s="1" t="s">
        <v>5628</v>
      </c>
      <c r="T130" s="1" t="s">
        <v>1507</v>
      </c>
      <c r="U130" s="1" t="s">
        <v>1507</v>
      </c>
      <c r="V130" s="1" t="s">
        <v>7722</v>
      </c>
      <c r="W130" s="1" t="s">
        <v>7723</v>
      </c>
      <c r="X130" s="1" t="s">
        <v>7724</v>
      </c>
      <c r="Y130" s="1" t="s">
        <v>15669</v>
      </c>
      <c r="Z130" s="1" t="s">
        <v>7725</v>
      </c>
      <c r="AA130" s="1" t="s">
        <v>7726</v>
      </c>
      <c r="AB130" s="1" t="s">
        <v>15670</v>
      </c>
      <c r="AC130" s="1" t="s">
        <v>7727</v>
      </c>
      <c r="AD130" s="1" t="s">
        <v>7728</v>
      </c>
      <c r="AE130" s="1" t="s">
        <v>7729</v>
      </c>
      <c r="AF130" s="1" t="s">
        <v>7730</v>
      </c>
      <c r="AG130" s="1" t="s">
        <v>1507</v>
      </c>
      <c r="AH130" s="1">
        <v>15</v>
      </c>
      <c r="AI130" s="1">
        <v>0</v>
      </c>
      <c r="AJ130" s="1">
        <v>0</v>
      </c>
      <c r="AK130" s="1">
        <v>2</v>
      </c>
      <c r="AL130" s="1">
        <v>3</v>
      </c>
      <c r="AM130" s="1" t="s">
        <v>5628</v>
      </c>
      <c r="AN130" s="1" t="s">
        <v>1512</v>
      </c>
      <c r="AO130" s="1" t="s">
        <v>6457</v>
      </c>
      <c r="AP130" s="1" t="s">
        <v>1507</v>
      </c>
      <c r="AQ130" s="1" t="s">
        <v>1507</v>
      </c>
      <c r="AR130" s="1" t="s">
        <v>7731</v>
      </c>
      <c r="AS130" s="1" t="s">
        <v>1507</v>
      </c>
      <c r="AT130" s="1" t="s">
        <v>1507</v>
      </c>
      <c r="AU130" s="1" t="s">
        <v>1507</v>
      </c>
      <c r="AV130" s="1">
        <v>2022</v>
      </c>
      <c r="AW130" s="1" t="s">
        <v>1507</v>
      </c>
      <c r="AX130" s="1" t="s">
        <v>1507</v>
      </c>
      <c r="AY130" s="1" t="s">
        <v>1507</v>
      </c>
      <c r="AZ130" s="1" t="s">
        <v>1507</v>
      </c>
      <c r="BA130" s="1" t="s">
        <v>1507</v>
      </c>
      <c r="BB130" s="1" t="s">
        <v>1507</v>
      </c>
      <c r="BC130" s="1" t="s">
        <v>1507</v>
      </c>
      <c r="BD130" s="1" t="s">
        <v>1507</v>
      </c>
      <c r="BE130" s="1" t="s">
        <v>1507</v>
      </c>
      <c r="BF130" s="1" t="s">
        <v>7732</v>
      </c>
      <c r="BG130" s="1" t="str">
        <f>HYPERLINK("http://dx.doi.org/10.1109/HST56032.2022.10025459","http://dx.doi.org/10.1109/HST56032.2022.10025459")</f>
        <v>http://dx.doi.org/10.1109/HST56032.2022.10025459</v>
      </c>
      <c r="BH130" s="1" t="s">
        <v>1507</v>
      </c>
      <c r="BI130" s="1" t="s">
        <v>1507</v>
      </c>
      <c r="BJ130" s="1">
        <v>7</v>
      </c>
      <c r="BK130" s="1" t="s">
        <v>7733</v>
      </c>
      <c r="BL130" s="1" t="s">
        <v>5570</v>
      </c>
      <c r="BM130" s="1" t="s">
        <v>1578</v>
      </c>
      <c r="BN130" s="1" t="s">
        <v>7734</v>
      </c>
      <c r="BO130" s="1" t="s">
        <v>1507</v>
      </c>
      <c r="BP130" s="1" t="s">
        <v>1507</v>
      </c>
      <c r="BQ130" s="1" t="s">
        <v>1507</v>
      </c>
      <c r="BR130" s="1" t="s">
        <v>1507</v>
      </c>
      <c r="BS130" s="1" t="s">
        <v>13744</v>
      </c>
      <c r="BT130" s="1" t="s">
        <v>7735</v>
      </c>
      <c r="BU130" s="1" t="str">
        <f>HYPERLINK("https%3A%2F%2Fwww.webofscience.com%2Fwos%2Fwoscc%2Ffull-record%2FWOS:001050968600039","View Full Record in Web of Science")</f>
        <v>View Full Record in Web of Science</v>
      </c>
    </row>
    <row r="131" spans="1:73" x14ac:dyDescent="0.25">
      <c r="A131" s="1">
        <v>130</v>
      </c>
      <c r="B131" s="1" t="s">
        <v>5546</v>
      </c>
      <c r="C131" s="1" t="s">
        <v>5791</v>
      </c>
      <c r="D131" s="1" t="s">
        <v>1507</v>
      </c>
      <c r="E131" s="1" t="s">
        <v>1507</v>
      </c>
      <c r="F131" s="1" t="s">
        <v>5548</v>
      </c>
      <c r="G131" s="1" t="s">
        <v>5792</v>
      </c>
      <c r="H131" s="1" t="s">
        <v>1507</v>
      </c>
      <c r="I131" s="1" t="s">
        <v>1507</v>
      </c>
      <c r="J131" s="1" t="s">
        <v>5793</v>
      </c>
      <c r="K131" s="1" t="s">
        <v>5794</v>
      </c>
      <c r="L131" s="1" t="s">
        <v>1507</v>
      </c>
      <c r="M131" s="1" t="s">
        <v>1507</v>
      </c>
      <c r="N131" s="1" t="s">
        <v>42</v>
      </c>
      <c r="O131" s="1" t="s">
        <v>5552</v>
      </c>
      <c r="P131" s="1" t="s">
        <v>5795</v>
      </c>
      <c r="Q131" s="1" t="s">
        <v>5796</v>
      </c>
      <c r="R131" s="1" t="s">
        <v>5797</v>
      </c>
      <c r="S131" s="1" t="s">
        <v>5681</v>
      </c>
      <c r="T131" s="1" t="s">
        <v>1507</v>
      </c>
      <c r="U131" s="1" t="s">
        <v>5798</v>
      </c>
      <c r="V131" s="1" t="s">
        <v>1507</v>
      </c>
      <c r="W131" s="1" t="s">
        <v>5799</v>
      </c>
      <c r="X131" s="1" t="s">
        <v>5800</v>
      </c>
      <c r="Y131" s="1" t="s">
        <v>5801</v>
      </c>
      <c r="Z131" s="1" t="s">
        <v>5802</v>
      </c>
      <c r="AA131" s="1" t="s">
        <v>5803</v>
      </c>
      <c r="AB131" s="1" t="s">
        <v>1507</v>
      </c>
      <c r="AC131" s="1" t="s">
        <v>14917</v>
      </c>
      <c r="AD131" s="1" t="s">
        <v>5804</v>
      </c>
      <c r="AE131" s="1" t="s">
        <v>5805</v>
      </c>
      <c r="AF131" s="1" t="s">
        <v>5806</v>
      </c>
      <c r="AG131" s="1" t="s">
        <v>1507</v>
      </c>
      <c r="AH131" s="1">
        <v>12</v>
      </c>
      <c r="AI131" s="1">
        <v>0</v>
      </c>
      <c r="AJ131" s="1">
        <v>0</v>
      </c>
      <c r="AK131" s="1">
        <v>1</v>
      </c>
      <c r="AL131" s="1">
        <v>1</v>
      </c>
      <c r="AM131" s="1" t="s">
        <v>5565</v>
      </c>
      <c r="AN131" s="1" t="s">
        <v>1512</v>
      </c>
      <c r="AO131" s="1" t="s">
        <v>5566</v>
      </c>
      <c r="AP131" s="1" t="s">
        <v>1507</v>
      </c>
      <c r="AQ131" s="1" t="s">
        <v>1507</v>
      </c>
      <c r="AR131" s="1" t="s">
        <v>5807</v>
      </c>
      <c r="AS131" s="1" t="s">
        <v>1507</v>
      </c>
      <c r="AT131" s="1" t="s">
        <v>1507</v>
      </c>
      <c r="AU131" s="1" t="s">
        <v>1507</v>
      </c>
      <c r="AV131" s="1">
        <v>2023</v>
      </c>
      <c r="AW131" s="1" t="s">
        <v>1507</v>
      </c>
      <c r="AX131" s="1" t="s">
        <v>1507</v>
      </c>
      <c r="AY131" s="1" t="s">
        <v>1507</v>
      </c>
      <c r="AZ131" s="1" t="s">
        <v>1507</v>
      </c>
      <c r="BA131" s="1" t="s">
        <v>1507</v>
      </c>
      <c r="BB131" s="1" t="s">
        <v>1507</v>
      </c>
      <c r="BC131" s="1">
        <v>30</v>
      </c>
      <c r="BD131" s="1">
        <v>36</v>
      </c>
      <c r="BE131" s="1" t="s">
        <v>1507</v>
      </c>
      <c r="BF131" s="1" t="s">
        <v>5808</v>
      </c>
      <c r="BG131" s="1" t="str">
        <f>HYPERLINK("http://dx.doi.org/10.1145/3628356.3630117","http://dx.doi.org/10.1145/3628356.3630117")</f>
        <v>http://dx.doi.org/10.1145/3628356.3630117</v>
      </c>
      <c r="BH131" s="1" t="s">
        <v>1507</v>
      </c>
      <c r="BI131" s="1" t="s">
        <v>1507</v>
      </c>
      <c r="BJ131" s="1">
        <v>7</v>
      </c>
      <c r="BK131" s="1" t="s">
        <v>1603</v>
      </c>
      <c r="BL131" s="1" t="s">
        <v>5570</v>
      </c>
      <c r="BM131" s="1" t="s">
        <v>1577</v>
      </c>
      <c r="BN131" s="1" t="s">
        <v>5809</v>
      </c>
      <c r="BO131" s="1" t="s">
        <v>1507</v>
      </c>
      <c r="BP131" s="1" t="s">
        <v>1537</v>
      </c>
      <c r="BQ131" s="1" t="s">
        <v>1507</v>
      </c>
      <c r="BR131" s="1" t="s">
        <v>1507</v>
      </c>
      <c r="BS131" s="1" t="s">
        <v>13744</v>
      </c>
      <c r="BT131" s="1" t="s">
        <v>5810</v>
      </c>
      <c r="BU131" s="1" t="str">
        <f>HYPERLINK("https%3A%2F%2Fwww.webofscience.com%2Fwos%2Fwoscc%2Ffull-record%2FWOS:001141320700005","View Full Record in Web of Science")</f>
        <v>View Full Record in Web of Science</v>
      </c>
    </row>
    <row r="132" spans="1:73" x14ac:dyDescent="0.25">
      <c r="A132" s="1">
        <v>131</v>
      </c>
      <c r="B132" s="1" t="s">
        <v>1506</v>
      </c>
      <c r="C132" s="1" t="s">
        <v>11320</v>
      </c>
      <c r="D132" s="1" t="s">
        <v>1507</v>
      </c>
      <c r="E132" s="1" t="s">
        <v>1507</v>
      </c>
      <c r="F132" s="1" t="s">
        <v>1507</v>
      </c>
      <c r="G132" s="1" t="s">
        <v>11321</v>
      </c>
      <c r="H132" s="1" t="s">
        <v>1507</v>
      </c>
      <c r="I132" s="1" t="s">
        <v>1507</v>
      </c>
      <c r="J132" s="1" t="s">
        <v>11322</v>
      </c>
      <c r="K132" s="1" t="s">
        <v>11323</v>
      </c>
      <c r="L132" s="1" t="s">
        <v>1507</v>
      </c>
      <c r="M132" s="1" t="s">
        <v>1507</v>
      </c>
      <c r="N132" s="1" t="s">
        <v>11324</v>
      </c>
      <c r="O132" s="1" t="s">
        <v>56</v>
      </c>
      <c r="P132" s="1" t="s">
        <v>1507</v>
      </c>
      <c r="Q132" s="1" t="s">
        <v>1507</v>
      </c>
      <c r="R132" s="1" t="s">
        <v>1507</v>
      </c>
      <c r="S132" s="1" t="s">
        <v>1507</v>
      </c>
      <c r="T132" s="1" t="s">
        <v>1507</v>
      </c>
      <c r="U132" s="1" t="s">
        <v>11325</v>
      </c>
      <c r="V132" s="1" t="s">
        <v>1507</v>
      </c>
      <c r="W132" s="1" t="s">
        <v>11326</v>
      </c>
      <c r="X132" s="1" t="s">
        <v>11327</v>
      </c>
      <c r="Y132" s="1" t="s">
        <v>11328</v>
      </c>
      <c r="Z132" s="1" t="s">
        <v>11329</v>
      </c>
      <c r="AA132" s="1" t="s">
        <v>11330</v>
      </c>
      <c r="AB132" s="1" t="s">
        <v>1507</v>
      </c>
      <c r="AC132" s="1" t="s">
        <v>1507</v>
      </c>
      <c r="AD132" s="1" t="s">
        <v>1507</v>
      </c>
      <c r="AE132" s="1" t="s">
        <v>1507</v>
      </c>
      <c r="AF132" s="1" t="s">
        <v>1507</v>
      </c>
      <c r="AG132" s="1" t="s">
        <v>1507</v>
      </c>
      <c r="AH132" s="1">
        <v>25</v>
      </c>
      <c r="AI132" s="1">
        <v>0</v>
      </c>
      <c r="AJ132" s="1">
        <v>0</v>
      </c>
      <c r="AK132" s="1">
        <v>1</v>
      </c>
      <c r="AL132" s="1">
        <v>4</v>
      </c>
      <c r="AM132" s="1" t="s">
        <v>11331</v>
      </c>
      <c r="AN132" s="1" t="s">
        <v>11332</v>
      </c>
      <c r="AO132" s="1" t="s">
        <v>11333</v>
      </c>
      <c r="AP132" s="1" t="s">
        <v>11334</v>
      </c>
      <c r="AQ132" s="1" t="s">
        <v>11335</v>
      </c>
      <c r="AR132" s="1" t="s">
        <v>1507</v>
      </c>
      <c r="AS132" s="1" t="s">
        <v>11336</v>
      </c>
      <c r="AT132" s="1" t="s">
        <v>11337</v>
      </c>
      <c r="AU132" s="1" t="s">
        <v>11338</v>
      </c>
      <c r="AV132" s="1">
        <v>2019</v>
      </c>
      <c r="AW132" s="1">
        <v>15</v>
      </c>
      <c r="AX132" s="1">
        <v>31</v>
      </c>
      <c r="AY132" s="1" t="s">
        <v>1507</v>
      </c>
      <c r="AZ132" s="1" t="s">
        <v>1507</v>
      </c>
      <c r="BA132" s="1" t="s">
        <v>1507</v>
      </c>
      <c r="BB132" s="1" t="s">
        <v>1507</v>
      </c>
      <c r="BC132" s="1">
        <v>430</v>
      </c>
      <c r="BD132" s="1">
        <v>451</v>
      </c>
      <c r="BE132" s="1" t="s">
        <v>1507</v>
      </c>
      <c r="BF132" s="1" t="s">
        <v>11339</v>
      </c>
      <c r="BG132" s="1" t="str">
        <f>HYPERLINK("http://dx.doi.org/10.22481/praxis.v15i31.4681","http://dx.doi.org/10.22481/praxis.v15i31.4681")</f>
        <v>http://dx.doi.org/10.22481/praxis.v15i31.4681</v>
      </c>
      <c r="BH132" s="1" t="s">
        <v>1507</v>
      </c>
      <c r="BI132" s="1" t="s">
        <v>1507</v>
      </c>
      <c r="BJ132" s="1">
        <v>22</v>
      </c>
      <c r="BK132" s="1" t="s">
        <v>1558</v>
      </c>
      <c r="BL132" s="1" t="s">
        <v>1529</v>
      </c>
      <c r="BM132" s="1" t="s">
        <v>1558</v>
      </c>
      <c r="BN132" s="1" t="s">
        <v>11340</v>
      </c>
      <c r="BO132" s="1" t="s">
        <v>1507</v>
      </c>
      <c r="BP132" s="1" t="s">
        <v>1547</v>
      </c>
      <c r="BQ132" s="1" t="s">
        <v>1507</v>
      </c>
      <c r="BR132" s="1" t="s">
        <v>1507</v>
      </c>
      <c r="BS132" s="1" t="s">
        <v>13744</v>
      </c>
      <c r="BT132" s="1" t="s">
        <v>11341</v>
      </c>
      <c r="BU132" s="1" t="str">
        <f>HYPERLINK("https%3A%2F%2Fwww.webofscience.com%2Fwos%2Fwoscc%2Ffull-record%2FWOS:000482215900024","View Full Record in Web of Science")</f>
        <v>View Full Record in Web of Science</v>
      </c>
    </row>
    <row r="133" spans="1:73" x14ac:dyDescent="0.25">
      <c r="A133" s="1">
        <v>132</v>
      </c>
      <c r="B133" s="1" t="s">
        <v>1506</v>
      </c>
      <c r="C133" s="1" t="s">
        <v>5190</v>
      </c>
      <c r="D133" s="1" t="s">
        <v>1507</v>
      </c>
      <c r="E133" s="1" t="s">
        <v>1507</v>
      </c>
      <c r="F133" s="1" t="s">
        <v>1507</v>
      </c>
      <c r="G133" s="1" t="s">
        <v>5191</v>
      </c>
      <c r="H133" s="1" t="s">
        <v>1507</v>
      </c>
      <c r="I133" s="1" t="s">
        <v>1507</v>
      </c>
      <c r="J133" s="1" t="s">
        <v>5192</v>
      </c>
      <c r="K133" s="1" t="s">
        <v>1617</v>
      </c>
      <c r="L133" s="1" t="s">
        <v>1507</v>
      </c>
      <c r="M133" s="1" t="s">
        <v>1507</v>
      </c>
      <c r="N133" s="1" t="s">
        <v>42</v>
      </c>
      <c r="O133" s="1" t="s">
        <v>56</v>
      </c>
      <c r="P133" s="1" t="s">
        <v>1507</v>
      </c>
      <c r="Q133" s="1" t="s">
        <v>1507</v>
      </c>
      <c r="R133" s="1" t="s">
        <v>1507</v>
      </c>
      <c r="S133" s="1" t="s">
        <v>1507</v>
      </c>
      <c r="T133" s="1" t="s">
        <v>1507</v>
      </c>
      <c r="U133" s="1" t="s">
        <v>5193</v>
      </c>
      <c r="V133" s="1" t="s">
        <v>1507</v>
      </c>
      <c r="W133" s="1" t="s">
        <v>5194</v>
      </c>
      <c r="X133" s="1" t="s">
        <v>5195</v>
      </c>
      <c r="Y133" s="1" t="s">
        <v>4550</v>
      </c>
      <c r="Z133" s="1" t="s">
        <v>5196</v>
      </c>
      <c r="AA133" s="1" t="s">
        <v>5197</v>
      </c>
      <c r="AB133" s="1" t="s">
        <v>1507</v>
      </c>
      <c r="AC133" s="1" t="s">
        <v>14786</v>
      </c>
      <c r="AD133" s="1" t="s">
        <v>5198</v>
      </c>
      <c r="AE133" s="1" t="s">
        <v>5199</v>
      </c>
      <c r="AF133" s="1" t="s">
        <v>5200</v>
      </c>
      <c r="AG133" s="1" t="s">
        <v>1507</v>
      </c>
      <c r="AH133" s="1">
        <v>54</v>
      </c>
      <c r="AI133" s="1">
        <v>5</v>
      </c>
      <c r="AJ133" s="1">
        <v>5</v>
      </c>
      <c r="AK133" s="1">
        <v>1</v>
      </c>
      <c r="AL133" s="1">
        <v>2</v>
      </c>
      <c r="AM133" s="1" t="s">
        <v>1610</v>
      </c>
      <c r="AN133" s="1" t="s">
        <v>1611</v>
      </c>
      <c r="AO133" s="1" t="s">
        <v>1612</v>
      </c>
      <c r="AP133" s="1" t="s">
        <v>1507</v>
      </c>
      <c r="AQ133" s="1" t="s">
        <v>1620</v>
      </c>
      <c r="AR133" s="1" t="s">
        <v>1507</v>
      </c>
      <c r="AS133" s="1" t="s">
        <v>1621</v>
      </c>
      <c r="AT133" s="1" t="s">
        <v>1622</v>
      </c>
      <c r="AU133" s="1" t="s">
        <v>5201</v>
      </c>
      <c r="AV133" s="1">
        <v>2023</v>
      </c>
      <c r="AW133" s="1">
        <v>12</v>
      </c>
      <c r="AX133" s="1">
        <v>7</v>
      </c>
      <c r="AY133" s="1" t="s">
        <v>1507</v>
      </c>
      <c r="AZ133" s="1" t="s">
        <v>1507</v>
      </c>
      <c r="BA133" s="1" t="s">
        <v>1507</v>
      </c>
      <c r="BB133" s="1" t="s">
        <v>1507</v>
      </c>
      <c r="BC133" s="1" t="s">
        <v>1507</v>
      </c>
      <c r="BD133" s="1" t="s">
        <v>1507</v>
      </c>
      <c r="BE133" s="1">
        <v>1735</v>
      </c>
      <c r="BF133" s="1" t="s">
        <v>5202</v>
      </c>
      <c r="BG133" s="1" t="str">
        <f>HYPERLINK("http://dx.doi.org/10.3390/electronics12071735","http://dx.doi.org/10.3390/electronics12071735")</f>
        <v>http://dx.doi.org/10.3390/electronics12071735</v>
      </c>
      <c r="BH133" s="1" t="s">
        <v>1507</v>
      </c>
      <c r="BI133" s="1" t="s">
        <v>1507</v>
      </c>
      <c r="BJ133" s="1">
        <v>19</v>
      </c>
      <c r="BK133" s="1" t="s">
        <v>1623</v>
      </c>
      <c r="BL133" s="1" t="s">
        <v>1573</v>
      </c>
      <c r="BM133" s="1" t="s">
        <v>1624</v>
      </c>
      <c r="BN133" s="1" t="s">
        <v>5203</v>
      </c>
      <c r="BO133" s="1" t="s">
        <v>1507</v>
      </c>
      <c r="BP133" s="1" t="s">
        <v>1547</v>
      </c>
      <c r="BQ133" s="1" t="s">
        <v>1507</v>
      </c>
      <c r="BR133" s="1" t="s">
        <v>1507</v>
      </c>
      <c r="BS133" s="1" t="s">
        <v>13744</v>
      </c>
      <c r="BT133" s="1" t="s">
        <v>5204</v>
      </c>
      <c r="BU133" s="1" t="str">
        <f>HYPERLINK("https%3A%2F%2Fwww.webofscience.com%2Fwos%2Fwoscc%2Ffull-record%2FWOS:000970911900001","View Full Record in Web of Science")</f>
        <v>View Full Record in Web of Science</v>
      </c>
    </row>
    <row r="134" spans="1:73" x14ac:dyDescent="0.25">
      <c r="A134" s="1">
        <v>133</v>
      </c>
      <c r="B134" s="1" t="s">
        <v>1506</v>
      </c>
      <c r="C134" s="1" t="s">
        <v>4544</v>
      </c>
      <c r="D134" s="1" t="s">
        <v>1507</v>
      </c>
      <c r="E134" s="1" t="s">
        <v>1507</v>
      </c>
      <c r="F134" s="1" t="s">
        <v>1507</v>
      </c>
      <c r="G134" s="1" t="s">
        <v>4545</v>
      </c>
      <c r="H134" s="1" t="s">
        <v>1507</v>
      </c>
      <c r="I134" s="1" t="s">
        <v>1507</v>
      </c>
      <c r="J134" s="1" t="s">
        <v>4546</v>
      </c>
      <c r="K134" s="1" t="s">
        <v>1617</v>
      </c>
      <c r="L134" s="1" t="s">
        <v>1507</v>
      </c>
      <c r="M134" s="1" t="s">
        <v>1507</v>
      </c>
      <c r="N134" s="1" t="s">
        <v>42</v>
      </c>
      <c r="O134" s="1" t="s">
        <v>56</v>
      </c>
      <c r="P134" s="1" t="s">
        <v>1507</v>
      </c>
      <c r="Q134" s="1" t="s">
        <v>1507</v>
      </c>
      <c r="R134" s="1" t="s">
        <v>1507</v>
      </c>
      <c r="S134" s="1" t="s">
        <v>1507</v>
      </c>
      <c r="T134" s="1" t="s">
        <v>1507</v>
      </c>
      <c r="U134" s="1" t="s">
        <v>4547</v>
      </c>
      <c r="V134" s="1" t="s">
        <v>1507</v>
      </c>
      <c r="W134" s="1" t="s">
        <v>4548</v>
      </c>
      <c r="X134" s="1" t="s">
        <v>4549</v>
      </c>
      <c r="Y134" s="1" t="s">
        <v>4550</v>
      </c>
      <c r="Z134" s="1" t="s">
        <v>4551</v>
      </c>
      <c r="AA134" s="1" t="s">
        <v>4552</v>
      </c>
      <c r="AB134" s="1" t="s">
        <v>4553</v>
      </c>
      <c r="AC134" s="1" t="s">
        <v>14633</v>
      </c>
      <c r="AD134" s="1" t="s">
        <v>4554</v>
      </c>
      <c r="AE134" s="1" t="s">
        <v>4555</v>
      </c>
      <c r="AF134" s="1" t="s">
        <v>14634</v>
      </c>
      <c r="AG134" s="1" t="s">
        <v>1507</v>
      </c>
      <c r="AH134" s="1">
        <v>32</v>
      </c>
      <c r="AI134" s="1">
        <v>4</v>
      </c>
      <c r="AJ134" s="1">
        <v>4</v>
      </c>
      <c r="AK134" s="1">
        <v>9</v>
      </c>
      <c r="AL134" s="1">
        <v>10</v>
      </c>
      <c r="AM134" s="1" t="s">
        <v>1610</v>
      </c>
      <c r="AN134" s="1" t="s">
        <v>1611</v>
      </c>
      <c r="AO134" s="1" t="s">
        <v>1612</v>
      </c>
      <c r="AP134" s="1" t="s">
        <v>1507</v>
      </c>
      <c r="AQ134" s="1" t="s">
        <v>1620</v>
      </c>
      <c r="AR134" s="1" t="s">
        <v>1507</v>
      </c>
      <c r="AS134" s="1" t="s">
        <v>1621</v>
      </c>
      <c r="AT134" s="1" t="s">
        <v>1622</v>
      </c>
      <c r="AU134" s="1" t="s">
        <v>4556</v>
      </c>
      <c r="AV134" s="1">
        <v>2023</v>
      </c>
      <c r="AW134" s="1">
        <v>12</v>
      </c>
      <c r="AX134" s="1">
        <v>13</v>
      </c>
      <c r="AY134" s="1" t="s">
        <v>1507</v>
      </c>
      <c r="AZ134" s="1" t="s">
        <v>1507</v>
      </c>
      <c r="BA134" s="1" t="s">
        <v>1507</v>
      </c>
      <c r="BB134" s="1" t="s">
        <v>1507</v>
      </c>
      <c r="BC134" s="1" t="s">
        <v>1507</v>
      </c>
      <c r="BD134" s="1" t="s">
        <v>1507</v>
      </c>
      <c r="BE134" s="1">
        <v>2814</v>
      </c>
      <c r="BF134" s="1" t="s">
        <v>4557</v>
      </c>
      <c r="BG134" s="1" t="str">
        <f>HYPERLINK("http://dx.doi.org/10.3390/electronics12132814","http://dx.doi.org/10.3390/electronics12132814")</f>
        <v>http://dx.doi.org/10.3390/electronics12132814</v>
      </c>
      <c r="BH134" s="1" t="s">
        <v>1507</v>
      </c>
      <c r="BI134" s="1" t="s">
        <v>1507</v>
      </c>
      <c r="BJ134" s="1">
        <v>22</v>
      </c>
      <c r="BK134" s="1" t="s">
        <v>1623</v>
      </c>
      <c r="BL134" s="1" t="s">
        <v>1573</v>
      </c>
      <c r="BM134" s="1" t="s">
        <v>1624</v>
      </c>
      <c r="BN134" s="1" t="s">
        <v>4558</v>
      </c>
      <c r="BO134" s="1" t="s">
        <v>1507</v>
      </c>
      <c r="BP134" s="1" t="s">
        <v>1531</v>
      </c>
      <c r="BQ134" s="1" t="s">
        <v>1507</v>
      </c>
      <c r="BR134" s="1" t="s">
        <v>1507</v>
      </c>
      <c r="BS134" s="1" t="s">
        <v>13744</v>
      </c>
      <c r="BT134" s="1" t="s">
        <v>4559</v>
      </c>
      <c r="BU134" s="1" t="str">
        <f>HYPERLINK("https%3A%2F%2Fwww.webofscience.com%2Fwos%2Fwoscc%2Ffull-record%2FWOS:001028580200001","View Full Record in Web of Science")</f>
        <v>View Full Record in Web of Science</v>
      </c>
    </row>
    <row r="135" spans="1:73" x14ac:dyDescent="0.25">
      <c r="A135" s="1">
        <v>134</v>
      </c>
      <c r="B135" s="1" t="s">
        <v>1506</v>
      </c>
      <c r="C135" s="1" t="s">
        <v>7158</v>
      </c>
      <c r="D135" s="1" t="s">
        <v>1507</v>
      </c>
      <c r="E135" s="1" t="s">
        <v>1507</v>
      </c>
      <c r="F135" s="1" t="s">
        <v>1507</v>
      </c>
      <c r="G135" s="1" t="s">
        <v>7159</v>
      </c>
      <c r="H135" s="1" t="s">
        <v>1507</v>
      </c>
      <c r="I135" s="1" t="s">
        <v>1507</v>
      </c>
      <c r="J135" s="1" t="s">
        <v>7160</v>
      </c>
      <c r="K135" s="1" t="s">
        <v>2324</v>
      </c>
      <c r="L135" s="1" t="s">
        <v>1507</v>
      </c>
      <c r="M135" s="1" t="s">
        <v>1507</v>
      </c>
      <c r="N135" s="1" t="s">
        <v>42</v>
      </c>
      <c r="O135" s="1" t="s">
        <v>56</v>
      </c>
      <c r="P135" s="1" t="s">
        <v>1507</v>
      </c>
      <c r="Q135" s="1" t="s">
        <v>1507</v>
      </c>
      <c r="R135" s="1" t="s">
        <v>1507</v>
      </c>
      <c r="S135" s="1" t="s">
        <v>1507</v>
      </c>
      <c r="T135" s="1" t="s">
        <v>1507</v>
      </c>
      <c r="U135" s="1" t="s">
        <v>1507</v>
      </c>
      <c r="V135" s="1" t="s">
        <v>7161</v>
      </c>
      <c r="W135" s="1" t="s">
        <v>7162</v>
      </c>
      <c r="X135" s="1" t="s">
        <v>7163</v>
      </c>
      <c r="Y135" s="1" t="s">
        <v>7164</v>
      </c>
      <c r="Z135" s="1" t="s">
        <v>7165</v>
      </c>
      <c r="AA135" s="1" t="s">
        <v>1507</v>
      </c>
      <c r="AB135" s="1" t="s">
        <v>7166</v>
      </c>
      <c r="AC135" s="1" t="s">
        <v>1507</v>
      </c>
      <c r="AD135" s="1" t="s">
        <v>7167</v>
      </c>
      <c r="AE135" s="1" t="s">
        <v>7168</v>
      </c>
      <c r="AF135" s="1" t="s">
        <v>7169</v>
      </c>
      <c r="AG135" s="1" t="s">
        <v>1507</v>
      </c>
      <c r="AH135" s="1">
        <v>210</v>
      </c>
      <c r="AI135" s="1">
        <v>0</v>
      </c>
      <c r="AJ135" s="1">
        <v>0</v>
      </c>
      <c r="AK135" s="1">
        <v>0</v>
      </c>
      <c r="AL135" s="1">
        <v>0</v>
      </c>
      <c r="AM135" s="1" t="s">
        <v>2332</v>
      </c>
      <c r="AN135" s="1" t="s">
        <v>2333</v>
      </c>
      <c r="AO135" s="1" t="s">
        <v>2334</v>
      </c>
      <c r="AP135" s="1" t="s">
        <v>2335</v>
      </c>
      <c r="AQ135" s="1" t="s">
        <v>2336</v>
      </c>
      <c r="AR135" s="1" t="s">
        <v>1507</v>
      </c>
      <c r="AS135" s="1" t="s">
        <v>2337</v>
      </c>
      <c r="AT135" s="1" t="s">
        <v>2338</v>
      </c>
      <c r="AU135" s="1" t="s">
        <v>4556</v>
      </c>
      <c r="AV135" s="1">
        <v>2022</v>
      </c>
      <c r="AW135" s="1">
        <v>45</v>
      </c>
      <c r="AX135" s="1">
        <v>2</v>
      </c>
      <c r="AY135" s="1" t="s">
        <v>1507</v>
      </c>
      <c r="AZ135" s="1" t="s">
        <v>1507</v>
      </c>
      <c r="BA135" s="1" t="s">
        <v>1507</v>
      </c>
      <c r="BB135" s="1" t="s">
        <v>1507</v>
      </c>
      <c r="BC135" s="1" t="s">
        <v>1507</v>
      </c>
      <c r="BD135" s="1" t="s">
        <v>1507</v>
      </c>
      <c r="BE135" s="1" t="s">
        <v>1507</v>
      </c>
      <c r="BF135" s="1" t="s">
        <v>1507</v>
      </c>
      <c r="BG135" s="1" t="s">
        <v>1507</v>
      </c>
      <c r="BH135" s="1" t="s">
        <v>1507</v>
      </c>
      <c r="BI135" s="1" t="s">
        <v>1507</v>
      </c>
      <c r="BJ135" s="1">
        <v>34</v>
      </c>
      <c r="BK135" s="1" t="s">
        <v>1535</v>
      </c>
      <c r="BL135" s="1" t="s">
        <v>1529</v>
      </c>
      <c r="BM135" s="1" t="s">
        <v>1536</v>
      </c>
      <c r="BN135" s="1" t="s">
        <v>7170</v>
      </c>
      <c r="BO135" s="1" t="s">
        <v>1507</v>
      </c>
      <c r="BP135" s="1" t="s">
        <v>1507</v>
      </c>
      <c r="BQ135" s="1" t="s">
        <v>1507</v>
      </c>
      <c r="BR135" s="1" t="s">
        <v>1507</v>
      </c>
      <c r="BS135" s="1" t="s">
        <v>13744</v>
      </c>
      <c r="BT135" s="1" t="s">
        <v>7171</v>
      </c>
      <c r="BU135" s="1" t="str">
        <f>HYPERLINK("https%3A%2F%2Fwww.webofscience.com%2Fwos%2Fwoscc%2Ffull-record%2FWOS:000824236000008","View Full Record in Web of Science")</f>
        <v>View Full Record in Web of Science</v>
      </c>
    </row>
    <row r="136" spans="1:73" x14ac:dyDescent="0.25">
      <c r="A136" s="1">
        <v>135</v>
      </c>
      <c r="B136" s="1" t="s">
        <v>1506</v>
      </c>
      <c r="C136" s="1" t="s">
        <v>2064</v>
      </c>
      <c r="D136" s="1" t="s">
        <v>1507</v>
      </c>
      <c r="E136" s="1" t="s">
        <v>1507</v>
      </c>
      <c r="F136" s="1" t="s">
        <v>1507</v>
      </c>
      <c r="G136" s="1" t="s">
        <v>2065</v>
      </c>
      <c r="H136" s="1" t="s">
        <v>1507</v>
      </c>
      <c r="I136" s="1" t="s">
        <v>1507</v>
      </c>
      <c r="J136" s="1" t="s">
        <v>665</v>
      </c>
      <c r="K136" s="1" t="s">
        <v>2066</v>
      </c>
      <c r="L136" s="1" t="s">
        <v>1507</v>
      </c>
      <c r="M136" s="1" t="s">
        <v>1507</v>
      </c>
      <c r="N136" s="1" t="s">
        <v>42</v>
      </c>
      <c r="O136" s="1" t="s">
        <v>1509</v>
      </c>
      <c r="P136" s="1" t="s">
        <v>1507</v>
      </c>
      <c r="Q136" s="1" t="s">
        <v>1507</v>
      </c>
      <c r="R136" s="1" t="s">
        <v>1507</v>
      </c>
      <c r="S136" s="1" t="s">
        <v>1507</v>
      </c>
      <c r="T136" s="1" t="s">
        <v>1507</v>
      </c>
      <c r="U136" s="1" t="s">
        <v>2067</v>
      </c>
      <c r="V136" s="1" t="s">
        <v>1507</v>
      </c>
      <c r="W136" s="1" t="s">
        <v>2068</v>
      </c>
      <c r="X136" s="1" t="s">
        <v>2069</v>
      </c>
      <c r="Y136" s="1" t="s">
        <v>2070</v>
      </c>
      <c r="Z136" s="1" t="s">
        <v>2071</v>
      </c>
      <c r="AA136" s="1" t="s">
        <v>2072</v>
      </c>
      <c r="AB136" s="1" t="s">
        <v>1507</v>
      </c>
      <c r="AC136" s="1" t="s">
        <v>13868</v>
      </c>
      <c r="AD136" s="1" t="s">
        <v>1507</v>
      </c>
      <c r="AE136" s="1" t="s">
        <v>1507</v>
      </c>
      <c r="AF136" s="1" t="s">
        <v>1507</v>
      </c>
      <c r="AG136" s="1" t="s">
        <v>1507</v>
      </c>
      <c r="AH136" s="1">
        <v>33</v>
      </c>
      <c r="AI136" s="1">
        <v>0</v>
      </c>
      <c r="AJ136" s="1">
        <v>0</v>
      </c>
      <c r="AK136" s="1">
        <v>14</v>
      </c>
      <c r="AL136" s="1">
        <v>14</v>
      </c>
      <c r="AM136" s="1" t="s">
        <v>2073</v>
      </c>
      <c r="AN136" s="1" t="s">
        <v>2074</v>
      </c>
      <c r="AO136" s="1" t="s">
        <v>2075</v>
      </c>
      <c r="AP136" s="1" t="s">
        <v>2076</v>
      </c>
      <c r="AQ136" s="1" t="s">
        <v>2077</v>
      </c>
      <c r="AR136" s="1" t="s">
        <v>1507</v>
      </c>
      <c r="AS136" s="1" t="s">
        <v>2078</v>
      </c>
      <c r="AT136" s="1" t="s">
        <v>673</v>
      </c>
      <c r="AU136" s="1" t="s">
        <v>2079</v>
      </c>
      <c r="AV136" s="1">
        <v>2023</v>
      </c>
      <c r="AW136" s="1" t="s">
        <v>1507</v>
      </c>
      <c r="AX136" s="1" t="s">
        <v>1507</v>
      </c>
      <c r="AY136" s="1" t="s">
        <v>1507</v>
      </c>
      <c r="AZ136" s="1" t="s">
        <v>1507</v>
      </c>
      <c r="BA136" s="1" t="s">
        <v>1507</v>
      </c>
      <c r="BB136" s="1" t="s">
        <v>1507</v>
      </c>
      <c r="BC136" s="1" t="s">
        <v>1507</v>
      </c>
      <c r="BD136" s="1" t="s">
        <v>1507</v>
      </c>
      <c r="BE136" s="1" t="s">
        <v>1507</v>
      </c>
      <c r="BF136" s="1" t="s">
        <v>667</v>
      </c>
      <c r="BG136" s="1" t="str">
        <f>HYPERLINK("http://dx.doi.org/10.1177/08944393231220483","http://dx.doi.org/10.1177/08944393231220483")</f>
        <v>http://dx.doi.org/10.1177/08944393231220483</v>
      </c>
      <c r="BH136" s="1" t="s">
        <v>1507</v>
      </c>
      <c r="BI136" s="1" t="s">
        <v>1652</v>
      </c>
      <c r="BJ136" s="1">
        <v>23</v>
      </c>
      <c r="BK136" s="1" t="s">
        <v>2080</v>
      </c>
      <c r="BL136" s="1" t="s">
        <v>1598</v>
      </c>
      <c r="BM136" s="1" t="s">
        <v>2081</v>
      </c>
      <c r="BN136" s="1" t="s">
        <v>2082</v>
      </c>
      <c r="BO136" s="1" t="s">
        <v>1507</v>
      </c>
      <c r="BP136" s="1" t="s">
        <v>4214</v>
      </c>
      <c r="BQ136" s="1" t="s">
        <v>1507</v>
      </c>
      <c r="BR136" s="1" t="s">
        <v>1507</v>
      </c>
      <c r="BS136" s="1" t="s">
        <v>13744</v>
      </c>
      <c r="BT136" s="1" t="s">
        <v>2083</v>
      </c>
      <c r="BU136" s="1" t="str">
        <f>HYPERLINK("https%3A%2F%2Fwww.webofscience.com%2Fwos%2Fwoscc%2Ffull-record%2FWOS:001116391300001","View Full Record in Web of Science")</f>
        <v>View Full Record in Web of Science</v>
      </c>
    </row>
    <row r="137" spans="1:73" x14ac:dyDescent="0.25">
      <c r="A137" s="1">
        <v>136</v>
      </c>
      <c r="B137" s="1" t="s">
        <v>1506</v>
      </c>
      <c r="C137" s="1" t="s">
        <v>3511</v>
      </c>
      <c r="D137" s="1" t="s">
        <v>1507</v>
      </c>
      <c r="E137" s="1" t="s">
        <v>1507</v>
      </c>
      <c r="F137" s="1" t="s">
        <v>1507</v>
      </c>
      <c r="G137" s="1" t="s">
        <v>3512</v>
      </c>
      <c r="H137" s="1" t="s">
        <v>1507</v>
      </c>
      <c r="I137" s="1" t="s">
        <v>1507</v>
      </c>
      <c r="J137" s="1" t="s">
        <v>3513</v>
      </c>
      <c r="K137" s="1" t="s">
        <v>3514</v>
      </c>
      <c r="L137" s="1" t="s">
        <v>1507</v>
      </c>
      <c r="M137" s="1" t="s">
        <v>1507</v>
      </c>
      <c r="N137" s="1" t="s">
        <v>55</v>
      </c>
      <c r="O137" s="1" t="s">
        <v>56</v>
      </c>
      <c r="P137" s="1" t="s">
        <v>1507</v>
      </c>
      <c r="Q137" s="1" t="s">
        <v>1507</v>
      </c>
      <c r="R137" s="1" t="s">
        <v>1507</v>
      </c>
      <c r="S137" s="1" t="s">
        <v>1507</v>
      </c>
      <c r="T137" s="1" t="s">
        <v>1507</v>
      </c>
      <c r="U137" s="1" t="s">
        <v>3515</v>
      </c>
      <c r="V137" s="1" t="s">
        <v>1507</v>
      </c>
      <c r="W137" s="1" t="s">
        <v>3516</v>
      </c>
      <c r="X137" s="1" t="s">
        <v>3517</v>
      </c>
      <c r="Y137" s="1" t="s">
        <v>3518</v>
      </c>
      <c r="Z137" s="1" t="s">
        <v>3519</v>
      </c>
      <c r="AA137" s="1" t="s">
        <v>3520</v>
      </c>
      <c r="AB137" s="1" t="s">
        <v>3521</v>
      </c>
      <c r="AC137" s="1" t="s">
        <v>14388</v>
      </c>
      <c r="AD137" s="1" t="s">
        <v>1507</v>
      </c>
      <c r="AE137" s="1" t="s">
        <v>1507</v>
      </c>
      <c r="AF137" s="1" t="s">
        <v>1507</v>
      </c>
      <c r="AG137" s="1" t="s">
        <v>1507</v>
      </c>
      <c r="AH137" s="1">
        <v>49</v>
      </c>
      <c r="AI137" s="1">
        <v>1</v>
      </c>
      <c r="AJ137" s="1">
        <v>1</v>
      </c>
      <c r="AK137" s="1">
        <v>140</v>
      </c>
      <c r="AL137" s="1">
        <v>140</v>
      </c>
      <c r="AM137" s="1" t="s">
        <v>3522</v>
      </c>
      <c r="AN137" s="1" t="s">
        <v>3523</v>
      </c>
      <c r="AO137" s="1" t="s">
        <v>3524</v>
      </c>
      <c r="AP137" s="1" t="s">
        <v>3525</v>
      </c>
      <c r="AQ137" s="1" t="s">
        <v>3526</v>
      </c>
      <c r="AR137" s="1" t="s">
        <v>1507</v>
      </c>
      <c r="AS137" s="1" t="s">
        <v>3514</v>
      </c>
      <c r="AT137" s="1" t="s">
        <v>48</v>
      </c>
      <c r="AU137" s="1" t="s">
        <v>2889</v>
      </c>
      <c r="AV137" s="1">
        <v>2023</v>
      </c>
      <c r="AW137" s="1">
        <v>31</v>
      </c>
      <c r="AX137" s="1">
        <v>77</v>
      </c>
      <c r="AY137" s="1" t="s">
        <v>1507</v>
      </c>
      <c r="AZ137" s="1" t="s">
        <v>1507</v>
      </c>
      <c r="BA137" s="1" t="s">
        <v>1507</v>
      </c>
      <c r="BB137" s="1" t="s">
        <v>1507</v>
      </c>
      <c r="BC137" s="1">
        <v>47</v>
      </c>
      <c r="BD137" s="1">
        <v>57</v>
      </c>
      <c r="BE137" s="1" t="s">
        <v>1507</v>
      </c>
      <c r="BF137" s="1" t="s">
        <v>49</v>
      </c>
      <c r="BG137" s="1" t="str">
        <f>HYPERLINK("http://dx.doi.org/10.3916/C77-2023-04","http://dx.doi.org/10.3916/C77-2023-04")</f>
        <v>http://dx.doi.org/10.3916/C77-2023-04</v>
      </c>
      <c r="BH137" s="1" t="s">
        <v>1507</v>
      </c>
      <c r="BI137" s="1" t="s">
        <v>1507</v>
      </c>
      <c r="BJ137" s="1">
        <v>11</v>
      </c>
      <c r="BK137" s="1" t="s">
        <v>3527</v>
      </c>
      <c r="BL137" s="1" t="s">
        <v>1518</v>
      </c>
      <c r="BM137" s="1" t="s">
        <v>3527</v>
      </c>
      <c r="BN137" s="1" t="s">
        <v>3528</v>
      </c>
      <c r="BO137" s="1" t="s">
        <v>1507</v>
      </c>
      <c r="BP137" s="1" t="s">
        <v>1553</v>
      </c>
      <c r="BQ137" s="1" t="s">
        <v>1507</v>
      </c>
      <c r="BR137" s="1" t="s">
        <v>1507</v>
      </c>
      <c r="BS137" s="1" t="s">
        <v>13744</v>
      </c>
      <c r="BT137" s="1" t="s">
        <v>3529</v>
      </c>
      <c r="BU137" s="1" t="str">
        <f>HYPERLINK("https%3A%2F%2Fwww.webofscience.com%2Fwos%2Fwoscc%2Ffull-record%2FWOS:001092871200004","View Full Record in Web of Science")</f>
        <v>View Full Record in Web of Science</v>
      </c>
    </row>
    <row r="138" spans="1:73" x14ac:dyDescent="0.25">
      <c r="A138" s="1">
        <v>137</v>
      </c>
      <c r="B138" s="1" t="s">
        <v>1506</v>
      </c>
      <c r="C138" s="1" t="s">
        <v>2757</v>
      </c>
      <c r="D138" s="1" t="s">
        <v>1507</v>
      </c>
      <c r="E138" s="1" t="s">
        <v>1507</v>
      </c>
      <c r="F138" s="1" t="s">
        <v>1507</v>
      </c>
      <c r="G138" s="1" t="s">
        <v>2758</v>
      </c>
      <c r="H138" s="1" t="s">
        <v>1507</v>
      </c>
      <c r="I138" s="1" t="s">
        <v>1507</v>
      </c>
      <c r="J138" s="1" t="s">
        <v>2759</v>
      </c>
      <c r="K138" s="1" t="s">
        <v>2760</v>
      </c>
      <c r="L138" s="1" t="s">
        <v>1507</v>
      </c>
      <c r="M138" s="1" t="s">
        <v>1507</v>
      </c>
      <c r="N138" s="1" t="s">
        <v>42</v>
      </c>
      <c r="O138" s="1" t="s">
        <v>56</v>
      </c>
      <c r="P138" s="1" t="s">
        <v>1507</v>
      </c>
      <c r="Q138" s="1" t="s">
        <v>1507</v>
      </c>
      <c r="R138" s="1" t="s">
        <v>1507</v>
      </c>
      <c r="S138" s="1" t="s">
        <v>1507</v>
      </c>
      <c r="T138" s="1" t="s">
        <v>1507</v>
      </c>
      <c r="U138" s="1" t="s">
        <v>2761</v>
      </c>
      <c r="V138" s="1" t="s">
        <v>1507</v>
      </c>
      <c r="W138" s="1" t="s">
        <v>2762</v>
      </c>
      <c r="X138" s="1" t="s">
        <v>2763</v>
      </c>
      <c r="Y138" s="1" t="s">
        <v>2764</v>
      </c>
      <c r="Z138" s="1" t="s">
        <v>2765</v>
      </c>
      <c r="AA138" s="1" t="s">
        <v>2766</v>
      </c>
      <c r="AB138" s="1" t="s">
        <v>1507</v>
      </c>
      <c r="AC138" s="1" t="s">
        <v>14073</v>
      </c>
      <c r="AD138" s="1" t="s">
        <v>2767</v>
      </c>
      <c r="AE138" s="1" t="s">
        <v>2767</v>
      </c>
      <c r="AF138" s="1" t="s">
        <v>1510</v>
      </c>
      <c r="AG138" s="1" t="s">
        <v>1507</v>
      </c>
      <c r="AH138" s="1">
        <v>41</v>
      </c>
      <c r="AI138" s="1">
        <v>2</v>
      </c>
      <c r="AJ138" s="1">
        <v>2</v>
      </c>
      <c r="AK138" s="1">
        <v>30</v>
      </c>
      <c r="AL138" s="1">
        <v>30</v>
      </c>
      <c r="AM138" s="1" t="s">
        <v>1610</v>
      </c>
      <c r="AN138" s="1" t="s">
        <v>1611</v>
      </c>
      <c r="AO138" s="1" t="s">
        <v>1612</v>
      </c>
      <c r="AP138" s="1" t="s">
        <v>1507</v>
      </c>
      <c r="AQ138" s="1" t="s">
        <v>2768</v>
      </c>
      <c r="AR138" s="1" t="s">
        <v>1507</v>
      </c>
      <c r="AS138" s="1" t="s">
        <v>2769</v>
      </c>
      <c r="AT138" s="1" t="s">
        <v>2770</v>
      </c>
      <c r="AU138" s="1" t="s">
        <v>2771</v>
      </c>
      <c r="AV138" s="1">
        <v>2023</v>
      </c>
      <c r="AW138" s="1">
        <v>23</v>
      </c>
      <c r="AX138" s="1">
        <v>22</v>
      </c>
      <c r="AY138" s="1" t="s">
        <v>1507</v>
      </c>
      <c r="AZ138" s="1" t="s">
        <v>1507</v>
      </c>
      <c r="BA138" s="1" t="s">
        <v>1507</v>
      </c>
      <c r="BB138" s="1" t="s">
        <v>1507</v>
      </c>
      <c r="BC138" s="1" t="s">
        <v>1507</v>
      </c>
      <c r="BD138" s="1" t="s">
        <v>1507</v>
      </c>
      <c r="BE138" s="1">
        <v>9225</v>
      </c>
      <c r="BF138" s="1" t="s">
        <v>2772</v>
      </c>
      <c r="BG138" s="1" t="str">
        <f>HYPERLINK("http://dx.doi.org/10.3390/s23229225","http://dx.doi.org/10.3390/s23229225")</f>
        <v>http://dx.doi.org/10.3390/s23229225</v>
      </c>
      <c r="BH138" s="1" t="s">
        <v>1507</v>
      </c>
      <c r="BI138" s="1" t="s">
        <v>1507</v>
      </c>
      <c r="BJ138" s="1">
        <v>27</v>
      </c>
      <c r="BK138" s="1" t="s">
        <v>2773</v>
      </c>
      <c r="BL138" s="1" t="s">
        <v>1573</v>
      </c>
      <c r="BM138" s="1" t="s">
        <v>2774</v>
      </c>
      <c r="BN138" s="1" t="s">
        <v>2775</v>
      </c>
      <c r="BO138" s="1">
        <v>38005612</v>
      </c>
      <c r="BP138" s="1" t="s">
        <v>1674</v>
      </c>
      <c r="BQ138" s="1" t="s">
        <v>1507</v>
      </c>
      <c r="BR138" s="1" t="s">
        <v>1507</v>
      </c>
      <c r="BS138" s="1" t="s">
        <v>13744</v>
      </c>
      <c r="BT138" s="1" t="s">
        <v>2776</v>
      </c>
      <c r="BU138" s="1" t="str">
        <f>HYPERLINK("https%3A%2F%2Fwww.webofscience.com%2Fwos%2Fwoscc%2Ffull-record%2FWOS:001119927100001","View Full Record in Web of Science")</f>
        <v>View Full Record in Web of Science</v>
      </c>
    </row>
    <row r="139" spans="1:73" x14ac:dyDescent="0.25">
      <c r="A139" s="1">
        <v>138</v>
      </c>
      <c r="B139" s="1" t="s">
        <v>1506</v>
      </c>
      <c r="C139" s="1" t="s">
        <v>2757</v>
      </c>
      <c r="D139" s="1" t="s">
        <v>1507</v>
      </c>
      <c r="E139" s="1" t="s">
        <v>1507</v>
      </c>
      <c r="F139" s="1" t="s">
        <v>1507</v>
      </c>
      <c r="G139" s="1" t="s">
        <v>2758</v>
      </c>
      <c r="H139" s="1" t="s">
        <v>1507</v>
      </c>
      <c r="I139" s="1" t="s">
        <v>1507</v>
      </c>
      <c r="J139" s="1" t="s">
        <v>4560</v>
      </c>
      <c r="K139" s="1" t="s">
        <v>2760</v>
      </c>
      <c r="L139" s="1" t="s">
        <v>1507</v>
      </c>
      <c r="M139" s="1" t="s">
        <v>1507</v>
      </c>
      <c r="N139" s="1" t="s">
        <v>42</v>
      </c>
      <c r="O139" s="1" t="s">
        <v>56</v>
      </c>
      <c r="P139" s="1" t="s">
        <v>1507</v>
      </c>
      <c r="Q139" s="1" t="s">
        <v>1507</v>
      </c>
      <c r="R139" s="1" t="s">
        <v>1507</v>
      </c>
      <c r="S139" s="1" t="s">
        <v>1507</v>
      </c>
      <c r="T139" s="1" t="s">
        <v>1507</v>
      </c>
      <c r="U139" s="1" t="s">
        <v>4561</v>
      </c>
      <c r="V139" s="1" t="s">
        <v>4562</v>
      </c>
      <c r="W139" s="1" t="s">
        <v>4563</v>
      </c>
      <c r="X139" s="1" t="s">
        <v>4564</v>
      </c>
      <c r="Y139" s="1" t="s">
        <v>2764</v>
      </c>
      <c r="Z139" s="1" t="s">
        <v>4565</v>
      </c>
      <c r="AA139" s="1" t="s">
        <v>2766</v>
      </c>
      <c r="AB139" s="1" t="s">
        <v>1507</v>
      </c>
      <c r="AC139" s="1" t="s">
        <v>14635</v>
      </c>
      <c r="AD139" s="1" t="s">
        <v>4566</v>
      </c>
      <c r="AE139" s="1" t="s">
        <v>4567</v>
      </c>
      <c r="AF139" s="1" t="s">
        <v>4568</v>
      </c>
      <c r="AG139" s="1" t="s">
        <v>1507</v>
      </c>
      <c r="AH139" s="1">
        <v>32</v>
      </c>
      <c r="AI139" s="1">
        <v>3</v>
      </c>
      <c r="AJ139" s="1">
        <v>3</v>
      </c>
      <c r="AK139" s="1">
        <v>10</v>
      </c>
      <c r="AL139" s="1">
        <v>12</v>
      </c>
      <c r="AM139" s="1" t="s">
        <v>1610</v>
      </c>
      <c r="AN139" s="1" t="s">
        <v>1611</v>
      </c>
      <c r="AO139" s="1" t="s">
        <v>1612</v>
      </c>
      <c r="AP139" s="1" t="s">
        <v>1507</v>
      </c>
      <c r="AQ139" s="1" t="s">
        <v>2768</v>
      </c>
      <c r="AR139" s="1" t="s">
        <v>1507</v>
      </c>
      <c r="AS139" s="1" t="s">
        <v>2769</v>
      </c>
      <c r="AT139" s="1" t="s">
        <v>2770</v>
      </c>
      <c r="AU139" s="1" t="s">
        <v>4556</v>
      </c>
      <c r="AV139" s="1">
        <v>2023</v>
      </c>
      <c r="AW139" s="1">
        <v>23</v>
      </c>
      <c r="AX139" s="1">
        <v>13</v>
      </c>
      <c r="AY139" s="1" t="s">
        <v>1507</v>
      </c>
      <c r="AZ139" s="1" t="s">
        <v>1507</v>
      </c>
      <c r="BA139" s="1" t="s">
        <v>1507</v>
      </c>
      <c r="BB139" s="1" t="s">
        <v>1507</v>
      </c>
      <c r="BC139" s="1" t="s">
        <v>1507</v>
      </c>
      <c r="BD139" s="1" t="s">
        <v>1507</v>
      </c>
      <c r="BE139" s="1">
        <v>5899</v>
      </c>
      <c r="BF139" s="1" t="s">
        <v>4569</v>
      </c>
      <c r="BG139" s="1" t="str">
        <f>HYPERLINK("http://dx.doi.org/10.3390/s23135899","http://dx.doi.org/10.3390/s23135899")</f>
        <v>http://dx.doi.org/10.3390/s23135899</v>
      </c>
      <c r="BH139" s="1" t="s">
        <v>1507</v>
      </c>
      <c r="BI139" s="1" t="s">
        <v>1507</v>
      </c>
      <c r="BJ139" s="1">
        <v>15</v>
      </c>
      <c r="BK139" s="1" t="s">
        <v>2773</v>
      </c>
      <c r="BL139" s="1" t="s">
        <v>1573</v>
      </c>
      <c r="BM139" s="1" t="s">
        <v>2774</v>
      </c>
      <c r="BN139" s="1" t="s">
        <v>4570</v>
      </c>
      <c r="BO139" s="1">
        <v>37447746</v>
      </c>
      <c r="BP139" s="1" t="s">
        <v>1674</v>
      </c>
      <c r="BQ139" s="1" t="s">
        <v>1507</v>
      </c>
      <c r="BR139" s="1" t="s">
        <v>1507</v>
      </c>
      <c r="BS139" s="1" t="s">
        <v>13744</v>
      </c>
      <c r="BT139" s="1" t="s">
        <v>4571</v>
      </c>
      <c r="BU139" s="1" t="str">
        <f>HYPERLINK("https%3A%2F%2Fwww.webofscience.com%2Fwos%2Fwoscc%2Ffull-record%2FWOS:001031197400001","View Full Record in Web of Science")</f>
        <v>View Full Record in Web of Science</v>
      </c>
    </row>
    <row r="140" spans="1:73" x14ac:dyDescent="0.25">
      <c r="A140" s="1">
        <v>139</v>
      </c>
      <c r="B140" s="1" t="s">
        <v>1506</v>
      </c>
      <c r="C140" s="1" t="s">
        <v>4724</v>
      </c>
      <c r="D140" s="1" t="s">
        <v>1507</v>
      </c>
      <c r="E140" s="1" t="s">
        <v>1507</v>
      </c>
      <c r="F140" s="1" t="s">
        <v>1507</v>
      </c>
      <c r="G140" s="1" t="s">
        <v>4725</v>
      </c>
      <c r="H140" s="1" t="s">
        <v>1507</v>
      </c>
      <c r="I140" s="1" t="s">
        <v>1507</v>
      </c>
      <c r="J140" s="1" t="s">
        <v>4726</v>
      </c>
      <c r="K140" s="1" t="s">
        <v>1617</v>
      </c>
      <c r="L140" s="1" t="s">
        <v>1507</v>
      </c>
      <c r="M140" s="1" t="s">
        <v>1507</v>
      </c>
      <c r="N140" s="1" t="s">
        <v>42</v>
      </c>
      <c r="O140" s="1" t="s">
        <v>56</v>
      </c>
      <c r="P140" s="1" t="s">
        <v>1507</v>
      </c>
      <c r="Q140" s="1" t="s">
        <v>1507</v>
      </c>
      <c r="R140" s="1" t="s">
        <v>1507</v>
      </c>
      <c r="S140" s="1" t="s">
        <v>1507</v>
      </c>
      <c r="T140" s="1" t="s">
        <v>1507</v>
      </c>
      <c r="U140" s="1" t="s">
        <v>4727</v>
      </c>
      <c r="V140" s="1" t="s">
        <v>4728</v>
      </c>
      <c r="W140" s="1" t="s">
        <v>4729</v>
      </c>
      <c r="X140" s="1" t="s">
        <v>4730</v>
      </c>
      <c r="Y140" s="1" t="s">
        <v>2764</v>
      </c>
      <c r="Z140" s="1" t="s">
        <v>4731</v>
      </c>
      <c r="AA140" s="1" t="s">
        <v>4732</v>
      </c>
      <c r="AB140" s="1" t="s">
        <v>1507</v>
      </c>
      <c r="AC140" s="1" t="s">
        <v>14681</v>
      </c>
      <c r="AD140" s="1" t="s">
        <v>4733</v>
      </c>
      <c r="AE140" s="1" t="s">
        <v>4734</v>
      </c>
      <c r="AF140" s="1" t="s">
        <v>4735</v>
      </c>
      <c r="AG140" s="1" t="s">
        <v>1507</v>
      </c>
      <c r="AH140" s="1">
        <v>39</v>
      </c>
      <c r="AI140" s="1">
        <v>3</v>
      </c>
      <c r="AJ140" s="1">
        <v>3</v>
      </c>
      <c r="AK140" s="1">
        <v>34</v>
      </c>
      <c r="AL140" s="1">
        <v>44</v>
      </c>
      <c r="AM140" s="1" t="s">
        <v>1610</v>
      </c>
      <c r="AN140" s="1" t="s">
        <v>1611</v>
      </c>
      <c r="AO140" s="1" t="s">
        <v>1612</v>
      </c>
      <c r="AP140" s="1" t="s">
        <v>1507</v>
      </c>
      <c r="AQ140" s="1" t="s">
        <v>1620</v>
      </c>
      <c r="AR140" s="1" t="s">
        <v>1507</v>
      </c>
      <c r="AS140" s="1" t="s">
        <v>1621</v>
      </c>
      <c r="AT140" s="1" t="s">
        <v>1622</v>
      </c>
      <c r="AU140" s="1" t="s">
        <v>4721</v>
      </c>
      <c r="AV140" s="1">
        <v>2023</v>
      </c>
      <c r="AW140" s="1">
        <v>12</v>
      </c>
      <c r="AX140" s="1">
        <v>12</v>
      </c>
      <c r="AY140" s="1" t="s">
        <v>1507</v>
      </c>
      <c r="AZ140" s="1" t="s">
        <v>1507</v>
      </c>
      <c r="BA140" s="1" t="s">
        <v>1507</v>
      </c>
      <c r="BB140" s="1" t="s">
        <v>1507</v>
      </c>
      <c r="BC140" s="1" t="s">
        <v>1507</v>
      </c>
      <c r="BD140" s="1" t="s">
        <v>1507</v>
      </c>
      <c r="BE140" s="1">
        <v>2722</v>
      </c>
      <c r="BF140" s="1" t="s">
        <v>4736</v>
      </c>
      <c r="BG140" s="1" t="str">
        <f>HYPERLINK("http://dx.doi.org/10.3390/electronics12122722","http://dx.doi.org/10.3390/electronics12122722")</f>
        <v>http://dx.doi.org/10.3390/electronics12122722</v>
      </c>
      <c r="BH140" s="1" t="s">
        <v>1507</v>
      </c>
      <c r="BI140" s="1" t="s">
        <v>1507</v>
      </c>
      <c r="BJ140" s="1">
        <v>19</v>
      </c>
      <c r="BK140" s="1" t="s">
        <v>1623</v>
      </c>
      <c r="BL140" s="1" t="s">
        <v>1573</v>
      </c>
      <c r="BM140" s="1" t="s">
        <v>1624</v>
      </c>
      <c r="BN140" s="1" t="s">
        <v>4737</v>
      </c>
      <c r="BO140" s="1" t="s">
        <v>1507</v>
      </c>
      <c r="BP140" s="1" t="s">
        <v>1531</v>
      </c>
      <c r="BQ140" s="1" t="s">
        <v>1507</v>
      </c>
      <c r="BR140" s="1" t="s">
        <v>1507</v>
      </c>
      <c r="BS140" s="1" t="s">
        <v>13744</v>
      </c>
      <c r="BT140" s="1" t="s">
        <v>4738</v>
      </c>
      <c r="BU140" s="1" t="str">
        <f>HYPERLINK("https%3A%2F%2Fwww.webofscience.com%2Fwos%2Fwoscc%2Ffull-record%2FWOS:001016969200001","View Full Record in Web of Science")</f>
        <v>View Full Record in Web of Science</v>
      </c>
    </row>
    <row r="141" spans="1:73" x14ac:dyDescent="0.25">
      <c r="A141" s="1">
        <v>140</v>
      </c>
      <c r="B141" s="1" t="s">
        <v>1506</v>
      </c>
      <c r="C141" s="1" t="s">
        <v>3312</v>
      </c>
      <c r="D141" s="1" t="s">
        <v>1507</v>
      </c>
      <c r="E141" s="1" t="s">
        <v>1507</v>
      </c>
      <c r="F141" s="1" t="s">
        <v>1507</v>
      </c>
      <c r="G141" s="1" t="s">
        <v>3313</v>
      </c>
      <c r="H141" s="1" t="s">
        <v>1507</v>
      </c>
      <c r="I141" s="1" t="s">
        <v>1507</v>
      </c>
      <c r="J141" s="1" t="s">
        <v>3314</v>
      </c>
      <c r="K141" s="1" t="s">
        <v>3315</v>
      </c>
      <c r="L141" s="1" t="s">
        <v>1507</v>
      </c>
      <c r="M141" s="1" t="s">
        <v>1507</v>
      </c>
      <c r="N141" s="1" t="s">
        <v>42</v>
      </c>
      <c r="O141" s="1" t="s">
        <v>56</v>
      </c>
      <c r="P141" s="1" t="s">
        <v>1507</v>
      </c>
      <c r="Q141" s="1" t="s">
        <v>1507</v>
      </c>
      <c r="R141" s="1" t="s">
        <v>1507</v>
      </c>
      <c r="S141" s="1" t="s">
        <v>1507</v>
      </c>
      <c r="T141" s="1" t="s">
        <v>1507</v>
      </c>
      <c r="U141" s="1" t="s">
        <v>1507</v>
      </c>
      <c r="V141" s="1" t="s">
        <v>3316</v>
      </c>
      <c r="W141" s="1" t="s">
        <v>3317</v>
      </c>
      <c r="X141" s="1" t="s">
        <v>3318</v>
      </c>
      <c r="Y141" s="1" t="s">
        <v>3319</v>
      </c>
      <c r="Z141" s="1" t="s">
        <v>3320</v>
      </c>
      <c r="AA141" s="1" t="s">
        <v>3321</v>
      </c>
      <c r="AB141" s="1" t="s">
        <v>3322</v>
      </c>
      <c r="AC141" s="1" t="s">
        <v>3323</v>
      </c>
      <c r="AD141" s="1" t="s">
        <v>1507</v>
      </c>
      <c r="AE141" s="1" t="s">
        <v>1507</v>
      </c>
      <c r="AF141" s="1" t="s">
        <v>1507</v>
      </c>
      <c r="AG141" s="1" t="s">
        <v>1507</v>
      </c>
      <c r="AH141" s="1">
        <v>38</v>
      </c>
      <c r="AI141" s="1">
        <v>4</v>
      </c>
      <c r="AJ141" s="1">
        <v>4</v>
      </c>
      <c r="AK141" s="1">
        <v>19</v>
      </c>
      <c r="AL141" s="1">
        <v>19</v>
      </c>
      <c r="AM141" s="1" t="s">
        <v>3324</v>
      </c>
      <c r="AN141" s="1" t="s">
        <v>3325</v>
      </c>
      <c r="AO141" s="1" t="s">
        <v>3326</v>
      </c>
      <c r="AP141" s="1" t="s">
        <v>3327</v>
      </c>
      <c r="AQ141" s="1" t="s">
        <v>1507</v>
      </c>
      <c r="AR141" s="1" t="s">
        <v>1507</v>
      </c>
      <c r="AS141" s="1" t="s">
        <v>3328</v>
      </c>
      <c r="AT141" s="1" t="s">
        <v>1406</v>
      </c>
      <c r="AU141" s="1" t="s">
        <v>3329</v>
      </c>
      <c r="AV141" s="1">
        <v>2023</v>
      </c>
      <c r="AW141" s="1">
        <v>6</v>
      </c>
      <c r="AX141" s="1">
        <v>10</v>
      </c>
      <c r="AY141" s="1" t="s">
        <v>1507</v>
      </c>
      <c r="AZ141" s="1" t="s">
        <v>1507</v>
      </c>
      <c r="BA141" s="1" t="s">
        <v>1507</v>
      </c>
      <c r="BB141" s="1" t="s">
        <v>1507</v>
      </c>
      <c r="BC141" s="1" t="s">
        <v>1507</v>
      </c>
      <c r="BD141" s="1" t="s">
        <v>1507</v>
      </c>
      <c r="BE141" s="1" t="s">
        <v>3330</v>
      </c>
      <c r="BF141" s="1" t="s">
        <v>1401</v>
      </c>
      <c r="BG141" s="1" t="str">
        <f>HYPERLINK("http://dx.doi.org/10.1001/jamanetworkopen.2023.36997","http://dx.doi.org/10.1001/jamanetworkopen.2023.36997")</f>
        <v>http://dx.doi.org/10.1001/jamanetworkopen.2023.36997</v>
      </c>
      <c r="BH141" s="1" t="s">
        <v>1507</v>
      </c>
      <c r="BI141" s="1" t="s">
        <v>1507</v>
      </c>
      <c r="BJ141" s="1">
        <v>10</v>
      </c>
      <c r="BK141" s="1" t="s">
        <v>1949</v>
      </c>
      <c r="BL141" s="1" t="s">
        <v>1573</v>
      </c>
      <c r="BM141" s="1" t="s">
        <v>1950</v>
      </c>
      <c r="BN141" s="1" t="s">
        <v>3331</v>
      </c>
      <c r="BO141" s="1">
        <v>37812419</v>
      </c>
      <c r="BP141" s="1" t="s">
        <v>1952</v>
      </c>
      <c r="BQ141" s="1" t="s">
        <v>1507</v>
      </c>
      <c r="BR141" s="1" t="s">
        <v>1507</v>
      </c>
      <c r="BS141" s="1" t="s">
        <v>13744</v>
      </c>
      <c r="BT141" s="1" t="s">
        <v>3332</v>
      </c>
      <c r="BU141" s="1" t="str">
        <f>HYPERLINK("https%3A%2F%2Fwww.webofscience.com%2Fwos%2Fwoscc%2Ffull-record%2FWOS:001085513300004","View Full Record in Web of Science")</f>
        <v>View Full Record in Web of Science</v>
      </c>
    </row>
    <row r="142" spans="1:73" x14ac:dyDescent="0.25">
      <c r="A142" s="1">
        <v>141</v>
      </c>
      <c r="B142" s="1" t="s">
        <v>1506</v>
      </c>
      <c r="C142" s="1" t="s">
        <v>10267</v>
      </c>
      <c r="D142" s="1" t="s">
        <v>1507</v>
      </c>
      <c r="E142" s="1" t="s">
        <v>1507</v>
      </c>
      <c r="F142" s="1" t="s">
        <v>1507</v>
      </c>
      <c r="G142" s="1" t="s">
        <v>10268</v>
      </c>
      <c r="H142" s="1" t="s">
        <v>1507</v>
      </c>
      <c r="I142" s="1" t="s">
        <v>1507</v>
      </c>
      <c r="J142" s="1" t="s">
        <v>10269</v>
      </c>
      <c r="K142" s="1" t="s">
        <v>10270</v>
      </c>
      <c r="L142" s="1" t="s">
        <v>1507</v>
      </c>
      <c r="M142" s="1" t="s">
        <v>1507</v>
      </c>
      <c r="N142" s="1" t="s">
        <v>42</v>
      </c>
      <c r="O142" s="1" t="s">
        <v>56</v>
      </c>
      <c r="P142" s="1" t="s">
        <v>1507</v>
      </c>
      <c r="Q142" s="1" t="s">
        <v>1507</v>
      </c>
      <c r="R142" s="1" t="s">
        <v>1507</v>
      </c>
      <c r="S142" s="1" t="s">
        <v>1507</v>
      </c>
      <c r="T142" s="1" t="s">
        <v>1507</v>
      </c>
      <c r="U142" s="1" t="s">
        <v>1507</v>
      </c>
      <c r="V142" s="1" t="s">
        <v>10271</v>
      </c>
      <c r="W142" s="1" t="s">
        <v>10272</v>
      </c>
      <c r="X142" s="1" t="s">
        <v>10273</v>
      </c>
      <c r="Y142" s="1" t="s">
        <v>2327</v>
      </c>
      <c r="Z142" s="1" t="s">
        <v>10274</v>
      </c>
      <c r="AA142" s="1" t="s">
        <v>1507</v>
      </c>
      <c r="AB142" s="1" t="s">
        <v>15836</v>
      </c>
      <c r="AC142" s="1" t="s">
        <v>15837</v>
      </c>
      <c r="AD142" s="1" t="s">
        <v>10275</v>
      </c>
      <c r="AE142" s="1" t="s">
        <v>10276</v>
      </c>
      <c r="AF142" s="1" t="s">
        <v>10277</v>
      </c>
      <c r="AG142" s="1" t="s">
        <v>1507</v>
      </c>
      <c r="AH142" s="1">
        <v>45</v>
      </c>
      <c r="AI142" s="1">
        <v>2</v>
      </c>
      <c r="AJ142" s="1">
        <v>2</v>
      </c>
      <c r="AK142" s="1">
        <v>1</v>
      </c>
      <c r="AL142" s="1">
        <v>3</v>
      </c>
      <c r="AM142" s="1" t="s">
        <v>10278</v>
      </c>
      <c r="AN142" s="1" t="s">
        <v>4479</v>
      </c>
      <c r="AO142" s="1" t="s">
        <v>10279</v>
      </c>
      <c r="AP142" s="1" t="s">
        <v>10280</v>
      </c>
      <c r="AQ142" s="1" t="s">
        <v>10281</v>
      </c>
      <c r="AR142" s="1" t="s">
        <v>1507</v>
      </c>
      <c r="AS142" s="1" t="s">
        <v>10282</v>
      </c>
      <c r="AT142" s="1" t="s">
        <v>10283</v>
      </c>
      <c r="AU142" s="1" t="s">
        <v>1507</v>
      </c>
      <c r="AV142" s="1">
        <v>2020</v>
      </c>
      <c r="AW142" s="1">
        <v>46</v>
      </c>
      <c r="AX142" s="1">
        <v>2</v>
      </c>
      <c r="AY142" s="1" t="s">
        <v>1507</v>
      </c>
      <c r="AZ142" s="1" t="s">
        <v>1507</v>
      </c>
      <c r="BA142" s="1" t="s">
        <v>1507</v>
      </c>
      <c r="BB142" s="1" t="s">
        <v>1507</v>
      </c>
      <c r="BC142" s="1">
        <v>141</v>
      </c>
      <c r="BD142" s="1">
        <v>182</v>
      </c>
      <c r="BE142" s="1" t="s">
        <v>1507</v>
      </c>
      <c r="BF142" s="1" t="s">
        <v>1507</v>
      </c>
      <c r="BG142" s="1" t="s">
        <v>1507</v>
      </c>
      <c r="BH142" s="1" t="s">
        <v>1507</v>
      </c>
      <c r="BI142" s="1" t="s">
        <v>1507</v>
      </c>
      <c r="BJ142" s="1">
        <v>42</v>
      </c>
      <c r="BK142" s="1" t="s">
        <v>1535</v>
      </c>
      <c r="BL142" s="1" t="s">
        <v>1529</v>
      </c>
      <c r="BM142" s="1" t="s">
        <v>1536</v>
      </c>
      <c r="BN142" s="1" t="s">
        <v>10284</v>
      </c>
      <c r="BO142" s="1" t="s">
        <v>1507</v>
      </c>
      <c r="BP142" s="1" t="s">
        <v>1507</v>
      </c>
      <c r="BQ142" s="1" t="s">
        <v>1507</v>
      </c>
      <c r="BR142" s="1" t="s">
        <v>1507</v>
      </c>
      <c r="BS142" s="1" t="s">
        <v>13744</v>
      </c>
      <c r="BT142" s="1" t="s">
        <v>10285</v>
      </c>
      <c r="BU142" s="1" t="str">
        <f>HYPERLINK("https%3A%2F%2Fwww.webofscience.com%2Fwos%2Fwoscc%2Ffull-record%2FWOS:000749733700007","View Full Record in Web of Science")</f>
        <v>View Full Record in Web of Science</v>
      </c>
    </row>
    <row r="143" spans="1:73" x14ac:dyDescent="0.25">
      <c r="A143" s="1">
        <v>142</v>
      </c>
      <c r="B143" s="1" t="s">
        <v>1506</v>
      </c>
      <c r="C143" s="1" t="s">
        <v>2777</v>
      </c>
      <c r="D143" s="1" t="s">
        <v>1507</v>
      </c>
      <c r="E143" s="1" t="s">
        <v>1507</v>
      </c>
      <c r="F143" s="1" t="s">
        <v>1507</v>
      </c>
      <c r="G143" s="1" t="s">
        <v>2778</v>
      </c>
      <c r="H143" s="1" t="s">
        <v>1507</v>
      </c>
      <c r="I143" s="1" t="s">
        <v>1507</v>
      </c>
      <c r="J143" s="1" t="s">
        <v>2779</v>
      </c>
      <c r="K143" s="1" t="s">
        <v>2780</v>
      </c>
      <c r="L143" s="1" t="s">
        <v>1507</v>
      </c>
      <c r="M143" s="1" t="s">
        <v>1507</v>
      </c>
      <c r="N143" s="1" t="s">
        <v>42</v>
      </c>
      <c r="O143" s="1" t="s">
        <v>56</v>
      </c>
      <c r="P143" s="1" t="s">
        <v>1507</v>
      </c>
      <c r="Q143" s="1" t="s">
        <v>1507</v>
      </c>
      <c r="R143" s="1" t="s">
        <v>1507</v>
      </c>
      <c r="S143" s="1" t="s">
        <v>1507</v>
      </c>
      <c r="T143" s="1" t="s">
        <v>1507</v>
      </c>
      <c r="U143" s="1" t="s">
        <v>1507</v>
      </c>
      <c r="V143" s="1" t="s">
        <v>2781</v>
      </c>
      <c r="W143" s="1" t="s">
        <v>2782</v>
      </c>
      <c r="X143" s="1" t="s">
        <v>2783</v>
      </c>
      <c r="Y143" s="1" t="s">
        <v>2784</v>
      </c>
      <c r="Z143" s="1" t="s">
        <v>2785</v>
      </c>
      <c r="AA143" s="1" t="s">
        <v>2786</v>
      </c>
      <c r="AB143" s="1" t="s">
        <v>14074</v>
      </c>
      <c r="AC143" s="1" t="s">
        <v>14075</v>
      </c>
      <c r="AD143" s="1" t="s">
        <v>14076</v>
      </c>
      <c r="AE143" s="1" t="s">
        <v>14077</v>
      </c>
      <c r="AF143" s="1" t="s">
        <v>2787</v>
      </c>
      <c r="AG143" s="1" t="s">
        <v>1507</v>
      </c>
      <c r="AH143" s="1">
        <v>118</v>
      </c>
      <c r="AI143" s="1">
        <v>8</v>
      </c>
      <c r="AJ143" s="1">
        <v>8</v>
      </c>
      <c r="AK143" s="1">
        <v>41</v>
      </c>
      <c r="AL143" s="1">
        <v>41</v>
      </c>
      <c r="AM143" s="1" t="s">
        <v>1601</v>
      </c>
      <c r="AN143" s="1" t="s">
        <v>1551</v>
      </c>
      <c r="AO143" s="1" t="s">
        <v>1602</v>
      </c>
      <c r="AP143" s="1" t="s">
        <v>1507</v>
      </c>
      <c r="AQ143" s="1" t="s">
        <v>2788</v>
      </c>
      <c r="AR143" s="1" t="s">
        <v>1507</v>
      </c>
      <c r="AS143" s="1" t="s">
        <v>2789</v>
      </c>
      <c r="AT143" s="1" t="s">
        <v>2790</v>
      </c>
      <c r="AU143" s="1" t="s">
        <v>2771</v>
      </c>
      <c r="AV143" s="1">
        <v>2023</v>
      </c>
      <c r="AW143" s="1">
        <v>2</v>
      </c>
      <c r="AX143" s="1">
        <v>11</v>
      </c>
      <c r="AY143" s="1" t="s">
        <v>1507</v>
      </c>
      <c r="AZ143" s="1" t="s">
        <v>1507</v>
      </c>
      <c r="BA143" s="1" t="s">
        <v>1507</v>
      </c>
      <c r="BB143" s="1" t="s">
        <v>1507</v>
      </c>
      <c r="BC143" s="1">
        <v>688</v>
      </c>
      <c r="BD143" s="1">
        <v>701</v>
      </c>
      <c r="BE143" s="1" t="s">
        <v>1507</v>
      </c>
      <c r="BF143" s="1" t="s">
        <v>2791</v>
      </c>
      <c r="BG143" s="1" t="str">
        <f>HYPERLINK("http://dx.doi.org/10.1038/s44159-023-00241-5","http://dx.doi.org/10.1038/s44159-023-00241-5")</f>
        <v>http://dx.doi.org/10.1038/s44159-023-00241-5</v>
      </c>
      <c r="BH143" s="1" t="s">
        <v>1507</v>
      </c>
      <c r="BI143" s="1" t="s">
        <v>1507</v>
      </c>
      <c r="BJ143" s="1">
        <v>14</v>
      </c>
      <c r="BK143" s="1" t="s">
        <v>1517</v>
      </c>
      <c r="BL143" s="1" t="s">
        <v>1529</v>
      </c>
      <c r="BM143" s="1" t="s">
        <v>1519</v>
      </c>
      <c r="BN143" s="1" t="s">
        <v>2792</v>
      </c>
      <c r="BO143" s="1" t="s">
        <v>1507</v>
      </c>
      <c r="BP143" s="1" t="s">
        <v>1507</v>
      </c>
      <c r="BQ143" s="1" t="s">
        <v>1507</v>
      </c>
      <c r="BR143" s="1" t="s">
        <v>1507</v>
      </c>
      <c r="BS143" s="1" t="s">
        <v>13744</v>
      </c>
      <c r="BT143" s="1" t="s">
        <v>2793</v>
      </c>
      <c r="BU143" s="1" t="str">
        <f>HYPERLINK("https%3A%2F%2Fwww.webofscience.com%2Fwos%2Fwoscc%2Ffull-record%2FWOS:001124794900011","View Full Record in Web of Science")</f>
        <v>View Full Record in Web of Science</v>
      </c>
    </row>
    <row r="144" spans="1:73" x14ac:dyDescent="0.25">
      <c r="A144" s="1">
        <v>143</v>
      </c>
      <c r="B144" s="1" t="s">
        <v>1506</v>
      </c>
      <c r="C144" s="1" t="s">
        <v>3754</v>
      </c>
      <c r="D144" s="1" t="s">
        <v>1507</v>
      </c>
      <c r="E144" s="1" t="s">
        <v>1507</v>
      </c>
      <c r="F144" s="1" t="s">
        <v>1507</v>
      </c>
      <c r="G144" s="1" t="s">
        <v>3755</v>
      </c>
      <c r="H144" s="1" t="s">
        <v>1507</v>
      </c>
      <c r="I144" s="1" t="s">
        <v>1507</v>
      </c>
      <c r="J144" s="1" t="s">
        <v>3756</v>
      </c>
      <c r="K144" s="1" t="s">
        <v>3757</v>
      </c>
      <c r="L144" s="1" t="s">
        <v>1507</v>
      </c>
      <c r="M144" s="1" t="s">
        <v>1507</v>
      </c>
      <c r="N144" s="1" t="s">
        <v>42</v>
      </c>
      <c r="O144" s="1" t="s">
        <v>56</v>
      </c>
      <c r="P144" s="1" t="s">
        <v>1507</v>
      </c>
      <c r="Q144" s="1" t="s">
        <v>1507</v>
      </c>
      <c r="R144" s="1" t="s">
        <v>1507</v>
      </c>
      <c r="S144" s="1" t="s">
        <v>1507</v>
      </c>
      <c r="T144" s="1" t="s">
        <v>1507</v>
      </c>
      <c r="U144" s="1" t="s">
        <v>1507</v>
      </c>
      <c r="V144" s="1" t="s">
        <v>1507</v>
      </c>
      <c r="W144" s="1" t="s">
        <v>3758</v>
      </c>
      <c r="X144" s="1" t="s">
        <v>3759</v>
      </c>
      <c r="Y144" s="1" t="s">
        <v>3760</v>
      </c>
      <c r="Z144" s="1" t="s">
        <v>3761</v>
      </c>
      <c r="AA144" s="1" t="s">
        <v>3762</v>
      </c>
      <c r="AB144" s="1" t="s">
        <v>1507</v>
      </c>
      <c r="AC144" s="1" t="s">
        <v>1507</v>
      </c>
      <c r="AD144" s="1" t="s">
        <v>3763</v>
      </c>
      <c r="AE144" s="1" t="s">
        <v>3764</v>
      </c>
      <c r="AF144" s="1" t="s">
        <v>3765</v>
      </c>
      <c r="AG144" s="1" t="s">
        <v>1507</v>
      </c>
      <c r="AH144" s="1">
        <v>43</v>
      </c>
      <c r="AI144" s="1">
        <v>0</v>
      </c>
      <c r="AJ144" s="1">
        <v>0</v>
      </c>
      <c r="AK144" s="1">
        <v>6</v>
      </c>
      <c r="AL144" s="1">
        <v>6</v>
      </c>
      <c r="AM144" s="1" t="s">
        <v>3766</v>
      </c>
      <c r="AN144" s="1" t="s">
        <v>2300</v>
      </c>
      <c r="AO144" s="1" t="s">
        <v>3767</v>
      </c>
      <c r="AP144" s="1" t="s">
        <v>3768</v>
      </c>
      <c r="AQ144" s="1" t="s">
        <v>3769</v>
      </c>
      <c r="AR144" s="1" t="s">
        <v>1507</v>
      </c>
      <c r="AS144" s="1" t="s">
        <v>3770</v>
      </c>
      <c r="AT144" s="1" t="s">
        <v>3771</v>
      </c>
      <c r="AU144" s="1" t="s">
        <v>3772</v>
      </c>
      <c r="AV144" s="1">
        <v>2023</v>
      </c>
      <c r="AW144" s="1">
        <v>6</v>
      </c>
      <c r="AX144" s="1" t="s">
        <v>1507</v>
      </c>
      <c r="AY144" s="1" t="s">
        <v>1507</v>
      </c>
      <c r="AZ144" s="1" t="s">
        <v>1507</v>
      </c>
      <c r="BA144" s="1" t="s">
        <v>1507</v>
      </c>
      <c r="BB144" s="1" t="s">
        <v>1507</v>
      </c>
      <c r="BC144" s="1" t="s">
        <v>1507</v>
      </c>
      <c r="BD144" s="1" t="s">
        <v>1507</v>
      </c>
      <c r="BE144" s="1">
        <v>189</v>
      </c>
      <c r="BF144" s="1" t="s">
        <v>3773</v>
      </c>
      <c r="BG144" s="1" t="str">
        <f>HYPERLINK("http://dx.doi.org/10.34133/research.0189","http://dx.doi.org/10.34133/research.0189")</f>
        <v>http://dx.doi.org/10.34133/research.0189</v>
      </c>
      <c r="BH144" s="1" t="s">
        <v>1507</v>
      </c>
      <c r="BI144" s="1" t="s">
        <v>1507</v>
      </c>
      <c r="BJ144" s="1">
        <v>13</v>
      </c>
      <c r="BK144" s="1" t="s">
        <v>1776</v>
      </c>
      <c r="BL144" s="1" t="s">
        <v>1573</v>
      </c>
      <c r="BM144" s="1" t="s">
        <v>1777</v>
      </c>
      <c r="BN144" s="1" t="s">
        <v>3774</v>
      </c>
      <c r="BO144" s="1">
        <v>37727321</v>
      </c>
      <c r="BP144" s="1" t="s">
        <v>1952</v>
      </c>
      <c r="BQ144" s="1" t="s">
        <v>1507</v>
      </c>
      <c r="BR144" s="1" t="s">
        <v>1507</v>
      </c>
      <c r="BS144" s="1" t="s">
        <v>13744</v>
      </c>
      <c r="BT144" s="1" t="s">
        <v>3775</v>
      </c>
      <c r="BU144" s="1" t="str">
        <f>HYPERLINK("https%3A%2F%2Fwww.webofscience.com%2Fwos%2Fwoscc%2Ffull-record%2FWOS:001122607000001","View Full Record in Web of Science")</f>
        <v>View Full Record in Web of Science</v>
      </c>
    </row>
    <row r="145" spans="1:73" x14ac:dyDescent="0.25">
      <c r="A145" s="1">
        <v>144</v>
      </c>
      <c r="B145" s="1" t="s">
        <v>1506</v>
      </c>
      <c r="C145" s="1" t="s">
        <v>14544</v>
      </c>
      <c r="D145" s="1" t="s">
        <v>1507</v>
      </c>
      <c r="E145" s="1" t="s">
        <v>1507</v>
      </c>
      <c r="F145" s="1" t="s">
        <v>1507</v>
      </c>
      <c r="G145" s="1" t="s">
        <v>14545</v>
      </c>
      <c r="H145" s="1" t="s">
        <v>1507</v>
      </c>
      <c r="I145" s="1" t="s">
        <v>1507</v>
      </c>
      <c r="J145" s="1" t="s">
        <v>14546</v>
      </c>
      <c r="K145" s="1" t="s">
        <v>13778</v>
      </c>
      <c r="L145" s="1" t="s">
        <v>1507</v>
      </c>
      <c r="M145" s="1" t="s">
        <v>1507</v>
      </c>
      <c r="N145" s="1" t="s">
        <v>42</v>
      </c>
      <c r="O145" s="1" t="s">
        <v>13186</v>
      </c>
      <c r="P145" s="1" t="s">
        <v>1507</v>
      </c>
      <c r="Q145" s="1" t="s">
        <v>1507</v>
      </c>
      <c r="R145" s="1" t="s">
        <v>1507</v>
      </c>
      <c r="S145" s="1" t="s">
        <v>1507</v>
      </c>
      <c r="T145" s="1" t="s">
        <v>1507</v>
      </c>
      <c r="U145" s="1" t="s">
        <v>1507</v>
      </c>
      <c r="V145" s="1" t="s">
        <v>1507</v>
      </c>
      <c r="W145" s="1" t="s">
        <v>1507</v>
      </c>
      <c r="X145" s="1" t="s">
        <v>14547</v>
      </c>
      <c r="Y145" s="1" t="s">
        <v>14548</v>
      </c>
      <c r="Z145" s="1" t="s">
        <v>14549</v>
      </c>
      <c r="AA145" s="1" t="s">
        <v>14550</v>
      </c>
      <c r="AB145" s="1" t="s">
        <v>14551</v>
      </c>
      <c r="AC145" s="1" t="s">
        <v>14552</v>
      </c>
      <c r="AD145" s="1" t="s">
        <v>14553</v>
      </c>
      <c r="AE145" s="1" t="s">
        <v>14553</v>
      </c>
      <c r="AF145" s="1" t="s">
        <v>14554</v>
      </c>
      <c r="AG145" s="1" t="s">
        <v>1507</v>
      </c>
      <c r="AH145" s="1">
        <v>9</v>
      </c>
      <c r="AI145" s="1">
        <v>3</v>
      </c>
      <c r="AJ145" s="1">
        <v>3</v>
      </c>
      <c r="AK145" s="1">
        <v>6</v>
      </c>
      <c r="AL145" s="1">
        <v>6</v>
      </c>
      <c r="AM145" s="1" t="s">
        <v>1582</v>
      </c>
      <c r="AN145" s="1" t="s">
        <v>1583</v>
      </c>
      <c r="AO145" s="1" t="s">
        <v>1584</v>
      </c>
      <c r="AP145" s="1" t="s">
        <v>13785</v>
      </c>
      <c r="AQ145" s="1" t="s">
        <v>13786</v>
      </c>
      <c r="AR145" s="1" t="s">
        <v>1507</v>
      </c>
      <c r="AS145" s="1" t="s">
        <v>13787</v>
      </c>
      <c r="AT145" s="1" t="s">
        <v>13788</v>
      </c>
      <c r="AU145" s="1" t="s">
        <v>2472</v>
      </c>
      <c r="AV145" s="1">
        <v>2023</v>
      </c>
      <c r="AW145" s="1">
        <v>99</v>
      </c>
      <c r="AX145" s="1">
        <v>1178</v>
      </c>
      <c r="AY145" s="1" t="s">
        <v>1507</v>
      </c>
      <c r="AZ145" s="1" t="s">
        <v>1507</v>
      </c>
      <c r="BA145" s="1" t="s">
        <v>1507</v>
      </c>
      <c r="BB145" s="1" t="s">
        <v>1507</v>
      </c>
      <c r="BC145" s="1">
        <v>1298</v>
      </c>
      <c r="BD145" s="1">
        <v>1299</v>
      </c>
      <c r="BE145" s="1" t="s">
        <v>1507</v>
      </c>
      <c r="BF145" s="1" t="s">
        <v>14555</v>
      </c>
      <c r="BG145" s="1" t="str">
        <f>HYPERLINK("http://dx.doi.org/10.1093/postmj/qgad069","http://dx.doi.org/10.1093/postmj/qgad069")</f>
        <v>http://dx.doi.org/10.1093/postmj/qgad069</v>
      </c>
      <c r="BH145" s="1" t="s">
        <v>1507</v>
      </c>
      <c r="BI145" s="1" t="s">
        <v>4056</v>
      </c>
      <c r="BJ145" s="1">
        <v>2</v>
      </c>
      <c r="BK145" s="1" t="s">
        <v>1949</v>
      </c>
      <c r="BL145" s="1" t="s">
        <v>1573</v>
      </c>
      <c r="BM145" s="1" t="s">
        <v>1950</v>
      </c>
      <c r="BN145" s="1" t="s">
        <v>14556</v>
      </c>
      <c r="BO145" s="1">
        <v>37624143</v>
      </c>
      <c r="BP145" s="1" t="s">
        <v>1507</v>
      </c>
      <c r="BQ145" s="1" t="s">
        <v>1507</v>
      </c>
      <c r="BR145" s="1" t="s">
        <v>1507</v>
      </c>
      <c r="BS145" s="1" t="s">
        <v>13744</v>
      </c>
      <c r="BT145" s="1" t="s">
        <v>14557</v>
      </c>
      <c r="BU145" s="1" t="str">
        <f>HYPERLINK("https%3A%2F%2Fwww.webofscience.com%2Fwos%2Fwoscc%2Ffull-record%2FWOS:001080172900001","View Full Record in Web of Science")</f>
        <v>View Full Record in Web of Science</v>
      </c>
    </row>
    <row r="146" spans="1:73" x14ac:dyDescent="0.25">
      <c r="A146" s="1">
        <v>145</v>
      </c>
      <c r="B146" s="1" t="s">
        <v>1506</v>
      </c>
      <c r="C146" s="1" t="s">
        <v>7611</v>
      </c>
      <c r="D146" s="1" t="s">
        <v>1507</v>
      </c>
      <c r="E146" s="1" t="s">
        <v>1507</v>
      </c>
      <c r="F146" s="1" t="s">
        <v>1507</v>
      </c>
      <c r="G146" s="1" t="s">
        <v>7612</v>
      </c>
      <c r="H146" s="1" t="s">
        <v>1507</v>
      </c>
      <c r="I146" s="1" t="s">
        <v>1507</v>
      </c>
      <c r="J146" s="1" t="s">
        <v>7613</v>
      </c>
      <c r="K146" s="1" t="s">
        <v>7141</v>
      </c>
      <c r="L146" s="1" t="s">
        <v>1507</v>
      </c>
      <c r="M146" s="1" t="s">
        <v>1507</v>
      </c>
      <c r="N146" s="1" t="s">
        <v>42</v>
      </c>
      <c r="O146" s="1" t="s">
        <v>56</v>
      </c>
      <c r="P146" s="1" t="s">
        <v>1507</v>
      </c>
      <c r="Q146" s="1" t="s">
        <v>1507</v>
      </c>
      <c r="R146" s="1" t="s">
        <v>1507</v>
      </c>
      <c r="S146" s="1" t="s">
        <v>1507</v>
      </c>
      <c r="T146" s="1" t="s">
        <v>1507</v>
      </c>
      <c r="U146" s="1" t="s">
        <v>7614</v>
      </c>
      <c r="V146" s="1" t="s">
        <v>7615</v>
      </c>
      <c r="W146" s="1" t="s">
        <v>7616</v>
      </c>
      <c r="X146" s="1" t="s">
        <v>7617</v>
      </c>
      <c r="Y146" s="1" t="s">
        <v>7146</v>
      </c>
      <c r="Z146" s="1" t="s">
        <v>7618</v>
      </c>
      <c r="AA146" s="1" t="s">
        <v>3719</v>
      </c>
      <c r="AB146" s="1" t="s">
        <v>15665</v>
      </c>
      <c r="AC146" s="1" t="s">
        <v>1507</v>
      </c>
      <c r="AD146" s="1" t="s">
        <v>7619</v>
      </c>
      <c r="AE146" s="1" t="s">
        <v>7620</v>
      </c>
      <c r="AF146" s="1" t="s">
        <v>7621</v>
      </c>
      <c r="AG146" s="1" t="s">
        <v>1507</v>
      </c>
      <c r="AH146" s="1">
        <v>29</v>
      </c>
      <c r="AI146" s="1">
        <v>26</v>
      </c>
      <c r="AJ146" s="1">
        <v>29</v>
      </c>
      <c r="AK146" s="1">
        <v>1</v>
      </c>
      <c r="AL146" s="1">
        <v>17</v>
      </c>
      <c r="AM146" s="1" t="s">
        <v>1579</v>
      </c>
      <c r="AN146" s="1" t="s">
        <v>1580</v>
      </c>
      <c r="AO146" s="1" t="s">
        <v>1581</v>
      </c>
      <c r="AP146" s="1" t="s">
        <v>7151</v>
      </c>
      <c r="AQ146" s="1" t="s">
        <v>7152</v>
      </c>
      <c r="AR146" s="1" t="s">
        <v>1507</v>
      </c>
      <c r="AS146" s="1" t="s">
        <v>7153</v>
      </c>
      <c r="AT146" s="1" t="s">
        <v>7154</v>
      </c>
      <c r="AU146" s="1" t="s">
        <v>9913</v>
      </c>
      <c r="AV146" s="1">
        <v>2022</v>
      </c>
      <c r="AW146" s="1">
        <v>821</v>
      </c>
      <c r="AX146" s="1" t="s">
        <v>1507</v>
      </c>
      <c r="AY146" s="1" t="s">
        <v>1507</v>
      </c>
      <c r="AZ146" s="1" t="s">
        <v>1507</v>
      </c>
      <c r="BA146" s="1" t="s">
        <v>1507</v>
      </c>
      <c r="BB146" s="1" t="s">
        <v>1507</v>
      </c>
      <c r="BC146" s="1" t="s">
        <v>1507</v>
      </c>
      <c r="BD146" s="1" t="s">
        <v>1507</v>
      </c>
      <c r="BE146" s="1">
        <v>153250</v>
      </c>
      <c r="BF146" s="1" t="s">
        <v>7622</v>
      </c>
      <c r="BG146" s="1" t="str">
        <f>HYPERLINK("http://dx.doi.org/10.1016/j.scitotenv.2022.153250","http://dx.doi.org/10.1016/j.scitotenv.2022.153250")</f>
        <v>http://dx.doi.org/10.1016/j.scitotenv.2022.153250</v>
      </c>
      <c r="BH146" s="1" t="s">
        <v>1507</v>
      </c>
      <c r="BI146" s="1" t="s">
        <v>7623</v>
      </c>
      <c r="BJ146" s="1">
        <v>9</v>
      </c>
      <c r="BK146" s="1" t="s">
        <v>7038</v>
      </c>
      <c r="BL146" s="1" t="s">
        <v>1573</v>
      </c>
      <c r="BM146" s="1" t="s">
        <v>1839</v>
      </c>
      <c r="BN146" s="1" t="s">
        <v>7624</v>
      </c>
      <c r="BO146" s="1">
        <v>35065122</v>
      </c>
      <c r="BP146" s="1" t="s">
        <v>4214</v>
      </c>
      <c r="BQ146" s="1" t="s">
        <v>1507</v>
      </c>
      <c r="BR146" s="1" t="s">
        <v>1507</v>
      </c>
      <c r="BS146" s="1" t="s">
        <v>13744</v>
      </c>
      <c r="BT146" s="1" t="s">
        <v>7625</v>
      </c>
      <c r="BU146" s="1" t="str">
        <f>HYPERLINK("https%3A%2F%2Fwww.webofscience.com%2Fwos%2Fwoscc%2Ffull-record%2FWOS:000766801100015","View Full Record in Web of Science")</f>
        <v>View Full Record in Web of Science</v>
      </c>
    </row>
    <row r="147" spans="1:73" x14ac:dyDescent="0.25">
      <c r="A147" s="1">
        <v>146</v>
      </c>
      <c r="B147" s="1" t="s">
        <v>1506</v>
      </c>
      <c r="C147" s="1" t="s">
        <v>5811</v>
      </c>
      <c r="D147" s="1" t="s">
        <v>1507</v>
      </c>
      <c r="E147" s="1" t="s">
        <v>1507</v>
      </c>
      <c r="F147" s="1" t="s">
        <v>1507</v>
      </c>
      <c r="G147" s="1" t="s">
        <v>5812</v>
      </c>
      <c r="H147" s="1" t="s">
        <v>1507</v>
      </c>
      <c r="I147" s="1" t="s">
        <v>1507</v>
      </c>
      <c r="J147" s="1" t="s">
        <v>984</v>
      </c>
      <c r="K147" s="1" t="s">
        <v>5813</v>
      </c>
      <c r="L147" s="1" t="s">
        <v>1507</v>
      </c>
      <c r="M147" s="1" t="s">
        <v>1507</v>
      </c>
      <c r="N147" s="1" t="s">
        <v>42</v>
      </c>
      <c r="O147" s="1" t="s">
        <v>56</v>
      </c>
      <c r="P147" s="1" t="s">
        <v>1507</v>
      </c>
      <c r="Q147" s="1" t="s">
        <v>1507</v>
      </c>
      <c r="R147" s="1" t="s">
        <v>1507</v>
      </c>
      <c r="S147" s="1" t="s">
        <v>1507</v>
      </c>
      <c r="T147" s="1" t="s">
        <v>1507</v>
      </c>
      <c r="U147" s="1" t="s">
        <v>5814</v>
      </c>
      <c r="V147" s="1" t="s">
        <v>1507</v>
      </c>
      <c r="W147" s="1" t="s">
        <v>5815</v>
      </c>
      <c r="X147" s="1" t="s">
        <v>5816</v>
      </c>
      <c r="Y147" s="1" t="s">
        <v>5817</v>
      </c>
      <c r="Z147" s="1" t="s">
        <v>5818</v>
      </c>
      <c r="AA147" s="1" t="s">
        <v>5819</v>
      </c>
      <c r="AB147" s="1" t="s">
        <v>14918</v>
      </c>
      <c r="AC147" s="1" t="s">
        <v>14919</v>
      </c>
      <c r="AD147" s="1" t="s">
        <v>1507</v>
      </c>
      <c r="AE147" s="1" t="s">
        <v>1507</v>
      </c>
      <c r="AF147" s="1" t="s">
        <v>1507</v>
      </c>
      <c r="AG147" s="1" t="s">
        <v>1507</v>
      </c>
      <c r="AH147" s="1">
        <v>27</v>
      </c>
      <c r="AI147" s="1">
        <v>61</v>
      </c>
      <c r="AJ147" s="1">
        <v>64</v>
      </c>
      <c r="AK147" s="1">
        <v>210</v>
      </c>
      <c r="AL147" s="1">
        <v>324</v>
      </c>
      <c r="AM147" s="1" t="s">
        <v>5820</v>
      </c>
      <c r="AN147" s="1" t="s">
        <v>5821</v>
      </c>
      <c r="AO147" s="1" t="s">
        <v>5822</v>
      </c>
      <c r="AP147" s="1" t="s">
        <v>5823</v>
      </c>
      <c r="AQ147" s="1" t="s">
        <v>5824</v>
      </c>
      <c r="AR147" s="1" t="s">
        <v>1507</v>
      </c>
      <c r="AS147" s="1" t="s">
        <v>5825</v>
      </c>
      <c r="AT147" s="1" t="s">
        <v>993</v>
      </c>
      <c r="AU147" s="1" t="s">
        <v>1507</v>
      </c>
      <c r="AV147" s="1">
        <v>2023</v>
      </c>
      <c r="AW147" s="1">
        <v>40</v>
      </c>
      <c r="AX147" s="1">
        <v>2</v>
      </c>
      <c r="AY147" s="1" t="s">
        <v>1507</v>
      </c>
      <c r="AZ147" s="1" t="s">
        <v>1507</v>
      </c>
      <c r="BA147" s="1" t="s">
        <v>1507</v>
      </c>
      <c r="BB147" s="1" t="s">
        <v>1507</v>
      </c>
      <c r="BC147" s="1">
        <v>615</v>
      </c>
      <c r="BD147" s="1">
        <v>622</v>
      </c>
      <c r="BE147" s="1" t="s">
        <v>1507</v>
      </c>
      <c r="BF147" s="1" t="s">
        <v>5826</v>
      </c>
      <c r="BG147" s="1" t="str">
        <f>HYPERLINK("http://dx.doi.org/10.5114/biolsport.2023.125623","http://dx.doi.org/10.5114/biolsport.2023.125623")</f>
        <v>http://dx.doi.org/10.5114/biolsport.2023.125623</v>
      </c>
      <c r="BH147" s="1" t="s">
        <v>1507</v>
      </c>
      <c r="BI147" s="1" t="s">
        <v>1507</v>
      </c>
      <c r="BJ147" s="1">
        <v>8</v>
      </c>
      <c r="BK147" s="1" t="s">
        <v>5827</v>
      </c>
      <c r="BL147" s="1" t="s">
        <v>1573</v>
      </c>
      <c r="BM147" s="1" t="s">
        <v>5827</v>
      </c>
      <c r="BN147" s="1" t="s">
        <v>5828</v>
      </c>
      <c r="BO147" s="1">
        <v>37077800</v>
      </c>
      <c r="BP147" s="1" t="s">
        <v>1507</v>
      </c>
      <c r="BQ147" s="1" t="s">
        <v>1507</v>
      </c>
      <c r="BR147" s="1" t="s">
        <v>1507</v>
      </c>
      <c r="BS147" s="1" t="s">
        <v>13744</v>
      </c>
      <c r="BT147" s="1" t="s">
        <v>5829</v>
      </c>
      <c r="BU147" s="1" t="str">
        <f>HYPERLINK("https%3A%2F%2Fwww.webofscience.com%2Fwos%2Fwoscc%2Ffull-record%2FWOS:000972527400030","View Full Record in Web of Science")</f>
        <v>View Full Record in Web of Science</v>
      </c>
    </row>
    <row r="148" spans="1:73" x14ac:dyDescent="0.25">
      <c r="A148" s="1">
        <v>147</v>
      </c>
      <c r="B148" s="1" t="s">
        <v>1506</v>
      </c>
      <c r="C148" s="1" t="s">
        <v>3190</v>
      </c>
      <c r="D148" s="1" t="s">
        <v>1507</v>
      </c>
      <c r="E148" s="1" t="s">
        <v>1507</v>
      </c>
      <c r="F148" s="1" t="s">
        <v>1507</v>
      </c>
      <c r="G148" s="1" t="s">
        <v>3191</v>
      </c>
      <c r="H148" s="1" t="s">
        <v>1507</v>
      </c>
      <c r="I148" s="1" t="s">
        <v>3192</v>
      </c>
      <c r="J148" s="1" t="s">
        <v>3193</v>
      </c>
      <c r="K148" s="1" t="s">
        <v>3194</v>
      </c>
      <c r="L148" s="1" t="s">
        <v>1507</v>
      </c>
      <c r="M148" s="1" t="s">
        <v>1507</v>
      </c>
      <c r="N148" s="1" t="s">
        <v>42</v>
      </c>
      <c r="O148" s="1" t="s">
        <v>56</v>
      </c>
      <c r="P148" s="1" t="s">
        <v>1507</v>
      </c>
      <c r="Q148" s="1" t="s">
        <v>1507</v>
      </c>
      <c r="R148" s="1" t="s">
        <v>1507</v>
      </c>
      <c r="S148" s="1" t="s">
        <v>1507</v>
      </c>
      <c r="T148" s="1" t="s">
        <v>1507</v>
      </c>
      <c r="U148" s="1" t="s">
        <v>3195</v>
      </c>
      <c r="V148" s="1" t="s">
        <v>3196</v>
      </c>
      <c r="W148" s="1" t="s">
        <v>3197</v>
      </c>
      <c r="X148" s="1" t="s">
        <v>3198</v>
      </c>
      <c r="Y148" s="1" t="s">
        <v>14294</v>
      </c>
      <c r="Z148" s="1" t="s">
        <v>3199</v>
      </c>
      <c r="AA148" s="1" t="s">
        <v>3200</v>
      </c>
      <c r="AB148" s="1" t="s">
        <v>1507</v>
      </c>
      <c r="AC148" s="1" t="s">
        <v>3201</v>
      </c>
      <c r="AD148" s="1" t="s">
        <v>3202</v>
      </c>
      <c r="AE148" s="1" t="s">
        <v>3203</v>
      </c>
      <c r="AF148" s="1" t="s">
        <v>3204</v>
      </c>
      <c r="AG148" s="1" t="s">
        <v>1507</v>
      </c>
      <c r="AH148" s="1">
        <v>31</v>
      </c>
      <c r="AI148" s="1">
        <v>0</v>
      </c>
      <c r="AJ148" s="1">
        <v>0</v>
      </c>
      <c r="AK148" s="1">
        <v>2</v>
      </c>
      <c r="AL148" s="1">
        <v>2</v>
      </c>
      <c r="AM148" s="1" t="s">
        <v>1725</v>
      </c>
      <c r="AN148" s="1" t="s">
        <v>1551</v>
      </c>
      <c r="AO148" s="1" t="s">
        <v>1726</v>
      </c>
      <c r="AP148" s="1" t="s">
        <v>1507</v>
      </c>
      <c r="AQ148" s="1" t="s">
        <v>3205</v>
      </c>
      <c r="AR148" s="1" t="s">
        <v>1507</v>
      </c>
      <c r="AS148" s="1" t="s">
        <v>3206</v>
      </c>
      <c r="AT148" s="1" t="s">
        <v>3207</v>
      </c>
      <c r="AU148" s="1" t="s">
        <v>3208</v>
      </c>
      <c r="AV148" s="1">
        <v>2023</v>
      </c>
      <c r="AW148" s="1">
        <v>23</v>
      </c>
      <c r="AX148" s="1">
        <v>1</v>
      </c>
      <c r="AY148" s="1" t="s">
        <v>1507</v>
      </c>
      <c r="AZ148" s="1" t="s">
        <v>1507</v>
      </c>
      <c r="BA148" s="1" t="s">
        <v>1507</v>
      </c>
      <c r="BB148" s="1" t="s">
        <v>1507</v>
      </c>
      <c r="BC148" s="1" t="s">
        <v>1507</v>
      </c>
      <c r="BD148" s="1" t="s">
        <v>1507</v>
      </c>
      <c r="BE148" s="1">
        <v>514</v>
      </c>
      <c r="BF148" s="1" t="s">
        <v>3209</v>
      </c>
      <c r="BG148" s="1" t="str">
        <f>HYPERLINK("http://dx.doi.org/10.1186/s12887-023-04262-0","http://dx.doi.org/10.1186/s12887-023-04262-0")</f>
        <v>http://dx.doi.org/10.1186/s12887-023-04262-0</v>
      </c>
      <c r="BH148" s="1" t="s">
        <v>1507</v>
      </c>
      <c r="BI148" s="1" t="s">
        <v>1507</v>
      </c>
      <c r="BJ148" s="1">
        <v>10</v>
      </c>
      <c r="BK148" s="1" t="s">
        <v>3210</v>
      </c>
      <c r="BL148" s="1" t="s">
        <v>1573</v>
      </c>
      <c r="BM148" s="1" t="s">
        <v>3210</v>
      </c>
      <c r="BN148" s="1" t="s">
        <v>3211</v>
      </c>
      <c r="BO148" s="1">
        <v>37845652</v>
      </c>
      <c r="BP148" s="1" t="s">
        <v>1674</v>
      </c>
      <c r="BQ148" s="1" t="s">
        <v>1507</v>
      </c>
      <c r="BR148" s="1" t="s">
        <v>1507</v>
      </c>
      <c r="BS148" s="1" t="s">
        <v>13744</v>
      </c>
      <c r="BT148" s="1" t="s">
        <v>3212</v>
      </c>
      <c r="BU148" s="1" t="str">
        <f>HYPERLINK("https%3A%2F%2Fwww.webofscience.com%2Fwos%2Fwoscc%2Ffull-record%2FWOS:001086711300001","View Full Record in Web of Science")</f>
        <v>View Full Record in Web of Science</v>
      </c>
    </row>
    <row r="149" spans="1:73" x14ac:dyDescent="0.25">
      <c r="A149" s="1">
        <v>148</v>
      </c>
      <c r="B149" s="1" t="s">
        <v>1506</v>
      </c>
      <c r="C149" s="1" t="s">
        <v>10529</v>
      </c>
      <c r="D149" s="1" t="s">
        <v>1507</v>
      </c>
      <c r="E149" s="1" t="s">
        <v>1507</v>
      </c>
      <c r="F149" s="1" t="s">
        <v>1507</v>
      </c>
      <c r="G149" s="1" t="s">
        <v>10530</v>
      </c>
      <c r="H149" s="1" t="s">
        <v>1507</v>
      </c>
      <c r="I149" s="1" t="s">
        <v>1507</v>
      </c>
      <c r="J149" s="1" t="s">
        <v>10531</v>
      </c>
      <c r="K149" s="1" t="s">
        <v>10532</v>
      </c>
      <c r="L149" s="1" t="s">
        <v>1507</v>
      </c>
      <c r="M149" s="1" t="s">
        <v>1507</v>
      </c>
      <c r="N149" s="1" t="s">
        <v>42</v>
      </c>
      <c r="O149" s="1" t="s">
        <v>56</v>
      </c>
      <c r="P149" s="1" t="s">
        <v>1507</v>
      </c>
      <c r="Q149" s="1" t="s">
        <v>1507</v>
      </c>
      <c r="R149" s="1" t="s">
        <v>1507</v>
      </c>
      <c r="S149" s="1" t="s">
        <v>1507</v>
      </c>
      <c r="T149" s="1" t="s">
        <v>1507</v>
      </c>
      <c r="U149" s="1" t="s">
        <v>1507</v>
      </c>
      <c r="V149" s="1" t="s">
        <v>10533</v>
      </c>
      <c r="W149" s="1" t="s">
        <v>10534</v>
      </c>
      <c r="X149" s="1" t="s">
        <v>10535</v>
      </c>
      <c r="Y149" s="1" t="s">
        <v>15863</v>
      </c>
      <c r="Z149" s="1" t="s">
        <v>10536</v>
      </c>
      <c r="AA149" s="1" t="s">
        <v>10537</v>
      </c>
      <c r="AB149" s="1" t="s">
        <v>15864</v>
      </c>
      <c r="AC149" s="1" t="s">
        <v>15865</v>
      </c>
      <c r="AD149" s="1" t="s">
        <v>15866</v>
      </c>
      <c r="AE149" s="1" t="s">
        <v>15867</v>
      </c>
      <c r="AF149" s="1" t="s">
        <v>10538</v>
      </c>
      <c r="AG149" s="1" t="s">
        <v>1507</v>
      </c>
      <c r="AH149" s="1">
        <v>34</v>
      </c>
      <c r="AI149" s="1">
        <v>28</v>
      </c>
      <c r="AJ149" s="1">
        <v>30</v>
      </c>
      <c r="AK149" s="1">
        <v>0</v>
      </c>
      <c r="AL149" s="1">
        <v>6</v>
      </c>
      <c r="AM149" s="1" t="s">
        <v>2033</v>
      </c>
      <c r="AN149" s="1" t="s">
        <v>1523</v>
      </c>
      <c r="AO149" s="1" t="s">
        <v>2034</v>
      </c>
      <c r="AP149" s="1" t="s">
        <v>10539</v>
      </c>
      <c r="AQ149" s="1" t="s">
        <v>10540</v>
      </c>
      <c r="AR149" s="1" t="s">
        <v>1507</v>
      </c>
      <c r="AS149" s="1" t="s">
        <v>10541</v>
      </c>
      <c r="AT149" s="1" t="s">
        <v>10542</v>
      </c>
      <c r="AU149" s="1" t="s">
        <v>6839</v>
      </c>
      <c r="AV149" s="1">
        <v>2019</v>
      </c>
      <c r="AW149" s="1">
        <v>105</v>
      </c>
      <c r="AX149" s="1">
        <v>5</v>
      </c>
      <c r="AY149" s="1" t="s">
        <v>1507</v>
      </c>
      <c r="AZ149" s="1" t="s">
        <v>1507</v>
      </c>
      <c r="BA149" s="1" t="s">
        <v>1507</v>
      </c>
      <c r="BB149" s="1" t="s">
        <v>1507</v>
      </c>
      <c r="BC149" s="1">
        <v>1048</v>
      </c>
      <c r="BD149" s="1">
        <v>1056</v>
      </c>
      <c r="BE149" s="1" t="s">
        <v>1507</v>
      </c>
      <c r="BF149" s="1" t="s">
        <v>10543</v>
      </c>
      <c r="BG149" s="1" t="str">
        <f>HYPERLINK("http://dx.doi.org/10.1016/j.ajhg.2019.09.025","http://dx.doi.org/10.1016/j.ajhg.2019.09.025")</f>
        <v>http://dx.doi.org/10.1016/j.ajhg.2019.09.025</v>
      </c>
      <c r="BH149" s="1" t="s">
        <v>1507</v>
      </c>
      <c r="BI149" s="1" t="s">
        <v>1507</v>
      </c>
      <c r="BJ149" s="1">
        <v>9</v>
      </c>
      <c r="BK149" s="1" t="s">
        <v>10544</v>
      </c>
      <c r="BL149" s="1" t="s">
        <v>1573</v>
      </c>
      <c r="BM149" s="1" t="s">
        <v>10544</v>
      </c>
      <c r="BN149" s="1" t="s">
        <v>10545</v>
      </c>
      <c r="BO149" s="1">
        <v>31668703</v>
      </c>
      <c r="BP149" s="1" t="s">
        <v>8811</v>
      </c>
      <c r="BQ149" s="1" t="s">
        <v>1507</v>
      </c>
      <c r="BR149" s="1" t="s">
        <v>1507</v>
      </c>
      <c r="BS149" s="1" t="s">
        <v>13744</v>
      </c>
      <c r="BT149" s="1" t="s">
        <v>10546</v>
      </c>
      <c r="BU149" s="1" t="str">
        <f>HYPERLINK("https%3A%2F%2Fwww.webofscience.com%2Fwos%2Fwoscc%2Ffull-record%2FWOS:000495878800016","View Full Record in Web of Science")</f>
        <v>View Full Record in Web of Science</v>
      </c>
    </row>
    <row r="150" spans="1:73" x14ac:dyDescent="0.25">
      <c r="A150" s="1">
        <v>149</v>
      </c>
      <c r="B150" s="1" t="s">
        <v>1506</v>
      </c>
      <c r="C150" s="1" t="s">
        <v>14623</v>
      </c>
      <c r="D150" s="1" t="s">
        <v>1507</v>
      </c>
      <c r="E150" s="1" t="s">
        <v>1507</v>
      </c>
      <c r="F150" s="1" t="s">
        <v>1507</v>
      </c>
      <c r="G150" s="1" t="s">
        <v>14624</v>
      </c>
      <c r="H150" s="1" t="s">
        <v>1507</v>
      </c>
      <c r="I150" s="1" t="s">
        <v>1507</v>
      </c>
      <c r="J150" s="1" t="s">
        <v>14625</v>
      </c>
      <c r="K150" s="1" t="s">
        <v>14607</v>
      </c>
      <c r="L150" s="1" t="s">
        <v>1507</v>
      </c>
      <c r="M150" s="1" t="s">
        <v>1507</v>
      </c>
      <c r="N150" s="1" t="s">
        <v>42</v>
      </c>
      <c r="O150" s="1" t="s">
        <v>13950</v>
      </c>
      <c r="P150" s="1" t="s">
        <v>1507</v>
      </c>
      <c r="Q150" s="1" t="s">
        <v>1507</v>
      </c>
      <c r="R150" s="1" t="s">
        <v>1507</v>
      </c>
      <c r="S150" s="1" t="s">
        <v>1507</v>
      </c>
      <c r="T150" s="1" t="s">
        <v>1507</v>
      </c>
      <c r="U150" s="1" t="s">
        <v>14626</v>
      </c>
      <c r="V150" s="1" t="s">
        <v>1507</v>
      </c>
      <c r="W150" s="1" t="s">
        <v>14627</v>
      </c>
      <c r="X150" s="1" t="s">
        <v>14628</v>
      </c>
      <c r="Y150" s="1" t="s">
        <v>6670</v>
      </c>
      <c r="Z150" s="1" t="s">
        <v>14611</v>
      </c>
      <c r="AA150" s="1" t="s">
        <v>14612</v>
      </c>
      <c r="AB150" s="1" t="s">
        <v>1507</v>
      </c>
      <c r="AC150" s="1" t="s">
        <v>14613</v>
      </c>
      <c r="AD150" s="1" t="s">
        <v>1507</v>
      </c>
      <c r="AE150" s="1" t="s">
        <v>1507</v>
      </c>
      <c r="AF150" s="1" t="s">
        <v>1507</v>
      </c>
      <c r="AG150" s="1" t="s">
        <v>1507</v>
      </c>
      <c r="AH150" s="1">
        <v>31</v>
      </c>
      <c r="AI150" s="1">
        <v>6</v>
      </c>
      <c r="AJ150" s="1">
        <v>6</v>
      </c>
      <c r="AK150" s="1">
        <v>20</v>
      </c>
      <c r="AL150" s="1">
        <v>24</v>
      </c>
      <c r="AM150" s="1" t="s">
        <v>1579</v>
      </c>
      <c r="AN150" s="1" t="s">
        <v>1580</v>
      </c>
      <c r="AO150" s="1" t="s">
        <v>1581</v>
      </c>
      <c r="AP150" s="1" t="s">
        <v>14614</v>
      </c>
      <c r="AQ150" s="1" t="s">
        <v>14615</v>
      </c>
      <c r="AR150" s="1" t="s">
        <v>1507</v>
      </c>
      <c r="AS150" s="1" t="s">
        <v>14616</v>
      </c>
      <c r="AT150" s="1" t="s">
        <v>14617</v>
      </c>
      <c r="AU150" s="1" t="s">
        <v>4556</v>
      </c>
      <c r="AV150" s="1">
        <v>2023</v>
      </c>
      <c r="AW150" s="1">
        <v>181</v>
      </c>
      <c r="AX150" s="1" t="s">
        <v>1507</v>
      </c>
      <c r="AY150" s="1" t="s">
        <v>1507</v>
      </c>
      <c r="AZ150" s="1" t="s">
        <v>1507</v>
      </c>
      <c r="BA150" s="1" t="s">
        <v>1507</v>
      </c>
      <c r="BB150" s="1" t="s">
        <v>1507</v>
      </c>
      <c r="BC150" s="1" t="s">
        <v>1507</v>
      </c>
      <c r="BD150" s="1" t="s">
        <v>1507</v>
      </c>
      <c r="BE150" s="1">
        <v>108621</v>
      </c>
      <c r="BF150" s="1" t="s">
        <v>14629</v>
      </c>
      <c r="BG150" s="1" t="str">
        <f>HYPERLINK("http://dx.doi.org/10.1016/j.biopsycho.2023.108621","http://dx.doi.org/10.1016/j.biopsycho.2023.108621")</f>
        <v>http://dx.doi.org/10.1016/j.biopsycho.2023.108621</v>
      </c>
      <c r="BH150" s="1" t="s">
        <v>1507</v>
      </c>
      <c r="BI150" s="1" t="s">
        <v>4389</v>
      </c>
      <c r="BJ150" s="1">
        <v>5</v>
      </c>
      <c r="BK150" s="1" t="s">
        <v>14619</v>
      </c>
      <c r="BL150" s="1" t="s">
        <v>1598</v>
      </c>
      <c r="BM150" s="1" t="s">
        <v>14620</v>
      </c>
      <c r="BN150" s="1" t="s">
        <v>14630</v>
      </c>
      <c r="BO150" s="1">
        <v>37356702</v>
      </c>
      <c r="BP150" s="1" t="s">
        <v>1507</v>
      </c>
      <c r="BQ150" s="1" t="s">
        <v>1507</v>
      </c>
      <c r="BR150" s="1" t="s">
        <v>1507</v>
      </c>
      <c r="BS150" s="1" t="s">
        <v>13744</v>
      </c>
      <c r="BT150" s="1" t="s">
        <v>14631</v>
      </c>
      <c r="BU150" s="1" t="str">
        <f>HYPERLINK("https%3A%2F%2Fwww.webofscience.com%2Fwos%2Fwoscc%2Ffull-record%2FWOS:001147476500001","View Full Record in Web of Science")</f>
        <v>View Full Record in Web of Science</v>
      </c>
    </row>
    <row r="151" spans="1:73" x14ac:dyDescent="0.25">
      <c r="A151" s="1">
        <v>150</v>
      </c>
      <c r="B151" s="1" t="s">
        <v>1506</v>
      </c>
      <c r="C151" s="1" t="s">
        <v>14604</v>
      </c>
      <c r="D151" s="1" t="s">
        <v>1507</v>
      </c>
      <c r="E151" s="1" t="s">
        <v>1507</v>
      </c>
      <c r="F151" s="1" t="s">
        <v>1507</v>
      </c>
      <c r="G151" s="1" t="s">
        <v>14605</v>
      </c>
      <c r="H151" s="1" t="s">
        <v>1507</v>
      </c>
      <c r="I151" s="1" t="s">
        <v>1507</v>
      </c>
      <c r="J151" s="1" t="s">
        <v>14606</v>
      </c>
      <c r="K151" s="1" t="s">
        <v>14607</v>
      </c>
      <c r="L151" s="1" t="s">
        <v>1507</v>
      </c>
      <c r="M151" s="1" t="s">
        <v>1507</v>
      </c>
      <c r="N151" s="1" t="s">
        <v>42</v>
      </c>
      <c r="O151" s="1" t="s">
        <v>13950</v>
      </c>
      <c r="P151" s="1" t="s">
        <v>1507</v>
      </c>
      <c r="Q151" s="1" t="s">
        <v>1507</v>
      </c>
      <c r="R151" s="1" t="s">
        <v>1507</v>
      </c>
      <c r="S151" s="1" t="s">
        <v>1507</v>
      </c>
      <c r="T151" s="1" t="s">
        <v>1507</v>
      </c>
      <c r="U151" s="1" t="s">
        <v>14608</v>
      </c>
      <c r="V151" s="1" t="s">
        <v>1507</v>
      </c>
      <c r="W151" s="1" t="s">
        <v>1507</v>
      </c>
      <c r="X151" s="1" t="s">
        <v>14609</v>
      </c>
      <c r="Y151" s="1" t="s">
        <v>14610</v>
      </c>
      <c r="Z151" s="1" t="s">
        <v>14611</v>
      </c>
      <c r="AA151" s="1" t="s">
        <v>14612</v>
      </c>
      <c r="AB151" s="1" t="s">
        <v>1507</v>
      </c>
      <c r="AC151" s="1" t="s">
        <v>14613</v>
      </c>
      <c r="AD151" s="1" t="s">
        <v>1507</v>
      </c>
      <c r="AE151" s="1" t="s">
        <v>1507</v>
      </c>
      <c r="AF151" s="1" t="s">
        <v>1507</v>
      </c>
      <c r="AG151" s="1" t="s">
        <v>1507</v>
      </c>
      <c r="AH151" s="1">
        <v>8</v>
      </c>
      <c r="AI151" s="1">
        <v>0</v>
      </c>
      <c r="AJ151" s="1">
        <v>0</v>
      </c>
      <c r="AK151" s="1">
        <v>39</v>
      </c>
      <c r="AL151" s="1">
        <v>44</v>
      </c>
      <c r="AM151" s="1" t="s">
        <v>1579</v>
      </c>
      <c r="AN151" s="1" t="s">
        <v>1580</v>
      </c>
      <c r="AO151" s="1" t="s">
        <v>1581</v>
      </c>
      <c r="AP151" s="1" t="s">
        <v>14614</v>
      </c>
      <c r="AQ151" s="1" t="s">
        <v>14615</v>
      </c>
      <c r="AR151" s="1" t="s">
        <v>1507</v>
      </c>
      <c r="AS151" s="1" t="s">
        <v>14616</v>
      </c>
      <c r="AT151" s="1" t="s">
        <v>14617</v>
      </c>
      <c r="AU151" s="1" t="s">
        <v>4556</v>
      </c>
      <c r="AV151" s="1">
        <v>2023</v>
      </c>
      <c r="AW151" s="1">
        <v>181</v>
      </c>
      <c r="AX151" s="1" t="s">
        <v>1507</v>
      </c>
      <c r="AY151" s="1" t="s">
        <v>1507</v>
      </c>
      <c r="AZ151" s="1" t="s">
        <v>1507</v>
      </c>
      <c r="BA151" s="1" t="s">
        <v>1507</v>
      </c>
      <c r="BB151" s="1" t="s">
        <v>1507</v>
      </c>
      <c r="BC151" s="1" t="s">
        <v>1507</v>
      </c>
      <c r="BD151" s="1" t="s">
        <v>1507</v>
      </c>
      <c r="BE151" s="1">
        <v>108595</v>
      </c>
      <c r="BF151" s="1" t="s">
        <v>14618</v>
      </c>
      <c r="BG151" s="1" t="str">
        <f>HYPERLINK("http://dx.doi.org/10.1016/j.biopsycho.2023.108595","http://dx.doi.org/10.1016/j.biopsycho.2023.108595")</f>
        <v>http://dx.doi.org/10.1016/j.biopsycho.2023.108595</v>
      </c>
      <c r="BH151" s="1" t="s">
        <v>1507</v>
      </c>
      <c r="BI151" s="1" t="s">
        <v>4389</v>
      </c>
      <c r="BJ151" s="1">
        <v>2</v>
      </c>
      <c r="BK151" s="1" t="s">
        <v>14619</v>
      </c>
      <c r="BL151" s="1" t="s">
        <v>1598</v>
      </c>
      <c r="BM151" s="1" t="s">
        <v>14620</v>
      </c>
      <c r="BN151" s="1" t="s">
        <v>14621</v>
      </c>
      <c r="BO151" s="1">
        <v>37257813</v>
      </c>
      <c r="BP151" s="1" t="s">
        <v>1507</v>
      </c>
      <c r="BQ151" s="1" t="s">
        <v>1507</v>
      </c>
      <c r="BR151" s="1" t="s">
        <v>1507</v>
      </c>
      <c r="BS151" s="1" t="s">
        <v>13744</v>
      </c>
      <c r="BT151" s="1" t="s">
        <v>14622</v>
      </c>
      <c r="BU151" s="1" t="str">
        <f>HYPERLINK("https%3A%2F%2Fwww.webofscience.com%2Fwos%2Fwoscc%2Ffull-record%2FWOS:001063553700001","View Full Record in Web of Science")</f>
        <v>View Full Record in Web of Science</v>
      </c>
    </row>
    <row r="152" spans="1:73" x14ac:dyDescent="0.25">
      <c r="A152" s="1">
        <v>151</v>
      </c>
      <c r="B152" s="1" t="s">
        <v>5546</v>
      </c>
      <c r="C152" s="1" t="s">
        <v>14920</v>
      </c>
      <c r="D152" s="1" t="s">
        <v>1507</v>
      </c>
      <c r="E152" s="1" t="s">
        <v>1507</v>
      </c>
      <c r="F152" s="1" t="s">
        <v>5548</v>
      </c>
      <c r="G152" s="1" t="s">
        <v>14921</v>
      </c>
      <c r="H152" s="1" t="s">
        <v>1507</v>
      </c>
      <c r="I152" s="1" t="s">
        <v>1507</v>
      </c>
      <c r="J152" s="1" t="s">
        <v>14922</v>
      </c>
      <c r="K152" s="1" t="s">
        <v>14923</v>
      </c>
      <c r="L152" s="1" t="s">
        <v>1507</v>
      </c>
      <c r="M152" s="1" t="s">
        <v>1507</v>
      </c>
      <c r="N152" s="1" t="s">
        <v>42</v>
      </c>
      <c r="O152" s="1" t="s">
        <v>5552</v>
      </c>
      <c r="P152" s="1" t="s">
        <v>14924</v>
      </c>
      <c r="Q152" s="1" t="s">
        <v>14925</v>
      </c>
      <c r="R152" s="1" t="s">
        <v>6272</v>
      </c>
      <c r="S152" s="1" t="s">
        <v>14926</v>
      </c>
      <c r="T152" s="1" t="s">
        <v>1507</v>
      </c>
      <c r="U152" s="1" t="s">
        <v>14927</v>
      </c>
      <c r="V152" s="1" t="s">
        <v>14928</v>
      </c>
      <c r="W152" s="1" t="s">
        <v>14929</v>
      </c>
      <c r="X152" s="1" t="s">
        <v>14930</v>
      </c>
      <c r="Y152" s="1" t="s">
        <v>14931</v>
      </c>
      <c r="Z152" s="1" t="s">
        <v>14932</v>
      </c>
      <c r="AA152" s="1" t="s">
        <v>1507</v>
      </c>
      <c r="AB152" s="1" t="s">
        <v>14933</v>
      </c>
      <c r="AC152" s="1" t="s">
        <v>14934</v>
      </c>
      <c r="AD152" s="1" t="s">
        <v>14935</v>
      </c>
      <c r="AE152" s="1" t="s">
        <v>14936</v>
      </c>
      <c r="AF152" s="1" t="s">
        <v>14937</v>
      </c>
      <c r="AG152" s="1" t="s">
        <v>1507</v>
      </c>
      <c r="AH152" s="1">
        <v>96</v>
      </c>
      <c r="AI152" s="1">
        <v>0</v>
      </c>
      <c r="AJ152" s="1">
        <v>0</v>
      </c>
      <c r="AK152" s="1">
        <v>0</v>
      </c>
      <c r="AL152" s="1">
        <v>0</v>
      </c>
      <c r="AM152" s="1" t="s">
        <v>5565</v>
      </c>
      <c r="AN152" s="1" t="s">
        <v>1512</v>
      </c>
      <c r="AO152" s="1" t="s">
        <v>5566</v>
      </c>
      <c r="AP152" s="1" t="s">
        <v>1507</v>
      </c>
      <c r="AQ152" s="1" t="s">
        <v>1507</v>
      </c>
      <c r="AR152" s="1" t="s">
        <v>14938</v>
      </c>
      <c r="AS152" s="1" t="s">
        <v>1507</v>
      </c>
      <c r="AT152" s="1" t="s">
        <v>1507</v>
      </c>
      <c r="AU152" s="1" t="s">
        <v>1507</v>
      </c>
      <c r="AV152" s="1">
        <v>2023</v>
      </c>
      <c r="AW152" s="1" t="s">
        <v>1507</v>
      </c>
      <c r="AX152" s="1" t="s">
        <v>1507</v>
      </c>
      <c r="AY152" s="1" t="s">
        <v>1507</v>
      </c>
      <c r="AZ152" s="1" t="s">
        <v>1507</v>
      </c>
      <c r="BA152" s="1" t="s">
        <v>1507</v>
      </c>
      <c r="BB152" s="1" t="s">
        <v>1507</v>
      </c>
      <c r="BC152" s="1">
        <v>489</v>
      </c>
      <c r="BD152" s="1">
        <v>505</v>
      </c>
      <c r="BE152" s="1" t="s">
        <v>1507</v>
      </c>
      <c r="BF152" s="1" t="s">
        <v>14939</v>
      </c>
      <c r="BG152" s="1" t="str">
        <f>HYPERLINK("http://dx.doi.org/10.1145/3591196.3593516","http://dx.doi.org/10.1145/3591196.3593516")</f>
        <v>http://dx.doi.org/10.1145/3591196.3593516</v>
      </c>
      <c r="BH152" s="1" t="s">
        <v>1507</v>
      </c>
      <c r="BI152" s="1" t="s">
        <v>1507</v>
      </c>
      <c r="BJ152" s="1">
        <v>17</v>
      </c>
      <c r="BK152" s="1" t="s">
        <v>14940</v>
      </c>
      <c r="BL152" s="1" t="s">
        <v>5695</v>
      </c>
      <c r="BM152" s="1" t="s">
        <v>14941</v>
      </c>
      <c r="BN152" s="1" t="s">
        <v>14942</v>
      </c>
      <c r="BO152" s="1" t="s">
        <v>1507</v>
      </c>
      <c r="BP152" s="1" t="s">
        <v>12108</v>
      </c>
      <c r="BQ152" s="1" t="s">
        <v>1507</v>
      </c>
      <c r="BR152" s="1" t="s">
        <v>1507</v>
      </c>
      <c r="BS152" s="1" t="s">
        <v>13744</v>
      </c>
      <c r="BT152" s="1" t="s">
        <v>14943</v>
      </c>
      <c r="BU152" s="1" t="str">
        <f>HYPERLINK("https%3A%2F%2Fwww.webofscience.com%2Fwos%2Fwoscc%2Ffull-record%2FWOS:001119074200070","View Full Record in Web of Science")</f>
        <v>View Full Record in Web of Science</v>
      </c>
    </row>
    <row r="153" spans="1:73" x14ac:dyDescent="0.25">
      <c r="A153" s="1">
        <v>152</v>
      </c>
      <c r="B153" s="1" t="s">
        <v>1506</v>
      </c>
      <c r="C153" s="1" t="s">
        <v>11947</v>
      </c>
      <c r="D153" s="1" t="s">
        <v>1507</v>
      </c>
      <c r="E153" s="1" t="s">
        <v>1507</v>
      </c>
      <c r="F153" s="1" t="s">
        <v>1507</v>
      </c>
      <c r="G153" s="1" t="s">
        <v>11948</v>
      </c>
      <c r="H153" s="1" t="s">
        <v>1507</v>
      </c>
      <c r="I153" s="1" t="s">
        <v>1507</v>
      </c>
      <c r="J153" s="1" t="s">
        <v>11949</v>
      </c>
      <c r="K153" s="1" t="s">
        <v>11950</v>
      </c>
      <c r="L153" s="1" t="s">
        <v>1507</v>
      </c>
      <c r="M153" s="1" t="s">
        <v>1507</v>
      </c>
      <c r="N153" s="1" t="s">
        <v>42</v>
      </c>
      <c r="O153" s="1" t="s">
        <v>56</v>
      </c>
      <c r="P153" s="1" t="s">
        <v>1507</v>
      </c>
      <c r="Q153" s="1" t="s">
        <v>1507</v>
      </c>
      <c r="R153" s="1" t="s">
        <v>1507</v>
      </c>
      <c r="S153" s="1" t="s">
        <v>1507</v>
      </c>
      <c r="T153" s="1" t="s">
        <v>1507</v>
      </c>
      <c r="U153" s="1" t="s">
        <v>11951</v>
      </c>
      <c r="V153" s="1" t="s">
        <v>11952</v>
      </c>
      <c r="W153" s="1" t="s">
        <v>11953</v>
      </c>
      <c r="X153" s="1" t="s">
        <v>11954</v>
      </c>
      <c r="Y153" s="1" t="s">
        <v>11955</v>
      </c>
      <c r="Z153" s="1" t="s">
        <v>11956</v>
      </c>
      <c r="AA153" s="1" t="s">
        <v>11957</v>
      </c>
      <c r="AB153" s="1" t="s">
        <v>11958</v>
      </c>
      <c r="AC153" s="1" t="s">
        <v>11959</v>
      </c>
      <c r="AD153" s="1" t="s">
        <v>11960</v>
      </c>
      <c r="AE153" s="1" t="s">
        <v>11961</v>
      </c>
      <c r="AF153" s="1" t="s">
        <v>11962</v>
      </c>
      <c r="AG153" s="1" t="s">
        <v>1507</v>
      </c>
      <c r="AH153" s="1">
        <v>24</v>
      </c>
      <c r="AI153" s="1">
        <v>7</v>
      </c>
      <c r="AJ153" s="1">
        <v>10</v>
      </c>
      <c r="AK153" s="1">
        <v>2</v>
      </c>
      <c r="AL153" s="1">
        <v>7</v>
      </c>
      <c r="AM153" s="1" t="s">
        <v>11963</v>
      </c>
      <c r="AN153" s="1" t="s">
        <v>6878</v>
      </c>
      <c r="AO153" s="1" t="s">
        <v>11964</v>
      </c>
      <c r="AP153" s="1" t="s">
        <v>11965</v>
      </c>
      <c r="AQ153" s="1" t="s">
        <v>11966</v>
      </c>
      <c r="AR153" s="1" t="s">
        <v>1507</v>
      </c>
      <c r="AS153" s="1" t="s">
        <v>11950</v>
      </c>
      <c r="AT153" s="1" t="s">
        <v>11967</v>
      </c>
      <c r="AU153" s="1" t="s">
        <v>11338</v>
      </c>
      <c r="AV153" s="1">
        <v>2018</v>
      </c>
      <c r="AW153" s="1">
        <v>77</v>
      </c>
      <c r="AX153" s="1">
        <v>1</v>
      </c>
      <c r="AY153" s="1" t="s">
        <v>1507</v>
      </c>
      <c r="AZ153" s="1" t="s">
        <v>1507</v>
      </c>
      <c r="BA153" s="1" t="s">
        <v>1507</v>
      </c>
      <c r="BB153" s="1" t="s">
        <v>1507</v>
      </c>
      <c r="BC153" s="1">
        <v>134</v>
      </c>
      <c r="BD153" s="1">
        <v>140</v>
      </c>
      <c r="BE153" s="1" t="s">
        <v>1507</v>
      </c>
      <c r="BF153" s="1" t="s">
        <v>11968</v>
      </c>
      <c r="BG153" s="1" t="str">
        <f>HYPERLINK("http://dx.doi.org/10.1590/1678-4499.2016307","http://dx.doi.org/10.1590/1678-4499.2016307")</f>
        <v>http://dx.doi.org/10.1590/1678-4499.2016307</v>
      </c>
      <c r="BH153" s="1" t="s">
        <v>1507</v>
      </c>
      <c r="BI153" s="1" t="s">
        <v>1507</v>
      </c>
      <c r="BJ153" s="1">
        <v>7</v>
      </c>
      <c r="BK153" s="1" t="s">
        <v>11969</v>
      </c>
      <c r="BL153" s="1" t="s">
        <v>1573</v>
      </c>
      <c r="BM153" s="1" t="s">
        <v>11970</v>
      </c>
      <c r="BN153" s="1" t="s">
        <v>11971</v>
      </c>
      <c r="BO153" s="1" t="s">
        <v>1507</v>
      </c>
      <c r="BP153" s="1" t="s">
        <v>2040</v>
      </c>
      <c r="BQ153" s="1" t="s">
        <v>1507</v>
      </c>
      <c r="BR153" s="1" t="s">
        <v>1507</v>
      </c>
      <c r="BS153" s="1" t="s">
        <v>13744</v>
      </c>
      <c r="BT153" s="1" t="s">
        <v>11972</v>
      </c>
      <c r="BU153" s="1" t="str">
        <f>HYPERLINK("https%3A%2F%2Fwww.webofscience.com%2Fwos%2Fwoscc%2Ffull-record%2FWOS:000432450500013","View Full Record in Web of Science")</f>
        <v>View Full Record in Web of Science</v>
      </c>
    </row>
    <row r="154" spans="1:73" x14ac:dyDescent="0.25">
      <c r="A154" s="1">
        <v>153</v>
      </c>
      <c r="B154" s="1" t="s">
        <v>1506</v>
      </c>
      <c r="C154" s="1" t="s">
        <v>9059</v>
      </c>
      <c r="D154" s="1" t="s">
        <v>1507</v>
      </c>
      <c r="E154" s="1" t="s">
        <v>1507</v>
      </c>
      <c r="F154" s="1" t="s">
        <v>1507</v>
      </c>
      <c r="G154" s="1" t="s">
        <v>9060</v>
      </c>
      <c r="H154" s="1" t="s">
        <v>1507</v>
      </c>
      <c r="I154" s="1" t="s">
        <v>1507</v>
      </c>
      <c r="J154" s="1" t="s">
        <v>9061</v>
      </c>
      <c r="K154" s="1" t="s">
        <v>5034</v>
      </c>
      <c r="L154" s="1" t="s">
        <v>1507</v>
      </c>
      <c r="M154" s="1" t="s">
        <v>1507</v>
      </c>
      <c r="N154" s="1" t="s">
        <v>42</v>
      </c>
      <c r="O154" s="1" t="s">
        <v>56</v>
      </c>
      <c r="P154" s="1" t="s">
        <v>1507</v>
      </c>
      <c r="Q154" s="1" t="s">
        <v>1507</v>
      </c>
      <c r="R154" s="1" t="s">
        <v>1507</v>
      </c>
      <c r="S154" s="1" t="s">
        <v>1507</v>
      </c>
      <c r="T154" s="1" t="s">
        <v>1507</v>
      </c>
      <c r="U154" s="1" t="s">
        <v>1507</v>
      </c>
      <c r="V154" s="1" t="s">
        <v>9062</v>
      </c>
      <c r="W154" s="1" t="s">
        <v>1507</v>
      </c>
      <c r="X154" s="1" t="s">
        <v>9063</v>
      </c>
      <c r="Y154" s="1" t="s">
        <v>2484</v>
      </c>
      <c r="Z154" s="1" t="s">
        <v>9064</v>
      </c>
      <c r="AA154" s="1" t="s">
        <v>1507</v>
      </c>
      <c r="AB154" s="1" t="s">
        <v>1507</v>
      </c>
      <c r="AC154" s="1" t="s">
        <v>1507</v>
      </c>
      <c r="AD154" s="1" t="s">
        <v>9065</v>
      </c>
      <c r="AE154" s="1" t="s">
        <v>9065</v>
      </c>
      <c r="AF154" s="1" t="s">
        <v>9066</v>
      </c>
      <c r="AG154" s="1" t="s">
        <v>1507</v>
      </c>
      <c r="AH154" s="1">
        <v>123</v>
      </c>
      <c r="AI154" s="1">
        <v>0</v>
      </c>
      <c r="AJ154" s="1">
        <v>0</v>
      </c>
      <c r="AK154" s="1">
        <v>0</v>
      </c>
      <c r="AL154" s="1">
        <v>0</v>
      </c>
      <c r="AM154" s="1" t="s">
        <v>3500</v>
      </c>
      <c r="AN154" s="1" t="s">
        <v>3501</v>
      </c>
      <c r="AO154" s="1" t="s">
        <v>3502</v>
      </c>
      <c r="AP154" s="1" t="s">
        <v>5041</v>
      </c>
      <c r="AQ154" s="1" t="s">
        <v>5042</v>
      </c>
      <c r="AR154" s="1" t="s">
        <v>1507</v>
      </c>
      <c r="AS154" s="1" t="s">
        <v>5043</v>
      </c>
      <c r="AT154" s="1" t="s">
        <v>5044</v>
      </c>
      <c r="AU154" s="1" t="s">
        <v>9054</v>
      </c>
      <c r="AV154" s="1">
        <v>2021</v>
      </c>
      <c r="AW154" s="1">
        <v>29</v>
      </c>
      <c r="AX154" s="1">
        <v>1</v>
      </c>
      <c r="AY154" s="1" t="s">
        <v>1507</v>
      </c>
      <c r="AZ154" s="1" t="s">
        <v>1507</v>
      </c>
      <c r="BA154" s="1" t="s">
        <v>1507</v>
      </c>
      <c r="BB154" s="1" t="s">
        <v>1507</v>
      </c>
      <c r="BC154" s="1">
        <v>1</v>
      </c>
      <c r="BD154" s="1">
        <v>39</v>
      </c>
      <c r="BE154" s="1" t="s">
        <v>1507</v>
      </c>
      <c r="BF154" s="1" t="s">
        <v>9067</v>
      </c>
      <c r="BG154" s="1" t="str">
        <f>HYPERLINK("http://dx.doi.org/10.3366/ajicl.2021.0348","http://dx.doi.org/10.3366/ajicl.2021.0348")</f>
        <v>http://dx.doi.org/10.3366/ajicl.2021.0348</v>
      </c>
      <c r="BH154" s="1" t="s">
        <v>1507</v>
      </c>
      <c r="BI154" s="1" t="s">
        <v>1507</v>
      </c>
      <c r="BJ154" s="1">
        <v>39</v>
      </c>
      <c r="BK154" s="1" t="s">
        <v>1535</v>
      </c>
      <c r="BL154" s="1" t="s">
        <v>1529</v>
      </c>
      <c r="BM154" s="1" t="s">
        <v>1536</v>
      </c>
      <c r="BN154" s="1" t="s">
        <v>9068</v>
      </c>
      <c r="BO154" s="1" t="s">
        <v>1507</v>
      </c>
      <c r="BP154" s="1" t="s">
        <v>1507</v>
      </c>
      <c r="BQ154" s="1" t="s">
        <v>1507</v>
      </c>
      <c r="BR154" s="1" t="s">
        <v>1507</v>
      </c>
      <c r="BS154" s="1" t="s">
        <v>13744</v>
      </c>
      <c r="BT154" s="1" t="s">
        <v>9069</v>
      </c>
      <c r="BU154" s="1" t="str">
        <f>HYPERLINK("https%3A%2F%2Fwww.webofscience.com%2Fwos%2Fwoscc%2Ffull-record%2FWOS:000618062900001","View Full Record in Web of Science")</f>
        <v>View Full Record in Web of Science</v>
      </c>
    </row>
    <row r="155" spans="1:73" x14ac:dyDescent="0.25">
      <c r="A155" s="1">
        <v>154</v>
      </c>
      <c r="B155" s="1" t="s">
        <v>1506</v>
      </c>
      <c r="C155" s="1" t="s">
        <v>10664</v>
      </c>
      <c r="D155" s="1" t="s">
        <v>1507</v>
      </c>
      <c r="E155" s="1" t="s">
        <v>1507</v>
      </c>
      <c r="F155" s="1" t="s">
        <v>1507</v>
      </c>
      <c r="G155" s="1" t="s">
        <v>10665</v>
      </c>
      <c r="H155" s="1" t="s">
        <v>1507</v>
      </c>
      <c r="I155" s="1" t="s">
        <v>1507</v>
      </c>
      <c r="J155" s="1" t="s">
        <v>10666</v>
      </c>
      <c r="K155" s="1" t="s">
        <v>10667</v>
      </c>
      <c r="L155" s="1" t="s">
        <v>1507</v>
      </c>
      <c r="M155" s="1" t="s">
        <v>1507</v>
      </c>
      <c r="N155" s="1" t="s">
        <v>42</v>
      </c>
      <c r="O155" s="1" t="s">
        <v>56</v>
      </c>
      <c r="P155" s="1" t="s">
        <v>1507</v>
      </c>
      <c r="Q155" s="1" t="s">
        <v>1507</v>
      </c>
      <c r="R155" s="1" t="s">
        <v>1507</v>
      </c>
      <c r="S155" s="1" t="s">
        <v>1507</v>
      </c>
      <c r="T155" s="1" t="s">
        <v>1507</v>
      </c>
      <c r="U155" s="1" t="s">
        <v>1507</v>
      </c>
      <c r="V155" s="1" t="s">
        <v>1507</v>
      </c>
      <c r="W155" s="1" t="s">
        <v>10668</v>
      </c>
      <c r="X155" s="1" t="s">
        <v>10669</v>
      </c>
      <c r="Y155" s="1" t="s">
        <v>10670</v>
      </c>
      <c r="Z155" s="1" t="s">
        <v>10671</v>
      </c>
      <c r="AA155" s="1" t="s">
        <v>10672</v>
      </c>
      <c r="AB155" s="1" t="s">
        <v>1507</v>
      </c>
      <c r="AC155" s="1" t="s">
        <v>1507</v>
      </c>
      <c r="AD155" s="1" t="s">
        <v>10673</v>
      </c>
      <c r="AE155" s="1" t="s">
        <v>10673</v>
      </c>
      <c r="AF155" s="1" t="s">
        <v>10674</v>
      </c>
      <c r="AG155" s="1" t="s">
        <v>1507</v>
      </c>
      <c r="AH155" s="1">
        <v>97</v>
      </c>
      <c r="AI155" s="1">
        <v>3</v>
      </c>
      <c r="AJ155" s="1">
        <v>3</v>
      </c>
      <c r="AK155" s="1">
        <v>1</v>
      </c>
      <c r="AL155" s="1">
        <v>11</v>
      </c>
      <c r="AM155" s="1" t="s">
        <v>1559</v>
      </c>
      <c r="AN155" s="1" t="s">
        <v>1560</v>
      </c>
      <c r="AO155" s="1" t="s">
        <v>1561</v>
      </c>
      <c r="AP155" s="1" t="s">
        <v>10675</v>
      </c>
      <c r="AQ155" s="1" t="s">
        <v>10676</v>
      </c>
      <c r="AR155" s="1" t="s">
        <v>1507</v>
      </c>
      <c r="AS155" s="1" t="s">
        <v>10677</v>
      </c>
      <c r="AT155" s="1" t="s">
        <v>10678</v>
      </c>
      <c r="AU155" s="1" t="s">
        <v>3992</v>
      </c>
      <c r="AV155" s="1">
        <v>2019</v>
      </c>
      <c r="AW155" s="1">
        <v>82</v>
      </c>
      <c r="AX155" s="1">
        <v>5</v>
      </c>
      <c r="AY155" s="1" t="s">
        <v>1507</v>
      </c>
      <c r="AZ155" s="1" t="s">
        <v>1507</v>
      </c>
      <c r="BA155" s="1" t="s">
        <v>1507</v>
      </c>
      <c r="BB155" s="1" t="s">
        <v>1507</v>
      </c>
      <c r="BC155" s="1">
        <v>800</v>
      </c>
      <c r="BD155" s="1">
        <v>832</v>
      </c>
      <c r="BE155" s="1" t="s">
        <v>1507</v>
      </c>
      <c r="BF155" s="1" t="s">
        <v>10679</v>
      </c>
      <c r="BG155" s="1" t="str">
        <f>HYPERLINK("http://dx.doi.org/10.1111/1468-2230.12438","http://dx.doi.org/10.1111/1468-2230.12438")</f>
        <v>http://dx.doi.org/10.1111/1468-2230.12438</v>
      </c>
      <c r="BH155" s="1" t="s">
        <v>1507</v>
      </c>
      <c r="BI155" s="1" t="s">
        <v>1507</v>
      </c>
      <c r="BJ155" s="1">
        <v>33</v>
      </c>
      <c r="BK155" s="1" t="s">
        <v>1535</v>
      </c>
      <c r="BL155" s="1" t="s">
        <v>1518</v>
      </c>
      <c r="BM155" s="1" t="s">
        <v>1536</v>
      </c>
      <c r="BN155" s="1" t="s">
        <v>10680</v>
      </c>
      <c r="BO155" s="1" t="s">
        <v>1507</v>
      </c>
      <c r="BP155" s="1" t="s">
        <v>1507</v>
      </c>
      <c r="BQ155" s="1" t="s">
        <v>1507</v>
      </c>
      <c r="BR155" s="1" t="s">
        <v>1507</v>
      </c>
      <c r="BS155" s="1" t="s">
        <v>13744</v>
      </c>
      <c r="BT155" s="1" t="s">
        <v>10681</v>
      </c>
      <c r="BU155" s="1" t="str">
        <f>HYPERLINK("https%3A%2F%2Fwww.webofscience.com%2Fwos%2Fwoscc%2Ffull-record%2FWOS:000481580500002","View Full Record in Web of Science")</f>
        <v>View Full Record in Web of Science</v>
      </c>
    </row>
    <row r="156" spans="1:73" x14ac:dyDescent="0.25">
      <c r="A156" s="1">
        <v>155</v>
      </c>
      <c r="B156" s="1" t="s">
        <v>1506</v>
      </c>
      <c r="C156" s="1" t="s">
        <v>3357</v>
      </c>
      <c r="D156" s="1" t="s">
        <v>1507</v>
      </c>
      <c r="E156" s="1" t="s">
        <v>1507</v>
      </c>
      <c r="F156" s="1" t="s">
        <v>1507</v>
      </c>
      <c r="G156" s="1" t="s">
        <v>3358</v>
      </c>
      <c r="H156" s="1" t="s">
        <v>1507</v>
      </c>
      <c r="I156" s="1" t="s">
        <v>1507</v>
      </c>
      <c r="J156" s="1" t="s">
        <v>3359</v>
      </c>
      <c r="K156" s="1" t="s">
        <v>2874</v>
      </c>
      <c r="L156" s="1" t="s">
        <v>1507</v>
      </c>
      <c r="M156" s="1" t="s">
        <v>1507</v>
      </c>
      <c r="N156" s="1" t="s">
        <v>42</v>
      </c>
      <c r="O156" s="1" t="s">
        <v>56</v>
      </c>
      <c r="P156" s="1" t="s">
        <v>1507</v>
      </c>
      <c r="Q156" s="1" t="s">
        <v>1507</v>
      </c>
      <c r="R156" s="1" t="s">
        <v>1507</v>
      </c>
      <c r="S156" s="1" t="s">
        <v>1507</v>
      </c>
      <c r="T156" s="1" t="s">
        <v>1507</v>
      </c>
      <c r="U156" s="1" t="s">
        <v>3360</v>
      </c>
      <c r="V156" s="1" t="s">
        <v>3361</v>
      </c>
      <c r="W156" s="1" t="s">
        <v>3362</v>
      </c>
      <c r="X156" s="1" t="s">
        <v>3363</v>
      </c>
      <c r="Y156" s="1" t="s">
        <v>3364</v>
      </c>
      <c r="Z156" s="1" t="s">
        <v>3365</v>
      </c>
      <c r="AA156" s="1" t="s">
        <v>3366</v>
      </c>
      <c r="AB156" s="1" t="s">
        <v>14300</v>
      </c>
      <c r="AC156" s="1" t="s">
        <v>14301</v>
      </c>
      <c r="AD156" s="1" t="s">
        <v>3367</v>
      </c>
      <c r="AE156" s="1" t="s">
        <v>3368</v>
      </c>
      <c r="AF156" s="1" t="s">
        <v>3369</v>
      </c>
      <c r="AG156" s="1" t="s">
        <v>1507</v>
      </c>
      <c r="AH156" s="1">
        <v>63</v>
      </c>
      <c r="AI156" s="1">
        <v>2</v>
      </c>
      <c r="AJ156" s="1">
        <v>2</v>
      </c>
      <c r="AK156" s="1">
        <v>23</v>
      </c>
      <c r="AL156" s="1">
        <v>28</v>
      </c>
      <c r="AM156" s="1" t="s">
        <v>2883</v>
      </c>
      <c r="AN156" s="1" t="s">
        <v>1512</v>
      </c>
      <c r="AO156" s="1" t="s">
        <v>2884</v>
      </c>
      <c r="AP156" s="1" t="s">
        <v>2885</v>
      </c>
      <c r="AQ156" s="1" t="s">
        <v>2886</v>
      </c>
      <c r="AR156" s="1" t="s">
        <v>1507</v>
      </c>
      <c r="AS156" s="1" t="s">
        <v>2887</v>
      </c>
      <c r="AT156" s="1" t="s">
        <v>2888</v>
      </c>
      <c r="AU156" s="1" t="s">
        <v>3992</v>
      </c>
      <c r="AV156" s="1">
        <v>2023</v>
      </c>
      <c r="AW156" s="1">
        <v>20</v>
      </c>
      <c r="AX156" s="1">
        <v>9</v>
      </c>
      <c r="AY156" s="1" t="s">
        <v>1507</v>
      </c>
      <c r="AZ156" s="1" t="s">
        <v>1507</v>
      </c>
      <c r="BA156" s="1" t="s">
        <v>1507</v>
      </c>
      <c r="BB156" s="1" t="s">
        <v>1507</v>
      </c>
      <c r="BC156" s="1">
        <v>877</v>
      </c>
      <c r="BD156" s="1">
        <v>885</v>
      </c>
      <c r="BE156" s="1" t="s">
        <v>1507</v>
      </c>
      <c r="BF156" s="1" t="s">
        <v>3370</v>
      </c>
      <c r="BG156" s="1" t="str">
        <f>HYPERLINK("http://dx.doi.org/10.1016/j.jacr.2023.07.007","http://dx.doi.org/10.1016/j.jacr.2023.07.007")</f>
        <v>http://dx.doi.org/10.1016/j.jacr.2023.07.007</v>
      </c>
      <c r="BH156" s="1" t="s">
        <v>1507</v>
      </c>
      <c r="BI156" s="1" t="s">
        <v>2891</v>
      </c>
      <c r="BJ156" s="1">
        <v>9</v>
      </c>
      <c r="BK156" s="1" t="s">
        <v>1653</v>
      </c>
      <c r="BL156" s="1" t="s">
        <v>1573</v>
      </c>
      <c r="BM156" s="1" t="s">
        <v>1653</v>
      </c>
      <c r="BN156" s="1" t="s">
        <v>3371</v>
      </c>
      <c r="BO156" s="1">
        <v>37467871</v>
      </c>
      <c r="BP156" s="1" t="s">
        <v>1507</v>
      </c>
      <c r="BQ156" s="1" t="s">
        <v>1507</v>
      </c>
      <c r="BR156" s="1" t="s">
        <v>1507</v>
      </c>
      <c r="BS156" s="1" t="s">
        <v>13744</v>
      </c>
      <c r="BT156" s="1" t="s">
        <v>3372</v>
      </c>
      <c r="BU156" s="1" t="str">
        <f>HYPERLINK("https%3A%2F%2Fwww.webofscience.com%2Fwos%2Fwoscc%2Ffull-record%2FWOS:001089157200001","View Full Record in Web of Science")</f>
        <v>View Full Record in Web of Science</v>
      </c>
    </row>
    <row r="157" spans="1:73" x14ac:dyDescent="0.25">
      <c r="A157" s="1">
        <v>156</v>
      </c>
      <c r="B157" s="1" t="s">
        <v>1506</v>
      </c>
      <c r="C157" s="1" t="s">
        <v>8642</v>
      </c>
      <c r="D157" s="1" t="s">
        <v>1507</v>
      </c>
      <c r="E157" s="1" t="s">
        <v>1507</v>
      </c>
      <c r="F157" s="1" t="s">
        <v>1507</v>
      </c>
      <c r="G157" s="1" t="s">
        <v>8643</v>
      </c>
      <c r="H157" s="1" t="s">
        <v>1507</v>
      </c>
      <c r="I157" s="1" t="s">
        <v>1507</v>
      </c>
      <c r="J157" s="1" t="s">
        <v>8644</v>
      </c>
      <c r="K157" s="1" t="s">
        <v>8645</v>
      </c>
      <c r="L157" s="1" t="s">
        <v>1507</v>
      </c>
      <c r="M157" s="1" t="s">
        <v>1507</v>
      </c>
      <c r="N157" s="1" t="s">
        <v>42</v>
      </c>
      <c r="O157" s="1" t="s">
        <v>56</v>
      </c>
      <c r="P157" s="1" t="s">
        <v>1507</v>
      </c>
      <c r="Q157" s="1" t="s">
        <v>1507</v>
      </c>
      <c r="R157" s="1" t="s">
        <v>1507</v>
      </c>
      <c r="S157" s="1" t="s">
        <v>1507</v>
      </c>
      <c r="T157" s="1" t="s">
        <v>1507</v>
      </c>
      <c r="U157" s="1" t="s">
        <v>1507</v>
      </c>
      <c r="V157" s="1" t="s">
        <v>8646</v>
      </c>
      <c r="W157" s="1" t="s">
        <v>8647</v>
      </c>
      <c r="X157" s="1" t="s">
        <v>8648</v>
      </c>
      <c r="Y157" s="1" t="s">
        <v>8649</v>
      </c>
      <c r="Z157" s="1" t="s">
        <v>8650</v>
      </c>
      <c r="AA157" s="1" t="s">
        <v>8651</v>
      </c>
      <c r="AB157" s="1" t="s">
        <v>1507</v>
      </c>
      <c r="AC157" s="1" t="s">
        <v>8652</v>
      </c>
      <c r="AD157" s="1" t="s">
        <v>8653</v>
      </c>
      <c r="AE157" s="1" t="s">
        <v>8654</v>
      </c>
      <c r="AF157" s="1" t="s">
        <v>8655</v>
      </c>
      <c r="AG157" s="1" t="s">
        <v>1507</v>
      </c>
      <c r="AH157" s="1">
        <v>19</v>
      </c>
      <c r="AI157" s="1">
        <v>1</v>
      </c>
      <c r="AJ157" s="1">
        <v>1</v>
      </c>
      <c r="AK157" s="1">
        <v>0</v>
      </c>
      <c r="AL157" s="1">
        <v>1</v>
      </c>
      <c r="AM157" s="1" t="s">
        <v>1582</v>
      </c>
      <c r="AN157" s="1" t="s">
        <v>1583</v>
      </c>
      <c r="AO157" s="1" t="s">
        <v>1584</v>
      </c>
      <c r="AP157" s="1" t="s">
        <v>8656</v>
      </c>
      <c r="AQ157" s="1" t="s">
        <v>8657</v>
      </c>
      <c r="AR157" s="1" t="s">
        <v>1507</v>
      </c>
      <c r="AS157" s="1" t="s">
        <v>8658</v>
      </c>
      <c r="AT157" s="1" t="s">
        <v>8659</v>
      </c>
      <c r="AU157" s="1" t="s">
        <v>3992</v>
      </c>
      <c r="AV157" s="1">
        <v>2021</v>
      </c>
      <c r="AW157" s="1">
        <v>19</v>
      </c>
      <c r="AX157" s="1">
        <v>4</v>
      </c>
      <c r="AY157" s="1" t="s">
        <v>1507</v>
      </c>
      <c r="AZ157" s="1" t="s">
        <v>1507</v>
      </c>
      <c r="BA157" s="1" t="s">
        <v>1507</v>
      </c>
      <c r="BB157" s="1" t="s">
        <v>1507</v>
      </c>
      <c r="BC157" s="1">
        <v>877</v>
      </c>
      <c r="BD157" s="1">
        <v>892</v>
      </c>
      <c r="BE157" s="1" t="s">
        <v>1507</v>
      </c>
      <c r="BF157" s="1" t="s">
        <v>8660</v>
      </c>
      <c r="BG157" s="1" t="str">
        <f>HYPERLINK("http://dx.doi.org/10.1093/jicj/mqab019","http://dx.doi.org/10.1093/jicj/mqab019")</f>
        <v>http://dx.doi.org/10.1093/jicj/mqab019</v>
      </c>
      <c r="BH157" s="1" t="s">
        <v>1507</v>
      </c>
      <c r="BI157" s="1" t="s">
        <v>8618</v>
      </c>
      <c r="BJ157" s="1">
        <v>15</v>
      </c>
      <c r="BK157" s="1" t="s">
        <v>1535</v>
      </c>
      <c r="BL157" s="1" t="s">
        <v>1518</v>
      </c>
      <c r="BM157" s="1" t="s">
        <v>1536</v>
      </c>
      <c r="BN157" s="1" t="s">
        <v>8661</v>
      </c>
      <c r="BO157" s="1" t="s">
        <v>1507</v>
      </c>
      <c r="BP157" s="1" t="s">
        <v>1507</v>
      </c>
      <c r="BQ157" s="1" t="s">
        <v>1507</v>
      </c>
      <c r="BR157" s="1" t="s">
        <v>1507</v>
      </c>
      <c r="BS157" s="1" t="s">
        <v>13744</v>
      </c>
      <c r="BT157" s="1" t="s">
        <v>8662</v>
      </c>
      <c r="BU157" s="1" t="str">
        <f>HYPERLINK("https%3A%2F%2Fwww.webofscience.com%2Fwos%2Fwoscc%2Ffull-record%2FWOS:000743963800008","View Full Record in Web of Science")</f>
        <v>View Full Record in Web of Science</v>
      </c>
    </row>
    <row r="158" spans="1:73" x14ac:dyDescent="0.25">
      <c r="A158" s="1">
        <v>157</v>
      </c>
      <c r="B158" s="1" t="s">
        <v>1506</v>
      </c>
      <c r="C158" s="1" t="s">
        <v>8944</v>
      </c>
      <c r="D158" s="1" t="s">
        <v>1507</v>
      </c>
      <c r="E158" s="1" t="s">
        <v>1507</v>
      </c>
      <c r="F158" s="1" t="s">
        <v>1507</v>
      </c>
      <c r="G158" s="1" t="s">
        <v>8945</v>
      </c>
      <c r="H158" s="1" t="s">
        <v>1507</v>
      </c>
      <c r="I158" s="1" t="s">
        <v>1507</v>
      </c>
      <c r="J158" s="1" t="s">
        <v>8946</v>
      </c>
      <c r="K158" s="1" t="s">
        <v>8947</v>
      </c>
      <c r="L158" s="1" t="s">
        <v>1507</v>
      </c>
      <c r="M158" s="1" t="s">
        <v>1507</v>
      </c>
      <c r="N158" s="1" t="s">
        <v>42</v>
      </c>
      <c r="O158" s="1" t="s">
        <v>56</v>
      </c>
      <c r="P158" s="1" t="s">
        <v>1507</v>
      </c>
      <c r="Q158" s="1" t="s">
        <v>1507</v>
      </c>
      <c r="R158" s="1" t="s">
        <v>1507</v>
      </c>
      <c r="S158" s="1" t="s">
        <v>1507</v>
      </c>
      <c r="T158" s="1" t="s">
        <v>1507</v>
      </c>
      <c r="U158" s="1" t="s">
        <v>8948</v>
      </c>
      <c r="V158" s="1" t="s">
        <v>8949</v>
      </c>
      <c r="W158" s="1" t="s">
        <v>8950</v>
      </c>
      <c r="X158" s="1" t="s">
        <v>8951</v>
      </c>
      <c r="Y158" s="1" t="s">
        <v>8952</v>
      </c>
      <c r="Z158" s="1" t="s">
        <v>8953</v>
      </c>
      <c r="AA158" s="1" t="s">
        <v>8954</v>
      </c>
      <c r="AB158" s="1" t="s">
        <v>8955</v>
      </c>
      <c r="AC158" s="1" t="s">
        <v>8956</v>
      </c>
      <c r="AD158" s="1" t="s">
        <v>8957</v>
      </c>
      <c r="AE158" s="1" t="s">
        <v>8958</v>
      </c>
      <c r="AF158" s="1" t="s">
        <v>8959</v>
      </c>
      <c r="AG158" s="1" t="s">
        <v>1507</v>
      </c>
      <c r="AH158" s="1">
        <v>36</v>
      </c>
      <c r="AI158" s="1">
        <v>7</v>
      </c>
      <c r="AJ158" s="1">
        <v>8</v>
      </c>
      <c r="AK158" s="1">
        <v>2</v>
      </c>
      <c r="AL158" s="1">
        <v>30</v>
      </c>
      <c r="AM158" s="1" t="s">
        <v>8960</v>
      </c>
      <c r="AN158" s="1" t="s">
        <v>8961</v>
      </c>
      <c r="AO158" s="1" t="s">
        <v>8962</v>
      </c>
      <c r="AP158" s="1" t="s">
        <v>8963</v>
      </c>
      <c r="AQ158" s="1" t="s">
        <v>8964</v>
      </c>
      <c r="AR158" s="1" t="s">
        <v>1507</v>
      </c>
      <c r="AS158" s="1" t="s">
        <v>8947</v>
      </c>
      <c r="AT158" s="1" t="s">
        <v>8965</v>
      </c>
      <c r="AU158" s="1" t="s">
        <v>5362</v>
      </c>
      <c r="AV158" s="1">
        <v>2021</v>
      </c>
      <c r="AW158" s="1">
        <v>111</v>
      </c>
      <c r="AX158" s="1">
        <v>3</v>
      </c>
      <c r="AY158" s="1" t="s">
        <v>1507</v>
      </c>
      <c r="AZ158" s="1" t="s">
        <v>1507</v>
      </c>
      <c r="BA158" s="1" t="s">
        <v>1507</v>
      </c>
      <c r="BB158" s="1" t="s">
        <v>1507</v>
      </c>
      <c r="BC158" s="1">
        <v>478</v>
      </c>
      <c r="BD158" s="1">
        <v>484</v>
      </c>
      <c r="BE158" s="1" t="s">
        <v>1507</v>
      </c>
      <c r="BF158" s="1" t="s">
        <v>8966</v>
      </c>
      <c r="BG158" s="1" t="str">
        <f>HYPERLINK("http://dx.doi.org/10.1094/PHYTO-07-20-0268-R","http://dx.doi.org/10.1094/PHYTO-07-20-0268-R")</f>
        <v>http://dx.doi.org/10.1094/PHYTO-07-20-0268-R</v>
      </c>
      <c r="BH158" s="1" t="s">
        <v>1507</v>
      </c>
      <c r="BI158" s="1" t="s">
        <v>1507</v>
      </c>
      <c r="BJ158" s="1">
        <v>7</v>
      </c>
      <c r="BK158" s="1" t="s">
        <v>2914</v>
      </c>
      <c r="BL158" s="1" t="s">
        <v>1573</v>
      </c>
      <c r="BM158" s="1" t="s">
        <v>2914</v>
      </c>
      <c r="BN158" s="1" t="s">
        <v>8967</v>
      </c>
      <c r="BO158" s="1">
        <v>33044131</v>
      </c>
      <c r="BP158" s="1" t="s">
        <v>1537</v>
      </c>
      <c r="BQ158" s="1" t="s">
        <v>1507</v>
      </c>
      <c r="BR158" s="1" t="s">
        <v>1507</v>
      </c>
      <c r="BS158" s="1" t="s">
        <v>13744</v>
      </c>
      <c r="BT158" s="1" t="s">
        <v>8968</v>
      </c>
      <c r="BU158" s="1" t="str">
        <f>HYPERLINK("https%3A%2F%2Fwww.webofscience.com%2Fwos%2Fwoscc%2Ffull-record%2FWOS:000631080100006","View Full Record in Web of Science")</f>
        <v>View Full Record in Web of Science</v>
      </c>
    </row>
    <row r="159" spans="1:73" x14ac:dyDescent="0.25">
      <c r="A159" s="1">
        <v>158</v>
      </c>
      <c r="B159" s="1" t="s">
        <v>5546</v>
      </c>
      <c r="C159" s="1" t="s">
        <v>14944</v>
      </c>
      <c r="D159" s="1" t="s">
        <v>1507</v>
      </c>
      <c r="E159" s="1" t="s">
        <v>1507</v>
      </c>
      <c r="F159" s="1" t="s">
        <v>5548</v>
      </c>
      <c r="G159" s="1" t="s">
        <v>14945</v>
      </c>
      <c r="H159" s="1" t="s">
        <v>1507</v>
      </c>
      <c r="I159" s="1" t="s">
        <v>1507</v>
      </c>
      <c r="J159" s="1" t="s">
        <v>776</v>
      </c>
      <c r="K159" s="1" t="s">
        <v>14946</v>
      </c>
      <c r="L159" s="1" t="s">
        <v>1507</v>
      </c>
      <c r="M159" s="1" t="s">
        <v>1507</v>
      </c>
      <c r="N159" s="1" t="s">
        <v>42</v>
      </c>
      <c r="O159" s="1" t="s">
        <v>5552</v>
      </c>
      <c r="P159" s="1" t="s">
        <v>14947</v>
      </c>
      <c r="Q159" s="1" t="s">
        <v>6409</v>
      </c>
      <c r="R159" s="1" t="s">
        <v>14948</v>
      </c>
      <c r="S159" s="1" t="s">
        <v>14949</v>
      </c>
      <c r="T159" s="1" t="s">
        <v>1507</v>
      </c>
      <c r="U159" s="1" t="s">
        <v>14950</v>
      </c>
      <c r="V159" s="1" t="s">
        <v>1507</v>
      </c>
      <c r="W159" s="1" t="s">
        <v>14951</v>
      </c>
      <c r="X159" s="1" t="s">
        <v>14952</v>
      </c>
      <c r="Y159" s="1" t="s">
        <v>14953</v>
      </c>
      <c r="Z159" s="1" t="s">
        <v>14954</v>
      </c>
      <c r="AA159" s="1" t="s">
        <v>14955</v>
      </c>
      <c r="AB159" s="1" t="s">
        <v>1507</v>
      </c>
      <c r="AC159" s="1" t="s">
        <v>14956</v>
      </c>
      <c r="AD159" s="1" t="s">
        <v>1507</v>
      </c>
      <c r="AE159" s="1" t="s">
        <v>1507</v>
      </c>
      <c r="AF159" s="1" t="s">
        <v>1507</v>
      </c>
      <c r="AG159" s="1" t="s">
        <v>1507</v>
      </c>
      <c r="AH159" s="1">
        <v>18</v>
      </c>
      <c r="AI159" s="1">
        <v>0</v>
      </c>
      <c r="AJ159" s="1">
        <v>0</v>
      </c>
      <c r="AK159" s="1">
        <v>3</v>
      </c>
      <c r="AL159" s="1">
        <v>3</v>
      </c>
      <c r="AM159" s="1" t="s">
        <v>5565</v>
      </c>
      <c r="AN159" s="1" t="s">
        <v>1512</v>
      </c>
      <c r="AO159" s="1" t="s">
        <v>5566</v>
      </c>
      <c r="AP159" s="1" t="s">
        <v>1507</v>
      </c>
      <c r="AQ159" s="1" t="s">
        <v>1507</v>
      </c>
      <c r="AR159" s="1" t="s">
        <v>14957</v>
      </c>
      <c r="AS159" s="1" t="s">
        <v>1507</v>
      </c>
      <c r="AT159" s="1" t="s">
        <v>1507</v>
      </c>
      <c r="AU159" s="1" t="s">
        <v>1507</v>
      </c>
      <c r="AV159" s="1">
        <v>2023</v>
      </c>
      <c r="AW159" s="1" t="s">
        <v>1507</v>
      </c>
      <c r="AX159" s="1" t="s">
        <v>1507</v>
      </c>
      <c r="AY159" s="1" t="s">
        <v>1507</v>
      </c>
      <c r="AZ159" s="1" t="s">
        <v>1507</v>
      </c>
      <c r="BA159" s="1" t="s">
        <v>1507</v>
      </c>
      <c r="BB159" s="1" t="s">
        <v>1507</v>
      </c>
      <c r="BC159" s="1">
        <v>3947</v>
      </c>
      <c r="BD159" s="1">
        <v>3955</v>
      </c>
      <c r="BE159" s="1" t="s">
        <v>1507</v>
      </c>
      <c r="BF159" s="1" t="s">
        <v>778</v>
      </c>
      <c r="BG159" s="1" t="str">
        <f>HYPERLINK("http://dx.doi.org/10.1145/3580305.3599827","http://dx.doi.org/10.1145/3580305.3599827")</f>
        <v>http://dx.doi.org/10.1145/3580305.3599827</v>
      </c>
      <c r="BH159" s="1" t="s">
        <v>1507</v>
      </c>
      <c r="BI159" s="1" t="s">
        <v>1507</v>
      </c>
      <c r="BJ159" s="1">
        <v>9</v>
      </c>
      <c r="BK159" s="1" t="s">
        <v>14958</v>
      </c>
      <c r="BL159" s="1" t="s">
        <v>5570</v>
      </c>
      <c r="BM159" s="1" t="s">
        <v>1577</v>
      </c>
      <c r="BN159" s="1" t="s">
        <v>14959</v>
      </c>
      <c r="BO159" s="1" t="s">
        <v>1507</v>
      </c>
      <c r="BP159" s="1" t="s">
        <v>2574</v>
      </c>
      <c r="BQ159" s="1" t="s">
        <v>1507</v>
      </c>
      <c r="BR159" s="1" t="s">
        <v>1507</v>
      </c>
      <c r="BS159" s="1" t="s">
        <v>13744</v>
      </c>
      <c r="BT159" s="1" t="s">
        <v>14960</v>
      </c>
      <c r="BU159" s="1" t="str">
        <f>HYPERLINK("https%3A%2F%2Fwww.webofscience.com%2Fwos%2Fwoscc%2Ffull-record%2FWOS:001118896303086","View Full Record in Web of Science")</f>
        <v>View Full Record in Web of Science</v>
      </c>
    </row>
    <row r="160" spans="1:73" x14ac:dyDescent="0.25">
      <c r="A160" s="1">
        <v>159</v>
      </c>
      <c r="B160" s="1" t="s">
        <v>1506</v>
      </c>
      <c r="C160" s="1" t="s">
        <v>8621</v>
      </c>
      <c r="D160" s="1" t="s">
        <v>1507</v>
      </c>
      <c r="E160" s="1" t="s">
        <v>1507</v>
      </c>
      <c r="F160" s="1" t="s">
        <v>1507</v>
      </c>
      <c r="G160" s="1" t="s">
        <v>8622</v>
      </c>
      <c r="H160" s="1" t="s">
        <v>1507</v>
      </c>
      <c r="I160" s="1" t="s">
        <v>1507</v>
      </c>
      <c r="J160" s="1" t="s">
        <v>8623</v>
      </c>
      <c r="K160" s="1" t="s">
        <v>8624</v>
      </c>
      <c r="L160" s="1" t="s">
        <v>1507</v>
      </c>
      <c r="M160" s="1" t="s">
        <v>1507</v>
      </c>
      <c r="N160" s="1" t="s">
        <v>42</v>
      </c>
      <c r="O160" s="1" t="s">
        <v>56</v>
      </c>
      <c r="P160" s="1" t="s">
        <v>1507</v>
      </c>
      <c r="Q160" s="1" t="s">
        <v>1507</v>
      </c>
      <c r="R160" s="1" t="s">
        <v>1507</v>
      </c>
      <c r="S160" s="1" t="s">
        <v>1507</v>
      </c>
      <c r="T160" s="1" t="s">
        <v>1507</v>
      </c>
      <c r="U160" s="1" t="s">
        <v>8625</v>
      </c>
      <c r="V160" s="1" t="s">
        <v>8626</v>
      </c>
      <c r="W160" s="1" t="s">
        <v>8627</v>
      </c>
      <c r="X160" s="1" t="s">
        <v>8628</v>
      </c>
      <c r="Y160" s="1" t="s">
        <v>7634</v>
      </c>
      <c r="Z160" s="1" t="s">
        <v>8629</v>
      </c>
      <c r="AA160" s="1" t="s">
        <v>8630</v>
      </c>
      <c r="AB160" s="1" t="s">
        <v>1507</v>
      </c>
      <c r="AC160" s="1" t="s">
        <v>8631</v>
      </c>
      <c r="AD160" s="1" t="s">
        <v>8632</v>
      </c>
      <c r="AE160" s="1" t="s">
        <v>8633</v>
      </c>
      <c r="AF160" s="1" t="s">
        <v>8634</v>
      </c>
      <c r="AG160" s="1" t="s">
        <v>1507</v>
      </c>
      <c r="AH160" s="1">
        <v>51</v>
      </c>
      <c r="AI160" s="1">
        <v>2</v>
      </c>
      <c r="AJ160" s="1">
        <v>2</v>
      </c>
      <c r="AK160" s="1">
        <v>4</v>
      </c>
      <c r="AL160" s="1">
        <v>21</v>
      </c>
      <c r="AM160" s="1" t="s">
        <v>1532</v>
      </c>
      <c r="AN160" s="1" t="s">
        <v>1533</v>
      </c>
      <c r="AO160" s="1" t="s">
        <v>1534</v>
      </c>
      <c r="AP160" s="1" t="s">
        <v>8635</v>
      </c>
      <c r="AQ160" s="1" t="s">
        <v>8636</v>
      </c>
      <c r="AR160" s="1" t="s">
        <v>1507</v>
      </c>
      <c r="AS160" s="1" t="s">
        <v>8637</v>
      </c>
      <c r="AT160" s="1" t="s">
        <v>8638</v>
      </c>
      <c r="AU160" s="1" t="s">
        <v>4721</v>
      </c>
      <c r="AV160" s="1">
        <v>2021</v>
      </c>
      <c r="AW160" s="1">
        <v>28</v>
      </c>
      <c r="AX160" s="1">
        <v>24</v>
      </c>
      <c r="AY160" s="1" t="s">
        <v>1507</v>
      </c>
      <c r="AZ160" s="1" t="s">
        <v>1507</v>
      </c>
      <c r="BA160" s="1" t="s">
        <v>1507</v>
      </c>
      <c r="BB160" s="1" t="s">
        <v>1507</v>
      </c>
      <c r="BC160" s="1">
        <v>32066</v>
      </c>
      <c r="BD160" s="1">
        <v>32073</v>
      </c>
      <c r="BE160" s="1" t="s">
        <v>1507</v>
      </c>
      <c r="BF160" s="1" t="s">
        <v>8639</v>
      </c>
      <c r="BG160" s="1" t="str">
        <f>HYPERLINK("http://dx.doi.org/10.1007/s11356-021-14351-1","http://dx.doi.org/10.1007/s11356-021-14351-1")</f>
        <v>http://dx.doi.org/10.1007/s11356-021-14351-1</v>
      </c>
      <c r="BH160" s="1" t="s">
        <v>1507</v>
      </c>
      <c r="BI160" s="1" t="s">
        <v>8618</v>
      </c>
      <c r="BJ160" s="1">
        <v>8</v>
      </c>
      <c r="BK160" s="1" t="s">
        <v>7038</v>
      </c>
      <c r="BL160" s="1" t="s">
        <v>1573</v>
      </c>
      <c r="BM160" s="1" t="s">
        <v>1839</v>
      </c>
      <c r="BN160" s="1" t="s">
        <v>8640</v>
      </c>
      <c r="BO160" s="1">
        <v>33982254</v>
      </c>
      <c r="BP160" s="1" t="s">
        <v>1507</v>
      </c>
      <c r="BQ160" s="1" t="s">
        <v>1507</v>
      </c>
      <c r="BR160" s="1" t="s">
        <v>1507</v>
      </c>
      <c r="BS160" s="1" t="s">
        <v>13744</v>
      </c>
      <c r="BT160" s="1" t="s">
        <v>8641</v>
      </c>
      <c r="BU160" s="1" t="str">
        <f>HYPERLINK("https%3A%2F%2Fwww.webofscience.com%2Fwos%2Fwoscc%2Ffull-record%2FWOS:000650138500002","View Full Record in Web of Science")</f>
        <v>View Full Record in Web of Science</v>
      </c>
    </row>
    <row r="161" spans="1:73" x14ac:dyDescent="0.25">
      <c r="A161" s="1">
        <v>160</v>
      </c>
      <c r="B161" s="1" t="s">
        <v>1506</v>
      </c>
      <c r="C161" s="1" t="s">
        <v>9454</v>
      </c>
      <c r="D161" s="1" t="s">
        <v>1507</v>
      </c>
      <c r="E161" s="1" t="s">
        <v>1507</v>
      </c>
      <c r="F161" s="1" t="s">
        <v>1507</v>
      </c>
      <c r="G161" s="1" t="s">
        <v>9455</v>
      </c>
      <c r="H161" s="1" t="s">
        <v>1507</v>
      </c>
      <c r="I161" s="1" t="s">
        <v>1507</v>
      </c>
      <c r="J161" s="1" t="s">
        <v>9456</v>
      </c>
      <c r="K161" s="1" t="s">
        <v>9457</v>
      </c>
      <c r="L161" s="1" t="s">
        <v>1507</v>
      </c>
      <c r="M161" s="1" t="s">
        <v>1507</v>
      </c>
      <c r="N161" s="1" t="s">
        <v>42</v>
      </c>
      <c r="O161" s="1" t="s">
        <v>56</v>
      </c>
      <c r="P161" s="1" t="s">
        <v>1507</v>
      </c>
      <c r="Q161" s="1" t="s">
        <v>1507</v>
      </c>
      <c r="R161" s="1" t="s">
        <v>1507</v>
      </c>
      <c r="S161" s="1" t="s">
        <v>1507</v>
      </c>
      <c r="T161" s="1" t="s">
        <v>1507</v>
      </c>
      <c r="U161" s="1" t="s">
        <v>9458</v>
      </c>
      <c r="V161" s="1" t="s">
        <v>9459</v>
      </c>
      <c r="W161" s="1" t="s">
        <v>9460</v>
      </c>
      <c r="X161" s="1" t="s">
        <v>9461</v>
      </c>
      <c r="Y161" s="1" t="s">
        <v>9462</v>
      </c>
      <c r="Z161" s="1" t="s">
        <v>9463</v>
      </c>
      <c r="AA161" s="1" t="s">
        <v>4822</v>
      </c>
      <c r="AB161" s="1" t="s">
        <v>8955</v>
      </c>
      <c r="AC161" s="1" t="s">
        <v>15793</v>
      </c>
      <c r="AD161" s="1" t="s">
        <v>9464</v>
      </c>
      <c r="AE161" s="1" t="s">
        <v>9465</v>
      </c>
      <c r="AF161" s="1" t="s">
        <v>9466</v>
      </c>
      <c r="AG161" s="1" t="s">
        <v>1507</v>
      </c>
      <c r="AH161" s="1">
        <v>56</v>
      </c>
      <c r="AI161" s="1">
        <v>8</v>
      </c>
      <c r="AJ161" s="1">
        <v>9</v>
      </c>
      <c r="AK161" s="1">
        <v>1</v>
      </c>
      <c r="AL161" s="1">
        <v>17</v>
      </c>
      <c r="AM161" s="1" t="s">
        <v>8960</v>
      </c>
      <c r="AN161" s="1" t="s">
        <v>8961</v>
      </c>
      <c r="AO161" s="1" t="s">
        <v>8962</v>
      </c>
      <c r="AP161" s="1" t="s">
        <v>9467</v>
      </c>
      <c r="AQ161" s="1" t="s">
        <v>9468</v>
      </c>
      <c r="AR161" s="1" t="s">
        <v>1507</v>
      </c>
      <c r="AS161" s="1" t="s">
        <v>9469</v>
      </c>
      <c r="AT161" s="1" t="s">
        <v>9470</v>
      </c>
      <c r="AU161" s="1" t="s">
        <v>2771</v>
      </c>
      <c r="AV161" s="1">
        <v>2020</v>
      </c>
      <c r="AW161" s="1">
        <v>104</v>
      </c>
      <c r="AX161" s="1">
        <v>11</v>
      </c>
      <c r="AY161" s="1" t="s">
        <v>1507</v>
      </c>
      <c r="AZ161" s="1" t="s">
        <v>1507</v>
      </c>
      <c r="BA161" s="1" t="s">
        <v>1507</v>
      </c>
      <c r="BB161" s="1" t="s">
        <v>1507</v>
      </c>
      <c r="BC161" s="1">
        <v>2843</v>
      </c>
      <c r="BD161" s="1">
        <v>2850</v>
      </c>
      <c r="BE161" s="1" t="s">
        <v>1507</v>
      </c>
      <c r="BF161" s="1" t="s">
        <v>9471</v>
      </c>
      <c r="BG161" s="1" t="str">
        <f>HYPERLINK("http://dx.doi.org/10.1094/PDIS-04-20-0714-RE","http://dx.doi.org/10.1094/PDIS-04-20-0714-RE")</f>
        <v>http://dx.doi.org/10.1094/PDIS-04-20-0714-RE</v>
      </c>
      <c r="BH161" s="1" t="s">
        <v>1507</v>
      </c>
      <c r="BI161" s="1" t="s">
        <v>1507</v>
      </c>
      <c r="BJ161" s="1">
        <v>8</v>
      </c>
      <c r="BK161" s="1" t="s">
        <v>2914</v>
      </c>
      <c r="BL161" s="1" t="s">
        <v>1573</v>
      </c>
      <c r="BM161" s="1" t="s">
        <v>2914</v>
      </c>
      <c r="BN161" s="1" t="s">
        <v>9472</v>
      </c>
      <c r="BO161" s="1">
        <v>32955405</v>
      </c>
      <c r="BP161" s="1" t="s">
        <v>1537</v>
      </c>
      <c r="BQ161" s="1" t="s">
        <v>1507</v>
      </c>
      <c r="BR161" s="1" t="s">
        <v>1507</v>
      </c>
      <c r="BS161" s="1" t="s">
        <v>13744</v>
      </c>
      <c r="BT161" s="1" t="s">
        <v>9473</v>
      </c>
      <c r="BU161" s="1" t="str">
        <f>HYPERLINK("https%3A%2F%2Fwww.webofscience.com%2Fwos%2Fwoscc%2Ffull-record%2FWOS:000583435500012","View Full Record in Web of Science")</f>
        <v>View Full Record in Web of Science</v>
      </c>
    </row>
    <row r="162" spans="1:73" x14ac:dyDescent="0.25">
      <c r="A162" s="1">
        <v>161</v>
      </c>
      <c r="B162" s="1" t="s">
        <v>1506</v>
      </c>
      <c r="C162" s="1" t="s">
        <v>5289</v>
      </c>
      <c r="D162" s="1" t="s">
        <v>1507</v>
      </c>
      <c r="E162" s="1" t="s">
        <v>1507</v>
      </c>
      <c r="F162" s="1" t="s">
        <v>1507</v>
      </c>
      <c r="G162" s="1" t="s">
        <v>5290</v>
      </c>
      <c r="H162" s="1" t="s">
        <v>1507</v>
      </c>
      <c r="I162" s="1" t="s">
        <v>1507</v>
      </c>
      <c r="J162" s="1" t="s">
        <v>14801</v>
      </c>
      <c r="K162" s="1" t="s">
        <v>5291</v>
      </c>
      <c r="L162" s="1" t="s">
        <v>1507</v>
      </c>
      <c r="M162" s="1" t="s">
        <v>1507</v>
      </c>
      <c r="N162" s="1" t="s">
        <v>42</v>
      </c>
      <c r="O162" s="1" t="s">
        <v>56</v>
      </c>
      <c r="P162" s="1" t="s">
        <v>1507</v>
      </c>
      <c r="Q162" s="1" t="s">
        <v>1507</v>
      </c>
      <c r="R162" s="1" t="s">
        <v>1507</v>
      </c>
      <c r="S162" s="1" t="s">
        <v>1507</v>
      </c>
      <c r="T162" s="1" t="s">
        <v>1507</v>
      </c>
      <c r="U162" s="1" t="s">
        <v>5292</v>
      </c>
      <c r="V162" s="1" t="s">
        <v>5293</v>
      </c>
      <c r="W162" s="1" t="s">
        <v>5294</v>
      </c>
      <c r="X162" s="1" t="s">
        <v>5295</v>
      </c>
      <c r="Y162" s="1" t="s">
        <v>5296</v>
      </c>
      <c r="Z162" s="1" t="s">
        <v>5297</v>
      </c>
      <c r="AA162" s="1" t="s">
        <v>5298</v>
      </c>
      <c r="AB162" s="1" t="s">
        <v>14802</v>
      </c>
      <c r="AC162" s="1" t="s">
        <v>14803</v>
      </c>
      <c r="AD162" s="1" t="s">
        <v>1507</v>
      </c>
      <c r="AE162" s="1" t="s">
        <v>1507</v>
      </c>
      <c r="AF162" s="1" t="s">
        <v>1507</v>
      </c>
      <c r="AG162" s="1" t="s">
        <v>1507</v>
      </c>
      <c r="AH162" s="1">
        <v>363</v>
      </c>
      <c r="AI162" s="1">
        <v>432</v>
      </c>
      <c r="AJ162" s="1">
        <v>437</v>
      </c>
      <c r="AK162" s="1">
        <v>1567</v>
      </c>
      <c r="AL162" s="1">
        <v>2644</v>
      </c>
      <c r="AM162" s="1" t="s">
        <v>1586</v>
      </c>
      <c r="AN162" s="1" t="s">
        <v>1587</v>
      </c>
      <c r="AO162" s="1" t="s">
        <v>1588</v>
      </c>
      <c r="AP162" s="1" t="s">
        <v>5299</v>
      </c>
      <c r="AQ162" s="1" t="s">
        <v>5300</v>
      </c>
      <c r="AR162" s="1" t="s">
        <v>1507</v>
      </c>
      <c r="AS162" s="1" t="s">
        <v>5301</v>
      </c>
      <c r="AT162" s="1" t="s">
        <v>5302</v>
      </c>
      <c r="AU162" s="1" t="s">
        <v>4336</v>
      </c>
      <c r="AV162" s="1">
        <v>2023</v>
      </c>
      <c r="AW162" s="1">
        <v>71</v>
      </c>
      <c r="AX162" s="1" t="s">
        <v>1507</v>
      </c>
      <c r="AY162" s="1" t="s">
        <v>1507</v>
      </c>
      <c r="AZ162" s="1" t="s">
        <v>1507</v>
      </c>
      <c r="BA162" s="1" t="s">
        <v>1507</v>
      </c>
      <c r="BB162" s="1" t="s">
        <v>1507</v>
      </c>
      <c r="BC162" s="1" t="s">
        <v>1507</v>
      </c>
      <c r="BD162" s="1" t="s">
        <v>1507</v>
      </c>
      <c r="BE162" s="1">
        <v>102642</v>
      </c>
      <c r="BF162" s="1" t="s">
        <v>5303</v>
      </c>
      <c r="BG162" s="1" t="str">
        <f>HYPERLINK("http://dx.doi.org/10.1016/j.ijinfomgt.2023.102642","http://dx.doi.org/10.1016/j.ijinfomgt.2023.102642")</f>
        <v>http://dx.doi.org/10.1016/j.ijinfomgt.2023.102642</v>
      </c>
      <c r="BH162" s="1" t="s">
        <v>1507</v>
      </c>
      <c r="BI162" s="1" t="s">
        <v>5260</v>
      </c>
      <c r="BJ162" s="1">
        <v>63</v>
      </c>
      <c r="BK162" s="1" t="s">
        <v>3916</v>
      </c>
      <c r="BL162" s="1" t="s">
        <v>1518</v>
      </c>
      <c r="BM162" s="1" t="s">
        <v>3916</v>
      </c>
      <c r="BN162" s="1" t="s">
        <v>5304</v>
      </c>
      <c r="BO162" s="1" t="s">
        <v>1507</v>
      </c>
      <c r="BP162" s="1" t="s">
        <v>8811</v>
      </c>
      <c r="BQ162" s="1" t="s">
        <v>1507</v>
      </c>
      <c r="BR162" s="1" t="s">
        <v>1507</v>
      </c>
      <c r="BS162" s="1" t="s">
        <v>13744</v>
      </c>
      <c r="BT162" s="1" t="s">
        <v>5305</v>
      </c>
      <c r="BU162" s="1" t="str">
        <f>HYPERLINK("https%3A%2F%2Fwww.webofscience.com%2Fwos%2Fwoscc%2Ffull-record%2FWOS:000954374300001","View Full Record in Web of Science")</f>
        <v>View Full Record in Web of Science</v>
      </c>
    </row>
    <row r="163" spans="1:73" x14ac:dyDescent="0.25">
      <c r="A163" s="1">
        <v>162</v>
      </c>
      <c r="B163" s="1" t="s">
        <v>5882</v>
      </c>
      <c r="C163" s="1" t="s">
        <v>10286</v>
      </c>
      <c r="D163" s="1" t="s">
        <v>1507</v>
      </c>
      <c r="E163" s="1" t="s">
        <v>10287</v>
      </c>
      <c r="F163" s="1" t="s">
        <v>1507</v>
      </c>
      <c r="G163" s="1" t="s">
        <v>10288</v>
      </c>
      <c r="H163" s="1" t="s">
        <v>1507</v>
      </c>
      <c r="I163" s="1" t="s">
        <v>1507</v>
      </c>
      <c r="J163" s="1" t="s">
        <v>10289</v>
      </c>
      <c r="K163" s="1" t="s">
        <v>10290</v>
      </c>
      <c r="L163" s="1" t="s">
        <v>1507</v>
      </c>
      <c r="M163" s="1" t="s">
        <v>1507</v>
      </c>
      <c r="N163" s="1" t="s">
        <v>42</v>
      </c>
      <c r="O163" s="1" t="s">
        <v>5888</v>
      </c>
      <c r="P163" s="1" t="s">
        <v>1507</v>
      </c>
      <c r="Q163" s="1" t="s">
        <v>1507</v>
      </c>
      <c r="R163" s="1" t="s">
        <v>1507</v>
      </c>
      <c r="S163" s="1" t="s">
        <v>1507</v>
      </c>
      <c r="T163" s="1" t="s">
        <v>1507</v>
      </c>
      <c r="U163" s="1" t="s">
        <v>1507</v>
      </c>
      <c r="V163" s="1" t="s">
        <v>10291</v>
      </c>
      <c r="W163" s="1" t="s">
        <v>1507</v>
      </c>
      <c r="X163" s="1" t="s">
        <v>10292</v>
      </c>
      <c r="Y163" s="1" t="s">
        <v>10293</v>
      </c>
      <c r="Z163" s="1" t="s">
        <v>10294</v>
      </c>
      <c r="AA163" s="1" t="s">
        <v>10295</v>
      </c>
      <c r="AB163" s="1" t="s">
        <v>1507</v>
      </c>
      <c r="AC163" s="1" t="s">
        <v>10296</v>
      </c>
      <c r="AD163" s="1" t="s">
        <v>10297</v>
      </c>
      <c r="AE163" s="1" t="s">
        <v>10297</v>
      </c>
      <c r="AF163" s="1" t="s">
        <v>10298</v>
      </c>
      <c r="AG163" s="1" t="s">
        <v>1507</v>
      </c>
      <c r="AH163" s="1">
        <v>76</v>
      </c>
      <c r="AI163" s="1">
        <v>0</v>
      </c>
      <c r="AJ163" s="1">
        <v>0</v>
      </c>
      <c r="AK163" s="1">
        <v>0</v>
      </c>
      <c r="AL163" s="1">
        <v>0</v>
      </c>
      <c r="AM163" s="1" t="s">
        <v>10299</v>
      </c>
      <c r="AN163" s="1" t="s">
        <v>1551</v>
      </c>
      <c r="AO163" s="1" t="s">
        <v>10300</v>
      </c>
      <c r="AP163" s="1" t="s">
        <v>1507</v>
      </c>
      <c r="AQ163" s="1" t="s">
        <v>1507</v>
      </c>
      <c r="AR163" s="1" t="s">
        <v>10301</v>
      </c>
      <c r="AS163" s="1" t="s">
        <v>1507</v>
      </c>
      <c r="AT163" s="1" t="s">
        <v>1507</v>
      </c>
      <c r="AU163" s="1" t="s">
        <v>1507</v>
      </c>
      <c r="AV163" s="1">
        <v>2020</v>
      </c>
      <c r="AW163" s="1" t="s">
        <v>1507</v>
      </c>
      <c r="AX163" s="1" t="s">
        <v>1507</v>
      </c>
      <c r="AY163" s="1" t="s">
        <v>1507</v>
      </c>
      <c r="AZ163" s="1" t="s">
        <v>1507</v>
      </c>
      <c r="BA163" s="1" t="s">
        <v>1507</v>
      </c>
      <c r="BB163" s="1" t="s">
        <v>1507</v>
      </c>
      <c r="BC163" s="1">
        <v>117</v>
      </c>
      <c r="BD163" s="1">
        <v>147</v>
      </c>
      <c r="BE163" s="1" t="s">
        <v>1507</v>
      </c>
      <c r="BF163" s="1" t="s">
        <v>10302</v>
      </c>
      <c r="BG163" s="1" t="str">
        <f>HYPERLINK("http://dx.doi.org/10.1007/978-3-030-27049-0_6","http://dx.doi.org/10.1007/978-3-030-27049-0_6")</f>
        <v>http://dx.doi.org/10.1007/978-3-030-27049-0_6</v>
      </c>
      <c r="BH163" s="1" t="s">
        <v>10303</v>
      </c>
      <c r="BI163" s="1" t="s">
        <v>1507</v>
      </c>
      <c r="BJ163" s="1">
        <v>31</v>
      </c>
      <c r="BK163" s="1" t="s">
        <v>10304</v>
      </c>
      <c r="BL163" s="1" t="s">
        <v>5899</v>
      </c>
      <c r="BM163" s="1" t="s">
        <v>10305</v>
      </c>
      <c r="BN163" s="1" t="s">
        <v>10306</v>
      </c>
      <c r="BO163" s="1" t="s">
        <v>1507</v>
      </c>
      <c r="BP163" s="1" t="s">
        <v>1507</v>
      </c>
      <c r="BQ163" s="1" t="s">
        <v>1507</v>
      </c>
      <c r="BR163" s="1" t="s">
        <v>1507</v>
      </c>
      <c r="BS163" s="1" t="s">
        <v>13744</v>
      </c>
      <c r="BT163" s="1" t="s">
        <v>10307</v>
      </c>
      <c r="BU163" s="1" t="str">
        <f>HYPERLINK("https%3A%2F%2Fwww.webofscience.com%2Fwos%2Fwoscc%2Ffull-record%2FWOS:000561031600008","View Full Record in Web of Science")</f>
        <v>View Full Record in Web of Science</v>
      </c>
    </row>
    <row r="164" spans="1:73" x14ac:dyDescent="0.25">
      <c r="A164" s="1">
        <v>163</v>
      </c>
      <c r="B164" s="1" t="s">
        <v>1506</v>
      </c>
      <c r="C164" s="1" t="s">
        <v>5830</v>
      </c>
      <c r="D164" s="1" t="s">
        <v>1507</v>
      </c>
      <c r="E164" s="1" t="s">
        <v>1507</v>
      </c>
      <c r="F164" s="1" t="s">
        <v>1507</v>
      </c>
      <c r="G164" s="1" t="s">
        <v>5831</v>
      </c>
      <c r="H164" s="1" t="s">
        <v>1507</v>
      </c>
      <c r="I164" s="1" t="s">
        <v>1507</v>
      </c>
      <c r="J164" s="1" t="s">
        <v>1319</v>
      </c>
      <c r="K164" s="1" t="s">
        <v>5740</v>
      </c>
      <c r="L164" s="1" t="s">
        <v>1507</v>
      </c>
      <c r="M164" s="1" t="s">
        <v>1507</v>
      </c>
      <c r="N164" s="1" t="s">
        <v>42</v>
      </c>
      <c r="O164" s="1" t="s">
        <v>56</v>
      </c>
      <c r="P164" s="1" t="s">
        <v>1507</v>
      </c>
      <c r="Q164" s="1" t="s">
        <v>1507</v>
      </c>
      <c r="R164" s="1" t="s">
        <v>1507</v>
      </c>
      <c r="S164" s="1" t="s">
        <v>1507</v>
      </c>
      <c r="T164" s="1" t="s">
        <v>1507</v>
      </c>
      <c r="U164" s="1" t="s">
        <v>5832</v>
      </c>
      <c r="V164" s="1" t="s">
        <v>1507</v>
      </c>
      <c r="W164" s="1" t="s">
        <v>5833</v>
      </c>
      <c r="X164" s="1" t="s">
        <v>5834</v>
      </c>
      <c r="Y164" s="1" t="s">
        <v>5835</v>
      </c>
      <c r="Z164" s="1" t="s">
        <v>5836</v>
      </c>
      <c r="AA164" s="1" t="s">
        <v>5837</v>
      </c>
      <c r="AB164" s="1" t="s">
        <v>5838</v>
      </c>
      <c r="AC164" s="1" t="s">
        <v>5839</v>
      </c>
      <c r="AD164" s="1" t="s">
        <v>1507</v>
      </c>
      <c r="AE164" s="1" t="s">
        <v>1507</v>
      </c>
      <c r="AF164" s="1" t="s">
        <v>1507</v>
      </c>
      <c r="AG164" s="1" t="s">
        <v>1507</v>
      </c>
      <c r="AH164" s="1">
        <v>17</v>
      </c>
      <c r="AI164" s="1">
        <v>12</v>
      </c>
      <c r="AJ164" s="1">
        <v>12</v>
      </c>
      <c r="AK164" s="1">
        <v>45</v>
      </c>
      <c r="AL164" s="1">
        <v>51</v>
      </c>
      <c r="AM164" s="1" t="s">
        <v>5748</v>
      </c>
      <c r="AN164" s="1" t="s">
        <v>5749</v>
      </c>
      <c r="AO164" s="1" t="s">
        <v>5750</v>
      </c>
      <c r="AP164" s="1" t="s">
        <v>5751</v>
      </c>
      <c r="AQ164" s="1" t="s">
        <v>1507</v>
      </c>
      <c r="AR164" s="1" t="s">
        <v>1507</v>
      </c>
      <c r="AS164" s="1" t="s">
        <v>5752</v>
      </c>
      <c r="AT164" s="1" t="s">
        <v>804</v>
      </c>
      <c r="AU164" s="1" t="s">
        <v>1507</v>
      </c>
      <c r="AV164" s="1">
        <v>2023</v>
      </c>
      <c r="AW164" s="1">
        <v>20</v>
      </c>
      <c r="AX164" s="1">
        <v>5</v>
      </c>
      <c r="AY164" s="1" t="s">
        <v>1507</v>
      </c>
      <c r="AZ164" s="1" t="s">
        <v>1507</v>
      </c>
      <c r="BA164" s="1" t="s">
        <v>1507</v>
      </c>
      <c r="BB164" s="1" t="s">
        <v>1507</v>
      </c>
      <c r="BC164" s="1" t="s">
        <v>1507</v>
      </c>
      <c r="BD164" s="1" t="s">
        <v>1507</v>
      </c>
      <c r="BE164" s="1">
        <v>2</v>
      </c>
      <c r="BF164" s="1" t="s">
        <v>1507</v>
      </c>
      <c r="BG164" s="1" t="s">
        <v>1507</v>
      </c>
      <c r="BH164" s="1" t="s">
        <v>1507</v>
      </c>
      <c r="BI164" s="1" t="s">
        <v>1507</v>
      </c>
      <c r="BJ164" s="1">
        <v>20</v>
      </c>
      <c r="BK164" s="1" t="s">
        <v>1558</v>
      </c>
      <c r="BL164" s="1" t="s">
        <v>1529</v>
      </c>
      <c r="BM164" s="1" t="s">
        <v>1558</v>
      </c>
      <c r="BN164" s="1" t="s">
        <v>5761</v>
      </c>
      <c r="BO164" s="1" t="s">
        <v>1507</v>
      </c>
      <c r="BP164" s="1" t="s">
        <v>1507</v>
      </c>
      <c r="BQ164" s="1" t="s">
        <v>1507</v>
      </c>
      <c r="BR164" s="1" t="s">
        <v>1507</v>
      </c>
      <c r="BS164" s="1" t="s">
        <v>13744</v>
      </c>
      <c r="BT164" s="1" t="s">
        <v>5840</v>
      </c>
      <c r="BU164" s="1" t="str">
        <f>HYPERLINK("https%3A%2F%2Fwww.webofscience.com%2Fwos%2Fwoscc%2Ffull-record%2FWOS:001060245600002","View Full Record in Web of Science")</f>
        <v>View Full Record in Web of Science</v>
      </c>
    </row>
    <row r="165" spans="1:73" x14ac:dyDescent="0.25">
      <c r="A165" s="1">
        <v>164</v>
      </c>
      <c r="B165" s="1" t="s">
        <v>1506</v>
      </c>
      <c r="C165" s="1" t="s">
        <v>9947</v>
      </c>
      <c r="D165" s="1" t="s">
        <v>1507</v>
      </c>
      <c r="E165" s="1" t="s">
        <v>1507</v>
      </c>
      <c r="F165" s="1" t="s">
        <v>1507</v>
      </c>
      <c r="G165" s="1" t="s">
        <v>9948</v>
      </c>
      <c r="H165" s="1" t="s">
        <v>1507</v>
      </c>
      <c r="I165" s="1" t="s">
        <v>1507</v>
      </c>
      <c r="J165" s="1" t="s">
        <v>9949</v>
      </c>
      <c r="K165" s="1" t="s">
        <v>9950</v>
      </c>
      <c r="L165" s="1" t="s">
        <v>1507</v>
      </c>
      <c r="M165" s="1" t="s">
        <v>1507</v>
      </c>
      <c r="N165" s="1" t="s">
        <v>42</v>
      </c>
      <c r="O165" s="1" t="s">
        <v>56</v>
      </c>
      <c r="P165" s="1" t="s">
        <v>1507</v>
      </c>
      <c r="Q165" s="1" t="s">
        <v>1507</v>
      </c>
      <c r="R165" s="1" t="s">
        <v>1507</v>
      </c>
      <c r="S165" s="1" t="s">
        <v>1507</v>
      </c>
      <c r="T165" s="1" t="s">
        <v>1507</v>
      </c>
      <c r="U165" s="1" t="s">
        <v>1507</v>
      </c>
      <c r="V165" s="1" t="s">
        <v>1507</v>
      </c>
      <c r="W165" s="1" t="s">
        <v>9951</v>
      </c>
      <c r="X165" s="1" t="s">
        <v>9952</v>
      </c>
      <c r="Y165" s="1" t="s">
        <v>9953</v>
      </c>
      <c r="Z165" s="1" t="s">
        <v>9954</v>
      </c>
      <c r="AA165" s="1" t="s">
        <v>9955</v>
      </c>
      <c r="AB165" s="1" t="s">
        <v>1507</v>
      </c>
      <c r="AC165" s="1" t="s">
        <v>1507</v>
      </c>
      <c r="AD165" s="1" t="s">
        <v>9956</v>
      </c>
      <c r="AE165" s="1" t="s">
        <v>9957</v>
      </c>
      <c r="AF165" s="1" t="s">
        <v>9958</v>
      </c>
      <c r="AG165" s="1" t="s">
        <v>1507</v>
      </c>
      <c r="AH165" s="1">
        <v>45</v>
      </c>
      <c r="AI165" s="1">
        <v>3</v>
      </c>
      <c r="AJ165" s="1">
        <v>3</v>
      </c>
      <c r="AK165" s="1">
        <v>0</v>
      </c>
      <c r="AL165" s="1">
        <v>5</v>
      </c>
      <c r="AM165" s="1" t="s">
        <v>9047</v>
      </c>
      <c r="AN165" s="1" t="s">
        <v>9048</v>
      </c>
      <c r="AO165" s="1" t="s">
        <v>9049</v>
      </c>
      <c r="AP165" s="1" t="s">
        <v>9959</v>
      </c>
      <c r="AQ165" s="1" t="s">
        <v>9960</v>
      </c>
      <c r="AR165" s="1" t="s">
        <v>1507</v>
      </c>
      <c r="AS165" s="1" t="s">
        <v>9961</v>
      </c>
      <c r="AT165" s="1" t="s">
        <v>9962</v>
      </c>
      <c r="AU165" s="1" t="s">
        <v>5045</v>
      </c>
      <c r="AV165" s="1">
        <v>2020</v>
      </c>
      <c r="AW165" s="1">
        <v>57</v>
      </c>
      <c r="AX165" s="1">
        <v>3</v>
      </c>
      <c r="AY165" s="1" t="s">
        <v>1507</v>
      </c>
      <c r="AZ165" s="1" t="s">
        <v>1507</v>
      </c>
      <c r="BA165" s="1" t="s">
        <v>1507</v>
      </c>
      <c r="BB165" s="1" t="s">
        <v>1507</v>
      </c>
      <c r="BC165" s="1">
        <v>799</v>
      </c>
      <c r="BD165" s="1">
        <v>829</v>
      </c>
      <c r="BE165" s="1" t="s">
        <v>1507</v>
      </c>
      <c r="BF165" s="1" t="s">
        <v>1507</v>
      </c>
      <c r="BG165" s="1" t="s">
        <v>1507</v>
      </c>
      <c r="BH165" s="1" t="s">
        <v>1507</v>
      </c>
      <c r="BI165" s="1" t="s">
        <v>1507</v>
      </c>
      <c r="BJ165" s="1">
        <v>31</v>
      </c>
      <c r="BK165" s="1" t="s">
        <v>9963</v>
      </c>
      <c r="BL165" s="1" t="s">
        <v>1518</v>
      </c>
      <c r="BM165" s="1" t="s">
        <v>9964</v>
      </c>
      <c r="BN165" s="1" t="s">
        <v>9965</v>
      </c>
      <c r="BO165" s="1" t="s">
        <v>1507</v>
      </c>
      <c r="BP165" s="1" t="s">
        <v>1507</v>
      </c>
      <c r="BQ165" s="1" t="s">
        <v>1507</v>
      </c>
      <c r="BR165" s="1" t="s">
        <v>1507</v>
      </c>
      <c r="BS165" s="1" t="s">
        <v>13744</v>
      </c>
      <c r="BT165" s="1" t="s">
        <v>9966</v>
      </c>
      <c r="BU165" s="1" t="str">
        <f>HYPERLINK("https%3A%2F%2Fwww.webofscience.com%2Fwos%2Fwoscc%2Ffull-record%2FWOS:000562484000006","View Full Record in Web of Science")</f>
        <v>View Full Record in Web of Science</v>
      </c>
    </row>
    <row r="166" spans="1:73" x14ac:dyDescent="0.25">
      <c r="A166" s="1">
        <v>165</v>
      </c>
      <c r="B166" s="1" t="s">
        <v>1506</v>
      </c>
      <c r="C166" s="1" t="s">
        <v>10466</v>
      </c>
      <c r="D166" s="1" t="s">
        <v>1507</v>
      </c>
      <c r="E166" s="1" t="s">
        <v>1507</v>
      </c>
      <c r="F166" s="1" t="s">
        <v>1507</v>
      </c>
      <c r="G166" s="1" t="s">
        <v>10467</v>
      </c>
      <c r="H166" s="1" t="s">
        <v>1507</v>
      </c>
      <c r="I166" s="1" t="s">
        <v>1507</v>
      </c>
      <c r="J166" s="1" t="s">
        <v>10468</v>
      </c>
      <c r="K166" s="1" t="s">
        <v>4793</v>
      </c>
      <c r="L166" s="1" t="s">
        <v>1507</v>
      </c>
      <c r="M166" s="1" t="s">
        <v>1507</v>
      </c>
      <c r="N166" s="1" t="s">
        <v>42</v>
      </c>
      <c r="O166" s="1" t="s">
        <v>56</v>
      </c>
      <c r="P166" s="1" t="s">
        <v>1507</v>
      </c>
      <c r="Q166" s="1" t="s">
        <v>1507</v>
      </c>
      <c r="R166" s="1" t="s">
        <v>1507</v>
      </c>
      <c r="S166" s="1" t="s">
        <v>1507</v>
      </c>
      <c r="T166" s="1" t="s">
        <v>1507</v>
      </c>
      <c r="U166" s="1" t="s">
        <v>10469</v>
      </c>
      <c r="V166" s="1" t="s">
        <v>10470</v>
      </c>
      <c r="W166" s="1" t="s">
        <v>10471</v>
      </c>
      <c r="X166" s="1" t="s">
        <v>10472</v>
      </c>
      <c r="Y166" s="1" t="s">
        <v>5639</v>
      </c>
      <c r="Z166" s="1" t="s">
        <v>10473</v>
      </c>
      <c r="AA166" s="1" t="s">
        <v>1507</v>
      </c>
      <c r="AB166" s="1" t="s">
        <v>1507</v>
      </c>
      <c r="AC166" s="1" t="s">
        <v>1507</v>
      </c>
      <c r="AD166" s="1" t="s">
        <v>1507</v>
      </c>
      <c r="AE166" s="1" t="s">
        <v>1507</v>
      </c>
      <c r="AF166" s="1" t="s">
        <v>1507</v>
      </c>
      <c r="AG166" s="1" t="s">
        <v>1507</v>
      </c>
      <c r="AH166" s="1">
        <v>66</v>
      </c>
      <c r="AI166" s="1">
        <v>0</v>
      </c>
      <c r="AJ166" s="1">
        <v>0</v>
      </c>
      <c r="AK166" s="1">
        <v>1</v>
      </c>
      <c r="AL166" s="1">
        <v>5</v>
      </c>
      <c r="AM166" s="1" t="s">
        <v>4805</v>
      </c>
      <c r="AN166" s="1" t="s">
        <v>4806</v>
      </c>
      <c r="AO166" s="1" t="s">
        <v>4807</v>
      </c>
      <c r="AP166" s="1" t="s">
        <v>4808</v>
      </c>
      <c r="AQ166" s="1" t="s">
        <v>4809</v>
      </c>
      <c r="AR166" s="1" t="s">
        <v>1507</v>
      </c>
      <c r="AS166" s="1" t="s">
        <v>4810</v>
      </c>
      <c r="AT166" s="1" t="s">
        <v>1365</v>
      </c>
      <c r="AU166" s="1" t="s">
        <v>2191</v>
      </c>
      <c r="AV166" s="1">
        <v>2019</v>
      </c>
      <c r="AW166" s="1">
        <v>9</v>
      </c>
      <c r="AX166" s="1">
        <v>4</v>
      </c>
      <c r="AY166" s="1" t="s">
        <v>1507</v>
      </c>
      <c r="AZ166" s="1" t="s">
        <v>1507</v>
      </c>
      <c r="BA166" s="1" t="s">
        <v>1507</v>
      </c>
      <c r="BB166" s="1" t="s">
        <v>1507</v>
      </c>
      <c r="BC166" s="1">
        <v>452</v>
      </c>
      <c r="BD166" s="1">
        <v>470</v>
      </c>
      <c r="BE166" s="1" t="s">
        <v>1507</v>
      </c>
      <c r="BF166" s="1" t="s">
        <v>10474</v>
      </c>
      <c r="BG166" s="1" t="str">
        <f>HYPERLINK("http://dx.doi.org/10.4337/qmjip.2019.04.05","http://dx.doi.org/10.4337/qmjip.2019.04.05")</f>
        <v>http://dx.doi.org/10.4337/qmjip.2019.04.05</v>
      </c>
      <c r="BH166" s="1" t="s">
        <v>1507</v>
      </c>
      <c r="BI166" s="1" t="s">
        <v>1507</v>
      </c>
      <c r="BJ166" s="1">
        <v>19</v>
      </c>
      <c r="BK166" s="1" t="s">
        <v>1535</v>
      </c>
      <c r="BL166" s="1" t="s">
        <v>1518</v>
      </c>
      <c r="BM166" s="1" t="s">
        <v>1536</v>
      </c>
      <c r="BN166" s="1" t="s">
        <v>10475</v>
      </c>
      <c r="BO166" s="1" t="s">
        <v>1507</v>
      </c>
      <c r="BP166" s="1" t="s">
        <v>1507</v>
      </c>
      <c r="BQ166" s="1" t="s">
        <v>1507</v>
      </c>
      <c r="BR166" s="1" t="s">
        <v>1507</v>
      </c>
      <c r="BS166" s="1" t="s">
        <v>13744</v>
      </c>
      <c r="BT166" s="1" t="s">
        <v>10476</v>
      </c>
      <c r="BU166" s="1" t="str">
        <f>HYPERLINK("https%3A%2F%2Fwww.webofscience.com%2Fwos%2Fwoscc%2Ffull-record%2FWOS:000560611900010","View Full Record in Web of Science")</f>
        <v>View Full Record in Web of Science</v>
      </c>
    </row>
    <row r="167" spans="1:73" x14ac:dyDescent="0.25">
      <c r="A167" s="1">
        <v>166</v>
      </c>
      <c r="B167" s="1" t="s">
        <v>1506</v>
      </c>
      <c r="C167" s="1" t="s">
        <v>3060</v>
      </c>
      <c r="D167" s="1" t="s">
        <v>1507</v>
      </c>
      <c r="E167" s="1" t="s">
        <v>1507</v>
      </c>
      <c r="F167" s="1" t="s">
        <v>1507</v>
      </c>
      <c r="G167" s="1" t="s">
        <v>3061</v>
      </c>
      <c r="H167" s="1" t="s">
        <v>1507</v>
      </c>
      <c r="I167" s="1" t="s">
        <v>1507</v>
      </c>
      <c r="J167" s="1" t="s">
        <v>3062</v>
      </c>
      <c r="K167" s="1" t="s">
        <v>3063</v>
      </c>
      <c r="L167" s="1" t="s">
        <v>1507</v>
      </c>
      <c r="M167" s="1" t="s">
        <v>1507</v>
      </c>
      <c r="N167" s="1" t="s">
        <v>42</v>
      </c>
      <c r="O167" s="1" t="s">
        <v>56</v>
      </c>
      <c r="P167" s="1" t="s">
        <v>1507</v>
      </c>
      <c r="Q167" s="1" t="s">
        <v>1507</v>
      </c>
      <c r="R167" s="1" t="s">
        <v>1507</v>
      </c>
      <c r="S167" s="1" t="s">
        <v>1507</v>
      </c>
      <c r="T167" s="1" t="s">
        <v>1507</v>
      </c>
      <c r="U167" s="1" t="s">
        <v>3064</v>
      </c>
      <c r="V167" s="1" t="s">
        <v>1507</v>
      </c>
      <c r="W167" s="1" t="s">
        <v>3065</v>
      </c>
      <c r="X167" s="1" t="s">
        <v>3066</v>
      </c>
      <c r="Y167" s="1" t="s">
        <v>3067</v>
      </c>
      <c r="Z167" s="1" t="s">
        <v>3068</v>
      </c>
      <c r="AA167" s="1" t="s">
        <v>3069</v>
      </c>
      <c r="AB167" s="1" t="s">
        <v>14250</v>
      </c>
      <c r="AC167" s="1" t="s">
        <v>3070</v>
      </c>
      <c r="AD167" s="1" t="s">
        <v>3071</v>
      </c>
      <c r="AE167" s="1" t="s">
        <v>3072</v>
      </c>
      <c r="AF167" s="1" t="s">
        <v>3073</v>
      </c>
      <c r="AG167" s="1" t="s">
        <v>1507</v>
      </c>
      <c r="AH167" s="1">
        <v>70</v>
      </c>
      <c r="AI167" s="1">
        <v>0</v>
      </c>
      <c r="AJ167" s="1">
        <v>0</v>
      </c>
      <c r="AK167" s="1">
        <v>17</v>
      </c>
      <c r="AL167" s="1">
        <v>17</v>
      </c>
      <c r="AM167" s="1" t="s">
        <v>1511</v>
      </c>
      <c r="AN167" s="1" t="s">
        <v>1570</v>
      </c>
      <c r="AO167" s="1" t="s">
        <v>1571</v>
      </c>
      <c r="AP167" s="1" t="s">
        <v>3074</v>
      </c>
      <c r="AQ167" s="1" t="s">
        <v>3075</v>
      </c>
      <c r="AR167" s="1" t="s">
        <v>1507</v>
      </c>
      <c r="AS167" s="1" t="s">
        <v>3076</v>
      </c>
      <c r="AT167" s="1" t="s">
        <v>3077</v>
      </c>
      <c r="AU167" s="1" t="s">
        <v>2191</v>
      </c>
      <c r="AV167" s="1">
        <v>2023</v>
      </c>
      <c r="AW167" s="1">
        <v>47</v>
      </c>
      <c r="AX167" s="1">
        <v>8</v>
      </c>
      <c r="AY167" s="1" t="s">
        <v>1507</v>
      </c>
      <c r="AZ167" s="1" t="s">
        <v>1507</v>
      </c>
      <c r="BA167" s="1" t="s">
        <v>1507</v>
      </c>
      <c r="BB167" s="1" t="s">
        <v>1507</v>
      </c>
      <c r="BC167" s="1">
        <v>1035</v>
      </c>
      <c r="BD167" s="1">
        <v>1055</v>
      </c>
      <c r="BE167" s="1" t="s">
        <v>1507</v>
      </c>
      <c r="BF167" s="1" t="s">
        <v>3078</v>
      </c>
      <c r="BG167" s="1" t="str">
        <f>HYPERLINK("http://dx.doi.org/10.1007/s10514-023-10132-6","http://dx.doi.org/10.1007/s10514-023-10132-6")</f>
        <v>http://dx.doi.org/10.1007/s10514-023-10132-6</v>
      </c>
      <c r="BH167" s="1" t="s">
        <v>1507</v>
      </c>
      <c r="BI167" s="1" t="s">
        <v>2891</v>
      </c>
      <c r="BJ167" s="1">
        <v>21</v>
      </c>
      <c r="BK167" s="1" t="s">
        <v>2193</v>
      </c>
      <c r="BL167" s="1" t="s">
        <v>1573</v>
      </c>
      <c r="BM167" s="1" t="s">
        <v>2194</v>
      </c>
      <c r="BN167" s="1" t="s">
        <v>14251</v>
      </c>
      <c r="BO167" s="1" t="s">
        <v>1507</v>
      </c>
      <c r="BP167" s="1" t="s">
        <v>1600</v>
      </c>
      <c r="BQ167" s="1" t="s">
        <v>1507</v>
      </c>
      <c r="BR167" s="1" t="s">
        <v>1507</v>
      </c>
      <c r="BS167" s="1" t="s">
        <v>13744</v>
      </c>
      <c r="BT167" s="1" t="s">
        <v>3079</v>
      </c>
      <c r="BU167" s="1" t="str">
        <f>HYPERLINK("https%3A%2F%2Fwww.webofscience.com%2Fwos%2Fwoscc%2Ffull-record%2FWOS:001097671300001","View Full Record in Web of Science")</f>
        <v>View Full Record in Web of Science</v>
      </c>
    </row>
    <row r="168" spans="1:73" x14ac:dyDescent="0.25">
      <c r="A168" s="1">
        <v>167</v>
      </c>
      <c r="B168" s="1" t="s">
        <v>1506</v>
      </c>
      <c r="C168" s="1" t="s">
        <v>9412</v>
      </c>
      <c r="D168" s="1" t="s">
        <v>1507</v>
      </c>
      <c r="E168" s="1" t="s">
        <v>1507</v>
      </c>
      <c r="F168" s="1" t="s">
        <v>1507</v>
      </c>
      <c r="G168" s="1" t="s">
        <v>9413</v>
      </c>
      <c r="H168" s="1" t="s">
        <v>1507</v>
      </c>
      <c r="I168" s="1" t="s">
        <v>1507</v>
      </c>
      <c r="J168" s="1" t="s">
        <v>9414</v>
      </c>
      <c r="K168" s="1" t="s">
        <v>9415</v>
      </c>
      <c r="L168" s="1" t="s">
        <v>1507</v>
      </c>
      <c r="M168" s="1" t="s">
        <v>1507</v>
      </c>
      <c r="N168" s="1" t="s">
        <v>42</v>
      </c>
      <c r="O168" s="1" t="s">
        <v>56</v>
      </c>
      <c r="P168" s="1" t="s">
        <v>1507</v>
      </c>
      <c r="Q168" s="1" t="s">
        <v>1507</v>
      </c>
      <c r="R168" s="1" t="s">
        <v>1507</v>
      </c>
      <c r="S168" s="1" t="s">
        <v>1507</v>
      </c>
      <c r="T168" s="1" t="s">
        <v>1507</v>
      </c>
      <c r="U168" s="1" t="s">
        <v>9416</v>
      </c>
      <c r="V168" s="1" t="s">
        <v>9417</v>
      </c>
      <c r="W168" s="1" t="s">
        <v>9418</v>
      </c>
      <c r="X168" s="1" t="s">
        <v>9419</v>
      </c>
      <c r="Y168" s="1" t="s">
        <v>9420</v>
      </c>
      <c r="Z168" s="1" t="s">
        <v>9421</v>
      </c>
      <c r="AA168" s="1" t="s">
        <v>9422</v>
      </c>
      <c r="AB168" s="1" t="s">
        <v>15789</v>
      </c>
      <c r="AC168" s="1" t="s">
        <v>15790</v>
      </c>
      <c r="AD168" s="1" t="s">
        <v>9423</v>
      </c>
      <c r="AE168" s="1" t="s">
        <v>9424</v>
      </c>
      <c r="AF168" s="1" t="s">
        <v>9425</v>
      </c>
      <c r="AG168" s="1" t="s">
        <v>1507</v>
      </c>
      <c r="AH168" s="1">
        <v>28</v>
      </c>
      <c r="AI168" s="1">
        <v>4</v>
      </c>
      <c r="AJ168" s="1">
        <v>4</v>
      </c>
      <c r="AK168" s="1">
        <v>1</v>
      </c>
      <c r="AL168" s="1">
        <v>5</v>
      </c>
      <c r="AM168" s="1" t="s">
        <v>1610</v>
      </c>
      <c r="AN168" s="1" t="s">
        <v>1611</v>
      </c>
      <c r="AO168" s="1" t="s">
        <v>1612</v>
      </c>
      <c r="AP168" s="1" t="s">
        <v>1507</v>
      </c>
      <c r="AQ168" s="1" t="s">
        <v>9426</v>
      </c>
      <c r="AR168" s="1" t="s">
        <v>1507</v>
      </c>
      <c r="AS168" s="1" t="s">
        <v>9415</v>
      </c>
      <c r="AT168" s="1" t="s">
        <v>9427</v>
      </c>
      <c r="AU168" s="1" t="s">
        <v>2771</v>
      </c>
      <c r="AV168" s="1">
        <v>2020</v>
      </c>
      <c r="AW168" s="1">
        <v>8</v>
      </c>
      <c r="AX168" s="1">
        <v>11</v>
      </c>
      <c r="AY168" s="1" t="s">
        <v>1507</v>
      </c>
      <c r="AZ168" s="1" t="s">
        <v>1507</v>
      </c>
      <c r="BA168" s="1" t="s">
        <v>1507</v>
      </c>
      <c r="BB168" s="1" t="s">
        <v>1507</v>
      </c>
      <c r="BC168" s="1" t="s">
        <v>1507</v>
      </c>
      <c r="BD168" s="1" t="s">
        <v>1507</v>
      </c>
      <c r="BE168" s="1">
        <v>1698</v>
      </c>
      <c r="BF168" s="1" t="s">
        <v>9428</v>
      </c>
      <c r="BG168" s="1" t="str">
        <f>HYPERLINK("http://dx.doi.org/10.3390/microorganisms8111698","http://dx.doi.org/10.3390/microorganisms8111698")</f>
        <v>http://dx.doi.org/10.3390/microorganisms8111698</v>
      </c>
      <c r="BH168" s="1" t="s">
        <v>1507</v>
      </c>
      <c r="BI168" s="1" t="s">
        <v>1507</v>
      </c>
      <c r="BJ168" s="1">
        <v>14</v>
      </c>
      <c r="BK168" s="1" t="s">
        <v>4485</v>
      </c>
      <c r="BL168" s="1" t="s">
        <v>1573</v>
      </c>
      <c r="BM168" s="1" t="s">
        <v>4485</v>
      </c>
      <c r="BN168" s="1" t="s">
        <v>9429</v>
      </c>
      <c r="BO168" s="1">
        <v>33143263</v>
      </c>
      <c r="BP168" s="1" t="s">
        <v>1952</v>
      </c>
      <c r="BQ168" s="1" t="s">
        <v>1507</v>
      </c>
      <c r="BR168" s="1" t="s">
        <v>1507</v>
      </c>
      <c r="BS168" s="1" t="s">
        <v>13744</v>
      </c>
      <c r="BT168" s="1" t="s">
        <v>9430</v>
      </c>
      <c r="BU168" s="1" t="str">
        <f>HYPERLINK("https%3A%2F%2Fwww.webofscience.com%2Fwos%2Fwoscc%2Ffull-record%2FWOS:000593165400001","View Full Record in Web of Science")</f>
        <v>View Full Record in Web of Science</v>
      </c>
    </row>
    <row r="169" spans="1:73" x14ac:dyDescent="0.25">
      <c r="A169" s="1">
        <v>168</v>
      </c>
      <c r="B169" s="1" t="s">
        <v>1506</v>
      </c>
      <c r="C169" s="1" t="s">
        <v>2946</v>
      </c>
      <c r="D169" s="1" t="s">
        <v>1507</v>
      </c>
      <c r="E169" s="1" t="s">
        <v>1507</v>
      </c>
      <c r="F169" s="1" t="s">
        <v>1507</v>
      </c>
      <c r="G169" s="1" t="s">
        <v>2947</v>
      </c>
      <c r="H169" s="1" t="s">
        <v>1507</v>
      </c>
      <c r="I169" s="1" t="s">
        <v>1507</v>
      </c>
      <c r="J169" s="1" t="s">
        <v>515</v>
      </c>
      <c r="K169" s="1" t="s">
        <v>2579</v>
      </c>
      <c r="L169" s="1" t="s">
        <v>1507</v>
      </c>
      <c r="M169" s="1" t="s">
        <v>1507</v>
      </c>
      <c r="N169" s="1" t="s">
        <v>42</v>
      </c>
      <c r="O169" s="1" t="s">
        <v>56</v>
      </c>
      <c r="P169" s="1" t="s">
        <v>1507</v>
      </c>
      <c r="Q169" s="1" t="s">
        <v>1507</v>
      </c>
      <c r="R169" s="1" t="s">
        <v>1507</v>
      </c>
      <c r="S169" s="1" t="s">
        <v>1507</v>
      </c>
      <c r="T169" s="1" t="s">
        <v>1507</v>
      </c>
      <c r="U169" s="1" t="s">
        <v>2948</v>
      </c>
      <c r="V169" s="1" t="s">
        <v>1507</v>
      </c>
      <c r="W169" s="1" t="s">
        <v>2949</v>
      </c>
      <c r="X169" s="1" t="s">
        <v>2950</v>
      </c>
      <c r="Y169" s="1" t="s">
        <v>2951</v>
      </c>
      <c r="Z169" s="1" t="s">
        <v>2952</v>
      </c>
      <c r="AA169" s="1" t="s">
        <v>2953</v>
      </c>
      <c r="AB169" s="1" t="s">
        <v>1507</v>
      </c>
      <c r="AC169" s="1" t="s">
        <v>2954</v>
      </c>
      <c r="AD169" s="1" t="s">
        <v>2955</v>
      </c>
      <c r="AE169" s="1" t="s">
        <v>2955</v>
      </c>
      <c r="AF169" s="1" t="s">
        <v>2955</v>
      </c>
      <c r="AG169" s="1" t="s">
        <v>1507</v>
      </c>
      <c r="AH169" s="1">
        <v>41</v>
      </c>
      <c r="AI169" s="1">
        <v>6</v>
      </c>
      <c r="AJ169" s="1">
        <v>6</v>
      </c>
      <c r="AK169" s="1">
        <v>211</v>
      </c>
      <c r="AL169" s="1">
        <v>211</v>
      </c>
      <c r="AM169" s="1" t="s">
        <v>1511</v>
      </c>
      <c r="AN169" s="1" t="s">
        <v>1512</v>
      </c>
      <c r="AO169" s="1" t="s">
        <v>1513</v>
      </c>
      <c r="AP169" s="1" t="s">
        <v>2589</v>
      </c>
      <c r="AQ169" s="1" t="s">
        <v>1507</v>
      </c>
      <c r="AR169" s="1" t="s">
        <v>1507</v>
      </c>
      <c r="AS169" s="1" t="s">
        <v>2590</v>
      </c>
      <c r="AT169" s="1" t="s">
        <v>2591</v>
      </c>
      <c r="AU169" s="1" t="s">
        <v>2956</v>
      </c>
      <c r="AV169" s="1">
        <v>2023</v>
      </c>
      <c r="AW169" s="1">
        <v>20</v>
      </c>
      <c r="AX169" s="1">
        <v>1</v>
      </c>
      <c r="AY169" s="1" t="s">
        <v>1507</v>
      </c>
      <c r="AZ169" s="1" t="s">
        <v>1507</v>
      </c>
      <c r="BA169" s="1" t="s">
        <v>1507</v>
      </c>
      <c r="BB169" s="1" t="s">
        <v>1507</v>
      </c>
      <c r="BC169" s="1" t="s">
        <v>1507</v>
      </c>
      <c r="BD169" s="1" t="s">
        <v>1507</v>
      </c>
      <c r="BE169" s="1">
        <v>57</v>
      </c>
      <c r="BF169" s="1" t="s">
        <v>516</v>
      </c>
      <c r="BG169" s="1" t="str">
        <f>HYPERLINK("http://dx.doi.org/10.1186/s41239-023-00425-2","http://dx.doi.org/10.1186/s41239-023-00425-2")</f>
        <v>http://dx.doi.org/10.1186/s41239-023-00425-2</v>
      </c>
      <c r="BH169" s="1" t="s">
        <v>1507</v>
      </c>
      <c r="BI169" s="1" t="s">
        <v>1507</v>
      </c>
      <c r="BJ169" s="1">
        <v>20</v>
      </c>
      <c r="BK169" s="1" t="s">
        <v>1558</v>
      </c>
      <c r="BL169" s="1" t="s">
        <v>1518</v>
      </c>
      <c r="BM169" s="1" t="s">
        <v>1558</v>
      </c>
      <c r="BN169" s="1" t="s">
        <v>2957</v>
      </c>
      <c r="BO169" s="1" t="s">
        <v>1507</v>
      </c>
      <c r="BP169" s="1" t="s">
        <v>1531</v>
      </c>
      <c r="BQ169" s="1" t="s">
        <v>1507</v>
      </c>
      <c r="BR169" s="1" t="s">
        <v>1507</v>
      </c>
      <c r="BS169" s="1" t="s">
        <v>13744</v>
      </c>
      <c r="BT169" s="1" t="s">
        <v>2958</v>
      </c>
      <c r="BU169" s="1" t="str">
        <f>HYPERLINK("https%3A%2F%2Fwww.webofscience.com%2Fwos%2Fwoscc%2Ffull-record%2FWOS:001087884500001","View Full Record in Web of Science")</f>
        <v>View Full Record in Web of Science</v>
      </c>
    </row>
    <row r="170" spans="1:73" x14ac:dyDescent="0.25">
      <c r="A170" s="1">
        <v>169</v>
      </c>
      <c r="B170" s="1" t="s">
        <v>1506</v>
      </c>
      <c r="C170" s="1" t="s">
        <v>9002</v>
      </c>
      <c r="D170" s="1" t="s">
        <v>1507</v>
      </c>
      <c r="E170" s="1" t="s">
        <v>1507</v>
      </c>
      <c r="F170" s="1" t="s">
        <v>1507</v>
      </c>
      <c r="G170" s="1" t="s">
        <v>9003</v>
      </c>
      <c r="H170" s="1" t="s">
        <v>1507</v>
      </c>
      <c r="I170" s="1" t="s">
        <v>1507</v>
      </c>
      <c r="J170" s="1" t="s">
        <v>9004</v>
      </c>
      <c r="K170" s="1" t="s">
        <v>9005</v>
      </c>
      <c r="L170" s="1" t="s">
        <v>1507</v>
      </c>
      <c r="M170" s="1" t="s">
        <v>1507</v>
      </c>
      <c r="N170" s="1" t="s">
        <v>42</v>
      </c>
      <c r="O170" s="1" t="s">
        <v>56</v>
      </c>
      <c r="P170" s="1" t="s">
        <v>1507</v>
      </c>
      <c r="Q170" s="1" t="s">
        <v>1507</v>
      </c>
      <c r="R170" s="1" t="s">
        <v>1507</v>
      </c>
      <c r="S170" s="1" t="s">
        <v>1507</v>
      </c>
      <c r="T170" s="1" t="s">
        <v>1507</v>
      </c>
      <c r="U170" s="1" t="s">
        <v>1507</v>
      </c>
      <c r="V170" s="1" t="s">
        <v>9006</v>
      </c>
      <c r="W170" s="1" t="s">
        <v>9007</v>
      </c>
      <c r="X170" s="1" t="s">
        <v>9008</v>
      </c>
      <c r="Y170" s="1" t="s">
        <v>9009</v>
      </c>
      <c r="Z170" s="1" t="s">
        <v>9010</v>
      </c>
      <c r="AA170" s="1" t="s">
        <v>1507</v>
      </c>
      <c r="AB170" s="1" t="s">
        <v>1507</v>
      </c>
      <c r="AC170" s="1" t="s">
        <v>1507</v>
      </c>
      <c r="AD170" s="1" t="s">
        <v>9011</v>
      </c>
      <c r="AE170" s="1" t="s">
        <v>9011</v>
      </c>
      <c r="AF170" s="1" t="s">
        <v>9012</v>
      </c>
      <c r="AG170" s="1" t="s">
        <v>1507</v>
      </c>
      <c r="AH170" s="1">
        <v>39</v>
      </c>
      <c r="AI170" s="1">
        <v>0</v>
      </c>
      <c r="AJ170" s="1">
        <v>0</v>
      </c>
      <c r="AK170" s="1">
        <v>1</v>
      </c>
      <c r="AL170" s="1">
        <v>4</v>
      </c>
      <c r="AM170" s="1" t="s">
        <v>1582</v>
      </c>
      <c r="AN170" s="1" t="s">
        <v>1583</v>
      </c>
      <c r="AO170" s="1" t="s">
        <v>1584</v>
      </c>
      <c r="AP170" s="1" t="s">
        <v>9013</v>
      </c>
      <c r="AQ170" s="1" t="s">
        <v>9014</v>
      </c>
      <c r="AR170" s="1" t="s">
        <v>1507</v>
      </c>
      <c r="AS170" s="1" t="s">
        <v>9015</v>
      </c>
      <c r="AT170" s="1" t="s">
        <v>9016</v>
      </c>
      <c r="AU170" s="1" t="s">
        <v>5362</v>
      </c>
      <c r="AV170" s="1">
        <v>2021</v>
      </c>
      <c r="AW170" s="1">
        <v>24</v>
      </c>
      <c r="AX170" s="1">
        <v>1</v>
      </c>
      <c r="AY170" s="1" t="s">
        <v>1507</v>
      </c>
      <c r="AZ170" s="1" t="s">
        <v>1507</v>
      </c>
      <c r="BA170" s="1" t="s">
        <v>1507</v>
      </c>
      <c r="BB170" s="1" t="s">
        <v>1507</v>
      </c>
      <c r="BC170" s="1">
        <v>77</v>
      </c>
      <c r="BD170" s="1">
        <v>97</v>
      </c>
      <c r="BE170" s="1" t="s">
        <v>1507</v>
      </c>
      <c r="BF170" s="1" t="s">
        <v>9017</v>
      </c>
      <c r="BG170" s="1" t="str">
        <f>HYPERLINK("http://dx.doi.org/10.1093/jiel/jgab004","http://dx.doi.org/10.1093/jiel/jgab004")</f>
        <v>http://dx.doi.org/10.1093/jiel/jgab004</v>
      </c>
      <c r="BH170" s="1" t="s">
        <v>1507</v>
      </c>
      <c r="BI170" s="1" t="s">
        <v>8999</v>
      </c>
      <c r="BJ170" s="1">
        <v>21</v>
      </c>
      <c r="BK170" s="1" t="s">
        <v>1535</v>
      </c>
      <c r="BL170" s="1" t="s">
        <v>1518</v>
      </c>
      <c r="BM170" s="1" t="s">
        <v>1536</v>
      </c>
      <c r="BN170" s="1" t="s">
        <v>9018</v>
      </c>
      <c r="BO170" s="1" t="s">
        <v>1507</v>
      </c>
      <c r="BP170" s="1" t="s">
        <v>1507</v>
      </c>
      <c r="BQ170" s="1" t="s">
        <v>1507</v>
      </c>
      <c r="BR170" s="1" t="s">
        <v>1507</v>
      </c>
      <c r="BS170" s="1" t="s">
        <v>13744</v>
      </c>
      <c r="BT170" s="1" t="s">
        <v>9019</v>
      </c>
      <c r="BU170" s="1" t="str">
        <f>HYPERLINK("https%3A%2F%2Fwww.webofscience.com%2Fwos%2Fwoscc%2Ffull-record%2FWOS:000637295300005","View Full Record in Web of Science")</f>
        <v>View Full Record in Web of Science</v>
      </c>
    </row>
    <row r="171" spans="1:73" x14ac:dyDescent="0.25">
      <c r="A171" s="1">
        <v>170</v>
      </c>
      <c r="B171" s="1" t="s">
        <v>1506</v>
      </c>
      <c r="C171" s="1" t="s">
        <v>9002</v>
      </c>
      <c r="D171" s="1" t="s">
        <v>1507</v>
      </c>
      <c r="E171" s="1" t="s">
        <v>1507</v>
      </c>
      <c r="F171" s="1" t="s">
        <v>1507</v>
      </c>
      <c r="G171" s="1" t="s">
        <v>9003</v>
      </c>
      <c r="H171" s="1" t="s">
        <v>1507</v>
      </c>
      <c r="I171" s="1" t="s">
        <v>1507</v>
      </c>
      <c r="J171" s="1" t="s">
        <v>15838</v>
      </c>
      <c r="K171" s="1" t="s">
        <v>5034</v>
      </c>
      <c r="L171" s="1" t="s">
        <v>1507</v>
      </c>
      <c r="M171" s="1" t="s">
        <v>1507</v>
      </c>
      <c r="N171" s="1" t="s">
        <v>42</v>
      </c>
      <c r="O171" s="1" t="s">
        <v>13950</v>
      </c>
      <c r="P171" s="1" t="s">
        <v>1507</v>
      </c>
      <c r="Q171" s="1" t="s">
        <v>1507</v>
      </c>
      <c r="R171" s="1" t="s">
        <v>1507</v>
      </c>
      <c r="S171" s="1" t="s">
        <v>1507</v>
      </c>
      <c r="T171" s="1" t="s">
        <v>1507</v>
      </c>
      <c r="U171" s="1" t="s">
        <v>1507</v>
      </c>
      <c r="V171" s="1" t="s">
        <v>15839</v>
      </c>
      <c r="W171" s="1" t="s">
        <v>1507</v>
      </c>
      <c r="X171" s="1" t="s">
        <v>15840</v>
      </c>
      <c r="Y171" s="1" t="s">
        <v>1507</v>
      </c>
      <c r="Z171" s="1" t="s">
        <v>15841</v>
      </c>
      <c r="AA171" s="1" t="s">
        <v>1507</v>
      </c>
      <c r="AB171" s="1" t="s">
        <v>1507</v>
      </c>
      <c r="AC171" s="1" t="s">
        <v>1507</v>
      </c>
      <c r="AD171" s="1" t="s">
        <v>15842</v>
      </c>
      <c r="AE171" s="1" t="s">
        <v>15842</v>
      </c>
      <c r="AF171" s="1" t="s">
        <v>15843</v>
      </c>
      <c r="AG171" s="1" t="s">
        <v>1507</v>
      </c>
      <c r="AH171" s="1">
        <v>58</v>
      </c>
      <c r="AI171" s="1">
        <v>1</v>
      </c>
      <c r="AJ171" s="1">
        <v>1</v>
      </c>
      <c r="AK171" s="1">
        <v>1</v>
      </c>
      <c r="AL171" s="1">
        <v>7</v>
      </c>
      <c r="AM171" s="1" t="s">
        <v>3500</v>
      </c>
      <c r="AN171" s="1" t="s">
        <v>3501</v>
      </c>
      <c r="AO171" s="1" t="s">
        <v>3502</v>
      </c>
      <c r="AP171" s="1" t="s">
        <v>5041</v>
      </c>
      <c r="AQ171" s="1" t="s">
        <v>5042</v>
      </c>
      <c r="AR171" s="1" t="s">
        <v>1507</v>
      </c>
      <c r="AS171" s="1" t="s">
        <v>5043</v>
      </c>
      <c r="AT171" s="1" t="s">
        <v>5044</v>
      </c>
      <c r="AU171" s="1" t="s">
        <v>1507</v>
      </c>
      <c r="AV171" s="1">
        <v>2020</v>
      </c>
      <c r="AW171" s="1">
        <v>28</v>
      </c>
      <c r="AX171" s="1" t="s">
        <v>1507</v>
      </c>
      <c r="AY171" s="1" t="s">
        <v>1507</v>
      </c>
      <c r="AZ171" s="1" t="s">
        <v>11902</v>
      </c>
      <c r="BA171" s="1" t="s">
        <v>3506</v>
      </c>
      <c r="BB171" s="1" t="s">
        <v>1507</v>
      </c>
      <c r="BC171" s="1">
        <v>1</v>
      </c>
      <c r="BD171" s="1">
        <v>9</v>
      </c>
      <c r="BE171" s="1" t="s">
        <v>1507</v>
      </c>
      <c r="BF171" s="1" t="s">
        <v>15844</v>
      </c>
      <c r="BG171" s="1" t="str">
        <f>HYPERLINK("http://dx.doi.org/10.3366/ajicl.2020.0328","http://dx.doi.org/10.3366/ajicl.2020.0328")</f>
        <v>http://dx.doi.org/10.3366/ajicl.2020.0328</v>
      </c>
      <c r="BH171" s="1" t="s">
        <v>1507</v>
      </c>
      <c r="BI171" s="1" t="s">
        <v>1507</v>
      </c>
      <c r="BJ171" s="1">
        <v>9</v>
      </c>
      <c r="BK171" s="1" t="s">
        <v>1535</v>
      </c>
      <c r="BL171" s="1" t="s">
        <v>1529</v>
      </c>
      <c r="BM171" s="1" t="s">
        <v>1536</v>
      </c>
      <c r="BN171" s="1" t="s">
        <v>15845</v>
      </c>
      <c r="BO171" s="1" t="s">
        <v>1507</v>
      </c>
      <c r="BP171" s="1" t="s">
        <v>1507</v>
      </c>
      <c r="BQ171" s="1" t="s">
        <v>1507</v>
      </c>
      <c r="BR171" s="1" t="s">
        <v>1507</v>
      </c>
      <c r="BS171" s="1" t="s">
        <v>13744</v>
      </c>
      <c r="BT171" s="1" t="s">
        <v>15846</v>
      </c>
      <c r="BU171" s="1" t="str">
        <f>HYPERLINK("https%3A%2F%2Fwww.webofscience.com%2Fwos%2Fwoscc%2Ffull-record%2FWOS:000592677800001","View Full Record in Web of Science")</f>
        <v>View Full Record in Web of Science</v>
      </c>
    </row>
    <row r="172" spans="1:73" x14ac:dyDescent="0.25">
      <c r="A172" s="1">
        <v>171</v>
      </c>
      <c r="B172" s="1" t="s">
        <v>1506</v>
      </c>
      <c r="C172" s="1" t="s">
        <v>10682</v>
      </c>
      <c r="D172" s="1" t="s">
        <v>1507</v>
      </c>
      <c r="E172" s="1" t="s">
        <v>1507</v>
      </c>
      <c r="F172" s="1" t="s">
        <v>1507</v>
      </c>
      <c r="G172" s="1" t="s">
        <v>10683</v>
      </c>
      <c r="H172" s="1" t="s">
        <v>1507</v>
      </c>
      <c r="I172" s="1" t="s">
        <v>1507</v>
      </c>
      <c r="J172" s="1" t="s">
        <v>10684</v>
      </c>
      <c r="K172" s="1" t="s">
        <v>2324</v>
      </c>
      <c r="L172" s="1" t="s">
        <v>1507</v>
      </c>
      <c r="M172" s="1" t="s">
        <v>1507</v>
      </c>
      <c r="N172" s="1" t="s">
        <v>42</v>
      </c>
      <c r="O172" s="1" t="s">
        <v>56</v>
      </c>
      <c r="P172" s="1" t="s">
        <v>1507</v>
      </c>
      <c r="Q172" s="1" t="s">
        <v>1507</v>
      </c>
      <c r="R172" s="1" t="s">
        <v>1507</v>
      </c>
      <c r="S172" s="1" t="s">
        <v>1507</v>
      </c>
      <c r="T172" s="1" t="s">
        <v>1507</v>
      </c>
      <c r="U172" s="1" t="s">
        <v>1507</v>
      </c>
      <c r="V172" s="1" t="s">
        <v>1507</v>
      </c>
      <c r="W172" s="1" t="s">
        <v>10685</v>
      </c>
      <c r="X172" s="1" t="s">
        <v>10686</v>
      </c>
      <c r="Y172" s="1" t="s">
        <v>10687</v>
      </c>
      <c r="Z172" s="1" t="s">
        <v>10688</v>
      </c>
      <c r="AA172" s="1" t="s">
        <v>1507</v>
      </c>
      <c r="AB172" s="1" t="s">
        <v>1507</v>
      </c>
      <c r="AC172" s="1" t="s">
        <v>1507</v>
      </c>
      <c r="AD172" s="1" t="s">
        <v>10689</v>
      </c>
      <c r="AE172" s="1" t="s">
        <v>10690</v>
      </c>
      <c r="AF172" s="1" t="s">
        <v>10691</v>
      </c>
      <c r="AG172" s="1" t="s">
        <v>1507</v>
      </c>
      <c r="AH172" s="1">
        <v>38</v>
      </c>
      <c r="AI172" s="1">
        <v>4</v>
      </c>
      <c r="AJ172" s="1">
        <v>5</v>
      </c>
      <c r="AK172" s="1">
        <v>0</v>
      </c>
      <c r="AL172" s="1">
        <v>0</v>
      </c>
      <c r="AM172" s="1" t="s">
        <v>2332</v>
      </c>
      <c r="AN172" s="1" t="s">
        <v>2333</v>
      </c>
      <c r="AO172" s="1" t="s">
        <v>2334</v>
      </c>
      <c r="AP172" s="1" t="s">
        <v>2335</v>
      </c>
      <c r="AQ172" s="1" t="s">
        <v>2336</v>
      </c>
      <c r="AR172" s="1" t="s">
        <v>1507</v>
      </c>
      <c r="AS172" s="1" t="s">
        <v>2337</v>
      </c>
      <c r="AT172" s="1" t="s">
        <v>2338</v>
      </c>
      <c r="AU172" s="1" t="s">
        <v>3992</v>
      </c>
      <c r="AV172" s="1">
        <v>2019</v>
      </c>
      <c r="AW172" s="1">
        <v>42</v>
      </c>
      <c r="AX172" s="1">
        <v>3</v>
      </c>
      <c r="AY172" s="1" t="s">
        <v>1507</v>
      </c>
      <c r="AZ172" s="1" t="s">
        <v>1507</v>
      </c>
      <c r="BA172" s="1" t="s">
        <v>1507</v>
      </c>
      <c r="BB172" s="1" t="s">
        <v>1507</v>
      </c>
      <c r="BC172" s="1">
        <v>899</v>
      </c>
      <c r="BD172" s="1">
        <v>927</v>
      </c>
      <c r="BE172" s="1" t="s">
        <v>1507</v>
      </c>
      <c r="BF172" s="1" t="s">
        <v>1507</v>
      </c>
      <c r="BG172" s="1" t="s">
        <v>1507</v>
      </c>
      <c r="BH172" s="1" t="s">
        <v>1507</v>
      </c>
      <c r="BI172" s="1" t="s">
        <v>1507</v>
      </c>
      <c r="BJ172" s="1">
        <v>29</v>
      </c>
      <c r="BK172" s="1" t="s">
        <v>1535</v>
      </c>
      <c r="BL172" s="1" t="s">
        <v>1529</v>
      </c>
      <c r="BM172" s="1" t="s">
        <v>1536</v>
      </c>
      <c r="BN172" s="1" t="s">
        <v>10692</v>
      </c>
      <c r="BO172" s="1" t="s">
        <v>1507</v>
      </c>
      <c r="BP172" s="1" t="s">
        <v>1507</v>
      </c>
      <c r="BQ172" s="1" t="s">
        <v>1507</v>
      </c>
      <c r="BR172" s="1" t="s">
        <v>1507</v>
      </c>
      <c r="BS172" s="1" t="s">
        <v>13744</v>
      </c>
      <c r="BT172" s="1" t="s">
        <v>10693</v>
      </c>
      <c r="BU172" s="1" t="str">
        <f>HYPERLINK("https%3A%2F%2Fwww.webofscience.com%2Fwos%2Fwoscc%2Ffull-record%2FWOS:000488199000006","View Full Record in Web of Science")</f>
        <v>View Full Record in Web of Science</v>
      </c>
    </row>
    <row r="173" spans="1:73" x14ac:dyDescent="0.25">
      <c r="A173" s="1">
        <v>172</v>
      </c>
      <c r="B173" s="1" t="s">
        <v>1506</v>
      </c>
      <c r="C173" s="1" t="s">
        <v>9390</v>
      </c>
      <c r="D173" s="1" t="s">
        <v>1507</v>
      </c>
      <c r="E173" s="1" t="s">
        <v>1507</v>
      </c>
      <c r="F173" s="1" t="s">
        <v>1507</v>
      </c>
      <c r="G173" s="1" t="s">
        <v>9391</v>
      </c>
      <c r="H173" s="1" t="s">
        <v>1507</v>
      </c>
      <c r="I173" s="1" t="s">
        <v>1507</v>
      </c>
      <c r="J173" s="1" t="s">
        <v>9392</v>
      </c>
      <c r="K173" s="1" t="s">
        <v>9393</v>
      </c>
      <c r="L173" s="1" t="s">
        <v>1507</v>
      </c>
      <c r="M173" s="1" t="s">
        <v>1507</v>
      </c>
      <c r="N173" s="1" t="s">
        <v>42</v>
      </c>
      <c r="O173" s="1" t="s">
        <v>56</v>
      </c>
      <c r="P173" s="1" t="s">
        <v>1507</v>
      </c>
      <c r="Q173" s="1" t="s">
        <v>1507</v>
      </c>
      <c r="R173" s="1" t="s">
        <v>1507</v>
      </c>
      <c r="S173" s="1" t="s">
        <v>1507</v>
      </c>
      <c r="T173" s="1" t="s">
        <v>1507</v>
      </c>
      <c r="U173" s="1" t="s">
        <v>9394</v>
      </c>
      <c r="V173" s="1" t="s">
        <v>9395</v>
      </c>
      <c r="W173" s="1" t="s">
        <v>9396</v>
      </c>
      <c r="X173" s="1" t="s">
        <v>9397</v>
      </c>
      <c r="Y173" s="1" t="s">
        <v>9398</v>
      </c>
      <c r="Z173" s="1" t="s">
        <v>9399</v>
      </c>
      <c r="AA173" s="1" t="s">
        <v>9400</v>
      </c>
      <c r="AB173" s="1" t="s">
        <v>15787</v>
      </c>
      <c r="AC173" s="1" t="s">
        <v>15788</v>
      </c>
      <c r="AD173" s="1" t="s">
        <v>9401</v>
      </c>
      <c r="AE173" s="1" t="s">
        <v>9402</v>
      </c>
      <c r="AF173" s="1" t="s">
        <v>9403</v>
      </c>
      <c r="AG173" s="1" t="s">
        <v>1507</v>
      </c>
      <c r="AH173" s="1">
        <v>46</v>
      </c>
      <c r="AI173" s="1">
        <v>19</v>
      </c>
      <c r="AJ173" s="1">
        <v>19</v>
      </c>
      <c r="AK173" s="1">
        <v>5</v>
      </c>
      <c r="AL173" s="1">
        <v>94</v>
      </c>
      <c r="AM173" s="1" t="s">
        <v>2372</v>
      </c>
      <c r="AN173" s="1" t="s">
        <v>2300</v>
      </c>
      <c r="AO173" s="1" t="s">
        <v>2373</v>
      </c>
      <c r="AP173" s="1" t="s">
        <v>9404</v>
      </c>
      <c r="AQ173" s="1" t="s">
        <v>1507</v>
      </c>
      <c r="AR173" s="1" t="s">
        <v>1507</v>
      </c>
      <c r="AS173" s="1" t="s">
        <v>9393</v>
      </c>
      <c r="AT173" s="1" t="s">
        <v>9405</v>
      </c>
      <c r="AU173" s="1" t="s">
        <v>9406</v>
      </c>
      <c r="AV173" s="1">
        <v>2020</v>
      </c>
      <c r="AW173" s="1">
        <v>5</v>
      </c>
      <c r="AX173" s="1">
        <v>11</v>
      </c>
      <c r="AY173" s="1" t="s">
        <v>1507</v>
      </c>
      <c r="AZ173" s="1" t="s">
        <v>1507</v>
      </c>
      <c r="BA173" s="1" t="s">
        <v>1507</v>
      </c>
      <c r="BB173" s="1" t="s">
        <v>1507</v>
      </c>
      <c r="BC173" s="1">
        <v>3599</v>
      </c>
      <c r="BD173" s="1">
        <v>3606</v>
      </c>
      <c r="BE173" s="1" t="s">
        <v>1507</v>
      </c>
      <c r="BF173" s="1" t="s">
        <v>9407</v>
      </c>
      <c r="BG173" s="1" t="str">
        <f>HYPERLINK("http://dx.doi.org/10.1021/acssensors.0c01908","http://dx.doi.org/10.1021/acssensors.0c01908")</f>
        <v>http://dx.doi.org/10.1021/acssensors.0c01908</v>
      </c>
      <c r="BH173" s="1" t="s">
        <v>1507</v>
      </c>
      <c r="BI173" s="1" t="s">
        <v>1507</v>
      </c>
      <c r="BJ173" s="1">
        <v>8</v>
      </c>
      <c r="BK173" s="1" t="s">
        <v>9408</v>
      </c>
      <c r="BL173" s="1" t="s">
        <v>1573</v>
      </c>
      <c r="BM173" s="1" t="s">
        <v>9409</v>
      </c>
      <c r="BN173" s="1" t="s">
        <v>9410</v>
      </c>
      <c r="BO173" s="1">
        <v>33155795</v>
      </c>
      <c r="BP173" s="1" t="s">
        <v>1507</v>
      </c>
      <c r="BQ173" s="1" t="s">
        <v>1507</v>
      </c>
      <c r="BR173" s="1" t="s">
        <v>1507</v>
      </c>
      <c r="BS173" s="1" t="s">
        <v>13744</v>
      </c>
      <c r="BT173" s="1" t="s">
        <v>9411</v>
      </c>
      <c r="BU173" s="1" t="str">
        <f>HYPERLINK("https%3A%2F%2Fwww.webofscience.com%2Fwos%2Fwoscc%2Ffull-record%2FWOS:000595550100032","View Full Record in Web of Science")</f>
        <v>View Full Record in Web of Science</v>
      </c>
    </row>
    <row r="174" spans="1:73" x14ac:dyDescent="0.25">
      <c r="A174" s="1">
        <v>173</v>
      </c>
      <c r="B174" s="1" t="s">
        <v>1506</v>
      </c>
      <c r="C174" s="1" t="s">
        <v>7444</v>
      </c>
      <c r="D174" s="1" t="s">
        <v>1507</v>
      </c>
      <c r="E174" s="1" t="s">
        <v>1507</v>
      </c>
      <c r="F174" s="1" t="s">
        <v>1507</v>
      </c>
      <c r="G174" s="1" t="s">
        <v>7445</v>
      </c>
      <c r="H174" s="1" t="s">
        <v>1507</v>
      </c>
      <c r="I174" s="1" t="s">
        <v>1507</v>
      </c>
      <c r="J174" s="1" t="s">
        <v>7446</v>
      </c>
      <c r="K174" s="1" t="s">
        <v>6997</v>
      </c>
      <c r="L174" s="1" t="s">
        <v>1507</v>
      </c>
      <c r="M174" s="1" t="s">
        <v>1507</v>
      </c>
      <c r="N174" s="1" t="s">
        <v>42</v>
      </c>
      <c r="O174" s="1" t="s">
        <v>56</v>
      </c>
      <c r="P174" s="1" t="s">
        <v>1507</v>
      </c>
      <c r="Q174" s="1" t="s">
        <v>1507</v>
      </c>
      <c r="R174" s="1" t="s">
        <v>1507</v>
      </c>
      <c r="S174" s="1" t="s">
        <v>1507</v>
      </c>
      <c r="T174" s="1" t="s">
        <v>1507</v>
      </c>
      <c r="U174" s="1" t="s">
        <v>7447</v>
      </c>
      <c r="V174" s="1" t="s">
        <v>7448</v>
      </c>
      <c r="W174" s="1" t="s">
        <v>7449</v>
      </c>
      <c r="X174" s="1" t="s">
        <v>7450</v>
      </c>
      <c r="Y174" s="1" t="s">
        <v>7451</v>
      </c>
      <c r="Z174" s="1" t="s">
        <v>7452</v>
      </c>
      <c r="AA174" s="1" t="s">
        <v>7453</v>
      </c>
      <c r="AB174" s="1" t="s">
        <v>1507</v>
      </c>
      <c r="AC174" s="1" t="s">
        <v>1507</v>
      </c>
      <c r="AD174" s="1" t="s">
        <v>7454</v>
      </c>
      <c r="AE174" s="1" t="s">
        <v>7455</v>
      </c>
      <c r="AF174" s="1" t="s">
        <v>7456</v>
      </c>
      <c r="AG174" s="1" t="s">
        <v>1507</v>
      </c>
      <c r="AH174" s="1">
        <v>76</v>
      </c>
      <c r="AI174" s="1">
        <v>1</v>
      </c>
      <c r="AJ174" s="1">
        <v>1</v>
      </c>
      <c r="AK174" s="1">
        <v>0</v>
      </c>
      <c r="AL174" s="1">
        <v>7</v>
      </c>
      <c r="AM174" s="1" t="s">
        <v>7009</v>
      </c>
      <c r="AN174" s="1" t="s">
        <v>7010</v>
      </c>
      <c r="AO174" s="1" t="s">
        <v>7011</v>
      </c>
      <c r="AP174" s="1" t="s">
        <v>7012</v>
      </c>
      <c r="AQ174" s="1" t="s">
        <v>1507</v>
      </c>
      <c r="AR174" s="1" t="s">
        <v>1507</v>
      </c>
      <c r="AS174" s="1" t="s">
        <v>7013</v>
      </c>
      <c r="AT174" s="1" t="s">
        <v>7014</v>
      </c>
      <c r="AU174" s="1" t="s">
        <v>5362</v>
      </c>
      <c r="AV174" s="1">
        <v>2022</v>
      </c>
      <c r="AW174" s="1">
        <v>17</v>
      </c>
      <c r="AX174" s="1">
        <v>1</v>
      </c>
      <c r="AY174" s="1" t="s">
        <v>1507</v>
      </c>
      <c r="AZ174" s="1" t="s">
        <v>1507</v>
      </c>
      <c r="BA174" s="1" t="s">
        <v>1507</v>
      </c>
      <c r="BB174" s="1" t="s">
        <v>1507</v>
      </c>
      <c r="BC174" s="1">
        <v>239</v>
      </c>
      <c r="BD174" s="1">
        <v>278</v>
      </c>
      <c r="BE174" s="1" t="s">
        <v>1507</v>
      </c>
      <c r="BF174" s="1" t="s">
        <v>1507</v>
      </c>
      <c r="BG174" s="1" t="s">
        <v>1507</v>
      </c>
      <c r="BH174" s="1" t="s">
        <v>1507</v>
      </c>
      <c r="BI174" s="1" t="s">
        <v>1507</v>
      </c>
      <c r="BJ174" s="1">
        <v>40</v>
      </c>
      <c r="BK174" s="1" t="s">
        <v>7015</v>
      </c>
      <c r="BL174" s="1" t="s">
        <v>1518</v>
      </c>
      <c r="BM174" s="1" t="s">
        <v>7016</v>
      </c>
      <c r="BN174" s="1" t="s">
        <v>7457</v>
      </c>
      <c r="BO174" s="1" t="s">
        <v>1507</v>
      </c>
      <c r="BP174" s="1" t="s">
        <v>1507</v>
      </c>
      <c r="BQ174" s="1" t="s">
        <v>1507</v>
      </c>
      <c r="BR174" s="1" t="s">
        <v>1507</v>
      </c>
      <c r="BS174" s="1" t="s">
        <v>13744</v>
      </c>
      <c r="BT174" s="1" t="s">
        <v>7458</v>
      </c>
      <c r="BU174" s="1" t="str">
        <f>HYPERLINK("https%3A%2F%2Fwww.webofscience.com%2Fwos%2Fwoscc%2Ffull-record%2FWOS:000779845300009","View Full Record in Web of Science")</f>
        <v>View Full Record in Web of Science</v>
      </c>
    </row>
    <row r="175" spans="1:73" x14ac:dyDescent="0.25">
      <c r="A175" s="1">
        <v>174</v>
      </c>
      <c r="B175" s="1" t="s">
        <v>5546</v>
      </c>
      <c r="C175" s="1" t="s">
        <v>14961</v>
      </c>
      <c r="D175" s="1" t="s">
        <v>1507</v>
      </c>
      <c r="E175" s="1" t="s">
        <v>14962</v>
      </c>
      <c r="F175" s="1" t="s">
        <v>1507</v>
      </c>
      <c r="G175" s="1" t="s">
        <v>14963</v>
      </c>
      <c r="H175" s="1" t="s">
        <v>1507</v>
      </c>
      <c r="I175" s="1" t="s">
        <v>1507</v>
      </c>
      <c r="J175" s="1" t="s">
        <v>14964</v>
      </c>
      <c r="K175" s="1" t="s">
        <v>14965</v>
      </c>
      <c r="L175" s="1" t="s">
        <v>6208</v>
      </c>
      <c r="M175" s="1" t="s">
        <v>1507</v>
      </c>
      <c r="N175" s="1" t="s">
        <v>42</v>
      </c>
      <c r="O175" s="1" t="s">
        <v>5552</v>
      </c>
      <c r="P175" s="1" t="s">
        <v>14966</v>
      </c>
      <c r="Q175" s="1" t="s">
        <v>14967</v>
      </c>
      <c r="R175" s="1" t="s">
        <v>14968</v>
      </c>
      <c r="S175" s="1" t="s">
        <v>14969</v>
      </c>
      <c r="T175" s="1" t="s">
        <v>1507</v>
      </c>
      <c r="U175" s="1" t="s">
        <v>14970</v>
      </c>
      <c r="V175" s="1" t="s">
        <v>1507</v>
      </c>
      <c r="W175" s="1" t="s">
        <v>14971</v>
      </c>
      <c r="X175" s="1" t="s">
        <v>14972</v>
      </c>
      <c r="Y175" s="1" t="s">
        <v>14973</v>
      </c>
      <c r="Z175" s="1" t="s">
        <v>14974</v>
      </c>
      <c r="AA175" s="1" t="s">
        <v>14975</v>
      </c>
      <c r="AB175" s="1" t="s">
        <v>14976</v>
      </c>
      <c r="AC175" s="1" t="s">
        <v>14977</v>
      </c>
      <c r="AD175" s="1" t="s">
        <v>1507</v>
      </c>
      <c r="AE175" s="1" t="s">
        <v>1507</v>
      </c>
      <c r="AF175" s="1" t="s">
        <v>1507</v>
      </c>
      <c r="AG175" s="1" t="s">
        <v>1507</v>
      </c>
      <c r="AH175" s="1">
        <v>18</v>
      </c>
      <c r="AI175" s="1">
        <v>1</v>
      </c>
      <c r="AJ175" s="1">
        <v>1</v>
      </c>
      <c r="AK175" s="1">
        <v>6</v>
      </c>
      <c r="AL175" s="1">
        <v>6</v>
      </c>
      <c r="AM175" s="1" t="s">
        <v>6221</v>
      </c>
      <c r="AN175" s="1" t="s">
        <v>6222</v>
      </c>
      <c r="AO175" s="1" t="s">
        <v>6223</v>
      </c>
      <c r="AP175" s="1" t="s">
        <v>6224</v>
      </c>
      <c r="AQ175" s="1" t="s">
        <v>6225</v>
      </c>
      <c r="AR175" s="1" t="s">
        <v>14978</v>
      </c>
      <c r="AS175" s="1" t="s">
        <v>6227</v>
      </c>
      <c r="AT175" s="1" t="s">
        <v>1507</v>
      </c>
      <c r="AU175" s="1" t="s">
        <v>1507</v>
      </c>
      <c r="AV175" s="1">
        <v>2023</v>
      </c>
      <c r="AW175" s="1">
        <v>14409</v>
      </c>
      <c r="AX175" s="1" t="s">
        <v>1507</v>
      </c>
      <c r="AY175" s="1" t="s">
        <v>1507</v>
      </c>
      <c r="AZ175" s="1" t="s">
        <v>1507</v>
      </c>
      <c r="BA175" s="1" t="s">
        <v>1507</v>
      </c>
      <c r="BB175" s="1" t="s">
        <v>1507</v>
      </c>
      <c r="BC175" s="1">
        <v>169</v>
      </c>
      <c r="BD175" s="1">
        <v>188</v>
      </c>
      <c r="BE175" s="1" t="s">
        <v>1507</v>
      </c>
      <c r="BF175" s="1" t="s">
        <v>1438</v>
      </c>
      <c r="BG175" s="1" t="str">
        <f>HYPERLINK("http://dx.doi.org/10.1007/978-981-99-8385-8_14","http://dx.doi.org/10.1007/978-981-99-8385-8_14")</f>
        <v>http://dx.doi.org/10.1007/978-981-99-8385-8_14</v>
      </c>
      <c r="BH175" s="1" t="s">
        <v>1507</v>
      </c>
      <c r="BI175" s="1" t="s">
        <v>1507</v>
      </c>
      <c r="BJ175" s="1">
        <v>20</v>
      </c>
      <c r="BK175" s="1" t="s">
        <v>14979</v>
      </c>
      <c r="BL175" s="1" t="s">
        <v>5695</v>
      </c>
      <c r="BM175" s="1" t="s">
        <v>6108</v>
      </c>
      <c r="BN175" s="1" t="s">
        <v>14980</v>
      </c>
      <c r="BO175" s="1" t="s">
        <v>1507</v>
      </c>
      <c r="BP175" s="1" t="s">
        <v>1600</v>
      </c>
      <c r="BQ175" s="1" t="s">
        <v>1507</v>
      </c>
      <c r="BR175" s="1" t="s">
        <v>1507</v>
      </c>
      <c r="BS175" s="1" t="s">
        <v>13744</v>
      </c>
      <c r="BT175" s="1" t="s">
        <v>14981</v>
      </c>
      <c r="BU175" s="1" t="str">
        <f>HYPERLINK("https%3A%2F%2Fwww.webofscience.com%2Fwos%2Fwoscc%2Ffull-record%2FWOS:001162054600014","View Full Record in Web of Science")</f>
        <v>View Full Record in Web of Science</v>
      </c>
    </row>
    <row r="176" spans="1:73" x14ac:dyDescent="0.25">
      <c r="A176" s="1">
        <v>175</v>
      </c>
      <c r="B176" s="1" t="s">
        <v>5546</v>
      </c>
      <c r="C176" s="1" t="s">
        <v>7736</v>
      </c>
      <c r="D176" s="1" t="s">
        <v>1507</v>
      </c>
      <c r="E176" s="1" t="s">
        <v>7737</v>
      </c>
      <c r="F176" s="1" t="s">
        <v>1507</v>
      </c>
      <c r="G176" s="1" t="s">
        <v>7738</v>
      </c>
      <c r="H176" s="1" t="s">
        <v>1507</v>
      </c>
      <c r="I176" s="1" t="s">
        <v>1507</v>
      </c>
      <c r="J176" s="1" t="s">
        <v>7739</v>
      </c>
      <c r="K176" s="1" t="s">
        <v>7740</v>
      </c>
      <c r="L176" s="1" t="s">
        <v>6208</v>
      </c>
      <c r="M176" s="1" t="s">
        <v>1507</v>
      </c>
      <c r="N176" s="1" t="s">
        <v>42</v>
      </c>
      <c r="O176" s="1" t="s">
        <v>5552</v>
      </c>
      <c r="P176" s="1" t="s">
        <v>7741</v>
      </c>
      <c r="Q176" s="1" t="s">
        <v>7742</v>
      </c>
      <c r="R176" s="1" t="s">
        <v>6057</v>
      </c>
      <c r="S176" s="1" t="s">
        <v>1507</v>
      </c>
      <c r="T176" s="1" t="s">
        <v>1507</v>
      </c>
      <c r="U176" s="1" t="s">
        <v>1507</v>
      </c>
      <c r="V176" s="1" t="s">
        <v>7743</v>
      </c>
      <c r="W176" s="1" t="s">
        <v>7744</v>
      </c>
      <c r="X176" s="1" t="s">
        <v>7745</v>
      </c>
      <c r="Y176" s="1" t="s">
        <v>7746</v>
      </c>
      <c r="Z176" s="1" t="s">
        <v>7747</v>
      </c>
      <c r="AA176" s="1" t="s">
        <v>7748</v>
      </c>
      <c r="AB176" s="1" t="s">
        <v>1507</v>
      </c>
      <c r="AC176" s="1" t="s">
        <v>7749</v>
      </c>
      <c r="AD176" s="1" t="s">
        <v>7750</v>
      </c>
      <c r="AE176" s="1" t="s">
        <v>7751</v>
      </c>
      <c r="AF176" s="1" t="s">
        <v>7752</v>
      </c>
      <c r="AG176" s="1" t="s">
        <v>1507</v>
      </c>
      <c r="AH176" s="1">
        <v>47</v>
      </c>
      <c r="AI176" s="1">
        <v>1</v>
      </c>
      <c r="AJ176" s="1">
        <v>1</v>
      </c>
      <c r="AK176" s="1">
        <v>1</v>
      </c>
      <c r="AL176" s="1">
        <v>1</v>
      </c>
      <c r="AM176" s="1" t="s">
        <v>6221</v>
      </c>
      <c r="AN176" s="1" t="s">
        <v>6222</v>
      </c>
      <c r="AO176" s="1" t="s">
        <v>6223</v>
      </c>
      <c r="AP176" s="1" t="s">
        <v>6224</v>
      </c>
      <c r="AQ176" s="1" t="s">
        <v>6225</v>
      </c>
      <c r="AR176" s="1" t="s">
        <v>7753</v>
      </c>
      <c r="AS176" s="1" t="s">
        <v>6227</v>
      </c>
      <c r="AT176" s="1" t="s">
        <v>1507</v>
      </c>
      <c r="AU176" s="1" t="s">
        <v>1507</v>
      </c>
      <c r="AV176" s="1">
        <v>2022</v>
      </c>
      <c r="AW176" s="1">
        <v>13289</v>
      </c>
      <c r="AX176" s="1" t="s">
        <v>1507</v>
      </c>
      <c r="AY176" s="1" t="s">
        <v>1507</v>
      </c>
      <c r="AZ176" s="1" t="s">
        <v>1507</v>
      </c>
      <c r="BA176" s="1" t="s">
        <v>1507</v>
      </c>
      <c r="BB176" s="1" t="s">
        <v>1507</v>
      </c>
      <c r="BC176" s="1">
        <v>44</v>
      </c>
      <c r="BD176" s="1">
        <v>64</v>
      </c>
      <c r="BE176" s="1" t="s">
        <v>1507</v>
      </c>
      <c r="BF176" s="1" t="s">
        <v>7754</v>
      </c>
      <c r="BG176" s="1" t="str">
        <f>HYPERLINK("http://dx.doi.org/10.1007/978-3-031-07312-0_3","http://dx.doi.org/10.1007/978-3-031-07312-0_3")</f>
        <v>http://dx.doi.org/10.1007/978-3-031-07312-0_3</v>
      </c>
      <c r="BH176" s="1" t="s">
        <v>1507</v>
      </c>
      <c r="BI176" s="1" t="s">
        <v>1507</v>
      </c>
      <c r="BJ176" s="1">
        <v>21</v>
      </c>
      <c r="BK176" s="1" t="s">
        <v>1603</v>
      </c>
      <c r="BL176" s="1" t="s">
        <v>5570</v>
      </c>
      <c r="BM176" s="1" t="s">
        <v>1577</v>
      </c>
      <c r="BN176" s="1" t="s">
        <v>7755</v>
      </c>
      <c r="BO176" s="1" t="s">
        <v>1507</v>
      </c>
      <c r="BP176" s="1" t="s">
        <v>1507</v>
      </c>
      <c r="BQ176" s="1" t="s">
        <v>1507</v>
      </c>
      <c r="BR176" s="1" t="s">
        <v>1507</v>
      </c>
      <c r="BS176" s="1" t="s">
        <v>13744</v>
      </c>
      <c r="BT176" s="1" t="s">
        <v>7756</v>
      </c>
      <c r="BU176" s="1" t="str">
        <f>HYPERLINK("https%3A%2F%2Fwww.webofscience.com%2Fwos%2Fwoscc%2Ffull-record%2FWOS:000871773100003","View Full Record in Web of Science")</f>
        <v>View Full Record in Web of Science</v>
      </c>
    </row>
    <row r="177" spans="1:73" x14ac:dyDescent="0.25">
      <c r="A177" s="1">
        <v>176</v>
      </c>
      <c r="B177" s="1" t="s">
        <v>1506</v>
      </c>
      <c r="C177" s="1" t="s">
        <v>15634</v>
      </c>
      <c r="D177" s="1" t="s">
        <v>1507</v>
      </c>
      <c r="E177" s="1" t="s">
        <v>1507</v>
      </c>
      <c r="F177" s="1" t="s">
        <v>1507</v>
      </c>
      <c r="G177" s="1" t="s">
        <v>15635</v>
      </c>
      <c r="H177" s="1" t="s">
        <v>1507</v>
      </c>
      <c r="I177" s="1" t="s">
        <v>1507</v>
      </c>
      <c r="J177" s="1" t="s">
        <v>15636</v>
      </c>
      <c r="K177" s="1" t="s">
        <v>15637</v>
      </c>
      <c r="L177" s="1" t="s">
        <v>1507</v>
      </c>
      <c r="M177" s="1" t="s">
        <v>1507</v>
      </c>
      <c r="N177" s="1" t="s">
        <v>42</v>
      </c>
      <c r="O177" s="1" t="s">
        <v>12366</v>
      </c>
      <c r="P177" s="1" t="s">
        <v>1507</v>
      </c>
      <c r="Q177" s="1" t="s">
        <v>1507</v>
      </c>
      <c r="R177" s="1" t="s">
        <v>1507</v>
      </c>
      <c r="S177" s="1" t="s">
        <v>1507</v>
      </c>
      <c r="T177" s="1" t="s">
        <v>1507</v>
      </c>
      <c r="U177" s="1" t="s">
        <v>15638</v>
      </c>
      <c r="V177" s="1" t="s">
        <v>15639</v>
      </c>
      <c r="W177" s="1" t="s">
        <v>15640</v>
      </c>
      <c r="X177" s="1" t="s">
        <v>15641</v>
      </c>
      <c r="Y177" s="1" t="s">
        <v>15642</v>
      </c>
      <c r="Z177" s="1" t="s">
        <v>15643</v>
      </c>
      <c r="AA177" s="1" t="s">
        <v>15644</v>
      </c>
      <c r="AB177" s="1" t="s">
        <v>15645</v>
      </c>
      <c r="AC177" s="1" t="s">
        <v>15646</v>
      </c>
      <c r="AD177" s="1" t="s">
        <v>15647</v>
      </c>
      <c r="AE177" s="1" t="s">
        <v>15648</v>
      </c>
      <c r="AF177" s="1" t="s">
        <v>15649</v>
      </c>
      <c r="AG177" s="1" t="s">
        <v>1507</v>
      </c>
      <c r="AH177" s="1">
        <v>45</v>
      </c>
      <c r="AI177" s="1">
        <v>10</v>
      </c>
      <c r="AJ177" s="1">
        <v>10</v>
      </c>
      <c r="AK177" s="1">
        <v>25</v>
      </c>
      <c r="AL177" s="1">
        <v>70</v>
      </c>
      <c r="AM177" s="1" t="s">
        <v>1579</v>
      </c>
      <c r="AN177" s="1" t="s">
        <v>1580</v>
      </c>
      <c r="AO177" s="1" t="s">
        <v>1581</v>
      </c>
      <c r="AP177" s="1" t="s">
        <v>15650</v>
      </c>
      <c r="AQ177" s="1" t="s">
        <v>15651</v>
      </c>
      <c r="AR177" s="1" t="s">
        <v>1507</v>
      </c>
      <c r="AS177" s="1" t="s">
        <v>15652</v>
      </c>
      <c r="AT177" s="1" t="s">
        <v>15653</v>
      </c>
      <c r="AU177" s="1" t="s">
        <v>5362</v>
      </c>
      <c r="AV177" s="1">
        <v>2022</v>
      </c>
      <c r="AW177" s="1">
        <v>68</v>
      </c>
      <c r="AX177" s="1" t="s">
        <v>1507</v>
      </c>
      <c r="AY177" s="1" t="s">
        <v>1507</v>
      </c>
      <c r="AZ177" s="1" t="s">
        <v>1507</v>
      </c>
      <c r="BA177" s="1" t="s">
        <v>1507</v>
      </c>
      <c r="BB177" s="1" t="s">
        <v>1507</v>
      </c>
      <c r="BC177" s="1" t="s">
        <v>1507</v>
      </c>
      <c r="BD177" s="1" t="s">
        <v>1507</v>
      </c>
      <c r="BE177" s="1">
        <v>102097</v>
      </c>
      <c r="BF177" s="1" t="s">
        <v>15654</v>
      </c>
      <c r="BG177" s="1" t="str">
        <f>HYPERLINK("http://dx.doi.org/10.1016/j.wpi.2022.102097","http://dx.doi.org/10.1016/j.wpi.2022.102097")</f>
        <v>http://dx.doi.org/10.1016/j.wpi.2022.102097</v>
      </c>
      <c r="BH177" s="1" t="s">
        <v>1507</v>
      </c>
      <c r="BI177" s="1" t="s">
        <v>7483</v>
      </c>
      <c r="BJ177" s="1">
        <v>17</v>
      </c>
      <c r="BK177" s="1" t="s">
        <v>3916</v>
      </c>
      <c r="BL177" s="1" t="s">
        <v>1529</v>
      </c>
      <c r="BM177" s="1" t="s">
        <v>3916</v>
      </c>
      <c r="BN177" s="1" t="s">
        <v>15655</v>
      </c>
      <c r="BO177" s="1" t="s">
        <v>1507</v>
      </c>
      <c r="BP177" s="1" t="s">
        <v>1507</v>
      </c>
      <c r="BQ177" s="1" t="s">
        <v>1507</v>
      </c>
      <c r="BR177" s="1" t="s">
        <v>1507</v>
      </c>
      <c r="BS177" s="1" t="s">
        <v>13744</v>
      </c>
      <c r="BT177" s="1" t="s">
        <v>15656</v>
      </c>
      <c r="BU177" s="1" t="str">
        <f>HYPERLINK("https%3A%2F%2Fwww.webofscience.com%2Fwos%2Fwoscc%2Ffull-record%2FWOS:000772615800008","View Full Record in Web of Science")</f>
        <v>View Full Record in Web of Science</v>
      </c>
    </row>
    <row r="178" spans="1:73" x14ac:dyDescent="0.25">
      <c r="A178" s="1">
        <v>177</v>
      </c>
      <c r="B178" s="1" t="s">
        <v>1506</v>
      </c>
      <c r="C178" s="1" t="s">
        <v>2980</v>
      </c>
      <c r="D178" s="1" t="s">
        <v>1507</v>
      </c>
      <c r="E178" s="1" t="s">
        <v>1507</v>
      </c>
      <c r="F178" s="1" t="s">
        <v>1507</v>
      </c>
      <c r="G178" s="1" t="s">
        <v>2981</v>
      </c>
      <c r="H178" s="1" t="s">
        <v>1507</v>
      </c>
      <c r="I178" s="1" t="s">
        <v>1507</v>
      </c>
      <c r="J178" s="1" t="s">
        <v>1177</v>
      </c>
      <c r="K178" s="1" t="s">
        <v>2982</v>
      </c>
      <c r="L178" s="1" t="s">
        <v>1507</v>
      </c>
      <c r="M178" s="1" t="s">
        <v>1507</v>
      </c>
      <c r="N178" s="1" t="s">
        <v>42</v>
      </c>
      <c r="O178" s="1" t="s">
        <v>1509</v>
      </c>
      <c r="P178" s="1" t="s">
        <v>1507</v>
      </c>
      <c r="Q178" s="1" t="s">
        <v>1507</v>
      </c>
      <c r="R178" s="1" t="s">
        <v>1507</v>
      </c>
      <c r="S178" s="1" t="s">
        <v>1507</v>
      </c>
      <c r="T178" s="1" t="s">
        <v>1507</v>
      </c>
      <c r="U178" s="1" t="s">
        <v>2983</v>
      </c>
      <c r="V178" s="1" t="s">
        <v>1507</v>
      </c>
      <c r="W178" s="1" t="s">
        <v>2984</v>
      </c>
      <c r="X178" s="1" t="s">
        <v>2985</v>
      </c>
      <c r="Y178" s="1" t="s">
        <v>1507</v>
      </c>
      <c r="Z178" s="1" t="s">
        <v>2986</v>
      </c>
      <c r="AA178" s="1" t="s">
        <v>2987</v>
      </c>
      <c r="AB178" s="1" t="s">
        <v>1507</v>
      </c>
      <c r="AC178" s="1" t="s">
        <v>1507</v>
      </c>
      <c r="AD178" s="1" t="s">
        <v>2988</v>
      </c>
      <c r="AE178" s="1" t="s">
        <v>2988</v>
      </c>
      <c r="AF178" s="1" t="s">
        <v>2989</v>
      </c>
      <c r="AG178" s="1" t="s">
        <v>1507</v>
      </c>
      <c r="AH178" s="1">
        <v>46</v>
      </c>
      <c r="AI178" s="1">
        <v>1</v>
      </c>
      <c r="AJ178" s="1">
        <v>1</v>
      </c>
      <c r="AK178" s="1">
        <v>10</v>
      </c>
      <c r="AL178" s="1">
        <v>10</v>
      </c>
      <c r="AM178" s="1" t="s">
        <v>1511</v>
      </c>
      <c r="AN178" s="1" t="s">
        <v>1512</v>
      </c>
      <c r="AO178" s="1" t="s">
        <v>1513</v>
      </c>
      <c r="AP178" s="1" t="s">
        <v>2990</v>
      </c>
      <c r="AQ178" s="1" t="s">
        <v>2991</v>
      </c>
      <c r="AR178" s="1" t="s">
        <v>1507</v>
      </c>
      <c r="AS178" s="1" t="s">
        <v>2992</v>
      </c>
      <c r="AT178" s="1" t="s">
        <v>1185</v>
      </c>
      <c r="AU178" s="1" t="s">
        <v>2993</v>
      </c>
      <c r="AV178" s="1">
        <v>2023</v>
      </c>
      <c r="AW178" s="1" t="s">
        <v>1507</v>
      </c>
      <c r="AX178" s="1" t="s">
        <v>1507</v>
      </c>
      <c r="AY178" s="1" t="s">
        <v>1507</v>
      </c>
      <c r="AZ178" s="1" t="s">
        <v>1507</v>
      </c>
      <c r="BA178" s="1" t="s">
        <v>1507</v>
      </c>
      <c r="BB178" s="1" t="s">
        <v>1507</v>
      </c>
      <c r="BC178" s="1" t="s">
        <v>1507</v>
      </c>
      <c r="BD178" s="1" t="s">
        <v>1507</v>
      </c>
      <c r="BE178" s="1" t="s">
        <v>1507</v>
      </c>
      <c r="BF178" s="1" t="s">
        <v>1179</v>
      </c>
      <c r="BG178" s="1" t="str">
        <f>HYPERLINK("http://dx.doi.org/10.1007/s00146-023-01791-1","http://dx.doi.org/10.1007/s00146-023-01791-1")</f>
        <v>http://dx.doi.org/10.1007/s00146-023-01791-1</v>
      </c>
      <c r="BH178" s="1" t="s">
        <v>1507</v>
      </c>
      <c r="BI178" s="1" t="s">
        <v>2891</v>
      </c>
      <c r="BJ178" s="1">
        <v>13</v>
      </c>
      <c r="BK178" s="1" t="s">
        <v>2994</v>
      </c>
      <c r="BL178" s="1" t="s">
        <v>1529</v>
      </c>
      <c r="BM178" s="1" t="s">
        <v>1577</v>
      </c>
      <c r="BN178" s="1" t="s">
        <v>2995</v>
      </c>
      <c r="BO178" s="1" t="s">
        <v>1507</v>
      </c>
      <c r="BP178" s="1" t="s">
        <v>1574</v>
      </c>
      <c r="BQ178" s="1" t="s">
        <v>1507</v>
      </c>
      <c r="BR178" s="1" t="s">
        <v>1507</v>
      </c>
      <c r="BS178" s="1" t="s">
        <v>13744</v>
      </c>
      <c r="BT178" s="1" t="s">
        <v>2996</v>
      </c>
      <c r="BU178" s="1" t="str">
        <f>HYPERLINK("https%3A%2F%2Fwww.webofscience.com%2Fwos%2Fwoscc%2Ffull-record%2FWOS:001118598200001","View Full Record in Web of Science")</f>
        <v>View Full Record in Web of Science</v>
      </c>
    </row>
    <row r="179" spans="1:73" x14ac:dyDescent="0.25">
      <c r="A179" s="1">
        <v>178</v>
      </c>
      <c r="B179" s="1" t="s">
        <v>1506</v>
      </c>
      <c r="C179" s="1" t="s">
        <v>3840</v>
      </c>
      <c r="D179" s="1" t="s">
        <v>1507</v>
      </c>
      <c r="E179" s="1" t="s">
        <v>1507</v>
      </c>
      <c r="F179" s="1" t="s">
        <v>1507</v>
      </c>
      <c r="G179" s="1" t="s">
        <v>3841</v>
      </c>
      <c r="H179" s="1" t="s">
        <v>1507</v>
      </c>
      <c r="I179" s="1" t="s">
        <v>3842</v>
      </c>
      <c r="J179" s="1" t="s">
        <v>3843</v>
      </c>
      <c r="K179" s="1" t="s">
        <v>3844</v>
      </c>
      <c r="L179" s="1" t="s">
        <v>1507</v>
      </c>
      <c r="M179" s="1" t="s">
        <v>1507</v>
      </c>
      <c r="N179" s="1" t="s">
        <v>42</v>
      </c>
      <c r="O179" s="1" t="s">
        <v>56</v>
      </c>
      <c r="P179" s="1" t="s">
        <v>1507</v>
      </c>
      <c r="Q179" s="1" t="s">
        <v>1507</v>
      </c>
      <c r="R179" s="1" t="s">
        <v>1507</v>
      </c>
      <c r="S179" s="1" t="s">
        <v>1507</v>
      </c>
      <c r="T179" s="1" t="s">
        <v>1507</v>
      </c>
      <c r="U179" s="1" t="s">
        <v>3845</v>
      </c>
      <c r="V179" s="1" t="s">
        <v>1507</v>
      </c>
      <c r="W179" s="1" t="s">
        <v>3846</v>
      </c>
      <c r="X179" s="1" t="s">
        <v>3847</v>
      </c>
      <c r="Y179" s="1" t="s">
        <v>14503</v>
      </c>
      <c r="Z179" s="1" t="s">
        <v>3848</v>
      </c>
      <c r="AA179" s="1" t="s">
        <v>3849</v>
      </c>
      <c r="AB179" s="1" t="s">
        <v>14504</v>
      </c>
      <c r="AC179" s="1" t="s">
        <v>14505</v>
      </c>
      <c r="AD179" s="1" t="s">
        <v>3850</v>
      </c>
      <c r="AE179" s="1" t="s">
        <v>3850</v>
      </c>
      <c r="AF179" s="1" t="s">
        <v>3851</v>
      </c>
      <c r="AG179" s="1" t="s">
        <v>1507</v>
      </c>
      <c r="AH179" s="1">
        <v>36</v>
      </c>
      <c r="AI179" s="1">
        <v>1</v>
      </c>
      <c r="AJ179" s="1">
        <v>1</v>
      </c>
      <c r="AK179" s="1">
        <v>3</v>
      </c>
      <c r="AL179" s="1">
        <v>3</v>
      </c>
      <c r="AM179" s="1" t="s">
        <v>3564</v>
      </c>
      <c r="AN179" s="1" t="s">
        <v>1523</v>
      </c>
      <c r="AO179" s="1" t="s">
        <v>3565</v>
      </c>
      <c r="AP179" s="1" t="s">
        <v>1507</v>
      </c>
      <c r="AQ179" s="1" t="s">
        <v>3852</v>
      </c>
      <c r="AR179" s="1" t="s">
        <v>1507</v>
      </c>
      <c r="AS179" s="1" t="s">
        <v>3853</v>
      </c>
      <c r="AT179" s="1" t="s">
        <v>3854</v>
      </c>
      <c r="AU179" s="1" t="s">
        <v>3855</v>
      </c>
      <c r="AV179" s="1">
        <v>2023</v>
      </c>
      <c r="AW179" s="1">
        <v>7</v>
      </c>
      <c r="AX179" s="1">
        <v>1</v>
      </c>
      <c r="AY179" s="1" t="s">
        <v>1507</v>
      </c>
      <c r="AZ179" s="1" t="s">
        <v>1507</v>
      </c>
      <c r="BA179" s="1" t="s">
        <v>1507</v>
      </c>
      <c r="BB179" s="1" t="s">
        <v>1507</v>
      </c>
      <c r="BC179" s="1" t="s">
        <v>1507</v>
      </c>
      <c r="BD179" s="1" t="s">
        <v>1507</v>
      </c>
      <c r="BE179" s="1" t="s">
        <v>3856</v>
      </c>
      <c r="BF179" s="1" t="s">
        <v>3857</v>
      </c>
      <c r="BG179" s="1" t="str">
        <f>HYPERLINK("http://dx.doi.org/10.1017/cts.2023.619","http://dx.doi.org/10.1017/cts.2023.619")</f>
        <v>http://dx.doi.org/10.1017/cts.2023.619</v>
      </c>
      <c r="BH179" s="1" t="s">
        <v>1507</v>
      </c>
      <c r="BI179" s="1" t="s">
        <v>1507</v>
      </c>
      <c r="BJ179" s="1">
        <v>10</v>
      </c>
      <c r="BK179" s="1" t="s">
        <v>3858</v>
      </c>
      <c r="BL179" s="1" t="s">
        <v>1529</v>
      </c>
      <c r="BM179" s="1" t="s">
        <v>3859</v>
      </c>
      <c r="BN179" s="1" t="s">
        <v>3860</v>
      </c>
      <c r="BO179" s="1">
        <v>37900350</v>
      </c>
      <c r="BP179" s="1" t="s">
        <v>1952</v>
      </c>
      <c r="BQ179" s="1" t="s">
        <v>1507</v>
      </c>
      <c r="BR179" s="1" t="s">
        <v>1507</v>
      </c>
      <c r="BS179" s="1" t="s">
        <v>13744</v>
      </c>
      <c r="BT179" s="1" t="s">
        <v>3861</v>
      </c>
      <c r="BU179" s="1" t="str">
        <f>HYPERLINK("https%3A%2F%2Fwww.webofscience.com%2Fwos%2Fwoscc%2Ffull-record%2FWOS:001086202500001","View Full Record in Web of Science")</f>
        <v>View Full Record in Web of Science</v>
      </c>
    </row>
    <row r="180" spans="1:73" x14ac:dyDescent="0.25">
      <c r="A180" s="1">
        <v>179</v>
      </c>
      <c r="B180" s="1" t="s">
        <v>1506</v>
      </c>
      <c r="C180" s="1" t="s">
        <v>8321</v>
      </c>
      <c r="D180" s="1" t="s">
        <v>1507</v>
      </c>
      <c r="E180" s="1" t="s">
        <v>1507</v>
      </c>
      <c r="F180" s="1" t="s">
        <v>1507</v>
      </c>
      <c r="G180" s="1" t="s">
        <v>8322</v>
      </c>
      <c r="H180" s="1" t="s">
        <v>1507</v>
      </c>
      <c r="I180" s="1" t="s">
        <v>1507</v>
      </c>
      <c r="J180" s="1" t="s">
        <v>8323</v>
      </c>
      <c r="K180" s="1" t="s">
        <v>4793</v>
      </c>
      <c r="L180" s="1" t="s">
        <v>1507</v>
      </c>
      <c r="M180" s="1" t="s">
        <v>1507</v>
      </c>
      <c r="N180" s="1" t="s">
        <v>42</v>
      </c>
      <c r="O180" s="1" t="s">
        <v>56</v>
      </c>
      <c r="P180" s="1" t="s">
        <v>1507</v>
      </c>
      <c r="Q180" s="1" t="s">
        <v>1507</v>
      </c>
      <c r="R180" s="1" t="s">
        <v>1507</v>
      </c>
      <c r="S180" s="1" t="s">
        <v>1507</v>
      </c>
      <c r="T180" s="1" t="s">
        <v>1507</v>
      </c>
      <c r="U180" s="1" t="s">
        <v>8324</v>
      </c>
      <c r="V180" s="1" t="s">
        <v>1507</v>
      </c>
      <c r="W180" s="1" t="s">
        <v>8325</v>
      </c>
      <c r="X180" s="1" t="s">
        <v>8326</v>
      </c>
      <c r="Y180" s="1" t="s">
        <v>6684</v>
      </c>
      <c r="Z180" s="1" t="s">
        <v>8327</v>
      </c>
      <c r="AA180" s="1" t="s">
        <v>1507</v>
      </c>
      <c r="AB180" s="1" t="s">
        <v>1507</v>
      </c>
      <c r="AC180" s="1" t="s">
        <v>1507</v>
      </c>
      <c r="AD180" s="1" t="s">
        <v>8328</v>
      </c>
      <c r="AE180" s="1" t="s">
        <v>1554</v>
      </c>
      <c r="AF180" s="1" t="s">
        <v>8329</v>
      </c>
      <c r="AG180" s="1" t="s">
        <v>1507</v>
      </c>
      <c r="AH180" s="1">
        <v>27</v>
      </c>
      <c r="AI180" s="1">
        <v>2</v>
      </c>
      <c r="AJ180" s="1">
        <v>2</v>
      </c>
      <c r="AK180" s="1">
        <v>4</v>
      </c>
      <c r="AL180" s="1">
        <v>20</v>
      </c>
      <c r="AM180" s="1" t="s">
        <v>4805</v>
      </c>
      <c r="AN180" s="1" t="s">
        <v>4806</v>
      </c>
      <c r="AO180" s="1" t="s">
        <v>4807</v>
      </c>
      <c r="AP180" s="1" t="s">
        <v>4808</v>
      </c>
      <c r="AQ180" s="1" t="s">
        <v>4809</v>
      </c>
      <c r="AR180" s="1" t="s">
        <v>1507</v>
      </c>
      <c r="AS180" s="1" t="s">
        <v>4810</v>
      </c>
      <c r="AT180" s="1" t="s">
        <v>1365</v>
      </c>
      <c r="AU180" s="1" t="s">
        <v>4336</v>
      </c>
      <c r="AV180" s="1">
        <v>2021</v>
      </c>
      <c r="AW180" s="1">
        <v>11</v>
      </c>
      <c r="AX180" s="1">
        <v>3</v>
      </c>
      <c r="AY180" s="1" t="s">
        <v>1507</v>
      </c>
      <c r="AZ180" s="1" t="s">
        <v>1507</v>
      </c>
      <c r="BA180" s="1" t="s">
        <v>1507</v>
      </c>
      <c r="BB180" s="1" t="s">
        <v>1507</v>
      </c>
      <c r="BC180" s="1">
        <v>314</v>
      </c>
      <c r="BD180" s="1">
        <v>338</v>
      </c>
      <c r="BE180" s="1" t="s">
        <v>1507</v>
      </c>
      <c r="BF180" s="1" t="s">
        <v>8330</v>
      </c>
      <c r="BG180" s="1" t="str">
        <f>HYPERLINK("http://dx.doi.org/10.4337/qmjip.2021.03.03","http://dx.doi.org/10.4337/qmjip.2021.03.03")</f>
        <v>http://dx.doi.org/10.4337/qmjip.2021.03.03</v>
      </c>
      <c r="BH180" s="1" t="s">
        <v>1507</v>
      </c>
      <c r="BI180" s="1" t="s">
        <v>1507</v>
      </c>
      <c r="BJ180" s="1">
        <v>25</v>
      </c>
      <c r="BK180" s="1" t="s">
        <v>1535</v>
      </c>
      <c r="BL180" s="1" t="s">
        <v>1518</v>
      </c>
      <c r="BM180" s="1" t="s">
        <v>1536</v>
      </c>
      <c r="BN180" s="1" t="s">
        <v>8331</v>
      </c>
      <c r="BO180" s="1" t="s">
        <v>1507</v>
      </c>
      <c r="BP180" s="1" t="s">
        <v>1507</v>
      </c>
      <c r="BQ180" s="1" t="s">
        <v>1507</v>
      </c>
      <c r="BR180" s="1" t="s">
        <v>1507</v>
      </c>
      <c r="BS180" s="1" t="s">
        <v>13744</v>
      </c>
      <c r="BT180" s="1" t="s">
        <v>8332</v>
      </c>
      <c r="BU180" s="1" t="str">
        <f>HYPERLINK("https%3A%2F%2Fwww.webofscience.com%2Fwos%2Fwoscc%2Ffull-record%2FWOS:000689726300004","View Full Record in Web of Science")</f>
        <v>View Full Record in Web of Science</v>
      </c>
    </row>
    <row r="181" spans="1:73" x14ac:dyDescent="0.25">
      <c r="A181" s="1">
        <v>180</v>
      </c>
      <c r="B181" s="1" t="s">
        <v>1506</v>
      </c>
      <c r="C181" s="1" t="s">
        <v>3333</v>
      </c>
      <c r="D181" s="1" t="s">
        <v>1507</v>
      </c>
      <c r="E181" s="1" t="s">
        <v>1507</v>
      </c>
      <c r="F181" s="1" t="s">
        <v>1507</v>
      </c>
      <c r="G181" s="1" t="s">
        <v>3334</v>
      </c>
      <c r="H181" s="1" t="s">
        <v>1507</v>
      </c>
      <c r="I181" s="1" t="s">
        <v>1507</v>
      </c>
      <c r="J181" s="1" t="s">
        <v>3335</v>
      </c>
      <c r="K181" s="1" t="s">
        <v>3336</v>
      </c>
      <c r="L181" s="1" t="s">
        <v>1507</v>
      </c>
      <c r="M181" s="1" t="s">
        <v>1507</v>
      </c>
      <c r="N181" s="1" t="s">
        <v>42</v>
      </c>
      <c r="O181" s="1" t="s">
        <v>56</v>
      </c>
      <c r="P181" s="1" t="s">
        <v>1507</v>
      </c>
      <c r="Q181" s="1" t="s">
        <v>1507</v>
      </c>
      <c r="R181" s="1" t="s">
        <v>1507</v>
      </c>
      <c r="S181" s="1" t="s">
        <v>1507</v>
      </c>
      <c r="T181" s="1" t="s">
        <v>1507</v>
      </c>
      <c r="U181" s="1" t="s">
        <v>3337</v>
      </c>
      <c r="V181" s="1" t="s">
        <v>3338</v>
      </c>
      <c r="W181" s="1" t="s">
        <v>3339</v>
      </c>
      <c r="X181" s="1" t="s">
        <v>3340</v>
      </c>
      <c r="Y181" s="1" t="s">
        <v>3341</v>
      </c>
      <c r="Z181" s="1" t="s">
        <v>3342</v>
      </c>
      <c r="AA181" s="1" t="s">
        <v>3343</v>
      </c>
      <c r="AB181" s="1" t="s">
        <v>14299</v>
      </c>
      <c r="AC181" s="1" t="s">
        <v>3344</v>
      </c>
      <c r="AD181" s="1" t="s">
        <v>3345</v>
      </c>
      <c r="AE181" s="1" t="s">
        <v>3346</v>
      </c>
      <c r="AF181" s="1" t="s">
        <v>3347</v>
      </c>
      <c r="AG181" s="1" t="s">
        <v>1507</v>
      </c>
      <c r="AH181" s="1">
        <v>58</v>
      </c>
      <c r="AI181" s="1">
        <v>0</v>
      </c>
      <c r="AJ181" s="1">
        <v>0</v>
      </c>
      <c r="AK181" s="1">
        <v>5</v>
      </c>
      <c r="AL181" s="1">
        <v>12</v>
      </c>
      <c r="AM181" s="1" t="s">
        <v>2883</v>
      </c>
      <c r="AN181" s="1" t="s">
        <v>1512</v>
      </c>
      <c r="AO181" s="1" t="s">
        <v>2884</v>
      </c>
      <c r="AP181" s="1" t="s">
        <v>3348</v>
      </c>
      <c r="AQ181" s="1" t="s">
        <v>3349</v>
      </c>
      <c r="AR181" s="1" t="s">
        <v>1507</v>
      </c>
      <c r="AS181" s="1" t="s">
        <v>3350</v>
      </c>
      <c r="AT181" s="1" t="s">
        <v>3351</v>
      </c>
      <c r="AU181" s="1" t="s">
        <v>2889</v>
      </c>
      <c r="AV181" s="1">
        <v>2023</v>
      </c>
      <c r="AW181" s="1">
        <v>141</v>
      </c>
      <c r="AX181" s="1" t="s">
        <v>1507</v>
      </c>
      <c r="AY181" s="1" t="s">
        <v>1507</v>
      </c>
      <c r="AZ181" s="1" t="s">
        <v>1507</v>
      </c>
      <c r="BA181" s="1" t="s">
        <v>1507</v>
      </c>
      <c r="BB181" s="1" t="s">
        <v>1507</v>
      </c>
      <c r="BC181" s="1">
        <v>10</v>
      </c>
      <c r="BD181" s="1">
        <v>19</v>
      </c>
      <c r="BE181" s="1" t="s">
        <v>1507</v>
      </c>
      <c r="BF181" s="1" t="s">
        <v>3352</v>
      </c>
      <c r="BG181" s="1" t="str">
        <f>HYPERLINK("http://dx.doi.org/10.1016/j.isatra.2023.04.025","http://dx.doi.org/10.1016/j.isatra.2023.04.025")</f>
        <v>http://dx.doi.org/10.1016/j.isatra.2023.04.025</v>
      </c>
      <c r="BH181" s="1" t="s">
        <v>1507</v>
      </c>
      <c r="BI181" s="1" t="s">
        <v>2891</v>
      </c>
      <c r="BJ181" s="1">
        <v>10</v>
      </c>
      <c r="BK181" s="1" t="s">
        <v>3353</v>
      </c>
      <c r="BL181" s="1" t="s">
        <v>1573</v>
      </c>
      <c r="BM181" s="1" t="s">
        <v>3354</v>
      </c>
      <c r="BN181" s="1" t="s">
        <v>3355</v>
      </c>
      <c r="BO181" s="1">
        <v>37164876</v>
      </c>
      <c r="BP181" s="1" t="s">
        <v>1507</v>
      </c>
      <c r="BQ181" s="1" t="s">
        <v>1507</v>
      </c>
      <c r="BR181" s="1" t="s">
        <v>1507</v>
      </c>
      <c r="BS181" s="1" t="s">
        <v>13744</v>
      </c>
      <c r="BT181" s="1" t="s">
        <v>3356</v>
      </c>
      <c r="BU181" s="1" t="str">
        <f>HYPERLINK("https%3A%2F%2Fwww.webofscience.com%2Fwos%2Fwoscc%2Ffull-record%2FWOS:001098911300001","View Full Record in Web of Science")</f>
        <v>View Full Record in Web of Science</v>
      </c>
    </row>
    <row r="182" spans="1:73" x14ac:dyDescent="0.25">
      <c r="A182" s="1">
        <v>181</v>
      </c>
      <c r="B182" s="1" t="s">
        <v>1506</v>
      </c>
      <c r="C182" s="1" t="s">
        <v>9172</v>
      </c>
      <c r="D182" s="1" t="s">
        <v>1507</v>
      </c>
      <c r="E182" s="1" t="s">
        <v>1507</v>
      </c>
      <c r="F182" s="1" t="s">
        <v>1507</v>
      </c>
      <c r="G182" s="1" t="s">
        <v>9173</v>
      </c>
      <c r="H182" s="1" t="s">
        <v>1507</v>
      </c>
      <c r="I182" s="1" t="s">
        <v>1507</v>
      </c>
      <c r="J182" s="1" t="s">
        <v>9174</v>
      </c>
      <c r="K182" s="1" t="s">
        <v>9175</v>
      </c>
      <c r="L182" s="1" t="s">
        <v>1507</v>
      </c>
      <c r="M182" s="1" t="s">
        <v>1507</v>
      </c>
      <c r="N182" s="1" t="s">
        <v>42</v>
      </c>
      <c r="O182" s="1" t="s">
        <v>56</v>
      </c>
      <c r="P182" s="1" t="s">
        <v>1507</v>
      </c>
      <c r="Q182" s="1" t="s">
        <v>1507</v>
      </c>
      <c r="R182" s="1" t="s">
        <v>1507</v>
      </c>
      <c r="S182" s="1" t="s">
        <v>1507</v>
      </c>
      <c r="T182" s="1" t="s">
        <v>1507</v>
      </c>
      <c r="U182" s="1" t="s">
        <v>9176</v>
      </c>
      <c r="V182" s="1" t="s">
        <v>1507</v>
      </c>
      <c r="W182" s="1" t="s">
        <v>9177</v>
      </c>
      <c r="X182" s="1" t="s">
        <v>9178</v>
      </c>
      <c r="Y182" s="1" t="s">
        <v>9179</v>
      </c>
      <c r="Z182" s="1" t="s">
        <v>9180</v>
      </c>
      <c r="AA182" s="1" t="s">
        <v>9181</v>
      </c>
      <c r="AB182" s="1" t="s">
        <v>1507</v>
      </c>
      <c r="AC182" s="1" t="s">
        <v>15763</v>
      </c>
      <c r="AD182" s="1" t="s">
        <v>9182</v>
      </c>
      <c r="AE182" s="1" t="s">
        <v>9183</v>
      </c>
      <c r="AF182" s="1" t="s">
        <v>9184</v>
      </c>
      <c r="AG182" s="1" t="s">
        <v>1507</v>
      </c>
      <c r="AH182" s="1">
        <v>30</v>
      </c>
      <c r="AI182" s="1">
        <v>8</v>
      </c>
      <c r="AJ182" s="1">
        <v>8</v>
      </c>
      <c r="AK182" s="1">
        <v>3</v>
      </c>
      <c r="AL182" s="1">
        <v>13</v>
      </c>
      <c r="AM182" s="1" t="s">
        <v>1626</v>
      </c>
      <c r="AN182" s="1" t="s">
        <v>1627</v>
      </c>
      <c r="AO182" s="1" t="s">
        <v>1628</v>
      </c>
      <c r="AP182" s="1" t="s">
        <v>9185</v>
      </c>
      <c r="AQ182" s="1" t="s">
        <v>9186</v>
      </c>
      <c r="AR182" s="1" t="s">
        <v>1507</v>
      </c>
      <c r="AS182" s="1" t="s">
        <v>9187</v>
      </c>
      <c r="AT182" s="1" t="s">
        <v>9188</v>
      </c>
      <c r="AU182" s="1" t="s">
        <v>1507</v>
      </c>
      <c r="AV182" s="1">
        <v>2021</v>
      </c>
      <c r="AW182" s="1">
        <v>28</v>
      </c>
      <c r="AX182" s="1" t="s">
        <v>1507</v>
      </c>
      <c r="AY182" s="1" t="s">
        <v>1507</v>
      </c>
      <c r="AZ182" s="1" t="s">
        <v>1507</v>
      </c>
      <c r="BA182" s="1" t="s">
        <v>1507</v>
      </c>
      <c r="BB182" s="1" t="s">
        <v>1507</v>
      </c>
      <c r="BC182" s="1">
        <v>1789</v>
      </c>
      <c r="BD182" s="1">
        <v>1793</v>
      </c>
      <c r="BE182" s="1" t="s">
        <v>1507</v>
      </c>
      <c r="BF182" s="1" t="s">
        <v>9189</v>
      </c>
      <c r="BG182" s="1" t="str">
        <f>HYPERLINK("http://dx.doi.org/10.1109/LSP.2021.3107209","http://dx.doi.org/10.1109/LSP.2021.3107209")</f>
        <v>http://dx.doi.org/10.1109/LSP.2021.3107209</v>
      </c>
      <c r="BH182" s="1" t="s">
        <v>1507</v>
      </c>
      <c r="BI182" s="1" t="s">
        <v>1507</v>
      </c>
      <c r="BJ182" s="1">
        <v>5</v>
      </c>
      <c r="BK182" s="1" t="s">
        <v>9190</v>
      </c>
      <c r="BL182" s="1" t="s">
        <v>1573</v>
      </c>
      <c r="BM182" s="1" t="s">
        <v>3691</v>
      </c>
      <c r="BN182" s="1" t="s">
        <v>9191</v>
      </c>
      <c r="BO182" s="1" t="s">
        <v>1507</v>
      </c>
      <c r="BP182" s="1" t="s">
        <v>1507</v>
      </c>
      <c r="BQ182" s="1" t="s">
        <v>1507</v>
      </c>
      <c r="BR182" s="1" t="s">
        <v>1507</v>
      </c>
      <c r="BS182" s="1" t="s">
        <v>13744</v>
      </c>
      <c r="BT182" s="1" t="s">
        <v>9192</v>
      </c>
      <c r="BU182" s="1" t="str">
        <f>HYPERLINK("https%3A%2F%2Fwww.webofscience.com%2Fwos%2Fwoscc%2Ffull-record%2FWOS:000696663300002","View Full Record in Web of Science")</f>
        <v>View Full Record in Web of Science</v>
      </c>
    </row>
    <row r="183" spans="1:73" x14ac:dyDescent="0.25">
      <c r="A183" s="1">
        <v>182</v>
      </c>
      <c r="B183" s="1" t="s">
        <v>1506</v>
      </c>
      <c r="C183" s="1" t="s">
        <v>4893</v>
      </c>
      <c r="D183" s="1" t="s">
        <v>1507</v>
      </c>
      <c r="E183" s="1" t="s">
        <v>1507</v>
      </c>
      <c r="F183" s="1" t="s">
        <v>1507</v>
      </c>
      <c r="G183" s="1" t="s">
        <v>4894</v>
      </c>
      <c r="H183" s="1" t="s">
        <v>1507</v>
      </c>
      <c r="I183" s="1" t="s">
        <v>1507</v>
      </c>
      <c r="J183" s="1" t="s">
        <v>4895</v>
      </c>
      <c r="K183" s="1" t="s">
        <v>3297</v>
      </c>
      <c r="L183" s="1" t="s">
        <v>1507</v>
      </c>
      <c r="M183" s="1" t="s">
        <v>1507</v>
      </c>
      <c r="N183" s="1" t="s">
        <v>42</v>
      </c>
      <c r="O183" s="1" t="s">
        <v>56</v>
      </c>
      <c r="P183" s="1" t="s">
        <v>1507</v>
      </c>
      <c r="Q183" s="1" t="s">
        <v>1507</v>
      </c>
      <c r="R183" s="1" t="s">
        <v>1507</v>
      </c>
      <c r="S183" s="1" t="s">
        <v>1507</v>
      </c>
      <c r="T183" s="1" t="s">
        <v>1507</v>
      </c>
      <c r="U183" s="1" t="s">
        <v>1507</v>
      </c>
      <c r="V183" s="1" t="s">
        <v>1507</v>
      </c>
      <c r="W183" s="1" t="s">
        <v>4896</v>
      </c>
      <c r="X183" s="1" t="s">
        <v>4897</v>
      </c>
      <c r="Y183" s="1" t="s">
        <v>4898</v>
      </c>
      <c r="Z183" s="1" t="s">
        <v>4899</v>
      </c>
      <c r="AA183" s="1" t="s">
        <v>4900</v>
      </c>
      <c r="AB183" s="1" t="s">
        <v>1507</v>
      </c>
      <c r="AC183" s="1" t="s">
        <v>1507</v>
      </c>
      <c r="AD183" s="1" t="s">
        <v>4901</v>
      </c>
      <c r="AE183" s="1" t="s">
        <v>4902</v>
      </c>
      <c r="AF183" s="1" t="s">
        <v>4903</v>
      </c>
      <c r="AG183" s="1" t="s">
        <v>1507</v>
      </c>
      <c r="AH183" s="1">
        <v>27</v>
      </c>
      <c r="AI183" s="1">
        <v>0</v>
      </c>
      <c r="AJ183" s="1">
        <v>0</v>
      </c>
      <c r="AK183" s="1">
        <v>2</v>
      </c>
      <c r="AL183" s="1">
        <v>7</v>
      </c>
      <c r="AM183" s="1" t="s">
        <v>1591</v>
      </c>
      <c r="AN183" s="1" t="s">
        <v>1592</v>
      </c>
      <c r="AO183" s="1" t="s">
        <v>1593</v>
      </c>
      <c r="AP183" s="1" t="s">
        <v>3307</v>
      </c>
      <c r="AQ183" s="1" t="s">
        <v>1507</v>
      </c>
      <c r="AR183" s="1" t="s">
        <v>1507</v>
      </c>
      <c r="AS183" s="1" t="s">
        <v>3308</v>
      </c>
      <c r="AT183" s="1" t="s">
        <v>3309</v>
      </c>
      <c r="AU183" s="1" t="s">
        <v>4904</v>
      </c>
      <c r="AV183" s="1">
        <v>2023</v>
      </c>
      <c r="AW183" s="1">
        <v>13</v>
      </c>
      <c r="AX183" s="1">
        <v>1</v>
      </c>
      <c r="AY183" s="1" t="s">
        <v>1507</v>
      </c>
      <c r="AZ183" s="1" t="s">
        <v>1507</v>
      </c>
      <c r="BA183" s="1" t="s">
        <v>1507</v>
      </c>
      <c r="BB183" s="1" t="s">
        <v>1507</v>
      </c>
      <c r="BC183" s="1" t="s">
        <v>1507</v>
      </c>
      <c r="BD183" s="1" t="s">
        <v>1507</v>
      </c>
      <c r="BE183" s="1" t="s">
        <v>1507</v>
      </c>
      <c r="BF183" s="1" t="s">
        <v>4905</v>
      </c>
      <c r="BG183" s="1" t="str">
        <f>HYPERLINK("http://dx.doi.org/10.1038/s41598-023-34375-6","http://dx.doi.org/10.1038/s41598-023-34375-6")</f>
        <v>http://dx.doi.org/10.1038/s41598-023-34375-6</v>
      </c>
      <c r="BH183" s="1" t="s">
        <v>1507</v>
      </c>
      <c r="BI183" s="1" t="s">
        <v>1507</v>
      </c>
      <c r="BJ183" s="1">
        <v>8</v>
      </c>
      <c r="BK183" s="1" t="s">
        <v>1776</v>
      </c>
      <c r="BL183" s="1" t="s">
        <v>1573</v>
      </c>
      <c r="BM183" s="1" t="s">
        <v>1777</v>
      </c>
      <c r="BN183" s="1" t="s">
        <v>4906</v>
      </c>
      <c r="BO183" s="1">
        <v>37225712</v>
      </c>
      <c r="BP183" s="1" t="s">
        <v>1952</v>
      </c>
      <c r="BQ183" s="1" t="s">
        <v>1507</v>
      </c>
      <c r="BR183" s="1" t="s">
        <v>1507</v>
      </c>
      <c r="BS183" s="1" t="s">
        <v>13744</v>
      </c>
      <c r="BT183" s="1" t="s">
        <v>4907</v>
      </c>
      <c r="BU183" s="1" t="str">
        <f>HYPERLINK("https%3A%2F%2Fwww.webofscience.com%2Fwos%2Fwoscc%2Ffull-record%2FWOS:000995835600038","View Full Record in Web of Science")</f>
        <v>View Full Record in Web of Science</v>
      </c>
    </row>
    <row r="184" spans="1:73" x14ac:dyDescent="0.25">
      <c r="A184" s="1">
        <v>183</v>
      </c>
      <c r="B184" s="1" t="s">
        <v>1506</v>
      </c>
      <c r="C184" s="1" t="s">
        <v>6864</v>
      </c>
      <c r="D184" s="1" t="s">
        <v>1507</v>
      </c>
      <c r="E184" s="1" t="s">
        <v>1507</v>
      </c>
      <c r="F184" s="1" t="s">
        <v>1507</v>
      </c>
      <c r="G184" s="1" t="s">
        <v>6865</v>
      </c>
      <c r="H184" s="1" t="s">
        <v>1507</v>
      </c>
      <c r="I184" s="1" t="s">
        <v>1507</v>
      </c>
      <c r="J184" s="1" t="s">
        <v>6866</v>
      </c>
      <c r="K184" s="1" t="s">
        <v>6867</v>
      </c>
      <c r="L184" s="1" t="s">
        <v>1507</v>
      </c>
      <c r="M184" s="1" t="s">
        <v>1507</v>
      </c>
      <c r="N184" s="1" t="s">
        <v>42</v>
      </c>
      <c r="O184" s="1" t="s">
        <v>56</v>
      </c>
      <c r="P184" s="1" t="s">
        <v>1507</v>
      </c>
      <c r="Q184" s="1" t="s">
        <v>1507</v>
      </c>
      <c r="R184" s="1" t="s">
        <v>1507</v>
      </c>
      <c r="S184" s="1" t="s">
        <v>1507</v>
      </c>
      <c r="T184" s="1" t="s">
        <v>1507</v>
      </c>
      <c r="U184" s="1" t="s">
        <v>6868</v>
      </c>
      <c r="V184" s="1" t="s">
        <v>1507</v>
      </c>
      <c r="W184" s="1" t="s">
        <v>6869</v>
      </c>
      <c r="X184" s="1" t="s">
        <v>6870</v>
      </c>
      <c r="Y184" s="1" t="s">
        <v>6871</v>
      </c>
      <c r="Z184" s="1" t="s">
        <v>6872</v>
      </c>
      <c r="AA184" s="1" t="s">
        <v>6873</v>
      </c>
      <c r="AB184" s="1" t="s">
        <v>15561</v>
      </c>
      <c r="AC184" s="1" t="s">
        <v>15562</v>
      </c>
      <c r="AD184" s="1" t="s">
        <v>6874</v>
      </c>
      <c r="AE184" s="1" t="s">
        <v>6875</v>
      </c>
      <c r="AF184" s="1" t="s">
        <v>6876</v>
      </c>
      <c r="AG184" s="1" t="s">
        <v>1507</v>
      </c>
      <c r="AH184" s="1">
        <v>18</v>
      </c>
      <c r="AI184" s="1">
        <v>0</v>
      </c>
      <c r="AJ184" s="1">
        <v>0</v>
      </c>
      <c r="AK184" s="1">
        <v>1</v>
      </c>
      <c r="AL184" s="1">
        <v>2</v>
      </c>
      <c r="AM184" s="1" t="s">
        <v>6877</v>
      </c>
      <c r="AN184" s="1" t="s">
        <v>6878</v>
      </c>
      <c r="AO184" s="1" t="s">
        <v>6879</v>
      </c>
      <c r="AP184" s="1" t="s">
        <v>6880</v>
      </c>
      <c r="AQ184" s="1" t="s">
        <v>6881</v>
      </c>
      <c r="AR184" s="1" t="s">
        <v>1507</v>
      </c>
      <c r="AS184" s="1" t="s">
        <v>6882</v>
      </c>
      <c r="AT184" s="1" t="s">
        <v>6883</v>
      </c>
      <c r="AU184" s="1" t="s">
        <v>6884</v>
      </c>
      <c r="AV184" s="1">
        <v>2022</v>
      </c>
      <c r="AW184" s="1">
        <v>40</v>
      </c>
      <c r="AX184" s="1">
        <v>4</v>
      </c>
      <c r="AY184" s="1" t="s">
        <v>1507</v>
      </c>
      <c r="AZ184" s="1" t="s">
        <v>1507</v>
      </c>
      <c r="BA184" s="1" t="s">
        <v>1507</v>
      </c>
      <c r="BB184" s="1" t="s">
        <v>1507</v>
      </c>
      <c r="BC184" s="1">
        <v>378</v>
      </c>
      <c r="BD184" s="1">
        <v>383</v>
      </c>
      <c r="BE184" s="1" t="s">
        <v>1507</v>
      </c>
      <c r="BF184" s="1" t="s">
        <v>6885</v>
      </c>
      <c r="BG184" s="1" t="str">
        <f>HYPERLINK("http://dx.doi.org/10.1590/s0102-0536-20220405","http://dx.doi.org/10.1590/s0102-0536-20220405")</f>
        <v>http://dx.doi.org/10.1590/s0102-0536-20220405</v>
      </c>
      <c r="BH184" s="1" t="s">
        <v>1507</v>
      </c>
      <c r="BI184" s="1" t="s">
        <v>1507</v>
      </c>
      <c r="BJ184" s="1">
        <v>6</v>
      </c>
      <c r="BK184" s="1" t="s">
        <v>6886</v>
      </c>
      <c r="BL184" s="1" t="s">
        <v>1573</v>
      </c>
      <c r="BM184" s="1" t="s">
        <v>6512</v>
      </c>
      <c r="BN184" s="1" t="s">
        <v>6887</v>
      </c>
      <c r="BO184" s="1" t="s">
        <v>1507</v>
      </c>
      <c r="BP184" s="1" t="s">
        <v>1531</v>
      </c>
      <c r="BQ184" s="1" t="s">
        <v>1507</v>
      </c>
      <c r="BR184" s="1" t="s">
        <v>1507</v>
      </c>
      <c r="BS184" s="1" t="s">
        <v>13744</v>
      </c>
      <c r="BT184" s="1" t="s">
        <v>6888</v>
      </c>
      <c r="BU184" s="1" t="str">
        <f>HYPERLINK("https%3A%2F%2Fwww.webofscience.com%2Fwos%2Fwoscc%2Ffull-record%2FWOS:000912915100005","View Full Record in Web of Science")</f>
        <v>View Full Record in Web of Science</v>
      </c>
    </row>
    <row r="185" spans="1:73" x14ac:dyDescent="0.25">
      <c r="A185" s="1">
        <v>184</v>
      </c>
      <c r="B185" s="1" t="s">
        <v>1506</v>
      </c>
      <c r="C185" s="1" t="s">
        <v>4036</v>
      </c>
      <c r="D185" s="1" t="s">
        <v>1507</v>
      </c>
      <c r="E185" s="1" t="s">
        <v>1507</v>
      </c>
      <c r="F185" s="1" t="s">
        <v>1507</v>
      </c>
      <c r="G185" s="1" t="s">
        <v>4037</v>
      </c>
      <c r="H185" s="1" t="s">
        <v>1507</v>
      </c>
      <c r="I185" s="1" t="s">
        <v>1507</v>
      </c>
      <c r="J185" s="1" t="s">
        <v>4038</v>
      </c>
      <c r="K185" s="1" t="s">
        <v>4039</v>
      </c>
      <c r="L185" s="1" t="s">
        <v>1507</v>
      </c>
      <c r="M185" s="1" t="s">
        <v>1507</v>
      </c>
      <c r="N185" s="1" t="s">
        <v>42</v>
      </c>
      <c r="O185" s="1" t="s">
        <v>56</v>
      </c>
      <c r="P185" s="1" t="s">
        <v>1507</v>
      </c>
      <c r="Q185" s="1" t="s">
        <v>1507</v>
      </c>
      <c r="R185" s="1" t="s">
        <v>1507</v>
      </c>
      <c r="S185" s="1" t="s">
        <v>1507</v>
      </c>
      <c r="T185" s="1" t="s">
        <v>1507</v>
      </c>
      <c r="U185" s="1" t="s">
        <v>4040</v>
      </c>
      <c r="V185" s="1" t="s">
        <v>4041</v>
      </c>
      <c r="W185" s="1" t="s">
        <v>4042</v>
      </c>
      <c r="X185" s="1" t="s">
        <v>4043</v>
      </c>
      <c r="Y185" s="1" t="s">
        <v>4044</v>
      </c>
      <c r="Z185" s="1" t="s">
        <v>4045</v>
      </c>
      <c r="AA185" s="1" t="s">
        <v>4046</v>
      </c>
      <c r="AB185" s="1" t="s">
        <v>1507</v>
      </c>
      <c r="AC185" s="1" t="s">
        <v>4047</v>
      </c>
      <c r="AD185" s="1" t="s">
        <v>4048</v>
      </c>
      <c r="AE185" s="1" t="s">
        <v>4049</v>
      </c>
      <c r="AF185" s="1" t="s">
        <v>4050</v>
      </c>
      <c r="AG185" s="1" t="s">
        <v>1507</v>
      </c>
      <c r="AH185" s="1">
        <v>42</v>
      </c>
      <c r="AI185" s="1">
        <v>1</v>
      </c>
      <c r="AJ185" s="1">
        <v>1</v>
      </c>
      <c r="AK185" s="1">
        <v>3</v>
      </c>
      <c r="AL185" s="1">
        <v>3</v>
      </c>
      <c r="AM185" s="1" t="s">
        <v>1579</v>
      </c>
      <c r="AN185" s="1" t="s">
        <v>1580</v>
      </c>
      <c r="AO185" s="1" t="s">
        <v>1581</v>
      </c>
      <c r="AP185" s="1" t="s">
        <v>4051</v>
      </c>
      <c r="AQ185" s="1" t="s">
        <v>4052</v>
      </c>
      <c r="AR185" s="1" t="s">
        <v>1507</v>
      </c>
      <c r="AS185" s="1" t="s">
        <v>4053</v>
      </c>
      <c r="AT185" s="1" t="s">
        <v>4054</v>
      </c>
      <c r="AU185" s="1" t="s">
        <v>2191</v>
      </c>
      <c r="AV185" s="1">
        <v>2023</v>
      </c>
      <c r="AW185" s="1">
        <v>99</v>
      </c>
      <c r="AX185" s="1" t="s">
        <v>1507</v>
      </c>
      <c r="AY185" s="1" t="s">
        <v>1507</v>
      </c>
      <c r="AZ185" s="1" t="s">
        <v>1507</v>
      </c>
      <c r="BA185" s="1" t="s">
        <v>1507</v>
      </c>
      <c r="BB185" s="1" t="s">
        <v>1507</v>
      </c>
      <c r="BC185" s="1" t="s">
        <v>1507</v>
      </c>
      <c r="BD185" s="1" t="s">
        <v>1507</v>
      </c>
      <c r="BE185" s="1">
        <v>104876</v>
      </c>
      <c r="BF185" s="1" t="s">
        <v>4055</v>
      </c>
      <c r="BG185" s="1" t="str">
        <f>HYPERLINK("http://dx.doi.org/10.1016/j.scs.2023.104876","http://dx.doi.org/10.1016/j.scs.2023.104876")</f>
        <v>http://dx.doi.org/10.1016/j.scs.2023.104876</v>
      </c>
      <c r="BH185" s="1" t="s">
        <v>1507</v>
      </c>
      <c r="BI185" s="1" t="s">
        <v>4056</v>
      </c>
      <c r="BJ185" s="1">
        <v>16</v>
      </c>
      <c r="BK185" s="1" t="s">
        <v>4057</v>
      </c>
      <c r="BL185" s="1" t="s">
        <v>1573</v>
      </c>
      <c r="BM185" s="1" t="s">
        <v>4058</v>
      </c>
      <c r="BN185" s="1" t="s">
        <v>4059</v>
      </c>
      <c r="BO185" s="1" t="s">
        <v>1507</v>
      </c>
      <c r="BP185" s="1" t="s">
        <v>2309</v>
      </c>
      <c r="BQ185" s="1" t="s">
        <v>1507</v>
      </c>
      <c r="BR185" s="1" t="s">
        <v>1507</v>
      </c>
      <c r="BS185" s="1" t="s">
        <v>13744</v>
      </c>
      <c r="BT185" s="1" t="s">
        <v>4060</v>
      </c>
      <c r="BU185" s="1" t="str">
        <f>HYPERLINK("https%3A%2F%2Fwww.webofscience.com%2Fwos%2Fwoscc%2Ffull-record%2FWOS:001079735600001","View Full Record in Web of Science")</f>
        <v>View Full Record in Web of Science</v>
      </c>
    </row>
    <row r="186" spans="1:73" x14ac:dyDescent="0.25">
      <c r="A186" s="1">
        <v>185</v>
      </c>
      <c r="B186" s="1" t="s">
        <v>1506</v>
      </c>
      <c r="C186" s="1" t="s">
        <v>5450</v>
      </c>
      <c r="D186" s="1" t="s">
        <v>1507</v>
      </c>
      <c r="E186" s="1" t="s">
        <v>1507</v>
      </c>
      <c r="F186" s="1" t="s">
        <v>1507</v>
      </c>
      <c r="G186" s="1" t="s">
        <v>5451</v>
      </c>
      <c r="H186" s="1" t="s">
        <v>1507</v>
      </c>
      <c r="I186" s="1" t="s">
        <v>1507</v>
      </c>
      <c r="J186" s="1" t="s">
        <v>5452</v>
      </c>
      <c r="K186" s="1" t="s">
        <v>5453</v>
      </c>
      <c r="L186" s="1" t="s">
        <v>1507</v>
      </c>
      <c r="M186" s="1" t="s">
        <v>1507</v>
      </c>
      <c r="N186" s="1" t="s">
        <v>42</v>
      </c>
      <c r="O186" s="1" t="s">
        <v>56</v>
      </c>
      <c r="P186" s="1" t="s">
        <v>1507</v>
      </c>
      <c r="Q186" s="1" t="s">
        <v>1507</v>
      </c>
      <c r="R186" s="1" t="s">
        <v>1507</v>
      </c>
      <c r="S186" s="1" t="s">
        <v>1507</v>
      </c>
      <c r="T186" s="1" t="s">
        <v>1507</v>
      </c>
      <c r="U186" s="1" t="s">
        <v>5454</v>
      </c>
      <c r="V186" s="1" t="s">
        <v>5455</v>
      </c>
      <c r="W186" s="1" t="s">
        <v>5456</v>
      </c>
      <c r="X186" s="1" t="s">
        <v>5457</v>
      </c>
      <c r="Y186" s="1" t="s">
        <v>5458</v>
      </c>
      <c r="Z186" s="1" t="s">
        <v>5459</v>
      </c>
      <c r="AA186" s="1" t="s">
        <v>5460</v>
      </c>
      <c r="AB186" s="1" t="s">
        <v>14812</v>
      </c>
      <c r="AC186" s="1" t="s">
        <v>14813</v>
      </c>
      <c r="AD186" s="1" t="s">
        <v>5461</v>
      </c>
      <c r="AE186" s="1" t="s">
        <v>2548</v>
      </c>
      <c r="AF186" s="1" t="s">
        <v>5462</v>
      </c>
      <c r="AG186" s="1" t="s">
        <v>1507</v>
      </c>
      <c r="AH186" s="1">
        <v>41</v>
      </c>
      <c r="AI186" s="1">
        <v>5</v>
      </c>
      <c r="AJ186" s="1">
        <v>5</v>
      </c>
      <c r="AK186" s="1">
        <v>1</v>
      </c>
      <c r="AL186" s="1">
        <v>3</v>
      </c>
      <c r="AM186" s="1" t="s">
        <v>5463</v>
      </c>
      <c r="AN186" s="1" t="s">
        <v>2300</v>
      </c>
      <c r="AO186" s="1" t="s">
        <v>5464</v>
      </c>
      <c r="AP186" s="1" t="s">
        <v>5465</v>
      </c>
      <c r="AQ186" s="1" t="s">
        <v>5466</v>
      </c>
      <c r="AR186" s="1" t="s">
        <v>1507</v>
      </c>
      <c r="AS186" s="1" t="s">
        <v>5467</v>
      </c>
      <c r="AT186" s="1" t="s">
        <v>5468</v>
      </c>
      <c r="AU186" s="1" t="s">
        <v>5469</v>
      </c>
      <c r="AV186" s="1">
        <v>2023</v>
      </c>
      <c r="AW186" s="1">
        <v>50</v>
      </c>
      <c r="AX186" s="1">
        <v>1</v>
      </c>
      <c r="AY186" s="1" t="s">
        <v>1507</v>
      </c>
      <c r="AZ186" s="1" t="s">
        <v>1507</v>
      </c>
      <c r="BA186" s="1" t="s">
        <v>1507</v>
      </c>
      <c r="BB186" s="1" t="s">
        <v>1507</v>
      </c>
      <c r="BC186" s="1" t="s">
        <v>1507</v>
      </c>
      <c r="BD186" s="1" t="s">
        <v>1507</v>
      </c>
      <c r="BE186" s="1" t="s">
        <v>1507</v>
      </c>
      <c r="BF186" s="1" t="s">
        <v>5470</v>
      </c>
      <c r="BG186" s="1" t="str">
        <f>HYPERLINK("http://dx.doi.org/10.1029/2022GL100005","http://dx.doi.org/10.1029/2022GL100005")</f>
        <v>http://dx.doi.org/10.1029/2022GL100005</v>
      </c>
      <c r="BH186" s="1" t="s">
        <v>1507</v>
      </c>
      <c r="BI186" s="1" t="s">
        <v>1507</v>
      </c>
      <c r="BJ186" s="1">
        <v>10</v>
      </c>
      <c r="BK186" s="1" t="s">
        <v>5471</v>
      </c>
      <c r="BL186" s="1" t="s">
        <v>1573</v>
      </c>
      <c r="BM186" s="1" t="s">
        <v>5472</v>
      </c>
      <c r="BN186" s="1" t="s">
        <v>5473</v>
      </c>
      <c r="BO186" s="1" t="s">
        <v>1507</v>
      </c>
      <c r="BP186" s="1" t="s">
        <v>4214</v>
      </c>
      <c r="BQ186" s="1" t="s">
        <v>1507</v>
      </c>
      <c r="BR186" s="1" t="s">
        <v>1507</v>
      </c>
      <c r="BS186" s="1" t="s">
        <v>13744</v>
      </c>
      <c r="BT186" s="1" t="s">
        <v>5474</v>
      </c>
      <c r="BU186" s="1" t="str">
        <f>HYPERLINK("https%3A%2F%2Fwww.webofscience.com%2Fwos%2Fwoscc%2Ffull-record%2FWOS:000916264900020","View Full Record in Web of Science")</f>
        <v>View Full Record in Web of Science</v>
      </c>
    </row>
    <row r="187" spans="1:73" x14ac:dyDescent="0.25">
      <c r="A187" s="1">
        <v>186</v>
      </c>
      <c r="B187" s="1" t="s">
        <v>1506</v>
      </c>
      <c r="C187" s="1" t="s">
        <v>2121</v>
      </c>
      <c r="D187" s="1" t="s">
        <v>1507</v>
      </c>
      <c r="E187" s="1" t="s">
        <v>1507</v>
      </c>
      <c r="F187" s="1" t="s">
        <v>1507</v>
      </c>
      <c r="G187" s="1" t="s">
        <v>2122</v>
      </c>
      <c r="H187" s="1" t="s">
        <v>1507</v>
      </c>
      <c r="I187" s="1" t="s">
        <v>1507</v>
      </c>
      <c r="J187" s="1" t="s">
        <v>2123</v>
      </c>
      <c r="K187" s="1" t="s">
        <v>2124</v>
      </c>
      <c r="L187" s="1" t="s">
        <v>1507</v>
      </c>
      <c r="M187" s="1" t="s">
        <v>1507</v>
      </c>
      <c r="N187" s="1" t="s">
        <v>42</v>
      </c>
      <c r="O187" s="1" t="s">
        <v>56</v>
      </c>
      <c r="P187" s="1" t="s">
        <v>1507</v>
      </c>
      <c r="Q187" s="1" t="s">
        <v>1507</v>
      </c>
      <c r="R187" s="1" t="s">
        <v>1507</v>
      </c>
      <c r="S187" s="1" t="s">
        <v>1507</v>
      </c>
      <c r="T187" s="1" t="s">
        <v>1507</v>
      </c>
      <c r="U187" s="1" t="s">
        <v>1507</v>
      </c>
      <c r="V187" s="1" t="s">
        <v>1507</v>
      </c>
      <c r="W187" s="1" t="s">
        <v>2125</v>
      </c>
      <c r="X187" s="1" t="s">
        <v>2126</v>
      </c>
      <c r="Y187" s="1" t="s">
        <v>2127</v>
      </c>
      <c r="Z187" s="1" t="s">
        <v>2128</v>
      </c>
      <c r="AA187" s="1" t="s">
        <v>2129</v>
      </c>
      <c r="AB187" s="1" t="s">
        <v>1507</v>
      </c>
      <c r="AC187" s="1" t="s">
        <v>2130</v>
      </c>
      <c r="AD187" s="1" t="s">
        <v>2131</v>
      </c>
      <c r="AE187" s="1" t="s">
        <v>2132</v>
      </c>
      <c r="AF187" s="1" t="s">
        <v>2133</v>
      </c>
      <c r="AG187" s="1" t="s">
        <v>1507</v>
      </c>
      <c r="AH187" s="1">
        <v>19</v>
      </c>
      <c r="AI187" s="1">
        <v>1</v>
      </c>
      <c r="AJ187" s="1">
        <v>1</v>
      </c>
      <c r="AK187" s="1">
        <v>12</v>
      </c>
      <c r="AL187" s="1">
        <v>12</v>
      </c>
      <c r="AM187" s="1" t="s">
        <v>1559</v>
      </c>
      <c r="AN187" s="1" t="s">
        <v>1560</v>
      </c>
      <c r="AO187" s="1" t="s">
        <v>1561</v>
      </c>
      <c r="AP187" s="1" t="s">
        <v>2134</v>
      </c>
      <c r="AQ187" s="1" t="s">
        <v>2135</v>
      </c>
      <c r="AR187" s="1" t="s">
        <v>1507</v>
      </c>
      <c r="AS187" s="1" t="s">
        <v>2136</v>
      </c>
      <c r="AT187" s="1" t="s">
        <v>2137</v>
      </c>
      <c r="AU187" s="1" t="s">
        <v>10109</v>
      </c>
      <c r="AV187" s="1">
        <v>2024</v>
      </c>
      <c r="AW187" s="1">
        <v>194</v>
      </c>
      <c r="AX187" s="1">
        <v>3</v>
      </c>
      <c r="AY187" s="1" t="s">
        <v>1507</v>
      </c>
      <c r="AZ187" s="1" t="s">
        <v>1507</v>
      </c>
      <c r="BA187" s="1" t="s">
        <v>1507</v>
      </c>
      <c r="BB187" s="1" t="s">
        <v>1507</v>
      </c>
      <c r="BC187" s="1" t="s">
        <v>1507</v>
      </c>
      <c r="BD187" s="1" t="s">
        <v>1507</v>
      </c>
      <c r="BE187" s="1" t="s">
        <v>1507</v>
      </c>
      <c r="BF187" s="1" t="s">
        <v>2138</v>
      </c>
      <c r="BG187" s="1" t="str">
        <f>HYPERLINK("http://dx.doi.org/10.1002/vetr.3669","http://dx.doi.org/10.1002/vetr.3669")</f>
        <v>http://dx.doi.org/10.1002/vetr.3669</v>
      </c>
      <c r="BH187" s="1" t="s">
        <v>1507</v>
      </c>
      <c r="BI187" s="1" t="s">
        <v>1652</v>
      </c>
      <c r="BJ187" s="1">
        <v>4</v>
      </c>
      <c r="BK187" s="1" t="s">
        <v>2139</v>
      </c>
      <c r="BL187" s="1" t="s">
        <v>1573</v>
      </c>
      <c r="BM187" s="1" t="s">
        <v>2139</v>
      </c>
      <c r="BN187" s="1" t="s">
        <v>2140</v>
      </c>
      <c r="BO187" s="1">
        <v>38058223</v>
      </c>
      <c r="BP187" s="1" t="s">
        <v>2309</v>
      </c>
      <c r="BQ187" s="1" t="s">
        <v>1507</v>
      </c>
      <c r="BR187" s="1" t="s">
        <v>1507</v>
      </c>
      <c r="BS187" s="1" t="s">
        <v>13744</v>
      </c>
      <c r="BT187" s="1" t="s">
        <v>2141</v>
      </c>
      <c r="BU187" s="1" t="str">
        <f>HYPERLINK("https%3A%2F%2Fwww.webofscience.com%2Fwos%2Fwoscc%2Ffull-record%2FWOS:001114664100001","View Full Record in Web of Science")</f>
        <v>View Full Record in Web of Science</v>
      </c>
    </row>
    <row r="188" spans="1:73" x14ac:dyDescent="0.25">
      <c r="A188" s="1">
        <v>187</v>
      </c>
      <c r="B188" s="1" t="s">
        <v>1506</v>
      </c>
      <c r="C188" s="1" t="s">
        <v>10694</v>
      </c>
      <c r="D188" s="1" t="s">
        <v>1507</v>
      </c>
      <c r="E188" s="1" t="s">
        <v>1507</v>
      </c>
      <c r="F188" s="1" t="s">
        <v>1507</v>
      </c>
      <c r="G188" s="1" t="s">
        <v>10695</v>
      </c>
      <c r="H188" s="1" t="s">
        <v>1507</v>
      </c>
      <c r="I188" s="1" t="s">
        <v>1507</v>
      </c>
      <c r="J188" s="1" t="s">
        <v>10696</v>
      </c>
      <c r="K188" s="1" t="s">
        <v>2324</v>
      </c>
      <c r="L188" s="1" t="s">
        <v>1507</v>
      </c>
      <c r="M188" s="1" t="s">
        <v>1507</v>
      </c>
      <c r="N188" s="1" t="s">
        <v>42</v>
      </c>
      <c r="O188" s="1" t="s">
        <v>56</v>
      </c>
      <c r="P188" s="1" t="s">
        <v>1507</v>
      </c>
      <c r="Q188" s="1" t="s">
        <v>1507</v>
      </c>
      <c r="R188" s="1" t="s">
        <v>1507</v>
      </c>
      <c r="S188" s="1" t="s">
        <v>1507</v>
      </c>
      <c r="T188" s="1" t="s">
        <v>1507</v>
      </c>
      <c r="U188" s="1" t="s">
        <v>1507</v>
      </c>
      <c r="V188" s="1" t="s">
        <v>10697</v>
      </c>
      <c r="W188" s="1" t="s">
        <v>10698</v>
      </c>
      <c r="X188" s="1" t="s">
        <v>10699</v>
      </c>
      <c r="Y188" s="1" t="s">
        <v>10700</v>
      </c>
      <c r="Z188" s="1" t="s">
        <v>10701</v>
      </c>
      <c r="AA188" s="1" t="s">
        <v>1507</v>
      </c>
      <c r="AB188" s="1" t="s">
        <v>10702</v>
      </c>
      <c r="AC188" s="1" t="s">
        <v>10703</v>
      </c>
      <c r="AD188" s="1" t="s">
        <v>10704</v>
      </c>
      <c r="AE188" s="1" t="s">
        <v>6219</v>
      </c>
      <c r="AF188" s="1" t="s">
        <v>10705</v>
      </c>
      <c r="AG188" s="1" t="s">
        <v>1507</v>
      </c>
      <c r="AH188" s="1">
        <v>106</v>
      </c>
      <c r="AI188" s="1">
        <v>2</v>
      </c>
      <c r="AJ188" s="1">
        <v>2</v>
      </c>
      <c r="AK188" s="1">
        <v>0</v>
      </c>
      <c r="AL188" s="1">
        <v>0</v>
      </c>
      <c r="AM188" s="1" t="s">
        <v>2332</v>
      </c>
      <c r="AN188" s="1" t="s">
        <v>2333</v>
      </c>
      <c r="AO188" s="1" t="s">
        <v>2334</v>
      </c>
      <c r="AP188" s="1" t="s">
        <v>2335</v>
      </c>
      <c r="AQ188" s="1" t="s">
        <v>2336</v>
      </c>
      <c r="AR188" s="1" t="s">
        <v>1507</v>
      </c>
      <c r="AS188" s="1" t="s">
        <v>2337</v>
      </c>
      <c r="AT188" s="1" t="s">
        <v>2338</v>
      </c>
      <c r="AU188" s="1" t="s">
        <v>3992</v>
      </c>
      <c r="AV188" s="1">
        <v>2019</v>
      </c>
      <c r="AW188" s="1">
        <v>42</v>
      </c>
      <c r="AX188" s="1">
        <v>3</v>
      </c>
      <c r="AY188" s="1" t="s">
        <v>1507</v>
      </c>
      <c r="AZ188" s="1" t="s">
        <v>1507</v>
      </c>
      <c r="BA188" s="1" t="s">
        <v>1507</v>
      </c>
      <c r="BB188" s="1" t="s">
        <v>1507</v>
      </c>
      <c r="BC188" s="1">
        <v>953</v>
      </c>
      <c r="BD188" s="1">
        <v>980</v>
      </c>
      <c r="BE188" s="1" t="s">
        <v>1507</v>
      </c>
      <c r="BF188" s="1" t="s">
        <v>1507</v>
      </c>
      <c r="BG188" s="1" t="s">
        <v>1507</v>
      </c>
      <c r="BH188" s="1" t="s">
        <v>1507</v>
      </c>
      <c r="BI188" s="1" t="s">
        <v>1507</v>
      </c>
      <c r="BJ188" s="1">
        <v>28</v>
      </c>
      <c r="BK188" s="1" t="s">
        <v>1535</v>
      </c>
      <c r="BL188" s="1" t="s">
        <v>1529</v>
      </c>
      <c r="BM188" s="1" t="s">
        <v>1536</v>
      </c>
      <c r="BN188" s="1" t="s">
        <v>10692</v>
      </c>
      <c r="BO188" s="1" t="s">
        <v>1507</v>
      </c>
      <c r="BP188" s="1" t="s">
        <v>1507</v>
      </c>
      <c r="BQ188" s="1" t="s">
        <v>1507</v>
      </c>
      <c r="BR188" s="1" t="s">
        <v>1507</v>
      </c>
      <c r="BS188" s="1" t="s">
        <v>13744</v>
      </c>
      <c r="BT188" s="1" t="s">
        <v>10706</v>
      </c>
      <c r="BU188" s="1" t="str">
        <f>HYPERLINK("https%3A%2F%2Fwww.webofscience.com%2Fwos%2Fwoscc%2Ffull-record%2FWOS:000488199000008","View Full Record in Web of Science")</f>
        <v>View Full Record in Web of Science</v>
      </c>
    </row>
    <row r="189" spans="1:73" x14ac:dyDescent="0.25">
      <c r="A189" s="1">
        <v>188</v>
      </c>
      <c r="B189" s="1" t="s">
        <v>1506</v>
      </c>
      <c r="C189" s="1" t="s">
        <v>2724</v>
      </c>
      <c r="D189" s="1" t="s">
        <v>1507</v>
      </c>
      <c r="E189" s="1" t="s">
        <v>1507</v>
      </c>
      <c r="F189" s="1" t="s">
        <v>1507</v>
      </c>
      <c r="G189" s="1" t="s">
        <v>2725</v>
      </c>
      <c r="H189" s="1" t="s">
        <v>1507</v>
      </c>
      <c r="I189" s="1" t="s">
        <v>1507</v>
      </c>
      <c r="J189" s="1" t="s">
        <v>1298</v>
      </c>
      <c r="K189" s="1" t="s">
        <v>2726</v>
      </c>
      <c r="L189" s="1" t="s">
        <v>1507</v>
      </c>
      <c r="M189" s="1" t="s">
        <v>1507</v>
      </c>
      <c r="N189" s="1" t="s">
        <v>42</v>
      </c>
      <c r="O189" s="1" t="s">
        <v>1509</v>
      </c>
      <c r="P189" s="1" t="s">
        <v>1507</v>
      </c>
      <c r="Q189" s="1" t="s">
        <v>1507</v>
      </c>
      <c r="R189" s="1" t="s">
        <v>1507</v>
      </c>
      <c r="S189" s="1" t="s">
        <v>1507</v>
      </c>
      <c r="T189" s="1" t="s">
        <v>1507</v>
      </c>
      <c r="U189" s="1" t="s">
        <v>1305</v>
      </c>
      <c r="V189" s="1" t="s">
        <v>1507</v>
      </c>
      <c r="W189" s="1" t="s">
        <v>2727</v>
      </c>
      <c r="X189" s="1" t="s">
        <v>2728</v>
      </c>
      <c r="Y189" s="1" t="s">
        <v>2729</v>
      </c>
      <c r="Z189" s="1" t="s">
        <v>2730</v>
      </c>
      <c r="AA189" s="1" t="s">
        <v>2731</v>
      </c>
      <c r="AB189" s="1" t="s">
        <v>1507</v>
      </c>
      <c r="AC189" s="1" t="s">
        <v>14008</v>
      </c>
      <c r="AD189" s="1" t="s">
        <v>2732</v>
      </c>
      <c r="AE189" s="1" t="s">
        <v>2732</v>
      </c>
      <c r="AF189" s="1" t="s">
        <v>2732</v>
      </c>
      <c r="AG189" s="1" t="s">
        <v>1507</v>
      </c>
      <c r="AH189" s="1">
        <v>16</v>
      </c>
      <c r="AI189" s="1">
        <v>2</v>
      </c>
      <c r="AJ189" s="1">
        <v>2</v>
      </c>
      <c r="AK189" s="1">
        <v>16</v>
      </c>
      <c r="AL189" s="1">
        <v>16</v>
      </c>
      <c r="AM189" s="1" t="s">
        <v>2733</v>
      </c>
      <c r="AN189" s="1" t="s">
        <v>1551</v>
      </c>
      <c r="AO189" s="1" t="s">
        <v>2734</v>
      </c>
      <c r="AP189" s="1" t="s">
        <v>2735</v>
      </c>
      <c r="AQ189" s="1" t="s">
        <v>2736</v>
      </c>
      <c r="AR189" s="1" t="s">
        <v>1507</v>
      </c>
      <c r="AS189" s="1" t="s">
        <v>2737</v>
      </c>
      <c r="AT189" s="1" t="s">
        <v>1307</v>
      </c>
      <c r="AU189" s="1" t="s">
        <v>2738</v>
      </c>
      <c r="AV189" s="1">
        <v>2023</v>
      </c>
      <c r="AW189" s="1" t="s">
        <v>1507</v>
      </c>
      <c r="AX189" s="1" t="s">
        <v>1507</v>
      </c>
      <c r="AY189" s="1" t="s">
        <v>1507</v>
      </c>
      <c r="AZ189" s="1" t="s">
        <v>1507</v>
      </c>
      <c r="BA189" s="1" t="s">
        <v>1507</v>
      </c>
      <c r="BB189" s="1" t="s">
        <v>1507</v>
      </c>
      <c r="BC189" s="1" t="s">
        <v>1507</v>
      </c>
      <c r="BD189" s="1" t="s">
        <v>1507</v>
      </c>
      <c r="BE189" s="1" t="s">
        <v>1507</v>
      </c>
      <c r="BF189" s="1" t="s">
        <v>1301</v>
      </c>
      <c r="BG189" s="1" t="str">
        <f>HYPERLINK("http://dx.doi.org/10.1136/bjo-2023-324091","http://dx.doi.org/10.1136/bjo-2023-324091")</f>
        <v>http://dx.doi.org/10.1136/bjo-2023-324091</v>
      </c>
      <c r="BH189" s="1" t="s">
        <v>1507</v>
      </c>
      <c r="BI189" s="1" t="s">
        <v>2396</v>
      </c>
      <c r="BJ189" s="1">
        <v>5</v>
      </c>
      <c r="BK189" s="1" t="s">
        <v>2739</v>
      </c>
      <c r="BL189" s="1" t="s">
        <v>1573</v>
      </c>
      <c r="BM189" s="1" t="s">
        <v>2739</v>
      </c>
      <c r="BN189" s="1" t="s">
        <v>2740</v>
      </c>
      <c r="BO189" s="1">
        <v>37932006</v>
      </c>
      <c r="BP189" s="1" t="s">
        <v>1507</v>
      </c>
      <c r="BQ189" s="1" t="s">
        <v>1507</v>
      </c>
      <c r="BR189" s="1" t="s">
        <v>1507</v>
      </c>
      <c r="BS189" s="1" t="s">
        <v>13744</v>
      </c>
      <c r="BT189" s="1" t="s">
        <v>2741</v>
      </c>
      <c r="BU189" s="1" t="str">
        <f>HYPERLINK("https%3A%2F%2Fwww.webofscience.com%2Fwos%2Fwoscc%2Ffull-record%2FWOS:001097575500001","View Full Record in Web of Science")</f>
        <v>View Full Record in Web of Science</v>
      </c>
    </row>
    <row r="190" spans="1:73" x14ac:dyDescent="0.25">
      <c r="A190" s="1">
        <v>189</v>
      </c>
      <c r="B190" s="1" t="s">
        <v>5546</v>
      </c>
      <c r="C190" s="1" t="s">
        <v>5841</v>
      </c>
      <c r="D190" s="1" t="s">
        <v>1507</v>
      </c>
      <c r="E190" s="1" t="s">
        <v>1507</v>
      </c>
      <c r="F190" s="1" t="s">
        <v>5548</v>
      </c>
      <c r="G190" s="1" t="s">
        <v>5842</v>
      </c>
      <c r="H190" s="1" t="s">
        <v>1507</v>
      </c>
      <c r="I190" s="1" t="s">
        <v>1507</v>
      </c>
      <c r="J190" s="1" t="s">
        <v>5843</v>
      </c>
      <c r="K190" s="1" t="s">
        <v>5844</v>
      </c>
      <c r="L190" s="1" t="s">
        <v>1507</v>
      </c>
      <c r="M190" s="1" t="s">
        <v>1507</v>
      </c>
      <c r="N190" s="1" t="s">
        <v>42</v>
      </c>
      <c r="O190" s="1" t="s">
        <v>5552</v>
      </c>
      <c r="P190" s="1" t="s">
        <v>5845</v>
      </c>
      <c r="Q190" s="1" t="s">
        <v>5846</v>
      </c>
      <c r="R190" s="1" t="s">
        <v>5847</v>
      </c>
      <c r="S190" s="1" t="s">
        <v>1507</v>
      </c>
      <c r="T190" s="1" t="s">
        <v>1507</v>
      </c>
      <c r="U190" s="1" t="s">
        <v>5848</v>
      </c>
      <c r="V190" s="1" t="s">
        <v>1507</v>
      </c>
      <c r="W190" s="1" t="s">
        <v>5849</v>
      </c>
      <c r="X190" s="1" t="s">
        <v>5850</v>
      </c>
      <c r="Y190" s="1" t="s">
        <v>5600</v>
      </c>
      <c r="Z190" s="1" t="s">
        <v>5851</v>
      </c>
      <c r="AA190" s="1" t="s">
        <v>5852</v>
      </c>
      <c r="AB190" s="1" t="s">
        <v>5853</v>
      </c>
      <c r="AC190" s="1" t="s">
        <v>5854</v>
      </c>
      <c r="AD190" s="1" t="s">
        <v>5855</v>
      </c>
      <c r="AE190" s="1" t="s">
        <v>5856</v>
      </c>
      <c r="AF190" s="1" t="s">
        <v>5857</v>
      </c>
      <c r="AG190" s="1" t="s">
        <v>1507</v>
      </c>
      <c r="AH190" s="1">
        <v>29</v>
      </c>
      <c r="AI190" s="1">
        <v>1</v>
      </c>
      <c r="AJ190" s="1">
        <v>1</v>
      </c>
      <c r="AK190" s="1">
        <v>3</v>
      </c>
      <c r="AL190" s="1">
        <v>3</v>
      </c>
      <c r="AM190" s="1" t="s">
        <v>5565</v>
      </c>
      <c r="AN190" s="1" t="s">
        <v>1512</v>
      </c>
      <c r="AO190" s="1" t="s">
        <v>5566</v>
      </c>
      <c r="AP190" s="1" t="s">
        <v>1507</v>
      </c>
      <c r="AQ190" s="1" t="s">
        <v>1507</v>
      </c>
      <c r="AR190" s="1" t="s">
        <v>5858</v>
      </c>
      <c r="AS190" s="1" t="s">
        <v>1507</v>
      </c>
      <c r="AT190" s="1" t="s">
        <v>1507</v>
      </c>
      <c r="AU190" s="1" t="s">
        <v>1507</v>
      </c>
      <c r="AV190" s="1">
        <v>2023</v>
      </c>
      <c r="AW190" s="1" t="s">
        <v>1507</v>
      </c>
      <c r="AX190" s="1" t="s">
        <v>1507</v>
      </c>
      <c r="AY190" s="1" t="s">
        <v>1507</v>
      </c>
      <c r="AZ190" s="1" t="s">
        <v>1507</v>
      </c>
      <c r="BA190" s="1" t="s">
        <v>1507</v>
      </c>
      <c r="BB190" s="1" t="s">
        <v>1507</v>
      </c>
      <c r="BC190" s="1">
        <v>1</v>
      </c>
      <c r="BD190" s="1">
        <v>8</v>
      </c>
      <c r="BE190" s="1" t="s">
        <v>1507</v>
      </c>
      <c r="BF190" s="1" t="s">
        <v>5859</v>
      </c>
      <c r="BG190" s="1" t="str">
        <f>HYPERLINK("http://dx.doi.org/10.1145/3599696.3612895","http://dx.doi.org/10.1145/3599696.3612895")</f>
        <v>http://dx.doi.org/10.1145/3599696.3612895</v>
      </c>
      <c r="BH190" s="1" t="s">
        <v>1507</v>
      </c>
      <c r="BI190" s="1" t="s">
        <v>1507</v>
      </c>
      <c r="BJ190" s="1">
        <v>8</v>
      </c>
      <c r="BK190" s="1" t="s">
        <v>1576</v>
      </c>
      <c r="BL190" s="1" t="s">
        <v>5570</v>
      </c>
      <c r="BM190" s="1" t="s">
        <v>1577</v>
      </c>
      <c r="BN190" s="1" t="s">
        <v>5860</v>
      </c>
      <c r="BO190" s="1" t="s">
        <v>1507</v>
      </c>
      <c r="BP190" s="1" t="s">
        <v>1537</v>
      </c>
      <c r="BQ190" s="1" t="s">
        <v>1507</v>
      </c>
      <c r="BR190" s="1" t="s">
        <v>1507</v>
      </c>
      <c r="BS190" s="1" t="s">
        <v>13744</v>
      </c>
      <c r="BT190" s="1" t="s">
        <v>5861</v>
      </c>
      <c r="BU190" s="1" t="str">
        <f>HYPERLINK("https%3A%2F%2Fwww.webofscience.com%2Fwos%2Fwoscc%2Ffull-record%2FWOS:001122672400001","View Full Record in Web of Science")</f>
        <v>View Full Record in Web of Science</v>
      </c>
    </row>
    <row r="191" spans="1:73" x14ac:dyDescent="0.25">
      <c r="A191" s="1">
        <v>190</v>
      </c>
      <c r="B191" s="1" t="s">
        <v>1506</v>
      </c>
      <c r="C191" s="1" t="s">
        <v>4314</v>
      </c>
      <c r="D191" s="1" t="s">
        <v>1507</v>
      </c>
      <c r="E191" s="1" t="s">
        <v>1507</v>
      </c>
      <c r="F191" s="1" t="s">
        <v>1507</v>
      </c>
      <c r="G191" s="1" t="s">
        <v>4315</v>
      </c>
      <c r="H191" s="1" t="s">
        <v>1507</v>
      </c>
      <c r="I191" s="1" t="s">
        <v>1507</v>
      </c>
      <c r="J191" s="1" t="s">
        <v>4316</v>
      </c>
      <c r="K191" s="1" t="s">
        <v>4317</v>
      </c>
      <c r="L191" s="1" t="s">
        <v>1507</v>
      </c>
      <c r="M191" s="1" t="s">
        <v>1507</v>
      </c>
      <c r="N191" s="1" t="s">
        <v>42</v>
      </c>
      <c r="O191" s="1" t="s">
        <v>56</v>
      </c>
      <c r="P191" s="1" t="s">
        <v>1507</v>
      </c>
      <c r="Q191" s="1" t="s">
        <v>1507</v>
      </c>
      <c r="R191" s="1" t="s">
        <v>1507</v>
      </c>
      <c r="S191" s="1" t="s">
        <v>1507</v>
      </c>
      <c r="T191" s="1" t="s">
        <v>1507</v>
      </c>
      <c r="U191" s="1" t="s">
        <v>4318</v>
      </c>
      <c r="V191" s="1" t="s">
        <v>4319</v>
      </c>
      <c r="W191" s="1" t="s">
        <v>4320</v>
      </c>
      <c r="X191" s="1" t="s">
        <v>4321</v>
      </c>
      <c r="Y191" s="1" t="s">
        <v>4322</v>
      </c>
      <c r="Z191" s="1" t="s">
        <v>4323</v>
      </c>
      <c r="AA191" s="1" t="s">
        <v>4324</v>
      </c>
      <c r="AB191" s="1" t="s">
        <v>4325</v>
      </c>
      <c r="AC191" s="1" t="s">
        <v>4326</v>
      </c>
      <c r="AD191" s="1" t="s">
        <v>4327</v>
      </c>
      <c r="AE191" s="1" t="s">
        <v>4328</v>
      </c>
      <c r="AF191" s="1" t="s">
        <v>4329</v>
      </c>
      <c r="AG191" s="1" t="s">
        <v>1507</v>
      </c>
      <c r="AH191" s="1">
        <v>57</v>
      </c>
      <c r="AI191" s="1">
        <v>0</v>
      </c>
      <c r="AJ191" s="1">
        <v>0</v>
      </c>
      <c r="AK191" s="1">
        <v>3</v>
      </c>
      <c r="AL191" s="1">
        <v>5</v>
      </c>
      <c r="AM191" s="1" t="s">
        <v>4330</v>
      </c>
      <c r="AN191" s="1" t="s">
        <v>1746</v>
      </c>
      <c r="AO191" s="1" t="s">
        <v>4331</v>
      </c>
      <c r="AP191" s="1" t="s">
        <v>4332</v>
      </c>
      <c r="AQ191" s="1" t="s">
        <v>4333</v>
      </c>
      <c r="AR191" s="1" t="s">
        <v>1507</v>
      </c>
      <c r="AS191" s="1" t="s">
        <v>4334</v>
      </c>
      <c r="AT191" s="1" t="s">
        <v>4335</v>
      </c>
      <c r="AU191" s="1" t="s">
        <v>4336</v>
      </c>
      <c r="AV191" s="1">
        <v>2023</v>
      </c>
      <c r="AW191" s="1">
        <v>33</v>
      </c>
      <c r="AX191" s="1">
        <v>4</v>
      </c>
      <c r="AY191" s="1" t="s">
        <v>1507</v>
      </c>
      <c r="AZ191" s="1" t="s">
        <v>1507</v>
      </c>
      <c r="BA191" s="1" t="s">
        <v>1507</v>
      </c>
      <c r="BB191" s="1" t="s">
        <v>1507</v>
      </c>
      <c r="BC191" s="1">
        <v>134</v>
      </c>
      <c r="BD191" s="1">
        <v>144</v>
      </c>
      <c r="BE191" s="1" t="s">
        <v>1507</v>
      </c>
      <c r="BF191" s="1" t="s">
        <v>4337</v>
      </c>
      <c r="BG191" s="1" t="str">
        <f>HYPERLINK("http://dx.doi.org/10.1097/YPG.0000000000000339","http://dx.doi.org/10.1097/YPG.0000000000000339")</f>
        <v>http://dx.doi.org/10.1097/YPG.0000000000000339</v>
      </c>
      <c r="BH191" s="1" t="s">
        <v>1507</v>
      </c>
      <c r="BI191" s="1" t="s">
        <v>1507</v>
      </c>
      <c r="BJ191" s="1">
        <v>11</v>
      </c>
      <c r="BK191" s="1" t="s">
        <v>4338</v>
      </c>
      <c r="BL191" s="1" t="s">
        <v>1573</v>
      </c>
      <c r="BM191" s="1" t="s">
        <v>4339</v>
      </c>
      <c r="BN191" s="1" t="s">
        <v>4340</v>
      </c>
      <c r="BO191" s="1">
        <v>37222222</v>
      </c>
      <c r="BP191" s="1" t="s">
        <v>2309</v>
      </c>
      <c r="BQ191" s="1" t="s">
        <v>1507</v>
      </c>
      <c r="BR191" s="1" t="s">
        <v>1507</v>
      </c>
      <c r="BS191" s="1" t="s">
        <v>13744</v>
      </c>
      <c r="BT191" s="1" t="s">
        <v>4341</v>
      </c>
      <c r="BU191" s="1" t="str">
        <f>HYPERLINK("https%3A%2F%2Fwww.webofscience.com%2Fwos%2Fwoscc%2Ffull-record%2FWOS:001070995600002","View Full Record in Web of Science")</f>
        <v>View Full Record in Web of Science</v>
      </c>
    </row>
    <row r="192" spans="1:73" x14ac:dyDescent="0.25">
      <c r="A192" s="1">
        <v>191</v>
      </c>
      <c r="B192" s="1" t="s">
        <v>1506</v>
      </c>
      <c r="C192" s="1" t="s">
        <v>5862</v>
      </c>
      <c r="D192" s="1" t="s">
        <v>1507</v>
      </c>
      <c r="E192" s="1" t="s">
        <v>1507</v>
      </c>
      <c r="F192" s="1" t="s">
        <v>1507</v>
      </c>
      <c r="G192" s="1" t="s">
        <v>5863</v>
      </c>
      <c r="H192" s="1" t="s">
        <v>1507</v>
      </c>
      <c r="I192" s="1" t="s">
        <v>1507</v>
      </c>
      <c r="J192" s="1" t="s">
        <v>5864</v>
      </c>
      <c r="K192" s="1" t="s">
        <v>5865</v>
      </c>
      <c r="L192" s="1" t="s">
        <v>1507</v>
      </c>
      <c r="M192" s="1" t="s">
        <v>1507</v>
      </c>
      <c r="N192" s="1" t="s">
        <v>42</v>
      </c>
      <c r="O192" s="1" t="s">
        <v>56</v>
      </c>
      <c r="P192" s="1" t="s">
        <v>1507</v>
      </c>
      <c r="Q192" s="1" t="s">
        <v>1507</v>
      </c>
      <c r="R192" s="1" t="s">
        <v>1507</v>
      </c>
      <c r="S192" s="1" t="s">
        <v>1507</v>
      </c>
      <c r="T192" s="1" t="s">
        <v>1507</v>
      </c>
      <c r="U192" s="1" t="s">
        <v>5866</v>
      </c>
      <c r="V192" s="1" t="s">
        <v>1507</v>
      </c>
      <c r="W192" s="1" t="s">
        <v>5867</v>
      </c>
      <c r="X192" s="1" t="s">
        <v>5868</v>
      </c>
      <c r="Y192" s="1" t="s">
        <v>5869</v>
      </c>
      <c r="Z192" s="1" t="s">
        <v>5870</v>
      </c>
      <c r="AA192" s="1" t="s">
        <v>5871</v>
      </c>
      <c r="AB192" s="1" t="s">
        <v>1507</v>
      </c>
      <c r="AC192" s="1" t="s">
        <v>14982</v>
      </c>
      <c r="AD192" s="1" t="s">
        <v>5872</v>
      </c>
      <c r="AE192" s="1" t="s">
        <v>5873</v>
      </c>
      <c r="AF192" s="1" t="s">
        <v>5874</v>
      </c>
      <c r="AG192" s="1" t="s">
        <v>1507</v>
      </c>
      <c r="AH192" s="1">
        <v>36</v>
      </c>
      <c r="AI192" s="1">
        <v>6</v>
      </c>
      <c r="AJ192" s="1">
        <v>6</v>
      </c>
      <c r="AK192" s="1">
        <v>14</v>
      </c>
      <c r="AL192" s="1">
        <v>14</v>
      </c>
      <c r="AM192" s="1" t="s">
        <v>1667</v>
      </c>
      <c r="AN192" s="1" t="s">
        <v>1668</v>
      </c>
      <c r="AO192" s="1" t="s">
        <v>1669</v>
      </c>
      <c r="AP192" s="1" t="s">
        <v>5875</v>
      </c>
      <c r="AQ192" s="1" t="s">
        <v>1507</v>
      </c>
      <c r="AR192" s="1" t="s">
        <v>1507</v>
      </c>
      <c r="AS192" s="1" t="s">
        <v>5876</v>
      </c>
      <c r="AT192" s="1" t="s">
        <v>5877</v>
      </c>
      <c r="AU192" s="1" t="s">
        <v>1507</v>
      </c>
      <c r="AV192" s="1">
        <v>2023</v>
      </c>
      <c r="AW192" s="1">
        <v>11</v>
      </c>
      <c r="AX192" s="1" t="s">
        <v>1507</v>
      </c>
      <c r="AY192" s="1" t="s">
        <v>1507</v>
      </c>
      <c r="AZ192" s="1" t="s">
        <v>1507</v>
      </c>
      <c r="BA192" s="1" t="s">
        <v>1507</v>
      </c>
      <c r="BB192" s="1" t="s">
        <v>1507</v>
      </c>
      <c r="BC192" s="1" t="s">
        <v>1507</v>
      </c>
      <c r="BD192" s="1" t="s">
        <v>1507</v>
      </c>
      <c r="BE192" s="1" t="s">
        <v>5878</v>
      </c>
      <c r="BF192" s="1" t="s">
        <v>5879</v>
      </c>
      <c r="BG192" s="1" t="str">
        <f>HYPERLINK("http://dx.doi.org/10.2196/49995","http://dx.doi.org/10.2196/49995")</f>
        <v>http://dx.doi.org/10.2196/49995</v>
      </c>
      <c r="BH192" s="1" t="s">
        <v>1507</v>
      </c>
      <c r="BI192" s="1" t="s">
        <v>1507</v>
      </c>
      <c r="BJ192" s="1">
        <v>10</v>
      </c>
      <c r="BK192" s="1" t="s">
        <v>1585</v>
      </c>
      <c r="BL192" s="1" t="s">
        <v>1573</v>
      </c>
      <c r="BM192" s="1" t="s">
        <v>1585</v>
      </c>
      <c r="BN192" s="1" t="s">
        <v>5880</v>
      </c>
      <c r="BO192" s="1">
        <v>37788063</v>
      </c>
      <c r="BP192" s="1" t="s">
        <v>1952</v>
      </c>
      <c r="BQ192" s="1" t="s">
        <v>1507</v>
      </c>
      <c r="BR192" s="1" t="s">
        <v>1507</v>
      </c>
      <c r="BS192" s="1" t="s">
        <v>13744</v>
      </c>
      <c r="BT192" s="1" t="s">
        <v>5881</v>
      </c>
      <c r="BU192" s="1" t="str">
        <f>HYPERLINK("https%3A%2F%2Fwww.webofscience.com%2Fwos%2Fwoscc%2Ffull-record%2FWOS:001086508900002","View Full Record in Web of Science")</f>
        <v>View Full Record in Web of Science</v>
      </c>
    </row>
    <row r="193" spans="1:73" x14ac:dyDescent="0.25">
      <c r="A193" s="1">
        <v>192</v>
      </c>
      <c r="B193" s="1" t="s">
        <v>1506</v>
      </c>
      <c r="C193" s="1" t="s">
        <v>4342</v>
      </c>
      <c r="D193" s="1" t="s">
        <v>1507</v>
      </c>
      <c r="E193" s="1" t="s">
        <v>1507</v>
      </c>
      <c r="F193" s="1" t="s">
        <v>1507</v>
      </c>
      <c r="G193" s="1" t="s">
        <v>4343</v>
      </c>
      <c r="H193" s="1" t="s">
        <v>1507</v>
      </c>
      <c r="I193" s="1" t="s">
        <v>1507</v>
      </c>
      <c r="J193" s="1" t="s">
        <v>173</v>
      </c>
      <c r="K193" s="1" t="s">
        <v>4344</v>
      </c>
      <c r="L193" s="1" t="s">
        <v>1507</v>
      </c>
      <c r="M193" s="1" t="s">
        <v>1507</v>
      </c>
      <c r="N193" s="1" t="s">
        <v>42</v>
      </c>
      <c r="O193" s="1" t="s">
        <v>56</v>
      </c>
      <c r="P193" s="1" t="s">
        <v>1507</v>
      </c>
      <c r="Q193" s="1" t="s">
        <v>1507</v>
      </c>
      <c r="R193" s="1" t="s">
        <v>1507</v>
      </c>
      <c r="S193" s="1" t="s">
        <v>1507</v>
      </c>
      <c r="T193" s="1" t="s">
        <v>1507</v>
      </c>
      <c r="U193" s="1" t="s">
        <v>4345</v>
      </c>
      <c r="V193" s="1" t="s">
        <v>1507</v>
      </c>
      <c r="W193" s="1" t="s">
        <v>4346</v>
      </c>
      <c r="X193" s="1" t="s">
        <v>4347</v>
      </c>
      <c r="Y193" s="1" t="s">
        <v>4348</v>
      </c>
      <c r="Z193" s="1" t="s">
        <v>4349</v>
      </c>
      <c r="AA193" s="1" t="s">
        <v>4350</v>
      </c>
      <c r="AB193" s="1" t="s">
        <v>1507</v>
      </c>
      <c r="AC193" s="1" t="s">
        <v>14573</v>
      </c>
      <c r="AD193" s="1" t="s">
        <v>4351</v>
      </c>
      <c r="AE193" s="1" t="s">
        <v>4351</v>
      </c>
      <c r="AF193" s="1" t="s">
        <v>4351</v>
      </c>
      <c r="AG193" s="1" t="s">
        <v>1507</v>
      </c>
      <c r="AH193" s="1">
        <v>67</v>
      </c>
      <c r="AI193" s="1">
        <v>1</v>
      </c>
      <c r="AJ193" s="1">
        <v>1</v>
      </c>
      <c r="AK193" s="1">
        <v>56</v>
      </c>
      <c r="AL193" s="1">
        <v>62</v>
      </c>
      <c r="AM193" s="1" t="s">
        <v>1610</v>
      </c>
      <c r="AN193" s="1" t="s">
        <v>1611</v>
      </c>
      <c r="AO193" s="1" t="s">
        <v>1612</v>
      </c>
      <c r="AP193" s="1" t="s">
        <v>1507</v>
      </c>
      <c r="AQ193" s="1" t="s">
        <v>4352</v>
      </c>
      <c r="AR193" s="1" t="s">
        <v>1507</v>
      </c>
      <c r="AS193" s="1" t="s">
        <v>4353</v>
      </c>
      <c r="AT193" s="1" t="s">
        <v>4354</v>
      </c>
      <c r="AU193" s="1" t="s">
        <v>4336</v>
      </c>
      <c r="AV193" s="1">
        <v>2023</v>
      </c>
      <c r="AW193" s="1">
        <v>7</v>
      </c>
      <c r="AX193" s="1">
        <v>8</v>
      </c>
      <c r="AY193" s="1" t="s">
        <v>1507</v>
      </c>
      <c r="AZ193" s="1" t="s">
        <v>1507</v>
      </c>
      <c r="BA193" s="1" t="s">
        <v>1507</v>
      </c>
      <c r="BB193" s="1" t="s">
        <v>1507</v>
      </c>
      <c r="BC193" s="1" t="s">
        <v>1507</v>
      </c>
      <c r="BD193" s="1" t="s">
        <v>1507</v>
      </c>
      <c r="BE193" s="1">
        <v>81</v>
      </c>
      <c r="BF193" s="1" t="s">
        <v>175</v>
      </c>
      <c r="BG193" s="1" t="str">
        <f>HYPERLINK("http://dx.doi.org/10.3390/mti7080081","http://dx.doi.org/10.3390/mti7080081")</f>
        <v>http://dx.doi.org/10.3390/mti7080081</v>
      </c>
      <c r="BH193" s="1" t="s">
        <v>1507</v>
      </c>
      <c r="BI193" s="1" t="s">
        <v>1507</v>
      </c>
      <c r="BJ193" s="1">
        <v>22</v>
      </c>
      <c r="BK193" s="1" t="s">
        <v>4355</v>
      </c>
      <c r="BL193" s="1" t="s">
        <v>1529</v>
      </c>
      <c r="BM193" s="1" t="s">
        <v>1577</v>
      </c>
      <c r="BN193" s="1" t="s">
        <v>4356</v>
      </c>
      <c r="BO193" s="1" t="s">
        <v>1507</v>
      </c>
      <c r="BP193" s="1" t="s">
        <v>12100</v>
      </c>
      <c r="BQ193" s="1" t="s">
        <v>1507</v>
      </c>
      <c r="BR193" s="1" t="s">
        <v>1507</v>
      </c>
      <c r="BS193" s="1" t="s">
        <v>13744</v>
      </c>
      <c r="BT193" s="1" t="s">
        <v>4358</v>
      </c>
      <c r="BU193" s="1" t="str">
        <f>HYPERLINK("https%3A%2F%2Fwww.webofscience.com%2Fwos%2Fwoscc%2Ffull-record%2FWOS:001056644500001","View Full Record in Web of Science")</f>
        <v>View Full Record in Web of Science</v>
      </c>
    </row>
    <row r="194" spans="1:73" x14ac:dyDescent="0.25">
      <c r="A194" s="1">
        <v>193</v>
      </c>
      <c r="B194" s="1" t="s">
        <v>1506</v>
      </c>
      <c r="C194" s="1" t="s">
        <v>10067</v>
      </c>
      <c r="D194" s="1" t="s">
        <v>1507</v>
      </c>
      <c r="E194" s="1" t="s">
        <v>1507</v>
      </c>
      <c r="F194" s="1" t="s">
        <v>1507</v>
      </c>
      <c r="G194" s="1" t="s">
        <v>10068</v>
      </c>
      <c r="H194" s="1" t="s">
        <v>1507</v>
      </c>
      <c r="I194" s="1" t="s">
        <v>1507</v>
      </c>
      <c r="J194" s="1" t="s">
        <v>10069</v>
      </c>
      <c r="K194" s="1" t="s">
        <v>10070</v>
      </c>
      <c r="L194" s="1" t="s">
        <v>1507</v>
      </c>
      <c r="M194" s="1" t="s">
        <v>1507</v>
      </c>
      <c r="N194" s="1" t="s">
        <v>42</v>
      </c>
      <c r="O194" s="1" t="s">
        <v>56</v>
      </c>
      <c r="P194" s="1" t="s">
        <v>1507</v>
      </c>
      <c r="Q194" s="1" t="s">
        <v>1507</v>
      </c>
      <c r="R194" s="1" t="s">
        <v>1507</v>
      </c>
      <c r="S194" s="1" t="s">
        <v>1507</v>
      </c>
      <c r="T194" s="1" t="s">
        <v>1507</v>
      </c>
      <c r="U194" s="1" t="s">
        <v>10071</v>
      </c>
      <c r="V194" s="1" t="s">
        <v>10072</v>
      </c>
      <c r="W194" s="1" t="s">
        <v>10073</v>
      </c>
      <c r="X194" s="1" t="s">
        <v>10074</v>
      </c>
      <c r="Y194" s="1" t="s">
        <v>10075</v>
      </c>
      <c r="Z194" s="1" t="s">
        <v>10076</v>
      </c>
      <c r="AA194" s="1" t="s">
        <v>10077</v>
      </c>
      <c r="AB194" s="1" t="s">
        <v>1507</v>
      </c>
      <c r="AC194" s="1" t="s">
        <v>10078</v>
      </c>
      <c r="AD194" s="1" t="s">
        <v>10079</v>
      </c>
      <c r="AE194" s="1" t="s">
        <v>10080</v>
      </c>
      <c r="AF194" s="1" t="s">
        <v>10081</v>
      </c>
      <c r="AG194" s="1" t="s">
        <v>1507</v>
      </c>
      <c r="AH194" s="1">
        <v>104</v>
      </c>
      <c r="AI194" s="1">
        <v>2</v>
      </c>
      <c r="AJ194" s="1">
        <v>2</v>
      </c>
      <c r="AK194" s="1">
        <v>0</v>
      </c>
      <c r="AL194" s="1">
        <v>6</v>
      </c>
      <c r="AM194" s="1" t="s">
        <v>3564</v>
      </c>
      <c r="AN194" s="1" t="s">
        <v>1512</v>
      </c>
      <c r="AO194" s="1" t="s">
        <v>10082</v>
      </c>
      <c r="AP194" s="1" t="s">
        <v>10083</v>
      </c>
      <c r="AQ194" s="1" t="s">
        <v>10084</v>
      </c>
      <c r="AR194" s="1" t="s">
        <v>1507</v>
      </c>
      <c r="AS194" s="1" t="s">
        <v>10085</v>
      </c>
      <c r="AT194" s="1" t="s">
        <v>10086</v>
      </c>
      <c r="AU194" s="1" t="s">
        <v>5362</v>
      </c>
      <c r="AV194" s="1">
        <v>2020</v>
      </c>
      <c r="AW194" s="1">
        <v>53</v>
      </c>
      <c r="AX194" s="1">
        <v>1</v>
      </c>
      <c r="AY194" s="1" t="s">
        <v>1507</v>
      </c>
      <c r="AZ194" s="1" t="s">
        <v>1507</v>
      </c>
      <c r="BA194" s="1" t="s">
        <v>1507</v>
      </c>
      <c r="BB194" s="1" t="s">
        <v>1507</v>
      </c>
      <c r="BC194" s="1">
        <v>71</v>
      </c>
      <c r="BD194" s="1">
        <v>99</v>
      </c>
      <c r="BE194" s="1" t="s">
        <v>1507</v>
      </c>
      <c r="BF194" s="1" t="s">
        <v>10087</v>
      </c>
      <c r="BG194" s="1" t="str">
        <f>HYPERLINK("http://dx.doi.org/10.1017/S0021223719000220","http://dx.doi.org/10.1017/S0021223719000220")</f>
        <v>http://dx.doi.org/10.1017/S0021223719000220</v>
      </c>
      <c r="BH194" s="1" t="s">
        <v>1507</v>
      </c>
      <c r="BI194" s="1" t="s">
        <v>1507</v>
      </c>
      <c r="BJ194" s="1">
        <v>29</v>
      </c>
      <c r="BK194" s="1" t="s">
        <v>1535</v>
      </c>
      <c r="BL194" s="1" t="s">
        <v>1529</v>
      </c>
      <c r="BM194" s="1" t="s">
        <v>1536</v>
      </c>
      <c r="BN194" s="1" t="s">
        <v>10088</v>
      </c>
      <c r="BO194" s="1" t="s">
        <v>1507</v>
      </c>
      <c r="BP194" s="1" t="s">
        <v>1507</v>
      </c>
      <c r="BQ194" s="1" t="s">
        <v>1507</v>
      </c>
      <c r="BR194" s="1" t="s">
        <v>1507</v>
      </c>
      <c r="BS194" s="1" t="s">
        <v>13744</v>
      </c>
      <c r="BT194" s="1" t="s">
        <v>10089</v>
      </c>
      <c r="BU194" s="1" t="str">
        <f>HYPERLINK("https%3A%2F%2Fwww.webofscience.com%2Fwos%2Fwoscc%2Ffull-record%2FWOS:000510535200004","View Full Record in Web of Science")</f>
        <v>View Full Record in Web of Science</v>
      </c>
    </row>
    <row r="195" spans="1:73" x14ac:dyDescent="0.25">
      <c r="A195" s="1">
        <v>194</v>
      </c>
      <c r="B195" s="1" t="s">
        <v>1506</v>
      </c>
      <c r="C195" s="1" t="s">
        <v>2595</v>
      </c>
      <c r="D195" s="1" t="s">
        <v>1507</v>
      </c>
      <c r="E195" s="1" t="s">
        <v>1507</v>
      </c>
      <c r="F195" s="1" t="s">
        <v>1507</v>
      </c>
      <c r="G195" s="1" t="s">
        <v>2596</v>
      </c>
      <c r="H195" s="1" t="s">
        <v>1507</v>
      </c>
      <c r="I195" s="1" t="s">
        <v>1507</v>
      </c>
      <c r="J195" s="1" t="s">
        <v>2597</v>
      </c>
      <c r="K195" s="1" t="s">
        <v>2598</v>
      </c>
      <c r="L195" s="1" t="s">
        <v>1507</v>
      </c>
      <c r="M195" s="1" t="s">
        <v>1507</v>
      </c>
      <c r="N195" s="1" t="s">
        <v>42</v>
      </c>
      <c r="O195" s="1" t="s">
        <v>56</v>
      </c>
      <c r="P195" s="1" t="s">
        <v>1507</v>
      </c>
      <c r="Q195" s="1" t="s">
        <v>1507</v>
      </c>
      <c r="R195" s="1" t="s">
        <v>1507</v>
      </c>
      <c r="S195" s="1" t="s">
        <v>1507</v>
      </c>
      <c r="T195" s="1" t="s">
        <v>1507</v>
      </c>
      <c r="U195" s="1" t="s">
        <v>2599</v>
      </c>
      <c r="V195" s="1" t="s">
        <v>2600</v>
      </c>
      <c r="W195" s="1" t="s">
        <v>2601</v>
      </c>
      <c r="X195" s="1" t="s">
        <v>2602</v>
      </c>
      <c r="Y195" s="1" t="s">
        <v>2603</v>
      </c>
      <c r="Z195" s="1" t="s">
        <v>2604</v>
      </c>
      <c r="AA195" s="1" t="s">
        <v>1507</v>
      </c>
      <c r="AB195" s="1" t="s">
        <v>13999</v>
      </c>
      <c r="AC195" s="1" t="s">
        <v>14000</v>
      </c>
      <c r="AD195" s="1" t="s">
        <v>2605</v>
      </c>
      <c r="AE195" s="1" t="s">
        <v>2606</v>
      </c>
      <c r="AF195" s="1" t="s">
        <v>2607</v>
      </c>
      <c r="AG195" s="1" t="s">
        <v>1507</v>
      </c>
      <c r="AH195" s="1">
        <v>75</v>
      </c>
      <c r="AI195" s="1">
        <v>0</v>
      </c>
      <c r="AJ195" s="1">
        <v>0</v>
      </c>
      <c r="AK195" s="1">
        <v>7</v>
      </c>
      <c r="AL195" s="1">
        <v>7</v>
      </c>
      <c r="AM195" s="1" t="s">
        <v>1900</v>
      </c>
      <c r="AN195" s="1" t="s">
        <v>1583</v>
      </c>
      <c r="AO195" s="1" t="s">
        <v>1901</v>
      </c>
      <c r="AP195" s="1" t="s">
        <v>2608</v>
      </c>
      <c r="AQ195" s="1" t="s">
        <v>2609</v>
      </c>
      <c r="AR195" s="1" t="s">
        <v>1507</v>
      </c>
      <c r="AS195" s="1" t="s">
        <v>2610</v>
      </c>
      <c r="AT195" s="1" t="s">
        <v>2611</v>
      </c>
      <c r="AU195" s="1" t="s">
        <v>1607</v>
      </c>
      <c r="AV195" s="1">
        <v>2024</v>
      </c>
      <c r="AW195" s="1">
        <v>173</v>
      </c>
      <c r="AX195" s="1" t="s">
        <v>1507</v>
      </c>
      <c r="AY195" s="1" t="s">
        <v>1507</v>
      </c>
      <c r="AZ195" s="1" t="s">
        <v>1507</v>
      </c>
      <c r="BA195" s="1" t="s">
        <v>1507</v>
      </c>
      <c r="BB195" s="1" t="s">
        <v>1507</v>
      </c>
      <c r="BC195" s="1">
        <v>10</v>
      </c>
      <c r="BD195" s="1">
        <v>21</v>
      </c>
      <c r="BE195" s="1" t="s">
        <v>1507</v>
      </c>
      <c r="BF195" s="1" t="s">
        <v>2612</v>
      </c>
      <c r="BG195" s="1" t="str">
        <f>HYPERLINK("http://dx.doi.org/10.1016/j.wasman.2023.11.002","http://dx.doi.org/10.1016/j.wasman.2023.11.002")</f>
        <v>http://dx.doi.org/10.1016/j.wasman.2023.11.002</v>
      </c>
      <c r="BH195" s="1" t="s">
        <v>1507</v>
      </c>
      <c r="BI195" s="1" t="s">
        <v>2396</v>
      </c>
      <c r="BJ195" s="1">
        <v>12</v>
      </c>
      <c r="BK195" s="1" t="s">
        <v>2613</v>
      </c>
      <c r="BL195" s="1" t="s">
        <v>1573</v>
      </c>
      <c r="BM195" s="1" t="s">
        <v>2614</v>
      </c>
      <c r="BN195" s="1" t="s">
        <v>2615</v>
      </c>
      <c r="BO195" s="1">
        <v>37951038</v>
      </c>
      <c r="BP195" s="1" t="s">
        <v>1507</v>
      </c>
      <c r="BQ195" s="1" t="s">
        <v>1507</v>
      </c>
      <c r="BR195" s="1" t="s">
        <v>1507</v>
      </c>
      <c r="BS195" s="1" t="s">
        <v>13744</v>
      </c>
      <c r="BT195" s="1" t="s">
        <v>2616</v>
      </c>
      <c r="BU195" s="1" t="str">
        <f>HYPERLINK("https%3A%2F%2Fwww.webofscience.com%2Fwos%2Fwoscc%2Ffull-record%2FWOS:001115816700001","View Full Record in Web of Science")</f>
        <v>View Full Record in Web of Science</v>
      </c>
    </row>
    <row r="196" spans="1:73" x14ac:dyDescent="0.25">
      <c r="A196" s="1">
        <v>195</v>
      </c>
      <c r="B196" s="1" t="s">
        <v>1506</v>
      </c>
      <c r="C196" s="1" t="s">
        <v>8900</v>
      </c>
      <c r="D196" s="1" t="s">
        <v>1507</v>
      </c>
      <c r="E196" s="1" t="s">
        <v>1507</v>
      </c>
      <c r="F196" s="1" t="s">
        <v>1507</v>
      </c>
      <c r="G196" s="1" t="s">
        <v>8901</v>
      </c>
      <c r="H196" s="1" t="s">
        <v>1507</v>
      </c>
      <c r="I196" s="1" t="s">
        <v>1507</v>
      </c>
      <c r="J196" s="1" t="s">
        <v>8902</v>
      </c>
      <c r="K196" s="1" t="s">
        <v>8903</v>
      </c>
      <c r="L196" s="1" t="s">
        <v>1507</v>
      </c>
      <c r="M196" s="1" t="s">
        <v>1507</v>
      </c>
      <c r="N196" s="1" t="s">
        <v>42</v>
      </c>
      <c r="O196" s="1" t="s">
        <v>56</v>
      </c>
      <c r="P196" s="1" t="s">
        <v>1507</v>
      </c>
      <c r="Q196" s="1" t="s">
        <v>1507</v>
      </c>
      <c r="R196" s="1" t="s">
        <v>1507</v>
      </c>
      <c r="S196" s="1" t="s">
        <v>1507</v>
      </c>
      <c r="T196" s="1" t="s">
        <v>1507</v>
      </c>
      <c r="U196" s="1" t="s">
        <v>8904</v>
      </c>
      <c r="V196" s="1" t="s">
        <v>8905</v>
      </c>
      <c r="W196" s="1" t="s">
        <v>8906</v>
      </c>
      <c r="X196" s="1" t="s">
        <v>8907</v>
      </c>
      <c r="Y196" s="1" t="s">
        <v>8908</v>
      </c>
      <c r="Z196" s="1" t="s">
        <v>8909</v>
      </c>
      <c r="AA196" s="1" t="s">
        <v>8910</v>
      </c>
      <c r="AB196" s="1" t="s">
        <v>15752</v>
      </c>
      <c r="AC196" s="1" t="s">
        <v>15753</v>
      </c>
      <c r="AD196" s="1" t="s">
        <v>8911</v>
      </c>
      <c r="AE196" s="1" t="s">
        <v>8912</v>
      </c>
      <c r="AF196" s="1" t="s">
        <v>8913</v>
      </c>
      <c r="AG196" s="1" t="s">
        <v>1507</v>
      </c>
      <c r="AH196" s="1">
        <v>56</v>
      </c>
      <c r="AI196" s="1">
        <v>37</v>
      </c>
      <c r="AJ196" s="1">
        <v>38</v>
      </c>
      <c r="AK196" s="1">
        <v>5</v>
      </c>
      <c r="AL196" s="1">
        <v>65</v>
      </c>
      <c r="AM196" s="1" t="s">
        <v>2372</v>
      </c>
      <c r="AN196" s="1" t="s">
        <v>2300</v>
      </c>
      <c r="AO196" s="1" t="s">
        <v>2373</v>
      </c>
      <c r="AP196" s="1" t="s">
        <v>8914</v>
      </c>
      <c r="AQ196" s="1" t="s">
        <v>8915</v>
      </c>
      <c r="AR196" s="1" t="s">
        <v>1507</v>
      </c>
      <c r="AS196" s="1" t="s">
        <v>8903</v>
      </c>
      <c r="AT196" s="1" t="s">
        <v>8916</v>
      </c>
      <c r="AU196" s="1" t="s">
        <v>8456</v>
      </c>
      <c r="AV196" s="1">
        <v>2021</v>
      </c>
      <c r="AW196" s="1">
        <v>15</v>
      </c>
      <c r="AX196" s="1">
        <v>6</v>
      </c>
      <c r="AY196" s="1" t="s">
        <v>1507</v>
      </c>
      <c r="AZ196" s="1" t="s">
        <v>1507</v>
      </c>
      <c r="BA196" s="1" t="s">
        <v>1507</v>
      </c>
      <c r="BB196" s="1" t="s">
        <v>1507</v>
      </c>
      <c r="BC196" s="1">
        <v>9658</v>
      </c>
      <c r="BD196" s="1">
        <v>9669</v>
      </c>
      <c r="BE196" s="1" t="s">
        <v>1507</v>
      </c>
      <c r="BF196" s="1" t="s">
        <v>8917</v>
      </c>
      <c r="BG196" s="1" t="str">
        <f>HYPERLINK("http://dx.doi.org/10.1021/acsnano.0c10897","http://dx.doi.org/10.1021/acsnano.0c10897")</f>
        <v>http://dx.doi.org/10.1021/acsnano.0c10897</v>
      </c>
      <c r="BH196" s="1" t="s">
        <v>1507</v>
      </c>
      <c r="BI196" s="1" t="s">
        <v>8876</v>
      </c>
      <c r="BJ196" s="1">
        <v>12</v>
      </c>
      <c r="BK196" s="1" t="s">
        <v>8918</v>
      </c>
      <c r="BL196" s="1" t="s">
        <v>1573</v>
      </c>
      <c r="BM196" s="1" t="s">
        <v>8919</v>
      </c>
      <c r="BN196" s="1" t="s">
        <v>8920</v>
      </c>
      <c r="BO196" s="1">
        <v>33754710</v>
      </c>
      <c r="BP196" s="1" t="s">
        <v>1507</v>
      </c>
      <c r="BQ196" s="1" t="s">
        <v>1507</v>
      </c>
      <c r="BR196" s="1" t="s">
        <v>1507</v>
      </c>
      <c r="BS196" s="1" t="s">
        <v>13744</v>
      </c>
      <c r="BT196" s="1" t="s">
        <v>8921</v>
      </c>
      <c r="BU196" s="1" t="str">
        <f>HYPERLINK("https%3A%2F%2Fwww.webofscience.com%2Fwos%2Fwoscc%2Ffull-record%2FWOS:000665748900038","View Full Record in Web of Science")</f>
        <v>View Full Record in Web of Science</v>
      </c>
    </row>
    <row r="197" spans="1:73" x14ac:dyDescent="0.25">
      <c r="A197" s="1">
        <v>196</v>
      </c>
      <c r="B197" s="1" t="s">
        <v>1506</v>
      </c>
      <c r="C197" s="1" t="s">
        <v>2794</v>
      </c>
      <c r="D197" s="1" t="s">
        <v>1507</v>
      </c>
      <c r="E197" s="1" t="s">
        <v>1507</v>
      </c>
      <c r="F197" s="1" t="s">
        <v>1507</v>
      </c>
      <c r="G197" s="1" t="s">
        <v>2795</v>
      </c>
      <c r="H197" s="1" t="s">
        <v>1507</v>
      </c>
      <c r="I197" s="1" t="s">
        <v>1507</v>
      </c>
      <c r="J197" s="1" t="s">
        <v>2796</v>
      </c>
      <c r="K197" s="1" t="s">
        <v>1617</v>
      </c>
      <c r="L197" s="1" t="s">
        <v>1507</v>
      </c>
      <c r="M197" s="1" t="s">
        <v>1507</v>
      </c>
      <c r="N197" s="1" t="s">
        <v>42</v>
      </c>
      <c r="O197" s="1" t="s">
        <v>56</v>
      </c>
      <c r="P197" s="1" t="s">
        <v>1507</v>
      </c>
      <c r="Q197" s="1" t="s">
        <v>1507</v>
      </c>
      <c r="R197" s="1" t="s">
        <v>1507</v>
      </c>
      <c r="S197" s="1" t="s">
        <v>1507</v>
      </c>
      <c r="T197" s="1" t="s">
        <v>1507</v>
      </c>
      <c r="U197" s="1" t="s">
        <v>2797</v>
      </c>
      <c r="V197" s="1" t="s">
        <v>1507</v>
      </c>
      <c r="W197" s="1" t="s">
        <v>2798</v>
      </c>
      <c r="X197" s="1" t="s">
        <v>2799</v>
      </c>
      <c r="Y197" s="1" t="s">
        <v>2800</v>
      </c>
      <c r="Z197" s="1" t="s">
        <v>2801</v>
      </c>
      <c r="AA197" s="1" t="s">
        <v>2802</v>
      </c>
      <c r="AB197" s="1" t="s">
        <v>1507</v>
      </c>
      <c r="AC197" s="1" t="s">
        <v>2803</v>
      </c>
      <c r="AD197" s="1" t="s">
        <v>2804</v>
      </c>
      <c r="AE197" s="1" t="s">
        <v>2804</v>
      </c>
      <c r="AF197" s="1" t="s">
        <v>1510</v>
      </c>
      <c r="AG197" s="1" t="s">
        <v>1507</v>
      </c>
      <c r="AH197" s="1">
        <v>40</v>
      </c>
      <c r="AI197" s="1">
        <v>1</v>
      </c>
      <c r="AJ197" s="1">
        <v>1</v>
      </c>
      <c r="AK197" s="1">
        <v>11</v>
      </c>
      <c r="AL197" s="1">
        <v>11</v>
      </c>
      <c r="AM197" s="1" t="s">
        <v>1610</v>
      </c>
      <c r="AN197" s="1" t="s">
        <v>1611</v>
      </c>
      <c r="AO197" s="1" t="s">
        <v>1612</v>
      </c>
      <c r="AP197" s="1" t="s">
        <v>1507</v>
      </c>
      <c r="AQ197" s="1" t="s">
        <v>1620</v>
      </c>
      <c r="AR197" s="1" t="s">
        <v>1507</v>
      </c>
      <c r="AS197" s="1" t="s">
        <v>1621</v>
      </c>
      <c r="AT197" s="1" t="s">
        <v>1622</v>
      </c>
      <c r="AU197" s="1" t="s">
        <v>2771</v>
      </c>
      <c r="AV197" s="1">
        <v>2023</v>
      </c>
      <c r="AW197" s="1">
        <v>12</v>
      </c>
      <c r="AX197" s="1">
        <v>22</v>
      </c>
      <c r="AY197" s="1" t="s">
        <v>1507</v>
      </c>
      <c r="AZ197" s="1" t="s">
        <v>1507</v>
      </c>
      <c r="BA197" s="1" t="s">
        <v>1507</v>
      </c>
      <c r="BB197" s="1" t="s">
        <v>1507</v>
      </c>
      <c r="BC197" s="1" t="s">
        <v>1507</v>
      </c>
      <c r="BD197" s="1" t="s">
        <v>1507</v>
      </c>
      <c r="BE197" s="1">
        <v>4694</v>
      </c>
      <c r="BF197" s="1" t="s">
        <v>2805</v>
      </c>
      <c r="BG197" s="1" t="str">
        <f>HYPERLINK("http://dx.doi.org/10.3390/electronics12224694","http://dx.doi.org/10.3390/electronics12224694")</f>
        <v>http://dx.doi.org/10.3390/electronics12224694</v>
      </c>
      <c r="BH197" s="1" t="s">
        <v>1507</v>
      </c>
      <c r="BI197" s="1" t="s">
        <v>1507</v>
      </c>
      <c r="BJ197" s="1">
        <v>14</v>
      </c>
      <c r="BK197" s="1" t="s">
        <v>1623</v>
      </c>
      <c r="BL197" s="1" t="s">
        <v>1573</v>
      </c>
      <c r="BM197" s="1" t="s">
        <v>1624</v>
      </c>
      <c r="BN197" s="1" t="s">
        <v>2806</v>
      </c>
      <c r="BO197" s="1" t="s">
        <v>1507</v>
      </c>
      <c r="BP197" s="1" t="s">
        <v>1531</v>
      </c>
      <c r="BQ197" s="1" t="s">
        <v>1507</v>
      </c>
      <c r="BR197" s="1" t="s">
        <v>1507</v>
      </c>
      <c r="BS197" s="1" t="s">
        <v>13744</v>
      </c>
      <c r="BT197" s="1" t="s">
        <v>2807</v>
      </c>
      <c r="BU197" s="1" t="str">
        <f>HYPERLINK("https%3A%2F%2Fwww.webofscience.com%2Fwos%2Fwoscc%2Ffull-record%2FWOS:001120766500001","View Full Record in Web of Science")</f>
        <v>View Full Record in Web of Science</v>
      </c>
    </row>
    <row r="198" spans="1:73" x14ac:dyDescent="0.25">
      <c r="A198" s="1">
        <v>197</v>
      </c>
      <c r="B198" s="1" t="s">
        <v>1506</v>
      </c>
      <c r="C198" s="1" t="s">
        <v>14078</v>
      </c>
      <c r="D198" s="1" t="s">
        <v>1507</v>
      </c>
      <c r="E198" s="1" t="s">
        <v>1507</v>
      </c>
      <c r="F198" s="1" t="s">
        <v>1507</v>
      </c>
      <c r="G198" s="1" t="s">
        <v>14079</v>
      </c>
      <c r="H198" s="1" t="s">
        <v>1507</v>
      </c>
      <c r="I198" s="1" t="s">
        <v>1507</v>
      </c>
      <c r="J198" s="1" t="s">
        <v>14080</v>
      </c>
      <c r="K198" s="1" t="s">
        <v>14081</v>
      </c>
      <c r="L198" s="1" t="s">
        <v>1507</v>
      </c>
      <c r="M198" s="1" t="s">
        <v>1507</v>
      </c>
      <c r="N198" s="1" t="s">
        <v>42</v>
      </c>
      <c r="O198" s="1" t="s">
        <v>56</v>
      </c>
      <c r="P198" s="1" t="s">
        <v>1507</v>
      </c>
      <c r="Q198" s="1" t="s">
        <v>1507</v>
      </c>
      <c r="R198" s="1" t="s">
        <v>1507</v>
      </c>
      <c r="S198" s="1" t="s">
        <v>1507</v>
      </c>
      <c r="T198" s="1" t="s">
        <v>1507</v>
      </c>
      <c r="U198" s="1" t="s">
        <v>14082</v>
      </c>
      <c r="V198" s="1" t="s">
        <v>14083</v>
      </c>
      <c r="W198" s="1" t="s">
        <v>14084</v>
      </c>
      <c r="X198" s="1" t="s">
        <v>14085</v>
      </c>
      <c r="Y198" s="1" t="s">
        <v>14086</v>
      </c>
      <c r="Z198" s="1" t="s">
        <v>14087</v>
      </c>
      <c r="AA198" s="1" t="s">
        <v>14088</v>
      </c>
      <c r="AB198" s="1" t="s">
        <v>14089</v>
      </c>
      <c r="AC198" s="1" t="s">
        <v>14090</v>
      </c>
      <c r="AD198" s="1" t="s">
        <v>14091</v>
      </c>
      <c r="AE198" s="1" t="s">
        <v>14092</v>
      </c>
      <c r="AF198" s="1" t="s">
        <v>14093</v>
      </c>
      <c r="AG198" s="1" t="s">
        <v>1507</v>
      </c>
      <c r="AH198" s="1">
        <v>83</v>
      </c>
      <c r="AI198" s="1">
        <v>2</v>
      </c>
      <c r="AJ198" s="1">
        <v>2</v>
      </c>
      <c r="AK198" s="1">
        <v>3</v>
      </c>
      <c r="AL198" s="1">
        <v>3</v>
      </c>
      <c r="AM198" s="1" t="s">
        <v>2883</v>
      </c>
      <c r="AN198" s="1" t="s">
        <v>1512</v>
      </c>
      <c r="AO198" s="1" t="s">
        <v>2884</v>
      </c>
      <c r="AP198" s="1" t="s">
        <v>14094</v>
      </c>
      <c r="AQ198" s="1" t="s">
        <v>14095</v>
      </c>
      <c r="AR198" s="1" t="s">
        <v>1507</v>
      </c>
      <c r="AS198" s="1" t="s">
        <v>14096</v>
      </c>
      <c r="AT198" s="1" t="s">
        <v>14097</v>
      </c>
      <c r="AU198" s="1" t="s">
        <v>2472</v>
      </c>
      <c r="AV198" s="1">
        <v>2023</v>
      </c>
      <c r="AW198" s="1">
        <v>209</v>
      </c>
      <c r="AX198" s="1" t="s">
        <v>1507</v>
      </c>
      <c r="AY198" s="1">
        <v>2</v>
      </c>
      <c r="AZ198" s="1" t="s">
        <v>1507</v>
      </c>
      <c r="BA198" s="1" t="s">
        <v>1507</v>
      </c>
      <c r="BB198" s="1" t="s">
        <v>1507</v>
      </c>
      <c r="BC198" s="1">
        <v>282</v>
      </c>
      <c r="BD198" s="1">
        <v>291</v>
      </c>
      <c r="BE198" s="1" t="s">
        <v>1507</v>
      </c>
      <c r="BF198" s="1" t="s">
        <v>14098</v>
      </c>
      <c r="BG198" s="1" t="str">
        <f>HYPERLINK("http://dx.doi.org/10.1016/j.freeradbiomed.2023.10.393","http://dx.doi.org/10.1016/j.freeradbiomed.2023.10.393")</f>
        <v>http://dx.doi.org/10.1016/j.freeradbiomed.2023.10.393</v>
      </c>
      <c r="BH198" s="1" t="s">
        <v>1507</v>
      </c>
      <c r="BI198" s="1" t="s">
        <v>2396</v>
      </c>
      <c r="BJ198" s="1">
        <v>10</v>
      </c>
      <c r="BK198" s="1" t="s">
        <v>14099</v>
      </c>
      <c r="BL198" s="1" t="s">
        <v>1573</v>
      </c>
      <c r="BM198" s="1" t="s">
        <v>14099</v>
      </c>
      <c r="BN198" s="1" t="s">
        <v>14100</v>
      </c>
      <c r="BO198" s="1">
        <v>37858747</v>
      </c>
      <c r="BP198" s="1" t="s">
        <v>4214</v>
      </c>
      <c r="BQ198" s="1" t="s">
        <v>1507</v>
      </c>
      <c r="BR198" s="1" t="s">
        <v>1507</v>
      </c>
      <c r="BS198" s="1" t="s">
        <v>13744</v>
      </c>
      <c r="BT198" s="1" t="s">
        <v>14101</v>
      </c>
      <c r="BU198" s="1" t="str">
        <f>HYPERLINK("https%3A%2F%2Fwww.webofscience.com%2Fwos%2Fwoscc%2Ffull-record%2FWOS:001165240800001","View Full Record in Web of Science")</f>
        <v>View Full Record in Web of Science</v>
      </c>
    </row>
    <row r="199" spans="1:73" x14ac:dyDescent="0.25">
      <c r="A199" s="1">
        <v>198</v>
      </c>
      <c r="B199" s="1" t="s">
        <v>1506</v>
      </c>
      <c r="C199" s="1" t="s">
        <v>6944</v>
      </c>
      <c r="D199" s="1" t="s">
        <v>1507</v>
      </c>
      <c r="E199" s="1" t="s">
        <v>1507</v>
      </c>
      <c r="F199" s="1" t="s">
        <v>1507</v>
      </c>
      <c r="G199" s="1" t="s">
        <v>6945</v>
      </c>
      <c r="H199" s="1" t="s">
        <v>1507</v>
      </c>
      <c r="I199" s="1" t="s">
        <v>1507</v>
      </c>
      <c r="J199" s="1" t="s">
        <v>6946</v>
      </c>
      <c r="K199" s="1" t="s">
        <v>6947</v>
      </c>
      <c r="L199" s="1" t="s">
        <v>1507</v>
      </c>
      <c r="M199" s="1" t="s">
        <v>1507</v>
      </c>
      <c r="N199" s="1" t="s">
        <v>42</v>
      </c>
      <c r="O199" s="1" t="s">
        <v>56</v>
      </c>
      <c r="P199" s="1" t="s">
        <v>1507</v>
      </c>
      <c r="Q199" s="1" t="s">
        <v>1507</v>
      </c>
      <c r="R199" s="1" t="s">
        <v>1507</v>
      </c>
      <c r="S199" s="1" t="s">
        <v>1507</v>
      </c>
      <c r="T199" s="1" t="s">
        <v>1507</v>
      </c>
      <c r="U199" s="1" t="s">
        <v>6948</v>
      </c>
      <c r="V199" s="1" t="s">
        <v>1507</v>
      </c>
      <c r="W199" s="1" t="s">
        <v>6949</v>
      </c>
      <c r="X199" s="1" t="s">
        <v>6950</v>
      </c>
      <c r="Y199" s="1" t="s">
        <v>6951</v>
      </c>
      <c r="Z199" s="1" t="s">
        <v>6952</v>
      </c>
      <c r="AA199" s="1" t="s">
        <v>6953</v>
      </c>
      <c r="AB199" s="1" t="s">
        <v>15590</v>
      </c>
      <c r="AC199" s="1" t="s">
        <v>6954</v>
      </c>
      <c r="AD199" s="1" t="s">
        <v>6955</v>
      </c>
      <c r="AE199" s="1" t="s">
        <v>6956</v>
      </c>
      <c r="AF199" s="1" t="s">
        <v>6957</v>
      </c>
      <c r="AG199" s="1" t="s">
        <v>1507</v>
      </c>
      <c r="AH199" s="1">
        <v>37</v>
      </c>
      <c r="AI199" s="1">
        <v>1</v>
      </c>
      <c r="AJ199" s="1">
        <v>1</v>
      </c>
      <c r="AK199" s="1">
        <v>3</v>
      </c>
      <c r="AL199" s="1">
        <v>15</v>
      </c>
      <c r="AM199" s="1" t="s">
        <v>6958</v>
      </c>
      <c r="AN199" s="1" t="s">
        <v>6959</v>
      </c>
      <c r="AO199" s="1" t="s">
        <v>6960</v>
      </c>
      <c r="AP199" s="1" t="s">
        <v>6961</v>
      </c>
      <c r="AQ199" s="1" t="s">
        <v>6962</v>
      </c>
      <c r="AR199" s="1" t="s">
        <v>1507</v>
      </c>
      <c r="AS199" s="1" t="s">
        <v>6963</v>
      </c>
      <c r="AT199" s="1" t="s">
        <v>6964</v>
      </c>
      <c r="AU199" s="1" t="s">
        <v>3992</v>
      </c>
      <c r="AV199" s="1">
        <v>2022</v>
      </c>
      <c r="AW199" s="1" t="s">
        <v>1507</v>
      </c>
      <c r="AX199" s="1">
        <v>69</v>
      </c>
      <c r="AY199" s="1" t="s">
        <v>1507</v>
      </c>
      <c r="AZ199" s="1" t="s">
        <v>1507</v>
      </c>
      <c r="BA199" s="1" t="s">
        <v>1507</v>
      </c>
      <c r="BB199" s="1" t="s">
        <v>1507</v>
      </c>
      <c r="BC199" s="1">
        <v>153</v>
      </c>
      <c r="BD199" s="1">
        <v>164</v>
      </c>
      <c r="BE199" s="1" t="s">
        <v>1507</v>
      </c>
      <c r="BF199" s="1" t="s">
        <v>6965</v>
      </c>
      <c r="BG199" s="1" t="str">
        <f>HYPERLINK("http://dx.doi.org/10.26342/2022-69-13","http://dx.doi.org/10.26342/2022-69-13")</f>
        <v>http://dx.doi.org/10.26342/2022-69-13</v>
      </c>
      <c r="BH199" s="1" t="s">
        <v>1507</v>
      </c>
      <c r="BI199" s="1" t="s">
        <v>1507</v>
      </c>
      <c r="BJ199" s="1">
        <v>12</v>
      </c>
      <c r="BK199" s="1" t="s">
        <v>15591</v>
      </c>
      <c r="BL199" s="1" t="s">
        <v>1529</v>
      </c>
      <c r="BM199" s="1" t="s">
        <v>1546</v>
      </c>
      <c r="BN199" s="1" t="s">
        <v>6966</v>
      </c>
      <c r="BO199" s="1" t="s">
        <v>1507</v>
      </c>
      <c r="BP199" s="1" t="s">
        <v>1507</v>
      </c>
      <c r="BQ199" s="1" t="s">
        <v>1507</v>
      </c>
      <c r="BR199" s="1" t="s">
        <v>1507</v>
      </c>
      <c r="BS199" s="1" t="s">
        <v>13744</v>
      </c>
      <c r="BT199" s="1" t="s">
        <v>6967</v>
      </c>
      <c r="BU199" s="1" t="str">
        <f>HYPERLINK("https%3A%2F%2Fwww.webofscience.com%2Fwos%2Fwoscc%2Ffull-record%2FWOS:000898606900014","View Full Record in Web of Science")</f>
        <v>View Full Record in Web of Science</v>
      </c>
    </row>
    <row r="200" spans="1:73" x14ac:dyDescent="0.25">
      <c r="A200" s="1">
        <v>199</v>
      </c>
      <c r="B200" s="1" t="s">
        <v>1506</v>
      </c>
      <c r="C200" s="1" t="s">
        <v>4940</v>
      </c>
      <c r="D200" s="1" t="s">
        <v>1507</v>
      </c>
      <c r="E200" s="1" t="s">
        <v>1507</v>
      </c>
      <c r="F200" s="1" t="s">
        <v>1507</v>
      </c>
      <c r="G200" s="1" t="s">
        <v>4941</v>
      </c>
      <c r="H200" s="1" t="s">
        <v>1507</v>
      </c>
      <c r="I200" s="1" t="s">
        <v>1507</v>
      </c>
      <c r="J200" s="1" t="s">
        <v>4942</v>
      </c>
      <c r="K200" s="1" t="s">
        <v>4943</v>
      </c>
      <c r="L200" s="1" t="s">
        <v>1507</v>
      </c>
      <c r="M200" s="1" t="s">
        <v>1507</v>
      </c>
      <c r="N200" s="1" t="s">
        <v>42</v>
      </c>
      <c r="O200" s="1" t="s">
        <v>56</v>
      </c>
      <c r="P200" s="1" t="s">
        <v>1507</v>
      </c>
      <c r="Q200" s="1" t="s">
        <v>1507</v>
      </c>
      <c r="R200" s="1" t="s">
        <v>1507</v>
      </c>
      <c r="S200" s="1" t="s">
        <v>1507</v>
      </c>
      <c r="T200" s="1" t="s">
        <v>1507</v>
      </c>
      <c r="U200" s="1" t="s">
        <v>4944</v>
      </c>
      <c r="V200" s="1" t="s">
        <v>4945</v>
      </c>
      <c r="W200" s="1" t="s">
        <v>4946</v>
      </c>
      <c r="X200" s="1" t="s">
        <v>4947</v>
      </c>
      <c r="Y200" s="1" t="s">
        <v>14708</v>
      </c>
      <c r="Z200" s="1" t="s">
        <v>4948</v>
      </c>
      <c r="AA200" s="1" t="s">
        <v>4949</v>
      </c>
      <c r="AB200" s="1" t="s">
        <v>4950</v>
      </c>
      <c r="AC200" s="1" t="s">
        <v>14709</v>
      </c>
      <c r="AD200" s="1" t="s">
        <v>4951</v>
      </c>
      <c r="AE200" s="1" t="s">
        <v>4952</v>
      </c>
      <c r="AF200" s="1" t="s">
        <v>4953</v>
      </c>
      <c r="AG200" s="1" t="s">
        <v>1507</v>
      </c>
      <c r="AH200" s="1">
        <v>34</v>
      </c>
      <c r="AI200" s="1">
        <v>0</v>
      </c>
      <c r="AJ200" s="1">
        <v>0</v>
      </c>
      <c r="AK200" s="1">
        <v>0</v>
      </c>
      <c r="AL200" s="1">
        <v>1</v>
      </c>
      <c r="AM200" s="1" t="s">
        <v>4954</v>
      </c>
      <c r="AN200" s="1" t="s">
        <v>1575</v>
      </c>
      <c r="AO200" s="1" t="s">
        <v>4955</v>
      </c>
      <c r="AP200" s="1" t="s">
        <v>4956</v>
      </c>
      <c r="AQ200" s="1" t="s">
        <v>4957</v>
      </c>
      <c r="AR200" s="1" t="s">
        <v>1507</v>
      </c>
      <c r="AS200" s="1" t="s">
        <v>4958</v>
      </c>
      <c r="AT200" s="1" t="s">
        <v>4959</v>
      </c>
      <c r="AU200" s="1" t="s">
        <v>1507</v>
      </c>
      <c r="AV200" s="1">
        <v>2023</v>
      </c>
      <c r="AW200" s="1">
        <v>30</v>
      </c>
      <c r="AX200" s="1">
        <v>12</v>
      </c>
      <c r="AY200" s="1" t="s">
        <v>1507</v>
      </c>
      <c r="AZ200" s="1" t="s">
        <v>1507</v>
      </c>
      <c r="BA200" s="1" t="s">
        <v>1507</v>
      </c>
      <c r="BB200" s="1" t="s">
        <v>1507</v>
      </c>
      <c r="BC200" s="1">
        <v>1803</v>
      </c>
      <c r="BD200" s="1">
        <v>1816</v>
      </c>
      <c r="BE200" s="1" t="s">
        <v>1507</v>
      </c>
      <c r="BF200" s="1" t="s">
        <v>4960</v>
      </c>
      <c r="BG200" s="1" t="str">
        <f>HYPERLINK("http://dx.doi.org/10.5551/jat.64081","http://dx.doi.org/10.5551/jat.64081")</f>
        <v>http://dx.doi.org/10.5551/jat.64081</v>
      </c>
      <c r="BH200" s="1" t="s">
        <v>1507</v>
      </c>
      <c r="BI200" s="1" t="s">
        <v>4832</v>
      </c>
      <c r="BJ200" s="1">
        <v>14</v>
      </c>
      <c r="BK200" s="1" t="s">
        <v>4961</v>
      </c>
      <c r="BL200" s="1" t="s">
        <v>1573</v>
      </c>
      <c r="BM200" s="1" t="s">
        <v>4962</v>
      </c>
      <c r="BN200" s="1" t="s">
        <v>4963</v>
      </c>
      <c r="BO200" s="1">
        <v>37197952</v>
      </c>
      <c r="BP200" s="1" t="s">
        <v>1952</v>
      </c>
      <c r="BQ200" s="1" t="s">
        <v>1507</v>
      </c>
      <c r="BR200" s="1" t="s">
        <v>1507</v>
      </c>
      <c r="BS200" s="1" t="s">
        <v>13744</v>
      </c>
      <c r="BT200" s="1" t="s">
        <v>4964</v>
      </c>
      <c r="BU200" s="1" t="str">
        <f>HYPERLINK("https%3A%2F%2Fwww.webofscience.com%2Fwos%2Fwoscc%2Ffull-record%2FWOS:000996179600001","View Full Record in Web of Science")</f>
        <v>View Full Record in Web of Science</v>
      </c>
    </row>
    <row r="201" spans="1:73" x14ac:dyDescent="0.25">
      <c r="A201" s="1">
        <v>200</v>
      </c>
      <c r="B201" s="1" t="s">
        <v>1506</v>
      </c>
      <c r="C201" s="1" t="s">
        <v>10492</v>
      </c>
      <c r="D201" s="1" t="s">
        <v>1507</v>
      </c>
      <c r="E201" s="1" t="s">
        <v>1507</v>
      </c>
      <c r="F201" s="1" t="s">
        <v>1507</v>
      </c>
      <c r="G201" s="1" t="s">
        <v>10493</v>
      </c>
      <c r="H201" s="1" t="s">
        <v>1507</v>
      </c>
      <c r="I201" s="1" t="s">
        <v>1507</v>
      </c>
      <c r="J201" s="1" t="s">
        <v>10494</v>
      </c>
      <c r="K201" s="1" t="s">
        <v>7943</v>
      </c>
      <c r="L201" s="1" t="s">
        <v>1507</v>
      </c>
      <c r="M201" s="1" t="s">
        <v>1507</v>
      </c>
      <c r="N201" s="1" t="s">
        <v>42</v>
      </c>
      <c r="O201" s="1" t="s">
        <v>56</v>
      </c>
      <c r="P201" s="1" t="s">
        <v>1507</v>
      </c>
      <c r="Q201" s="1" t="s">
        <v>1507</v>
      </c>
      <c r="R201" s="1" t="s">
        <v>1507</v>
      </c>
      <c r="S201" s="1" t="s">
        <v>1507</v>
      </c>
      <c r="T201" s="1" t="s">
        <v>1507</v>
      </c>
      <c r="U201" s="1" t="s">
        <v>1507</v>
      </c>
      <c r="V201" s="1" t="s">
        <v>10495</v>
      </c>
      <c r="W201" s="1" t="s">
        <v>10496</v>
      </c>
      <c r="X201" s="1" t="s">
        <v>10497</v>
      </c>
      <c r="Y201" s="1" t="s">
        <v>10498</v>
      </c>
      <c r="Z201" s="1" t="s">
        <v>10499</v>
      </c>
      <c r="AA201" s="1" t="s">
        <v>10500</v>
      </c>
      <c r="AB201" s="1" t="s">
        <v>10501</v>
      </c>
      <c r="AC201" s="1" t="s">
        <v>10502</v>
      </c>
      <c r="AD201" s="1" t="s">
        <v>8980</v>
      </c>
      <c r="AE201" s="1" t="s">
        <v>8981</v>
      </c>
      <c r="AF201" s="1" t="s">
        <v>10503</v>
      </c>
      <c r="AG201" s="1" t="s">
        <v>1507</v>
      </c>
      <c r="AH201" s="1">
        <v>57</v>
      </c>
      <c r="AI201" s="1">
        <v>14</v>
      </c>
      <c r="AJ201" s="1">
        <v>14</v>
      </c>
      <c r="AK201" s="1">
        <v>1</v>
      </c>
      <c r="AL201" s="1">
        <v>23</v>
      </c>
      <c r="AM201" s="1" t="s">
        <v>1522</v>
      </c>
      <c r="AN201" s="1" t="s">
        <v>1523</v>
      </c>
      <c r="AO201" s="1" t="s">
        <v>1524</v>
      </c>
      <c r="AP201" s="1" t="s">
        <v>7953</v>
      </c>
      <c r="AQ201" s="1" t="s">
        <v>7954</v>
      </c>
      <c r="AR201" s="1" t="s">
        <v>1507</v>
      </c>
      <c r="AS201" s="1" t="s">
        <v>7955</v>
      </c>
      <c r="AT201" s="1" t="s">
        <v>7956</v>
      </c>
      <c r="AU201" s="1" t="s">
        <v>10504</v>
      </c>
      <c r="AV201" s="1">
        <v>2019</v>
      </c>
      <c r="AW201" s="1">
        <v>21</v>
      </c>
      <c r="AX201" s="1">
        <v>44</v>
      </c>
      <c r="AY201" s="1" t="s">
        <v>1507</v>
      </c>
      <c r="AZ201" s="1" t="s">
        <v>1507</v>
      </c>
      <c r="BA201" s="1" t="s">
        <v>1507</v>
      </c>
      <c r="BB201" s="1" t="s">
        <v>1507</v>
      </c>
      <c r="BC201" s="1">
        <v>24316</v>
      </c>
      <c r="BD201" s="1">
        <v>24325</v>
      </c>
      <c r="BE201" s="1" t="s">
        <v>1507</v>
      </c>
      <c r="BF201" s="1" t="s">
        <v>10505</v>
      </c>
      <c r="BG201" s="1" t="str">
        <f>HYPERLINK("http://dx.doi.org/10.1039/c9cp04032c","http://dx.doi.org/10.1039/c9cp04032c")</f>
        <v>http://dx.doi.org/10.1039/c9cp04032c</v>
      </c>
      <c r="BH201" s="1" t="s">
        <v>1507</v>
      </c>
      <c r="BI201" s="1" t="s">
        <v>1507</v>
      </c>
      <c r="BJ201" s="1">
        <v>10</v>
      </c>
      <c r="BK201" s="1" t="s">
        <v>7093</v>
      </c>
      <c r="BL201" s="1" t="s">
        <v>1573</v>
      </c>
      <c r="BM201" s="1" t="s">
        <v>7094</v>
      </c>
      <c r="BN201" s="1" t="s">
        <v>10506</v>
      </c>
      <c r="BO201" s="1">
        <v>31528959</v>
      </c>
      <c r="BP201" s="1" t="s">
        <v>1507</v>
      </c>
      <c r="BQ201" s="1" t="s">
        <v>1507</v>
      </c>
      <c r="BR201" s="1" t="s">
        <v>1507</v>
      </c>
      <c r="BS201" s="1" t="s">
        <v>13744</v>
      </c>
      <c r="BT201" s="1" t="s">
        <v>10507</v>
      </c>
      <c r="BU201" s="1" t="str">
        <f>HYPERLINK("https%3A%2F%2Fwww.webofscience.com%2Fwos%2Fwoscc%2Ffull-record%2FWOS:000498220500061","View Full Record in Web of Science")</f>
        <v>View Full Record in Web of Science</v>
      </c>
    </row>
    <row r="202" spans="1:73" x14ac:dyDescent="0.25">
      <c r="A202" s="1">
        <v>201</v>
      </c>
      <c r="B202" s="1" t="s">
        <v>1506</v>
      </c>
      <c r="C202" s="1" t="s">
        <v>8969</v>
      </c>
      <c r="D202" s="1" t="s">
        <v>1507</v>
      </c>
      <c r="E202" s="1" t="s">
        <v>1507</v>
      </c>
      <c r="F202" s="1" t="s">
        <v>1507</v>
      </c>
      <c r="G202" s="1" t="s">
        <v>8970</v>
      </c>
      <c r="H202" s="1" t="s">
        <v>1507</v>
      </c>
      <c r="I202" s="1" t="s">
        <v>1507</v>
      </c>
      <c r="J202" s="1" t="s">
        <v>8971</v>
      </c>
      <c r="K202" s="1" t="s">
        <v>8972</v>
      </c>
      <c r="L202" s="1" t="s">
        <v>1507</v>
      </c>
      <c r="M202" s="1" t="s">
        <v>1507</v>
      </c>
      <c r="N202" s="1" t="s">
        <v>42</v>
      </c>
      <c r="O202" s="1" t="s">
        <v>56</v>
      </c>
      <c r="P202" s="1" t="s">
        <v>1507</v>
      </c>
      <c r="Q202" s="1" t="s">
        <v>1507</v>
      </c>
      <c r="R202" s="1" t="s">
        <v>1507</v>
      </c>
      <c r="S202" s="1" t="s">
        <v>1507</v>
      </c>
      <c r="T202" s="1" t="s">
        <v>1507</v>
      </c>
      <c r="U202" s="1" t="s">
        <v>8973</v>
      </c>
      <c r="V202" s="1" t="s">
        <v>8974</v>
      </c>
      <c r="W202" s="1" t="s">
        <v>8975</v>
      </c>
      <c r="X202" s="1" t="s">
        <v>8976</v>
      </c>
      <c r="Y202" s="1" t="s">
        <v>8977</v>
      </c>
      <c r="Z202" s="1" t="s">
        <v>8978</v>
      </c>
      <c r="AA202" s="1" t="s">
        <v>8979</v>
      </c>
      <c r="AB202" s="1" t="s">
        <v>15756</v>
      </c>
      <c r="AC202" s="1" t="s">
        <v>15757</v>
      </c>
      <c r="AD202" s="1" t="s">
        <v>8980</v>
      </c>
      <c r="AE202" s="1" t="s">
        <v>8981</v>
      </c>
      <c r="AF202" s="1" t="s">
        <v>8982</v>
      </c>
      <c r="AG202" s="1" t="s">
        <v>1507</v>
      </c>
      <c r="AH202" s="1">
        <v>85</v>
      </c>
      <c r="AI202" s="1">
        <v>10</v>
      </c>
      <c r="AJ202" s="1">
        <v>10</v>
      </c>
      <c r="AK202" s="1">
        <v>5</v>
      </c>
      <c r="AL202" s="1">
        <v>35</v>
      </c>
      <c r="AM202" s="1" t="s">
        <v>1610</v>
      </c>
      <c r="AN202" s="1" t="s">
        <v>1611</v>
      </c>
      <c r="AO202" s="1" t="s">
        <v>1612</v>
      </c>
      <c r="AP202" s="1" t="s">
        <v>1507</v>
      </c>
      <c r="AQ202" s="1" t="s">
        <v>8983</v>
      </c>
      <c r="AR202" s="1" t="s">
        <v>1507</v>
      </c>
      <c r="AS202" s="1" t="s">
        <v>8984</v>
      </c>
      <c r="AT202" s="1" t="s">
        <v>8985</v>
      </c>
      <c r="AU202" s="1" t="s">
        <v>5362</v>
      </c>
      <c r="AV202" s="1">
        <v>2021</v>
      </c>
      <c r="AW202" s="1">
        <v>11</v>
      </c>
      <c r="AX202" s="1">
        <v>3</v>
      </c>
      <c r="AY202" s="1" t="s">
        <v>1507</v>
      </c>
      <c r="AZ202" s="1" t="s">
        <v>1507</v>
      </c>
      <c r="BA202" s="1" t="s">
        <v>1507</v>
      </c>
      <c r="BB202" s="1" t="s">
        <v>1507</v>
      </c>
      <c r="BC202" s="1" t="s">
        <v>1507</v>
      </c>
      <c r="BD202" s="1" t="s">
        <v>1507</v>
      </c>
      <c r="BE202" s="1">
        <v>323</v>
      </c>
      <c r="BF202" s="1" t="s">
        <v>8986</v>
      </c>
      <c r="BG202" s="1" t="str">
        <f>HYPERLINK("http://dx.doi.org/10.3390/min11030323","http://dx.doi.org/10.3390/min11030323")</f>
        <v>http://dx.doi.org/10.3390/min11030323</v>
      </c>
      <c r="BH202" s="1" t="s">
        <v>1507</v>
      </c>
      <c r="BI202" s="1" t="s">
        <v>1507</v>
      </c>
      <c r="BJ202" s="1">
        <v>18</v>
      </c>
      <c r="BK202" s="1" t="s">
        <v>8987</v>
      </c>
      <c r="BL202" s="1" t="s">
        <v>1573</v>
      </c>
      <c r="BM202" s="1" t="s">
        <v>8987</v>
      </c>
      <c r="BN202" s="1" t="s">
        <v>8988</v>
      </c>
      <c r="BO202" s="1" t="s">
        <v>1507</v>
      </c>
      <c r="BP202" s="1" t="s">
        <v>1547</v>
      </c>
      <c r="BQ202" s="1" t="s">
        <v>1507</v>
      </c>
      <c r="BR202" s="1" t="s">
        <v>1507</v>
      </c>
      <c r="BS202" s="1" t="s">
        <v>13744</v>
      </c>
      <c r="BT202" s="1" t="s">
        <v>8989</v>
      </c>
      <c r="BU202" s="1" t="str">
        <f>HYPERLINK("https%3A%2F%2Fwww.webofscience.com%2Fwos%2Fwoscc%2Ffull-record%2FWOS:000633927800001","View Full Record in Web of Science")</f>
        <v>View Full Record in Web of Science</v>
      </c>
    </row>
    <row r="203" spans="1:73" x14ac:dyDescent="0.25">
      <c r="A203" s="1">
        <v>202</v>
      </c>
      <c r="B203" s="1" t="s">
        <v>5546</v>
      </c>
      <c r="C203" s="1" t="s">
        <v>14983</v>
      </c>
      <c r="D203" s="1" t="s">
        <v>1507</v>
      </c>
      <c r="E203" s="1" t="s">
        <v>14984</v>
      </c>
      <c r="F203" s="1" t="s">
        <v>1507</v>
      </c>
      <c r="G203" s="1" t="s">
        <v>14985</v>
      </c>
      <c r="H203" s="1" t="s">
        <v>1507</v>
      </c>
      <c r="I203" s="1" t="s">
        <v>1507</v>
      </c>
      <c r="J203" s="1" t="s">
        <v>14986</v>
      </c>
      <c r="K203" s="1" t="s">
        <v>14987</v>
      </c>
      <c r="L203" s="1" t="s">
        <v>14988</v>
      </c>
      <c r="M203" s="1" t="s">
        <v>1507</v>
      </c>
      <c r="N203" s="1" t="s">
        <v>42</v>
      </c>
      <c r="O203" s="1" t="s">
        <v>5552</v>
      </c>
      <c r="P203" s="1" t="s">
        <v>14989</v>
      </c>
      <c r="Q203" s="1" t="s">
        <v>14990</v>
      </c>
      <c r="R203" s="1" t="s">
        <v>14991</v>
      </c>
      <c r="S203" s="1" t="s">
        <v>14992</v>
      </c>
      <c r="T203" s="1" t="s">
        <v>1507</v>
      </c>
      <c r="U203" s="1" t="s">
        <v>14993</v>
      </c>
      <c r="V203" s="1" t="s">
        <v>1507</v>
      </c>
      <c r="W203" s="1" t="s">
        <v>14994</v>
      </c>
      <c r="X203" s="1" t="s">
        <v>14995</v>
      </c>
      <c r="Y203" s="1" t="s">
        <v>14996</v>
      </c>
      <c r="Z203" s="1" t="s">
        <v>14997</v>
      </c>
      <c r="AA203" s="1" t="s">
        <v>14998</v>
      </c>
      <c r="AB203" s="1" t="s">
        <v>1507</v>
      </c>
      <c r="AC203" s="1" t="s">
        <v>1507</v>
      </c>
      <c r="AD203" s="1" t="s">
        <v>14999</v>
      </c>
      <c r="AE203" s="1" t="s">
        <v>15000</v>
      </c>
      <c r="AF203" s="1" t="s">
        <v>15001</v>
      </c>
      <c r="AG203" s="1" t="s">
        <v>1507</v>
      </c>
      <c r="AH203" s="1">
        <v>16</v>
      </c>
      <c r="AI203" s="1">
        <v>0</v>
      </c>
      <c r="AJ203" s="1">
        <v>0</v>
      </c>
      <c r="AK203" s="1">
        <v>0</v>
      </c>
      <c r="AL203" s="1">
        <v>0</v>
      </c>
      <c r="AM203" s="1" t="s">
        <v>5645</v>
      </c>
      <c r="AN203" s="1" t="s">
        <v>5646</v>
      </c>
      <c r="AO203" s="1" t="s">
        <v>5647</v>
      </c>
      <c r="AP203" s="1" t="s">
        <v>15002</v>
      </c>
      <c r="AQ203" s="1" t="s">
        <v>1507</v>
      </c>
      <c r="AR203" s="1" t="s">
        <v>15003</v>
      </c>
      <c r="AS203" s="1" t="s">
        <v>15004</v>
      </c>
      <c r="AT203" s="1" t="s">
        <v>1507</v>
      </c>
      <c r="AU203" s="1" t="s">
        <v>1507</v>
      </c>
      <c r="AV203" s="1">
        <v>2023</v>
      </c>
      <c r="AW203" s="1" t="s">
        <v>1507</v>
      </c>
      <c r="AX203" s="1" t="s">
        <v>1507</v>
      </c>
      <c r="AY203" s="1" t="s">
        <v>1507</v>
      </c>
      <c r="AZ203" s="1" t="s">
        <v>1507</v>
      </c>
      <c r="BA203" s="1" t="s">
        <v>1507</v>
      </c>
      <c r="BB203" s="1" t="s">
        <v>1507</v>
      </c>
      <c r="BC203" s="1">
        <v>227</v>
      </c>
      <c r="BD203" s="1">
        <v>234</v>
      </c>
      <c r="BE203" s="1" t="s">
        <v>1507</v>
      </c>
      <c r="BF203" s="1" t="s">
        <v>15005</v>
      </c>
      <c r="BG203" s="1" t="str">
        <f>HYPERLINK("http://dx.doi.org/10.1109/ICDMW60847.2023.00035","http://dx.doi.org/10.1109/ICDMW60847.2023.00035")</f>
        <v>http://dx.doi.org/10.1109/ICDMW60847.2023.00035</v>
      </c>
      <c r="BH203" s="1" t="s">
        <v>1507</v>
      </c>
      <c r="BI203" s="1" t="s">
        <v>1507</v>
      </c>
      <c r="BJ203" s="1">
        <v>8</v>
      </c>
      <c r="BK203" s="1" t="s">
        <v>2230</v>
      </c>
      <c r="BL203" s="1" t="s">
        <v>5570</v>
      </c>
      <c r="BM203" s="1" t="s">
        <v>1577</v>
      </c>
      <c r="BN203" s="1" t="s">
        <v>15006</v>
      </c>
      <c r="BO203" s="1" t="s">
        <v>1507</v>
      </c>
      <c r="BP203" s="1" t="s">
        <v>1507</v>
      </c>
      <c r="BQ203" s="1" t="s">
        <v>1507</v>
      </c>
      <c r="BR203" s="1" t="s">
        <v>1507</v>
      </c>
      <c r="BS203" s="1" t="s">
        <v>13744</v>
      </c>
      <c r="BT203" s="1" t="s">
        <v>15007</v>
      </c>
      <c r="BU203" s="1" t="str">
        <f>HYPERLINK("https%3A%2F%2Fwww.webofscience.com%2Fwos%2Fwoscc%2Ffull-record%2FWOS:001164077500027","View Full Record in Web of Science")</f>
        <v>View Full Record in Web of Science</v>
      </c>
    </row>
    <row r="204" spans="1:73" x14ac:dyDescent="0.25">
      <c r="A204" s="1">
        <v>203</v>
      </c>
      <c r="B204" s="1" t="s">
        <v>1506</v>
      </c>
      <c r="C204" s="1" t="s">
        <v>15765</v>
      </c>
      <c r="D204" s="1" t="s">
        <v>1507</v>
      </c>
      <c r="E204" s="1" t="s">
        <v>1507</v>
      </c>
      <c r="F204" s="1" t="s">
        <v>1507</v>
      </c>
      <c r="G204" s="1" t="s">
        <v>15766</v>
      </c>
      <c r="H204" s="1" t="s">
        <v>1507</v>
      </c>
      <c r="I204" s="1" t="s">
        <v>1507</v>
      </c>
      <c r="J204" s="1" t="s">
        <v>15767</v>
      </c>
      <c r="K204" s="1" t="s">
        <v>12101</v>
      </c>
      <c r="L204" s="1" t="s">
        <v>1507</v>
      </c>
      <c r="M204" s="1" t="s">
        <v>1507</v>
      </c>
      <c r="N204" s="1" t="s">
        <v>42</v>
      </c>
      <c r="O204" s="1" t="s">
        <v>13950</v>
      </c>
      <c r="P204" s="1" t="s">
        <v>1507</v>
      </c>
      <c r="Q204" s="1" t="s">
        <v>1507</v>
      </c>
      <c r="R204" s="1" t="s">
        <v>1507</v>
      </c>
      <c r="S204" s="1" t="s">
        <v>1507</v>
      </c>
      <c r="T204" s="1" t="s">
        <v>1507</v>
      </c>
      <c r="U204" s="1" t="s">
        <v>15768</v>
      </c>
      <c r="V204" s="1" t="s">
        <v>15769</v>
      </c>
      <c r="W204" s="1" t="s">
        <v>15770</v>
      </c>
      <c r="X204" s="1" t="s">
        <v>15771</v>
      </c>
      <c r="Y204" s="1" t="s">
        <v>15772</v>
      </c>
      <c r="Z204" s="1" t="s">
        <v>15773</v>
      </c>
      <c r="AA204" s="1" t="s">
        <v>5402</v>
      </c>
      <c r="AB204" s="1" t="s">
        <v>1507</v>
      </c>
      <c r="AC204" s="1" t="s">
        <v>15774</v>
      </c>
      <c r="AD204" s="1" t="s">
        <v>8051</v>
      </c>
      <c r="AE204" s="1" t="s">
        <v>8052</v>
      </c>
      <c r="AF204" s="1" t="s">
        <v>15775</v>
      </c>
      <c r="AG204" s="1" t="s">
        <v>1507</v>
      </c>
      <c r="AH204" s="1">
        <v>98</v>
      </c>
      <c r="AI204" s="1">
        <v>19</v>
      </c>
      <c r="AJ204" s="1">
        <v>19</v>
      </c>
      <c r="AK204" s="1">
        <v>0</v>
      </c>
      <c r="AL204" s="1">
        <v>7</v>
      </c>
      <c r="AM204" s="1" t="s">
        <v>2053</v>
      </c>
      <c r="AN204" s="1" t="s">
        <v>1556</v>
      </c>
      <c r="AO204" s="1" t="s">
        <v>2054</v>
      </c>
      <c r="AP204" s="1" t="s">
        <v>12102</v>
      </c>
      <c r="AQ204" s="1" t="s">
        <v>12103</v>
      </c>
      <c r="AR204" s="1" t="s">
        <v>1507</v>
      </c>
      <c r="AS204" s="1" t="s">
        <v>12104</v>
      </c>
      <c r="AT204" s="1" t="s">
        <v>12105</v>
      </c>
      <c r="AU204" s="1" t="s">
        <v>1607</v>
      </c>
      <c r="AV204" s="1">
        <v>2021</v>
      </c>
      <c r="AW204" s="1">
        <v>18</v>
      </c>
      <c r="AX204" s="1">
        <v>1</v>
      </c>
      <c r="AY204" s="1" t="s">
        <v>1507</v>
      </c>
      <c r="AZ204" s="1" t="s">
        <v>1507</v>
      </c>
      <c r="BA204" s="1" t="s">
        <v>1507</v>
      </c>
      <c r="BB204" s="1" t="s">
        <v>1507</v>
      </c>
      <c r="BC204" s="1">
        <v>23</v>
      </c>
      <c r="BD204" s="1">
        <v>29</v>
      </c>
      <c r="BE204" s="1" t="s">
        <v>1507</v>
      </c>
      <c r="BF204" s="1" t="s">
        <v>15776</v>
      </c>
      <c r="BG204" s="1" t="str">
        <f>HYPERLINK("http://dx.doi.org/10.1080/1547691X.2021.1875085","http://dx.doi.org/10.1080/1547691X.2021.1875085")</f>
        <v>http://dx.doi.org/10.1080/1547691X.2021.1875085</v>
      </c>
      <c r="BH204" s="1" t="s">
        <v>1507</v>
      </c>
      <c r="BI204" s="1" t="s">
        <v>1507</v>
      </c>
      <c r="BJ204" s="1">
        <v>7</v>
      </c>
      <c r="BK204" s="1" t="s">
        <v>12106</v>
      </c>
      <c r="BL204" s="1" t="s">
        <v>1573</v>
      </c>
      <c r="BM204" s="1" t="s">
        <v>12106</v>
      </c>
      <c r="BN204" s="1" t="s">
        <v>15777</v>
      </c>
      <c r="BO204" s="1">
        <v>33860730</v>
      </c>
      <c r="BP204" s="1" t="s">
        <v>1531</v>
      </c>
      <c r="BQ204" s="1" t="s">
        <v>1507</v>
      </c>
      <c r="BR204" s="1" t="s">
        <v>1507</v>
      </c>
      <c r="BS204" s="1" t="s">
        <v>13744</v>
      </c>
      <c r="BT204" s="1" t="s">
        <v>15778</v>
      </c>
      <c r="BU204" s="1" t="str">
        <f>HYPERLINK("https%3A%2F%2Fwww.webofscience.com%2Fwos%2Fwoscc%2Ffull-record%2FWOS:000641301400001","View Full Record in Web of Science")</f>
        <v>View Full Record in Web of Science</v>
      </c>
    </row>
    <row r="205" spans="1:73" x14ac:dyDescent="0.25">
      <c r="A205" s="1">
        <v>204</v>
      </c>
      <c r="B205" s="1" t="s">
        <v>1506</v>
      </c>
      <c r="C205" s="1" t="s">
        <v>5392</v>
      </c>
      <c r="D205" s="1" t="s">
        <v>1507</v>
      </c>
      <c r="E205" s="1" t="s">
        <v>1507</v>
      </c>
      <c r="F205" s="1" t="s">
        <v>1507</v>
      </c>
      <c r="G205" s="1" t="s">
        <v>5393</v>
      </c>
      <c r="H205" s="1" t="s">
        <v>1507</v>
      </c>
      <c r="I205" s="1" t="s">
        <v>1507</v>
      </c>
      <c r="J205" s="1" t="s">
        <v>5394</v>
      </c>
      <c r="K205" s="1" t="s">
        <v>5395</v>
      </c>
      <c r="L205" s="1" t="s">
        <v>1507</v>
      </c>
      <c r="M205" s="1" t="s">
        <v>1507</v>
      </c>
      <c r="N205" s="1" t="s">
        <v>42</v>
      </c>
      <c r="O205" s="1" t="s">
        <v>56</v>
      </c>
      <c r="P205" s="1" t="s">
        <v>1507</v>
      </c>
      <c r="Q205" s="1" t="s">
        <v>1507</v>
      </c>
      <c r="R205" s="1" t="s">
        <v>1507</v>
      </c>
      <c r="S205" s="1" t="s">
        <v>1507</v>
      </c>
      <c r="T205" s="1" t="s">
        <v>1507</v>
      </c>
      <c r="U205" s="1" t="s">
        <v>5396</v>
      </c>
      <c r="V205" s="1" t="s">
        <v>5397</v>
      </c>
      <c r="W205" s="1" t="s">
        <v>5398</v>
      </c>
      <c r="X205" s="1" t="s">
        <v>5399</v>
      </c>
      <c r="Y205" s="1" t="s">
        <v>5400</v>
      </c>
      <c r="Z205" s="1" t="s">
        <v>5401</v>
      </c>
      <c r="AA205" s="1" t="s">
        <v>5402</v>
      </c>
      <c r="AB205" s="1" t="s">
        <v>1507</v>
      </c>
      <c r="AC205" s="1" t="s">
        <v>1507</v>
      </c>
      <c r="AD205" s="1" t="s">
        <v>5403</v>
      </c>
      <c r="AE205" s="1" t="s">
        <v>5404</v>
      </c>
      <c r="AF205" s="1" t="s">
        <v>5405</v>
      </c>
      <c r="AG205" s="1" t="s">
        <v>1507</v>
      </c>
      <c r="AH205" s="1">
        <v>101</v>
      </c>
      <c r="AI205" s="1">
        <v>2</v>
      </c>
      <c r="AJ205" s="1">
        <v>2</v>
      </c>
      <c r="AK205" s="1">
        <v>0</v>
      </c>
      <c r="AL205" s="1">
        <v>3</v>
      </c>
      <c r="AM205" s="1" t="s">
        <v>1579</v>
      </c>
      <c r="AN205" s="1" t="s">
        <v>1580</v>
      </c>
      <c r="AO205" s="1" t="s">
        <v>1581</v>
      </c>
      <c r="AP205" s="1" t="s">
        <v>5406</v>
      </c>
      <c r="AQ205" s="1" t="s">
        <v>1507</v>
      </c>
      <c r="AR205" s="1" t="s">
        <v>1507</v>
      </c>
      <c r="AS205" s="1" t="s">
        <v>5407</v>
      </c>
      <c r="AT205" s="1" t="s">
        <v>5408</v>
      </c>
      <c r="AU205" s="1" t="s">
        <v>5201</v>
      </c>
      <c r="AV205" s="1">
        <v>2023</v>
      </c>
      <c r="AW205" s="1">
        <v>60</v>
      </c>
      <c r="AX205" s="1" t="s">
        <v>1507</v>
      </c>
      <c r="AY205" s="1" t="s">
        <v>1507</v>
      </c>
      <c r="AZ205" s="1" t="s">
        <v>1507</v>
      </c>
      <c r="BA205" s="1" t="s">
        <v>1507</v>
      </c>
      <c r="BB205" s="1" t="s">
        <v>1507</v>
      </c>
      <c r="BC205" s="1" t="s">
        <v>1507</v>
      </c>
      <c r="BD205" s="1" t="s">
        <v>1507</v>
      </c>
      <c r="BE205" s="1">
        <v>102614</v>
      </c>
      <c r="BF205" s="1" t="s">
        <v>5409</v>
      </c>
      <c r="BG205" s="1" t="str">
        <f>HYPERLINK("http://dx.doi.org/10.1016/j.redox.2023.102614","http://dx.doi.org/10.1016/j.redox.2023.102614")</f>
        <v>http://dx.doi.org/10.1016/j.redox.2023.102614</v>
      </c>
      <c r="BH205" s="1" t="s">
        <v>1507</v>
      </c>
      <c r="BI205" s="1" t="s">
        <v>5389</v>
      </c>
      <c r="BJ205" s="1">
        <v>12</v>
      </c>
      <c r="BK205" s="1" t="s">
        <v>4290</v>
      </c>
      <c r="BL205" s="1" t="s">
        <v>1573</v>
      </c>
      <c r="BM205" s="1" t="s">
        <v>4290</v>
      </c>
      <c r="BN205" s="1" t="s">
        <v>5410</v>
      </c>
      <c r="BO205" s="1">
        <v>36717349</v>
      </c>
      <c r="BP205" s="1" t="s">
        <v>1674</v>
      </c>
      <c r="BQ205" s="1" t="s">
        <v>1507</v>
      </c>
      <c r="BR205" s="1" t="s">
        <v>1507</v>
      </c>
      <c r="BS205" s="1" t="s">
        <v>13744</v>
      </c>
      <c r="BT205" s="1" t="s">
        <v>5411</v>
      </c>
      <c r="BU205" s="1" t="str">
        <f>HYPERLINK("https%3A%2F%2Fwww.webofscience.com%2Fwos%2Fwoscc%2Ffull-record%2FWOS:000953560000001","View Full Record in Web of Science")</f>
        <v>View Full Record in Web of Science</v>
      </c>
    </row>
    <row r="206" spans="1:73" x14ac:dyDescent="0.25">
      <c r="A206" s="1">
        <v>205</v>
      </c>
      <c r="B206" s="1" t="s">
        <v>1506</v>
      </c>
      <c r="C206" s="1" t="s">
        <v>15764</v>
      </c>
      <c r="D206" s="1" t="s">
        <v>1507</v>
      </c>
      <c r="E206" s="1" t="s">
        <v>1507</v>
      </c>
      <c r="F206" s="1" t="s">
        <v>1507</v>
      </c>
      <c r="G206" s="1" t="s">
        <v>9193</v>
      </c>
      <c r="H206" s="1" t="s">
        <v>1507</v>
      </c>
      <c r="I206" s="1" t="s">
        <v>1507</v>
      </c>
      <c r="J206" s="1" t="s">
        <v>9194</v>
      </c>
      <c r="K206" s="1" t="s">
        <v>9195</v>
      </c>
      <c r="L206" s="1" t="s">
        <v>1507</v>
      </c>
      <c r="M206" s="1" t="s">
        <v>1507</v>
      </c>
      <c r="N206" s="1" t="s">
        <v>42</v>
      </c>
      <c r="O206" s="1" t="s">
        <v>56</v>
      </c>
      <c r="P206" s="1" t="s">
        <v>1507</v>
      </c>
      <c r="Q206" s="1" t="s">
        <v>1507</v>
      </c>
      <c r="R206" s="1" t="s">
        <v>1507</v>
      </c>
      <c r="S206" s="1" t="s">
        <v>1507</v>
      </c>
      <c r="T206" s="1" t="s">
        <v>1507</v>
      </c>
      <c r="U206" s="1" t="s">
        <v>9196</v>
      </c>
      <c r="V206" s="1" t="s">
        <v>9197</v>
      </c>
      <c r="W206" s="1" t="s">
        <v>9198</v>
      </c>
      <c r="X206" s="1" t="s">
        <v>9199</v>
      </c>
      <c r="Y206" s="1" t="s">
        <v>9200</v>
      </c>
      <c r="Z206" s="1" t="s">
        <v>9201</v>
      </c>
      <c r="AA206" s="1" t="s">
        <v>9202</v>
      </c>
      <c r="AB206" s="1" t="s">
        <v>1507</v>
      </c>
      <c r="AC206" s="1" t="s">
        <v>9203</v>
      </c>
      <c r="AD206" s="1" t="s">
        <v>9204</v>
      </c>
      <c r="AE206" s="1" t="s">
        <v>9205</v>
      </c>
      <c r="AF206" s="1" t="s">
        <v>9206</v>
      </c>
      <c r="AG206" s="1" t="s">
        <v>1507</v>
      </c>
      <c r="AH206" s="1">
        <v>86</v>
      </c>
      <c r="AI206" s="1">
        <v>6</v>
      </c>
      <c r="AJ206" s="1">
        <v>6</v>
      </c>
      <c r="AK206" s="1">
        <v>0</v>
      </c>
      <c r="AL206" s="1">
        <v>5</v>
      </c>
      <c r="AM206" s="1" t="s">
        <v>1610</v>
      </c>
      <c r="AN206" s="1" t="s">
        <v>1611</v>
      </c>
      <c r="AO206" s="1" t="s">
        <v>1612</v>
      </c>
      <c r="AP206" s="1" t="s">
        <v>1507</v>
      </c>
      <c r="AQ206" s="1" t="s">
        <v>9207</v>
      </c>
      <c r="AR206" s="1" t="s">
        <v>1507</v>
      </c>
      <c r="AS206" s="1" t="s">
        <v>9208</v>
      </c>
      <c r="AT206" s="1" t="s">
        <v>9209</v>
      </c>
      <c r="AU206" s="1" t="s">
        <v>1616</v>
      </c>
      <c r="AV206" s="1">
        <v>2021</v>
      </c>
      <c r="AW206" s="1">
        <v>10</v>
      </c>
      <c r="AX206" s="1">
        <v>1</v>
      </c>
      <c r="AY206" s="1" t="s">
        <v>1507</v>
      </c>
      <c r="AZ206" s="1" t="s">
        <v>1507</v>
      </c>
      <c r="BA206" s="1" t="s">
        <v>1507</v>
      </c>
      <c r="BB206" s="1" t="s">
        <v>1507</v>
      </c>
      <c r="BC206" s="1" t="s">
        <v>1507</v>
      </c>
      <c r="BD206" s="1" t="s">
        <v>1507</v>
      </c>
      <c r="BE206" s="1">
        <v>135</v>
      </c>
      <c r="BF206" s="1" t="s">
        <v>9210</v>
      </c>
      <c r="BG206" s="1" t="str">
        <f>HYPERLINK("http://dx.doi.org/10.3390/antiox10010135","http://dx.doi.org/10.3390/antiox10010135")</f>
        <v>http://dx.doi.org/10.3390/antiox10010135</v>
      </c>
      <c r="BH206" s="1" t="s">
        <v>1507</v>
      </c>
      <c r="BI206" s="1" t="s">
        <v>1507</v>
      </c>
      <c r="BJ206" s="1">
        <v>19</v>
      </c>
      <c r="BK206" s="1" t="s">
        <v>9211</v>
      </c>
      <c r="BL206" s="1" t="s">
        <v>1573</v>
      </c>
      <c r="BM206" s="1" t="s">
        <v>9212</v>
      </c>
      <c r="BN206" s="1" t="s">
        <v>9213</v>
      </c>
      <c r="BO206" s="1">
        <v>33477969</v>
      </c>
      <c r="BP206" s="1" t="s">
        <v>1674</v>
      </c>
      <c r="BQ206" s="1" t="s">
        <v>1507</v>
      </c>
      <c r="BR206" s="1" t="s">
        <v>1507</v>
      </c>
      <c r="BS206" s="1" t="s">
        <v>13744</v>
      </c>
      <c r="BT206" s="1" t="s">
        <v>9214</v>
      </c>
      <c r="BU206" s="1" t="str">
        <f>HYPERLINK("https%3A%2F%2Fwww.webofscience.com%2Fwos%2Fwoscc%2Ffull-record%2FWOS:000609753000001","View Full Record in Web of Science")</f>
        <v>View Full Record in Web of Science</v>
      </c>
    </row>
    <row r="207" spans="1:73" x14ac:dyDescent="0.25">
      <c r="A207" s="1">
        <v>206</v>
      </c>
      <c r="B207" s="1" t="s">
        <v>1506</v>
      </c>
      <c r="C207" s="1" t="s">
        <v>8858</v>
      </c>
      <c r="D207" s="1" t="s">
        <v>1507</v>
      </c>
      <c r="E207" s="1" t="s">
        <v>1507</v>
      </c>
      <c r="F207" s="1" t="s">
        <v>1507</v>
      </c>
      <c r="G207" s="1" t="s">
        <v>8859</v>
      </c>
      <c r="H207" s="1" t="s">
        <v>1507</v>
      </c>
      <c r="I207" s="1" t="s">
        <v>1507</v>
      </c>
      <c r="J207" s="1" t="s">
        <v>8860</v>
      </c>
      <c r="K207" s="1" t="s">
        <v>8861</v>
      </c>
      <c r="L207" s="1" t="s">
        <v>1507</v>
      </c>
      <c r="M207" s="1" t="s">
        <v>1507</v>
      </c>
      <c r="N207" s="1" t="s">
        <v>42</v>
      </c>
      <c r="O207" s="1" t="s">
        <v>56</v>
      </c>
      <c r="P207" s="1" t="s">
        <v>1507</v>
      </c>
      <c r="Q207" s="1" t="s">
        <v>1507</v>
      </c>
      <c r="R207" s="1" t="s">
        <v>1507</v>
      </c>
      <c r="S207" s="1" t="s">
        <v>1507</v>
      </c>
      <c r="T207" s="1" t="s">
        <v>1507</v>
      </c>
      <c r="U207" s="1" t="s">
        <v>8862</v>
      </c>
      <c r="V207" s="1" t="s">
        <v>1507</v>
      </c>
      <c r="W207" s="1" t="s">
        <v>8863</v>
      </c>
      <c r="X207" s="1" t="s">
        <v>8864</v>
      </c>
      <c r="Y207" s="1" t="s">
        <v>8865</v>
      </c>
      <c r="Z207" s="1" t="s">
        <v>8866</v>
      </c>
      <c r="AA207" s="1" t="s">
        <v>8198</v>
      </c>
      <c r="AB207" s="1" t="s">
        <v>15751</v>
      </c>
      <c r="AC207" s="1" t="s">
        <v>8867</v>
      </c>
      <c r="AD207" s="1" t="s">
        <v>8868</v>
      </c>
      <c r="AE207" s="1" t="s">
        <v>8869</v>
      </c>
      <c r="AF207" s="1" t="s">
        <v>8870</v>
      </c>
      <c r="AG207" s="1" t="s">
        <v>1507</v>
      </c>
      <c r="AH207" s="1">
        <v>28</v>
      </c>
      <c r="AI207" s="1">
        <v>5</v>
      </c>
      <c r="AJ207" s="1">
        <v>5</v>
      </c>
      <c r="AK207" s="1">
        <v>2</v>
      </c>
      <c r="AL207" s="1">
        <v>16</v>
      </c>
      <c r="AM207" s="1" t="s">
        <v>1511</v>
      </c>
      <c r="AN207" s="1" t="s">
        <v>1512</v>
      </c>
      <c r="AO207" s="1" t="s">
        <v>1513</v>
      </c>
      <c r="AP207" s="1" t="s">
        <v>8871</v>
      </c>
      <c r="AQ207" s="1" t="s">
        <v>8872</v>
      </c>
      <c r="AR207" s="1" t="s">
        <v>1507</v>
      </c>
      <c r="AS207" s="1" t="s">
        <v>8873</v>
      </c>
      <c r="AT207" s="1" t="s">
        <v>8874</v>
      </c>
      <c r="AU207" s="1" t="s">
        <v>2889</v>
      </c>
      <c r="AV207" s="1">
        <v>2021</v>
      </c>
      <c r="AW207" s="1">
        <v>33</v>
      </c>
      <c r="AX207" s="1">
        <v>10</v>
      </c>
      <c r="AY207" s="1" t="s">
        <v>1507</v>
      </c>
      <c r="AZ207" s="1" t="s">
        <v>1507</v>
      </c>
      <c r="BA207" s="1" t="s">
        <v>3506</v>
      </c>
      <c r="BB207" s="1" t="s">
        <v>1507</v>
      </c>
      <c r="BC207" s="1">
        <v>2737</v>
      </c>
      <c r="BD207" s="1">
        <v>2745</v>
      </c>
      <c r="BE207" s="1" t="s">
        <v>1507</v>
      </c>
      <c r="BF207" s="1" t="s">
        <v>8875</v>
      </c>
      <c r="BG207" s="1" t="str">
        <f>HYPERLINK("http://dx.doi.org/10.1007/s40520-021-01835-w","http://dx.doi.org/10.1007/s40520-021-01835-w")</f>
        <v>http://dx.doi.org/10.1007/s40520-021-01835-w</v>
      </c>
      <c r="BH207" s="1" t="s">
        <v>1507</v>
      </c>
      <c r="BI207" s="1" t="s">
        <v>8876</v>
      </c>
      <c r="BJ207" s="1">
        <v>9</v>
      </c>
      <c r="BK207" s="1" t="s">
        <v>8877</v>
      </c>
      <c r="BL207" s="1" t="s">
        <v>1573</v>
      </c>
      <c r="BM207" s="1" t="s">
        <v>8877</v>
      </c>
      <c r="BN207" s="1" t="s">
        <v>8878</v>
      </c>
      <c r="BO207" s="1">
        <v>33786800</v>
      </c>
      <c r="BP207" s="1" t="s">
        <v>1507</v>
      </c>
      <c r="BQ207" s="1" t="s">
        <v>1507</v>
      </c>
      <c r="BR207" s="1" t="s">
        <v>1507</v>
      </c>
      <c r="BS207" s="1" t="s">
        <v>13744</v>
      </c>
      <c r="BT207" s="1" t="s">
        <v>8879</v>
      </c>
      <c r="BU207" s="1" t="str">
        <f>HYPERLINK("https%3A%2F%2Fwww.webofscience.com%2Fwos%2Fwoscc%2Ffull-record%2FWOS:000635075300002","View Full Record in Web of Science")</f>
        <v>View Full Record in Web of Science</v>
      </c>
    </row>
    <row r="208" spans="1:73" x14ac:dyDescent="0.25">
      <c r="A208" s="1">
        <v>207</v>
      </c>
      <c r="B208" s="1" t="s">
        <v>5882</v>
      </c>
      <c r="C208" s="1" t="s">
        <v>5883</v>
      </c>
      <c r="D208" s="1" t="s">
        <v>1507</v>
      </c>
      <c r="E208" s="1" t="s">
        <v>5884</v>
      </c>
      <c r="F208" s="1" t="s">
        <v>1507</v>
      </c>
      <c r="G208" s="1" t="s">
        <v>5885</v>
      </c>
      <c r="H208" s="1" t="s">
        <v>1507</v>
      </c>
      <c r="I208" s="1" t="s">
        <v>1507</v>
      </c>
      <c r="J208" s="1" t="s">
        <v>5886</v>
      </c>
      <c r="K208" s="1" t="s">
        <v>5887</v>
      </c>
      <c r="L208" s="1" t="s">
        <v>1507</v>
      </c>
      <c r="M208" s="1" t="s">
        <v>1507</v>
      </c>
      <c r="N208" s="1" t="s">
        <v>42</v>
      </c>
      <c r="O208" s="1" t="s">
        <v>5888</v>
      </c>
      <c r="P208" s="1" t="s">
        <v>1507</v>
      </c>
      <c r="Q208" s="1" t="s">
        <v>1507</v>
      </c>
      <c r="R208" s="1" t="s">
        <v>1507</v>
      </c>
      <c r="S208" s="1" t="s">
        <v>1507</v>
      </c>
      <c r="T208" s="1" t="s">
        <v>1507</v>
      </c>
      <c r="U208" s="1" t="s">
        <v>1507</v>
      </c>
      <c r="V208" s="1" t="s">
        <v>1507</v>
      </c>
      <c r="W208" s="1" t="s">
        <v>1507</v>
      </c>
      <c r="X208" s="1" t="s">
        <v>5889</v>
      </c>
      <c r="Y208" s="1" t="s">
        <v>5890</v>
      </c>
      <c r="Z208" s="1" t="s">
        <v>5891</v>
      </c>
      <c r="AA208" s="1" t="s">
        <v>1507</v>
      </c>
      <c r="AB208" s="1" t="s">
        <v>1507</v>
      </c>
      <c r="AC208" s="1" t="s">
        <v>1507</v>
      </c>
      <c r="AD208" s="1" t="s">
        <v>5892</v>
      </c>
      <c r="AE208" s="1" t="s">
        <v>5893</v>
      </c>
      <c r="AF208" s="1" t="s">
        <v>5894</v>
      </c>
      <c r="AG208" s="1" t="s">
        <v>1507</v>
      </c>
      <c r="AH208" s="1">
        <v>4</v>
      </c>
      <c r="AI208" s="1">
        <v>0</v>
      </c>
      <c r="AJ208" s="1">
        <v>0</v>
      </c>
      <c r="AK208" s="1">
        <v>0</v>
      </c>
      <c r="AL208" s="1">
        <v>0</v>
      </c>
      <c r="AM208" s="1" t="s">
        <v>5895</v>
      </c>
      <c r="AN208" s="1" t="s">
        <v>5896</v>
      </c>
      <c r="AO208" s="1" t="s">
        <v>5897</v>
      </c>
      <c r="AP208" s="1" t="s">
        <v>1507</v>
      </c>
      <c r="AQ208" s="1" t="s">
        <v>1507</v>
      </c>
      <c r="AR208" s="1" t="s">
        <v>5898</v>
      </c>
      <c r="AS208" s="1" t="s">
        <v>1507</v>
      </c>
      <c r="AT208" s="1" t="s">
        <v>1507</v>
      </c>
      <c r="AU208" s="1" t="s">
        <v>1507</v>
      </c>
      <c r="AV208" s="1">
        <v>2023</v>
      </c>
      <c r="AW208" s="1" t="s">
        <v>1507</v>
      </c>
      <c r="AX208" s="1" t="s">
        <v>1507</v>
      </c>
      <c r="AY208" s="1" t="s">
        <v>1507</v>
      </c>
      <c r="AZ208" s="1" t="s">
        <v>1507</v>
      </c>
      <c r="BA208" s="1" t="s">
        <v>1507</v>
      </c>
      <c r="BB208" s="1" t="s">
        <v>1507</v>
      </c>
      <c r="BC208" s="1">
        <v>209</v>
      </c>
      <c r="BD208" s="1">
        <v>224</v>
      </c>
      <c r="BE208" s="1" t="s">
        <v>1507</v>
      </c>
      <c r="BF208" s="1" t="s">
        <v>1507</v>
      </c>
      <c r="BG208" s="1" t="s">
        <v>1507</v>
      </c>
      <c r="BH208" s="1" t="s">
        <v>1507</v>
      </c>
      <c r="BI208" s="1" t="s">
        <v>1507</v>
      </c>
      <c r="BJ208" s="1">
        <v>16</v>
      </c>
      <c r="BK208" s="1" t="s">
        <v>1535</v>
      </c>
      <c r="BL208" s="1" t="s">
        <v>5899</v>
      </c>
      <c r="BM208" s="1" t="s">
        <v>1536</v>
      </c>
      <c r="BN208" s="1" t="s">
        <v>5900</v>
      </c>
      <c r="BO208" s="1" t="s">
        <v>1507</v>
      </c>
      <c r="BP208" s="1" t="s">
        <v>1507</v>
      </c>
      <c r="BQ208" s="1" t="s">
        <v>1507</v>
      </c>
      <c r="BR208" s="1" t="s">
        <v>1507</v>
      </c>
      <c r="BS208" s="1" t="s">
        <v>13744</v>
      </c>
      <c r="BT208" s="1" t="s">
        <v>5901</v>
      </c>
      <c r="BU208" s="1" t="str">
        <f>HYPERLINK("https%3A%2F%2Fwww.webofscience.com%2Fwos%2Fwoscc%2Ffull-record%2FWOS:001061847900011","View Full Record in Web of Science")</f>
        <v>View Full Record in Web of Science</v>
      </c>
    </row>
    <row r="209" spans="1:73" x14ac:dyDescent="0.25">
      <c r="A209" s="1">
        <v>208</v>
      </c>
      <c r="B209" s="1" t="s">
        <v>1506</v>
      </c>
      <c r="C209" s="1" t="s">
        <v>1655</v>
      </c>
      <c r="D209" s="1" t="s">
        <v>1507</v>
      </c>
      <c r="E209" s="1" t="s">
        <v>1507</v>
      </c>
      <c r="F209" s="1" t="s">
        <v>1507</v>
      </c>
      <c r="G209" s="1" t="s">
        <v>1656</v>
      </c>
      <c r="H209" s="1" t="s">
        <v>1507</v>
      </c>
      <c r="I209" s="1" t="s">
        <v>1507</v>
      </c>
      <c r="J209" s="1" t="s">
        <v>559</v>
      </c>
      <c r="K209" s="1" t="s">
        <v>1657</v>
      </c>
      <c r="L209" s="1" t="s">
        <v>1507</v>
      </c>
      <c r="M209" s="1" t="s">
        <v>1507</v>
      </c>
      <c r="N209" s="1" t="s">
        <v>42</v>
      </c>
      <c r="O209" s="1" t="s">
        <v>56</v>
      </c>
      <c r="P209" s="1" t="s">
        <v>1507</v>
      </c>
      <c r="Q209" s="1" t="s">
        <v>1507</v>
      </c>
      <c r="R209" s="1" t="s">
        <v>1507</v>
      </c>
      <c r="S209" s="1" t="s">
        <v>1507</v>
      </c>
      <c r="T209" s="1" t="s">
        <v>1507</v>
      </c>
      <c r="U209" s="1" t="s">
        <v>1658</v>
      </c>
      <c r="V209" s="1" t="s">
        <v>1659</v>
      </c>
      <c r="W209" s="1" t="s">
        <v>1660</v>
      </c>
      <c r="X209" s="1" t="s">
        <v>1661</v>
      </c>
      <c r="Y209" s="1" t="s">
        <v>1662</v>
      </c>
      <c r="Z209" s="1" t="s">
        <v>1663</v>
      </c>
      <c r="AA209" s="1" t="s">
        <v>1664</v>
      </c>
      <c r="AB209" s="1" t="s">
        <v>1507</v>
      </c>
      <c r="AC209" s="1" t="s">
        <v>13745</v>
      </c>
      <c r="AD209" s="1" t="s">
        <v>1665</v>
      </c>
      <c r="AE209" s="1" t="s">
        <v>1665</v>
      </c>
      <c r="AF209" s="1" t="s">
        <v>1666</v>
      </c>
      <c r="AG209" s="1" t="s">
        <v>1507</v>
      </c>
      <c r="AH209" s="1">
        <v>59</v>
      </c>
      <c r="AI209" s="1">
        <v>1</v>
      </c>
      <c r="AJ209" s="1">
        <v>1</v>
      </c>
      <c r="AK209" s="1">
        <v>23</v>
      </c>
      <c r="AL209" s="1">
        <v>23</v>
      </c>
      <c r="AM209" s="1" t="s">
        <v>1667</v>
      </c>
      <c r="AN209" s="1" t="s">
        <v>1668</v>
      </c>
      <c r="AO209" s="1" t="s">
        <v>1669</v>
      </c>
      <c r="AP209" s="1" t="s">
        <v>1670</v>
      </c>
      <c r="AQ209" s="1" t="s">
        <v>1507</v>
      </c>
      <c r="AR209" s="1" t="s">
        <v>1507</v>
      </c>
      <c r="AS209" s="1" t="s">
        <v>1671</v>
      </c>
      <c r="AT209" s="1" t="s">
        <v>567</v>
      </c>
      <c r="AU209" s="1" t="s">
        <v>1672</v>
      </c>
      <c r="AV209" s="1">
        <v>2023</v>
      </c>
      <c r="AW209" s="1">
        <v>25</v>
      </c>
      <c r="AX209" s="1" t="s">
        <v>1507</v>
      </c>
      <c r="AY209" s="1" t="s">
        <v>1507</v>
      </c>
      <c r="AZ209" s="1" t="s">
        <v>1507</v>
      </c>
      <c r="BA209" s="1" t="s">
        <v>1507</v>
      </c>
      <c r="BB209" s="1" t="s">
        <v>1507</v>
      </c>
      <c r="BC209" s="1" t="s">
        <v>1507</v>
      </c>
      <c r="BD209" s="1" t="s">
        <v>1507</v>
      </c>
      <c r="BE209" s="1" t="s">
        <v>561</v>
      </c>
      <c r="BF209" s="1" t="s">
        <v>562</v>
      </c>
      <c r="BG209" s="1" t="str">
        <f>HYPERLINK("http://dx.doi.org/10.2196/51580","http://dx.doi.org/10.2196/51580")</f>
        <v>http://dx.doi.org/10.2196/51580</v>
      </c>
      <c r="BH209" s="1" t="s">
        <v>1507</v>
      </c>
      <c r="BI209" s="1" t="s">
        <v>1507</v>
      </c>
      <c r="BJ209" s="1">
        <v>15</v>
      </c>
      <c r="BK209" s="1" t="s">
        <v>1585</v>
      </c>
      <c r="BL209" s="1" t="s">
        <v>1573</v>
      </c>
      <c r="BM209" s="1" t="s">
        <v>1585</v>
      </c>
      <c r="BN209" s="1" t="s">
        <v>1673</v>
      </c>
      <c r="BO209" s="1">
        <v>38009003</v>
      </c>
      <c r="BP209" s="1" t="s">
        <v>1674</v>
      </c>
      <c r="BQ209" s="1" t="s">
        <v>1507</v>
      </c>
      <c r="BR209" s="1" t="s">
        <v>1507</v>
      </c>
      <c r="BS209" s="1" t="s">
        <v>13744</v>
      </c>
      <c r="BT209" s="1" t="s">
        <v>1675</v>
      </c>
      <c r="BU209" s="1" t="str">
        <f>HYPERLINK("https%3A%2F%2Fwww.webofscience.com%2Fwos%2Fwoscc%2Ffull-record%2FWOS:001146489700003","View Full Record in Web of Science")</f>
        <v>View Full Record in Web of Science</v>
      </c>
    </row>
    <row r="210" spans="1:73" x14ac:dyDescent="0.25">
      <c r="A210" s="1">
        <v>209</v>
      </c>
      <c r="B210" s="1" t="s">
        <v>1506</v>
      </c>
      <c r="C210" s="1" t="s">
        <v>11342</v>
      </c>
      <c r="D210" s="1" t="s">
        <v>1507</v>
      </c>
      <c r="E210" s="1" t="s">
        <v>1507</v>
      </c>
      <c r="F210" s="1" t="s">
        <v>1507</v>
      </c>
      <c r="G210" s="1" t="s">
        <v>11343</v>
      </c>
      <c r="H210" s="1" t="s">
        <v>1507</v>
      </c>
      <c r="I210" s="1" t="s">
        <v>1507</v>
      </c>
      <c r="J210" s="1" t="s">
        <v>11344</v>
      </c>
      <c r="K210" s="1" t="s">
        <v>11345</v>
      </c>
      <c r="L210" s="1" t="s">
        <v>1507</v>
      </c>
      <c r="M210" s="1" t="s">
        <v>1507</v>
      </c>
      <c r="N210" s="1" t="s">
        <v>42</v>
      </c>
      <c r="O210" s="1" t="s">
        <v>56</v>
      </c>
      <c r="P210" s="1" t="s">
        <v>1507</v>
      </c>
      <c r="Q210" s="1" t="s">
        <v>1507</v>
      </c>
      <c r="R210" s="1" t="s">
        <v>1507</v>
      </c>
      <c r="S210" s="1" t="s">
        <v>1507</v>
      </c>
      <c r="T210" s="1" t="s">
        <v>1507</v>
      </c>
      <c r="U210" s="1" t="s">
        <v>11346</v>
      </c>
      <c r="V210" s="1" t="s">
        <v>1507</v>
      </c>
      <c r="W210" s="1" t="s">
        <v>11347</v>
      </c>
      <c r="X210" s="1" t="s">
        <v>11348</v>
      </c>
      <c r="Y210" s="1" t="s">
        <v>11349</v>
      </c>
      <c r="Z210" s="1" t="s">
        <v>11350</v>
      </c>
      <c r="AA210" s="1" t="s">
        <v>11351</v>
      </c>
      <c r="AB210" s="1" t="s">
        <v>1507</v>
      </c>
      <c r="AC210" s="1" t="s">
        <v>1507</v>
      </c>
      <c r="AD210" s="1" t="s">
        <v>11352</v>
      </c>
      <c r="AE210" s="1" t="s">
        <v>11353</v>
      </c>
      <c r="AF210" s="1" t="s">
        <v>11354</v>
      </c>
      <c r="AG210" s="1" t="s">
        <v>1507</v>
      </c>
      <c r="AH210" s="1">
        <v>88</v>
      </c>
      <c r="AI210" s="1">
        <v>4</v>
      </c>
      <c r="AJ210" s="1">
        <v>4</v>
      </c>
      <c r="AK210" s="1">
        <v>1</v>
      </c>
      <c r="AL210" s="1">
        <v>5</v>
      </c>
      <c r="AM210" s="1" t="s">
        <v>11355</v>
      </c>
      <c r="AN210" s="1" t="s">
        <v>1551</v>
      </c>
      <c r="AO210" s="1" t="s">
        <v>11356</v>
      </c>
      <c r="AP210" s="1" t="s">
        <v>11357</v>
      </c>
      <c r="AQ210" s="1" t="s">
        <v>11358</v>
      </c>
      <c r="AR210" s="1" t="s">
        <v>1507</v>
      </c>
      <c r="AS210" s="1" t="s">
        <v>11359</v>
      </c>
      <c r="AT210" s="1" t="s">
        <v>965</v>
      </c>
      <c r="AU210" s="1" t="s">
        <v>1507</v>
      </c>
      <c r="AV210" s="1">
        <v>2019</v>
      </c>
      <c r="AW210" s="1">
        <v>24</v>
      </c>
      <c r="AX210" s="1">
        <v>1</v>
      </c>
      <c r="AY210" s="1" t="s">
        <v>1507</v>
      </c>
      <c r="AZ210" s="1" t="s">
        <v>1507</v>
      </c>
      <c r="BA210" s="1" t="s">
        <v>1507</v>
      </c>
      <c r="BB210" s="1" t="s">
        <v>1507</v>
      </c>
      <c r="BC210" s="1">
        <v>27</v>
      </c>
      <c r="BD210" s="1">
        <v>48</v>
      </c>
      <c r="BE210" s="1" t="s">
        <v>1507</v>
      </c>
      <c r="BF210" s="1" t="s">
        <v>11360</v>
      </c>
      <c r="BG210" s="1" t="str">
        <f>HYPERLINK("http://dx.doi.org/10.5334/tilr.135","http://dx.doi.org/10.5334/tilr.135")</f>
        <v>http://dx.doi.org/10.5334/tilr.135</v>
      </c>
      <c r="BH210" s="1" t="s">
        <v>1507</v>
      </c>
      <c r="BI210" s="1" t="s">
        <v>1507</v>
      </c>
      <c r="BJ210" s="1">
        <v>22</v>
      </c>
      <c r="BK210" s="1" t="s">
        <v>1535</v>
      </c>
      <c r="BL210" s="1" t="s">
        <v>1529</v>
      </c>
      <c r="BM210" s="1" t="s">
        <v>1536</v>
      </c>
      <c r="BN210" s="1" t="s">
        <v>11361</v>
      </c>
      <c r="BO210" s="1" t="s">
        <v>1507</v>
      </c>
      <c r="BP210" s="1" t="s">
        <v>1952</v>
      </c>
      <c r="BQ210" s="1" t="s">
        <v>1507</v>
      </c>
      <c r="BR210" s="1" t="s">
        <v>1507</v>
      </c>
      <c r="BS210" s="1" t="s">
        <v>13744</v>
      </c>
      <c r="BT210" s="1" t="s">
        <v>11362</v>
      </c>
      <c r="BU210" s="1" t="str">
        <f>HYPERLINK("https%3A%2F%2Fwww.webofscience.com%2Fwos%2Fwoscc%2Ffull-record%2FWOS:000737921400003","View Full Record in Web of Science")</f>
        <v>View Full Record in Web of Science</v>
      </c>
    </row>
    <row r="211" spans="1:73" x14ac:dyDescent="0.25">
      <c r="A211" s="1">
        <v>210</v>
      </c>
      <c r="B211" s="1" t="s">
        <v>1506</v>
      </c>
      <c r="C211" s="1" t="s">
        <v>2197</v>
      </c>
      <c r="D211" s="1" t="s">
        <v>1507</v>
      </c>
      <c r="E211" s="1" t="s">
        <v>1507</v>
      </c>
      <c r="F211" s="1" t="s">
        <v>1507</v>
      </c>
      <c r="G211" s="1" t="s">
        <v>2198</v>
      </c>
      <c r="H211" s="1" t="s">
        <v>1507</v>
      </c>
      <c r="I211" s="1" t="s">
        <v>1507</v>
      </c>
      <c r="J211" s="1" t="s">
        <v>2199</v>
      </c>
      <c r="K211" s="1" t="s">
        <v>2200</v>
      </c>
      <c r="L211" s="1" t="s">
        <v>1507</v>
      </c>
      <c r="M211" s="1" t="s">
        <v>1507</v>
      </c>
      <c r="N211" s="1" t="s">
        <v>42</v>
      </c>
      <c r="O211" s="1" t="s">
        <v>56</v>
      </c>
      <c r="P211" s="1" t="s">
        <v>1507</v>
      </c>
      <c r="Q211" s="1" t="s">
        <v>1507</v>
      </c>
      <c r="R211" s="1" t="s">
        <v>1507</v>
      </c>
      <c r="S211" s="1" t="s">
        <v>1507</v>
      </c>
      <c r="T211" s="1" t="s">
        <v>1507</v>
      </c>
      <c r="U211" s="1" t="s">
        <v>2201</v>
      </c>
      <c r="V211" s="1" t="s">
        <v>2202</v>
      </c>
      <c r="W211" s="1" t="s">
        <v>2203</v>
      </c>
      <c r="X211" s="1" t="s">
        <v>2204</v>
      </c>
      <c r="Y211" s="1" t="s">
        <v>2205</v>
      </c>
      <c r="Z211" s="1" t="s">
        <v>2206</v>
      </c>
      <c r="AA211" s="1" t="s">
        <v>2207</v>
      </c>
      <c r="AB211" s="1" t="s">
        <v>1507</v>
      </c>
      <c r="AC211" s="1" t="s">
        <v>2208</v>
      </c>
      <c r="AD211" s="1" t="s">
        <v>2209</v>
      </c>
      <c r="AE211" s="1" t="s">
        <v>2209</v>
      </c>
      <c r="AF211" s="1" t="s">
        <v>2210</v>
      </c>
      <c r="AG211" s="1" t="s">
        <v>1507</v>
      </c>
      <c r="AH211" s="1">
        <v>55</v>
      </c>
      <c r="AI211" s="1">
        <v>0</v>
      </c>
      <c r="AJ211" s="1">
        <v>0</v>
      </c>
      <c r="AK211" s="1">
        <v>2</v>
      </c>
      <c r="AL211" s="1">
        <v>2</v>
      </c>
      <c r="AM211" s="1" t="s">
        <v>1610</v>
      </c>
      <c r="AN211" s="1" t="s">
        <v>1611</v>
      </c>
      <c r="AO211" s="1" t="s">
        <v>1612</v>
      </c>
      <c r="AP211" s="1" t="s">
        <v>1507</v>
      </c>
      <c r="AQ211" s="1" t="s">
        <v>2211</v>
      </c>
      <c r="AR211" s="1" t="s">
        <v>1507</v>
      </c>
      <c r="AS211" s="1" t="s">
        <v>2200</v>
      </c>
      <c r="AT211" s="1" t="s">
        <v>2212</v>
      </c>
      <c r="AU211" s="1" t="s">
        <v>2191</v>
      </c>
      <c r="AV211" s="1">
        <v>2023</v>
      </c>
      <c r="AW211" s="1">
        <v>10</v>
      </c>
      <c r="AX211" s="1">
        <v>4</v>
      </c>
      <c r="AY211" s="1" t="s">
        <v>1507</v>
      </c>
      <c r="AZ211" s="1" t="s">
        <v>1507</v>
      </c>
      <c r="BA211" s="1" t="s">
        <v>1507</v>
      </c>
      <c r="BB211" s="1" t="s">
        <v>1507</v>
      </c>
      <c r="BC211" s="1" t="s">
        <v>1507</v>
      </c>
      <c r="BD211" s="1" t="s">
        <v>1507</v>
      </c>
      <c r="BE211" s="1">
        <v>89</v>
      </c>
      <c r="BF211" s="1" t="s">
        <v>2213</v>
      </c>
      <c r="BG211" s="1" t="str">
        <f>HYPERLINK("http://dx.doi.org/10.3390/informatics10040089","http://dx.doi.org/10.3390/informatics10040089")</f>
        <v>http://dx.doi.org/10.3390/informatics10040089</v>
      </c>
      <c r="BH211" s="1" t="s">
        <v>1507</v>
      </c>
      <c r="BI211" s="1" t="s">
        <v>1507</v>
      </c>
      <c r="BJ211" s="1">
        <v>20</v>
      </c>
      <c r="BK211" s="1" t="s">
        <v>2214</v>
      </c>
      <c r="BL211" s="1" t="s">
        <v>1529</v>
      </c>
      <c r="BM211" s="1" t="s">
        <v>1577</v>
      </c>
      <c r="BN211" s="1" t="s">
        <v>2215</v>
      </c>
      <c r="BO211" s="1" t="s">
        <v>1507</v>
      </c>
      <c r="BP211" s="1" t="s">
        <v>1531</v>
      </c>
      <c r="BQ211" s="1" t="s">
        <v>1507</v>
      </c>
      <c r="BR211" s="1" t="s">
        <v>1507</v>
      </c>
      <c r="BS211" s="1" t="s">
        <v>13744</v>
      </c>
      <c r="BT211" s="1" t="s">
        <v>2216</v>
      </c>
      <c r="BU211" s="1" t="str">
        <f>HYPERLINK("https%3A%2F%2Fwww.webofscience.com%2Fwos%2Fwoscc%2Ffull-record%2FWOS:001131075800001","View Full Record in Web of Science")</f>
        <v>View Full Record in Web of Science</v>
      </c>
    </row>
    <row r="212" spans="1:73" x14ac:dyDescent="0.25">
      <c r="A212" s="1">
        <v>211</v>
      </c>
      <c r="B212" s="1" t="s">
        <v>1506</v>
      </c>
      <c r="C212" s="1" t="s">
        <v>3800</v>
      </c>
      <c r="D212" s="1" t="s">
        <v>1507</v>
      </c>
      <c r="E212" s="1" t="s">
        <v>1507</v>
      </c>
      <c r="F212" s="1" t="s">
        <v>1507</v>
      </c>
      <c r="G212" s="1" t="s">
        <v>3801</v>
      </c>
      <c r="H212" s="1" t="s">
        <v>1507</v>
      </c>
      <c r="I212" s="1" t="s">
        <v>1507</v>
      </c>
      <c r="J212" s="1" t="s">
        <v>3802</v>
      </c>
      <c r="K212" s="1" t="s">
        <v>3803</v>
      </c>
      <c r="L212" s="1" t="s">
        <v>1507</v>
      </c>
      <c r="M212" s="1" t="s">
        <v>1507</v>
      </c>
      <c r="N212" s="1" t="s">
        <v>42</v>
      </c>
      <c r="O212" s="1" t="s">
        <v>56</v>
      </c>
      <c r="P212" s="1" t="s">
        <v>1507</v>
      </c>
      <c r="Q212" s="1" t="s">
        <v>1507</v>
      </c>
      <c r="R212" s="1" t="s">
        <v>1507</v>
      </c>
      <c r="S212" s="1" t="s">
        <v>1507</v>
      </c>
      <c r="T212" s="1" t="s">
        <v>1507</v>
      </c>
      <c r="U212" s="1" t="s">
        <v>1507</v>
      </c>
      <c r="V212" s="1" t="s">
        <v>3804</v>
      </c>
      <c r="W212" s="1" t="s">
        <v>3805</v>
      </c>
      <c r="X212" s="1" t="s">
        <v>3806</v>
      </c>
      <c r="Y212" s="1" t="s">
        <v>3807</v>
      </c>
      <c r="Z212" s="1" t="s">
        <v>3808</v>
      </c>
      <c r="AA212" s="1" t="s">
        <v>3809</v>
      </c>
      <c r="AB212" s="1" t="s">
        <v>1507</v>
      </c>
      <c r="AC212" s="1" t="s">
        <v>14499</v>
      </c>
      <c r="AD212" s="1" t="s">
        <v>3810</v>
      </c>
      <c r="AE212" s="1" t="s">
        <v>3810</v>
      </c>
      <c r="AF212" s="1" t="s">
        <v>3811</v>
      </c>
      <c r="AG212" s="1" t="s">
        <v>1507</v>
      </c>
      <c r="AH212" s="1">
        <v>35</v>
      </c>
      <c r="AI212" s="1">
        <v>1</v>
      </c>
      <c r="AJ212" s="1">
        <v>1</v>
      </c>
      <c r="AK212" s="1">
        <v>2</v>
      </c>
      <c r="AL212" s="1">
        <v>2</v>
      </c>
      <c r="AM212" s="1" t="s">
        <v>1559</v>
      </c>
      <c r="AN212" s="1" t="s">
        <v>1560</v>
      </c>
      <c r="AO212" s="1" t="s">
        <v>1561</v>
      </c>
      <c r="AP212" s="1" t="s">
        <v>3812</v>
      </c>
      <c r="AQ212" s="1" t="s">
        <v>3813</v>
      </c>
      <c r="AR212" s="1" t="s">
        <v>1507</v>
      </c>
      <c r="AS212" s="1" t="s">
        <v>3814</v>
      </c>
      <c r="AT212" s="1" t="s">
        <v>3815</v>
      </c>
      <c r="AU212" s="1" t="s">
        <v>5362</v>
      </c>
      <c r="AV212" s="1">
        <v>2024</v>
      </c>
      <c r="AW212" s="1">
        <v>61</v>
      </c>
      <c r="AX212" s="1">
        <v>1</v>
      </c>
      <c r="AY212" s="1" t="s">
        <v>1507</v>
      </c>
      <c r="AZ212" s="1" t="s">
        <v>1507</v>
      </c>
      <c r="BA212" s="1" t="s">
        <v>1507</v>
      </c>
      <c r="BB212" s="1" t="s">
        <v>1507</v>
      </c>
      <c r="BC212" s="1">
        <v>150</v>
      </c>
      <c r="BD212" s="1">
        <v>173</v>
      </c>
      <c r="BE212" s="1" t="s">
        <v>1507</v>
      </c>
      <c r="BF212" s="1" t="s">
        <v>3816</v>
      </c>
      <c r="BG212" s="1" t="str">
        <f>HYPERLINK("http://dx.doi.org/10.1111/jedm.12376","http://dx.doi.org/10.1111/jedm.12376")</f>
        <v>http://dx.doi.org/10.1111/jedm.12376</v>
      </c>
      <c r="BH212" s="1" t="s">
        <v>1507</v>
      </c>
      <c r="BI212" s="1" t="s">
        <v>3689</v>
      </c>
      <c r="BJ212" s="1">
        <v>24</v>
      </c>
      <c r="BK212" s="1" t="s">
        <v>3817</v>
      </c>
      <c r="BL212" s="1" t="s">
        <v>1518</v>
      </c>
      <c r="BM212" s="1" t="s">
        <v>1519</v>
      </c>
      <c r="BN212" s="1" t="s">
        <v>14500</v>
      </c>
      <c r="BO212" s="1" t="s">
        <v>1507</v>
      </c>
      <c r="BP212" s="1" t="s">
        <v>3572</v>
      </c>
      <c r="BQ212" s="1" t="s">
        <v>1507</v>
      </c>
      <c r="BR212" s="1" t="s">
        <v>1507</v>
      </c>
      <c r="BS212" s="1" t="s">
        <v>13744</v>
      </c>
      <c r="BT212" s="1" t="s">
        <v>3818</v>
      </c>
      <c r="BU212" s="1" t="str">
        <f>HYPERLINK("https%3A%2F%2Fwww.webofscience.com%2Fwos%2Fwoscc%2Ffull-record%2FWOS:001070195500001","View Full Record in Web of Science")</f>
        <v>View Full Record in Web of Science</v>
      </c>
    </row>
    <row r="213" spans="1:73" x14ac:dyDescent="0.25">
      <c r="A213" s="1">
        <v>212</v>
      </c>
      <c r="B213" s="1" t="s">
        <v>5546</v>
      </c>
      <c r="C213" s="1" t="s">
        <v>7757</v>
      </c>
      <c r="D213" s="1" t="s">
        <v>1507</v>
      </c>
      <c r="E213" s="1" t="s">
        <v>1507</v>
      </c>
      <c r="F213" s="1" t="s">
        <v>5548</v>
      </c>
      <c r="G213" s="1" t="s">
        <v>7758</v>
      </c>
      <c r="H213" s="1" t="s">
        <v>1507</v>
      </c>
      <c r="I213" s="1" t="s">
        <v>1507</v>
      </c>
      <c r="J213" s="1" t="s">
        <v>7759</v>
      </c>
      <c r="K213" s="1" t="s">
        <v>7760</v>
      </c>
      <c r="L213" s="1" t="s">
        <v>1507</v>
      </c>
      <c r="M213" s="1" t="s">
        <v>1507</v>
      </c>
      <c r="N213" s="1" t="s">
        <v>42</v>
      </c>
      <c r="O213" s="1" t="s">
        <v>5552</v>
      </c>
      <c r="P213" s="1" t="s">
        <v>7761</v>
      </c>
      <c r="Q213" s="1" t="s">
        <v>7762</v>
      </c>
      <c r="R213" s="1" t="s">
        <v>7763</v>
      </c>
      <c r="S213" s="1" t="s">
        <v>7764</v>
      </c>
      <c r="T213" s="1" t="s">
        <v>1507</v>
      </c>
      <c r="U213" s="1" t="s">
        <v>7765</v>
      </c>
      <c r="V213" s="1" t="s">
        <v>7766</v>
      </c>
      <c r="W213" s="1" t="s">
        <v>7767</v>
      </c>
      <c r="X213" s="1" t="s">
        <v>7768</v>
      </c>
      <c r="Y213" s="1" t="s">
        <v>7769</v>
      </c>
      <c r="Z213" s="1" t="s">
        <v>7770</v>
      </c>
      <c r="AA213" s="1" t="s">
        <v>7771</v>
      </c>
      <c r="AB213" s="1" t="s">
        <v>1507</v>
      </c>
      <c r="AC213" s="1" t="s">
        <v>1507</v>
      </c>
      <c r="AD213" s="1" t="s">
        <v>1507</v>
      </c>
      <c r="AE213" s="1" t="s">
        <v>1507</v>
      </c>
      <c r="AF213" s="1" t="s">
        <v>1507</v>
      </c>
      <c r="AG213" s="1" t="s">
        <v>1507</v>
      </c>
      <c r="AH213" s="1">
        <v>71</v>
      </c>
      <c r="AI213" s="1">
        <v>1</v>
      </c>
      <c r="AJ213" s="1">
        <v>1</v>
      </c>
      <c r="AK213" s="1">
        <v>0</v>
      </c>
      <c r="AL213" s="1">
        <v>0</v>
      </c>
      <c r="AM213" s="1" t="s">
        <v>5565</v>
      </c>
      <c r="AN213" s="1" t="s">
        <v>1512</v>
      </c>
      <c r="AO213" s="1" t="s">
        <v>5566</v>
      </c>
      <c r="AP213" s="1" t="s">
        <v>1507</v>
      </c>
      <c r="AQ213" s="1" t="s">
        <v>1507</v>
      </c>
      <c r="AR213" s="1" t="s">
        <v>7772</v>
      </c>
      <c r="AS213" s="1" t="s">
        <v>1507</v>
      </c>
      <c r="AT213" s="1" t="s">
        <v>1507</v>
      </c>
      <c r="AU213" s="1" t="s">
        <v>1507</v>
      </c>
      <c r="AV213" s="1">
        <v>2022</v>
      </c>
      <c r="AW213" s="1" t="s">
        <v>1507</v>
      </c>
      <c r="AX213" s="1" t="s">
        <v>1507</v>
      </c>
      <c r="AY213" s="1" t="s">
        <v>1507</v>
      </c>
      <c r="AZ213" s="1" t="s">
        <v>1507</v>
      </c>
      <c r="BA213" s="1" t="s">
        <v>1507</v>
      </c>
      <c r="BB213" s="1" t="s">
        <v>1507</v>
      </c>
      <c r="BC213" s="1" t="s">
        <v>1507</v>
      </c>
      <c r="BD213" s="1" t="s">
        <v>1507</v>
      </c>
      <c r="BE213" s="1" t="s">
        <v>1507</v>
      </c>
      <c r="BF213" s="1" t="s">
        <v>7773</v>
      </c>
      <c r="BG213" s="1" t="str">
        <f>HYPERLINK("http://dx.doi.org/10.1145/3517428.3544819","http://dx.doi.org/10.1145/3517428.3544819")</f>
        <v>http://dx.doi.org/10.1145/3517428.3544819</v>
      </c>
      <c r="BH213" s="1" t="s">
        <v>1507</v>
      </c>
      <c r="BI213" s="1" t="s">
        <v>1507</v>
      </c>
      <c r="BJ213" s="1">
        <v>18</v>
      </c>
      <c r="BK213" s="1" t="s">
        <v>7774</v>
      </c>
      <c r="BL213" s="1" t="s">
        <v>5570</v>
      </c>
      <c r="BM213" s="1" t="s">
        <v>1577</v>
      </c>
      <c r="BN213" s="1" t="s">
        <v>7775</v>
      </c>
      <c r="BO213" s="1" t="s">
        <v>1507</v>
      </c>
      <c r="BP213" s="1" t="s">
        <v>7609</v>
      </c>
      <c r="BQ213" s="1" t="s">
        <v>1507</v>
      </c>
      <c r="BR213" s="1" t="s">
        <v>1507</v>
      </c>
      <c r="BS213" s="1" t="s">
        <v>13744</v>
      </c>
      <c r="BT213" s="1" t="s">
        <v>7777</v>
      </c>
      <c r="BU213" s="1" t="str">
        <f>HYPERLINK("https%3A%2F%2Fwww.webofscience.com%2Fwos%2Fwoscc%2Ffull-record%2FWOS:001146369800024","View Full Record in Web of Science")</f>
        <v>View Full Record in Web of Science</v>
      </c>
    </row>
    <row r="214" spans="1:73" x14ac:dyDescent="0.25">
      <c r="A214" s="1">
        <v>213</v>
      </c>
      <c r="B214" s="1" t="s">
        <v>5546</v>
      </c>
      <c r="C214" s="1" t="s">
        <v>15008</v>
      </c>
      <c r="D214" s="1" t="s">
        <v>1507</v>
      </c>
      <c r="E214" s="1" t="s">
        <v>15009</v>
      </c>
      <c r="F214" s="1" t="s">
        <v>1507</v>
      </c>
      <c r="G214" s="1" t="s">
        <v>15010</v>
      </c>
      <c r="H214" s="1" t="s">
        <v>1507</v>
      </c>
      <c r="I214" s="1" t="s">
        <v>1507</v>
      </c>
      <c r="J214" s="1" t="s">
        <v>15011</v>
      </c>
      <c r="K214" s="1" t="s">
        <v>15012</v>
      </c>
      <c r="L214" s="1" t="s">
        <v>10392</v>
      </c>
      <c r="M214" s="1" t="s">
        <v>1507</v>
      </c>
      <c r="N214" s="1" t="s">
        <v>42</v>
      </c>
      <c r="O214" s="1" t="s">
        <v>5552</v>
      </c>
      <c r="P214" s="1" t="s">
        <v>15013</v>
      </c>
      <c r="Q214" s="1" t="s">
        <v>15014</v>
      </c>
      <c r="R214" s="1" t="s">
        <v>15015</v>
      </c>
      <c r="S214" s="1" t="s">
        <v>15016</v>
      </c>
      <c r="T214" s="1" t="s">
        <v>15017</v>
      </c>
      <c r="U214" s="1" t="s">
        <v>15018</v>
      </c>
      <c r="V214" s="1" t="s">
        <v>1507</v>
      </c>
      <c r="W214" s="1" t="s">
        <v>15019</v>
      </c>
      <c r="X214" s="1" t="s">
        <v>15020</v>
      </c>
      <c r="Y214" s="1" t="s">
        <v>15021</v>
      </c>
      <c r="Z214" s="1" t="s">
        <v>15022</v>
      </c>
      <c r="AA214" s="1" t="s">
        <v>15023</v>
      </c>
      <c r="AB214" s="1" t="s">
        <v>1507</v>
      </c>
      <c r="AC214" s="1" t="s">
        <v>1507</v>
      </c>
      <c r="AD214" s="1" t="s">
        <v>15024</v>
      </c>
      <c r="AE214" s="1" t="s">
        <v>15025</v>
      </c>
      <c r="AF214" s="1" t="s">
        <v>15026</v>
      </c>
      <c r="AG214" s="1" t="s">
        <v>1507</v>
      </c>
      <c r="AH214" s="1">
        <v>26</v>
      </c>
      <c r="AI214" s="1">
        <v>0</v>
      </c>
      <c r="AJ214" s="1">
        <v>0</v>
      </c>
      <c r="AK214" s="1">
        <v>0</v>
      </c>
      <c r="AL214" s="1">
        <v>0</v>
      </c>
      <c r="AM214" s="1" t="s">
        <v>9284</v>
      </c>
      <c r="AN214" s="1" t="s">
        <v>1580</v>
      </c>
      <c r="AO214" s="1" t="s">
        <v>9285</v>
      </c>
      <c r="AP214" s="1" t="s">
        <v>10408</v>
      </c>
      <c r="AQ214" s="1" t="s">
        <v>10409</v>
      </c>
      <c r="AR214" s="1" t="s">
        <v>15027</v>
      </c>
      <c r="AS214" s="1" t="s">
        <v>10411</v>
      </c>
      <c r="AT214" s="1" t="s">
        <v>1507</v>
      </c>
      <c r="AU214" s="1" t="s">
        <v>1507</v>
      </c>
      <c r="AV214" s="1">
        <v>2023</v>
      </c>
      <c r="AW214" s="1">
        <v>379</v>
      </c>
      <c r="AX214" s="1" t="s">
        <v>1507</v>
      </c>
      <c r="AY214" s="1" t="s">
        <v>1507</v>
      </c>
      <c r="AZ214" s="1" t="s">
        <v>1507</v>
      </c>
      <c r="BA214" s="1" t="s">
        <v>1507</v>
      </c>
      <c r="BB214" s="1" t="s">
        <v>1507</v>
      </c>
      <c r="BC214" s="1">
        <v>275</v>
      </c>
      <c r="BD214" s="1">
        <v>280</v>
      </c>
      <c r="BE214" s="1" t="s">
        <v>1507</v>
      </c>
      <c r="BF214" s="1" t="s">
        <v>15028</v>
      </c>
      <c r="BG214" s="1" t="str">
        <f>HYPERLINK("http://dx.doi.org/10.3233/FAIA230974","http://dx.doi.org/10.3233/FAIA230974")</f>
        <v>http://dx.doi.org/10.3233/FAIA230974</v>
      </c>
      <c r="BH214" s="1" t="s">
        <v>1507</v>
      </c>
      <c r="BI214" s="1" t="s">
        <v>1507</v>
      </c>
      <c r="BJ214" s="1">
        <v>6</v>
      </c>
      <c r="BK214" s="1" t="s">
        <v>15029</v>
      </c>
      <c r="BL214" s="1" t="s">
        <v>5695</v>
      </c>
      <c r="BM214" s="1" t="s">
        <v>15030</v>
      </c>
      <c r="BN214" s="1" t="s">
        <v>15031</v>
      </c>
      <c r="BO214" s="1" t="s">
        <v>1507</v>
      </c>
      <c r="BP214" s="1" t="s">
        <v>1537</v>
      </c>
      <c r="BQ214" s="1" t="s">
        <v>1507</v>
      </c>
      <c r="BR214" s="1" t="s">
        <v>1507</v>
      </c>
      <c r="BS214" s="1" t="s">
        <v>13744</v>
      </c>
      <c r="BT214" s="1" t="s">
        <v>15032</v>
      </c>
      <c r="BU214" s="1" t="str">
        <f>HYPERLINK("https%3A%2F%2Fwww.webofscience.com%2Fwos%2Fwoscc%2Ffull-record%2FWOS:001175464100034","View Full Record in Web of Science")</f>
        <v>View Full Record in Web of Science</v>
      </c>
    </row>
    <row r="215" spans="1:73" x14ac:dyDescent="0.25">
      <c r="A215" s="1">
        <v>214</v>
      </c>
      <c r="B215" s="1" t="s">
        <v>1506</v>
      </c>
      <c r="C215" s="1" t="s">
        <v>10831</v>
      </c>
      <c r="D215" s="1" t="s">
        <v>1507</v>
      </c>
      <c r="E215" s="1" t="s">
        <v>1507</v>
      </c>
      <c r="F215" s="1" t="s">
        <v>1507</v>
      </c>
      <c r="G215" s="1" t="s">
        <v>10832</v>
      </c>
      <c r="H215" s="1" t="s">
        <v>1507</v>
      </c>
      <c r="I215" s="1" t="s">
        <v>1507</v>
      </c>
      <c r="J215" s="1" t="s">
        <v>10833</v>
      </c>
      <c r="K215" s="1" t="s">
        <v>10834</v>
      </c>
      <c r="L215" s="1" t="s">
        <v>1507</v>
      </c>
      <c r="M215" s="1" t="s">
        <v>1507</v>
      </c>
      <c r="N215" s="1" t="s">
        <v>42</v>
      </c>
      <c r="O215" s="1" t="s">
        <v>56</v>
      </c>
      <c r="P215" s="1" t="s">
        <v>1507</v>
      </c>
      <c r="Q215" s="1" t="s">
        <v>1507</v>
      </c>
      <c r="R215" s="1" t="s">
        <v>1507</v>
      </c>
      <c r="S215" s="1" t="s">
        <v>1507</v>
      </c>
      <c r="T215" s="1" t="s">
        <v>1507</v>
      </c>
      <c r="U215" s="1" t="s">
        <v>1507</v>
      </c>
      <c r="V215" s="1" t="s">
        <v>10835</v>
      </c>
      <c r="W215" s="1" t="s">
        <v>10836</v>
      </c>
      <c r="X215" s="1" t="s">
        <v>10837</v>
      </c>
      <c r="Y215" s="1" t="s">
        <v>10838</v>
      </c>
      <c r="Z215" s="1" t="s">
        <v>10839</v>
      </c>
      <c r="AA215" s="1" t="s">
        <v>10840</v>
      </c>
      <c r="AB215" s="1" t="s">
        <v>15920</v>
      </c>
      <c r="AC215" s="1" t="s">
        <v>15921</v>
      </c>
      <c r="AD215" s="1" t="s">
        <v>10841</v>
      </c>
      <c r="AE215" s="1" t="s">
        <v>10842</v>
      </c>
      <c r="AF215" s="1" t="s">
        <v>10843</v>
      </c>
      <c r="AG215" s="1" t="s">
        <v>1507</v>
      </c>
      <c r="AH215" s="1">
        <v>53</v>
      </c>
      <c r="AI215" s="1">
        <v>4</v>
      </c>
      <c r="AJ215" s="1">
        <v>5</v>
      </c>
      <c r="AK215" s="1">
        <v>0</v>
      </c>
      <c r="AL215" s="1">
        <v>6</v>
      </c>
      <c r="AM215" s="1" t="s">
        <v>1511</v>
      </c>
      <c r="AN215" s="1" t="s">
        <v>1512</v>
      </c>
      <c r="AO215" s="1" t="s">
        <v>8572</v>
      </c>
      <c r="AP215" s="1" t="s">
        <v>10844</v>
      </c>
      <c r="AQ215" s="1" t="s">
        <v>10845</v>
      </c>
      <c r="AR215" s="1" t="s">
        <v>1507</v>
      </c>
      <c r="AS215" s="1" t="s">
        <v>10846</v>
      </c>
      <c r="AT215" s="1" t="s">
        <v>10847</v>
      </c>
      <c r="AU215" s="1" t="s">
        <v>4556</v>
      </c>
      <c r="AV215" s="1">
        <v>2019</v>
      </c>
      <c r="AW215" s="1">
        <v>138</v>
      </c>
      <c r="AX215" s="1">
        <v>7</v>
      </c>
      <c r="AY215" s="1" t="s">
        <v>1507</v>
      </c>
      <c r="AZ215" s="1" t="s">
        <v>1507</v>
      </c>
      <c r="BA215" s="1" t="s">
        <v>1507</v>
      </c>
      <c r="BB215" s="1" t="s">
        <v>1507</v>
      </c>
      <c r="BC215" s="1">
        <v>739</v>
      </c>
      <c r="BD215" s="1">
        <v>748</v>
      </c>
      <c r="BE215" s="1" t="s">
        <v>1507</v>
      </c>
      <c r="BF215" s="1" t="s">
        <v>10848</v>
      </c>
      <c r="BG215" s="1" t="str">
        <f>HYPERLINK("http://dx.doi.org/10.1007/s00439-019-02024-6","http://dx.doi.org/10.1007/s00439-019-02024-6")</f>
        <v>http://dx.doi.org/10.1007/s00439-019-02024-6</v>
      </c>
      <c r="BH215" s="1" t="s">
        <v>1507</v>
      </c>
      <c r="BI215" s="1" t="s">
        <v>1507</v>
      </c>
      <c r="BJ215" s="1">
        <v>10</v>
      </c>
      <c r="BK215" s="1" t="s">
        <v>10544</v>
      </c>
      <c r="BL215" s="1" t="s">
        <v>1573</v>
      </c>
      <c r="BM215" s="1" t="s">
        <v>10544</v>
      </c>
      <c r="BN215" s="1" t="s">
        <v>10849</v>
      </c>
      <c r="BO215" s="1">
        <v>31154530</v>
      </c>
      <c r="BP215" s="1" t="s">
        <v>1507</v>
      </c>
      <c r="BQ215" s="1" t="s">
        <v>1507</v>
      </c>
      <c r="BR215" s="1" t="s">
        <v>1507</v>
      </c>
      <c r="BS215" s="1" t="s">
        <v>13744</v>
      </c>
      <c r="BT215" s="1" t="s">
        <v>10850</v>
      </c>
      <c r="BU215" s="1" t="str">
        <f>HYPERLINK("https%3A%2F%2Fwww.webofscience.com%2Fwos%2Fwoscc%2Ffull-record%2FWOS:000474370900005","View Full Record in Web of Science")</f>
        <v>View Full Record in Web of Science</v>
      </c>
    </row>
    <row r="216" spans="1:73" x14ac:dyDescent="0.25">
      <c r="A216" s="1">
        <v>215</v>
      </c>
      <c r="B216" s="1" t="s">
        <v>1506</v>
      </c>
      <c r="C216" s="1" t="s">
        <v>3530</v>
      </c>
      <c r="D216" s="1" t="s">
        <v>1507</v>
      </c>
      <c r="E216" s="1" t="s">
        <v>1507</v>
      </c>
      <c r="F216" s="1" t="s">
        <v>1507</v>
      </c>
      <c r="G216" s="1" t="s">
        <v>3531</v>
      </c>
      <c r="H216" s="1" t="s">
        <v>1507</v>
      </c>
      <c r="I216" s="1" t="s">
        <v>1507</v>
      </c>
      <c r="J216" s="1" t="s">
        <v>3532</v>
      </c>
      <c r="K216" s="1" t="s">
        <v>3533</v>
      </c>
      <c r="L216" s="1" t="s">
        <v>1507</v>
      </c>
      <c r="M216" s="1" t="s">
        <v>1507</v>
      </c>
      <c r="N216" s="1" t="s">
        <v>42</v>
      </c>
      <c r="O216" s="1" t="s">
        <v>56</v>
      </c>
      <c r="P216" s="1" t="s">
        <v>1507</v>
      </c>
      <c r="Q216" s="1" t="s">
        <v>1507</v>
      </c>
      <c r="R216" s="1" t="s">
        <v>1507</v>
      </c>
      <c r="S216" s="1" t="s">
        <v>1507</v>
      </c>
      <c r="T216" s="1" t="s">
        <v>1507</v>
      </c>
      <c r="U216" s="1" t="s">
        <v>3534</v>
      </c>
      <c r="V216" s="1" t="s">
        <v>3535</v>
      </c>
      <c r="W216" s="1" t="s">
        <v>3536</v>
      </c>
      <c r="X216" s="1" t="s">
        <v>3537</v>
      </c>
      <c r="Y216" s="1" t="s">
        <v>14389</v>
      </c>
      <c r="Z216" s="1" t="s">
        <v>3538</v>
      </c>
      <c r="AA216" s="1" t="s">
        <v>3539</v>
      </c>
      <c r="AB216" s="1" t="s">
        <v>3540</v>
      </c>
      <c r="AC216" s="1" t="s">
        <v>14390</v>
      </c>
      <c r="AD216" s="1" t="s">
        <v>3541</v>
      </c>
      <c r="AE216" s="1" t="s">
        <v>3542</v>
      </c>
      <c r="AF216" s="1" t="s">
        <v>3543</v>
      </c>
      <c r="AG216" s="1" t="s">
        <v>1507</v>
      </c>
      <c r="AH216" s="1">
        <v>31</v>
      </c>
      <c r="AI216" s="1">
        <v>4</v>
      </c>
      <c r="AJ216" s="1">
        <v>4</v>
      </c>
      <c r="AK216" s="1">
        <v>20</v>
      </c>
      <c r="AL216" s="1">
        <v>20</v>
      </c>
      <c r="AM216" s="1" t="s">
        <v>1610</v>
      </c>
      <c r="AN216" s="1" t="s">
        <v>1611</v>
      </c>
      <c r="AO216" s="1" t="s">
        <v>1612</v>
      </c>
      <c r="AP216" s="1" t="s">
        <v>1507</v>
      </c>
      <c r="AQ216" s="1" t="s">
        <v>3544</v>
      </c>
      <c r="AR216" s="1" t="s">
        <v>1507</v>
      </c>
      <c r="AS216" s="1" t="s">
        <v>3545</v>
      </c>
      <c r="AT216" s="1" t="s">
        <v>3546</v>
      </c>
      <c r="AU216" s="1" t="s">
        <v>2889</v>
      </c>
      <c r="AV216" s="1">
        <v>2023</v>
      </c>
      <c r="AW216" s="1">
        <v>13</v>
      </c>
      <c r="AX216" s="1">
        <v>10</v>
      </c>
      <c r="AY216" s="1" t="s">
        <v>1507</v>
      </c>
      <c r="AZ216" s="1" t="s">
        <v>1507</v>
      </c>
      <c r="BA216" s="1" t="s">
        <v>1507</v>
      </c>
      <c r="BB216" s="1" t="s">
        <v>1507</v>
      </c>
      <c r="BC216" s="1" t="s">
        <v>1507</v>
      </c>
      <c r="BD216" s="1" t="s">
        <v>1507</v>
      </c>
      <c r="BE216" s="1">
        <v>1502</v>
      </c>
      <c r="BF216" s="1" t="s">
        <v>3547</v>
      </c>
      <c r="BG216" s="1" t="str">
        <f>HYPERLINK("http://dx.doi.org/10.3390/jpm13101502","http://dx.doi.org/10.3390/jpm13101502")</f>
        <v>http://dx.doi.org/10.3390/jpm13101502</v>
      </c>
      <c r="BH216" s="1" t="s">
        <v>1507</v>
      </c>
      <c r="BI216" s="1" t="s">
        <v>1507</v>
      </c>
      <c r="BJ216" s="1">
        <v>15</v>
      </c>
      <c r="BK216" s="1" t="s">
        <v>3548</v>
      </c>
      <c r="BL216" s="1" t="s">
        <v>1573</v>
      </c>
      <c r="BM216" s="1" t="s">
        <v>3549</v>
      </c>
      <c r="BN216" s="1" t="s">
        <v>3550</v>
      </c>
      <c r="BO216" s="1">
        <v>37888113</v>
      </c>
      <c r="BP216" s="1" t="s">
        <v>1952</v>
      </c>
      <c r="BQ216" s="1" t="s">
        <v>1507</v>
      </c>
      <c r="BR216" s="1" t="s">
        <v>1507</v>
      </c>
      <c r="BS216" s="1" t="s">
        <v>13744</v>
      </c>
      <c r="BT216" s="1" t="s">
        <v>3551</v>
      </c>
      <c r="BU216" s="1" t="str">
        <f>HYPERLINK("https%3A%2F%2Fwww.webofscience.com%2Fwos%2Fwoscc%2Ffull-record%2FWOS:001090005600001","View Full Record in Web of Science")</f>
        <v>View Full Record in Web of Science</v>
      </c>
    </row>
    <row r="217" spans="1:73" x14ac:dyDescent="0.25">
      <c r="A217" s="1">
        <v>216</v>
      </c>
      <c r="B217" s="1" t="s">
        <v>1506</v>
      </c>
      <c r="C217" s="1" t="s">
        <v>7560</v>
      </c>
      <c r="D217" s="1" t="s">
        <v>1507</v>
      </c>
      <c r="E217" s="1" t="s">
        <v>1507</v>
      </c>
      <c r="F217" s="1" t="s">
        <v>1507</v>
      </c>
      <c r="G217" s="1" t="s">
        <v>7561</v>
      </c>
      <c r="H217" s="1" t="s">
        <v>1507</v>
      </c>
      <c r="I217" s="1" t="s">
        <v>1507</v>
      </c>
      <c r="J217" s="1" t="s">
        <v>7562</v>
      </c>
      <c r="K217" s="1" t="s">
        <v>7563</v>
      </c>
      <c r="L217" s="1" t="s">
        <v>1507</v>
      </c>
      <c r="M217" s="1" t="s">
        <v>1507</v>
      </c>
      <c r="N217" s="1" t="s">
        <v>42</v>
      </c>
      <c r="O217" s="1" t="s">
        <v>56</v>
      </c>
      <c r="P217" s="1" t="s">
        <v>1507</v>
      </c>
      <c r="Q217" s="1" t="s">
        <v>1507</v>
      </c>
      <c r="R217" s="1" t="s">
        <v>1507</v>
      </c>
      <c r="S217" s="1" t="s">
        <v>1507</v>
      </c>
      <c r="T217" s="1" t="s">
        <v>1507</v>
      </c>
      <c r="U217" s="1" t="s">
        <v>1507</v>
      </c>
      <c r="V217" s="1" t="s">
        <v>7564</v>
      </c>
      <c r="W217" s="1" t="s">
        <v>7565</v>
      </c>
      <c r="X217" s="1" t="s">
        <v>7566</v>
      </c>
      <c r="Y217" s="1" t="s">
        <v>7146</v>
      </c>
      <c r="Z217" s="1" t="s">
        <v>7567</v>
      </c>
      <c r="AA217" s="1" t="s">
        <v>7568</v>
      </c>
      <c r="AB217" s="1" t="s">
        <v>15659</v>
      </c>
      <c r="AC217" s="1" t="s">
        <v>15660</v>
      </c>
      <c r="AD217" s="1" t="s">
        <v>7569</v>
      </c>
      <c r="AE217" s="1" t="s">
        <v>7570</v>
      </c>
      <c r="AF217" s="1" t="s">
        <v>7571</v>
      </c>
      <c r="AG217" s="1" t="s">
        <v>1507</v>
      </c>
      <c r="AH217" s="1">
        <v>63</v>
      </c>
      <c r="AI217" s="1">
        <v>15</v>
      </c>
      <c r="AJ217" s="1">
        <v>15</v>
      </c>
      <c r="AK217" s="1">
        <v>2</v>
      </c>
      <c r="AL217" s="1">
        <v>9</v>
      </c>
      <c r="AM217" s="1" t="s">
        <v>1591</v>
      </c>
      <c r="AN217" s="1" t="s">
        <v>1592</v>
      </c>
      <c r="AO217" s="1" t="s">
        <v>1593</v>
      </c>
      <c r="AP217" s="1" t="s">
        <v>1507</v>
      </c>
      <c r="AQ217" s="1" t="s">
        <v>7572</v>
      </c>
      <c r="AR217" s="1" t="s">
        <v>1507</v>
      </c>
      <c r="AS217" s="1" t="s">
        <v>7573</v>
      </c>
      <c r="AT217" s="1" t="s">
        <v>7574</v>
      </c>
      <c r="AU217" s="1" t="s">
        <v>7575</v>
      </c>
      <c r="AV217" s="1">
        <v>2022</v>
      </c>
      <c r="AW217" s="1">
        <v>13</v>
      </c>
      <c r="AX217" s="1">
        <v>1</v>
      </c>
      <c r="AY217" s="1" t="s">
        <v>1507</v>
      </c>
      <c r="AZ217" s="1" t="s">
        <v>1507</v>
      </c>
      <c r="BA217" s="1" t="s">
        <v>1507</v>
      </c>
      <c r="BB217" s="1" t="s">
        <v>1507</v>
      </c>
      <c r="BC217" s="1" t="s">
        <v>1507</v>
      </c>
      <c r="BD217" s="1" t="s">
        <v>1507</v>
      </c>
      <c r="BE217" s="1">
        <v>736</v>
      </c>
      <c r="BF217" s="1" t="s">
        <v>7576</v>
      </c>
      <c r="BG217" s="1" t="str">
        <f>HYPERLINK("http://dx.doi.org/10.1038/s41467-022-28420-7","http://dx.doi.org/10.1038/s41467-022-28420-7")</f>
        <v>http://dx.doi.org/10.1038/s41467-022-28420-7</v>
      </c>
      <c r="BH217" s="1" t="s">
        <v>1507</v>
      </c>
      <c r="BI217" s="1" t="s">
        <v>1507</v>
      </c>
      <c r="BJ217" s="1">
        <v>10</v>
      </c>
      <c r="BK217" s="1" t="s">
        <v>1776</v>
      </c>
      <c r="BL217" s="1" t="s">
        <v>1573</v>
      </c>
      <c r="BM217" s="1" t="s">
        <v>1777</v>
      </c>
      <c r="BN217" s="1" t="s">
        <v>7577</v>
      </c>
      <c r="BO217" s="1">
        <v>35136039</v>
      </c>
      <c r="BP217" s="1" t="s">
        <v>1674</v>
      </c>
      <c r="BQ217" s="1" t="s">
        <v>1507</v>
      </c>
      <c r="BR217" s="1" t="s">
        <v>1507</v>
      </c>
      <c r="BS217" s="1" t="s">
        <v>13744</v>
      </c>
      <c r="BT217" s="1" t="s">
        <v>7578</v>
      </c>
      <c r="BU217" s="1" t="str">
        <f>HYPERLINK("https%3A%2F%2Fwww.webofscience.com%2Fwos%2Fwoscc%2Ffull-record%2FWOS:000757297200002","View Full Record in Web of Science")</f>
        <v>View Full Record in Web of Science</v>
      </c>
    </row>
    <row r="218" spans="1:73" x14ac:dyDescent="0.25">
      <c r="A218" s="1">
        <v>217</v>
      </c>
      <c r="B218" s="1" t="s">
        <v>1506</v>
      </c>
      <c r="C218" s="1" t="s">
        <v>3995</v>
      </c>
      <c r="D218" s="1" t="s">
        <v>1507</v>
      </c>
      <c r="E218" s="1" t="s">
        <v>1507</v>
      </c>
      <c r="F218" s="1" t="s">
        <v>1507</v>
      </c>
      <c r="G218" s="1" t="s">
        <v>3996</v>
      </c>
      <c r="H218" s="1" t="s">
        <v>1507</v>
      </c>
      <c r="I218" s="1" t="s">
        <v>1507</v>
      </c>
      <c r="J218" s="1" t="s">
        <v>3997</v>
      </c>
      <c r="K218" s="1" t="s">
        <v>3998</v>
      </c>
      <c r="L218" s="1" t="s">
        <v>1507</v>
      </c>
      <c r="M218" s="1" t="s">
        <v>1507</v>
      </c>
      <c r="N218" s="1" t="s">
        <v>42</v>
      </c>
      <c r="O218" s="1" t="s">
        <v>56</v>
      </c>
      <c r="P218" s="1" t="s">
        <v>1507</v>
      </c>
      <c r="Q218" s="1" t="s">
        <v>1507</v>
      </c>
      <c r="R218" s="1" t="s">
        <v>1507</v>
      </c>
      <c r="S218" s="1" t="s">
        <v>1507</v>
      </c>
      <c r="T218" s="1" t="s">
        <v>1507</v>
      </c>
      <c r="U218" s="1" t="s">
        <v>3999</v>
      </c>
      <c r="V218" s="1" t="s">
        <v>1507</v>
      </c>
      <c r="W218" s="1" t="s">
        <v>4000</v>
      </c>
      <c r="X218" s="1" t="s">
        <v>4001</v>
      </c>
      <c r="Y218" s="1" t="s">
        <v>4002</v>
      </c>
      <c r="Z218" s="1" t="s">
        <v>4003</v>
      </c>
      <c r="AA218" s="1" t="s">
        <v>4004</v>
      </c>
      <c r="AB218" s="1" t="s">
        <v>14542</v>
      </c>
      <c r="AC218" s="1" t="s">
        <v>14543</v>
      </c>
      <c r="AD218" s="1" t="s">
        <v>4005</v>
      </c>
      <c r="AE218" s="1" t="s">
        <v>4006</v>
      </c>
      <c r="AF218" s="1" t="s">
        <v>4007</v>
      </c>
      <c r="AG218" s="1" t="s">
        <v>1507</v>
      </c>
      <c r="AH218" s="1">
        <v>33</v>
      </c>
      <c r="AI218" s="1">
        <v>4</v>
      </c>
      <c r="AJ218" s="1">
        <v>4</v>
      </c>
      <c r="AK218" s="1">
        <v>59</v>
      </c>
      <c r="AL218" s="1">
        <v>59</v>
      </c>
      <c r="AM218" s="1" t="s">
        <v>4008</v>
      </c>
      <c r="AN218" s="1" t="s">
        <v>4009</v>
      </c>
      <c r="AO218" s="1" t="s">
        <v>4010</v>
      </c>
      <c r="AP218" s="1" t="s">
        <v>4011</v>
      </c>
      <c r="AQ218" s="1" t="s">
        <v>1507</v>
      </c>
      <c r="AR218" s="1" t="s">
        <v>1507</v>
      </c>
      <c r="AS218" s="1" t="s">
        <v>4012</v>
      </c>
      <c r="AT218" s="1" t="s">
        <v>4013</v>
      </c>
      <c r="AU218" s="1" t="s">
        <v>3992</v>
      </c>
      <c r="AV218" s="1">
        <v>2023</v>
      </c>
      <c r="AW218" s="1">
        <v>17</v>
      </c>
      <c r="AX218" s="1">
        <v>9</v>
      </c>
      <c r="AY218" s="1" t="s">
        <v>1507</v>
      </c>
      <c r="AZ218" s="1" t="s">
        <v>1507</v>
      </c>
      <c r="BA218" s="1" t="s">
        <v>1507</v>
      </c>
      <c r="BB218" s="1" t="s">
        <v>1507</v>
      </c>
      <c r="BC218" s="1">
        <v>1292</v>
      </c>
      <c r="BD218" s="1">
        <v>1299</v>
      </c>
      <c r="BE218" s="1" t="s">
        <v>1507</v>
      </c>
      <c r="BF218" s="1" t="s">
        <v>4014</v>
      </c>
      <c r="BG218" s="1" t="str">
        <f>HYPERLINK("http://dx.doi.org/10.3855/jidc.18738","http://dx.doi.org/10.3855/jidc.18738")</f>
        <v>http://dx.doi.org/10.3855/jidc.18738</v>
      </c>
      <c r="BH218" s="1" t="s">
        <v>1507</v>
      </c>
      <c r="BI218" s="1" t="s">
        <v>1507</v>
      </c>
      <c r="BJ218" s="1">
        <v>8</v>
      </c>
      <c r="BK218" s="1" t="s">
        <v>4015</v>
      </c>
      <c r="BL218" s="1" t="s">
        <v>1573</v>
      </c>
      <c r="BM218" s="1" t="s">
        <v>4015</v>
      </c>
      <c r="BN218" s="1" t="s">
        <v>4016</v>
      </c>
      <c r="BO218" s="1">
        <v>37824352</v>
      </c>
      <c r="BP218" s="1" t="s">
        <v>1531</v>
      </c>
      <c r="BQ218" s="1" t="s">
        <v>1507</v>
      </c>
      <c r="BR218" s="1" t="s">
        <v>1507</v>
      </c>
      <c r="BS218" s="1" t="s">
        <v>13744</v>
      </c>
      <c r="BT218" s="1" t="s">
        <v>4017</v>
      </c>
      <c r="BU218" s="1" t="str">
        <f>HYPERLINK("https%3A%2F%2Fwww.webofscience.com%2Fwos%2Fwoscc%2Ffull-record%2FWOS:001108706100020","View Full Record in Web of Science")</f>
        <v>View Full Record in Web of Science</v>
      </c>
    </row>
    <row r="219" spans="1:73" x14ac:dyDescent="0.25">
      <c r="A219" s="1">
        <v>218</v>
      </c>
      <c r="B219" s="1" t="s">
        <v>1506</v>
      </c>
      <c r="C219" s="1" t="s">
        <v>2520</v>
      </c>
      <c r="D219" s="1" t="s">
        <v>1507</v>
      </c>
      <c r="E219" s="1" t="s">
        <v>1507</v>
      </c>
      <c r="F219" s="1" t="s">
        <v>1507</v>
      </c>
      <c r="G219" s="1" t="s">
        <v>2521</v>
      </c>
      <c r="H219" s="1" t="s">
        <v>1507</v>
      </c>
      <c r="I219" s="1" t="s">
        <v>1507</v>
      </c>
      <c r="J219" s="1" t="s">
        <v>2522</v>
      </c>
      <c r="K219" s="1" t="s">
        <v>2523</v>
      </c>
      <c r="L219" s="1" t="s">
        <v>1507</v>
      </c>
      <c r="M219" s="1" t="s">
        <v>1507</v>
      </c>
      <c r="N219" s="1" t="s">
        <v>42</v>
      </c>
      <c r="O219" s="1" t="s">
        <v>56</v>
      </c>
      <c r="P219" s="1" t="s">
        <v>1507</v>
      </c>
      <c r="Q219" s="1" t="s">
        <v>1507</v>
      </c>
      <c r="R219" s="1" t="s">
        <v>1507</v>
      </c>
      <c r="S219" s="1" t="s">
        <v>1507</v>
      </c>
      <c r="T219" s="1" t="s">
        <v>1507</v>
      </c>
      <c r="U219" s="1" t="s">
        <v>1507</v>
      </c>
      <c r="V219" s="1" t="s">
        <v>2524</v>
      </c>
      <c r="W219" s="1" t="s">
        <v>2525</v>
      </c>
      <c r="X219" s="1" t="s">
        <v>2526</v>
      </c>
      <c r="Y219" s="1" t="s">
        <v>2527</v>
      </c>
      <c r="Z219" s="1" t="s">
        <v>2528</v>
      </c>
      <c r="AA219" s="1" t="s">
        <v>2368</v>
      </c>
      <c r="AB219" s="1" t="s">
        <v>13943</v>
      </c>
      <c r="AC219" s="1" t="s">
        <v>2369</v>
      </c>
      <c r="AD219" s="1" t="s">
        <v>2529</v>
      </c>
      <c r="AE219" s="1" t="s">
        <v>2529</v>
      </c>
      <c r="AF219" s="1" t="s">
        <v>2530</v>
      </c>
      <c r="AG219" s="1" t="s">
        <v>1507</v>
      </c>
      <c r="AH219" s="1">
        <v>51</v>
      </c>
      <c r="AI219" s="1">
        <v>3</v>
      </c>
      <c r="AJ219" s="1">
        <v>3</v>
      </c>
      <c r="AK219" s="1">
        <v>3</v>
      </c>
      <c r="AL219" s="1">
        <v>3</v>
      </c>
      <c r="AM219" s="1" t="s">
        <v>2372</v>
      </c>
      <c r="AN219" s="1" t="s">
        <v>2300</v>
      </c>
      <c r="AO219" s="1" t="s">
        <v>2373</v>
      </c>
      <c r="AP219" s="1" t="s">
        <v>2531</v>
      </c>
      <c r="AQ219" s="1" t="s">
        <v>1507</v>
      </c>
      <c r="AR219" s="1" t="s">
        <v>1507</v>
      </c>
      <c r="AS219" s="1" t="s">
        <v>2532</v>
      </c>
      <c r="AT219" s="1" t="s">
        <v>2533</v>
      </c>
      <c r="AU219" s="1" t="s">
        <v>2514</v>
      </c>
      <c r="AV219" s="1">
        <v>2023</v>
      </c>
      <c r="AW219" s="1">
        <v>14</v>
      </c>
      <c r="AX219" s="1">
        <v>46</v>
      </c>
      <c r="AY219" s="1" t="s">
        <v>1507</v>
      </c>
      <c r="AZ219" s="1" t="s">
        <v>1507</v>
      </c>
      <c r="BA219" s="1" t="s">
        <v>1507</v>
      </c>
      <c r="BB219" s="1" t="s">
        <v>1507</v>
      </c>
      <c r="BC219" s="1">
        <v>10427</v>
      </c>
      <c r="BD219" s="1">
        <v>10434</v>
      </c>
      <c r="BE219" s="1" t="s">
        <v>1507</v>
      </c>
      <c r="BF219" s="1" t="s">
        <v>2534</v>
      </c>
      <c r="BG219" s="1" t="str">
        <f>HYPERLINK("http://dx.doi.org/10.1021/acs.jpclett.3c02398","http://dx.doi.org/10.1021/acs.jpclett.3c02398")</f>
        <v>http://dx.doi.org/10.1021/acs.jpclett.3c02398</v>
      </c>
      <c r="BH219" s="1" t="s">
        <v>1507</v>
      </c>
      <c r="BI219" s="1" t="s">
        <v>1507</v>
      </c>
      <c r="BJ219" s="1">
        <v>8</v>
      </c>
      <c r="BK219" s="1" t="s">
        <v>2535</v>
      </c>
      <c r="BL219" s="1" t="s">
        <v>1573</v>
      </c>
      <c r="BM219" s="1" t="s">
        <v>2536</v>
      </c>
      <c r="BN219" s="1" t="s">
        <v>2537</v>
      </c>
      <c r="BO219" s="1">
        <v>37956397</v>
      </c>
      <c r="BP219" s="1" t="s">
        <v>12093</v>
      </c>
      <c r="BQ219" s="1" t="s">
        <v>1507</v>
      </c>
      <c r="BR219" s="1" t="s">
        <v>1507</v>
      </c>
      <c r="BS219" s="1" t="s">
        <v>13744</v>
      </c>
      <c r="BT219" s="1" t="s">
        <v>2538</v>
      </c>
      <c r="BU219" s="1" t="str">
        <f>HYPERLINK("https%3A%2F%2Fwww.webofscience.com%2Fwos%2Fwoscc%2Ffull-record%2FWOS:001141601000001","View Full Record in Web of Science")</f>
        <v>View Full Record in Web of Science</v>
      </c>
    </row>
    <row r="220" spans="1:73" x14ac:dyDescent="0.25">
      <c r="A220" s="1">
        <v>219</v>
      </c>
      <c r="B220" s="1" t="s">
        <v>5546</v>
      </c>
      <c r="C220" s="1" t="s">
        <v>5902</v>
      </c>
      <c r="D220" s="1" t="s">
        <v>1507</v>
      </c>
      <c r="E220" s="1" t="s">
        <v>1507</v>
      </c>
      <c r="F220" s="1" t="s">
        <v>5628</v>
      </c>
      <c r="G220" s="1" t="s">
        <v>5903</v>
      </c>
      <c r="H220" s="1" t="s">
        <v>1507</v>
      </c>
      <c r="I220" s="1" t="s">
        <v>1507</v>
      </c>
      <c r="J220" s="1" t="s">
        <v>5904</v>
      </c>
      <c r="K220" s="1" t="s">
        <v>5905</v>
      </c>
      <c r="L220" s="1" t="s">
        <v>5906</v>
      </c>
      <c r="M220" s="1" t="s">
        <v>1507</v>
      </c>
      <c r="N220" s="1" t="s">
        <v>42</v>
      </c>
      <c r="O220" s="1" t="s">
        <v>5552</v>
      </c>
      <c r="P220" s="1" t="s">
        <v>5907</v>
      </c>
      <c r="Q220" s="1" t="s">
        <v>5908</v>
      </c>
      <c r="R220" s="1" t="s">
        <v>5909</v>
      </c>
      <c r="S220" s="1" t="s">
        <v>5910</v>
      </c>
      <c r="T220" s="1" t="s">
        <v>1507</v>
      </c>
      <c r="U220" s="1" t="s">
        <v>1507</v>
      </c>
      <c r="V220" s="1" t="s">
        <v>1507</v>
      </c>
      <c r="W220" s="1" t="s">
        <v>5911</v>
      </c>
      <c r="X220" s="1" t="s">
        <v>5912</v>
      </c>
      <c r="Y220" s="1" t="s">
        <v>5913</v>
      </c>
      <c r="Z220" s="1" t="s">
        <v>5914</v>
      </c>
      <c r="AA220" s="1" t="s">
        <v>5915</v>
      </c>
      <c r="AB220" s="1" t="s">
        <v>15033</v>
      </c>
      <c r="AC220" s="1" t="s">
        <v>15034</v>
      </c>
      <c r="AD220" s="1" t="s">
        <v>5916</v>
      </c>
      <c r="AE220" s="1" t="s">
        <v>5917</v>
      </c>
      <c r="AF220" s="1" t="s">
        <v>5918</v>
      </c>
      <c r="AG220" s="1" t="s">
        <v>1507</v>
      </c>
      <c r="AH220" s="1">
        <v>67</v>
      </c>
      <c r="AI220" s="1">
        <v>6</v>
      </c>
      <c r="AJ220" s="1">
        <v>6</v>
      </c>
      <c r="AK220" s="1">
        <v>12</v>
      </c>
      <c r="AL220" s="1">
        <v>12</v>
      </c>
      <c r="AM220" s="1" t="s">
        <v>5645</v>
      </c>
      <c r="AN220" s="1" t="s">
        <v>5646</v>
      </c>
      <c r="AO220" s="1" t="s">
        <v>5647</v>
      </c>
      <c r="AP220" s="1" t="s">
        <v>5919</v>
      </c>
      <c r="AQ220" s="1" t="s">
        <v>1507</v>
      </c>
      <c r="AR220" s="1" t="s">
        <v>5920</v>
      </c>
      <c r="AS220" s="1" t="s">
        <v>5921</v>
      </c>
      <c r="AT220" s="1" t="s">
        <v>1507</v>
      </c>
      <c r="AU220" s="1" t="s">
        <v>1507</v>
      </c>
      <c r="AV220" s="1">
        <v>2023</v>
      </c>
      <c r="AW220" s="1" t="s">
        <v>1507</v>
      </c>
      <c r="AX220" s="1" t="s">
        <v>1507</v>
      </c>
      <c r="AY220" s="1" t="s">
        <v>1507</v>
      </c>
      <c r="AZ220" s="1" t="s">
        <v>1507</v>
      </c>
      <c r="BA220" s="1" t="s">
        <v>1507</v>
      </c>
      <c r="BB220" s="1" t="s">
        <v>1507</v>
      </c>
      <c r="BC220" s="1">
        <v>10867</v>
      </c>
      <c r="BD220" s="1">
        <v>10877</v>
      </c>
      <c r="BE220" s="1" t="s">
        <v>1507</v>
      </c>
      <c r="BF220" s="1" t="s">
        <v>5922</v>
      </c>
      <c r="BG220" s="1" t="str">
        <f>HYPERLINK("http://dx.doi.org/10.1109/CVPR52729.2023.01046","http://dx.doi.org/10.1109/CVPR52729.2023.01046")</f>
        <v>http://dx.doi.org/10.1109/CVPR52729.2023.01046</v>
      </c>
      <c r="BH220" s="1" t="s">
        <v>1507</v>
      </c>
      <c r="BI220" s="1" t="s">
        <v>1507</v>
      </c>
      <c r="BJ220" s="1">
        <v>11</v>
      </c>
      <c r="BK220" s="1" t="s">
        <v>2994</v>
      </c>
      <c r="BL220" s="1" t="s">
        <v>5570</v>
      </c>
      <c r="BM220" s="1" t="s">
        <v>1577</v>
      </c>
      <c r="BN220" s="1" t="s">
        <v>5923</v>
      </c>
      <c r="BO220" s="1" t="s">
        <v>1507</v>
      </c>
      <c r="BP220" s="1" t="s">
        <v>1507</v>
      </c>
      <c r="BQ220" s="1" t="s">
        <v>1507</v>
      </c>
      <c r="BR220" s="1" t="s">
        <v>1507</v>
      </c>
      <c r="BS220" s="1" t="s">
        <v>13744</v>
      </c>
      <c r="BT220" s="1" t="s">
        <v>5924</v>
      </c>
      <c r="BU220" s="1" t="str">
        <f>HYPERLINK("https%3A%2F%2Fwww.webofscience.com%2Fwos%2Fwoscc%2Ffull-record%2FWOS:001062522103017","View Full Record in Web of Science")</f>
        <v>View Full Record in Web of Science</v>
      </c>
    </row>
    <row r="221" spans="1:73" x14ac:dyDescent="0.25">
      <c r="A221" s="1">
        <v>220</v>
      </c>
      <c r="B221" s="1" t="s">
        <v>1506</v>
      </c>
      <c r="C221" s="1" t="s">
        <v>2457</v>
      </c>
      <c r="D221" s="1" t="s">
        <v>1507</v>
      </c>
      <c r="E221" s="1" t="s">
        <v>1507</v>
      </c>
      <c r="F221" s="1" t="s">
        <v>1507</v>
      </c>
      <c r="G221" s="1" t="s">
        <v>2458</v>
      </c>
      <c r="H221" s="1" t="s">
        <v>1507</v>
      </c>
      <c r="I221" s="1" t="s">
        <v>1507</v>
      </c>
      <c r="J221" s="1" t="s">
        <v>293</v>
      </c>
      <c r="K221" s="1" t="s">
        <v>2459</v>
      </c>
      <c r="L221" s="1" t="s">
        <v>1507</v>
      </c>
      <c r="M221" s="1" t="s">
        <v>1507</v>
      </c>
      <c r="N221" s="1" t="s">
        <v>42</v>
      </c>
      <c r="O221" s="1" t="s">
        <v>56</v>
      </c>
      <c r="P221" s="1" t="s">
        <v>1507</v>
      </c>
      <c r="Q221" s="1" t="s">
        <v>1507</v>
      </c>
      <c r="R221" s="1" t="s">
        <v>1507</v>
      </c>
      <c r="S221" s="1" t="s">
        <v>1507</v>
      </c>
      <c r="T221" s="1" t="s">
        <v>1507</v>
      </c>
      <c r="U221" s="1" t="s">
        <v>2460</v>
      </c>
      <c r="V221" s="1" t="s">
        <v>2461</v>
      </c>
      <c r="W221" s="1" t="s">
        <v>2462</v>
      </c>
      <c r="X221" s="1" t="s">
        <v>2463</v>
      </c>
      <c r="Y221" s="1" t="s">
        <v>2464</v>
      </c>
      <c r="Z221" s="1" t="s">
        <v>2465</v>
      </c>
      <c r="AA221" s="1" t="s">
        <v>2466</v>
      </c>
      <c r="AB221" s="1" t="s">
        <v>1507</v>
      </c>
      <c r="AC221" s="1" t="s">
        <v>2467</v>
      </c>
      <c r="AD221" s="1" t="s">
        <v>1507</v>
      </c>
      <c r="AE221" s="1" t="s">
        <v>1507</v>
      </c>
      <c r="AF221" s="1" t="s">
        <v>1507</v>
      </c>
      <c r="AG221" s="1" t="s">
        <v>1507</v>
      </c>
      <c r="AH221" s="1">
        <v>41</v>
      </c>
      <c r="AI221" s="1">
        <v>3</v>
      </c>
      <c r="AJ221" s="1">
        <v>3</v>
      </c>
      <c r="AK221" s="1">
        <v>70</v>
      </c>
      <c r="AL221" s="1">
        <v>70</v>
      </c>
      <c r="AM221" s="1" t="s">
        <v>2372</v>
      </c>
      <c r="AN221" s="1" t="s">
        <v>2300</v>
      </c>
      <c r="AO221" s="1" t="s">
        <v>2373</v>
      </c>
      <c r="AP221" s="1" t="s">
        <v>2468</v>
      </c>
      <c r="AQ221" s="1" t="s">
        <v>2469</v>
      </c>
      <c r="AR221" s="1" t="s">
        <v>1507</v>
      </c>
      <c r="AS221" s="1" t="s">
        <v>2470</v>
      </c>
      <c r="AT221" s="1" t="s">
        <v>2471</v>
      </c>
      <c r="AU221" s="1" t="s">
        <v>2472</v>
      </c>
      <c r="AV221" s="1">
        <v>2023</v>
      </c>
      <c r="AW221" s="1">
        <v>100</v>
      </c>
      <c r="AX221" s="1">
        <v>12</v>
      </c>
      <c r="AY221" s="1" t="s">
        <v>1507</v>
      </c>
      <c r="AZ221" s="1" t="s">
        <v>1507</v>
      </c>
      <c r="BA221" s="1" t="s">
        <v>1507</v>
      </c>
      <c r="BB221" s="1" t="s">
        <v>1507</v>
      </c>
      <c r="BC221" s="1">
        <v>4876</v>
      </c>
      <c r="BD221" s="1">
        <v>4883</v>
      </c>
      <c r="BE221" s="1" t="s">
        <v>1507</v>
      </c>
      <c r="BF221" s="1" t="s">
        <v>295</v>
      </c>
      <c r="BG221" s="1" t="str">
        <f>HYPERLINK("http://dx.doi.org/10.1021/acs.jchemed.3c00505","http://dx.doi.org/10.1021/acs.jchemed.3c00505")</f>
        <v>http://dx.doi.org/10.1021/acs.jchemed.3c00505</v>
      </c>
      <c r="BH221" s="1" t="s">
        <v>1507</v>
      </c>
      <c r="BI221" s="1" t="s">
        <v>1507</v>
      </c>
      <c r="BJ221" s="1">
        <v>8</v>
      </c>
      <c r="BK221" s="1" t="s">
        <v>2473</v>
      </c>
      <c r="BL221" s="1" t="s">
        <v>1573</v>
      </c>
      <c r="BM221" s="1" t="s">
        <v>2474</v>
      </c>
      <c r="BN221" s="1" t="s">
        <v>2475</v>
      </c>
      <c r="BO221" s="1" t="s">
        <v>1507</v>
      </c>
      <c r="BP221" s="1" t="s">
        <v>1537</v>
      </c>
      <c r="BQ221" s="1" t="s">
        <v>1507</v>
      </c>
      <c r="BR221" s="1" t="s">
        <v>1507</v>
      </c>
      <c r="BS221" s="1" t="s">
        <v>13744</v>
      </c>
      <c r="BT221" s="1" t="s">
        <v>2476</v>
      </c>
      <c r="BU221" s="1" t="str">
        <f>HYPERLINK("https%3A%2F%2Fwww.webofscience.com%2Fwos%2Fwoscc%2Ffull-record%2FWOS:001125210200001","View Full Record in Web of Science")</f>
        <v>View Full Record in Web of Science</v>
      </c>
    </row>
    <row r="222" spans="1:73" x14ac:dyDescent="0.25">
      <c r="A222" s="1">
        <v>221</v>
      </c>
      <c r="B222" s="1" t="s">
        <v>1506</v>
      </c>
      <c r="C222" s="1" t="s">
        <v>9637</v>
      </c>
      <c r="D222" s="1" t="s">
        <v>1507</v>
      </c>
      <c r="E222" s="1" t="s">
        <v>1507</v>
      </c>
      <c r="F222" s="1" t="s">
        <v>1507</v>
      </c>
      <c r="G222" s="1" t="s">
        <v>9638</v>
      </c>
      <c r="H222" s="1" t="s">
        <v>1507</v>
      </c>
      <c r="I222" s="1" t="s">
        <v>1507</v>
      </c>
      <c r="J222" s="1" t="s">
        <v>9639</v>
      </c>
      <c r="K222" s="1" t="s">
        <v>9640</v>
      </c>
      <c r="L222" s="1" t="s">
        <v>1507</v>
      </c>
      <c r="M222" s="1" t="s">
        <v>1507</v>
      </c>
      <c r="N222" s="1" t="s">
        <v>42</v>
      </c>
      <c r="O222" s="1" t="s">
        <v>56</v>
      </c>
      <c r="P222" s="1" t="s">
        <v>1507</v>
      </c>
      <c r="Q222" s="1" t="s">
        <v>1507</v>
      </c>
      <c r="R222" s="1" t="s">
        <v>1507</v>
      </c>
      <c r="S222" s="1" t="s">
        <v>1507</v>
      </c>
      <c r="T222" s="1" t="s">
        <v>1507</v>
      </c>
      <c r="U222" s="1" t="s">
        <v>1507</v>
      </c>
      <c r="V222" s="1" t="s">
        <v>1507</v>
      </c>
      <c r="W222" s="1" t="s">
        <v>9641</v>
      </c>
      <c r="X222" s="1" t="s">
        <v>9642</v>
      </c>
      <c r="Y222" s="1" t="s">
        <v>15798</v>
      </c>
      <c r="Z222" s="1" t="s">
        <v>9643</v>
      </c>
      <c r="AA222" s="1" t="s">
        <v>9644</v>
      </c>
      <c r="AB222" s="1" t="s">
        <v>15799</v>
      </c>
      <c r="AC222" s="1" t="s">
        <v>15800</v>
      </c>
      <c r="AD222" s="1" t="s">
        <v>9645</v>
      </c>
      <c r="AE222" s="1" t="s">
        <v>9646</v>
      </c>
      <c r="AF222" s="1" t="s">
        <v>9647</v>
      </c>
      <c r="AG222" s="1" t="s">
        <v>1507</v>
      </c>
      <c r="AH222" s="1">
        <v>28</v>
      </c>
      <c r="AI222" s="1">
        <v>161</v>
      </c>
      <c r="AJ222" s="1">
        <v>174</v>
      </c>
      <c r="AK222" s="1">
        <v>0</v>
      </c>
      <c r="AL222" s="1">
        <v>15</v>
      </c>
      <c r="AM222" s="1" t="s">
        <v>1591</v>
      </c>
      <c r="AN222" s="1" t="s">
        <v>1592</v>
      </c>
      <c r="AO222" s="1" t="s">
        <v>1593</v>
      </c>
      <c r="AP222" s="1" t="s">
        <v>9648</v>
      </c>
      <c r="AQ222" s="1" t="s">
        <v>9649</v>
      </c>
      <c r="AR222" s="1" t="s">
        <v>1507</v>
      </c>
      <c r="AS222" s="1" t="s">
        <v>9650</v>
      </c>
      <c r="AT222" s="1" t="s">
        <v>9651</v>
      </c>
      <c r="AU222" s="1" t="s">
        <v>2889</v>
      </c>
      <c r="AV222" s="1">
        <v>2020</v>
      </c>
      <c r="AW222" s="1">
        <v>21</v>
      </c>
      <c r="AX222" s="1">
        <v>10</v>
      </c>
      <c r="AY222" s="1" t="s">
        <v>1507</v>
      </c>
      <c r="AZ222" s="1" t="s">
        <v>1507</v>
      </c>
      <c r="BA222" s="1" t="s">
        <v>1507</v>
      </c>
      <c r="BB222" s="1" t="s">
        <v>1507</v>
      </c>
      <c r="BC222" s="1">
        <v>1293</v>
      </c>
      <c r="BD222" s="1" t="s">
        <v>1774</v>
      </c>
      <c r="BE222" s="1" t="s">
        <v>1507</v>
      </c>
      <c r="BF222" s="1" t="s">
        <v>9652</v>
      </c>
      <c r="BG222" s="1" t="str">
        <f>HYPERLINK("http://dx.doi.org/10.1038/s41590-020-0773-7","http://dx.doi.org/10.1038/s41590-020-0773-7")</f>
        <v>http://dx.doi.org/10.1038/s41590-020-0773-7</v>
      </c>
      <c r="BH222" s="1" t="s">
        <v>1507</v>
      </c>
      <c r="BI222" s="1" t="s">
        <v>9633</v>
      </c>
      <c r="BJ222" s="1">
        <v>18</v>
      </c>
      <c r="BK222" s="1" t="s">
        <v>9653</v>
      </c>
      <c r="BL222" s="1" t="s">
        <v>1573</v>
      </c>
      <c r="BM222" s="1" t="s">
        <v>9653</v>
      </c>
      <c r="BN222" s="1" t="s">
        <v>9654</v>
      </c>
      <c r="BO222" s="1">
        <v>32807944</v>
      </c>
      <c r="BP222" s="1" t="s">
        <v>7609</v>
      </c>
      <c r="BQ222" s="1" t="s">
        <v>1507</v>
      </c>
      <c r="BR222" s="1" t="s">
        <v>1507</v>
      </c>
      <c r="BS222" s="1" t="s">
        <v>13744</v>
      </c>
      <c r="BT222" s="1" t="s">
        <v>9655</v>
      </c>
      <c r="BU222" s="1" t="str">
        <f>HYPERLINK("https%3A%2F%2Fwww.webofscience.com%2Fwos%2Fwoscc%2Ffull-record%2FWOS:000561014100001","View Full Record in Web of Science")</f>
        <v>View Full Record in Web of Science</v>
      </c>
    </row>
    <row r="223" spans="1:73" x14ac:dyDescent="0.25">
      <c r="A223" s="1">
        <v>222</v>
      </c>
      <c r="B223" s="1" t="s">
        <v>1506</v>
      </c>
      <c r="C223" s="1" t="s">
        <v>2142</v>
      </c>
      <c r="D223" s="1" t="s">
        <v>1507</v>
      </c>
      <c r="E223" s="1" t="s">
        <v>1507</v>
      </c>
      <c r="F223" s="1" t="s">
        <v>1507</v>
      </c>
      <c r="G223" s="1" t="s">
        <v>2143</v>
      </c>
      <c r="H223" s="1" t="s">
        <v>1507</v>
      </c>
      <c r="I223" s="1" t="s">
        <v>1507</v>
      </c>
      <c r="J223" s="1" t="s">
        <v>531</v>
      </c>
      <c r="K223" s="1" t="s">
        <v>1562</v>
      </c>
      <c r="L223" s="1" t="s">
        <v>1507</v>
      </c>
      <c r="M223" s="1" t="s">
        <v>1507</v>
      </c>
      <c r="N223" s="1" t="s">
        <v>42</v>
      </c>
      <c r="O223" s="1" t="s">
        <v>56</v>
      </c>
      <c r="P223" s="1" t="s">
        <v>1507</v>
      </c>
      <c r="Q223" s="1" t="s">
        <v>1507</v>
      </c>
      <c r="R223" s="1" t="s">
        <v>1507</v>
      </c>
      <c r="S223" s="1" t="s">
        <v>1507</v>
      </c>
      <c r="T223" s="1" t="s">
        <v>1507</v>
      </c>
      <c r="U223" s="1" t="s">
        <v>2144</v>
      </c>
      <c r="V223" s="1" t="s">
        <v>1507</v>
      </c>
      <c r="W223" s="1" t="s">
        <v>2145</v>
      </c>
      <c r="X223" s="1" t="s">
        <v>2146</v>
      </c>
      <c r="Y223" s="1" t="s">
        <v>2147</v>
      </c>
      <c r="Z223" s="1" t="s">
        <v>2148</v>
      </c>
      <c r="AA223" s="1" t="s">
        <v>2149</v>
      </c>
      <c r="AB223" s="1" t="s">
        <v>1507</v>
      </c>
      <c r="AC223" s="1" t="s">
        <v>13872</v>
      </c>
      <c r="AD223" s="1" t="s">
        <v>2150</v>
      </c>
      <c r="AE223" s="1" t="s">
        <v>2151</v>
      </c>
      <c r="AF223" s="1" t="s">
        <v>2152</v>
      </c>
      <c r="AG223" s="1" t="s">
        <v>1507</v>
      </c>
      <c r="AH223" s="1">
        <v>28</v>
      </c>
      <c r="AI223" s="1">
        <v>0</v>
      </c>
      <c r="AJ223" s="1">
        <v>0</v>
      </c>
      <c r="AK223" s="1">
        <v>9</v>
      </c>
      <c r="AL223" s="1">
        <v>9</v>
      </c>
      <c r="AM223" s="1" t="s">
        <v>1564</v>
      </c>
      <c r="AN223" s="1" t="s">
        <v>1565</v>
      </c>
      <c r="AO223" s="1" t="s">
        <v>1566</v>
      </c>
      <c r="AP223" s="1" t="s">
        <v>1507</v>
      </c>
      <c r="AQ223" s="1" t="s">
        <v>1567</v>
      </c>
      <c r="AR223" s="1" t="s">
        <v>1507</v>
      </c>
      <c r="AS223" s="1" t="s">
        <v>1568</v>
      </c>
      <c r="AT223" s="1" t="s">
        <v>342</v>
      </c>
      <c r="AU223" s="1" t="s">
        <v>2153</v>
      </c>
      <c r="AV223" s="1">
        <v>2023</v>
      </c>
      <c r="AW223" s="1">
        <v>8</v>
      </c>
      <c r="AX223" s="1" t="s">
        <v>1507</v>
      </c>
      <c r="AY223" s="1" t="s">
        <v>1507</v>
      </c>
      <c r="AZ223" s="1" t="s">
        <v>1507</v>
      </c>
      <c r="BA223" s="1" t="s">
        <v>1507</v>
      </c>
      <c r="BB223" s="1" t="s">
        <v>1507</v>
      </c>
      <c r="BC223" s="1" t="s">
        <v>1507</v>
      </c>
      <c r="BD223" s="1" t="s">
        <v>1507</v>
      </c>
      <c r="BE223" s="1">
        <v>1272229</v>
      </c>
      <c r="BF223" s="1" t="s">
        <v>532</v>
      </c>
      <c r="BG223" s="1" t="str">
        <f>HYPERLINK("http://dx.doi.org/10.3389/feduc.2023.1272229","http://dx.doi.org/10.3389/feduc.2023.1272229")</f>
        <v>http://dx.doi.org/10.3389/feduc.2023.1272229</v>
      </c>
      <c r="BH223" s="1" t="s">
        <v>1507</v>
      </c>
      <c r="BI223" s="1" t="s">
        <v>1507</v>
      </c>
      <c r="BJ223" s="1">
        <v>8</v>
      </c>
      <c r="BK223" s="1" t="s">
        <v>1558</v>
      </c>
      <c r="BL223" s="1" t="s">
        <v>1529</v>
      </c>
      <c r="BM223" s="1" t="s">
        <v>1558</v>
      </c>
      <c r="BN223" s="1" t="s">
        <v>2154</v>
      </c>
      <c r="BO223" s="1" t="s">
        <v>1507</v>
      </c>
      <c r="BP223" s="1" t="s">
        <v>1531</v>
      </c>
      <c r="BQ223" s="1" t="s">
        <v>1507</v>
      </c>
      <c r="BR223" s="1" t="s">
        <v>1507</v>
      </c>
      <c r="BS223" s="1" t="s">
        <v>13744</v>
      </c>
      <c r="BT223" s="1" t="s">
        <v>2155</v>
      </c>
      <c r="BU223" s="1" t="str">
        <f>HYPERLINK("https%3A%2F%2Fwww.webofscience.com%2Fwos%2Fwoscc%2Ffull-record%2FWOS:001126912400001","View Full Record in Web of Science")</f>
        <v>View Full Record in Web of Science</v>
      </c>
    </row>
    <row r="224" spans="1:73" x14ac:dyDescent="0.25">
      <c r="A224" s="1">
        <v>223</v>
      </c>
      <c r="B224" s="1" t="s">
        <v>1506</v>
      </c>
      <c r="C224" s="1" t="s">
        <v>3398</v>
      </c>
      <c r="D224" s="1" t="s">
        <v>1507</v>
      </c>
      <c r="E224" s="1" t="s">
        <v>1507</v>
      </c>
      <c r="F224" s="1" t="s">
        <v>1507</v>
      </c>
      <c r="G224" s="1" t="s">
        <v>3399</v>
      </c>
      <c r="H224" s="1" t="s">
        <v>1507</v>
      </c>
      <c r="I224" s="1" t="s">
        <v>1507</v>
      </c>
      <c r="J224" s="1" t="s">
        <v>3400</v>
      </c>
      <c r="K224" s="1" t="s">
        <v>3401</v>
      </c>
      <c r="L224" s="1" t="s">
        <v>1507</v>
      </c>
      <c r="M224" s="1" t="s">
        <v>1507</v>
      </c>
      <c r="N224" s="1" t="s">
        <v>42</v>
      </c>
      <c r="O224" s="1" t="s">
        <v>56</v>
      </c>
      <c r="P224" s="1" t="s">
        <v>1507</v>
      </c>
      <c r="Q224" s="1" t="s">
        <v>1507</v>
      </c>
      <c r="R224" s="1" t="s">
        <v>1507</v>
      </c>
      <c r="S224" s="1" t="s">
        <v>1507</v>
      </c>
      <c r="T224" s="1" t="s">
        <v>1507</v>
      </c>
      <c r="U224" s="1" t="s">
        <v>1507</v>
      </c>
      <c r="V224" s="1" t="s">
        <v>3402</v>
      </c>
      <c r="W224" s="1" t="s">
        <v>3403</v>
      </c>
      <c r="X224" s="1" t="s">
        <v>3404</v>
      </c>
      <c r="Y224" s="1" t="s">
        <v>3405</v>
      </c>
      <c r="Z224" s="1" t="s">
        <v>3406</v>
      </c>
      <c r="AA224" s="1" t="s">
        <v>3407</v>
      </c>
      <c r="AB224" s="1" t="s">
        <v>3408</v>
      </c>
      <c r="AC224" s="1" t="s">
        <v>3409</v>
      </c>
      <c r="AD224" s="1" t="s">
        <v>3410</v>
      </c>
      <c r="AE224" s="1" t="s">
        <v>3411</v>
      </c>
      <c r="AF224" s="1" t="s">
        <v>3412</v>
      </c>
      <c r="AG224" s="1" t="s">
        <v>1507</v>
      </c>
      <c r="AH224" s="1">
        <v>25</v>
      </c>
      <c r="AI224" s="1">
        <v>4</v>
      </c>
      <c r="AJ224" s="1">
        <v>4</v>
      </c>
      <c r="AK224" s="1">
        <v>11</v>
      </c>
      <c r="AL224" s="1">
        <v>11</v>
      </c>
      <c r="AM224" s="1" t="s">
        <v>1601</v>
      </c>
      <c r="AN224" s="1" t="s">
        <v>1551</v>
      </c>
      <c r="AO224" s="1" t="s">
        <v>1602</v>
      </c>
      <c r="AP224" s="1" t="s">
        <v>1507</v>
      </c>
      <c r="AQ224" s="1" t="s">
        <v>3413</v>
      </c>
      <c r="AR224" s="1" t="s">
        <v>1507</v>
      </c>
      <c r="AS224" s="1" t="s">
        <v>3414</v>
      </c>
      <c r="AT224" s="1" t="s">
        <v>3415</v>
      </c>
      <c r="AU224" s="1" t="s">
        <v>2889</v>
      </c>
      <c r="AV224" s="1">
        <v>2023</v>
      </c>
      <c r="AW224" s="1">
        <v>3</v>
      </c>
      <c r="AX224" s="1">
        <v>10</v>
      </c>
      <c r="AY224" s="1" t="s">
        <v>1507</v>
      </c>
      <c r="AZ224" s="1" t="s">
        <v>1507</v>
      </c>
      <c r="BA224" s="1" t="s">
        <v>1507</v>
      </c>
      <c r="BB224" s="1" t="s">
        <v>1507</v>
      </c>
      <c r="BC224" s="1">
        <v>833</v>
      </c>
      <c r="BD224" s="1" t="s">
        <v>1774</v>
      </c>
      <c r="BE224" s="1" t="s">
        <v>1507</v>
      </c>
      <c r="BF224" s="1" t="s">
        <v>3416</v>
      </c>
      <c r="BG224" s="1" t="str">
        <f>HYPERLINK("http://dx.doi.org/10.1038/s43588-023-00527-x","http://dx.doi.org/10.1038/s43588-023-00527-x")</f>
        <v>http://dx.doi.org/10.1038/s43588-023-00527-x</v>
      </c>
      <c r="BH224" s="1" t="s">
        <v>1507</v>
      </c>
      <c r="BI224" s="1" t="s">
        <v>2891</v>
      </c>
      <c r="BJ224" s="1">
        <v>7</v>
      </c>
      <c r="BK224" s="1" t="s">
        <v>3417</v>
      </c>
      <c r="BL224" s="1" t="s">
        <v>1529</v>
      </c>
      <c r="BM224" s="1" t="s">
        <v>3418</v>
      </c>
      <c r="BN224" s="1" t="s">
        <v>3419</v>
      </c>
      <c r="BO224" s="1">
        <v>38177754</v>
      </c>
      <c r="BP224" s="1" t="s">
        <v>8174</v>
      </c>
      <c r="BQ224" s="1" t="s">
        <v>1507</v>
      </c>
      <c r="BR224" s="1" t="s">
        <v>1507</v>
      </c>
      <c r="BS224" s="1" t="s">
        <v>13744</v>
      </c>
      <c r="BT224" s="1" t="s">
        <v>3420</v>
      </c>
      <c r="BU224" s="1" t="str">
        <f>HYPERLINK("https%3A%2F%2Fwww.webofscience.com%2Fwos%2Fwoscc%2Ffull-record%2FWOS:001119334100001","View Full Record in Web of Science")</f>
        <v>View Full Record in Web of Science</v>
      </c>
    </row>
    <row r="225" spans="1:73" x14ac:dyDescent="0.25">
      <c r="A225" s="1">
        <v>224</v>
      </c>
      <c r="B225" s="1" t="s">
        <v>1506</v>
      </c>
      <c r="C225" s="1" t="s">
        <v>5925</v>
      </c>
      <c r="D225" s="1" t="s">
        <v>1507</v>
      </c>
      <c r="E225" s="1" t="s">
        <v>1507</v>
      </c>
      <c r="F225" s="1" t="s">
        <v>1507</v>
      </c>
      <c r="G225" s="1" t="s">
        <v>5926</v>
      </c>
      <c r="H225" s="1" t="s">
        <v>1507</v>
      </c>
      <c r="I225" s="1" t="s">
        <v>1507</v>
      </c>
      <c r="J225" s="1" t="s">
        <v>5927</v>
      </c>
      <c r="K225" s="1" t="s">
        <v>5740</v>
      </c>
      <c r="L225" s="1" t="s">
        <v>1507</v>
      </c>
      <c r="M225" s="1" t="s">
        <v>1507</v>
      </c>
      <c r="N225" s="1" t="s">
        <v>42</v>
      </c>
      <c r="O225" s="1" t="s">
        <v>56</v>
      </c>
      <c r="P225" s="1" t="s">
        <v>1507</v>
      </c>
      <c r="Q225" s="1" t="s">
        <v>1507</v>
      </c>
      <c r="R225" s="1" t="s">
        <v>1507</v>
      </c>
      <c r="S225" s="1" t="s">
        <v>1507</v>
      </c>
      <c r="T225" s="1" t="s">
        <v>1507</v>
      </c>
      <c r="U225" s="1" t="s">
        <v>5928</v>
      </c>
      <c r="V225" s="1" t="s">
        <v>5929</v>
      </c>
      <c r="W225" s="1" t="s">
        <v>5930</v>
      </c>
      <c r="X225" s="1" t="s">
        <v>5931</v>
      </c>
      <c r="Y225" s="1" t="s">
        <v>5932</v>
      </c>
      <c r="Z225" s="1" t="s">
        <v>5933</v>
      </c>
      <c r="AA225" s="1" t="s">
        <v>5934</v>
      </c>
      <c r="AB225" s="1" t="s">
        <v>1507</v>
      </c>
      <c r="AC225" s="1" t="s">
        <v>1507</v>
      </c>
      <c r="AD225" s="1" t="s">
        <v>1507</v>
      </c>
      <c r="AE225" s="1" t="s">
        <v>1507</v>
      </c>
      <c r="AF225" s="1" t="s">
        <v>1507</v>
      </c>
      <c r="AG225" s="1" t="s">
        <v>1507</v>
      </c>
      <c r="AH225" s="1">
        <v>41</v>
      </c>
      <c r="AI225" s="1">
        <v>0</v>
      </c>
      <c r="AJ225" s="1">
        <v>0</v>
      </c>
      <c r="AK225" s="1">
        <v>6</v>
      </c>
      <c r="AL225" s="1">
        <v>6</v>
      </c>
      <c r="AM225" s="1" t="s">
        <v>5748</v>
      </c>
      <c r="AN225" s="1" t="s">
        <v>5749</v>
      </c>
      <c r="AO225" s="1" t="s">
        <v>5750</v>
      </c>
      <c r="AP225" s="1" t="s">
        <v>5751</v>
      </c>
      <c r="AQ225" s="1" t="s">
        <v>1507</v>
      </c>
      <c r="AR225" s="1" t="s">
        <v>1507</v>
      </c>
      <c r="AS225" s="1" t="s">
        <v>5752</v>
      </c>
      <c r="AT225" s="1" t="s">
        <v>804</v>
      </c>
      <c r="AU225" s="1" t="s">
        <v>1507</v>
      </c>
      <c r="AV225" s="1">
        <v>2023</v>
      </c>
      <c r="AW225" s="1">
        <v>20</v>
      </c>
      <c r="AX225" s="1">
        <v>7</v>
      </c>
      <c r="AY225" s="1" t="s">
        <v>1507</v>
      </c>
      <c r="AZ225" s="1" t="s">
        <v>1507</v>
      </c>
      <c r="BA225" s="1" t="s">
        <v>1507</v>
      </c>
      <c r="BB225" s="1" t="s">
        <v>1507</v>
      </c>
      <c r="BC225" s="1" t="s">
        <v>1507</v>
      </c>
      <c r="BD225" s="1" t="s">
        <v>1507</v>
      </c>
      <c r="BE225" s="1">
        <v>8</v>
      </c>
      <c r="BF225" s="1" t="s">
        <v>1171</v>
      </c>
      <c r="BG225" s="1" t="str">
        <f>HYPERLINK("http://dx.doi.org/10.53761/1.20.7.08","http://dx.doi.org/10.53761/1.20.7.08")</f>
        <v>http://dx.doi.org/10.53761/1.20.7.08</v>
      </c>
      <c r="BH225" s="1" t="s">
        <v>1507</v>
      </c>
      <c r="BI225" s="1" t="s">
        <v>1507</v>
      </c>
      <c r="BJ225" s="1">
        <v>23</v>
      </c>
      <c r="BK225" s="1" t="s">
        <v>1558</v>
      </c>
      <c r="BL225" s="1" t="s">
        <v>1529</v>
      </c>
      <c r="BM225" s="1" t="s">
        <v>1558</v>
      </c>
      <c r="BN225" s="1" t="s">
        <v>5754</v>
      </c>
      <c r="BO225" s="1" t="s">
        <v>1507</v>
      </c>
      <c r="BP225" s="1" t="s">
        <v>1553</v>
      </c>
      <c r="BQ225" s="1" t="s">
        <v>1507</v>
      </c>
      <c r="BR225" s="1" t="s">
        <v>1507</v>
      </c>
      <c r="BS225" s="1" t="s">
        <v>13744</v>
      </c>
      <c r="BT225" s="1" t="s">
        <v>5935</v>
      </c>
      <c r="BU225" s="1" t="str">
        <f>HYPERLINK("https%3A%2F%2Fwww.webofscience.com%2Fwos%2Fwoscc%2Ffull-record%2FWOS:001103781300006","View Full Record in Web of Science")</f>
        <v>View Full Record in Web of Science</v>
      </c>
    </row>
    <row r="226" spans="1:73" x14ac:dyDescent="0.25">
      <c r="A226" s="1">
        <v>225</v>
      </c>
      <c r="B226" s="1" t="s">
        <v>1506</v>
      </c>
      <c r="C226" s="1" t="s">
        <v>3878</v>
      </c>
      <c r="D226" s="1" t="s">
        <v>1507</v>
      </c>
      <c r="E226" s="1" t="s">
        <v>1507</v>
      </c>
      <c r="F226" s="1" t="s">
        <v>1507</v>
      </c>
      <c r="G226" s="1" t="s">
        <v>3879</v>
      </c>
      <c r="H226" s="1" t="s">
        <v>1507</v>
      </c>
      <c r="I226" s="1" t="s">
        <v>1507</v>
      </c>
      <c r="J226" s="1" t="s">
        <v>3880</v>
      </c>
      <c r="K226" s="1" t="s">
        <v>3881</v>
      </c>
      <c r="L226" s="1" t="s">
        <v>1507</v>
      </c>
      <c r="M226" s="1" t="s">
        <v>1507</v>
      </c>
      <c r="N226" s="1" t="s">
        <v>42</v>
      </c>
      <c r="O226" s="1" t="s">
        <v>56</v>
      </c>
      <c r="P226" s="1" t="s">
        <v>1507</v>
      </c>
      <c r="Q226" s="1" t="s">
        <v>1507</v>
      </c>
      <c r="R226" s="1" t="s">
        <v>1507</v>
      </c>
      <c r="S226" s="1" t="s">
        <v>1507</v>
      </c>
      <c r="T226" s="1" t="s">
        <v>1507</v>
      </c>
      <c r="U226" s="1" t="s">
        <v>3882</v>
      </c>
      <c r="V226" s="1" t="s">
        <v>3883</v>
      </c>
      <c r="W226" s="1" t="s">
        <v>3884</v>
      </c>
      <c r="X226" s="1" t="s">
        <v>3885</v>
      </c>
      <c r="Y226" s="1" t="s">
        <v>3886</v>
      </c>
      <c r="Z226" s="1" t="s">
        <v>3887</v>
      </c>
      <c r="AA226" s="1" t="s">
        <v>3888</v>
      </c>
      <c r="AB226" s="1" t="s">
        <v>1507</v>
      </c>
      <c r="AC226" s="1" t="s">
        <v>14506</v>
      </c>
      <c r="AD226" s="1" t="s">
        <v>3889</v>
      </c>
      <c r="AE226" s="1" t="s">
        <v>3890</v>
      </c>
      <c r="AF226" s="1" t="s">
        <v>3891</v>
      </c>
      <c r="AG226" s="1" t="s">
        <v>1507</v>
      </c>
      <c r="AH226" s="1">
        <v>73</v>
      </c>
      <c r="AI226" s="1">
        <v>0</v>
      </c>
      <c r="AJ226" s="1">
        <v>0</v>
      </c>
      <c r="AK226" s="1">
        <v>23</v>
      </c>
      <c r="AL226" s="1">
        <v>23</v>
      </c>
      <c r="AM226" s="1" t="s">
        <v>1579</v>
      </c>
      <c r="AN226" s="1" t="s">
        <v>1580</v>
      </c>
      <c r="AO226" s="1" t="s">
        <v>1581</v>
      </c>
      <c r="AP226" s="1" t="s">
        <v>3892</v>
      </c>
      <c r="AQ226" s="1" t="s">
        <v>3893</v>
      </c>
      <c r="AR226" s="1" t="s">
        <v>1507</v>
      </c>
      <c r="AS226" s="1" t="s">
        <v>3894</v>
      </c>
      <c r="AT226" s="1" t="s">
        <v>3895</v>
      </c>
      <c r="AU226" s="1" t="s">
        <v>1616</v>
      </c>
      <c r="AV226" s="1">
        <v>2024</v>
      </c>
      <c r="AW226" s="1">
        <v>83</v>
      </c>
      <c r="AX226" s="1" t="s">
        <v>1507</v>
      </c>
      <c r="AY226" s="1" t="s">
        <v>1507</v>
      </c>
      <c r="AZ226" s="1" t="s">
        <v>1507</v>
      </c>
      <c r="BA226" s="1" t="s">
        <v>1507</v>
      </c>
      <c r="BB226" s="1" t="s">
        <v>1507</v>
      </c>
      <c r="BC226" s="1" t="s">
        <v>1507</v>
      </c>
      <c r="BD226" s="1" t="s">
        <v>1507</v>
      </c>
      <c r="BE226" s="1">
        <v>101155</v>
      </c>
      <c r="BF226" s="1" t="s">
        <v>3896</v>
      </c>
      <c r="BG226" s="1" t="str">
        <f>HYPERLINK("http://dx.doi.org/10.1016/j.cogsys.2023.101155","http://dx.doi.org/10.1016/j.cogsys.2023.101155")</f>
        <v>http://dx.doi.org/10.1016/j.cogsys.2023.101155</v>
      </c>
      <c r="BH226" s="1" t="s">
        <v>1507</v>
      </c>
      <c r="BI226" s="1" t="s">
        <v>3689</v>
      </c>
      <c r="BJ226" s="1">
        <v>28</v>
      </c>
      <c r="BK226" s="1" t="s">
        <v>3897</v>
      </c>
      <c r="BL226" s="1" t="s">
        <v>1598</v>
      </c>
      <c r="BM226" s="1" t="s">
        <v>3898</v>
      </c>
      <c r="BN226" s="1" t="s">
        <v>3899</v>
      </c>
      <c r="BO226" s="1" t="s">
        <v>1507</v>
      </c>
      <c r="BP226" s="1" t="s">
        <v>2574</v>
      </c>
      <c r="BQ226" s="1" t="s">
        <v>1507</v>
      </c>
      <c r="BR226" s="1" t="s">
        <v>1507</v>
      </c>
      <c r="BS226" s="1" t="s">
        <v>13744</v>
      </c>
      <c r="BT226" s="1" t="s">
        <v>3900</v>
      </c>
      <c r="BU226" s="1" t="str">
        <f>HYPERLINK("https%3A%2F%2Fwww.webofscience.com%2Fwos%2Fwoscc%2Ffull-record%2FWOS:001078641500001","View Full Record in Web of Science")</f>
        <v>View Full Record in Web of Science</v>
      </c>
    </row>
    <row r="227" spans="1:73" x14ac:dyDescent="0.25">
      <c r="A227" s="1">
        <v>226</v>
      </c>
      <c r="B227" s="1" t="s">
        <v>1506</v>
      </c>
      <c r="C227" s="1" t="s">
        <v>7338</v>
      </c>
      <c r="D227" s="1" t="s">
        <v>1507</v>
      </c>
      <c r="E227" s="1" t="s">
        <v>1507</v>
      </c>
      <c r="F227" s="1" t="s">
        <v>1507</v>
      </c>
      <c r="G227" s="1" t="s">
        <v>7339</v>
      </c>
      <c r="H227" s="1" t="s">
        <v>1507</v>
      </c>
      <c r="I227" s="1" t="s">
        <v>1507</v>
      </c>
      <c r="J227" s="1" t="s">
        <v>7340</v>
      </c>
      <c r="K227" s="1" t="s">
        <v>7341</v>
      </c>
      <c r="L227" s="1" t="s">
        <v>1507</v>
      </c>
      <c r="M227" s="1" t="s">
        <v>1507</v>
      </c>
      <c r="N227" s="1" t="s">
        <v>42</v>
      </c>
      <c r="O227" s="1" t="s">
        <v>56</v>
      </c>
      <c r="P227" s="1" t="s">
        <v>1507</v>
      </c>
      <c r="Q227" s="1" t="s">
        <v>1507</v>
      </c>
      <c r="R227" s="1" t="s">
        <v>1507</v>
      </c>
      <c r="S227" s="1" t="s">
        <v>1507</v>
      </c>
      <c r="T227" s="1" t="s">
        <v>1507</v>
      </c>
      <c r="U227" s="1" t="s">
        <v>7342</v>
      </c>
      <c r="V227" s="1" t="s">
        <v>7343</v>
      </c>
      <c r="W227" s="1" t="s">
        <v>7344</v>
      </c>
      <c r="X227" s="1" t="s">
        <v>7345</v>
      </c>
      <c r="Y227" s="1" t="s">
        <v>7346</v>
      </c>
      <c r="Z227" s="1" t="s">
        <v>7347</v>
      </c>
      <c r="AA227" s="1" t="s">
        <v>7348</v>
      </c>
      <c r="AB227" s="1" t="s">
        <v>15622</v>
      </c>
      <c r="AC227" s="1" t="s">
        <v>15623</v>
      </c>
      <c r="AD227" s="1" t="s">
        <v>7349</v>
      </c>
      <c r="AE227" s="1" t="s">
        <v>7350</v>
      </c>
      <c r="AF227" s="1" t="s">
        <v>7351</v>
      </c>
      <c r="AG227" s="1" t="s">
        <v>1507</v>
      </c>
      <c r="AH227" s="1">
        <v>47</v>
      </c>
      <c r="AI227" s="1">
        <v>6</v>
      </c>
      <c r="AJ227" s="1">
        <v>6</v>
      </c>
      <c r="AK227" s="1">
        <v>4</v>
      </c>
      <c r="AL227" s="1">
        <v>34</v>
      </c>
      <c r="AM227" s="1" t="s">
        <v>1511</v>
      </c>
      <c r="AN227" s="1" t="s">
        <v>1512</v>
      </c>
      <c r="AO227" s="1" t="s">
        <v>1513</v>
      </c>
      <c r="AP227" s="1" t="s">
        <v>7352</v>
      </c>
      <c r="AQ227" s="1" t="s">
        <v>7353</v>
      </c>
      <c r="AR227" s="1" t="s">
        <v>1507</v>
      </c>
      <c r="AS227" s="1" t="s">
        <v>7354</v>
      </c>
      <c r="AT227" s="1" t="s">
        <v>7355</v>
      </c>
      <c r="AU227" s="1" t="s">
        <v>5201</v>
      </c>
      <c r="AV227" s="1">
        <v>2022</v>
      </c>
      <c r="AW227" s="1">
        <v>141</v>
      </c>
      <c r="AX227" s="1">
        <v>4</v>
      </c>
      <c r="AY227" s="1" t="s">
        <v>1507</v>
      </c>
      <c r="AZ227" s="1" t="s">
        <v>1507</v>
      </c>
      <c r="BA227" s="1" t="s">
        <v>1507</v>
      </c>
      <c r="BB227" s="1" t="s">
        <v>1507</v>
      </c>
      <c r="BC227" s="1" t="s">
        <v>1507</v>
      </c>
      <c r="BD227" s="1" t="s">
        <v>1507</v>
      </c>
      <c r="BE227" s="1">
        <v>23</v>
      </c>
      <c r="BF227" s="1" t="s">
        <v>7356</v>
      </c>
      <c r="BG227" s="1" t="str">
        <f>HYPERLINK("http://dx.doi.org/10.1007/s00214-022-02886-6","http://dx.doi.org/10.1007/s00214-022-02886-6")</f>
        <v>http://dx.doi.org/10.1007/s00214-022-02886-6</v>
      </c>
      <c r="BH227" s="1" t="s">
        <v>1507</v>
      </c>
      <c r="BI227" s="1" t="s">
        <v>1507</v>
      </c>
      <c r="BJ227" s="1">
        <v>17</v>
      </c>
      <c r="BK227" s="1" t="s">
        <v>2379</v>
      </c>
      <c r="BL227" s="1" t="s">
        <v>1573</v>
      </c>
      <c r="BM227" s="1" t="s">
        <v>2380</v>
      </c>
      <c r="BN227" s="1" t="s">
        <v>7357</v>
      </c>
      <c r="BO227" s="1" t="s">
        <v>1507</v>
      </c>
      <c r="BP227" s="1" t="s">
        <v>1507</v>
      </c>
      <c r="BQ227" s="1" t="s">
        <v>1507</v>
      </c>
      <c r="BR227" s="1" t="s">
        <v>1507</v>
      </c>
      <c r="BS227" s="1" t="s">
        <v>13744</v>
      </c>
      <c r="BT227" s="1" t="s">
        <v>7358</v>
      </c>
      <c r="BU227" s="1" t="str">
        <f>HYPERLINK("https%3A%2F%2Fwww.webofscience.com%2Fwos%2Fwoscc%2Ffull-record%2FWOS:000781343100002","View Full Record in Web of Science")</f>
        <v>View Full Record in Web of Science</v>
      </c>
    </row>
    <row r="228" spans="1:73" x14ac:dyDescent="0.25">
      <c r="A228" s="1">
        <v>227</v>
      </c>
      <c r="B228" s="1" t="s">
        <v>5546</v>
      </c>
      <c r="C228" s="1" t="s">
        <v>5936</v>
      </c>
      <c r="D228" s="1" t="s">
        <v>1507</v>
      </c>
      <c r="E228" s="1" t="s">
        <v>1507</v>
      </c>
      <c r="F228" s="1" t="s">
        <v>5565</v>
      </c>
      <c r="G228" s="1" t="s">
        <v>5937</v>
      </c>
      <c r="H228" s="1" t="s">
        <v>1507</v>
      </c>
      <c r="I228" s="1" t="s">
        <v>1507</v>
      </c>
      <c r="J228" s="1" t="s">
        <v>5938</v>
      </c>
      <c r="K228" s="1" t="s">
        <v>5939</v>
      </c>
      <c r="L228" s="1" t="s">
        <v>1507</v>
      </c>
      <c r="M228" s="1" t="s">
        <v>1507</v>
      </c>
      <c r="N228" s="1" t="s">
        <v>42</v>
      </c>
      <c r="O228" s="1" t="s">
        <v>5552</v>
      </c>
      <c r="P228" s="1" t="s">
        <v>5940</v>
      </c>
      <c r="Q228" s="1" t="s">
        <v>5941</v>
      </c>
      <c r="R228" s="1" t="s">
        <v>5942</v>
      </c>
      <c r="S228" s="1" t="s">
        <v>5681</v>
      </c>
      <c r="T228" s="1" t="s">
        <v>1507</v>
      </c>
      <c r="U228" s="1" t="s">
        <v>5943</v>
      </c>
      <c r="V228" s="1" t="s">
        <v>1507</v>
      </c>
      <c r="W228" s="1" t="s">
        <v>5944</v>
      </c>
      <c r="X228" s="1" t="s">
        <v>5945</v>
      </c>
      <c r="Y228" s="1" t="s">
        <v>5946</v>
      </c>
      <c r="Z228" s="1" t="s">
        <v>5947</v>
      </c>
      <c r="AA228" s="1" t="s">
        <v>5948</v>
      </c>
      <c r="AB228" s="1" t="s">
        <v>1507</v>
      </c>
      <c r="AC228" s="1" t="s">
        <v>15035</v>
      </c>
      <c r="AD228" s="1" t="s">
        <v>5949</v>
      </c>
      <c r="AE228" s="1" t="s">
        <v>5950</v>
      </c>
      <c r="AF228" s="1" t="s">
        <v>5951</v>
      </c>
      <c r="AG228" s="1" t="s">
        <v>1507</v>
      </c>
      <c r="AH228" s="1">
        <v>72</v>
      </c>
      <c r="AI228" s="1">
        <v>1</v>
      </c>
      <c r="AJ228" s="1">
        <v>1</v>
      </c>
      <c r="AK228" s="1">
        <v>40</v>
      </c>
      <c r="AL228" s="1">
        <v>40</v>
      </c>
      <c r="AM228" s="1" t="s">
        <v>5565</v>
      </c>
      <c r="AN228" s="1" t="s">
        <v>1512</v>
      </c>
      <c r="AO228" s="1" t="s">
        <v>5566</v>
      </c>
      <c r="AP228" s="1" t="s">
        <v>1507</v>
      </c>
      <c r="AQ228" s="1" t="s">
        <v>1507</v>
      </c>
      <c r="AR228" s="1" t="s">
        <v>5952</v>
      </c>
      <c r="AS228" s="1" t="s">
        <v>1507</v>
      </c>
      <c r="AT228" s="1" t="s">
        <v>1507</v>
      </c>
      <c r="AU228" s="1" t="s">
        <v>1507</v>
      </c>
      <c r="AV228" s="1">
        <v>2023</v>
      </c>
      <c r="AW228" s="1" t="s">
        <v>1507</v>
      </c>
      <c r="AX228" s="1" t="s">
        <v>1507</v>
      </c>
      <c r="AY228" s="1" t="s">
        <v>1507</v>
      </c>
      <c r="AZ228" s="1" t="s">
        <v>1507</v>
      </c>
      <c r="BA228" s="1" t="s">
        <v>1507</v>
      </c>
      <c r="BB228" s="1" t="s">
        <v>1507</v>
      </c>
      <c r="BC228" s="1">
        <v>931</v>
      </c>
      <c r="BD228" s="1">
        <v>942</v>
      </c>
      <c r="BE228" s="1" t="s">
        <v>1507</v>
      </c>
      <c r="BF228" s="1" t="s">
        <v>5953</v>
      </c>
      <c r="BG228" s="1" t="str">
        <f>HYPERLINK("http://dx.doi.org/10.1145/3593013.3594052","http://dx.doi.org/10.1145/3593013.3594052")</f>
        <v>http://dx.doi.org/10.1145/3593013.3594052</v>
      </c>
      <c r="BH228" s="1" t="s">
        <v>1507</v>
      </c>
      <c r="BI228" s="1" t="s">
        <v>1507</v>
      </c>
      <c r="BJ228" s="1">
        <v>12</v>
      </c>
      <c r="BK228" s="1" t="s">
        <v>5954</v>
      </c>
      <c r="BL228" s="1" t="s">
        <v>5695</v>
      </c>
      <c r="BM228" s="1" t="s">
        <v>5955</v>
      </c>
      <c r="BN228" s="1" t="s">
        <v>5956</v>
      </c>
      <c r="BO228" s="1" t="s">
        <v>1507</v>
      </c>
      <c r="BP228" s="1" t="s">
        <v>5957</v>
      </c>
      <c r="BQ228" s="1" t="s">
        <v>1507</v>
      </c>
      <c r="BR228" s="1" t="s">
        <v>1507</v>
      </c>
      <c r="BS228" s="1" t="s">
        <v>13744</v>
      </c>
      <c r="BT228" s="1" t="s">
        <v>5958</v>
      </c>
      <c r="BU228" s="1" t="str">
        <f>HYPERLINK("https%3A%2F%2Fwww.webofscience.com%2Fwos%2Fwoscc%2Ffull-record%2FWOS:001062819300081","View Full Record in Web of Science")</f>
        <v>View Full Record in Web of Science</v>
      </c>
    </row>
    <row r="229" spans="1:73" x14ac:dyDescent="0.25">
      <c r="A229" s="1">
        <v>228</v>
      </c>
      <c r="B229" s="1" t="s">
        <v>5882</v>
      </c>
      <c r="C229" s="1" t="s">
        <v>7778</v>
      </c>
      <c r="D229" s="1" t="s">
        <v>1507</v>
      </c>
      <c r="E229" s="1" t="s">
        <v>7779</v>
      </c>
      <c r="F229" s="1" t="s">
        <v>1507</v>
      </c>
      <c r="G229" s="1" t="s">
        <v>7780</v>
      </c>
      <c r="H229" s="1" t="s">
        <v>1507</v>
      </c>
      <c r="I229" s="1" t="s">
        <v>1507</v>
      </c>
      <c r="J229" s="1" t="s">
        <v>7781</v>
      </c>
      <c r="K229" s="1" t="s">
        <v>7782</v>
      </c>
      <c r="L229" s="1" t="s">
        <v>7783</v>
      </c>
      <c r="M229" s="1" t="s">
        <v>1507</v>
      </c>
      <c r="N229" s="1" t="s">
        <v>42</v>
      </c>
      <c r="O229" s="1" t="s">
        <v>5888</v>
      </c>
      <c r="P229" s="1" t="s">
        <v>1507</v>
      </c>
      <c r="Q229" s="1" t="s">
        <v>1507</v>
      </c>
      <c r="R229" s="1" t="s">
        <v>1507</v>
      </c>
      <c r="S229" s="1" t="s">
        <v>1507</v>
      </c>
      <c r="T229" s="1" t="s">
        <v>1507</v>
      </c>
      <c r="U229" s="1" t="s">
        <v>1507</v>
      </c>
      <c r="V229" s="1" t="s">
        <v>7784</v>
      </c>
      <c r="W229" s="1" t="s">
        <v>7785</v>
      </c>
      <c r="X229" s="1" t="s">
        <v>7786</v>
      </c>
      <c r="Y229" s="1" t="s">
        <v>5835</v>
      </c>
      <c r="Z229" s="1" t="s">
        <v>7787</v>
      </c>
      <c r="AA229" s="1" t="s">
        <v>1507</v>
      </c>
      <c r="AB229" s="1" t="s">
        <v>7788</v>
      </c>
      <c r="AC229" s="1" t="s">
        <v>7789</v>
      </c>
      <c r="AD229" s="1" t="s">
        <v>1507</v>
      </c>
      <c r="AE229" s="1" t="s">
        <v>1507</v>
      </c>
      <c r="AF229" s="1" t="s">
        <v>1507</v>
      </c>
      <c r="AG229" s="1" t="s">
        <v>1507</v>
      </c>
      <c r="AH229" s="1">
        <v>39</v>
      </c>
      <c r="AI229" s="1">
        <v>0</v>
      </c>
      <c r="AJ229" s="1">
        <v>0</v>
      </c>
      <c r="AK229" s="1">
        <v>0</v>
      </c>
      <c r="AL229" s="1">
        <v>0</v>
      </c>
      <c r="AM229" s="1" t="s">
        <v>7790</v>
      </c>
      <c r="AN229" s="1" t="s">
        <v>1556</v>
      </c>
      <c r="AO229" s="1" t="s">
        <v>7791</v>
      </c>
      <c r="AP229" s="1" t="s">
        <v>1507</v>
      </c>
      <c r="AQ229" s="1" t="s">
        <v>1507</v>
      </c>
      <c r="AR229" s="1" t="s">
        <v>7792</v>
      </c>
      <c r="AS229" s="1" t="s">
        <v>7793</v>
      </c>
      <c r="AT229" s="1" t="s">
        <v>1507</v>
      </c>
      <c r="AU229" s="1" t="s">
        <v>1507</v>
      </c>
      <c r="AV229" s="1">
        <v>2022</v>
      </c>
      <c r="AW229" s="1" t="s">
        <v>1507</v>
      </c>
      <c r="AX229" s="1" t="s">
        <v>1507</v>
      </c>
      <c r="AY229" s="1" t="s">
        <v>1507</v>
      </c>
      <c r="AZ229" s="1" t="s">
        <v>1507</v>
      </c>
      <c r="BA229" s="1" t="s">
        <v>1507</v>
      </c>
      <c r="BB229" s="1" t="s">
        <v>1507</v>
      </c>
      <c r="BC229" s="1">
        <v>46</v>
      </c>
      <c r="BD229" s="1">
        <v>60</v>
      </c>
      <c r="BE229" s="1" t="s">
        <v>1507</v>
      </c>
      <c r="BF229" s="1" t="s">
        <v>7794</v>
      </c>
      <c r="BG229" s="1" t="str">
        <f>HYPERLINK("http://dx.doi.org/10.4324/9781003025115-4","http://dx.doi.org/10.4324/9781003025115-4")</f>
        <v>http://dx.doi.org/10.4324/9781003025115-4</v>
      </c>
      <c r="BH229" s="1" t="s">
        <v>7795</v>
      </c>
      <c r="BI229" s="1" t="s">
        <v>1507</v>
      </c>
      <c r="BJ229" s="1">
        <v>15</v>
      </c>
      <c r="BK229" s="1" t="s">
        <v>4526</v>
      </c>
      <c r="BL229" s="1" t="s">
        <v>5899</v>
      </c>
      <c r="BM229" s="1" t="s">
        <v>4526</v>
      </c>
      <c r="BN229" s="1" t="s">
        <v>7796</v>
      </c>
      <c r="BO229" s="1" t="s">
        <v>1507</v>
      </c>
      <c r="BP229" s="1" t="s">
        <v>1507</v>
      </c>
      <c r="BQ229" s="1" t="s">
        <v>1507</v>
      </c>
      <c r="BR229" s="1" t="s">
        <v>1507</v>
      </c>
      <c r="BS229" s="1" t="s">
        <v>13744</v>
      </c>
      <c r="BT229" s="1" t="s">
        <v>7797</v>
      </c>
      <c r="BU229" s="1" t="str">
        <f>HYPERLINK("https%3A%2F%2Fwww.webofscience.com%2Fwos%2Fwoscc%2Ffull-record%2FWOS:000839183400004","View Full Record in Web of Science")</f>
        <v>View Full Record in Web of Science</v>
      </c>
    </row>
    <row r="230" spans="1:73" x14ac:dyDescent="0.25">
      <c r="A230" s="1">
        <v>229</v>
      </c>
      <c r="B230" s="1" t="s">
        <v>1506</v>
      </c>
      <c r="C230" s="1" t="s">
        <v>3940</v>
      </c>
      <c r="D230" s="1" t="s">
        <v>1507</v>
      </c>
      <c r="E230" s="1" t="s">
        <v>1507</v>
      </c>
      <c r="F230" s="1" t="s">
        <v>1507</v>
      </c>
      <c r="G230" s="1" t="s">
        <v>3941</v>
      </c>
      <c r="H230" s="1" t="s">
        <v>1507</v>
      </c>
      <c r="I230" s="1" t="s">
        <v>1507</v>
      </c>
      <c r="J230" s="1" t="s">
        <v>3942</v>
      </c>
      <c r="K230" s="1" t="s">
        <v>2982</v>
      </c>
      <c r="L230" s="1" t="s">
        <v>1507</v>
      </c>
      <c r="M230" s="1" t="s">
        <v>1507</v>
      </c>
      <c r="N230" s="1" t="s">
        <v>42</v>
      </c>
      <c r="O230" s="1" t="s">
        <v>1509</v>
      </c>
      <c r="P230" s="1" t="s">
        <v>1507</v>
      </c>
      <c r="Q230" s="1" t="s">
        <v>1507</v>
      </c>
      <c r="R230" s="1" t="s">
        <v>1507</v>
      </c>
      <c r="S230" s="1" t="s">
        <v>1507</v>
      </c>
      <c r="T230" s="1" t="s">
        <v>1507</v>
      </c>
      <c r="U230" s="1" t="s">
        <v>3943</v>
      </c>
      <c r="V230" s="1" t="s">
        <v>1507</v>
      </c>
      <c r="W230" s="1" t="s">
        <v>3944</v>
      </c>
      <c r="X230" s="1" t="s">
        <v>3945</v>
      </c>
      <c r="Y230" s="1" t="s">
        <v>3946</v>
      </c>
      <c r="Z230" s="1" t="s">
        <v>3947</v>
      </c>
      <c r="AA230" s="1" t="s">
        <v>3948</v>
      </c>
      <c r="AB230" s="1" t="s">
        <v>1507</v>
      </c>
      <c r="AC230" s="1" t="s">
        <v>3949</v>
      </c>
      <c r="AD230" s="1" t="s">
        <v>3950</v>
      </c>
      <c r="AE230" s="1" t="s">
        <v>3950</v>
      </c>
      <c r="AF230" s="1" t="s">
        <v>3951</v>
      </c>
      <c r="AG230" s="1" t="s">
        <v>1507</v>
      </c>
      <c r="AH230" s="1">
        <v>49</v>
      </c>
      <c r="AI230" s="1">
        <v>4</v>
      </c>
      <c r="AJ230" s="1">
        <v>4</v>
      </c>
      <c r="AK230" s="1">
        <v>50</v>
      </c>
      <c r="AL230" s="1">
        <v>62</v>
      </c>
      <c r="AM230" s="1" t="s">
        <v>1511</v>
      </c>
      <c r="AN230" s="1" t="s">
        <v>1512</v>
      </c>
      <c r="AO230" s="1" t="s">
        <v>1513</v>
      </c>
      <c r="AP230" s="1" t="s">
        <v>2990</v>
      </c>
      <c r="AQ230" s="1" t="s">
        <v>2991</v>
      </c>
      <c r="AR230" s="1" t="s">
        <v>1507</v>
      </c>
      <c r="AS230" s="1" t="s">
        <v>2992</v>
      </c>
      <c r="AT230" s="1" t="s">
        <v>1185</v>
      </c>
      <c r="AU230" s="1" t="s">
        <v>3952</v>
      </c>
      <c r="AV230" s="1">
        <v>2023</v>
      </c>
      <c r="AW230" s="1" t="s">
        <v>1507</v>
      </c>
      <c r="AX230" s="1" t="s">
        <v>1507</v>
      </c>
      <c r="AY230" s="1" t="s">
        <v>1507</v>
      </c>
      <c r="AZ230" s="1" t="s">
        <v>1507</v>
      </c>
      <c r="BA230" s="1" t="s">
        <v>1507</v>
      </c>
      <c r="BB230" s="1" t="s">
        <v>1507</v>
      </c>
      <c r="BC230" s="1" t="s">
        <v>1507</v>
      </c>
      <c r="BD230" s="1" t="s">
        <v>1507</v>
      </c>
      <c r="BE230" s="1" t="s">
        <v>1507</v>
      </c>
      <c r="BF230" s="1" t="s">
        <v>3953</v>
      </c>
      <c r="BG230" s="1" t="str">
        <f>HYPERLINK("http://dx.doi.org/10.1007/s00146-023-01752-8","http://dx.doi.org/10.1007/s00146-023-01752-8")</f>
        <v>http://dx.doi.org/10.1007/s00146-023-01752-8</v>
      </c>
      <c r="BH230" s="1" t="s">
        <v>1507</v>
      </c>
      <c r="BI230" s="1" t="s">
        <v>3689</v>
      </c>
      <c r="BJ230" s="1">
        <v>16</v>
      </c>
      <c r="BK230" s="1" t="s">
        <v>2994</v>
      </c>
      <c r="BL230" s="1" t="s">
        <v>1529</v>
      </c>
      <c r="BM230" s="1" t="s">
        <v>1577</v>
      </c>
      <c r="BN230" s="1" t="s">
        <v>3954</v>
      </c>
      <c r="BO230" s="1" t="s">
        <v>1507</v>
      </c>
      <c r="BP230" s="1" t="s">
        <v>1537</v>
      </c>
      <c r="BQ230" s="1" t="s">
        <v>1507</v>
      </c>
      <c r="BR230" s="1" t="s">
        <v>1507</v>
      </c>
      <c r="BS230" s="1" t="s">
        <v>13744</v>
      </c>
      <c r="BT230" s="1" t="s">
        <v>3955</v>
      </c>
      <c r="BU230" s="1" t="str">
        <f>HYPERLINK("https%3A%2F%2Fwww.webofscience.com%2Fwos%2Fwoscc%2Ffull-record%2FWOS:001058308100001","View Full Record in Web of Science")</f>
        <v>View Full Record in Web of Science</v>
      </c>
    </row>
    <row r="231" spans="1:73" x14ac:dyDescent="0.25">
      <c r="A231" s="1">
        <v>230</v>
      </c>
      <c r="B231" s="1" t="s">
        <v>1506</v>
      </c>
      <c r="C231" s="1" t="s">
        <v>11973</v>
      </c>
      <c r="D231" s="1" t="s">
        <v>1507</v>
      </c>
      <c r="E231" s="1" t="s">
        <v>1507</v>
      </c>
      <c r="F231" s="1" t="s">
        <v>1507</v>
      </c>
      <c r="G231" s="1" t="s">
        <v>11974</v>
      </c>
      <c r="H231" s="1" t="s">
        <v>1507</v>
      </c>
      <c r="I231" s="1" t="s">
        <v>1507</v>
      </c>
      <c r="J231" s="1" t="s">
        <v>11975</v>
      </c>
      <c r="K231" s="1" t="s">
        <v>11976</v>
      </c>
      <c r="L231" s="1" t="s">
        <v>1507</v>
      </c>
      <c r="M231" s="1" t="s">
        <v>1507</v>
      </c>
      <c r="N231" s="1" t="s">
        <v>42</v>
      </c>
      <c r="O231" s="1" t="s">
        <v>56</v>
      </c>
      <c r="P231" s="1" t="s">
        <v>1507</v>
      </c>
      <c r="Q231" s="1" t="s">
        <v>1507</v>
      </c>
      <c r="R231" s="1" t="s">
        <v>1507</v>
      </c>
      <c r="S231" s="1" t="s">
        <v>1507</v>
      </c>
      <c r="T231" s="1" t="s">
        <v>1507</v>
      </c>
      <c r="U231" s="1" t="s">
        <v>11977</v>
      </c>
      <c r="V231" s="1" t="s">
        <v>11978</v>
      </c>
      <c r="W231" s="1" t="s">
        <v>11979</v>
      </c>
      <c r="X231" s="1" t="s">
        <v>11980</v>
      </c>
      <c r="Y231" s="1" t="s">
        <v>11981</v>
      </c>
      <c r="Z231" s="1" t="s">
        <v>11982</v>
      </c>
      <c r="AA231" s="1" t="s">
        <v>11726</v>
      </c>
      <c r="AB231" s="1" t="s">
        <v>1507</v>
      </c>
      <c r="AC231" s="1" t="s">
        <v>11983</v>
      </c>
      <c r="AD231" s="1" t="s">
        <v>1507</v>
      </c>
      <c r="AE231" s="1" t="s">
        <v>1507</v>
      </c>
      <c r="AF231" s="1" t="s">
        <v>1507</v>
      </c>
      <c r="AG231" s="1" t="s">
        <v>1507</v>
      </c>
      <c r="AH231" s="1">
        <v>34</v>
      </c>
      <c r="AI231" s="1">
        <v>0</v>
      </c>
      <c r="AJ231" s="1">
        <v>0</v>
      </c>
      <c r="AK231" s="1">
        <v>0</v>
      </c>
      <c r="AL231" s="1">
        <v>3</v>
      </c>
      <c r="AM231" s="1" t="s">
        <v>11984</v>
      </c>
      <c r="AN231" s="1" t="s">
        <v>11985</v>
      </c>
      <c r="AO231" s="1" t="s">
        <v>11986</v>
      </c>
      <c r="AP231" s="1" t="s">
        <v>11987</v>
      </c>
      <c r="AQ231" s="1" t="s">
        <v>11988</v>
      </c>
      <c r="AR231" s="1" t="s">
        <v>1507</v>
      </c>
      <c r="AS231" s="1" t="s">
        <v>11989</v>
      </c>
      <c r="AT231" s="1" t="s">
        <v>11990</v>
      </c>
      <c r="AU231" s="1" t="s">
        <v>1507</v>
      </c>
      <c r="AV231" s="1">
        <v>2018</v>
      </c>
      <c r="AW231" s="1">
        <v>67</v>
      </c>
      <c r="AX231" s="1">
        <v>3</v>
      </c>
      <c r="AY231" s="1" t="s">
        <v>1507</v>
      </c>
      <c r="AZ231" s="1" t="s">
        <v>1507</v>
      </c>
      <c r="BA231" s="1" t="s">
        <v>1507</v>
      </c>
      <c r="BB231" s="1" t="s">
        <v>1507</v>
      </c>
      <c r="BC231" s="1">
        <v>218</v>
      </c>
      <c r="BD231" s="1">
        <v>225</v>
      </c>
      <c r="BE231" s="1" t="s">
        <v>1507</v>
      </c>
      <c r="BF231" s="1" t="s">
        <v>11991</v>
      </c>
      <c r="BG231" s="1" t="str">
        <f>HYPERLINK("http://dx.doi.org/10.7727/wimj.2017.222","http://dx.doi.org/10.7727/wimj.2017.222")</f>
        <v>http://dx.doi.org/10.7727/wimj.2017.222</v>
      </c>
      <c r="BH231" s="1" t="s">
        <v>1507</v>
      </c>
      <c r="BI231" s="1" t="s">
        <v>1507</v>
      </c>
      <c r="BJ231" s="1">
        <v>8</v>
      </c>
      <c r="BK231" s="1" t="s">
        <v>1949</v>
      </c>
      <c r="BL231" s="1" t="s">
        <v>1598</v>
      </c>
      <c r="BM231" s="1" t="s">
        <v>1950</v>
      </c>
      <c r="BN231" s="1" t="s">
        <v>11992</v>
      </c>
      <c r="BO231" s="1" t="s">
        <v>1507</v>
      </c>
      <c r="BP231" s="1" t="s">
        <v>7776</v>
      </c>
      <c r="BQ231" s="1" t="s">
        <v>1507</v>
      </c>
      <c r="BR231" s="1" t="s">
        <v>1507</v>
      </c>
      <c r="BS231" s="1" t="s">
        <v>13744</v>
      </c>
      <c r="BT231" s="1" t="s">
        <v>11993</v>
      </c>
      <c r="BU231" s="1" t="str">
        <f>HYPERLINK("https%3A%2F%2Fwww.webofscience.com%2Fwos%2Fwoscc%2Ffull-record%2FWOS:000452531100005","View Full Record in Web of Science")</f>
        <v>View Full Record in Web of Science</v>
      </c>
    </row>
    <row r="232" spans="1:73" x14ac:dyDescent="0.25">
      <c r="A232" s="1">
        <v>231</v>
      </c>
      <c r="B232" s="1" t="s">
        <v>1506</v>
      </c>
      <c r="C232" s="1" t="s">
        <v>8702</v>
      </c>
      <c r="D232" s="1" t="s">
        <v>1507</v>
      </c>
      <c r="E232" s="1" t="s">
        <v>1507</v>
      </c>
      <c r="F232" s="1" t="s">
        <v>1507</v>
      </c>
      <c r="G232" s="1" t="s">
        <v>8703</v>
      </c>
      <c r="H232" s="1" t="s">
        <v>1507</v>
      </c>
      <c r="I232" s="1" t="s">
        <v>1507</v>
      </c>
      <c r="J232" s="1" t="s">
        <v>8704</v>
      </c>
      <c r="K232" s="1" t="s">
        <v>5034</v>
      </c>
      <c r="L232" s="1" t="s">
        <v>1507</v>
      </c>
      <c r="M232" s="1" t="s">
        <v>1507</v>
      </c>
      <c r="N232" s="1" t="s">
        <v>42</v>
      </c>
      <c r="O232" s="1" t="s">
        <v>56</v>
      </c>
      <c r="P232" s="1" t="s">
        <v>1507</v>
      </c>
      <c r="Q232" s="1" t="s">
        <v>1507</v>
      </c>
      <c r="R232" s="1" t="s">
        <v>1507</v>
      </c>
      <c r="S232" s="1" t="s">
        <v>1507</v>
      </c>
      <c r="T232" s="1" t="s">
        <v>1507</v>
      </c>
      <c r="U232" s="1" t="s">
        <v>1507</v>
      </c>
      <c r="V232" s="1" t="s">
        <v>8705</v>
      </c>
      <c r="W232" s="1" t="s">
        <v>1507</v>
      </c>
      <c r="X232" s="1" t="s">
        <v>8706</v>
      </c>
      <c r="Y232" s="1" t="s">
        <v>5341</v>
      </c>
      <c r="Z232" s="1" t="s">
        <v>8707</v>
      </c>
      <c r="AA232" s="1" t="s">
        <v>1507</v>
      </c>
      <c r="AB232" s="1" t="s">
        <v>1507</v>
      </c>
      <c r="AC232" s="1" t="s">
        <v>1507</v>
      </c>
      <c r="AD232" s="1" t="s">
        <v>8708</v>
      </c>
      <c r="AE232" s="1" t="s">
        <v>8708</v>
      </c>
      <c r="AF232" s="1" t="s">
        <v>8709</v>
      </c>
      <c r="AG232" s="1" t="s">
        <v>1507</v>
      </c>
      <c r="AH232" s="1">
        <v>58</v>
      </c>
      <c r="AI232" s="1">
        <v>1</v>
      </c>
      <c r="AJ232" s="1">
        <v>1</v>
      </c>
      <c r="AK232" s="1">
        <v>0</v>
      </c>
      <c r="AL232" s="1">
        <v>1</v>
      </c>
      <c r="AM232" s="1" t="s">
        <v>3500</v>
      </c>
      <c r="AN232" s="1" t="s">
        <v>3501</v>
      </c>
      <c r="AO232" s="1" t="s">
        <v>3502</v>
      </c>
      <c r="AP232" s="1" t="s">
        <v>5041</v>
      </c>
      <c r="AQ232" s="1" t="s">
        <v>5042</v>
      </c>
      <c r="AR232" s="1" t="s">
        <v>1507</v>
      </c>
      <c r="AS232" s="1" t="s">
        <v>5043</v>
      </c>
      <c r="AT232" s="1" t="s">
        <v>5044</v>
      </c>
      <c r="AU232" s="1" t="s">
        <v>5045</v>
      </c>
      <c r="AV232" s="1">
        <v>2021</v>
      </c>
      <c r="AW232" s="1">
        <v>29</v>
      </c>
      <c r="AX232" s="1">
        <v>2</v>
      </c>
      <c r="AY232" s="1" t="s">
        <v>1507</v>
      </c>
      <c r="AZ232" s="1" t="s">
        <v>1507</v>
      </c>
      <c r="BA232" s="1" t="s">
        <v>1507</v>
      </c>
      <c r="BB232" s="1" t="s">
        <v>1507</v>
      </c>
      <c r="BC232" s="1">
        <v>263</v>
      </c>
      <c r="BD232" s="1">
        <v>287</v>
      </c>
      <c r="BE232" s="1" t="s">
        <v>1507</v>
      </c>
      <c r="BF232" s="1" t="s">
        <v>8710</v>
      </c>
      <c r="BG232" s="1" t="str">
        <f>HYPERLINK("http://dx.doi.org/10.3366/ajicl.2021.0363","http://dx.doi.org/10.3366/ajicl.2021.0363")</f>
        <v>http://dx.doi.org/10.3366/ajicl.2021.0363</v>
      </c>
      <c r="BH232" s="1" t="s">
        <v>1507</v>
      </c>
      <c r="BI232" s="1" t="s">
        <v>1507</v>
      </c>
      <c r="BJ232" s="1">
        <v>25</v>
      </c>
      <c r="BK232" s="1" t="s">
        <v>1535</v>
      </c>
      <c r="BL232" s="1" t="s">
        <v>1529</v>
      </c>
      <c r="BM232" s="1" t="s">
        <v>1536</v>
      </c>
      <c r="BN232" s="1" t="s">
        <v>8711</v>
      </c>
      <c r="BO232" s="1" t="s">
        <v>1507</v>
      </c>
      <c r="BP232" s="1" t="s">
        <v>1507</v>
      </c>
      <c r="BQ232" s="1" t="s">
        <v>1507</v>
      </c>
      <c r="BR232" s="1" t="s">
        <v>1507</v>
      </c>
      <c r="BS232" s="1" t="s">
        <v>13744</v>
      </c>
      <c r="BT232" s="1" t="s">
        <v>8712</v>
      </c>
      <c r="BU232" s="1" t="str">
        <f>HYPERLINK("https%3A%2F%2Fwww.webofscience.com%2Fwos%2Fwoscc%2Ffull-record%2FWOS:000646952100005","View Full Record in Web of Science")</f>
        <v>View Full Record in Web of Science</v>
      </c>
    </row>
    <row r="233" spans="1:73" x14ac:dyDescent="0.25">
      <c r="A233" s="1">
        <v>232</v>
      </c>
      <c r="B233" s="1" t="s">
        <v>1506</v>
      </c>
      <c r="C233" s="1" t="s">
        <v>5959</v>
      </c>
      <c r="D233" s="1" t="s">
        <v>1507</v>
      </c>
      <c r="E233" s="1" t="s">
        <v>1507</v>
      </c>
      <c r="F233" s="1" t="s">
        <v>1507</v>
      </c>
      <c r="G233" s="1" t="s">
        <v>5960</v>
      </c>
      <c r="H233" s="1" t="s">
        <v>1507</v>
      </c>
      <c r="I233" s="1" t="s">
        <v>1507</v>
      </c>
      <c r="J233" s="1" t="s">
        <v>5961</v>
      </c>
      <c r="K233" s="1" t="s">
        <v>5962</v>
      </c>
      <c r="L233" s="1" t="s">
        <v>1507</v>
      </c>
      <c r="M233" s="1" t="s">
        <v>1507</v>
      </c>
      <c r="N233" s="1" t="s">
        <v>42</v>
      </c>
      <c r="O233" s="1" t="s">
        <v>56</v>
      </c>
      <c r="P233" s="1" t="s">
        <v>1507</v>
      </c>
      <c r="Q233" s="1" t="s">
        <v>1507</v>
      </c>
      <c r="R233" s="1" t="s">
        <v>1507</v>
      </c>
      <c r="S233" s="1" t="s">
        <v>1507</v>
      </c>
      <c r="T233" s="1" t="s">
        <v>1507</v>
      </c>
      <c r="U233" s="1" t="s">
        <v>5963</v>
      </c>
      <c r="V233" s="1" t="s">
        <v>4023</v>
      </c>
      <c r="W233" s="1" t="s">
        <v>5964</v>
      </c>
      <c r="X233" s="1" t="s">
        <v>5965</v>
      </c>
      <c r="Y233" s="1" t="s">
        <v>5966</v>
      </c>
      <c r="Z233" s="1" t="s">
        <v>5967</v>
      </c>
      <c r="AA233" s="1" t="s">
        <v>3463</v>
      </c>
      <c r="AB233" s="1" t="s">
        <v>3464</v>
      </c>
      <c r="AC233" s="1" t="s">
        <v>15036</v>
      </c>
      <c r="AD233" s="1" t="s">
        <v>1507</v>
      </c>
      <c r="AE233" s="1" t="s">
        <v>1507</v>
      </c>
      <c r="AF233" s="1" t="s">
        <v>1507</v>
      </c>
      <c r="AG233" s="1" t="s">
        <v>1507</v>
      </c>
      <c r="AH233" s="1">
        <v>27</v>
      </c>
      <c r="AI233" s="1">
        <v>9</v>
      </c>
      <c r="AJ233" s="1">
        <v>9</v>
      </c>
      <c r="AK233" s="1">
        <v>12</v>
      </c>
      <c r="AL233" s="1">
        <v>12</v>
      </c>
      <c r="AM233" s="1" t="s">
        <v>1667</v>
      </c>
      <c r="AN233" s="1" t="s">
        <v>1668</v>
      </c>
      <c r="AO233" s="1" t="s">
        <v>1669</v>
      </c>
      <c r="AP233" s="1" t="s">
        <v>1507</v>
      </c>
      <c r="AQ233" s="1" t="s">
        <v>5968</v>
      </c>
      <c r="AR233" s="1" t="s">
        <v>1507</v>
      </c>
      <c r="AS233" s="1" t="s">
        <v>5969</v>
      </c>
      <c r="AT233" s="1" t="s">
        <v>5970</v>
      </c>
      <c r="AU233" s="1" t="s">
        <v>1507</v>
      </c>
      <c r="AV233" s="1">
        <v>2023</v>
      </c>
      <c r="AW233" s="1">
        <v>11</v>
      </c>
      <c r="AX233" s="1" t="s">
        <v>1507</v>
      </c>
      <c r="AY233" s="1" t="s">
        <v>1507</v>
      </c>
      <c r="AZ233" s="1" t="s">
        <v>1507</v>
      </c>
      <c r="BA233" s="1" t="s">
        <v>1507</v>
      </c>
      <c r="BB233" s="1" t="s">
        <v>1507</v>
      </c>
      <c r="BC233" s="1" t="s">
        <v>1507</v>
      </c>
      <c r="BD233" s="1" t="s">
        <v>1507</v>
      </c>
      <c r="BE233" s="1" t="s">
        <v>1277</v>
      </c>
      <c r="BF233" s="1" t="s">
        <v>1278</v>
      </c>
      <c r="BG233" s="1" t="str">
        <f>HYPERLINK("http://dx.doi.org/10.2196/48808","http://dx.doi.org/10.2196/48808")</f>
        <v>http://dx.doi.org/10.2196/48808</v>
      </c>
      <c r="BH233" s="1" t="s">
        <v>1507</v>
      </c>
      <c r="BI233" s="1" t="s">
        <v>1507</v>
      </c>
      <c r="BJ233" s="1">
        <v>11</v>
      </c>
      <c r="BK233" s="1" t="s">
        <v>5971</v>
      </c>
      <c r="BL233" s="1" t="s">
        <v>1573</v>
      </c>
      <c r="BM233" s="1" t="s">
        <v>5971</v>
      </c>
      <c r="BN233" s="1" t="s">
        <v>5972</v>
      </c>
      <c r="BO233" s="1">
        <v>37812468</v>
      </c>
      <c r="BP233" s="1" t="s">
        <v>1952</v>
      </c>
      <c r="BQ233" s="1" t="s">
        <v>1507</v>
      </c>
      <c r="BR233" s="1" t="s">
        <v>1507</v>
      </c>
      <c r="BS233" s="1" t="s">
        <v>13744</v>
      </c>
      <c r="BT233" s="1" t="s">
        <v>5973</v>
      </c>
      <c r="BU233" s="1" t="str">
        <f>HYPERLINK("https%3A%2F%2Fwww.webofscience.com%2Fwos%2Fwoscc%2Ffull-record%2FWOS:001085515100002","View Full Record in Web of Science")</f>
        <v>View Full Record in Web of Science</v>
      </c>
    </row>
    <row r="234" spans="1:73" x14ac:dyDescent="0.25">
      <c r="A234" s="1">
        <v>233</v>
      </c>
      <c r="B234" s="1" t="s">
        <v>1506</v>
      </c>
      <c r="C234" s="1" t="s">
        <v>3454</v>
      </c>
      <c r="D234" s="1" t="s">
        <v>1507</v>
      </c>
      <c r="E234" s="1" t="s">
        <v>1507</v>
      </c>
      <c r="F234" s="1" t="s">
        <v>1507</v>
      </c>
      <c r="G234" s="1" t="s">
        <v>3455</v>
      </c>
      <c r="H234" s="1" t="s">
        <v>1507</v>
      </c>
      <c r="I234" s="1" t="s">
        <v>1507</v>
      </c>
      <c r="J234" s="1" t="s">
        <v>3456</v>
      </c>
      <c r="K234" s="1" t="s">
        <v>3457</v>
      </c>
      <c r="L234" s="1" t="s">
        <v>1507</v>
      </c>
      <c r="M234" s="1" t="s">
        <v>1507</v>
      </c>
      <c r="N234" s="1" t="s">
        <v>42</v>
      </c>
      <c r="O234" s="1" t="s">
        <v>56</v>
      </c>
      <c r="P234" s="1" t="s">
        <v>1507</v>
      </c>
      <c r="Q234" s="1" t="s">
        <v>1507</v>
      </c>
      <c r="R234" s="1" t="s">
        <v>1507</v>
      </c>
      <c r="S234" s="1" t="s">
        <v>1507</v>
      </c>
      <c r="T234" s="1" t="s">
        <v>1507</v>
      </c>
      <c r="U234" s="1" t="s">
        <v>3458</v>
      </c>
      <c r="V234" s="1" t="s">
        <v>1507</v>
      </c>
      <c r="W234" s="1" t="s">
        <v>3459</v>
      </c>
      <c r="X234" s="1" t="s">
        <v>3460</v>
      </c>
      <c r="Y234" s="1" t="s">
        <v>3461</v>
      </c>
      <c r="Z234" s="1" t="s">
        <v>3462</v>
      </c>
      <c r="AA234" s="1" t="s">
        <v>3463</v>
      </c>
      <c r="AB234" s="1" t="s">
        <v>3464</v>
      </c>
      <c r="AC234" s="1" t="s">
        <v>3465</v>
      </c>
      <c r="AD234" s="1" t="s">
        <v>3466</v>
      </c>
      <c r="AE234" s="1" t="s">
        <v>3466</v>
      </c>
      <c r="AF234" s="1" t="s">
        <v>3466</v>
      </c>
      <c r="AG234" s="1" t="s">
        <v>1507</v>
      </c>
      <c r="AH234" s="1">
        <v>10</v>
      </c>
      <c r="AI234" s="1">
        <v>1</v>
      </c>
      <c r="AJ234" s="1">
        <v>1</v>
      </c>
      <c r="AK234" s="1">
        <v>18</v>
      </c>
      <c r="AL234" s="1">
        <v>19</v>
      </c>
      <c r="AM234" s="1" t="s">
        <v>1689</v>
      </c>
      <c r="AN234" s="1" t="s">
        <v>1592</v>
      </c>
      <c r="AO234" s="1" t="s">
        <v>1690</v>
      </c>
      <c r="AP234" s="1" t="s">
        <v>3467</v>
      </c>
      <c r="AQ234" s="1" t="s">
        <v>3468</v>
      </c>
      <c r="AR234" s="1" t="s">
        <v>1507</v>
      </c>
      <c r="AS234" s="1" t="s">
        <v>3457</v>
      </c>
      <c r="AT234" s="1" t="s">
        <v>3469</v>
      </c>
      <c r="AU234" s="1" t="s">
        <v>14307</v>
      </c>
      <c r="AV234" s="1">
        <v>2024</v>
      </c>
      <c r="AW234" s="1">
        <v>11</v>
      </c>
      <c r="AX234" s="1">
        <v>1</v>
      </c>
      <c r="AY234" s="1" t="s">
        <v>1507</v>
      </c>
      <c r="AZ234" s="1" t="s">
        <v>1507</v>
      </c>
      <c r="BA234" s="1" t="s">
        <v>1507</v>
      </c>
      <c r="BB234" s="1" t="s">
        <v>1507</v>
      </c>
      <c r="BC234" s="1">
        <v>102</v>
      </c>
      <c r="BD234" s="1">
        <v>105</v>
      </c>
      <c r="BE234" s="1" t="s">
        <v>1507</v>
      </c>
      <c r="BF234" s="1" t="s">
        <v>3470</v>
      </c>
      <c r="BG234" s="1" t="str">
        <f>HYPERLINK("http://dx.doi.org/10.1515/dx-2023-0116","http://dx.doi.org/10.1515/dx-2023-0116")</f>
        <v>http://dx.doi.org/10.1515/dx-2023-0116</v>
      </c>
      <c r="BH234" s="1" t="s">
        <v>1507</v>
      </c>
      <c r="BI234" s="1" t="s">
        <v>2891</v>
      </c>
      <c r="BJ234" s="1">
        <v>4</v>
      </c>
      <c r="BK234" s="1" t="s">
        <v>1949</v>
      </c>
      <c r="BL234" s="1" t="s">
        <v>1529</v>
      </c>
      <c r="BM234" s="1" t="s">
        <v>1950</v>
      </c>
      <c r="BN234" s="1" t="s">
        <v>14308</v>
      </c>
      <c r="BO234" s="1">
        <v>37779351</v>
      </c>
      <c r="BP234" s="1" t="s">
        <v>1507</v>
      </c>
      <c r="BQ234" s="1" t="s">
        <v>1507</v>
      </c>
      <c r="BR234" s="1" t="s">
        <v>1507</v>
      </c>
      <c r="BS234" s="1" t="s">
        <v>13744</v>
      </c>
      <c r="BT234" s="1" t="s">
        <v>3471</v>
      </c>
      <c r="BU234" s="1" t="str">
        <f>HYPERLINK("https%3A%2F%2Fwww.webofscience.com%2Fwos%2Fwoscc%2Ffull-record%2FWOS:001077103200001","View Full Record in Web of Science")</f>
        <v>View Full Record in Web of Science</v>
      </c>
    </row>
    <row r="235" spans="1:73" x14ac:dyDescent="0.25">
      <c r="A235" s="1">
        <v>234</v>
      </c>
      <c r="B235" s="1" t="s">
        <v>1506</v>
      </c>
      <c r="C235" s="1" t="s">
        <v>2084</v>
      </c>
      <c r="D235" s="1" t="s">
        <v>1507</v>
      </c>
      <c r="E235" s="1" t="s">
        <v>1507</v>
      </c>
      <c r="F235" s="1" t="s">
        <v>1507</v>
      </c>
      <c r="G235" s="1" t="s">
        <v>2085</v>
      </c>
      <c r="H235" s="1" t="s">
        <v>1507</v>
      </c>
      <c r="I235" s="1" t="s">
        <v>1507</v>
      </c>
      <c r="J235" s="1" t="s">
        <v>2086</v>
      </c>
      <c r="K235" s="1" t="s">
        <v>2087</v>
      </c>
      <c r="L235" s="1" t="s">
        <v>1507</v>
      </c>
      <c r="M235" s="1" t="s">
        <v>1507</v>
      </c>
      <c r="N235" s="1" t="s">
        <v>42</v>
      </c>
      <c r="O235" s="1" t="s">
        <v>56</v>
      </c>
      <c r="P235" s="1" t="s">
        <v>1507</v>
      </c>
      <c r="Q235" s="1" t="s">
        <v>1507</v>
      </c>
      <c r="R235" s="1" t="s">
        <v>1507</v>
      </c>
      <c r="S235" s="1" t="s">
        <v>1507</v>
      </c>
      <c r="T235" s="1" t="s">
        <v>1507</v>
      </c>
      <c r="U235" s="1" t="s">
        <v>2088</v>
      </c>
      <c r="V235" s="1" t="s">
        <v>1507</v>
      </c>
      <c r="W235" s="1" t="s">
        <v>2089</v>
      </c>
      <c r="X235" s="1" t="s">
        <v>2090</v>
      </c>
      <c r="Y235" s="1" t="s">
        <v>2091</v>
      </c>
      <c r="Z235" s="1" t="s">
        <v>2092</v>
      </c>
      <c r="AA235" s="1" t="s">
        <v>2093</v>
      </c>
      <c r="AB235" s="1" t="s">
        <v>1507</v>
      </c>
      <c r="AC235" s="1" t="s">
        <v>2094</v>
      </c>
      <c r="AD235" s="1" t="s">
        <v>2095</v>
      </c>
      <c r="AE235" s="1" t="s">
        <v>2096</v>
      </c>
      <c r="AF235" s="1" t="s">
        <v>2097</v>
      </c>
      <c r="AG235" s="1" t="s">
        <v>1507</v>
      </c>
      <c r="AH235" s="1">
        <v>53</v>
      </c>
      <c r="AI235" s="1">
        <v>2</v>
      </c>
      <c r="AJ235" s="1">
        <v>2</v>
      </c>
      <c r="AK235" s="1">
        <v>0</v>
      </c>
      <c r="AL235" s="1">
        <v>0</v>
      </c>
      <c r="AM235" s="1" t="s">
        <v>1511</v>
      </c>
      <c r="AN235" s="1" t="s">
        <v>1512</v>
      </c>
      <c r="AO235" s="1" t="s">
        <v>1513</v>
      </c>
      <c r="AP235" s="1" t="s">
        <v>2098</v>
      </c>
      <c r="AQ235" s="1" t="s">
        <v>1507</v>
      </c>
      <c r="AR235" s="1" t="s">
        <v>1507</v>
      </c>
      <c r="AS235" s="1" t="s">
        <v>2099</v>
      </c>
      <c r="AT235" s="1" t="s">
        <v>2100</v>
      </c>
      <c r="AU235" s="1" t="s">
        <v>2101</v>
      </c>
      <c r="AV235" s="1">
        <v>2023</v>
      </c>
      <c r="AW235" s="1" t="s">
        <v>1507</v>
      </c>
      <c r="AX235" s="1">
        <v>12</v>
      </c>
      <c r="AY235" s="1" t="s">
        <v>1507</v>
      </c>
      <c r="AZ235" s="1" t="s">
        <v>1507</v>
      </c>
      <c r="BA235" s="1" t="s">
        <v>1507</v>
      </c>
      <c r="BB235" s="1" t="s">
        <v>1507</v>
      </c>
      <c r="BC235" s="1" t="s">
        <v>1507</v>
      </c>
      <c r="BD235" s="1" t="s">
        <v>1507</v>
      </c>
      <c r="BE235" s="1">
        <v>46</v>
      </c>
      <c r="BF235" s="1" t="s">
        <v>2102</v>
      </c>
      <c r="BG235" s="1" t="str">
        <f>HYPERLINK("http://dx.doi.org/10.1007/JHEP12(2023)046","http://dx.doi.org/10.1007/JHEP12(2023)046")</f>
        <v>http://dx.doi.org/10.1007/JHEP12(2023)046</v>
      </c>
      <c r="BH235" s="1" t="s">
        <v>1507</v>
      </c>
      <c r="BI235" s="1" t="s">
        <v>1507</v>
      </c>
      <c r="BJ235" s="1">
        <v>33</v>
      </c>
      <c r="BK235" s="1" t="s">
        <v>2103</v>
      </c>
      <c r="BL235" s="1" t="s">
        <v>1573</v>
      </c>
      <c r="BM235" s="1" t="s">
        <v>2104</v>
      </c>
      <c r="BN235" s="1" t="s">
        <v>2105</v>
      </c>
      <c r="BO235" s="1" t="s">
        <v>1507</v>
      </c>
      <c r="BP235" s="1" t="s">
        <v>1553</v>
      </c>
      <c r="BQ235" s="1" t="s">
        <v>1507</v>
      </c>
      <c r="BR235" s="1" t="s">
        <v>1507</v>
      </c>
      <c r="BS235" s="1" t="s">
        <v>13744</v>
      </c>
      <c r="BT235" s="1" t="s">
        <v>2106</v>
      </c>
      <c r="BU235" s="1" t="str">
        <f>HYPERLINK("https%3A%2F%2Fwww.webofscience.com%2Fwos%2Fwoscc%2Ffull-record%2FWOS:001120634400001","View Full Record in Web of Science")</f>
        <v>View Full Record in Web of Science</v>
      </c>
    </row>
    <row r="236" spans="1:73" x14ac:dyDescent="0.25">
      <c r="A236" s="1">
        <v>235</v>
      </c>
      <c r="B236" s="1" t="s">
        <v>1506</v>
      </c>
      <c r="C236" s="1" t="s">
        <v>11694</v>
      </c>
      <c r="D236" s="1" t="s">
        <v>1507</v>
      </c>
      <c r="E236" s="1" t="s">
        <v>1507</v>
      </c>
      <c r="F236" s="1" t="s">
        <v>1507</v>
      </c>
      <c r="G236" s="1" t="s">
        <v>11695</v>
      </c>
      <c r="H236" s="1" t="s">
        <v>1507</v>
      </c>
      <c r="I236" s="1" t="s">
        <v>1507</v>
      </c>
      <c r="J236" s="1" t="s">
        <v>11696</v>
      </c>
      <c r="K236" s="1" t="s">
        <v>11697</v>
      </c>
      <c r="L236" s="1" t="s">
        <v>1507</v>
      </c>
      <c r="M236" s="1" t="s">
        <v>1507</v>
      </c>
      <c r="N236" s="1" t="s">
        <v>42</v>
      </c>
      <c r="O236" s="1" t="s">
        <v>56</v>
      </c>
      <c r="P236" s="1" t="s">
        <v>1507</v>
      </c>
      <c r="Q236" s="1" t="s">
        <v>1507</v>
      </c>
      <c r="R236" s="1" t="s">
        <v>1507</v>
      </c>
      <c r="S236" s="1" t="s">
        <v>1507</v>
      </c>
      <c r="T236" s="1" t="s">
        <v>1507</v>
      </c>
      <c r="U236" s="1" t="s">
        <v>11698</v>
      </c>
      <c r="V236" s="1" t="s">
        <v>11699</v>
      </c>
      <c r="W236" s="1" t="s">
        <v>11700</v>
      </c>
      <c r="X236" s="1" t="s">
        <v>11701</v>
      </c>
      <c r="Y236" s="1" t="s">
        <v>11702</v>
      </c>
      <c r="Z236" s="1" t="s">
        <v>11703</v>
      </c>
      <c r="AA236" s="1" t="s">
        <v>11704</v>
      </c>
      <c r="AB236" s="1" t="s">
        <v>1507</v>
      </c>
      <c r="AC236" s="1" t="s">
        <v>11705</v>
      </c>
      <c r="AD236" s="1" t="s">
        <v>11706</v>
      </c>
      <c r="AE236" s="1" t="s">
        <v>11707</v>
      </c>
      <c r="AF236" s="1" t="s">
        <v>11708</v>
      </c>
      <c r="AG236" s="1" t="s">
        <v>1507</v>
      </c>
      <c r="AH236" s="1">
        <v>73</v>
      </c>
      <c r="AI236" s="1">
        <v>10</v>
      </c>
      <c r="AJ236" s="1">
        <v>11</v>
      </c>
      <c r="AK236" s="1">
        <v>1</v>
      </c>
      <c r="AL236" s="1">
        <v>22</v>
      </c>
      <c r="AM236" s="1" t="s">
        <v>11014</v>
      </c>
      <c r="AN236" s="1" t="s">
        <v>11015</v>
      </c>
      <c r="AO236" s="1" t="s">
        <v>11016</v>
      </c>
      <c r="AP236" s="1" t="s">
        <v>11709</v>
      </c>
      <c r="AQ236" s="1" t="s">
        <v>11710</v>
      </c>
      <c r="AR236" s="1" t="s">
        <v>1507</v>
      </c>
      <c r="AS236" s="1" t="s">
        <v>11711</v>
      </c>
      <c r="AT236" s="1" t="s">
        <v>11712</v>
      </c>
      <c r="AU236" s="1" t="s">
        <v>4721</v>
      </c>
      <c r="AV236" s="1">
        <v>2018</v>
      </c>
      <c r="AW236" s="1">
        <v>37</v>
      </c>
      <c r="AX236" s="1">
        <v>3</v>
      </c>
      <c r="AY236" s="1" t="s">
        <v>1507</v>
      </c>
      <c r="AZ236" s="1" t="s">
        <v>1507</v>
      </c>
      <c r="BA236" s="1" t="s">
        <v>1507</v>
      </c>
      <c r="BB236" s="1" t="s">
        <v>1507</v>
      </c>
      <c r="BC236" s="1">
        <v>131</v>
      </c>
      <c r="BD236" s="1">
        <v>161</v>
      </c>
      <c r="BE236" s="1" t="s">
        <v>1507</v>
      </c>
      <c r="BF236" s="1" t="s">
        <v>11713</v>
      </c>
      <c r="BG236" s="1" t="str">
        <f>HYPERLINK("http://dx.doi.org/10.1089/blr.2018.29073.cmh","http://dx.doi.org/10.1089/blr.2018.29073.cmh")</f>
        <v>http://dx.doi.org/10.1089/blr.2018.29073.cmh</v>
      </c>
      <c r="BH236" s="1" t="s">
        <v>1507</v>
      </c>
      <c r="BI236" s="1" t="s">
        <v>1507</v>
      </c>
      <c r="BJ236" s="1">
        <v>31</v>
      </c>
      <c r="BK236" s="1" t="s">
        <v>5447</v>
      </c>
      <c r="BL236" s="1" t="s">
        <v>1598</v>
      </c>
      <c r="BM236" s="1" t="s">
        <v>5447</v>
      </c>
      <c r="BN236" s="1" t="s">
        <v>11714</v>
      </c>
      <c r="BO236" s="1" t="s">
        <v>1507</v>
      </c>
      <c r="BP236" s="1" t="s">
        <v>1600</v>
      </c>
      <c r="BQ236" s="1" t="s">
        <v>1507</v>
      </c>
      <c r="BR236" s="1" t="s">
        <v>1507</v>
      </c>
      <c r="BS236" s="1" t="s">
        <v>13744</v>
      </c>
      <c r="BT236" s="1" t="s">
        <v>11715</v>
      </c>
      <c r="BU236" s="1" t="str">
        <f>HYPERLINK("https%3A%2F%2Fwww.webofscience.com%2Fwos%2Fwoscc%2Ffull-record%2FWOS:000435327500007","View Full Record in Web of Science")</f>
        <v>View Full Record in Web of Science</v>
      </c>
    </row>
    <row r="237" spans="1:73" x14ac:dyDescent="0.25">
      <c r="A237" s="1">
        <v>236</v>
      </c>
      <c r="B237" s="1" t="s">
        <v>1506</v>
      </c>
      <c r="C237" s="1" t="s">
        <v>9106</v>
      </c>
      <c r="D237" s="1" t="s">
        <v>1507</v>
      </c>
      <c r="E237" s="1" t="s">
        <v>1507</v>
      </c>
      <c r="F237" s="1" t="s">
        <v>1507</v>
      </c>
      <c r="G237" s="1" t="s">
        <v>9107</v>
      </c>
      <c r="H237" s="1" t="s">
        <v>1507</v>
      </c>
      <c r="I237" s="1" t="s">
        <v>1507</v>
      </c>
      <c r="J237" s="1" t="s">
        <v>9108</v>
      </c>
      <c r="K237" s="1" t="s">
        <v>7538</v>
      </c>
      <c r="L237" s="1" t="s">
        <v>1507</v>
      </c>
      <c r="M237" s="1" t="s">
        <v>1507</v>
      </c>
      <c r="N237" s="1" t="s">
        <v>42</v>
      </c>
      <c r="O237" s="1" t="s">
        <v>56</v>
      </c>
      <c r="P237" s="1" t="s">
        <v>1507</v>
      </c>
      <c r="Q237" s="1" t="s">
        <v>1507</v>
      </c>
      <c r="R237" s="1" t="s">
        <v>1507</v>
      </c>
      <c r="S237" s="1" t="s">
        <v>1507</v>
      </c>
      <c r="T237" s="1" t="s">
        <v>1507</v>
      </c>
      <c r="U237" s="1" t="s">
        <v>9109</v>
      </c>
      <c r="V237" s="1" t="s">
        <v>9110</v>
      </c>
      <c r="W237" s="1" t="s">
        <v>9111</v>
      </c>
      <c r="X237" s="1" t="s">
        <v>9112</v>
      </c>
      <c r="Y237" s="1" t="s">
        <v>9113</v>
      </c>
      <c r="Z237" s="1" t="s">
        <v>9114</v>
      </c>
      <c r="AA237" s="1" t="s">
        <v>7545</v>
      </c>
      <c r="AB237" s="1" t="s">
        <v>9115</v>
      </c>
      <c r="AC237" s="1" t="s">
        <v>7546</v>
      </c>
      <c r="AD237" s="1" t="s">
        <v>7547</v>
      </c>
      <c r="AE237" s="1" t="s">
        <v>7548</v>
      </c>
      <c r="AF237" s="1" t="s">
        <v>9116</v>
      </c>
      <c r="AG237" s="1" t="s">
        <v>1507</v>
      </c>
      <c r="AH237" s="1">
        <v>63</v>
      </c>
      <c r="AI237" s="1">
        <v>81</v>
      </c>
      <c r="AJ237" s="1">
        <v>84</v>
      </c>
      <c r="AK237" s="1">
        <v>1</v>
      </c>
      <c r="AL237" s="1">
        <v>34</v>
      </c>
      <c r="AM237" s="1" t="s">
        <v>2372</v>
      </c>
      <c r="AN237" s="1" t="s">
        <v>2300</v>
      </c>
      <c r="AO237" s="1" t="s">
        <v>2373</v>
      </c>
      <c r="AP237" s="1" t="s">
        <v>7550</v>
      </c>
      <c r="AQ237" s="1" t="s">
        <v>7551</v>
      </c>
      <c r="AR237" s="1" t="s">
        <v>1507</v>
      </c>
      <c r="AS237" s="1" t="s">
        <v>7552</v>
      </c>
      <c r="AT237" s="1" t="s">
        <v>7553</v>
      </c>
      <c r="AU237" s="1" t="s">
        <v>15761</v>
      </c>
      <c r="AV237" s="1">
        <v>2021</v>
      </c>
      <c r="AW237" s="1">
        <v>13</v>
      </c>
      <c r="AX237" s="1">
        <v>5</v>
      </c>
      <c r="AY237" s="1" t="s">
        <v>1507</v>
      </c>
      <c r="AZ237" s="1" t="s">
        <v>1507</v>
      </c>
      <c r="BA237" s="1" t="s">
        <v>1507</v>
      </c>
      <c r="BB237" s="1" t="s">
        <v>1507</v>
      </c>
      <c r="BC237" s="1">
        <v>5919</v>
      </c>
      <c r="BD237" s="1">
        <v>5928</v>
      </c>
      <c r="BE237" s="1" t="s">
        <v>1507</v>
      </c>
      <c r="BF237" s="1" t="s">
        <v>9117</v>
      </c>
      <c r="BG237" s="1" t="str">
        <f>HYPERLINK("http://dx.doi.org/10.1021/acsami.0c19465","http://dx.doi.org/10.1021/acsami.0c19465")</f>
        <v>http://dx.doi.org/10.1021/acsami.0c19465</v>
      </c>
      <c r="BH237" s="1" t="s">
        <v>1507</v>
      </c>
      <c r="BI237" s="1" t="s">
        <v>9118</v>
      </c>
      <c r="BJ237" s="1">
        <v>10</v>
      </c>
      <c r="BK237" s="1" t="s">
        <v>7555</v>
      </c>
      <c r="BL237" s="1" t="s">
        <v>1573</v>
      </c>
      <c r="BM237" s="1" t="s">
        <v>7556</v>
      </c>
      <c r="BN237" s="1" t="s">
        <v>9119</v>
      </c>
      <c r="BO237" s="1">
        <v>33480246</v>
      </c>
      <c r="BP237" s="1" t="s">
        <v>9120</v>
      </c>
      <c r="BQ237" s="1" t="s">
        <v>1507</v>
      </c>
      <c r="BR237" s="1" t="s">
        <v>1507</v>
      </c>
      <c r="BS237" s="1" t="s">
        <v>13744</v>
      </c>
      <c r="BT237" s="1" t="s">
        <v>9121</v>
      </c>
      <c r="BU237" s="1" t="str">
        <f>HYPERLINK("https%3A%2F%2Fwww.webofscience.com%2Fwos%2Fwoscc%2Ffull-record%2FWOS:000619638400002","View Full Record in Web of Science")</f>
        <v>View Full Record in Web of Science</v>
      </c>
    </row>
    <row r="238" spans="1:73" x14ac:dyDescent="0.25">
      <c r="A238" s="1">
        <v>237</v>
      </c>
      <c r="B238" s="1" t="s">
        <v>1506</v>
      </c>
      <c r="C238" s="1" t="s">
        <v>7535</v>
      </c>
      <c r="D238" s="1" t="s">
        <v>1507</v>
      </c>
      <c r="E238" s="1" t="s">
        <v>1507</v>
      </c>
      <c r="F238" s="1" t="s">
        <v>1507</v>
      </c>
      <c r="G238" s="1" t="s">
        <v>7536</v>
      </c>
      <c r="H238" s="1" t="s">
        <v>1507</v>
      </c>
      <c r="I238" s="1" t="s">
        <v>1507</v>
      </c>
      <c r="J238" s="1" t="s">
        <v>7537</v>
      </c>
      <c r="K238" s="1" t="s">
        <v>7538</v>
      </c>
      <c r="L238" s="1" t="s">
        <v>1507</v>
      </c>
      <c r="M238" s="1" t="s">
        <v>1507</v>
      </c>
      <c r="N238" s="1" t="s">
        <v>42</v>
      </c>
      <c r="O238" s="1" t="s">
        <v>56</v>
      </c>
      <c r="P238" s="1" t="s">
        <v>1507</v>
      </c>
      <c r="Q238" s="1" t="s">
        <v>1507</v>
      </c>
      <c r="R238" s="1" t="s">
        <v>1507</v>
      </c>
      <c r="S238" s="1" t="s">
        <v>1507</v>
      </c>
      <c r="T238" s="1" t="s">
        <v>1507</v>
      </c>
      <c r="U238" s="1" t="s">
        <v>7539</v>
      </c>
      <c r="V238" s="1" t="s">
        <v>7540</v>
      </c>
      <c r="W238" s="1" t="s">
        <v>7541</v>
      </c>
      <c r="X238" s="1" t="s">
        <v>7542</v>
      </c>
      <c r="Y238" s="1" t="s">
        <v>7543</v>
      </c>
      <c r="Z238" s="1" t="s">
        <v>7544</v>
      </c>
      <c r="AA238" s="1" t="s">
        <v>7545</v>
      </c>
      <c r="AB238" s="1" t="s">
        <v>15657</v>
      </c>
      <c r="AC238" s="1" t="s">
        <v>7546</v>
      </c>
      <c r="AD238" s="1" t="s">
        <v>7547</v>
      </c>
      <c r="AE238" s="1" t="s">
        <v>7548</v>
      </c>
      <c r="AF238" s="1" t="s">
        <v>7549</v>
      </c>
      <c r="AG238" s="1" t="s">
        <v>1507</v>
      </c>
      <c r="AH238" s="1">
        <v>70</v>
      </c>
      <c r="AI238" s="1">
        <v>24</v>
      </c>
      <c r="AJ238" s="1">
        <v>25</v>
      </c>
      <c r="AK238" s="1">
        <v>4</v>
      </c>
      <c r="AL238" s="1">
        <v>29</v>
      </c>
      <c r="AM238" s="1" t="s">
        <v>2372</v>
      </c>
      <c r="AN238" s="1" t="s">
        <v>2300</v>
      </c>
      <c r="AO238" s="1" t="s">
        <v>2373</v>
      </c>
      <c r="AP238" s="1" t="s">
        <v>7550</v>
      </c>
      <c r="AQ238" s="1" t="s">
        <v>7551</v>
      </c>
      <c r="AR238" s="1" t="s">
        <v>1507</v>
      </c>
      <c r="AS238" s="1" t="s">
        <v>7552</v>
      </c>
      <c r="AT238" s="1" t="s">
        <v>7553</v>
      </c>
      <c r="AU238" s="1" t="s">
        <v>15658</v>
      </c>
      <c r="AV238" s="1">
        <v>2022</v>
      </c>
      <c r="AW238" s="1">
        <v>14</v>
      </c>
      <c r="AX238" s="1">
        <v>7</v>
      </c>
      <c r="AY238" s="1" t="s">
        <v>1507</v>
      </c>
      <c r="AZ238" s="1" t="s">
        <v>1507</v>
      </c>
      <c r="BA238" s="1" t="s">
        <v>1507</v>
      </c>
      <c r="BB238" s="1" t="s">
        <v>1507</v>
      </c>
      <c r="BC238" s="1">
        <v>8718</v>
      </c>
      <c r="BD238" s="1">
        <v>8727</v>
      </c>
      <c r="BE238" s="1" t="s">
        <v>1507</v>
      </c>
      <c r="BF238" s="1" t="s">
        <v>7554</v>
      </c>
      <c r="BG238" s="1" t="str">
        <f>HYPERLINK("http://dx.doi.org/10.1021/acsami.1c20872","http://dx.doi.org/10.1021/acsami.1c20872")</f>
        <v>http://dx.doi.org/10.1021/acsami.1c20872</v>
      </c>
      <c r="BH238" s="1" t="s">
        <v>1507</v>
      </c>
      <c r="BI238" s="1" t="s">
        <v>7483</v>
      </c>
      <c r="BJ238" s="1">
        <v>10</v>
      </c>
      <c r="BK238" s="1" t="s">
        <v>7555</v>
      </c>
      <c r="BL238" s="1" t="s">
        <v>1573</v>
      </c>
      <c r="BM238" s="1" t="s">
        <v>7556</v>
      </c>
      <c r="BN238" s="1" t="s">
        <v>7557</v>
      </c>
      <c r="BO238" s="1">
        <v>35138100</v>
      </c>
      <c r="BP238" s="1" t="s">
        <v>9945</v>
      </c>
      <c r="BQ238" s="1" t="s">
        <v>1507</v>
      </c>
      <c r="BR238" s="1" t="s">
        <v>1507</v>
      </c>
      <c r="BS238" s="1" t="s">
        <v>13744</v>
      </c>
      <c r="BT238" s="1" t="s">
        <v>7559</v>
      </c>
      <c r="BU238" s="1" t="str">
        <f>HYPERLINK("https%3A%2F%2Fwww.webofscience.com%2Fwos%2Fwoscc%2Ffull-record%2FWOS:000758019200001","View Full Record in Web of Science")</f>
        <v>View Full Record in Web of Science</v>
      </c>
    </row>
    <row r="239" spans="1:73" x14ac:dyDescent="0.25">
      <c r="A239" s="1">
        <v>238</v>
      </c>
      <c r="B239" s="1" t="s">
        <v>1506</v>
      </c>
      <c r="C239" s="1" t="s">
        <v>3421</v>
      </c>
      <c r="D239" s="1" t="s">
        <v>1507</v>
      </c>
      <c r="E239" s="1" t="s">
        <v>1507</v>
      </c>
      <c r="F239" s="1" t="s">
        <v>1507</v>
      </c>
      <c r="G239" s="1" t="s">
        <v>3422</v>
      </c>
      <c r="H239" s="1" t="s">
        <v>1507</v>
      </c>
      <c r="I239" s="1" t="s">
        <v>1507</v>
      </c>
      <c r="J239" s="1" t="s">
        <v>485</v>
      </c>
      <c r="K239" s="1" t="s">
        <v>1999</v>
      </c>
      <c r="L239" s="1" t="s">
        <v>1507</v>
      </c>
      <c r="M239" s="1" t="s">
        <v>1507</v>
      </c>
      <c r="N239" s="1" t="s">
        <v>42</v>
      </c>
      <c r="O239" s="1" t="s">
        <v>56</v>
      </c>
      <c r="P239" s="1" t="s">
        <v>1507</v>
      </c>
      <c r="Q239" s="1" t="s">
        <v>1507</v>
      </c>
      <c r="R239" s="1" t="s">
        <v>1507</v>
      </c>
      <c r="S239" s="1" t="s">
        <v>1507</v>
      </c>
      <c r="T239" s="1" t="s">
        <v>1507</v>
      </c>
      <c r="U239" s="1" t="s">
        <v>1507</v>
      </c>
      <c r="V239" s="1" t="s">
        <v>1507</v>
      </c>
      <c r="W239" s="1" t="s">
        <v>3423</v>
      </c>
      <c r="X239" s="1" t="s">
        <v>3424</v>
      </c>
      <c r="Y239" s="1" t="s">
        <v>3425</v>
      </c>
      <c r="Z239" s="1" t="s">
        <v>3426</v>
      </c>
      <c r="AA239" s="1" t="s">
        <v>3427</v>
      </c>
      <c r="AB239" s="1" t="s">
        <v>14303</v>
      </c>
      <c r="AC239" s="1" t="s">
        <v>14304</v>
      </c>
      <c r="AD239" s="1" t="s">
        <v>3428</v>
      </c>
      <c r="AE239" s="1" t="s">
        <v>3429</v>
      </c>
      <c r="AF239" s="1" t="s">
        <v>3430</v>
      </c>
      <c r="AG239" s="1" t="s">
        <v>1507</v>
      </c>
      <c r="AH239" s="1">
        <v>40</v>
      </c>
      <c r="AI239" s="1">
        <v>7</v>
      </c>
      <c r="AJ239" s="1">
        <v>7</v>
      </c>
      <c r="AK239" s="1">
        <v>17</v>
      </c>
      <c r="AL239" s="1">
        <v>18</v>
      </c>
      <c r="AM239" s="1" t="s">
        <v>2009</v>
      </c>
      <c r="AN239" s="1" t="s">
        <v>2010</v>
      </c>
      <c r="AO239" s="1" t="s">
        <v>2011</v>
      </c>
      <c r="AP239" s="1" t="s">
        <v>2012</v>
      </c>
      <c r="AQ239" s="1" t="s">
        <v>1507</v>
      </c>
      <c r="AR239" s="1" t="s">
        <v>1507</v>
      </c>
      <c r="AS239" s="1" t="s">
        <v>1999</v>
      </c>
      <c r="AT239" s="1" t="s">
        <v>2013</v>
      </c>
      <c r="AU239" s="1" t="s">
        <v>3431</v>
      </c>
      <c r="AV239" s="1">
        <v>2023</v>
      </c>
      <c r="AW239" s="1">
        <v>18</v>
      </c>
      <c r="AX239" s="1">
        <v>10</v>
      </c>
      <c r="AY239" s="1" t="s">
        <v>1507</v>
      </c>
      <c r="AZ239" s="1" t="s">
        <v>1507</v>
      </c>
      <c r="BA239" s="1" t="s">
        <v>1507</v>
      </c>
      <c r="BB239" s="1" t="s">
        <v>1507</v>
      </c>
      <c r="BC239" s="1" t="s">
        <v>1507</v>
      </c>
      <c r="BD239" s="1" t="s">
        <v>1507</v>
      </c>
      <c r="BE239" s="1" t="s">
        <v>488</v>
      </c>
      <c r="BF239" s="1" t="s">
        <v>489</v>
      </c>
      <c r="BG239" s="1" t="str">
        <f>HYPERLINK("http://dx.doi.org/10.1371/journal.pone.0292216","http://dx.doi.org/10.1371/journal.pone.0292216")</f>
        <v>http://dx.doi.org/10.1371/journal.pone.0292216</v>
      </c>
      <c r="BH239" s="1" t="s">
        <v>1507</v>
      </c>
      <c r="BI239" s="1" t="s">
        <v>1507</v>
      </c>
      <c r="BJ239" s="1">
        <v>14</v>
      </c>
      <c r="BK239" s="1" t="s">
        <v>1776</v>
      </c>
      <c r="BL239" s="1" t="s">
        <v>1573</v>
      </c>
      <c r="BM239" s="1" t="s">
        <v>1777</v>
      </c>
      <c r="BN239" s="1" t="s">
        <v>3432</v>
      </c>
      <c r="BO239" s="1">
        <v>37796786</v>
      </c>
      <c r="BP239" s="1" t="s">
        <v>2040</v>
      </c>
      <c r="BQ239" s="1" t="s">
        <v>1507</v>
      </c>
      <c r="BR239" s="1" t="s">
        <v>1507</v>
      </c>
      <c r="BS239" s="1" t="s">
        <v>13744</v>
      </c>
      <c r="BT239" s="1" t="s">
        <v>3434</v>
      </c>
      <c r="BU239" s="1" t="str">
        <f>HYPERLINK("https%3A%2F%2Fwww.webofscience.com%2Fwos%2Fwoscc%2Ffull-record%2FWOS:001116853300110","View Full Record in Web of Science")</f>
        <v>View Full Record in Web of Science</v>
      </c>
    </row>
    <row r="240" spans="1:73" x14ac:dyDescent="0.25">
      <c r="A240" s="1">
        <v>239</v>
      </c>
      <c r="B240" s="1" t="s">
        <v>1506</v>
      </c>
      <c r="C240" s="1" t="s">
        <v>10904</v>
      </c>
      <c r="D240" s="1" t="s">
        <v>1507</v>
      </c>
      <c r="E240" s="1" t="s">
        <v>1507</v>
      </c>
      <c r="F240" s="1" t="s">
        <v>1507</v>
      </c>
      <c r="G240" s="1" t="s">
        <v>10905</v>
      </c>
      <c r="H240" s="1" t="s">
        <v>1507</v>
      </c>
      <c r="I240" s="1" t="s">
        <v>1507</v>
      </c>
      <c r="J240" s="1" t="s">
        <v>10906</v>
      </c>
      <c r="K240" s="1" t="s">
        <v>10907</v>
      </c>
      <c r="L240" s="1" t="s">
        <v>1507</v>
      </c>
      <c r="M240" s="1" t="s">
        <v>1507</v>
      </c>
      <c r="N240" s="1" t="s">
        <v>42</v>
      </c>
      <c r="O240" s="1" t="s">
        <v>56</v>
      </c>
      <c r="P240" s="1" t="s">
        <v>1507</v>
      </c>
      <c r="Q240" s="1" t="s">
        <v>1507</v>
      </c>
      <c r="R240" s="1" t="s">
        <v>1507</v>
      </c>
      <c r="S240" s="1" t="s">
        <v>1507</v>
      </c>
      <c r="T240" s="1" t="s">
        <v>1507</v>
      </c>
      <c r="U240" s="1" t="s">
        <v>10908</v>
      </c>
      <c r="V240" s="1" t="s">
        <v>10909</v>
      </c>
      <c r="W240" s="1" t="s">
        <v>10910</v>
      </c>
      <c r="X240" s="1" t="s">
        <v>10911</v>
      </c>
      <c r="Y240" s="1" t="s">
        <v>10912</v>
      </c>
      <c r="Z240" s="1" t="s">
        <v>10913</v>
      </c>
      <c r="AA240" s="1" t="s">
        <v>10914</v>
      </c>
      <c r="AB240" s="1" t="s">
        <v>10915</v>
      </c>
      <c r="AC240" s="1" t="s">
        <v>10916</v>
      </c>
      <c r="AD240" s="1" t="s">
        <v>10917</v>
      </c>
      <c r="AE240" s="1" t="s">
        <v>10917</v>
      </c>
      <c r="AF240" s="1" t="s">
        <v>10918</v>
      </c>
      <c r="AG240" s="1" t="s">
        <v>1507</v>
      </c>
      <c r="AH240" s="1">
        <v>63</v>
      </c>
      <c r="AI240" s="1">
        <v>4</v>
      </c>
      <c r="AJ240" s="1">
        <v>4</v>
      </c>
      <c r="AK240" s="1">
        <v>4</v>
      </c>
      <c r="AL240" s="1">
        <v>32</v>
      </c>
      <c r="AM240" s="1" t="s">
        <v>1555</v>
      </c>
      <c r="AN240" s="1" t="s">
        <v>1556</v>
      </c>
      <c r="AO240" s="1" t="s">
        <v>1557</v>
      </c>
      <c r="AP240" s="1" t="s">
        <v>10919</v>
      </c>
      <c r="AQ240" s="1" t="s">
        <v>10920</v>
      </c>
      <c r="AR240" s="1" t="s">
        <v>1507</v>
      </c>
      <c r="AS240" s="1" t="s">
        <v>10921</v>
      </c>
      <c r="AT240" s="1" t="s">
        <v>10922</v>
      </c>
      <c r="AU240" s="1" t="s">
        <v>1507</v>
      </c>
      <c r="AV240" s="1">
        <v>2019</v>
      </c>
      <c r="AW240" s="1">
        <v>27</v>
      </c>
      <c r="AX240" s="1">
        <v>9</v>
      </c>
      <c r="AY240" s="1" t="s">
        <v>1507</v>
      </c>
      <c r="AZ240" s="1" t="s">
        <v>1507</v>
      </c>
      <c r="BA240" s="1" t="s">
        <v>1507</v>
      </c>
      <c r="BB240" s="1" t="s">
        <v>1507</v>
      </c>
      <c r="BC240" s="1">
        <v>1661</v>
      </c>
      <c r="BD240" s="1">
        <v>1686</v>
      </c>
      <c r="BE240" s="1" t="s">
        <v>1507</v>
      </c>
      <c r="BF240" s="1" t="s">
        <v>10923</v>
      </c>
      <c r="BG240" s="1" t="str">
        <f>HYPERLINK("http://dx.doi.org/10.1080/09654313.2019.1626351","http://dx.doi.org/10.1080/09654313.2019.1626351")</f>
        <v>http://dx.doi.org/10.1080/09654313.2019.1626351</v>
      </c>
      <c r="BH240" s="1" t="s">
        <v>1507</v>
      </c>
      <c r="BI240" s="1" t="s">
        <v>10924</v>
      </c>
      <c r="BJ240" s="1">
        <v>26</v>
      </c>
      <c r="BK240" s="1" t="s">
        <v>10925</v>
      </c>
      <c r="BL240" s="1" t="s">
        <v>1518</v>
      </c>
      <c r="BM240" s="1" t="s">
        <v>10926</v>
      </c>
      <c r="BN240" s="1" t="s">
        <v>10927</v>
      </c>
      <c r="BO240" s="1" t="s">
        <v>1507</v>
      </c>
      <c r="BP240" s="1" t="s">
        <v>1507</v>
      </c>
      <c r="BQ240" s="1" t="s">
        <v>1507</v>
      </c>
      <c r="BR240" s="1" t="s">
        <v>1507</v>
      </c>
      <c r="BS240" s="1" t="s">
        <v>13744</v>
      </c>
      <c r="BT240" s="1" t="s">
        <v>10928</v>
      </c>
      <c r="BU240" s="1" t="str">
        <f>HYPERLINK("https%3A%2F%2Fwww.webofscience.com%2Fwos%2Fwoscc%2Ffull-record%2FWOS:000472344600001","View Full Record in Web of Science")</f>
        <v>View Full Record in Web of Science</v>
      </c>
    </row>
    <row r="241" spans="1:73" x14ac:dyDescent="0.25">
      <c r="A241" s="1">
        <v>240</v>
      </c>
      <c r="B241" s="1" t="s">
        <v>5546</v>
      </c>
      <c r="C241" s="1" t="s">
        <v>7798</v>
      </c>
      <c r="D241" s="1" t="s">
        <v>1507</v>
      </c>
      <c r="E241" s="1" t="s">
        <v>1507</v>
      </c>
      <c r="F241" s="1" t="s">
        <v>5548</v>
      </c>
      <c r="G241" s="1" t="s">
        <v>7799</v>
      </c>
      <c r="H241" s="1" t="s">
        <v>1507</v>
      </c>
      <c r="I241" s="1" t="s">
        <v>1507</v>
      </c>
      <c r="J241" s="1" t="s">
        <v>7800</v>
      </c>
      <c r="K241" s="1" t="s">
        <v>7801</v>
      </c>
      <c r="L241" s="1" t="s">
        <v>1507</v>
      </c>
      <c r="M241" s="1" t="s">
        <v>1507</v>
      </c>
      <c r="N241" s="1" t="s">
        <v>42</v>
      </c>
      <c r="O241" s="1" t="s">
        <v>5552</v>
      </c>
      <c r="P241" s="1" t="s">
        <v>7802</v>
      </c>
      <c r="Q241" s="1" t="s">
        <v>7803</v>
      </c>
      <c r="R241" s="1" t="s">
        <v>7804</v>
      </c>
      <c r="S241" s="1" t="s">
        <v>7805</v>
      </c>
      <c r="T241" s="1" t="s">
        <v>1507</v>
      </c>
      <c r="U241" s="1" t="s">
        <v>7806</v>
      </c>
      <c r="V241" s="1" t="s">
        <v>1507</v>
      </c>
      <c r="W241" s="1" t="s">
        <v>7807</v>
      </c>
      <c r="X241" s="1" t="s">
        <v>7808</v>
      </c>
      <c r="Y241" s="1" t="s">
        <v>7809</v>
      </c>
      <c r="Z241" s="1" t="s">
        <v>7810</v>
      </c>
      <c r="AA241" s="1" t="s">
        <v>7811</v>
      </c>
      <c r="AB241" s="1" t="s">
        <v>1507</v>
      </c>
      <c r="AC241" s="1" t="s">
        <v>7812</v>
      </c>
      <c r="AD241" s="1" t="s">
        <v>7813</v>
      </c>
      <c r="AE241" s="1" t="s">
        <v>7814</v>
      </c>
      <c r="AF241" s="1" t="s">
        <v>7815</v>
      </c>
      <c r="AG241" s="1" t="s">
        <v>1507</v>
      </c>
      <c r="AH241" s="1">
        <v>26</v>
      </c>
      <c r="AI241" s="1">
        <v>1</v>
      </c>
      <c r="AJ241" s="1">
        <v>1</v>
      </c>
      <c r="AK241" s="1">
        <v>4</v>
      </c>
      <c r="AL241" s="1">
        <v>4</v>
      </c>
      <c r="AM241" s="1" t="s">
        <v>5565</v>
      </c>
      <c r="AN241" s="1" t="s">
        <v>1512</v>
      </c>
      <c r="AO241" s="1" t="s">
        <v>5566</v>
      </c>
      <c r="AP241" s="1" t="s">
        <v>1507</v>
      </c>
      <c r="AQ241" s="1" t="s">
        <v>1507</v>
      </c>
      <c r="AR241" s="1" t="s">
        <v>7816</v>
      </c>
      <c r="AS241" s="1" t="s">
        <v>1507</v>
      </c>
      <c r="AT241" s="1" t="s">
        <v>1507</v>
      </c>
      <c r="AU241" s="1" t="s">
        <v>1507</v>
      </c>
      <c r="AV241" s="1">
        <v>2022</v>
      </c>
      <c r="AW241" s="1" t="s">
        <v>1507</v>
      </c>
      <c r="AX241" s="1" t="s">
        <v>1507</v>
      </c>
      <c r="AY241" s="1" t="s">
        <v>1507</v>
      </c>
      <c r="AZ241" s="1" t="s">
        <v>1507</v>
      </c>
      <c r="BA241" s="1" t="s">
        <v>1507</v>
      </c>
      <c r="BB241" s="1" t="s">
        <v>1507</v>
      </c>
      <c r="BC241" s="1">
        <v>1141</v>
      </c>
      <c r="BD241" s="1">
        <v>1147</v>
      </c>
      <c r="BE241" s="1" t="s">
        <v>1507</v>
      </c>
      <c r="BF241" s="1" t="s">
        <v>7817</v>
      </c>
      <c r="BG241" s="1" t="str">
        <f>HYPERLINK("http://dx.doi.org/10.1145/3560905.3568431","http://dx.doi.org/10.1145/3560905.3568431")</f>
        <v>http://dx.doi.org/10.1145/3560905.3568431</v>
      </c>
      <c r="BH241" s="1" t="s">
        <v>1507</v>
      </c>
      <c r="BI241" s="1" t="s">
        <v>1507</v>
      </c>
      <c r="BJ241" s="1">
        <v>7</v>
      </c>
      <c r="BK241" s="1" t="s">
        <v>1631</v>
      </c>
      <c r="BL241" s="1" t="s">
        <v>5570</v>
      </c>
      <c r="BM241" s="1" t="s">
        <v>1632</v>
      </c>
      <c r="BN241" s="1" t="s">
        <v>7818</v>
      </c>
      <c r="BO241" s="1" t="s">
        <v>1507</v>
      </c>
      <c r="BP241" s="1" t="s">
        <v>3572</v>
      </c>
      <c r="BQ241" s="1" t="s">
        <v>1507</v>
      </c>
      <c r="BR241" s="1" t="s">
        <v>1507</v>
      </c>
      <c r="BS241" s="1" t="s">
        <v>13744</v>
      </c>
      <c r="BT241" s="1" t="s">
        <v>7819</v>
      </c>
      <c r="BU241" s="1" t="str">
        <f>HYPERLINK("https%3A%2F%2Fwww.webofscience.com%2Fwos%2Fwoscc%2Ffull-record%2FWOS:001082249700152","View Full Record in Web of Science")</f>
        <v>View Full Record in Web of Science</v>
      </c>
    </row>
    <row r="242" spans="1:73" x14ac:dyDescent="0.25">
      <c r="A242" s="1">
        <v>241</v>
      </c>
      <c r="B242" s="1" t="s">
        <v>1506</v>
      </c>
      <c r="C242" s="1" t="s">
        <v>10308</v>
      </c>
      <c r="D242" s="1" t="s">
        <v>1507</v>
      </c>
      <c r="E242" s="1" t="s">
        <v>1507</v>
      </c>
      <c r="F242" s="1" t="s">
        <v>1507</v>
      </c>
      <c r="G242" s="1" t="s">
        <v>10309</v>
      </c>
      <c r="H242" s="1" t="s">
        <v>1507</v>
      </c>
      <c r="I242" s="1" t="s">
        <v>1507</v>
      </c>
      <c r="J242" s="1" t="s">
        <v>10310</v>
      </c>
      <c r="K242" s="1" t="s">
        <v>10311</v>
      </c>
      <c r="L242" s="1" t="s">
        <v>1507</v>
      </c>
      <c r="M242" s="1" t="s">
        <v>1507</v>
      </c>
      <c r="N242" s="1" t="s">
        <v>42</v>
      </c>
      <c r="O242" s="1" t="s">
        <v>56</v>
      </c>
      <c r="P242" s="1" t="s">
        <v>1507</v>
      </c>
      <c r="Q242" s="1" t="s">
        <v>1507</v>
      </c>
      <c r="R242" s="1" t="s">
        <v>1507</v>
      </c>
      <c r="S242" s="1" t="s">
        <v>1507</v>
      </c>
      <c r="T242" s="1" t="s">
        <v>1507</v>
      </c>
      <c r="U242" s="1" t="s">
        <v>1507</v>
      </c>
      <c r="V242" s="1" t="s">
        <v>1507</v>
      </c>
      <c r="W242" s="1" t="s">
        <v>10312</v>
      </c>
      <c r="X242" s="1" t="s">
        <v>10313</v>
      </c>
      <c r="Y242" s="1" t="s">
        <v>10314</v>
      </c>
      <c r="Z242" s="1" t="s">
        <v>10315</v>
      </c>
      <c r="AA242" s="1" t="s">
        <v>1507</v>
      </c>
      <c r="AB242" s="1" t="s">
        <v>1507</v>
      </c>
      <c r="AC242" s="1" t="s">
        <v>1507</v>
      </c>
      <c r="AD242" s="1" t="s">
        <v>10316</v>
      </c>
      <c r="AE242" s="1" t="s">
        <v>10317</v>
      </c>
      <c r="AF242" s="1" t="s">
        <v>10318</v>
      </c>
      <c r="AG242" s="1" t="s">
        <v>1507</v>
      </c>
      <c r="AH242" s="1">
        <v>67</v>
      </c>
      <c r="AI242" s="1">
        <v>1</v>
      </c>
      <c r="AJ242" s="1">
        <v>3</v>
      </c>
      <c r="AK242" s="1">
        <v>0</v>
      </c>
      <c r="AL242" s="1">
        <v>3</v>
      </c>
      <c r="AM242" s="1" t="s">
        <v>10319</v>
      </c>
      <c r="AN242" s="1" t="s">
        <v>10320</v>
      </c>
      <c r="AO242" s="1" t="s">
        <v>10321</v>
      </c>
      <c r="AP242" s="1" t="s">
        <v>10322</v>
      </c>
      <c r="AQ242" s="1" t="s">
        <v>1507</v>
      </c>
      <c r="AR242" s="1" t="s">
        <v>1507</v>
      </c>
      <c r="AS242" s="1" t="s">
        <v>10323</v>
      </c>
      <c r="AT242" s="1" t="s">
        <v>10324</v>
      </c>
      <c r="AU242" s="1" t="s">
        <v>1507</v>
      </c>
      <c r="AV242" s="1">
        <v>2020</v>
      </c>
      <c r="AW242" s="1" t="s">
        <v>1507</v>
      </c>
      <c r="AX242" s="1">
        <v>50</v>
      </c>
      <c r="AY242" s="1" t="s">
        <v>1507</v>
      </c>
      <c r="AZ242" s="1" t="s">
        <v>1507</v>
      </c>
      <c r="BA242" s="1" t="s">
        <v>3506</v>
      </c>
      <c r="BB242" s="1" t="s">
        <v>1507</v>
      </c>
      <c r="BC242" s="1">
        <v>137</v>
      </c>
      <c r="BD242" s="1">
        <v>178</v>
      </c>
      <c r="BE242" s="1" t="s">
        <v>1507</v>
      </c>
      <c r="BF242" s="1" t="s">
        <v>10325</v>
      </c>
      <c r="BG242" s="1" t="str">
        <f>HYPERLINK("http://dx.doi.org/10.22584/nr50.2020.006","http://dx.doi.org/10.22584/nr50.2020.006")</f>
        <v>http://dx.doi.org/10.22584/nr50.2020.006</v>
      </c>
      <c r="BH242" s="1" t="s">
        <v>1507</v>
      </c>
      <c r="BI242" s="1" t="s">
        <v>1507</v>
      </c>
      <c r="BJ242" s="1">
        <v>42</v>
      </c>
      <c r="BK242" s="1" t="s">
        <v>10326</v>
      </c>
      <c r="BL242" s="1" t="s">
        <v>1529</v>
      </c>
      <c r="BM242" s="1" t="s">
        <v>10326</v>
      </c>
      <c r="BN242" s="1" t="s">
        <v>10327</v>
      </c>
      <c r="BO242" s="1" t="s">
        <v>1507</v>
      </c>
      <c r="BP242" s="1" t="s">
        <v>1537</v>
      </c>
      <c r="BQ242" s="1" t="s">
        <v>1507</v>
      </c>
      <c r="BR242" s="1" t="s">
        <v>1507</v>
      </c>
      <c r="BS242" s="1" t="s">
        <v>13744</v>
      </c>
      <c r="BT242" s="1" t="s">
        <v>10328</v>
      </c>
      <c r="BU242" s="1" t="str">
        <f>HYPERLINK("https%3A%2F%2Fwww.webofscience.com%2Fwos%2Fwoscc%2Ffull-record%2FWOS:000524979300006","View Full Record in Web of Science")</f>
        <v>View Full Record in Web of Science</v>
      </c>
    </row>
    <row r="243" spans="1:73" x14ac:dyDescent="0.25">
      <c r="A243" s="1">
        <v>242</v>
      </c>
      <c r="B243" s="1" t="s">
        <v>1506</v>
      </c>
      <c r="C243" s="1" t="s">
        <v>10308</v>
      </c>
      <c r="D243" s="1" t="s">
        <v>1507</v>
      </c>
      <c r="E243" s="1" t="s">
        <v>1507</v>
      </c>
      <c r="F243" s="1" t="s">
        <v>1507</v>
      </c>
      <c r="G243" s="1" t="s">
        <v>10309</v>
      </c>
      <c r="H243" s="1" t="s">
        <v>1507</v>
      </c>
      <c r="I243" s="1" t="s">
        <v>1507</v>
      </c>
      <c r="J243" s="1" t="s">
        <v>11363</v>
      </c>
      <c r="K243" s="1" t="s">
        <v>9248</v>
      </c>
      <c r="L243" s="1" t="s">
        <v>1507</v>
      </c>
      <c r="M243" s="1" t="s">
        <v>1507</v>
      </c>
      <c r="N243" s="1" t="s">
        <v>42</v>
      </c>
      <c r="O243" s="1" t="s">
        <v>56</v>
      </c>
      <c r="P243" s="1" t="s">
        <v>1507</v>
      </c>
      <c r="Q243" s="1" t="s">
        <v>1507</v>
      </c>
      <c r="R243" s="1" t="s">
        <v>1507</v>
      </c>
      <c r="S243" s="1" t="s">
        <v>1507</v>
      </c>
      <c r="T243" s="1" t="s">
        <v>1507</v>
      </c>
      <c r="U243" s="1" t="s">
        <v>1507</v>
      </c>
      <c r="V243" s="1" t="s">
        <v>1507</v>
      </c>
      <c r="W243" s="1" t="s">
        <v>11364</v>
      </c>
      <c r="X243" s="1" t="s">
        <v>11365</v>
      </c>
      <c r="Y243" s="1" t="s">
        <v>1507</v>
      </c>
      <c r="Z243" s="1" t="s">
        <v>11366</v>
      </c>
      <c r="AA243" s="1" t="s">
        <v>1507</v>
      </c>
      <c r="AB243" s="1" t="s">
        <v>1507</v>
      </c>
      <c r="AC243" s="1" t="s">
        <v>1507</v>
      </c>
      <c r="AD243" s="1" t="s">
        <v>10316</v>
      </c>
      <c r="AE243" s="1" t="s">
        <v>10317</v>
      </c>
      <c r="AF243" s="1" t="s">
        <v>11367</v>
      </c>
      <c r="AG243" s="1" t="s">
        <v>1507</v>
      </c>
      <c r="AH243" s="1">
        <v>64</v>
      </c>
      <c r="AI243" s="1">
        <v>4</v>
      </c>
      <c r="AJ243" s="1">
        <v>6</v>
      </c>
      <c r="AK243" s="1">
        <v>1</v>
      </c>
      <c r="AL243" s="1">
        <v>8</v>
      </c>
      <c r="AM243" s="1" t="s">
        <v>9256</v>
      </c>
      <c r="AN243" s="1" t="s">
        <v>9257</v>
      </c>
      <c r="AO243" s="1" t="s">
        <v>9258</v>
      </c>
      <c r="AP243" s="1" t="s">
        <v>9259</v>
      </c>
      <c r="AQ243" s="1" t="s">
        <v>9260</v>
      </c>
      <c r="AR243" s="1" t="s">
        <v>1507</v>
      </c>
      <c r="AS243" s="1" t="s">
        <v>9261</v>
      </c>
      <c r="AT243" s="1" t="s">
        <v>9262</v>
      </c>
      <c r="AU243" s="1" t="s">
        <v>1507</v>
      </c>
      <c r="AV243" s="1">
        <v>2019</v>
      </c>
      <c r="AW243" s="1">
        <v>56</v>
      </c>
      <c r="AX243" s="1">
        <v>3</v>
      </c>
      <c r="AY243" s="1" t="s">
        <v>1507</v>
      </c>
      <c r="AZ243" s="1" t="s">
        <v>1507</v>
      </c>
      <c r="BA243" s="1" t="s">
        <v>3506</v>
      </c>
      <c r="BB243" s="1" t="s">
        <v>1507</v>
      </c>
      <c r="BC243" s="1">
        <v>841</v>
      </c>
      <c r="BD243" s="1">
        <v>880</v>
      </c>
      <c r="BE243" s="1" t="s">
        <v>1507</v>
      </c>
      <c r="BF243" s="1" t="s">
        <v>1507</v>
      </c>
      <c r="BG243" s="1" t="s">
        <v>1507</v>
      </c>
      <c r="BH243" s="1" t="s">
        <v>1507</v>
      </c>
      <c r="BI243" s="1" t="s">
        <v>1507</v>
      </c>
      <c r="BJ243" s="1">
        <v>40</v>
      </c>
      <c r="BK243" s="1" t="s">
        <v>1535</v>
      </c>
      <c r="BL243" s="1" t="s">
        <v>1529</v>
      </c>
      <c r="BM243" s="1" t="s">
        <v>1536</v>
      </c>
      <c r="BN243" s="1" t="s">
        <v>11368</v>
      </c>
      <c r="BO243" s="1" t="s">
        <v>1507</v>
      </c>
      <c r="BP243" s="1" t="s">
        <v>1507</v>
      </c>
      <c r="BQ243" s="1" t="s">
        <v>1507</v>
      </c>
      <c r="BR243" s="1" t="s">
        <v>1507</v>
      </c>
      <c r="BS243" s="1" t="s">
        <v>13744</v>
      </c>
      <c r="BT243" s="1" t="s">
        <v>11369</v>
      </c>
      <c r="BU243" s="1" t="str">
        <f>HYPERLINK("https%3A%2F%2Fwww.webofscience.com%2Fwos%2Fwoscc%2Ffull-record%2FWOS:000463151900008","View Full Record in Web of Science")</f>
        <v>View Full Record in Web of Science</v>
      </c>
    </row>
    <row r="244" spans="1:73" x14ac:dyDescent="0.25">
      <c r="A244" s="1">
        <v>243</v>
      </c>
      <c r="B244" s="1" t="s">
        <v>1506</v>
      </c>
      <c r="C244" s="1" t="s">
        <v>9431</v>
      </c>
      <c r="D244" s="1" t="s">
        <v>1507</v>
      </c>
      <c r="E244" s="1" t="s">
        <v>1507</v>
      </c>
      <c r="F244" s="1" t="s">
        <v>1507</v>
      </c>
      <c r="G244" s="1" t="s">
        <v>9432</v>
      </c>
      <c r="H244" s="1" t="s">
        <v>1507</v>
      </c>
      <c r="I244" s="1" t="s">
        <v>1507</v>
      </c>
      <c r="J244" s="1" t="s">
        <v>9433</v>
      </c>
      <c r="K244" s="1" t="s">
        <v>9434</v>
      </c>
      <c r="L244" s="1" t="s">
        <v>1507</v>
      </c>
      <c r="M244" s="1" t="s">
        <v>1507</v>
      </c>
      <c r="N244" s="1" t="s">
        <v>42</v>
      </c>
      <c r="O244" s="1" t="s">
        <v>56</v>
      </c>
      <c r="P244" s="1" t="s">
        <v>1507</v>
      </c>
      <c r="Q244" s="1" t="s">
        <v>1507</v>
      </c>
      <c r="R244" s="1" t="s">
        <v>1507</v>
      </c>
      <c r="S244" s="1" t="s">
        <v>1507</v>
      </c>
      <c r="T244" s="1" t="s">
        <v>1507</v>
      </c>
      <c r="U244" s="1" t="s">
        <v>9435</v>
      </c>
      <c r="V244" s="1" t="s">
        <v>9436</v>
      </c>
      <c r="W244" s="1" t="s">
        <v>9437</v>
      </c>
      <c r="X244" s="1" t="s">
        <v>9438</v>
      </c>
      <c r="Y244" s="1" t="s">
        <v>15791</v>
      </c>
      <c r="Z244" s="1" t="s">
        <v>9439</v>
      </c>
      <c r="AA244" s="1" t="s">
        <v>9440</v>
      </c>
      <c r="AB244" s="1" t="s">
        <v>9441</v>
      </c>
      <c r="AC244" s="1" t="s">
        <v>15792</v>
      </c>
      <c r="AD244" s="1" t="s">
        <v>9442</v>
      </c>
      <c r="AE244" s="1" t="s">
        <v>9443</v>
      </c>
      <c r="AF244" s="1" t="s">
        <v>9444</v>
      </c>
      <c r="AG244" s="1" t="s">
        <v>1507</v>
      </c>
      <c r="AH244" s="1">
        <v>109</v>
      </c>
      <c r="AI244" s="1">
        <v>9</v>
      </c>
      <c r="AJ244" s="1">
        <v>9</v>
      </c>
      <c r="AK244" s="1">
        <v>2</v>
      </c>
      <c r="AL244" s="1">
        <v>5</v>
      </c>
      <c r="AM244" s="1" t="s">
        <v>1579</v>
      </c>
      <c r="AN244" s="1" t="s">
        <v>1580</v>
      </c>
      <c r="AO244" s="1" t="s">
        <v>8485</v>
      </c>
      <c r="AP244" s="1" t="s">
        <v>9445</v>
      </c>
      <c r="AQ244" s="1" t="s">
        <v>9446</v>
      </c>
      <c r="AR244" s="1" t="s">
        <v>1507</v>
      </c>
      <c r="AS244" s="1" t="s">
        <v>9447</v>
      </c>
      <c r="AT244" s="1" t="s">
        <v>9448</v>
      </c>
      <c r="AU244" s="1" t="s">
        <v>2771</v>
      </c>
      <c r="AV244" s="1">
        <v>2020</v>
      </c>
      <c r="AW244" s="1">
        <v>206</v>
      </c>
      <c r="AX244" s="1" t="s">
        <v>1507</v>
      </c>
      <c r="AY244" s="1" t="s">
        <v>1507</v>
      </c>
      <c r="AZ244" s="1" t="s">
        <v>1507</v>
      </c>
      <c r="BA244" s="1" t="s">
        <v>1507</v>
      </c>
      <c r="BB244" s="1" t="s">
        <v>1507</v>
      </c>
      <c r="BC244" s="1" t="s">
        <v>1507</v>
      </c>
      <c r="BD244" s="1" t="s">
        <v>1507</v>
      </c>
      <c r="BE244" s="1">
        <v>103623</v>
      </c>
      <c r="BF244" s="1" t="s">
        <v>9449</v>
      </c>
      <c r="BG244" s="1" t="str">
        <f>HYPERLINK("http://dx.doi.org/10.1016/j.gloplacha.2021.103623","http://dx.doi.org/10.1016/j.gloplacha.2021.103623")</f>
        <v>http://dx.doi.org/10.1016/j.gloplacha.2021.103623</v>
      </c>
      <c r="BH244" s="1" t="s">
        <v>1507</v>
      </c>
      <c r="BI244" s="1" t="s">
        <v>1507</v>
      </c>
      <c r="BJ244" s="1">
        <v>16</v>
      </c>
      <c r="BK244" s="1" t="s">
        <v>9450</v>
      </c>
      <c r="BL244" s="1" t="s">
        <v>1573</v>
      </c>
      <c r="BM244" s="1" t="s">
        <v>9451</v>
      </c>
      <c r="BN244" s="1" t="s">
        <v>9452</v>
      </c>
      <c r="BO244" s="1" t="s">
        <v>1507</v>
      </c>
      <c r="BP244" s="1" t="s">
        <v>1507</v>
      </c>
      <c r="BQ244" s="1" t="s">
        <v>1507</v>
      </c>
      <c r="BR244" s="1" t="s">
        <v>1507</v>
      </c>
      <c r="BS244" s="1" t="s">
        <v>13744</v>
      </c>
      <c r="BT244" s="1" t="s">
        <v>9453</v>
      </c>
      <c r="BU244" s="1" t="str">
        <f>HYPERLINK("https%3A%2F%2Fwww.webofscience.com%2Fwos%2Fwoscc%2Ffull-record%2FWOS:000704342700001","View Full Record in Web of Science")</f>
        <v>View Full Record in Web of Science</v>
      </c>
    </row>
    <row r="245" spans="1:73" x14ac:dyDescent="0.25">
      <c r="A245" s="1">
        <v>244</v>
      </c>
      <c r="B245" s="1" t="s">
        <v>1506</v>
      </c>
      <c r="C245" s="1" t="s">
        <v>5475</v>
      </c>
      <c r="D245" s="1" t="s">
        <v>1507</v>
      </c>
      <c r="E245" s="1" t="s">
        <v>1507</v>
      </c>
      <c r="F245" s="1" t="s">
        <v>1507</v>
      </c>
      <c r="G245" s="1" t="s">
        <v>5476</v>
      </c>
      <c r="H245" s="1" t="s">
        <v>1507</v>
      </c>
      <c r="I245" s="1" t="s">
        <v>1507</v>
      </c>
      <c r="J245" s="1" t="s">
        <v>5477</v>
      </c>
      <c r="K245" s="1" t="s">
        <v>5478</v>
      </c>
      <c r="L245" s="1" t="s">
        <v>1507</v>
      </c>
      <c r="M245" s="1" t="s">
        <v>1507</v>
      </c>
      <c r="N245" s="1" t="s">
        <v>42</v>
      </c>
      <c r="O245" s="1" t="s">
        <v>56</v>
      </c>
      <c r="P245" s="1" t="s">
        <v>1507</v>
      </c>
      <c r="Q245" s="1" t="s">
        <v>1507</v>
      </c>
      <c r="R245" s="1" t="s">
        <v>1507</v>
      </c>
      <c r="S245" s="1" t="s">
        <v>1507</v>
      </c>
      <c r="T245" s="1" t="s">
        <v>1507</v>
      </c>
      <c r="U245" s="1" t="s">
        <v>5479</v>
      </c>
      <c r="V245" s="1" t="s">
        <v>5480</v>
      </c>
      <c r="W245" s="1" t="s">
        <v>5481</v>
      </c>
      <c r="X245" s="1" t="s">
        <v>5482</v>
      </c>
      <c r="Y245" s="1" t="s">
        <v>5483</v>
      </c>
      <c r="Z245" s="1" t="s">
        <v>5484</v>
      </c>
      <c r="AA245" s="1" t="s">
        <v>5485</v>
      </c>
      <c r="AB245" s="1" t="s">
        <v>1507</v>
      </c>
      <c r="AC245" s="1" t="s">
        <v>14814</v>
      </c>
      <c r="AD245" s="1" t="s">
        <v>5486</v>
      </c>
      <c r="AE245" s="1" t="s">
        <v>5487</v>
      </c>
      <c r="AF245" s="1" t="s">
        <v>5488</v>
      </c>
      <c r="AG245" s="1" t="s">
        <v>1507</v>
      </c>
      <c r="AH245" s="1">
        <v>81</v>
      </c>
      <c r="AI245" s="1">
        <v>31</v>
      </c>
      <c r="AJ245" s="1">
        <v>34</v>
      </c>
      <c r="AK245" s="1">
        <v>207</v>
      </c>
      <c r="AL245" s="1">
        <v>349</v>
      </c>
      <c r="AM245" s="1" t="s">
        <v>1559</v>
      </c>
      <c r="AN245" s="1" t="s">
        <v>1560</v>
      </c>
      <c r="AO245" s="1" t="s">
        <v>1561</v>
      </c>
      <c r="AP245" s="1" t="s">
        <v>5489</v>
      </c>
      <c r="AQ245" s="1" t="s">
        <v>5490</v>
      </c>
      <c r="AR245" s="1" t="s">
        <v>1507</v>
      </c>
      <c r="AS245" s="1" t="s">
        <v>5491</v>
      </c>
      <c r="AT245" s="1" t="s">
        <v>5492</v>
      </c>
      <c r="AU245" s="1" t="s">
        <v>5045</v>
      </c>
      <c r="AV245" s="1">
        <v>2023</v>
      </c>
      <c r="AW245" s="1">
        <v>40</v>
      </c>
      <c r="AX245" s="1">
        <v>2</v>
      </c>
      <c r="AY245" s="1" t="s">
        <v>1507</v>
      </c>
      <c r="AZ245" s="1" t="s">
        <v>1507</v>
      </c>
      <c r="BA245" s="1" t="s">
        <v>1507</v>
      </c>
      <c r="BB245" s="1" t="s">
        <v>1507</v>
      </c>
      <c r="BC245" s="1">
        <v>806</v>
      </c>
      <c r="BD245" s="1">
        <v>841</v>
      </c>
      <c r="BE245" s="1" t="s">
        <v>1507</v>
      </c>
      <c r="BF245" s="1" t="s">
        <v>5493</v>
      </c>
      <c r="BG245" s="1" t="str">
        <f>HYPERLINK("http://dx.doi.org/10.1111/1911-3846.12832","http://dx.doi.org/10.1111/1911-3846.12832")</f>
        <v>http://dx.doi.org/10.1111/1911-3846.12832</v>
      </c>
      <c r="BH245" s="1" t="s">
        <v>1507</v>
      </c>
      <c r="BI245" s="1" t="s">
        <v>5446</v>
      </c>
      <c r="BJ245" s="1">
        <v>36</v>
      </c>
      <c r="BK245" s="1" t="s">
        <v>3165</v>
      </c>
      <c r="BL245" s="1" t="s">
        <v>1518</v>
      </c>
      <c r="BM245" s="1" t="s">
        <v>3118</v>
      </c>
      <c r="BN245" s="1" t="s">
        <v>5494</v>
      </c>
      <c r="BO245" s="1" t="s">
        <v>1507</v>
      </c>
      <c r="BP245" s="1" t="s">
        <v>1537</v>
      </c>
      <c r="BQ245" s="1" t="s">
        <v>1507</v>
      </c>
      <c r="BR245" s="1" t="s">
        <v>1507</v>
      </c>
      <c r="BS245" s="1" t="s">
        <v>13744</v>
      </c>
      <c r="BT245" s="1" t="s">
        <v>5495</v>
      </c>
      <c r="BU245" s="1" t="str">
        <f>HYPERLINK("https%3A%2F%2Fwww.webofscience.com%2Fwos%2Fwoscc%2Ffull-record%2FWOS:000909014900001","View Full Record in Web of Science")</f>
        <v>View Full Record in Web of Science</v>
      </c>
    </row>
    <row r="246" spans="1:73" x14ac:dyDescent="0.25">
      <c r="A246" s="1">
        <v>245</v>
      </c>
      <c r="B246" s="1" t="s">
        <v>1506</v>
      </c>
      <c r="C246" s="1" t="s">
        <v>11852</v>
      </c>
      <c r="D246" s="1" t="s">
        <v>1507</v>
      </c>
      <c r="E246" s="1" t="s">
        <v>1507</v>
      </c>
      <c r="F246" s="1" t="s">
        <v>1507</v>
      </c>
      <c r="G246" s="1" t="s">
        <v>11853</v>
      </c>
      <c r="H246" s="1" t="s">
        <v>1507</v>
      </c>
      <c r="I246" s="1" t="s">
        <v>1507</v>
      </c>
      <c r="J246" s="1" t="s">
        <v>11854</v>
      </c>
      <c r="K246" s="1" t="s">
        <v>3376</v>
      </c>
      <c r="L246" s="1" t="s">
        <v>1507</v>
      </c>
      <c r="M246" s="1" t="s">
        <v>1507</v>
      </c>
      <c r="N246" s="1" t="s">
        <v>42</v>
      </c>
      <c r="O246" s="1" t="s">
        <v>56</v>
      </c>
      <c r="P246" s="1" t="s">
        <v>1507</v>
      </c>
      <c r="Q246" s="1" t="s">
        <v>1507</v>
      </c>
      <c r="R246" s="1" t="s">
        <v>1507</v>
      </c>
      <c r="S246" s="1" t="s">
        <v>1507</v>
      </c>
      <c r="T246" s="1" t="s">
        <v>1507</v>
      </c>
      <c r="U246" s="1" t="s">
        <v>11855</v>
      </c>
      <c r="V246" s="1" t="s">
        <v>11856</v>
      </c>
      <c r="W246" s="1" t="s">
        <v>11857</v>
      </c>
      <c r="X246" s="1" t="s">
        <v>11858</v>
      </c>
      <c r="Y246" s="1" t="s">
        <v>11859</v>
      </c>
      <c r="Z246" s="1" t="s">
        <v>11860</v>
      </c>
      <c r="AA246" s="1" t="s">
        <v>11861</v>
      </c>
      <c r="AB246" s="1" t="s">
        <v>1507</v>
      </c>
      <c r="AC246" s="1" t="s">
        <v>11862</v>
      </c>
      <c r="AD246" s="1" t="s">
        <v>11863</v>
      </c>
      <c r="AE246" s="1" t="s">
        <v>11864</v>
      </c>
      <c r="AF246" s="1" t="s">
        <v>11865</v>
      </c>
      <c r="AG246" s="1" t="s">
        <v>1507</v>
      </c>
      <c r="AH246" s="1">
        <v>35</v>
      </c>
      <c r="AI246" s="1">
        <v>26</v>
      </c>
      <c r="AJ246" s="1">
        <v>29</v>
      </c>
      <c r="AK246" s="1">
        <v>1</v>
      </c>
      <c r="AL246" s="1">
        <v>49</v>
      </c>
      <c r="AM246" s="1" t="s">
        <v>3385</v>
      </c>
      <c r="AN246" s="1" t="s">
        <v>3386</v>
      </c>
      <c r="AO246" s="1" t="s">
        <v>3387</v>
      </c>
      <c r="AP246" s="1" t="s">
        <v>3388</v>
      </c>
      <c r="AQ246" s="1" t="s">
        <v>3389</v>
      </c>
      <c r="AR246" s="1" t="s">
        <v>1507</v>
      </c>
      <c r="AS246" s="1" t="s">
        <v>3390</v>
      </c>
      <c r="AT246" s="1" t="s">
        <v>3391</v>
      </c>
      <c r="AU246" s="1" t="s">
        <v>9054</v>
      </c>
      <c r="AV246" s="1">
        <v>2018</v>
      </c>
      <c r="AW246" s="1">
        <v>43</v>
      </c>
      <c r="AX246" s="1">
        <v>2</v>
      </c>
      <c r="AY246" s="1" t="s">
        <v>1507</v>
      </c>
      <c r="AZ246" s="1" t="s">
        <v>1507</v>
      </c>
      <c r="BA246" s="1" t="s">
        <v>1507</v>
      </c>
      <c r="BB246" s="1" t="s">
        <v>1507</v>
      </c>
      <c r="BC246" s="1">
        <v>188</v>
      </c>
      <c r="BD246" s="1">
        <v>193</v>
      </c>
      <c r="BE246" s="1" t="s">
        <v>1507</v>
      </c>
      <c r="BF246" s="1" t="s">
        <v>11866</v>
      </c>
      <c r="BG246" s="1" t="str">
        <f>HYPERLINK("http://dx.doi.org/10.1002/prep.201700154","http://dx.doi.org/10.1002/prep.201700154")</f>
        <v>http://dx.doi.org/10.1002/prep.201700154</v>
      </c>
      <c r="BH246" s="1" t="s">
        <v>1507</v>
      </c>
      <c r="BI246" s="1" t="s">
        <v>1507</v>
      </c>
      <c r="BJ246" s="1">
        <v>6</v>
      </c>
      <c r="BK246" s="1" t="s">
        <v>3394</v>
      </c>
      <c r="BL246" s="1" t="s">
        <v>1573</v>
      </c>
      <c r="BM246" s="1" t="s">
        <v>3395</v>
      </c>
      <c r="BN246" s="1" t="s">
        <v>11867</v>
      </c>
      <c r="BO246" s="1" t="s">
        <v>1507</v>
      </c>
      <c r="BP246" s="1" t="s">
        <v>3572</v>
      </c>
      <c r="BQ246" s="1" t="s">
        <v>1507</v>
      </c>
      <c r="BR246" s="1" t="s">
        <v>1507</v>
      </c>
      <c r="BS246" s="1" t="s">
        <v>13744</v>
      </c>
      <c r="BT246" s="1" t="s">
        <v>11868</v>
      </c>
      <c r="BU246" s="1" t="str">
        <f>HYPERLINK("https%3A%2F%2Fwww.webofscience.com%2Fwos%2Fwoscc%2Ffull-record%2FWOS:000425138300013","View Full Record in Web of Science")</f>
        <v>View Full Record in Web of Science</v>
      </c>
    </row>
    <row r="247" spans="1:73" x14ac:dyDescent="0.25">
      <c r="A247" s="1">
        <v>246</v>
      </c>
      <c r="B247" s="1" t="s">
        <v>5546</v>
      </c>
      <c r="C247" s="1" t="s">
        <v>15037</v>
      </c>
      <c r="D247" s="1" t="s">
        <v>1507</v>
      </c>
      <c r="E247" s="1" t="s">
        <v>14984</v>
      </c>
      <c r="F247" s="1" t="s">
        <v>1507</v>
      </c>
      <c r="G247" s="1" t="s">
        <v>15038</v>
      </c>
      <c r="H247" s="1" t="s">
        <v>1507</v>
      </c>
      <c r="I247" s="1" t="s">
        <v>1507</v>
      </c>
      <c r="J247" s="1" t="s">
        <v>13015</v>
      </c>
      <c r="K247" s="1" t="s">
        <v>14987</v>
      </c>
      <c r="L247" s="1" t="s">
        <v>14988</v>
      </c>
      <c r="M247" s="1" t="s">
        <v>1507</v>
      </c>
      <c r="N247" s="1" t="s">
        <v>42</v>
      </c>
      <c r="O247" s="1" t="s">
        <v>5552</v>
      </c>
      <c r="P247" s="1" t="s">
        <v>14989</v>
      </c>
      <c r="Q247" s="1" t="s">
        <v>14990</v>
      </c>
      <c r="R247" s="1" t="s">
        <v>14991</v>
      </c>
      <c r="S247" s="1" t="s">
        <v>14992</v>
      </c>
      <c r="T247" s="1" t="s">
        <v>1507</v>
      </c>
      <c r="U247" s="1" t="s">
        <v>15039</v>
      </c>
      <c r="V247" s="1" t="s">
        <v>1507</v>
      </c>
      <c r="W247" s="1" t="s">
        <v>15040</v>
      </c>
      <c r="X247" s="1" t="s">
        <v>15041</v>
      </c>
      <c r="Y247" s="1" t="s">
        <v>15042</v>
      </c>
      <c r="Z247" s="1" t="s">
        <v>15043</v>
      </c>
      <c r="AA247" s="1" t="s">
        <v>15044</v>
      </c>
      <c r="AB247" s="1" t="s">
        <v>15045</v>
      </c>
      <c r="AC247" s="1" t="s">
        <v>15046</v>
      </c>
      <c r="AD247" s="1" t="s">
        <v>15047</v>
      </c>
      <c r="AE247" s="1" t="s">
        <v>15048</v>
      </c>
      <c r="AF247" s="1" t="s">
        <v>13005</v>
      </c>
      <c r="AG247" s="1" t="s">
        <v>1507</v>
      </c>
      <c r="AH247" s="1">
        <v>11</v>
      </c>
      <c r="AI247" s="1">
        <v>0</v>
      </c>
      <c r="AJ247" s="1">
        <v>0</v>
      </c>
      <c r="AK247" s="1">
        <v>4</v>
      </c>
      <c r="AL247" s="1">
        <v>4</v>
      </c>
      <c r="AM247" s="1" t="s">
        <v>5645</v>
      </c>
      <c r="AN247" s="1" t="s">
        <v>5646</v>
      </c>
      <c r="AO247" s="1" t="s">
        <v>5647</v>
      </c>
      <c r="AP247" s="1" t="s">
        <v>15002</v>
      </c>
      <c r="AQ247" s="1" t="s">
        <v>1507</v>
      </c>
      <c r="AR247" s="1" t="s">
        <v>15003</v>
      </c>
      <c r="AS247" s="1" t="s">
        <v>15004</v>
      </c>
      <c r="AT247" s="1" t="s">
        <v>1507</v>
      </c>
      <c r="AU247" s="1" t="s">
        <v>1507</v>
      </c>
      <c r="AV247" s="1">
        <v>2023</v>
      </c>
      <c r="AW247" s="1" t="s">
        <v>1507</v>
      </c>
      <c r="AX247" s="1" t="s">
        <v>1507</v>
      </c>
      <c r="AY247" s="1" t="s">
        <v>1507</v>
      </c>
      <c r="AZ247" s="1" t="s">
        <v>1507</v>
      </c>
      <c r="BA247" s="1" t="s">
        <v>1507</v>
      </c>
      <c r="BB247" s="1" t="s">
        <v>1507</v>
      </c>
      <c r="BC247" s="1">
        <v>499</v>
      </c>
      <c r="BD247" s="1">
        <v>505</v>
      </c>
      <c r="BE247" s="1" t="s">
        <v>1507</v>
      </c>
      <c r="BF247" s="1" t="s">
        <v>13013</v>
      </c>
      <c r="BG247" s="1" t="str">
        <f>HYPERLINK("http://dx.doi.org/10.1109/ICDMW60847.2023.00071","http://dx.doi.org/10.1109/ICDMW60847.2023.00071")</f>
        <v>http://dx.doi.org/10.1109/ICDMW60847.2023.00071</v>
      </c>
      <c r="BH247" s="1" t="s">
        <v>1507</v>
      </c>
      <c r="BI247" s="1" t="s">
        <v>1507</v>
      </c>
      <c r="BJ247" s="1">
        <v>7</v>
      </c>
      <c r="BK247" s="1" t="s">
        <v>2230</v>
      </c>
      <c r="BL247" s="1" t="s">
        <v>5570</v>
      </c>
      <c r="BM247" s="1" t="s">
        <v>1577</v>
      </c>
      <c r="BN247" s="1" t="s">
        <v>15006</v>
      </c>
      <c r="BO247" s="1" t="s">
        <v>1507</v>
      </c>
      <c r="BP247" s="1" t="s">
        <v>1507</v>
      </c>
      <c r="BQ247" s="1" t="s">
        <v>1507</v>
      </c>
      <c r="BR247" s="1" t="s">
        <v>1507</v>
      </c>
      <c r="BS247" s="1" t="s">
        <v>13744</v>
      </c>
      <c r="BT247" s="1" t="s">
        <v>15049</v>
      </c>
      <c r="BU247" s="1" t="str">
        <f>HYPERLINK("https%3A%2F%2Fwww.webofscience.com%2Fwos%2Fwoscc%2Ffull-record%2FWOS:001164077500063","View Full Record in Web of Science")</f>
        <v>View Full Record in Web of Science</v>
      </c>
    </row>
    <row r="248" spans="1:73" x14ac:dyDescent="0.25">
      <c r="A248" s="1">
        <v>247</v>
      </c>
      <c r="B248" s="1" t="s">
        <v>1506</v>
      </c>
      <c r="C248" s="1" t="s">
        <v>3694</v>
      </c>
      <c r="D248" s="1" t="s">
        <v>1507</v>
      </c>
      <c r="E248" s="1" t="s">
        <v>1507</v>
      </c>
      <c r="F248" s="1" t="s">
        <v>1507</v>
      </c>
      <c r="G248" s="1" t="s">
        <v>3695</v>
      </c>
      <c r="H248" s="1" t="s">
        <v>1507</v>
      </c>
      <c r="I248" s="1" t="s">
        <v>1507</v>
      </c>
      <c r="J248" s="1" t="s">
        <v>3696</v>
      </c>
      <c r="K248" s="1" t="s">
        <v>2662</v>
      </c>
      <c r="L248" s="1" t="s">
        <v>1507</v>
      </c>
      <c r="M248" s="1" t="s">
        <v>1507</v>
      </c>
      <c r="N248" s="1" t="s">
        <v>42</v>
      </c>
      <c r="O248" s="1" t="s">
        <v>56</v>
      </c>
      <c r="P248" s="1" t="s">
        <v>1507</v>
      </c>
      <c r="Q248" s="1" t="s">
        <v>1507</v>
      </c>
      <c r="R248" s="1" t="s">
        <v>1507</v>
      </c>
      <c r="S248" s="1" t="s">
        <v>1507</v>
      </c>
      <c r="T248" s="1" t="s">
        <v>1507</v>
      </c>
      <c r="U248" s="1" t="s">
        <v>3697</v>
      </c>
      <c r="V248" s="1" t="s">
        <v>1507</v>
      </c>
      <c r="W248" s="1" t="s">
        <v>3698</v>
      </c>
      <c r="X248" s="1" t="s">
        <v>3699</v>
      </c>
      <c r="Y248" s="1" t="s">
        <v>3700</v>
      </c>
      <c r="Z248" s="1" t="s">
        <v>3701</v>
      </c>
      <c r="AA248" s="1" t="s">
        <v>3702</v>
      </c>
      <c r="AB248" s="1" t="s">
        <v>1507</v>
      </c>
      <c r="AC248" s="1" t="s">
        <v>3703</v>
      </c>
      <c r="AD248" s="1" t="s">
        <v>3704</v>
      </c>
      <c r="AE248" s="1" t="s">
        <v>3705</v>
      </c>
      <c r="AF248" s="1" t="s">
        <v>3706</v>
      </c>
      <c r="AG248" s="1" t="s">
        <v>1507</v>
      </c>
      <c r="AH248" s="1">
        <v>40</v>
      </c>
      <c r="AI248" s="1">
        <v>0</v>
      </c>
      <c r="AJ248" s="1">
        <v>0</v>
      </c>
      <c r="AK248" s="1">
        <v>11</v>
      </c>
      <c r="AL248" s="1">
        <v>11</v>
      </c>
      <c r="AM248" s="1" t="s">
        <v>1579</v>
      </c>
      <c r="AN248" s="1" t="s">
        <v>1580</v>
      </c>
      <c r="AO248" s="1" t="s">
        <v>1581</v>
      </c>
      <c r="AP248" s="1" t="s">
        <v>2673</v>
      </c>
      <c r="AQ248" s="1" t="s">
        <v>2674</v>
      </c>
      <c r="AR248" s="1" t="s">
        <v>1507</v>
      </c>
      <c r="AS248" s="1" t="s">
        <v>2675</v>
      </c>
      <c r="AT248" s="1" t="s">
        <v>2676</v>
      </c>
      <c r="AU248" s="1" t="s">
        <v>9054</v>
      </c>
      <c r="AV248" s="1">
        <v>2024</v>
      </c>
      <c r="AW248" s="1">
        <v>102</v>
      </c>
      <c r="AX248" s="1" t="s">
        <v>1507</v>
      </c>
      <c r="AY248" s="1" t="s">
        <v>1507</v>
      </c>
      <c r="AZ248" s="1" t="s">
        <v>1507</v>
      </c>
      <c r="BA248" s="1" t="s">
        <v>1507</v>
      </c>
      <c r="BB248" s="1" t="s">
        <v>1507</v>
      </c>
      <c r="BC248" s="1" t="s">
        <v>1507</v>
      </c>
      <c r="BD248" s="1" t="s">
        <v>1507</v>
      </c>
      <c r="BE248" s="1">
        <v>102022</v>
      </c>
      <c r="BF248" s="1" t="s">
        <v>3707</v>
      </c>
      <c r="BG248" s="1" t="str">
        <f>HYPERLINK("http://dx.doi.org/10.1016/j.inffus.2023.102022","http://dx.doi.org/10.1016/j.inffus.2023.102022")</f>
        <v>http://dx.doi.org/10.1016/j.inffus.2023.102022</v>
      </c>
      <c r="BH248" s="1" t="s">
        <v>1507</v>
      </c>
      <c r="BI248" s="1" t="s">
        <v>3689</v>
      </c>
      <c r="BJ248" s="1">
        <v>9</v>
      </c>
      <c r="BK248" s="1" t="s">
        <v>2678</v>
      </c>
      <c r="BL248" s="1" t="s">
        <v>1573</v>
      </c>
      <c r="BM248" s="1" t="s">
        <v>1577</v>
      </c>
      <c r="BN248" s="1" t="s">
        <v>3708</v>
      </c>
      <c r="BO248" s="1" t="s">
        <v>1507</v>
      </c>
      <c r="BP248" s="1" t="s">
        <v>1507</v>
      </c>
      <c r="BQ248" s="1" t="s">
        <v>1507</v>
      </c>
      <c r="BR248" s="1" t="s">
        <v>1507</v>
      </c>
      <c r="BS248" s="1" t="s">
        <v>13744</v>
      </c>
      <c r="BT248" s="1" t="s">
        <v>3709</v>
      </c>
      <c r="BU248" s="1" t="str">
        <f>HYPERLINK("https%3A%2F%2Fwww.webofscience.com%2Fwos%2Fwoscc%2Ffull-record%2FWOS:001083713100001","View Full Record in Web of Science")</f>
        <v>View Full Record in Web of Science</v>
      </c>
    </row>
    <row r="249" spans="1:73" x14ac:dyDescent="0.25">
      <c r="A249" s="1">
        <v>248</v>
      </c>
      <c r="B249" s="1" t="s">
        <v>1506</v>
      </c>
      <c r="C249" s="1" t="s">
        <v>14575</v>
      </c>
      <c r="D249" s="1" t="s">
        <v>1507</v>
      </c>
      <c r="E249" s="1" t="s">
        <v>1507</v>
      </c>
      <c r="F249" s="1" t="s">
        <v>1507</v>
      </c>
      <c r="G249" s="1" t="s">
        <v>14576</v>
      </c>
      <c r="H249" s="1" t="s">
        <v>1507</v>
      </c>
      <c r="I249" s="1" t="s">
        <v>1507</v>
      </c>
      <c r="J249" s="1" t="s">
        <v>14577</v>
      </c>
      <c r="K249" s="1" t="s">
        <v>14578</v>
      </c>
      <c r="L249" s="1" t="s">
        <v>1507</v>
      </c>
      <c r="M249" s="1" t="s">
        <v>1507</v>
      </c>
      <c r="N249" s="1" t="s">
        <v>42</v>
      </c>
      <c r="O249" s="1" t="s">
        <v>12366</v>
      </c>
      <c r="P249" s="1" t="s">
        <v>1507</v>
      </c>
      <c r="Q249" s="1" t="s">
        <v>1507</v>
      </c>
      <c r="R249" s="1" t="s">
        <v>1507</v>
      </c>
      <c r="S249" s="1" t="s">
        <v>1507</v>
      </c>
      <c r="T249" s="1" t="s">
        <v>1507</v>
      </c>
      <c r="U249" s="1" t="s">
        <v>1507</v>
      </c>
      <c r="V249" s="1" t="s">
        <v>14579</v>
      </c>
      <c r="W249" s="1" t="s">
        <v>14580</v>
      </c>
      <c r="X249" s="1" t="s">
        <v>14581</v>
      </c>
      <c r="Y249" s="1" t="s">
        <v>14582</v>
      </c>
      <c r="Z249" s="1" t="s">
        <v>14583</v>
      </c>
      <c r="AA249" s="1" t="s">
        <v>14584</v>
      </c>
      <c r="AB249" s="1" t="s">
        <v>14585</v>
      </c>
      <c r="AC249" s="1" t="s">
        <v>14586</v>
      </c>
      <c r="AD249" s="1" t="s">
        <v>14587</v>
      </c>
      <c r="AE249" s="1" t="s">
        <v>14588</v>
      </c>
      <c r="AF249" s="1" t="s">
        <v>14589</v>
      </c>
      <c r="AG249" s="1" t="s">
        <v>1507</v>
      </c>
      <c r="AH249" s="1">
        <v>108</v>
      </c>
      <c r="AI249" s="1">
        <v>13</v>
      </c>
      <c r="AJ249" s="1">
        <v>13</v>
      </c>
      <c r="AK249" s="1">
        <v>51</v>
      </c>
      <c r="AL249" s="1">
        <v>71</v>
      </c>
      <c r="AM249" s="1" t="s">
        <v>1601</v>
      </c>
      <c r="AN249" s="1" t="s">
        <v>1551</v>
      </c>
      <c r="AO249" s="1" t="s">
        <v>1602</v>
      </c>
      <c r="AP249" s="1" t="s">
        <v>14590</v>
      </c>
      <c r="AQ249" s="1" t="s">
        <v>14591</v>
      </c>
      <c r="AR249" s="1" t="s">
        <v>1507</v>
      </c>
      <c r="AS249" s="1" t="s">
        <v>14592</v>
      </c>
      <c r="AT249" s="1" t="s">
        <v>14593</v>
      </c>
      <c r="AU249" s="1" t="s">
        <v>14594</v>
      </c>
      <c r="AV249" s="1">
        <v>2023</v>
      </c>
      <c r="AW249" s="1">
        <v>15</v>
      </c>
      <c r="AX249" s="1">
        <v>1</v>
      </c>
      <c r="AY249" s="1" t="s">
        <v>1507</v>
      </c>
      <c r="AZ249" s="1" t="s">
        <v>1507</v>
      </c>
      <c r="BA249" s="1" t="s">
        <v>1507</v>
      </c>
      <c r="BB249" s="1" t="s">
        <v>1507</v>
      </c>
      <c r="BC249" s="1" t="s">
        <v>1507</v>
      </c>
      <c r="BD249" s="1" t="s">
        <v>1507</v>
      </c>
      <c r="BE249" s="1">
        <v>29</v>
      </c>
      <c r="BF249" s="1" t="s">
        <v>14595</v>
      </c>
      <c r="BG249" s="1" t="str">
        <f>HYPERLINK("http://dx.doi.org/10.1038/s41368-023-00239-y","http://dx.doi.org/10.1038/s41368-023-00239-y")</f>
        <v>http://dx.doi.org/10.1038/s41368-023-00239-y</v>
      </c>
      <c r="BH249" s="1" t="s">
        <v>1507</v>
      </c>
      <c r="BI249" s="1" t="s">
        <v>1507</v>
      </c>
      <c r="BJ249" s="1">
        <v>13</v>
      </c>
      <c r="BK249" s="1" t="s">
        <v>6941</v>
      </c>
      <c r="BL249" s="1" t="s">
        <v>1573</v>
      </c>
      <c r="BM249" s="1" t="s">
        <v>6941</v>
      </c>
      <c r="BN249" s="1" t="s">
        <v>14596</v>
      </c>
      <c r="BO249" s="1">
        <v>37507396</v>
      </c>
      <c r="BP249" s="1" t="s">
        <v>4312</v>
      </c>
      <c r="BQ249" s="1" t="s">
        <v>1507</v>
      </c>
      <c r="BR249" s="1" t="s">
        <v>1507</v>
      </c>
      <c r="BS249" s="1" t="s">
        <v>13744</v>
      </c>
      <c r="BT249" s="1" t="s">
        <v>14597</v>
      </c>
      <c r="BU249" s="1" t="str">
        <f>HYPERLINK("https%3A%2F%2Fwww.webofscience.com%2Fwos%2Fwoscc%2Ffull-record%2FWOS:001039606900001","View Full Record in Web of Science")</f>
        <v>View Full Record in Web of Science</v>
      </c>
    </row>
    <row r="250" spans="1:73" x14ac:dyDescent="0.25">
      <c r="A250" s="1">
        <v>249</v>
      </c>
      <c r="B250" s="1" t="s">
        <v>1506</v>
      </c>
      <c r="C250" s="1" t="s">
        <v>5974</v>
      </c>
      <c r="D250" s="1" t="s">
        <v>1507</v>
      </c>
      <c r="E250" s="1" t="s">
        <v>1507</v>
      </c>
      <c r="F250" s="1" t="s">
        <v>1507</v>
      </c>
      <c r="G250" s="1" t="s">
        <v>5975</v>
      </c>
      <c r="H250" s="1" t="s">
        <v>1507</v>
      </c>
      <c r="I250" s="1" t="s">
        <v>1507</v>
      </c>
      <c r="J250" s="1" t="s">
        <v>995</v>
      </c>
      <c r="K250" s="1" t="s">
        <v>5976</v>
      </c>
      <c r="L250" s="1" t="s">
        <v>1507</v>
      </c>
      <c r="M250" s="1" t="s">
        <v>1507</v>
      </c>
      <c r="N250" s="1" t="s">
        <v>42</v>
      </c>
      <c r="O250" s="1" t="s">
        <v>56</v>
      </c>
      <c r="P250" s="1" t="s">
        <v>1507</v>
      </c>
      <c r="Q250" s="1" t="s">
        <v>1507</v>
      </c>
      <c r="R250" s="1" t="s">
        <v>1507</v>
      </c>
      <c r="S250" s="1" t="s">
        <v>1507</v>
      </c>
      <c r="T250" s="1" t="s">
        <v>1507</v>
      </c>
      <c r="U250" s="1" t="s">
        <v>5977</v>
      </c>
      <c r="V250" s="1" t="s">
        <v>1507</v>
      </c>
      <c r="W250" s="1" t="s">
        <v>5978</v>
      </c>
      <c r="X250" s="1" t="s">
        <v>5979</v>
      </c>
      <c r="Y250" s="1" t="s">
        <v>5980</v>
      </c>
      <c r="Z250" s="1" t="s">
        <v>5981</v>
      </c>
      <c r="AA250" s="1" t="s">
        <v>5982</v>
      </c>
      <c r="AB250" s="1" t="s">
        <v>15050</v>
      </c>
      <c r="AC250" s="1" t="s">
        <v>15051</v>
      </c>
      <c r="AD250" s="1" t="s">
        <v>1507</v>
      </c>
      <c r="AE250" s="1" t="s">
        <v>1507</v>
      </c>
      <c r="AF250" s="1" t="s">
        <v>1507</v>
      </c>
      <c r="AG250" s="1" t="s">
        <v>1507</v>
      </c>
      <c r="AH250" s="1">
        <v>20</v>
      </c>
      <c r="AI250" s="1">
        <v>3</v>
      </c>
      <c r="AJ250" s="1">
        <v>3</v>
      </c>
      <c r="AK250" s="1">
        <v>12</v>
      </c>
      <c r="AL250" s="1">
        <v>12</v>
      </c>
      <c r="AM250" s="1" t="s">
        <v>1667</v>
      </c>
      <c r="AN250" s="1" t="s">
        <v>1668</v>
      </c>
      <c r="AO250" s="1" t="s">
        <v>1669</v>
      </c>
      <c r="AP250" s="1" t="s">
        <v>5983</v>
      </c>
      <c r="AQ250" s="1" t="s">
        <v>1507</v>
      </c>
      <c r="AR250" s="1" t="s">
        <v>1507</v>
      </c>
      <c r="AS250" s="1" t="s">
        <v>5984</v>
      </c>
      <c r="AT250" s="1" t="s">
        <v>1003</v>
      </c>
      <c r="AU250" s="1" t="s">
        <v>1507</v>
      </c>
      <c r="AV250" s="1">
        <v>2023</v>
      </c>
      <c r="AW250" s="1">
        <v>9</v>
      </c>
      <c r="AX250" s="1" t="s">
        <v>1507</v>
      </c>
      <c r="AY250" s="1" t="s">
        <v>1507</v>
      </c>
      <c r="AZ250" s="1" t="s">
        <v>1507</v>
      </c>
      <c r="BA250" s="1" t="s">
        <v>1507</v>
      </c>
      <c r="BB250" s="1" t="s">
        <v>1507</v>
      </c>
      <c r="BC250" s="1" t="s">
        <v>1507</v>
      </c>
      <c r="BD250" s="1" t="s">
        <v>1507</v>
      </c>
      <c r="BE250" s="1" t="s">
        <v>997</v>
      </c>
      <c r="BF250" s="1" t="s">
        <v>998</v>
      </c>
      <c r="BG250" s="1" t="str">
        <f>HYPERLINK("http://dx.doi.org/10.2196/50514","http://dx.doi.org/10.2196/50514")</f>
        <v>http://dx.doi.org/10.2196/50514</v>
      </c>
      <c r="BH250" s="1" t="s">
        <v>1507</v>
      </c>
      <c r="BI250" s="1" t="s">
        <v>1507</v>
      </c>
      <c r="BJ250" s="1">
        <v>9</v>
      </c>
      <c r="BK250" s="1" t="s">
        <v>2721</v>
      </c>
      <c r="BL250" s="1" t="s">
        <v>1529</v>
      </c>
      <c r="BM250" s="1" t="s">
        <v>1558</v>
      </c>
      <c r="BN250" s="1" t="s">
        <v>5985</v>
      </c>
      <c r="BO250" s="1">
        <v>37725411</v>
      </c>
      <c r="BP250" s="1" t="s">
        <v>1674</v>
      </c>
      <c r="BQ250" s="1" t="s">
        <v>1507</v>
      </c>
      <c r="BR250" s="1" t="s">
        <v>1507</v>
      </c>
      <c r="BS250" s="1" t="s">
        <v>13744</v>
      </c>
      <c r="BT250" s="1" t="s">
        <v>5986</v>
      </c>
      <c r="BU250" s="1" t="str">
        <f>HYPERLINK("https%3A%2F%2Fwww.webofscience.com%2Fwos%2Fwoscc%2Ffull-record%2FWOS:001085615600001","View Full Record in Web of Science")</f>
        <v>View Full Record in Web of Science</v>
      </c>
    </row>
    <row r="251" spans="1:73" x14ac:dyDescent="0.25">
      <c r="A251" s="1">
        <v>250</v>
      </c>
      <c r="B251" s="1" t="s">
        <v>1506</v>
      </c>
      <c r="C251" s="1" t="s">
        <v>11994</v>
      </c>
      <c r="D251" s="1" t="s">
        <v>1507</v>
      </c>
      <c r="E251" s="1" t="s">
        <v>1507</v>
      </c>
      <c r="F251" s="1" t="s">
        <v>1507</v>
      </c>
      <c r="G251" s="1" t="s">
        <v>11995</v>
      </c>
      <c r="H251" s="1" t="s">
        <v>1507</v>
      </c>
      <c r="I251" s="1" t="s">
        <v>1507</v>
      </c>
      <c r="J251" s="1" t="s">
        <v>11996</v>
      </c>
      <c r="K251" s="1" t="s">
        <v>11997</v>
      </c>
      <c r="L251" s="1" t="s">
        <v>1507</v>
      </c>
      <c r="M251" s="1" t="s">
        <v>1507</v>
      </c>
      <c r="N251" s="1" t="s">
        <v>42</v>
      </c>
      <c r="O251" s="1" t="s">
        <v>56</v>
      </c>
      <c r="P251" s="1" t="s">
        <v>1507</v>
      </c>
      <c r="Q251" s="1" t="s">
        <v>1507</v>
      </c>
      <c r="R251" s="1" t="s">
        <v>1507</v>
      </c>
      <c r="S251" s="1" t="s">
        <v>1507</v>
      </c>
      <c r="T251" s="1" t="s">
        <v>1507</v>
      </c>
      <c r="U251" s="1" t="s">
        <v>11998</v>
      </c>
      <c r="V251" s="1" t="s">
        <v>1507</v>
      </c>
      <c r="W251" s="1" t="s">
        <v>11999</v>
      </c>
      <c r="X251" s="1" t="s">
        <v>12000</v>
      </c>
      <c r="Y251" s="1" t="s">
        <v>12001</v>
      </c>
      <c r="Z251" s="1" t="s">
        <v>12002</v>
      </c>
      <c r="AA251" s="1" t="s">
        <v>12003</v>
      </c>
      <c r="AB251" s="1" t="s">
        <v>12004</v>
      </c>
      <c r="AC251" s="1" t="s">
        <v>1507</v>
      </c>
      <c r="AD251" s="1" t="s">
        <v>12005</v>
      </c>
      <c r="AE251" s="1" t="s">
        <v>12006</v>
      </c>
      <c r="AF251" s="1" t="s">
        <v>12007</v>
      </c>
      <c r="AG251" s="1" t="s">
        <v>1507</v>
      </c>
      <c r="AH251" s="1">
        <v>16</v>
      </c>
      <c r="AI251" s="1">
        <v>1</v>
      </c>
      <c r="AJ251" s="1">
        <v>1</v>
      </c>
      <c r="AK251" s="1">
        <v>3</v>
      </c>
      <c r="AL251" s="1">
        <v>15</v>
      </c>
      <c r="AM251" s="1" t="s">
        <v>5178</v>
      </c>
      <c r="AN251" s="1" t="s">
        <v>5179</v>
      </c>
      <c r="AO251" s="1" t="s">
        <v>5180</v>
      </c>
      <c r="AP251" s="1" t="s">
        <v>12008</v>
      </c>
      <c r="AQ251" s="1" t="s">
        <v>12009</v>
      </c>
      <c r="AR251" s="1" t="s">
        <v>1507</v>
      </c>
      <c r="AS251" s="1" t="s">
        <v>12010</v>
      </c>
      <c r="AT251" s="1" t="s">
        <v>12011</v>
      </c>
      <c r="AU251" s="1" t="s">
        <v>1507</v>
      </c>
      <c r="AV251" s="1">
        <v>2018</v>
      </c>
      <c r="AW251" s="1">
        <v>90</v>
      </c>
      <c r="AX251" s="1">
        <v>1</v>
      </c>
      <c r="AY251" s="1" t="s">
        <v>1507</v>
      </c>
      <c r="AZ251" s="1" t="s">
        <v>1507</v>
      </c>
      <c r="BA251" s="1" t="s">
        <v>1507</v>
      </c>
      <c r="BB251" s="1" t="s">
        <v>1507</v>
      </c>
      <c r="BC251" s="1">
        <v>196</v>
      </c>
      <c r="BD251" s="1">
        <v>201</v>
      </c>
      <c r="BE251" s="1" t="s">
        <v>1507</v>
      </c>
      <c r="BF251" s="1" t="s">
        <v>12012</v>
      </c>
      <c r="BG251" s="1" t="str">
        <f>HYPERLINK("http://dx.doi.org/10.1108/AEAT-06-2016-0102","http://dx.doi.org/10.1108/AEAT-06-2016-0102")</f>
        <v>http://dx.doi.org/10.1108/AEAT-06-2016-0102</v>
      </c>
      <c r="BH251" s="1" t="s">
        <v>1507</v>
      </c>
      <c r="BI251" s="1" t="s">
        <v>1507</v>
      </c>
      <c r="BJ251" s="1">
        <v>6</v>
      </c>
      <c r="BK251" s="1" t="s">
        <v>11432</v>
      </c>
      <c r="BL251" s="1" t="s">
        <v>1573</v>
      </c>
      <c r="BM251" s="1" t="s">
        <v>3691</v>
      </c>
      <c r="BN251" s="1" t="s">
        <v>12013</v>
      </c>
      <c r="BO251" s="1" t="s">
        <v>1507</v>
      </c>
      <c r="BP251" s="1" t="s">
        <v>1507</v>
      </c>
      <c r="BQ251" s="1" t="s">
        <v>1507</v>
      </c>
      <c r="BR251" s="1" t="s">
        <v>1507</v>
      </c>
      <c r="BS251" s="1" t="s">
        <v>13744</v>
      </c>
      <c r="BT251" s="1" t="s">
        <v>12014</v>
      </c>
      <c r="BU251" s="1" t="str">
        <f>HYPERLINK("https%3A%2F%2Fwww.webofscience.com%2Fwos%2Fwoscc%2Ffull-record%2FWOS:000424215400021","View Full Record in Web of Science")</f>
        <v>View Full Record in Web of Science</v>
      </c>
    </row>
    <row r="252" spans="1:73" x14ac:dyDescent="0.25">
      <c r="A252" s="1">
        <v>251</v>
      </c>
      <c r="B252" s="1" t="s">
        <v>1506</v>
      </c>
      <c r="C252" s="1" t="s">
        <v>3862</v>
      </c>
      <c r="D252" s="1" t="s">
        <v>1507</v>
      </c>
      <c r="E252" s="1" t="s">
        <v>1507</v>
      </c>
      <c r="F252" s="1" t="s">
        <v>1507</v>
      </c>
      <c r="G252" s="1" t="s">
        <v>3863</v>
      </c>
      <c r="H252" s="1" t="s">
        <v>1507</v>
      </c>
      <c r="I252" s="1" t="s">
        <v>1507</v>
      </c>
      <c r="J252" s="1" t="s">
        <v>966</v>
      </c>
      <c r="K252" s="1" t="s">
        <v>3864</v>
      </c>
      <c r="L252" s="1" t="s">
        <v>1507</v>
      </c>
      <c r="M252" s="1" t="s">
        <v>1507</v>
      </c>
      <c r="N252" s="1" t="s">
        <v>42</v>
      </c>
      <c r="O252" s="1" t="s">
        <v>56</v>
      </c>
      <c r="P252" s="1" t="s">
        <v>1507</v>
      </c>
      <c r="Q252" s="1" t="s">
        <v>1507</v>
      </c>
      <c r="R252" s="1" t="s">
        <v>1507</v>
      </c>
      <c r="S252" s="1" t="s">
        <v>1507</v>
      </c>
      <c r="T252" s="1" t="s">
        <v>1507</v>
      </c>
      <c r="U252" s="1" t="s">
        <v>3865</v>
      </c>
      <c r="V252" s="1" t="s">
        <v>3866</v>
      </c>
      <c r="W252" s="1" t="s">
        <v>3867</v>
      </c>
      <c r="X252" s="1" t="s">
        <v>3868</v>
      </c>
      <c r="Y252" s="1" t="s">
        <v>3869</v>
      </c>
      <c r="Z252" s="1" t="s">
        <v>3870</v>
      </c>
      <c r="AA252" s="1" t="s">
        <v>3871</v>
      </c>
      <c r="AB252" s="1" t="s">
        <v>1507</v>
      </c>
      <c r="AC252" s="1" t="s">
        <v>3872</v>
      </c>
      <c r="AD252" s="1" t="s">
        <v>1507</v>
      </c>
      <c r="AE252" s="1" t="s">
        <v>1507</v>
      </c>
      <c r="AF252" s="1" t="s">
        <v>1507</v>
      </c>
      <c r="AG252" s="1" t="s">
        <v>1507</v>
      </c>
      <c r="AH252" s="1">
        <v>53</v>
      </c>
      <c r="AI252" s="1">
        <v>4</v>
      </c>
      <c r="AJ252" s="1">
        <v>4</v>
      </c>
      <c r="AK252" s="1">
        <v>16</v>
      </c>
      <c r="AL252" s="1">
        <v>17</v>
      </c>
      <c r="AM252" s="1" t="s">
        <v>1564</v>
      </c>
      <c r="AN252" s="1" t="s">
        <v>1565</v>
      </c>
      <c r="AO252" s="1" t="s">
        <v>1566</v>
      </c>
      <c r="AP252" s="1" t="s">
        <v>3873</v>
      </c>
      <c r="AQ252" s="1" t="s">
        <v>1507</v>
      </c>
      <c r="AR252" s="1" t="s">
        <v>1507</v>
      </c>
      <c r="AS252" s="1" t="s">
        <v>3874</v>
      </c>
      <c r="AT252" s="1" t="s">
        <v>975</v>
      </c>
      <c r="AU252" s="1" t="s">
        <v>3855</v>
      </c>
      <c r="AV252" s="1">
        <v>2023</v>
      </c>
      <c r="AW252" s="1">
        <v>13</v>
      </c>
      <c r="AX252" s="1" t="s">
        <v>1507</v>
      </c>
      <c r="AY252" s="1" t="s">
        <v>1507</v>
      </c>
      <c r="AZ252" s="1" t="s">
        <v>1507</v>
      </c>
      <c r="BA252" s="1" t="s">
        <v>1507</v>
      </c>
      <c r="BB252" s="1" t="s">
        <v>1507</v>
      </c>
      <c r="BC252" s="1" t="s">
        <v>1507</v>
      </c>
      <c r="BD252" s="1" t="s">
        <v>1507</v>
      </c>
      <c r="BE252" s="1">
        <v>1265024</v>
      </c>
      <c r="BF252" s="1" t="s">
        <v>968</v>
      </c>
      <c r="BG252" s="1" t="str">
        <f>HYPERLINK("http://dx.doi.org/10.3389/fonc.2023.1265024","http://dx.doi.org/10.3389/fonc.2023.1265024")</f>
        <v>http://dx.doi.org/10.3389/fonc.2023.1265024</v>
      </c>
      <c r="BH252" s="1" t="s">
        <v>1507</v>
      </c>
      <c r="BI252" s="1" t="s">
        <v>1507</v>
      </c>
      <c r="BJ252" s="1">
        <v>13</v>
      </c>
      <c r="BK252" s="1" t="s">
        <v>3875</v>
      </c>
      <c r="BL252" s="1" t="s">
        <v>1573</v>
      </c>
      <c r="BM252" s="1" t="s">
        <v>3875</v>
      </c>
      <c r="BN252" s="1" t="s">
        <v>3876</v>
      </c>
      <c r="BO252" s="1">
        <v>37790756</v>
      </c>
      <c r="BP252" s="1" t="s">
        <v>1674</v>
      </c>
      <c r="BQ252" s="1" t="s">
        <v>1507</v>
      </c>
      <c r="BR252" s="1" t="s">
        <v>1507</v>
      </c>
      <c r="BS252" s="1" t="s">
        <v>13744</v>
      </c>
      <c r="BT252" s="1" t="s">
        <v>3877</v>
      </c>
      <c r="BU252" s="1" t="str">
        <f>HYPERLINK("https%3A%2F%2Fwww.webofscience.com%2Fwos%2Fwoscc%2Ffull-record%2FWOS:001119288400001","View Full Record in Web of Science")</f>
        <v>View Full Record in Web of Science</v>
      </c>
    </row>
    <row r="253" spans="1:73" x14ac:dyDescent="0.25">
      <c r="A253" s="1">
        <v>252</v>
      </c>
      <c r="B253" s="1" t="s">
        <v>5546</v>
      </c>
      <c r="C253" s="1" t="s">
        <v>15052</v>
      </c>
      <c r="D253" s="1" t="s">
        <v>1507</v>
      </c>
      <c r="E253" s="1" t="s">
        <v>1507</v>
      </c>
      <c r="F253" s="1" t="s">
        <v>5548</v>
      </c>
      <c r="G253" s="1" t="s">
        <v>15053</v>
      </c>
      <c r="H253" s="1" t="s">
        <v>1507</v>
      </c>
      <c r="I253" s="1" t="s">
        <v>1507</v>
      </c>
      <c r="J253" s="1" t="s">
        <v>15054</v>
      </c>
      <c r="K253" s="1" t="s">
        <v>14923</v>
      </c>
      <c r="L253" s="1" t="s">
        <v>1507</v>
      </c>
      <c r="M253" s="1" t="s">
        <v>1507</v>
      </c>
      <c r="N253" s="1" t="s">
        <v>42</v>
      </c>
      <c r="O253" s="1" t="s">
        <v>5552</v>
      </c>
      <c r="P253" s="1" t="s">
        <v>14924</v>
      </c>
      <c r="Q253" s="1" t="s">
        <v>14925</v>
      </c>
      <c r="R253" s="1" t="s">
        <v>6272</v>
      </c>
      <c r="S253" s="1" t="s">
        <v>14926</v>
      </c>
      <c r="T253" s="1" t="s">
        <v>1507</v>
      </c>
      <c r="U253" s="1" t="s">
        <v>15055</v>
      </c>
      <c r="V253" s="1" t="s">
        <v>1507</v>
      </c>
      <c r="W253" s="1" t="s">
        <v>15056</v>
      </c>
      <c r="X253" s="1" t="s">
        <v>15057</v>
      </c>
      <c r="Y253" s="1" t="s">
        <v>15058</v>
      </c>
      <c r="Z253" s="1" t="s">
        <v>15059</v>
      </c>
      <c r="AA253" s="1" t="s">
        <v>15060</v>
      </c>
      <c r="AB253" s="1" t="s">
        <v>14933</v>
      </c>
      <c r="AC253" s="1" t="s">
        <v>15061</v>
      </c>
      <c r="AD253" s="1" t="s">
        <v>1507</v>
      </c>
      <c r="AE253" s="1" t="s">
        <v>1507</v>
      </c>
      <c r="AF253" s="1" t="s">
        <v>1507</v>
      </c>
      <c r="AG253" s="1" t="s">
        <v>1507</v>
      </c>
      <c r="AH253" s="1">
        <v>42</v>
      </c>
      <c r="AI253" s="1">
        <v>1</v>
      </c>
      <c r="AJ253" s="1">
        <v>1</v>
      </c>
      <c r="AK253" s="1">
        <v>0</v>
      </c>
      <c r="AL253" s="1">
        <v>0</v>
      </c>
      <c r="AM253" s="1" t="s">
        <v>5565</v>
      </c>
      <c r="AN253" s="1" t="s">
        <v>1512</v>
      </c>
      <c r="AO253" s="1" t="s">
        <v>5566</v>
      </c>
      <c r="AP253" s="1" t="s">
        <v>1507</v>
      </c>
      <c r="AQ253" s="1" t="s">
        <v>1507</v>
      </c>
      <c r="AR253" s="1" t="s">
        <v>14938</v>
      </c>
      <c r="AS253" s="1" t="s">
        <v>1507</v>
      </c>
      <c r="AT253" s="1" t="s">
        <v>1507</v>
      </c>
      <c r="AU253" s="1" t="s">
        <v>1507</v>
      </c>
      <c r="AV253" s="1">
        <v>2023</v>
      </c>
      <c r="AW253" s="1" t="s">
        <v>1507</v>
      </c>
      <c r="AX253" s="1" t="s">
        <v>1507</v>
      </c>
      <c r="AY253" s="1" t="s">
        <v>1507</v>
      </c>
      <c r="AZ253" s="1" t="s">
        <v>1507</v>
      </c>
      <c r="BA253" s="1" t="s">
        <v>1507</v>
      </c>
      <c r="BB253" s="1" t="s">
        <v>1507</v>
      </c>
      <c r="BC253" s="1">
        <v>325</v>
      </c>
      <c r="BD253" s="1">
        <v>329</v>
      </c>
      <c r="BE253" s="1" t="s">
        <v>1507</v>
      </c>
      <c r="BF253" s="1" t="s">
        <v>15062</v>
      </c>
      <c r="BG253" s="1" t="str">
        <f>HYPERLINK("http://dx.doi.org/10.1145/3591196.3596818","http://dx.doi.org/10.1145/3591196.3596818")</f>
        <v>http://dx.doi.org/10.1145/3591196.3596818</v>
      </c>
      <c r="BH253" s="1" t="s">
        <v>1507</v>
      </c>
      <c r="BI253" s="1" t="s">
        <v>1507</v>
      </c>
      <c r="BJ253" s="1">
        <v>5</v>
      </c>
      <c r="BK253" s="1" t="s">
        <v>14940</v>
      </c>
      <c r="BL253" s="1" t="s">
        <v>5695</v>
      </c>
      <c r="BM253" s="1" t="s">
        <v>14941</v>
      </c>
      <c r="BN253" s="1" t="s">
        <v>14942</v>
      </c>
      <c r="BO253" s="1" t="s">
        <v>1507</v>
      </c>
      <c r="BP253" s="1" t="s">
        <v>1507</v>
      </c>
      <c r="BQ253" s="1" t="s">
        <v>1507</v>
      </c>
      <c r="BR253" s="1" t="s">
        <v>1507</v>
      </c>
      <c r="BS253" s="1" t="s">
        <v>13744</v>
      </c>
      <c r="BT253" s="1" t="s">
        <v>15063</v>
      </c>
      <c r="BU253" s="1" t="str">
        <f>HYPERLINK("https%3A%2F%2Fwww.webofscience.com%2Fwos%2Fwoscc%2Ffull-record%2FWOS:001119074200044","View Full Record in Web of Science")</f>
        <v>View Full Record in Web of Science</v>
      </c>
    </row>
    <row r="254" spans="1:73" x14ac:dyDescent="0.25">
      <c r="A254" s="1">
        <v>253</v>
      </c>
      <c r="B254" s="1" t="s">
        <v>1506</v>
      </c>
      <c r="C254" s="1" t="s">
        <v>14102</v>
      </c>
      <c r="D254" s="1" t="s">
        <v>1507</v>
      </c>
      <c r="E254" s="1" t="s">
        <v>1507</v>
      </c>
      <c r="F254" s="1" t="s">
        <v>1507</v>
      </c>
      <c r="G254" s="1" t="s">
        <v>14103</v>
      </c>
      <c r="H254" s="1" t="s">
        <v>1507</v>
      </c>
      <c r="I254" s="1" t="s">
        <v>1507</v>
      </c>
      <c r="J254" s="1" t="s">
        <v>600</v>
      </c>
      <c r="K254" s="1" t="s">
        <v>14104</v>
      </c>
      <c r="L254" s="1" t="s">
        <v>1507</v>
      </c>
      <c r="M254" s="1" t="s">
        <v>1507</v>
      </c>
      <c r="N254" s="1" t="s">
        <v>42</v>
      </c>
      <c r="O254" s="1" t="s">
        <v>56</v>
      </c>
      <c r="P254" s="1" t="s">
        <v>1507</v>
      </c>
      <c r="Q254" s="1" t="s">
        <v>1507</v>
      </c>
      <c r="R254" s="1" t="s">
        <v>1507</v>
      </c>
      <c r="S254" s="1" t="s">
        <v>1507</v>
      </c>
      <c r="T254" s="1" t="s">
        <v>1507</v>
      </c>
      <c r="U254" s="1" t="s">
        <v>14105</v>
      </c>
      <c r="V254" s="1" t="s">
        <v>1507</v>
      </c>
      <c r="W254" s="1" t="s">
        <v>14106</v>
      </c>
      <c r="X254" s="1" t="s">
        <v>14107</v>
      </c>
      <c r="Y254" s="1" t="s">
        <v>14108</v>
      </c>
      <c r="Z254" s="1" t="s">
        <v>14109</v>
      </c>
      <c r="AA254" s="1" t="s">
        <v>14110</v>
      </c>
      <c r="AB254" s="1" t="s">
        <v>14111</v>
      </c>
      <c r="AC254" s="1" t="s">
        <v>14112</v>
      </c>
      <c r="AD254" s="1" t="s">
        <v>14113</v>
      </c>
      <c r="AE254" s="1" t="s">
        <v>14114</v>
      </c>
      <c r="AF254" s="1" t="s">
        <v>13575</v>
      </c>
      <c r="AG254" s="1" t="s">
        <v>1507</v>
      </c>
      <c r="AH254" s="1">
        <v>28</v>
      </c>
      <c r="AI254" s="1">
        <v>0</v>
      </c>
      <c r="AJ254" s="1">
        <v>0</v>
      </c>
      <c r="AK254" s="1">
        <v>0</v>
      </c>
      <c r="AL254" s="1">
        <v>0</v>
      </c>
      <c r="AM254" s="1" t="s">
        <v>4605</v>
      </c>
      <c r="AN254" s="1" t="s">
        <v>4606</v>
      </c>
      <c r="AO254" s="1" t="s">
        <v>4607</v>
      </c>
      <c r="AP254" s="1" t="s">
        <v>14115</v>
      </c>
      <c r="AQ254" s="1" t="s">
        <v>1507</v>
      </c>
      <c r="AR254" s="1" t="s">
        <v>1507</v>
      </c>
      <c r="AS254" s="1" t="s">
        <v>14116</v>
      </c>
      <c r="AT254" s="1" t="s">
        <v>14117</v>
      </c>
      <c r="AU254" s="1" t="s">
        <v>2771</v>
      </c>
      <c r="AV254" s="1">
        <v>2023</v>
      </c>
      <c r="AW254" s="1">
        <v>5</v>
      </c>
      <c r="AX254" s="1">
        <v>6</v>
      </c>
      <c r="AY254" s="1" t="s">
        <v>1507</v>
      </c>
      <c r="AZ254" s="1" t="s">
        <v>1507</v>
      </c>
      <c r="BA254" s="1" t="s">
        <v>1507</v>
      </c>
      <c r="BB254" s="1" t="s">
        <v>1507</v>
      </c>
      <c r="BC254" s="1" t="s">
        <v>1507</v>
      </c>
      <c r="BD254" s="1" t="s">
        <v>1507</v>
      </c>
      <c r="BE254" s="1" t="s">
        <v>602</v>
      </c>
      <c r="BF254" s="1" t="s">
        <v>603</v>
      </c>
      <c r="BG254" s="1" t="str">
        <f>HYPERLINK("http://dx.doi.org/10.1148/ryai.220281","http://dx.doi.org/10.1148/ryai.220281")</f>
        <v>http://dx.doi.org/10.1148/ryai.220281</v>
      </c>
      <c r="BH254" s="1" t="s">
        <v>1507</v>
      </c>
      <c r="BI254" s="1" t="s">
        <v>1507</v>
      </c>
      <c r="BJ254" s="1">
        <v>8</v>
      </c>
      <c r="BK254" s="1" t="s">
        <v>14118</v>
      </c>
      <c r="BL254" s="1" t="s">
        <v>1529</v>
      </c>
      <c r="BM254" s="1" t="s">
        <v>14119</v>
      </c>
      <c r="BN254" s="1" t="s">
        <v>14120</v>
      </c>
      <c r="BO254" s="1">
        <v>38074793</v>
      </c>
      <c r="BP254" s="1" t="s">
        <v>7508</v>
      </c>
      <c r="BQ254" s="1" t="s">
        <v>1507</v>
      </c>
      <c r="BR254" s="1" t="s">
        <v>1507</v>
      </c>
      <c r="BS254" s="1" t="s">
        <v>13744</v>
      </c>
      <c r="BT254" s="1" t="s">
        <v>14121</v>
      </c>
      <c r="BU254" s="1" t="str">
        <f>HYPERLINK("https%3A%2F%2Fwww.webofscience.com%2Fwos%2Fwoscc%2Ffull-record%2FWOS:001172477100003","View Full Record in Web of Science")</f>
        <v>View Full Record in Web of Science</v>
      </c>
    </row>
    <row r="255" spans="1:73" x14ac:dyDescent="0.25">
      <c r="A255" s="1">
        <v>254</v>
      </c>
      <c r="B255" s="1" t="s">
        <v>1506</v>
      </c>
      <c r="C255" s="1" t="s">
        <v>4171</v>
      </c>
      <c r="D255" s="1" t="s">
        <v>1507</v>
      </c>
      <c r="E255" s="1" t="s">
        <v>1507</v>
      </c>
      <c r="F255" s="1" t="s">
        <v>1507</v>
      </c>
      <c r="G255" s="1" t="s">
        <v>4172</v>
      </c>
      <c r="H255" s="1" t="s">
        <v>1507</v>
      </c>
      <c r="I255" s="1" t="s">
        <v>1507</v>
      </c>
      <c r="J255" s="1" t="s">
        <v>4173</v>
      </c>
      <c r="K255" s="1" t="s">
        <v>4174</v>
      </c>
      <c r="L255" s="1" t="s">
        <v>1507</v>
      </c>
      <c r="M255" s="1" t="s">
        <v>1507</v>
      </c>
      <c r="N255" s="1" t="s">
        <v>42</v>
      </c>
      <c r="O255" s="1" t="s">
        <v>56</v>
      </c>
      <c r="P255" s="1" t="s">
        <v>1507</v>
      </c>
      <c r="Q255" s="1" t="s">
        <v>1507</v>
      </c>
      <c r="R255" s="1" t="s">
        <v>1507</v>
      </c>
      <c r="S255" s="1" t="s">
        <v>1507</v>
      </c>
      <c r="T255" s="1" t="s">
        <v>1507</v>
      </c>
      <c r="U255" s="1" t="s">
        <v>4175</v>
      </c>
      <c r="V255" s="1" t="s">
        <v>1507</v>
      </c>
      <c r="W255" s="1" t="s">
        <v>4176</v>
      </c>
      <c r="X255" s="1" t="s">
        <v>4177</v>
      </c>
      <c r="Y255" s="1" t="s">
        <v>4178</v>
      </c>
      <c r="Z255" s="1" t="s">
        <v>4179</v>
      </c>
      <c r="AA255" s="1" t="s">
        <v>4180</v>
      </c>
      <c r="AB255" s="1" t="s">
        <v>1507</v>
      </c>
      <c r="AC255" s="1" t="s">
        <v>1507</v>
      </c>
      <c r="AD255" s="1" t="s">
        <v>4181</v>
      </c>
      <c r="AE255" s="1" t="s">
        <v>4182</v>
      </c>
      <c r="AF255" s="1" t="s">
        <v>4183</v>
      </c>
      <c r="AG255" s="1" t="s">
        <v>1507</v>
      </c>
      <c r="AH255" s="1">
        <v>30</v>
      </c>
      <c r="AI255" s="1">
        <v>0</v>
      </c>
      <c r="AJ255" s="1">
        <v>0</v>
      </c>
      <c r="AK255" s="1">
        <v>4</v>
      </c>
      <c r="AL255" s="1">
        <v>7</v>
      </c>
      <c r="AM255" s="1" t="s">
        <v>1900</v>
      </c>
      <c r="AN255" s="1" t="s">
        <v>1583</v>
      </c>
      <c r="AO255" s="1" t="s">
        <v>1901</v>
      </c>
      <c r="AP255" s="1" t="s">
        <v>4184</v>
      </c>
      <c r="AQ255" s="1" t="s">
        <v>4185</v>
      </c>
      <c r="AR255" s="1" t="s">
        <v>1507</v>
      </c>
      <c r="AS255" s="1" t="s">
        <v>4186</v>
      </c>
      <c r="AT255" s="1" t="s">
        <v>4187</v>
      </c>
      <c r="AU255" s="1" t="s">
        <v>4188</v>
      </c>
      <c r="AV255" s="1">
        <v>2023</v>
      </c>
      <c r="AW255" s="1">
        <v>234</v>
      </c>
      <c r="AX255" s="1" t="s">
        <v>1507</v>
      </c>
      <c r="AY255" s="1" t="s">
        <v>1507</v>
      </c>
      <c r="AZ255" s="1" t="s">
        <v>1507</v>
      </c>
      <c r="BA255" s="1" t="s">
        <v>1507</v>
      </c>
      <c r="BB255" s="1" t="s">
        <v>1507</v>
      </c>
      <c r="BC255" s="1" t="s">
        <v>1507</v>
      </c>
      <c r="BD255" s="1" t="s">
        <v>1507</v>
      </c>
      <c r="BE255" s="1">
        <v>121029</v>
      </c>
      <c r="BF255" s="1" t="s">
        <v>4189</v>
      </c>
      <c r="BG255" s="1" t="str">
        <f>HYPERLINK("http://dx.doi.org/10.1016/j.eswa.2023.121029","http://dx.doi.org/10.1016/j.eswa.2023.121029")</f>
        <v>http://dx.doi.org/10.1016/j.eswa.2023.121029</v>
      </c>
      <c r="BH255" s="1" t="s">
        <v>1507</v>
      </c>
      <c r="BI255" s="1" t="s">
        <v>4056</v>
      </c>
      <c r="BJ255" s="1">
        <v>8</v>
      </c>
      <c r="BK255" s="1" t="s">
        <v>4190</v>
      </c>
      <c r="BL255" s="1" t="s">
        <v>1573</v>
      </c>
      <c r="BM255" s="1" t="s">
        <v>4191</v>
      </c>
      <c r="BN255" s="1" t="s">
        <v>4192</v>
      </c>
      <c r="BO255" s="1" t="s">
        <v>1507</v>
      </c>
      <c r="BP255" s="1" t="s">
        <v>1507</v>
      </c>
      <c r="BQ255" s="1" t="s">
        <v>1507</v>
      </c>
      <c r="BR255" s="1" t="s">
        <v>1507</v>
      </c>
      <c r="BS255" s="1" t="s">
        <v>13744</v>
      </c>
      <c r="BT255" s="1" t="s">
        <v>4193</v>
      </c>
      <c r="BU255" s="1" t="str">
        <f>HYPERLINK("https%3A%2F%2Fwww.webofscience.com%2Fwos%2Fwoscc%2Ffull-record%2FWOS:001059384300001","View Full Record in Web of Science")</f>
        <v>View Full Record in Web of Science</v>
      </c>
    </row>
    <row r="256" spans="1:73" x14ac:dyDescent="0.25">
      <c r="A256" s="1">
        <v>255</v>
      </c>
      <c r="B256" s="1" t="s">
        <v>1506</v>
      </c>
      <c r="C256" s="1" t="s">
        <v>9696</v>
      </c>
      <c r="D256" s="1" t="s">
        <v>1507</v>
      </c>
      <c r="E256" s="1" t="s">
        <v>1507</v>
      </c>
      <c r="F256" s="1" t="s">
        <v>1507</v>
      </c>
      <c r="G256" s="1" t="s">
        <v>9697</v>
      </c>
      <c r="H256" s="1" t="s">
        <v>1507</v>
      </c>
      <c r="I256" s="1" t="s">
        <v>1507</v>
      </c>
      <c r="J256" s="1" t="s">
        <v>9698</v>
      </c>
      <c r="K256" s="1" t="s">
        <v>9699</v>
      </c>
      <c r="L256" s="1" t="s">
        <v>1507</v>
      </c>
      <c r="M256" s="1" t="s">
        <v>1507</v>
      </c>
      <c r="N256" s="1" t="s">
        <v>42</v>
      </c>
      <c r="O256" s="1" t="s">
        <v>56</v>
      </c>
      <c r="P256" s="1" t="s">
        <v>1507</v>
      </c>
      <c r="Q256" s="1" t="s">
        <v>1507</v>
      </c>
      <c r="R256" s="1" t="s">
        <v>1507</v>
      </c>
      <c r="S256" s="1" t="s">
        <v>1507</v>
      </c>
      <c r="T256" s="1" t="s">
        <v>1507</v>
      </c>
      <c r="U256" s="1" t="s">
        <v>1507</v>
      </c>
      <c r="V256" s="1" t="s">
        <v>9700</v>
      </c>
      <c r="W256" s="1" t="s">
        <v>9701</v>
      </c>
      <c r="X256" s="1" t="s">
        <v>9702</v>
      </c>
      <c r="Y256" s="1" t="s">
        <v>4744</v>
      </c>
      <c r="Z256" s="1" t="s">
        <v>9703</v>
      </c>
      <c r="AA256" s="1" t="s">
        <v>4746</v>
      </c>
      <c r="AB256" s="1" t="s">
        <v>15803</v>
      </c>
      <c r="AC256" s="1" t="s">
        <v>15804</v>
      </c>
      <c r="AD256" s="1" t="s">
        <v>9704</v>
      </c>
      <c r="AE256" s="1" t="s">
        <v>9704</v>
      </c>
      <c r="AF256" s="1" t="s">
        <v>9705</v>
      </c>
      <c r="AG256" s="1" t="s">
        <v>1507</v>
      </c>
      <c r="AH256" s="1">
        <v>30</v>
      </c>
      <c r="AI256" s="1">
        <v>357</v>
      </c>
      <c r="AJ256" s="1">
        <v>379</v>
      </c>
      <c r="AK256" s="1">
        <v>1</v>
      </c>
      <c r="AL256" s="1">
        <v>43</v>
      </c>
      <c r="AM256" s="1" t="s">
        <v>1586</v>
      </c>
      <c r="AN256" s="1" t="s">
        <v>1587</v>
      </c>
      <c r="AO256" s="1" t="s">
        <v>1588</v>
      </c>
      <c r="AP256" s="1" t="s">
        <v>9706</v>
      </c>
      <c r="AQ256" s="1" t="s">
        <v>1507</v>
      </c>
      <c r="AR256" s="1" t="s">
        <v>1507</v>
      </c>
      <c r="AS256" s="1" t="s">
        <v>9707</v>
      </c>
      <c r="AT256" s="1" t="s">
        <v>9708</v>
      </c>
      <c r="AU256" s="1" t="s">
        <v>4556</v>
      </c>
      <c r="AV256" s="1">
        <v>2020</v>
      </c>
      <c r="AW256" s="1">
        <v>8</v>
      </c>
      <c r="AX256" s="1">
        <v>7</v>
      </c>
      <c r="AY256" s="1" t="s">
        <v>1507</v>
      </c>
      <c r="AZ256" s="1" t="s">
        <v>1507</v>
      </c>
      <c r="BA256" s="1" t="s">
        <v>1507</v>
      </c>
      <c r="BB256" s="1" t="s">
        <v>1507</v>
      </c>
      <c r="BC256" s="1">
        <v>687</v>
      </c>
      <c r="BD256" s="1">
        <v>695</v>
      </c>
      <c r="BE256" s="1" t="s">
        <v>1507</v>
      </c>
      <c r="BF256" s="1" t="s">
        <v>9709</v>
      </c>
      <c r="BG256" s="1" t="str">
        <f>HYPERLINK("http://dx.doi.org/10.1016/S2213-2600(20)30193-4","http://dx.doi.org/10.1016/S2213-2600(20)30193-4")</f>
        <v>http://dx.doi.org/10.1016/S2213-2600(20)30193-4</v>
      </c>
      <c r="BH256" s="1" t="s">
        <v>1507</v>
      </c>
      <c r="BI256" s="1" t="s">
        <v>1507</v>
      </c>
      <c r="BJ256" s="1">
        <v>9</v>
      </c>
      <c r="BK256" s="1" t="s">
        <v>9710</v>
      </c>
      <c r="BL256" s="1" t="s">
        <v>1573</v>
      </c>
      <c r="BM256" s="1" t="s">
        <v>9711</v>
      </c>
      <c r="BN256" s="1" t="s">
        <v>9712</v>
      </c>
      <c r="BO256" s="1">
        <v>32386571</v>
      </c>
      <c r="BP256" s="1" t="s">
        <v>2309</v>
      </c>
      <c r="BQ256" s="1" t="s">
        <v>1507</v>
      </c>
      <c r="BR256" s="1" t="s">
        <v>1507</v>
      </c>
      <c r="BS256" s="1" t="s">
        <v>13744</v>
      </c>
      <c r="BT256" s="1" t="s">
        <v>9714</v>
      </c>
      <c r="BU256" s="1" t="str">
        <f>HYPERLINK("https%3A%2F%2Fwww.webofscience.com%2Fwos%2Fwoscc%2Ffull-record%2FWOS:000547326600021","View Full Record in Web of Science")</f>
        <v>View Full Record in Web of Science</v>
      </c>
    </row>
    <row r="257" spans="1:73" x14ac:dyDescent="0.25">
      <c r="A257" s="1">
        <v>256</v>
      </c>
      <c r="B257" s="1" t="s">
        <v>1506</v>
      </c>
      <c r="C257" s="1" t="s">
        <v>7596</v>
      </c>
      <c r="D257" s="1" t="s">
        <v>1507</v>
      </c>
      <c r="E257" s="1" t="s">
        <v>1507</v>
      </c>
      <c r="F257" s="1" t="s">
        <v>1507</v>
      </c>
      <c r="G257" s="1" t="s">
        <v>7597</v>
      </c>
      <c r="H257" s="1" t="s">
        <v>1507</v>
      </c>
      <c r="I257" s="1" t="s">
        <v>1507</v>
      </c>
      <c r="J257" s="1" t="s">
        <v>7598</v>
      </c>
      <c r="K257" s="1" t="s">
        <v>1760</v>
      </c>
      <c r="L257" s="1" t="s">
        <v>1507</v>
      </c>
      <c r="M257" s="1" t="s">
        <v>1507</v>
      </c>
      <c r="N257" s="1" t="s">
        <v>42</v>
      </c>
      <c r="O257" s="1" t="s">
        <v>56</v>
      </c>
      <c r="P257" s="1" t="s">
        <v>1507</v>
      </c>
      <c r="Q257" s="1" t="s">
        <v>1507</v>
      </c>
      <c r="R257" s="1" t="s">
        <v>1507</v>
      </c>
      <c r="S257" s="1" t="s">
        <v>1507</v>
      </c>
      <c r="T257" s="1" t="s">
        <v>1507</v>
      </c>
      <c r="U257" s="1" t="s">
        <v>1507</v>
      </c>
      <c r="V257" s="1" t="s">
        <v>7599</v>
      </c>
      <c r="W257" s="1" t="s">
        <v>7600</v>
      </c>
      <c r="X257" s="1" t="s">
        <v>7601</v>
      </c>
      <c r="Y257" s="1" t="s">
        <v>7062</v>
      </c>
      <c r="Z257" s="1" t="s">
        <v>7602</v>
      </c>
      <c r="AA257" s="1" t="s">
        <v>4746</v>
      </c>
      <c r="AB257" s="1" t="s">
        <v>15663</v>
      </c>
      <c r="AC257" s="1" t="s">
        <v>7603</v>
      </c>
      <c r="AD257" s="1" t="s">
        <v>7604</v>
      </c>
      <c r="AE257" s="1" t="s">
        <v>7605</v>
      </c>
      <c r="AF257" s="1" t="s">
        <v>7606</v>
      </c>
      <c r="AG257" s="1" t="s">
        <v>1507</v>
      </c>
      <c r="AH257" s="1">
        <v>45</v>
      </c>
      <c r="AI257" s="1">
        <v>443</v>
      </c>
      <c r="AJ257" s="1">
        <v>491</v>
      </c>
      <c r="AK257" s="1">
        <v>18</v>
      </c>
      <c r="AL257" s="1">
        <v>104</v>
      </c>
      <c r="AM257" s="1" t="s">
        <v>1591</v>
      </c>
      <c r="AN257" s="1" t="s">
        <v>1592</v>
      </c>
      <c r="AO257" s="1" t="s">
        <v>1593</v>
      </c>
      <c r="AP257" s="1" t="s">
        <v>1770</v>
      </c>
      <c r="AQ257" s="1" t="s">
        <v>1771</v>
      </c>
      <c r="AR257" s="1" t="s">
        <v>1507</v>
      </c>
      <c r="AS257" s="1" t="s">
        <v>1760</v>
      </c>
      <c r="AT257" s="1" t="s">
        <v>1772</v>
      </c>
      <c r="AU257" s="1" t="s">
        <v>15664</v>
      </c>
      <c r="AV257" s="1">
        <v>2022</v>
      </c>
      <c r="AW257" s="1">
        <v>603</v>
      </c>
      <c r="AX257" s="1">
        <v>7902</v>
      </c>
      <c r="AY257" s="1" t="s">
        <v>1507</v>
      </c>
      <c r="AZ257" s="1" t="s">
        <v>1507</v>
      </c>
      <c r="BA257" s="1" t="s">
        <v>1507</v>
      </c>
      <c r="BB257" s="1" t="s">
        <v>1507</v>
      </c>
      <c r="BC257" s="1">
        <v>715</v>
      </c>
      <c r="BD257" s="1" t="s">
        <v>1774</v>
      </c>
      <c r="BE257" s="1" t="s">
        <v>1507</v>
      </c>
      <c r="BF257" s="1" t="s">
        <v>7607</v>
      </c>
      <c r="BG257" s="1" t="str">
        <f>HYPERLINK("http://dx.doi.org/10.1038/s41586-022-04479-6","http://dx.doi.org/10.1038/s41586-022-04479-6")</f>
        <v>http://dx.doi.org/10.1038/s41586-022-04479-6</v>
      </c>
      <c r="BH257" s="1" t="s">
        <v>1507</v>
      </c>
      <c r="BI257" s="1" t="s">
        <v>7483</v>
      </c>
      <c r="BJ257" s="1">
        <v>20</v>
      </c>
      <c r="BK257" s="1" t="s">
        <v>1776</v>
      </c>
      <c r="BL257" s="1" t="s">
        <v>1573</v>
      </c>
      <c r="BM257" s="1" t="s">
        <v>1777</v>
      </c>
      <c r="BN257" s="1" t="s">
        <v>7608</v>
      </c>
      <c r="BO257" s="1">
        <v>35104836</v>
      </c>
      <c r="BP257" s="1" t="s">
        <v>7776</v>
      </c>
      <c r="BQ257" s="1" t="s">
        <v>1507</v>
      </c>
      <c r="BR257" s="1" t="s">
        <v>1507</v>
      </c>
      <c r="BS257" s="1" t="s">
        <v>13744</v>
      </c>
      <c r="BT257" s="1" t="s">
        <v>7610</v>
      </c>
      <c r="BU257" s="1" t="str">
        <f>HYPERLINK("https%3A%2F%2Fwww.webofscience.com%2Fwos%2Fwoscc%2Ffull-record%2FWOS:000769826200001","View Full Record in Web of Science")</f>
        <v>View Full Record in Web of Science</v>
      </c>
    </row>
    <row r="258" spans="1:73" x14ac:dyDescent="0.25">
      <c r="A258" s="1">
        <v>257</v>
      </c>
      <c r="B258" s="1" t="s">
        <v>1506</v>
      </c>
      <c r="C258" s="1" t="s">
        <v>4739</v>
      </c>
      <c r="D258" s="1" t="s">
        <v>1507</v>
      </c>
      <c r="E258" s="1" t="s">
        <v>1507</v>
      </c>
      <c r="F258" s="1" t="s">
        <v>1507</v>
      </c>
      <c r="G258" s="1" t="s">
        <v>4740</v>
      </c>
      <c r="H258" s="1" t="s">
        <v>1507</v>
      </c>
      <c r="I258" s="1" t="s">
        <v>1507</v>
      </c>
      <c r="J258" s="1" t="s">
        <v>4741</v>
      </c>
      <c r="K258" s="1" t="s">
        <v>4742</v>
      </c>
      <c r="L258" s="1" t="s">
        <v>1507</v>
      </c>
      <c r="M258" s="1" t="s">
        <v>1507</v>
      </c>
      <c r="N258" s="1" t="s">
        <v>42</v>
      </c>
      <c r="O258" s="1" t="s">
        <v>56</v>
      </c>
      <c r="P258" s="1" t="s">
        <v>1507</v>
      </c>
      <c r="Q258" s="1" t="s">
        <v>1507</v>
      </c>
      <c r="R258" s="1" t="s">
        <v>1507</v>
      </c>
      <c r="S258" s="1" t="s">
        <v>1507</v>
      </c>
      <c r="T258" s="1" t="s">
        <v>1507</v>
      </c>
      <c r="U258" s="1" t="s">
        <v>1507</v>
      </c>
      <c r="V258" s="1" t="s">
        <v>1507</v>
      </c>
      <c r="W258" s="1" t="s">
        <v>1507</v>
      </c>
      <c r="X258" s="1" t="s">
        <v>4743</v>
      </c>
      <c r="Y258" s="1" t="s">
        <v>4744</v>
      </c>
      <c r="Z258" s="1" t="s">
        <v>4745</v>
      </c>
      <c r="AA258" s="1" t="s">
        <v>4746</v>
      </c>
      <c r="AB258" s="1" t="s">
        <v>14682</v>
      </c>
      <c r="AC258" s="1" t="s">
        <v>14683</v>
      </c>
      <c r="AD258" s="1" t="s">
        <v>4747</v>
      </c>
      <c r="AE258" s="1" t="s">
        <v>4748</v>
      </c>
      <c r="AF258" s="1" t="s">
        <v>4749</v>
      </c>
      <c r="AG258" s="1" t="s">
        <v>1507</v>
      </c>
      <c r="AH258" s="1">
        <v>8</v>
      </c>
      <c r="AI258" s="1">
        <v>1</v>
      </c>
      <c r="AJ258" s="1">
        <v>1</v>
      </c>
      <c r="AK258" s="1">
        <v>3</v>
      </c>
      <c r="AL258" s="1">
        <v>6</v>
      </c>
      <c r="AM258" s="1" t="s">
        <v>4750</v>
      </c>
      <c r="AN258" s="1" t="s">
        <v>4751</v>
      </c>
      <c r="AO258" s="1" t="s">
        <v>4752</v>
      </c>
      <c r="AP258" s="1" t="s">
        <v>4753</v>
      </c>
      <c r="AQ258" s="1" t="s">
        <v>4754</v>
      </c>
      <c r="AR258" s="1" t="s">
        <v>1507</v>
      </c>
      <c r="AS258" s="1" t="s">
        <v>4755</v>
      </c>
      <c r="AT258" s="1" t="s">
        <v>4756</v>
      </c>
      <c r="AU258" s="1" t="s">
        <v>4721</v>
      </c>
      <c r="AV258" s="1">
        <v>2023</v>
      </c>
      <c r="AW258" s="1">
        <v>29</v>
      </c>
      <c r="AX258" s="1">
        <v>6</v>
      </c>
      <c r="AY258" s="1" t="s">
        <v>1507</v>
      </c>
      <c r="AZ258" s="1" t="s">
        <v>1507</v>
      </c>
      <c r="BA258" s="1" t="s">
        <v>1507</v>
      </c>
      <c r="BB258" s="1" t="s">
        <v>1507</v>
      </c>
      <c r="BC258" s="1">
        <v>1210</v>
      </c>
      <c r="BD258" s="1">
        <v>1214</v>
      </c>
      <c r="BE258" s="1" t="s">
        <v>1507</v>
      </c>
      <c r="BF258" s="1" t="s">
        <v>4757</v>
      </c>
      <c r="BG258" s="1" t="str">
        <f>HYPERLINK("http://dx.doi.org/10.3201/eid2906.221680","http://dx.doi.org/10.3201/eid2906.221680")</f>
        <v>http://dx.doi.org/10.3201/eid2906.221680</v>
      </c>
      <c r="BH258" s="1" t="s">
        <v>1507</v>
      </c>
      <c r="BI258" s="1" t="s">
        <v>1507</v>
      </c>
      <c r="BJ258" s="1">
        <v>5</v>
      </c>
      <c r="BK258" s="1" t="s">
        <v>4758</v>
      </c>
      <c r="BL258" s="1" t="s">
        <v>1573</v>
      </c>
      <c r="BM258" s="1" t="s">
        <v>4758</v>
      </c>
      <c r="BN258" s="1" t="s">
        <v>4759</v>
      </c>
      <c r="BO258" s="1">
        <v>37095078</v>
      </c>
      <c r="BP258" s="1" t="s">
        <v>1674</v>
      </c>
      <c r="BQ258" s="1" t="s">
        <v>1507</v>
      </c>
      <c r="BR258" s="1" t="s">
        <v>1507</v>
      </c>
      <c r="BS258" s="1" t="s">
        <v>13744</v>
      </c>
      <c r="BT258" s="1" t="s">
        <v>4760</v>
      </c>
      <c r="BU258" s="1" t="str">
        <f>HYPERLINK("https%3A%2F%2Fwww.webofscience.com%2Fwos%2Fwoscc%2Ffull-record%2FWOS:001007464900016","View Full Record in Web of Science")</f>
        <v>View Full Record in Web of Science</v>
      </c>
    </row>
    <row r="259" spans="1:73" x14ac:dyDescent="0.25">
      <c r="A259" s="1">
        <v>258</v>
      </c>
      <c r="B259" s="1" t="s">
        <v>1506</v>
      </c>
      <c r="C259" s="1" t="s">
        <v>7055</v>
      </c>
      <c r="D259" s="1" t="s">
        <v>1507</v>
      </c>
      <c r="E259" s="1" t="s">
        <v>1507</v>
      </c>
      <c r="F259" s="1" t="s">
        <v>1507</v>
      </c>
      <c r="G259" s="1" t="s">
        <v>7056</v>
      </c>
      <c r="H259" s="1" t="s">
        <v>1507</v>
      </c>
      <c r="I259" s="1" t="s">
        <v>1507</v>
      </c>
      <c r="J259" s="1" t="s">
        <v>7057</v>
      </c>
      <c r="K259" s="1" t="s">
        <v>7058</v>
      </c>
      <c r="L259" s="1" t="s">
        <v>1507</v>
      </c>
      <c r="M259" s="1" t="s">
        <v>1507</v>
      </c>
      <c r="N259" s="1" t="s">
        <v>42</v>
      </c>
      <c r="O259" s="1" t="s">
        <v>56</v>
      </c>
      <c r="P259" s="1" t="s">
        <v>1507</v>
      </c>
      <c r="Q259" s="1" t="s">
        <v>1507</v>
      </c>
      <c r="R259" s="1" t="s">
        <v>1507</v>
      </c>
      <c r="S259" s="1" t="s">
        <v>1507</v>
      </c>
      <c r="T259" s="1" t="s">
        <v>1507</v>
      </c>
      <c r="U259" s="1" t="s">
        <v>7059</v>
      </c>
      <c r="V259" s="1" t="s">
        <v>1507</v>
      </c>
      <c r="W259" s="1" t="s">
        <v>7060</v>
      </c>
      <c r="X259" s="1" t="s">
        <v>7061</v>
      </c>
      <c r="Y259" s="1" t="s">
        <v>7062</v>
      </c>
      <c r="Z259" s="1" t="s">
        <v>4745</v>
      </c>
      <c r="AA259" s="1" t="s">
        <v>4746</v>
      </c>
      <c r="AB259" s="1" t="s">
        <v>15599</v>
      </c>
      <c r="AC259" s="1" t="s">
        <v>7063</v>
      </c>
      <c r="AD259" s="1" t="s">
        <v>7064</v>
      </c>
      <c r="AE259" s="1" t="s">
        <v>7065</v>
      </c>
      <c r="AF259" s="1" t="s">
        <v>7066</v>
      </c>
      <c r="AG259" s="1" t="s">
        <v>1507</v>
      </c>
      <c r="AH259" s="1">
        <v>26</v>
      </c>
      <c r="AI259" s="1">
        <v>37</v>
      </c>
      <c r="AJ259" s="1">
        <v>39</v>
      </c>
      <c r="AK259" s="1">
        <v>1</v>
      </c>
      <c r="AL259" s="1">
        <v>8</v>
      </c>
      <c r="AM259" s="1" t="s">
        <v>1579</v>
      </c>
      <c r="AN259" s="1" t="s">
        <v>1580</v>
      </c>
      <c r="AO259" s="1" t="s">
        <v>1581</v>
      </c>
      <c r="AP259" s="1" t="s">
        <v>7067</v>
      </c>
      <c r="AQ259" s="1" t="s">
        <v>1507</v>
      </c>
      <c r="AR259" s="1" t="s">
        <v>1507</v>
      </c>
      <c r="AS259" s="1" t="s">
        <v>7058</v>
      </c>
      <c r="AT259" s="1" t="s">
        <v>7068</v>
      </c>
      <c r="AU259" s="1" t="s">
        <v>3992</v>
      </c>
      <c r="AV259" s="1">
        <v>2022</v>
      </c>
      <c r="AW259" s="1">
        <v>83</v>
      </c>
      <c r="AX259" s="1" t="s">
        <v>1507</v>
      </c>
      <c r="AY259" s="1" t="s">
        <v>1507</v>
      </c>
      <c r="AZ259" s="1" t="s">
        <v>1507</v>
      </c>
      <c r="BA259" s="1" t="s">
        <v>1507</v>
      </c>
      <c r="BB259" s="1" t="s">
        <v>1507</v>
      </c>
      <c r="BC259" s="1" t="s">
        <v>1507</v>
      </c>
      <c r="BD259" s="1" t="s">
        <v>1507</v>
      </c>
      <c r="BE259" s="1">
        <v>104232</v>
      </c>
      <c r="BF259" s="1" t="s">
        <v>7069</v>
      </c>
      <c r="BG259" s="1" t="str">
        <f>HYPERLINK("http://dx.doi.org/10.1016/j.ebiom.2022.104232","http://dx.doi.org/10.1016/j.ebiom.2022.104232")</f>
        <v>http://dx.doi.org/10.1016/j.ebiom.2022.104232</v>
      </c>
      <c r="BH259" s="1" t="s">
        <v>1507</v>
      </c>
      <c r="BI259" s="1" t="s">
        <v>7037</v>
      </c>
      <c r="BJ259" s="1">
        <v>9</v>
      </c>
      <c r="BK259" s="1" t="s">
        <v>7070</v>
      </c>
      <c r="BL259" s="1" t="s">
        <v>1573</v>
      </c>
      <c r="BM259" s="1" t="s">
        <v>7071</v>
      </c>
      <c r="BN259" s="1" t="s">
        <v>7072</v>
      </c>
      <c r="BO259" s="1">
        <v>35988466</v>
      </c>
      <c r="BP259" s="1" t="s">
        <v>5071</v>
      </c>
      <c r="BQ259" s="1" t="s">
        <v>1507</v>
      </c>
      <c r="BR259" s="1" t="s">
        <v>1507</v>
      </c>
      <c r="BS259" s="1" t="s">
        <v>13744</v>
      </c>
      <c r="BT259" s="1" t="s">
        <v>7073</v>
      </c>
      <c r="BU259" s="1" t="str">
        <f>HYPERLINK("https%3A%2F%2Fwww.webofscience.com%2Fwos%2Fwoscc%2Ffull-record%2FWOS:000861176800001","View Full Record in Web of Science")</f>
        <v>View Full Record in Web of Science</v>
      </c>
    </row>
    <row r="260" spans="1:73" x14ac:dyDescent="0.25">
      <c r="A260" s="1">
        <v>259</v>
      </c>
      <c r="B260" s="1" t="s">
        <v>1506</v>
      </c>
      <c r="C260" s="1" t="s">
        <v>3295</v>
      </c>
      <c r="D260" s="1" t="s">
        <v>1507</v>
      </c>
      <c r="E260" s="1" t="s">
        <v>1507</v>
      </c>
      <c r="F260" s="1" t="s">
        <v>1507</v>
      </c>
      <c r="G260" s="1" t="s">
        <v>3296</v>
      </c>
      <c r="H260" s="1" t="s">
        <v>1507</v>
      </c>
      <c r="I260" s="1" t="s">
        <v>1507</v>
      </c>
      <c r="J260" s="1" t="s">
        <v>553</v>
      </c>
      <c r="K260" s="1" t="s">
        <v>3297</v>
      </c>
      <c r="L260" s="1" t="s">
        <v>1507</v>
      </c>
      <c r="M260" s="1" t="s">
        <v>1507</v>
      </c>
      <c r="N260" s="1" t="s">
        <v>42</v>
      </c>
      <c r="O260" s="1" t="s">
        <v>56</v>
      </c>
      <c r="P260" s="1" t="s">
        <v>1507</v>
      </c>
      <c r="Q260" s="1" t="s">
        <v>1507</v>
      </c>
      <c r="R260" s="1" t="s">
        <v>1507</v>
      </c>
      <c r="S260" s="1" t="s">
        <v>1507</v>
      </c>
      <c r="T260" s="1" t="s">
        <v>1507</v>
      </c>
      <c r="U260" s="1" t="s">
        <v>1507</v>
      </c>
      <c r="V260" s="1" t="s">
        <v>3298</v>
      </c>
      <c r="W260" s="1" t="s">
        <v>3299</v>
      </c>
      <c r="X260" s="1" t="s">
        <v>3300</v>
      </c>
      <c r="Y260" s="1" t="s">
        <v>3301</v>
      </c>
      <c r="Z260" s="1" t="s">
        <v>3302</v>
      </c>
      <c r="AA260" s="1" t="s">
        <v>3303</v>
      </c>
      <c r="AB260" s="1" t="s">
        <v>14297</v>
      </c>
      <c r="AC260" s="1" t="s">
        <v>14298</v>
      </c>
      <c r="AD260" s="1" t="s">
        <v>3304</v>
      </c>
      <c r="AE260" s="1" t="s">
        <v>3305</v>
      </c>
      <c r="AF260" s="1" t="s">
        <v>3306</v>
      </c>
      <c r="AG260" s="1" t="s">
        <v>1507</v>
      </c>
      <c r="AH260" s="1">
        <v>61</v>
      </c>
      <c r="AI260" s="1">
        <v>12</v>
      </c>
      <c r="AJ260" s="1">
        <v>12</v>
      </c>
      <c r="AK260" s="1">
        <v>11</v>
      </c>
      <c r="AL260" s="1">
        <v>16</v>
      </c>
      <c r="AM260" s="1" t="s">
        <v>1591</v>
      </c>
      <c r="AN260" s="1" t="s">
        <v>1592</v>
      </c>
      <c r="AO260" s="1" t="s">
        <v>1593</v>
      </c>
      <c r="AP260" s="1" t="s">
        <v>3307</v>
      </c>
      <c r="AQ260" s="1" t="s">
        <v>1507</v>
      </c>
      <c r="AR260" s="1" t="s">
        <v>1507</v>
      </c>
      <c r="AS260" s="1" t="s">
        <v>3308</v>
      </c>
      <c r="AT260" s="1" t="s">
        <v>3309</v>
      </c>
      <c r="AU260" s="1" t="s">
        <v>3269</v>
      </c>
      <c r="AV260" s="1">
        <v>2023</v>
      </c>
      <c r="AW260" s="1">
        <v>13</v>
      </c>
      <c r="AX260" s="1">
        <v>1</v>
      </c>
      <c r="AY260" s="1" t="s">
        <v>1507</v>
      </c>
      <c r="AZ260" s="1" t="s">
        <v>1507</v>
      </c>
      <c r="BA260" s="1" t="s">
        <v>1507</v>
      </c>
      <c r="BB260" s="1" t="s">
        <v>1507</v>
      </c>
      <c r="BC260" s="1" t="s">
        <v>1507</v>
      </c>
      <c r="BD260" s="1" t="s">
        <v>1507</v>
      </c>
      <c r="BE260" s="1">
        <v>12187</v>
      </c>
      <c r="BF260" s="1" t="s">
        <v>554</v>
      </c>
      <c r="BG260" s="1" t="str">
        <f>HYPERLINK("http://dx.doi.org/10.1038/s41598-023-38964-3","http://dx.doi.org/10.1038/s41598-023-38964-3")</f>
        <v>http://dx.doi.org/10.1038/s41598-023-38964-3</v>
      </c>
      <c r="BH260" s="1" t="s">
        <v>1507</v>
      </c>
      <c r="BI260" s="1" t="s">
        <v>1507</v>
      </c>
      <c r="BJ260" s="1">
        <v>13</v>
      </c>
      <c r="BK260" s="1" t="s">
        <v>1776</v>
      </c>
      <c r="BL260" s="1" t="s">
        <v>1573</v>
      </c>
      <c r="BM260" s="1" t="s">
        <v>1777</v>
      </c>
      <c r="BN260" s="1" t="s">
        <v>3310</v>
      </c>
      <c r="BO260" s="1">
        <v>37620342</v>
      </c>
      <c r="BP260" s="1" t="s">
        <v>4312</v>
      </c>
      <c r="BQ260" s="1" t="s">
        <v>1507</v>
      </c>
      <c r="BR260" s="1" t="s">
        <v>1507</v>
      </c>
      <c r="BS260" s="1" t="s">
        <v>13744</v>
      </c>
      <c r="BT260" s="1" t="s">
        <v>3311</v>
      </c>
      <c r="BU260" s="1" t="str">
        <f>HYPERLINK("https%3A%2F%2Fwww.webofscience.com%2Fwos%2Fwoscc%2Ffull-record%2FWOS:001099084800001","View Full Record in Web of Science")</f>
        <v>View Full Record in Web of Science</v>
      </c>
    </row>
    <row r="261" spans="1:73" x14ac:dyDescent="0.25">
      <c r="A261" s="1">
        <v>260</v>
      </c>
      <c r="B261" s="1" t="s">
        <v>1506</v>
      </c>
      <c r="C261" s="1" t="s">
        <v>2217</v>
      </c>
      <c r="D261" s="1" t="s">
        <v>1507</v>
      </c>
      <c r="E261" s="1" t="s">
        <v>1507</v>
      </c>
      <c r="F261" s="1" t="s">
        <v>1507</v>
      </c>
      <c r="G261" s="1" t="s">
        <v>2218</v>
      </c>
      <c r="H261" s="1" t="s">
        <v>1507</v>
      </c>
      <c r="I261" s="1" t="s">
        <v>1507</v>
      </c>
      <c r="J261" s="1" t="s">
        <v>2219</v>
      </c>
      <c r="K261" s="1" t="s">
        <v>2220</v>
      </c>
      <c r="L261" s="1" t="s">
        <v>1507</v>
      </c>
      <c r="M261" s="1" t="s">
        <v>1507</v>
      </c>
      <c r="N261" s="1" t="s">
        <v>42</v>
      </c>
      <c r="O261" s="1" t="s">
        <v>56</v>
      </c>
      <c r="P261" s="1" t="s">
        <v>1507</v>
      </c>
      <c r="Q261" s="1" t="s">
        <v>1507</v>
      </c>
      <c r="R261" s="1" t="s">
        <v>1507</v>
      </c>
      <c r="S261" s="1" t="s">
        <v>1507</v>
      </c>
      <c r="T261" s="1" t="s">
        <v>1507</v>
      </c>
      <c r="U261" s="1" t="s">
        <v>2221</v>
      </c>
      <c r="V261" s="1" t="s">
        <v>1507</v>
      </c>
      <c r="W261" s="1" t="s">
        <v>2222</v>
      </c>
      <c r="X261" s="1" t="s">
        <v>2223</v>
      </c>
      <c r="Y261" s="1" t="s">
        <v>2224</v>
      </c>
      <c r="Z261" s="1" t="s">
        <v>2225</v>
      </c>
      <c r="AA261" s="1" t="s">
        <v>2226</v>
      </c>
      <c r="AB261" s="1" t="s">
        <v>1507</v>
      </c>
      <c r="AC261" s="1" t="s">
        <v>13897</v>
      </c>
      <c r="AD261" s="1" t="s">
        <v>1507</v>
      </c>
      <c r="AE261" s="1" t="s">
        <v>1507</v>
      </c>
      <c r="AF261" s="1" t="s">
        <v>1507</v>
      </c>
      <c r="AG261" s="1" t="s">
        <v>1507</v>
      </c>
      <c r="AH261" s="1">
        <v>48</v>
      </c>
      <c r="AI261" s="1">
        <v>0</v>
      </c>
      <c r="AJ261" s="1">
        <v>0</v>
      </c>
      <c r="AK261" s="1">
        <v>2</v>
      </c>
      <c r="AL261" s="1">
        <v>2</v>
      </c>
      <c r="AM261" s="1" t="s">
        <v>1610</v>
      </c>
      <c r="AN261" s="1" t="s">
        <v>1611</v>
      </c>
      <c r="AO261" s="1" t="s">
        <v>1612</v>
      </c>
      <c r="AP261" s="1" t="s">
        <v>1507</v>
      </c>
      <c r="AQ261" s="1" t="s">
        <v>2227</v>
      </c>
      <c r="AR261" s="1" t="s">
        <v>1507</v>
      </c>
      <c r="AS261" s="1" t="s">
        <v>2228</v>
      </c>
      <c r="AT261" s="1" t="s">
        <v>2229</v>
      </c>
      <c r="AU261" s="1" t="s">
        <v>2191</v>
      </c>
      <c r="AV261" s="1">
        <v>2023</v>
      </c>
      <c r="AW261" s="1">
        <v>7</v>
      </c>
      <c r="AX261" s="1">
        <v>4</v>
      </c>
      <c r="AY261" s="1" t="s">
        <v>1507</v>
      </c>
      <c r="AZ261" s="1" t="s">
        <v>1507</v>
      </c>
      <c r="BA261" s="1" t="s">
        <v>1507</v>
      </c>
      <c r="BB261" s="1" t="s">
        <v>1507</v>
      </c>
      <c r="BC261" s="1" t="s">
        <v>1507</v>
      </c>
      <c r="BD261" s="1" t="s">
        <v>1507</v>
      </c>
      <c r="BE261" s="1">
        <v>182</v>
      </c>
      <c r="BF261" s="1" t="s">
        <v>739</v>
      </c>
      <c r="BG261" s="1" t="str">
        <f>HYPERLINK("http://dx.doi.org/10.3390/bdcc7040182","http://dx.doi.org/10.3390/bdcc7040182")</f>
        <v>http://dx.doi.org/10.3390/bdcc7040182</v>
      </c>
      <c r="BH261" s="1" t="s">
        <v>1507</v>
      </c>
      <c r="BI261" s="1" t="s">
        <v>1507</v>
      </c>
      <c r="BJ261" s="1">
        <v>22</v>
      </c>
      <c r="BK261" s="1" t="s">
        <v>2230</v>
      </c>
      <c r="BL261" s="1" t="s">
        <v>1529</v>
      </c>
      <c r="BM261" s="1" t="s">
        <v>1577</v>
      </c>
      <c r="BN261" s="1" t="s">
        <v>2231</v>
      </c>
      <c r="BO261" s="1" t="s">
        <v>1507</v>
      </c>
      <c r="BP261" s="1" t="s">
        <v>1531</v>
      </c>
      <c r="BQ261" s="1" t="s">
        <v>1507</v>
      </c>
      <c r="BR261" s="1" t="s">
        <v>1507</v>
      </c>
      <c r="BS261" s="1" t="s">
        <v>13744</v>
      </c>
      <c r="BT261" s="1" t="s">
        <v>2232</v>
      </c>
      <c r="BU261" s="1" t="str">
        <f>HYPERLINK("https%3A%2F%2Fwww.webofscience.com%2Fwos%2Fwoscc%2Ffull-record%2FWOS:001137855700001","View Full Record in Web of Science")</f>
        <v>View Full Record in Web of Science</v>
      </c>
    </row>
    <row r="262" spans="1:73" x14ac:dyDescent="0.25">
      <c r="A262" s="1">
        <v>261</v>
      </c>
      <c r="B262" s="1" t="s">
        <v>1506</v>
      </c>
      <c r="C262" s="1" t="s">
        <v>14391</v>
      </c>
      <c r="D262" s="1" t="s">
        <v>1507</v>
      </c>
      <c r="E262" s="1" t="s">
        <v>1507</v>
      </c>
      <c r="F262" s="1" t="s">
        <v>1507</v>
      </c>
      <c r="G262" s="1" t="s">
        <v>14392</v>
      </c>
      <c r="H262" s="1" t="s">
        <v>1507</v>
      </c>
      <c r="I262" s="1" t="s">
        <v>1507</v>
      </c>
      <c r="J262" s="1" t="s">
        <v>14393</v>
      </c>
      <c r="K262" s="1" t="s">
        <v>14394</v>
      </c>
      <c r="L262" s="1" t="s">
        <v>1507</v>
      </c>
      <c r="M262" s="1" t="s">
        <v>1507</v>
      </c>
      <c r="N262" s="1" t="s">
        <v>42</v>
      </c>
      <c r="O262" s="1" t="s">
        <v>13950</v>
      </c>
      <c r="P262" s="1" t="s">
        <v>1507</v>
      </c>
      <c r="Q262" s="1" t="s">
        <v>1507</v>
      </c>
      <c r="R262" s="1" t="s">
        <v>1507</v>
      </c>
      <c r="S262" s="1" t="s">
        <v>1507</v>
      </c>
      <c r="T262" s="1" t="s">
        <v>1507</v>
      </c>
      <c r="U262" s="1" t="s">
        <v>14395</v>
      </c>
      <c r="V262" s="1" t="s">
        <v>1507</v>
      </c>
      <c r="W262" s="1" t="s">
        <v>14396</v>
      </c>
      <c r="X262" s="1" t="s">
        <v>14397</v>
      </c>
      <c r="Y262" s="1" t="s">
        <v>14398</v>
      </c>
      <c r="Z262" s="1" t="s">
        <v>14399</v>
      </c>
      <c r="AA262" s="1" t="s">
        <v>14400</v>
      </c>
      <c r="AB262" s="1" t="s">
        <v>1507</v>
      </c>
      <c r="AC262" s="1" t="s">
        <v>14401</v>
      </c>
      <c r="AD262" s="1" t="s">
        <v>14402</v>
      </c>
      <c r="AE262" s="1" t="s">
        <v>14402</v>
      </c>
      <c r="AF262" s="1" t="s">
        <v>14403</v>
      </c>
      <c r="AG262" s="1" t="s">
        <v>1507</v>
      </c>
      <c r="AH262" s="1">
        <v>23</v>
      </c>
      <c r="AI262" s="1">
        <v>0</v>
      </c>
      <c r="AJ262" s="1">
        <v>0</v>
      </c>
      <c r="AK262" s="1">
        <v>12</v>
      </c>
      <c r="AL262" s="1">
        <v>12</v>
      </c>
      <c r="AM262" s="1" t="s">
        <v>1559</v>
      </c>
      <c r="AN262" s="1" t="s">
        <v>1560</v>
      </c>
      <c r="AO262" s="1" t="s">
        <v>1561</v>
      </c>
      <c r="AP262" s="1" t="s">
        <v>14404</v>
      </c>
      <c r="AQ262" s="1" t="s">
        <v>14405</v>
      </c>
      <c r="AR262" s="1" t="s">
        <v>1507</v>
      </c>
      <c r="AS262" s="1" t="s">
        <v>14406</v>
      </c>
      <c r="AT262" s="1" t="s">
        <v>14407</v>
      </c>
      <c r="AU262" s="1" t="s">
        <v>2889</v>
      </c>
      <c r="AV262" s="1">
        <v>2023</v>
      </c>
      <c r="AW262" s="1">
        <v>37</v>
      </c>
      <c r="AX262" s="1">
        <v>10</v>
      </c>
      <c r="AY262" s="1" t="s">
        <v>1507</v>
      </c>
      <c r="AZ262" s="1" t="s">
        <v>1507</v>
      </c>
      <c r="BA262" s="1" t="s">
        <v>1507</v>
      </c>
      <c r="BB262" s="1" t="s">
        <v>1507</v>
      </c>
      <c r="BC262" s="1" t="s">
        <v>1507</v>
      </c>
      <c r="BD262" s="1" t="s">
        <v>1507</v>
      </c>
      <c r="BE262" s="1" t="s">
        <v>14408</v>
      </c>
      <c r="BF262" s="1" t="s">
        <v>14409</v>
      </c>
      <c r="BG262" s="1" t="str">
        <f>HYPERLINK("http://dx.doi.org/10.1002/hyp.15015","http://dx.doi.org/10.1002/hyp.15015")</f>
        <v>http://dx.doi.org/10.1002/hyp.15015</v>
      </c>
      <c r="BH262" s="1" t="s">
        <v>1507</v>
      </c>
      <c r="BI262" s="1" t="s">
        <v>1507</v>
      </c>
      <c r="BJ262" s="1">
        <v>5</v>
      </c>
      <c r="BK262" s="1" t="s">
        <v>8404</v>
      </c>
      <c r="BL262" s="1" t="s">
        <v>1573</v>
      </c>
      <c r="BM262" s="1" t="s">
        <v>8404</v>
      </c>
      <c r="BN262" s="1" t="s">
        <v>14410</v>
      </c>
      <c r="BO262" s="1" t="s">
        <v>1507</v>
      </c>
      <c r="BP262" s="1" t="s">
        <v>1537</v>
      </c>
      <c r="BQ262" s="1" t="s">
        <v>1507</v>
      </c>
      <c r="BR262" s="1" t="s">
        <v>1507</v>
      </c>
      <c r="BS262" s="1" t="s">
        <v>13744</v>
      </c>
      <c r="BT262" s="1" t="s">
        <v>14411</v>
      </c>
      <c r="BU262" s="1" t="str">
        <f>HYPERLINK("https%3A%2F%2Fwww.webofscience.com%2Fwos%2Fwoscc%2Ffull-record%2FWOS:001149256700004","View Full Record in Web of Science")</f>
        <v>View Full Record in Web of Science</v>
      </c>
    </row>
    <row r="263" spans="1:73" x14ac:dyDescent="0.25">
      <c r="A263" s="1">
        <v>262</v>
      </c>
      <c r="B263" s="1" t="s">
        <v>1506</v>
      </c>
      <c r="C263" s="1" t="s">
        <v>1676</v>
      </c>
      <c r="D263" s="1" t="s">
        <v>1507</v>
      </c>
      <c r="E263" s="1" t="s">
        <v>1507</v>
      </c>
      <c r="F263" s="1" t="s">
        <v>1507</v>
      </c>
      <c r="G263" s="1" t="s">
        <v>1677</v>
      </c>
      <c r="H263" s="1" t="s">
        <v>1507</v>
      </c>
      <c r="I263" s="1" t="s">
        <v>1507</v>
      </c>
      <c r="J263" s="1" t="s">
        <v>1678</v>
      </c>
      <c r="K263" s="1" t="s">
        <v>1679</v>
      </c>
      <c r="L263" s="1" t="s">
        <v>1507</v>
      </c>
      <c r="M263" s="1" t="s">
        <v>1507</v>
      </c>
      <c r="N263" s="1" t="s">
        <v>42</v>
      </c>
      <c r="O263" s="1" t="s">
        <v>56</v>
      </c>
      <c r="P263" s="1" t="s">
        <v>1507</v>
      </c>
      <c r="Q263" s="1" t="s">
        <v>1507</v>
      </c>
      <c r="R263" s="1" t="s">
        <v>1507</v>
      </c>
      <c r="S263" s="1" t="s">
        <v>1507</v>
      </c>
      <c r="T263" s="1" t="s">
        <v>1507</v>
      </c>
      <c r="U263" s="1" t="s">
        <v>1680</v>
      </c>
      <c r="V263" s="1" t="s">
        <v>1507</v>
      </c>
      <c r="W263" s="1" t="s">
        <v>1681</v>
      </c>
      <c r="X263" s="1" t="s">
        <v>1682</v>
      </c>
      <c r="Y263" s="1" t="s">
        <v>1683</v>
      </c>
      <c r="Z263" s="1" t="s">
        <v>1684</v>
      </c>
      <c r="AA263" s="1" t="s">
        <v>1685</v>
      </c>
      <c r="AB263" s="1" t="s">
        <v>1507</v>
      </c>
      <c r="AC263" s="1" t="s">
        <v>1686</v>
      </c>
      <c r="AD263" s="1" t="s">
        <v>1687</v>
      </c>
      <c r="AE263" s="1" t="s">
        <v>1687</v>
      </c>
      <c r="AF263" s="1" t="s">
        <v>1688</v>
      </c>
      <c r="AG263" s="1" t="s">
        <v>1507</v>
      </c>
      <c r="AH263" s="1">
        <v>17</v>
      </c>
      <c r="AI263" s="1">
        <v>0</v>
      </c>
      <c r="AJ263" s="1">
        <v>0</v>
      </c>
      <c r="AK263" s="1">
        <v>2</v>
      </c>
      <c r="AL263" s="1">
        <v>2</v>
      </c>
      <c r="AM263" s="1" t="s">
        <v>1689</v>
      </c>
      <c r="AN263" s="1" t="s">
        <v>1592</v>
      </c>
      <c r="AO263" s="1" t="s">
        <v>1690</v>
      </c>
      <c r="AP263" s="1" t="s">
        <v>1691</v>
      </c>
      <c r="AQ263" s="1" t="s">
        <v>1692</v>
      </c>
      <c r="AR263" s="1" t="s">
        <v>1507</v>
      </c>
      <c r="AS263" s="1" t="s">
        <v>1693</v>
      </c>
      <c r="AT263" s="1" t="s">
        <v>1694</v>
      </c>
      <c r="AU263" s="1" t="s">
        <v>13746</v>
      </c>
      <c r="AV263" s="1">
        <v>2024</v>
      </c>
      <c r="AW263" s="1">
        <v>15</v>
      </c>
      <c r="AX263" s="1">
        <v>1</v>
      </c>
      <c r="AY263" s="1" t="s">
        <v>1507</v>
      </c>
      <c r="AZ263" s="1" t="s">
        <v>1507</v>
      </c>
      <c r="BA263" s="1" t="s">
        <v>1507</v>
      </c>
      <c r="BB263" s="1" t="s">
        <v>1507</v>
      </c>
      <c r="BC263" s="1">
        <v>1</v>
      </c>
      <c r="BD263" s="1">
        <v>29</v>
      </c>
      <c r="BE263" s="1" t="s">
        <v>1507</v>
      </c>
      <c r="BF263" s="1" t="s">
        <v>1695</v>
      </c>
      <c r="BG263" s="1" t="str">
        <f>HYPERLINK("http://dx.doi.org/10.1515/ajle-2023-0125","http://dx.doi.org/10.1515/ajle-2023-0125")</f>
        <v>http://dx.doi.org/10.1515/ajle-2023-0125</v>
      </c>
      <c r="BH263" s="1" t="s">
        <v>1507</v>
      </c>
      <c r="BI263" s="1" t="s">
        <v>1652</v>
      </c>
      <c r="BJ263" s="1">
        <v>29</v>
      </c>
      <c r="BK263" s="1" t="s">
        <v>1535</v>
      </c>
      <c r="BL263" s="1" t="s">
        <v>1529</v>
      </c>
      <c r="BM263" s="1" t="s">
        <v>1536</v>
      </c>
      <c r="BN263" s="1" t="s">
        <v>13747</v>
      </c>
      <c r="BO263" s="1" t="s">
        <v>1507</v>
      </c>
      <c r="BP263" s="1" t="s">
        <v>1537</v>
      </c>
      <c r="BQ263" s="1" t="s">
        <v>1507</v>
      </c>
      <c r="BR263" s="1" t="s">
        <v>1507</v>
      </c>
      <c r="BS263" s="1" t="s">
        <v>13744</v>
      </c>
      <c r="BT263" s="1" t="s">
        <v>1696</v>
      </c>
      <c r="BU263" s="1" t="str">
        <f>HYPERLINK("https%3A%2F%2Fwww.webofscience.com%2Fwos%2Fwoscc%2Ffull-record%2FWOS:001131721500001","View Full Record in Web of Science")</f>
        <v>View Full Record in Web of Science</v>
      </c>
    </row>
    <row r="264" spans="1:73" x14ac:dyDescent="0.25">
      <c r="A264" s="1">
        <v>263</v>
      </c>
      <c r="B264" s="1" t="s">
        <v>1506</v>
      </c>
      <c r="C264" s="1" t="s">
        <v>7192</v>
      </c>
      <c r="D264" s="1" t="s">
        <v>1507</v>
      </c>
      <c r="E264" s="1" t="s">
        <v>1507</v>
      </c>
      <c r="F264" s="1" t="s">
        <v>1507</v>
      </c>
      <c r="G264" s="1" t="s">
        <v>7193</v>
      </c>
      <c r="H264" s="1" t="s">
        <v>1507</v>
      </c>
      <c r="I264" s="1" t="s">
        <v>7194</v>
      </c>
      <c r="J264" s="1" t="s">
        <v>7195</v>
      </c>
      <c r="K264" s="1" t="s">
        <v>7196</v>
      </c>
      <c r="L264" s="1" t="s">
        <v>1507</v>
      </c>
      <c r="M264" s="1" t="s">
        <v>1507</v>
      </c>
      <c r="N264" s="1" t="s">
        <v>42</v>
      </c>
      <c r="O264" s="1" t="s">
        <v>56</v>
      </c>
      <c r="P264" s="1" t="s">
        <v>1507</v>
      </c>
      <c r="Q264" s="1" t="s">
        <v>1507</v>
      </c>
      <c r="R264" s="1" t="s">
        <v>1507</v>
      </c>
      <c r="S264" s="1" t="s">
        <v>1507</v>
      </c>
      <c r="T264" s="1" t="s">
        <v>1507</v>
      </c>
      <c r="U264" s="1" t="s">
        <v>7197</v>
      </c>
      <c r="V264" s="1" t="s">
        <v>7198</v>
      </c>
      <c r="W264" s="1" t="s">
        <v>7199</v>
      </c>
      <c r="X264" s="1" t="s">
        <v>7200</v>
      </c>
      <c r="Y264" s="1" t="s">
        <v>15610</v>
      </c>
      <c r="Z264" s="1" t="s">
        <v>7201</v>
      </c>
      <c r="AA264" s="1" t="s">
        <v>7202</v>
      </c>
      <c r="AB264" s="1" t="s">
        <v>15611</v>
      </c>
      <c r="AC264" s="1" t="s">
        <v>15612</v>
      </c>
      <c r="AD264" s="1" t="s">
        <v>15613</v>
      </c>
      <c r="AE264" s="1" t="s">
        <v>7203</v>
      </c>
      <c r="AF264" s="1" t="s">
        <v>7204</v>
      </c>
      <c r="AG264" s="1" t="s">
        <v>1507</v>
      </c>
      <c r="AH264" s="1">
        <v>51</v>
      </c>
      <c r="AI264" s="1">
        <v>3</v>
      </c>
      <c r="AJ264" s="1">
        <v>3</v>
      </c>
      <c r="AK264" s="1">
        <v>1</v>
      </c>
      <c r="AL264" s="1">
        <v>6</v>
      </c>
      <c r="AM264" s="1" t="s">
        <v>1532</v>
      </c>
      <c r="AN264" s="1" t="s">
        <v>1533</v>
      </c>
      <c r="AO264" s="1" t="s">
        <v>1534</v>
      </c>
      <c r="AP264" s="1" t="s">
        <v>7205</v>
      </c>
      <c r="AQ264" s="1" t="s">
        <v>7206</v>
      </c>
      <c r="AR264" s="1" t="s">
        <v>1507</v>
      </c>
      <c r="AS264" s="1" t="s">
        <v>7207</v>
      </c>
      <c r="AT264" s="1" t="s">
        <v>7208</v>
      </c>
      <c r="AU264" s="1" t="s">
        <v>2889</v>
      </c>
      <c r="AV264" s="1">
        <v>2022</v>
      </c>
      <c r="AW264" s="1">
        <v>61</v>
      </c>
      <c r="AX264" s="1">
        <v>7</v>
      </c>
      <c r="AY264" s="1" t="s">
        <v>1507</v>
      </c>
      <c r="AZ264" s="1" t="s">
        <v>1507</v>
      </c>
      <c r="BA264" s="1" t="s">
        <v>1507</v>
      </c>
      <c r="BB264" s="1" t="s">
        <v>1507</v>
      </c>
      <c r="BC264" s="1">
        <v>3649</v>
      </c>
      <c r="BD264" s="1">
        <v>3667</v>
      </c>
      <c r="BE264" s="1" t="s">
        <v>1507</v>
      </c>
      <c r="BF264" s="1" t="s">
        <v>7209</v>
      </c>
      <c r="BG264" s="1" t="str">
        <f>HYPERLINK("http://dx.doi.org/10.1007/s00394-022-02909-9","http://dx.doi.org/10.1007/s00394-022-02909-9")</f>
        <v>http://dx.doi.org/10.1007/s00394-022-02909-9</v>
      </c>
      <c r="BH264" s="1" t="s">
        <v>1507</v>
      </c>
      <c r="BI264" s="1" t="s">
        <v>7210</v>
      </c>
      <c r="BJ264" s="1">
        <v>19</v>
      </c>
      <c r="BK264" s="1" t="s">
        <v>7211</v>
      </c>
      <c r="BL264" s="1" t="s">
        <v>1573</v>
      </c>
      <c r="BM264" s="1" t="s">
        <v>7211</v>
      </c>
      <c r="BN264" s="1" t="s">
        <v>7212</v>
      </c>
      <c r="BO264" s="1">
        <v>35641800</v>
      </c>
      <c r="BP264" s="1" t="s">
        <v>2309</v>
      </c>
      <c r="BQ264" s="1" t="s">
        <v>1507</v>
      </c>
      <c r="BR264" s="1" t="s">
        <v>1507</v>
      </c>
      <c r="BS264" s="1" t="s">
        <v>13744</v>
      </c>
      <c r="BT264" s="1" t="s">
        <v>7213</v>
      </c>
      <c r="BU264" s="1" t="str">
        <f>HYPERLINK("https%3A%2F%2Fwww.webofscience.com%2Fwos%2Fwoscc%2Ffull-record%2FWOS:000803874400001","View Full Record in Web of Science")</f>
        <v>View Full Record in Web of Science</v>
      </c>
    </row>
    <row r="265" spans="1:73" x14ac:dyDescent="0.25">
      <c r="A265" s="1">
        <v>264</v>
      </c>
      <c r="B265" s="1" t="s">
        <v>1506</v>
      </c>
      <c r="C265" s="1" t="s">
        <v>3121</v>
      </c>
      <c r="D265" s="1" t="s">
        <v>1507</v>
      </c>
      <c r="E265" s="1" t="s">
        <v>1507</v>
      </c>
      <c r="F265" s="1" t="s">
        <v>1507</v>
      </c>
      <c r="G265" s="1" t="s">
        <v>3122</v>
      </c>
      <c r="H265" s="1" t="s">
        <v>1507</v>
      </c>
      <c r="I265" s="1" t="s">
        <v>1507</v>
      </c>
      <c r="J265" s="1" t="s">
        <v>3123</v>
      </c>
      <c r="K265" s="1" t="s">
        <v>3124</v>
      </c>
      <c r="L265" s="1" t="s">
        <v>1507</v>
      </c>
      <c r="M265" s="1" t="s">
        <v>1507</v>
      </c>
      <c r="N265" s="1" t="s">
        <v>42</v>
      </c>
      <c r="O265" s="1" t="s">
        <v>56</v>
      </c>
      <c r="P265" s="1" t="s">
        <v>1507</v>
      </c>
      <c r="Q265" s="1" t="s">
        <v>1507</v>
      </c>
      <c r="R265" s="1" t="s">
        <v>1507</v>
      </c>
      <c r="S265" s="1" t="s">
        <v>1507</v>
      </c>
      <c r="T265" s="1" t="s">
        <v>1507</v>
      </c>
      <c r="U265" s="1" t="s">
        <v>3125</v>
      </c>
      <c r="V265" s="1" t="s">
        <v>3126</v>
      </c>
      <c r="W265" s="1" t="s">
        <v>3127</v>
      </c>
      <c r="X265" s="1" t="s">
        <v>3128</v>
      </c>
      <c r="Y265" s="1" t="s">
        <v>3129</v>
      </c>
      <c r="Z265" s="1" t="s">
        <v>3130</v>
      </c>
      <c r="AA265" s="1" t="s">
        <v>3131</v>
      </c>
      <c r="AB265" s="1" t="s">
        <v>14292</v>
      </c>
      <c r="AC265" s="1" t="s">
        <v>14293</v>
      </c>
      <c r="AD265" s="1" t="s">
        <v>3132</v>
      </c>
      <c r="AE265" s="1" t="s">
        <v>3133</v>
      </c>
      <c r="AF265" s="1" t="s">
        <v>3134</v>
      </c>
      <c r="AG265" s="1" t="s">
        <v>1507</v>
      </c>
      <c r="AH265" s="1">
        <v>89</v>
      </c>
      <c r="AI265" s="1">
        <v>1</v>
      </c>
      <c r="AJ265" s="1">
        <v>1</v>
      </c>
      <c r="AK265" s="1">
        <v>0</v>
      </c>
      <c r="AL265" s="1">
        <v>0</v>
      </c>
      <c r="AM265" s="1" t="s">
        <v>1579</v>
      </c>
      <c r="AN265" s="1" t="s">
        <v>1580</v>
      </c>
      <c r="AO265" s="1" t="s">
        <v>1581</v>
      </c>
      <c r="AP265" s="1" t="s">
        <v>3135</v>
      </c>
      <c r="AQ265" s="1" t="s">
        <v>1507</v>
      </c>
      <c r="AR265" s="1" t="s">
        <v>1507</v>
      </c>
      <c r="AS265" s="1" t="s">
        <v>3136</v>
      </c>
      <c r="AT265" s="1" t="s">
        <v>3137</v>
      </c>
      <c r="AU265" s="1" t="s">
        <v>2191</v>
      </c>
      <c r="AV265" s="1">
        <v>2023</v>
      </c>
      <c r="AW265" s="1">
        <v>52</v>
      </c>
      <c r="AX265" s="1" t="s">
        <v>1507</v>
      </c>
      <c r="AY265" s="1" t="s">
        <v>1507</v>
      </c>
      <c r="AZ265" s="1" t="s">
        <v>1507</v>
      </c>
      <c r="BA265" s="1" t="s">
        <v>1507</v>
      </c>
      <c r="BB265" s="1" t="s">
        <v>1507</v>
      </c>
      <c r="BC265" s="1" t="s">
        <v>1507</v>
      </c>
      <c r="BD265" s="1" t="s">
        <v>1507</v>
      </c>
      <c r="BE265" s="1">
        <v>104238</v>
      </c>
      <c r="BF265" s="1" t="s">
        <v>3138</v>
      </c>
      <c r="BG265" s="1" t="str">
        <f>HYPERLINK("http://dx.doi.org/10.1016/j.jasrep.2023.104238","http://dx.doi.org/10.1016/j.jasrep.2023.104238")</f>
        <v>http://dx.doi.org/10.1016/j.jasrep.2023.104238</v>
      </c>
      <c r="BH265" s="1" t="s">
        <v>1507</v>
      </c>
      <c r="BI265" s="1" t="s">
        <v>2891</v>
      </c>
      <c r="BJ265" s="1">
        <v>10</v>
      </c>
      <c r="BK265" s="1" t="s">
        <v>3139</v>
      </c>
      <c r="BL265" s="1" t="s">
        <v>3140</v>
      </c>
      <c r="BM265" s="1" t="s">
        <v>3139</v>
      </c>
      <c r="BN265" s="1" t="s">
        <v>3141</v>
      </c>
      <c r="BO265" s="1" t="s">
        <v>1507</v>
      </c>
      <c r="BP265" s="1" t="s">
        <v>1574</v>
      </c>
      <c r="BQ265" s="1" t="s">
        <v>1507</v>
      </c>
      <c r="BR265" s="1" t="s">
        <v>1507</v>
      </c>
      <c r="BS265" s="1" t="s">
        <v>13744</v>
      </c>
      <c r="BT265" s="1" t="s">
        <v>3142</v>
      </c>
      <c r="BU265" s="1" t="str">
        <f>HYPERLINK("https%3A%2F%2Fwww.webofscience.com%2Fwos%2Fwoscc%2Ffull-record%2FWOS:001101348700001","View Full Record in Web of Science")</f>
        <v>View Full Record in Web of Science</v>
      </c>
    </row>
    <row r="266" spans="1:73" x14ac:dyDescent="0.25">
      <c r="A266" s="1">
        <v>265</v>
      </c>
      <c r="B266" s="1" t="s">
        <v>1506</v>
      </c>
      <c r="C266" s="1" t="s">
        <v>14727</v>
      </c>
      <c r="D266" s="1" t="s">
        <v>1507</v>
      </c>
      <c r="E266" s="1" t="s">
        <v>1507</v>
      </c>
      <c r="F266" s="1" t="s">
        <v>1507</v>
      </c>
      <c r="G266" s="1" t="s">
        <v>14728</v>
      </c>
      <c r="H266" s="1" t="s">
        <v>1507</v>
      </c>
      <c r="I266" s="1" t="s">
        <v>1507</v>
      </c>
      <c r="J266" s="1" t="s">
        <v>12377</v>
      </c>
      <c r="K266" s="1" t="s">
        <v>14729</v>
      </c>
      <c r="L266" s="1" t="s">
        <v>1507</v>
      </c>
      <c r="M266" s="1" t="s">
        <v>1507</v>
      </c>
      <c r="N266" s="1" t="s">
        <v>42</v>
      </c>
      <c r="O266" s="1" t="s">
        <v>14730</v>
      </c>
      <c r="P266" s="1" t="s">
        <v>1507</v>
      </c>
      <c r="Q266" s="1" t="s">
        <v>1507</v>
      </c>
      <c r="R266" s="1" t="s">
        <v>1507</v>
      </c>
      <c r="S266" s="1" t="s">
        <v>1507</v>
      </c>
      <c r="T266" s="1" t="s">
        <v>1507</v>
      </c>
      <c r="U266" s="1" t="s">
        <v>14731</v>
      </c>
      <c r="V266" s="1" t="s">
        <v>14732</v>
      </c>
      <c r="W266" s="1" t="s">
        <v>14733</v>
      </c>
      <c r="X266" s="1" t="s">
        <v>14734</v>
      </c>
      <c r="Y266" s="1" t="s">
        <v>14735</v>
      </c>
      <c r="Z266" s="1" t="s">
        <v>14736</v>
      </c>
      <c r="AA266" s="1" t="s">
        <v>14737</v>
      </c>
      <c r="AB266" s="1" t="s">
        <v>14738</v>
      </c>
      <c r="AC266" s="1" t="s">
        <v>14739</v>
      </c>
      <c r="AD266" s="1" t="s">
        <v>1507</v>
      </c>
      <c r="AE266" s="1" t="s">
        <v>1507</v>
      </c>
      <c r="AF266" s="1" t="s">
        <v>1507</v>
      </c>
      <c r="AG266" s="1" t="s">
        <v>1507</v>
      </c>
      <c r="AH266" s="1">
        <v>62</v>
      </c>
      <c r="AI266" s="1">
        <v>14</v>
      </c>
      <c r="AJ266" s="1">
        <v>14</v>
      </c>
      <c r="AK266" s="1">
        <v>131</v>
      </c>
      <c r="AL266" s="1">
        <v>286</v>
      </c>
      <c r="AM266" s="1" t="s">
        <v>1555</v>
      </c>
      <c r="AN266" s="1" t="s">
        <v>1556</v>
      </c>
      <c r="AO266" s="1" t="s">
        <v>1557</v>
      </c>
      <c r="AP266" s="1" t="s">
        <v>14740</v>
      </c>
      <c r="AQ266" s="1" t="s">
        <v>14741</v>
      </c>
      <c r="AR266" s="1" t="s">
        <v>1507</v>
      </c>
      <c r="AS266" s="1" t="s">
        <v>14742</v>
      </c>
      <c r="AT266" s="1" t="s">
        <v>12367</v>
      </c>
      <c r="AU266" s="1" t="s">
        <v>14743</v>
      </c>
      <c r="AV266" s="1">
        <v>2023</v>
      </c>
      <c r="AW266" s="1" t="s">
        <v>1507</v>
      </c>
      <c r="AX266" s="1" t="s">
        <v>1507</v>
      </c>
      <c r="AY266" s="1" t="s">
        <v>1507</v>
      </c>
      <c r="AZ266" s="1" t="s">
        <v>1507</v>
      </c>
      <c r="BA266" s="1" t="s">
        <v>1507</v>
      </c>
      <c r="BB266" s="1" t="s">
        <v>1507</v>
      </c>
      <c r="BC266" s="1" t="s">
        <v>1507</v>
      </c>
      <c r="BD266" s="1" t="s">
        <v>1507</v>
      </c>
      <c r="BE266" s="1" t="s">
        <v>1507</v>
      </c>
      <c r="BF266" s="1" t="s">
        <v>12375</v>
      </c>
      <c r="BG266" s="1" t="str">
        <f>HYPERLINK("http://dx.doi.org/10.1080/10494820.2023.2204343","http://dx.doi.org/10.1080/10494820.2023.2204343")</f>
        <v>http://dx.doi.org/10.1080/10494820.2023.2204343</v>
      </c>
      <c r="BH266" s="1" t="s">
        <v>1507</v>
      </c>
      <c r="BI266" s="1" t="s">
        <v>4832</v>
      </c>
      <c r="BJ266" s="1">
        <v>19</v>
      </c>
      <c r="BK266" s="1" t="s">
        <v>1558</v>
      </c>
      <c r="BL266" s="1" t="s">
        <v>1518</v>
      </c>
      <c r="BM266" s="1" t="s">
        <v>1558</v>
      </c>
      <c r="BN266" s="1" t="s">
        <v>14744</v>
      </c>
      <c r="BO266" s="1" t="s">
        <v>1507</v>
      </c>
      <c r="BP266" s="1" t="s">
        <v>1507</v>
      </c>
      <c r="BQ266" s="1" t="s">
        <v>1507</v>
      </c>
      <c r="BR266" s="1" t="s">
        <v>1507</v>
      </c>
      <c r="BS266" s="1" t="s">
        <v>13744</v>
      </c>
      <c r="BT266" s="1" t="s">
        <v>14745</v>
      </c>
      <c r="BU266" s="1" t="str">
        <f>HYPERLINK("https%3A%2F%2Fwww.webofscience.com%2Fwos%2Fwoscc%2Ffull-record%2FWOS:000982315200001","View Full Record in Web of Science")</f>
        <v>View Full Record in Web of Science</v>
      </c>
    </row>
    <row r="267" spans="1:73" x14ac:dyDescent="0.25">
      <c r="A267" s="1">
        <v>266</v>
      </c>
      <c r="B267" s="1" t="s">
        <v>5546</v>
      </c>
      <c r="C267" s="1" t="s">
        <v>7820</v>
      </c>
      <c r="D267" s="1" t="s">
        <v>1507</v>
      </c>
      <c r="E267" s="1" t="s">
        <v>7821</v>
      </c>
      <c r="F267" s="1" t="s">
        <v>1507</v>
      </c>
      <c r="G267" s="1" t="s">
        <v>7822</v>
      </c>
      <c r="H267" s="1" t="s">
        <v>1507</v>
      </c>
      <c r="I267" s="1" t="s">
        <v>1507</v>
      </c>
      <c r="J267" s="1" t="s">
        <v>7823</v>
      </c>
      <c r="K267" s="1" t="s">
        <v>7824</v>
      </c>
      <c r="L267" s="1" t="s">
        <v>6208</v>
      </c>
      <c r="M267" s="1" t="s">
        <v>1507</v>
      </c>
      <c r="N267" s="1" t="s">
        <v>42</v>
      </c>
      <c r="O267" s="1" t="s">
        <v>5552</v>
      </c>
      <c r="P267" s="1" t="s">
        <v>7825</v>
      </c>
      <c r="Q267" s="1" t="s">
        <v>7826</v>
      </c>
      <c r="R267" s="1" t="s">
        <v>7827</v>
      </c>
      <c r="S267" s="1" t="s">
        <v>1507</v>
      </c>
      <c r="T267" s="1" t="s">
        <v>1507</v>
      </c>
      <c r="U267" s="1" t="s">
        <v>1507</v>
      </c>
      <c r="V267" s="1" t="s">
        <v>1507</v>
      </c>
      <c r="W267" s="1" t="s">
        <v>7828</v>
      </c>
      <c r="X267" s="1" t="s">
        <v>7829</v>
      </c>
      <c r="Y267" s="1" t="s">
        <v>7830</v>
      </c>
      <c r="Z267" s="1" t="s">
        <v>7831</v>
      </c>
      <c r="AA267" s="1" t="s">
        <v>7832</v>
      </c>
      <c r="AB267" s="1" t="s">
        <v>7833</v>
      </c>
      <c r="AC267" s="1" t="s">
        <v>7834</v>
      </c>
      <c r="AD267" s="1" t="s">
        <v>7835</v>
      </c>
      <c r="AE267" s="1" t="s">
        <v>7836</v>
      </c>
      <c r="AF267" s="1" t="s">
        <v>7837</v>
      </c>
      <c r="AG267" s="1" t="s">
        <v>1507</v>
      </c>
      <c r="AH267" s="1">
        <v>71</v>
      </c>
      <c r="AI267" s="1">
        <v>70</v>
      </c>
      <c r="AJ267" s="1">
        <v>73</v>
      </c>
      <c r="AK267" s="1">
        <v>11</v>
      </c>
      <c r="AL267" s="1">
        <v>22</v>
      </c>
      <c r="AM267" s="1" t="s">
        <v>6221</v>
      </c>
      <c r="AN267" s="1" t="s">
        <v>6222</v>
      </c>
      <c r="AO267" s="1" t="s">
        <v>6223</v>
      </c>
      <c r="AP267" s="1" t="s">
        <v>6224</v>
      </c>
      <c r="AQ267" s="1" t="s">
        <v>6225</v>
      </c>
      <c r="AR267" s="1" t="s">
        <v>7838</v>
      </c>
      <c r="AS267" s="1" t="s">
        <v>6227</v>
      </c>
      <c r="AT267" s="1" t="s">
        <v>1507</v>
      </c>
      <c r="AU267" s="1" t="s">
        <v>1507</v>
      </c>
      <c r="AV267" s="1">
        <v>2022</v>
      </c>
      <c r="AW267" s="1">
        <v>13693</v>
      </c>
      <c r="AX267" s="1" t="s">
        <v>1507</v>
      </c>
      <c r="AY267" s="1" t="s">
        <v>1507</v>
      </c>
      <c r="AZ267" s="1" t="s">
        <v>1507</v>
      </c>
      <c r="BA267" s="1" t="s">
        <v>1507</v>
      </c>
      <c r="BB267" s="1" t="s">
        <v>1507</v>
      </c>
      <c r="BC267" s="1">
        <v>709</v>
      </c>
      <c r="BD267" s="1">
        <v>727</v>
      </c>
      <c r="BE267" s="1" t="s">
        <v>1507</v>
      </c>
      <c r="BF267" s="1" t="s">
        <v>7839</v>
      </c>
      <c r="BG267" s="1" t="str">
        <f>HYPERLINK("http://dx.doi.org/10.1007/978-3-031-19827-4_41","http://dx.doi.org/10.1007/978-3-031-19827-4_41")</f>
        <v>http://dx.doi.org/10.1007/978-3-031-19827-4_41</v>
      </c>
      <c r="BH267" s="1" t="s">
        <v>1507</v>
      </c>
      <c r="BI267" s="1" t="s">
        <v>1507</v>
      </c>
      <c r="BJ267" s="1">
        <v>19</v>
      </c>
      <c r="BK267" s="1" t="s">
        <v>7840</v>
      </c>
      <c r="BL267" s="1" t="s">
        <v>5570</v>
      </c>
      <c r="BM267" s="1" t="s">
        <v>7841</v>
      </c>
      <c r="BN267" s="1" t="s">
        <v>7842</v>
      </c>
      <c r="BO267" s="1" t="s">
        <v>1507</v>
      </c>
      <c r="BP267" s="1" t="s">
        <v>1507</v>
      </c>
      <c r="BQ267" s="1" t="s">
        <v>1507</v>
      </c>
      <c r="BR267" s="1" t="s">
        <v>1507</v>
      </c>
      <c r="BS267" s="1" t="s">
        <v>13744</v>
      </c>
      <c r="BT267" s="1" t="s">
        <v>7843</v>
      </c>
      <c r="BU267" s="1" t="str">
        <f>HYPERLINK("https%3A%2F%2Fwww.webofscience.com%2Fwos%2Fwoscc%2Ffull-record%2FWOS:000903572500041","View Full Record in Web of Science")</f>
        <v>View Full Record in Web of Science</v>
      </c>
    </row>
    <row r="268" spans="1:73" x14ac:dyDescent="0.25">
      <c r="A268" s="1">
        <v>267</v>
      </c>
      <c r="B268" s="1" t="s">
        <v>5546</v>
      </c>
      <c r="C268" s="1" t="s">
        <v>5987</v>
      </c>
      <c r="D268" s="1" t="s">
        <v>1507</v>
      </c>
      <c r="E268" s="1" t="s">
        <v>1507</v>
      </c>
      <c r="F268" s="1" t="s">
        <v>5548</v>
      </c>
      <c r="G268" s="1" t="s">
        <v>5988</v>
      </c>
      <c r="H268" s="1" t="s">
        <v>1507</v>
      </c>
      <c r="I268" s="1" t="s">
        <v>1507</v>
      </c>
      <c r="J268" s="1" t="s">
        <v>5989</v>
      </c>
      <c r="K268" s="1" t="s">
        <v>5990</v>
      </c>
      <c r="L268" s="1" t="s">
        <v>1507</v>
      </c>
      <c r="M268" s="1" t="s">
        <v>1507</v>
      </c>
      <c r="N268" s="1" t="s">
        <v>42</v>
      </c>
      <c r="O268" s="1" t="s">
        <v>5552</v>
      </c>
      <c r="P268" s="1" t="s">
        <v>5991</v>
      </c>
      <c r="Q268" s="1" t="s">
        <v>5992</v>
      </c>
      <c r="R268" s="1" t="s">
        <v>5993</v>
      </c>
      <c r="S268" s="1" t="s">
        <v>5994</v>
      </c>
      <c r="T268" s="1" t="s">
        <v>5995</v>
      </c>
      <c r="U268" s="1" t="s">
        <v>5996</v>
      </c>
      <c r="V268" s="1" t="s">
        <v>1507</v>
      </c>
      <c r="W268" s="1" t="s">
        <v>5997</v>
      </c>
      <c r="X268" s="1" t="s">
        <v>5998</v>
      </c>
      <c r="Y268" s="1" t="s">
        <v>5999</v>
      </c>
      <c r="Z268" s="1" t="s">
        <v>6000</v>
      </c>
      <c r="AA268" s="1" t="s">
        <v>6001</v>
      </c>
      <c r="AB268" s="1" t="s">
        <v>1507</v>
      </c>
      <c r="AC268" s="1" t="s">
        <v>1507</v>
      </c>
      <c r="AD268" s="1" t="s">
        <v>6002</v>
      </c>
      <c r="AE268" s="1" t="s">
        <v>6003</v>
      </c>
      <c r="AF268" s="1" t="s">
        <v>6004</v>
      </c>
      <c r="AG268" s="1" t="s">
        <v>1507</v>
      </c>
      <c r="AH268" s="1">
        <v>26</v>
      </c>
      <c r="AI268" s="1">
        <v>0</v>
      </c>
      <c r="AJ268" s="1">
        <v>0</v>
      </c>
      <c r="AK268" s="1">
        <v>7</v>
      </c>
      <c r="AL268" s="1">
        <v>7</v>
      </c>
      <c r="AM268" s="1" t="s">
        <v>5565</v>
      </c>
      <c r="AN268" s="1" t="s">
        <v>1512</v>
      </c>
      <c r="AO268" s="1" t="s">
        <v>5566</v>
      </c>
      <c r="AP268" s="1" t="s">
        <v>1507</v>
      </c>
      <c r="AQ268" s="1" t="s">
        <v>1507</v>
      </c>
      <c r="AR268" s="1" t="s">
        <v>6005</v>
      </c>
      <c r="AS268" s="1" t="s">
        <v>1507</v>
      </c>
      <c r="AT268" s="1" t="s">
        <v>1507</v>
      </c>
      <c r="AU268" s="1" t="s">
        <v>1507</v>
      </c>
      <c r="AV268" s="1">
        <v>2023</v>
      </c>
      <c r="AW268" s="1" t="s">
        <v>1507</v>
      </c>
      <c r="AX268" s="1" t="s">
        <v>1507</v>
      </c>
      <c r="AY268" s="1" t="s">
        <v>1507</v>
      </c>
      <c r="AZ268" s="1" t="s">
        <v>1507</v>
      </c>
      <c r="BA268" s="1" t="s">
        <v>1507</v>
      </c>
      <c r="BB268" s="1" t="s">
        <v>1507</v>
      </c>
      <c r="BC268" s="1">
        <v>417</v>
      </c>
      <c r="BD268" s="1">
        <v>421</v>
      </c>
      <c r="BE268" s="1" t="s">
        <v>1507</v>
      </c>
      <c r="BF268" s="1" t="s">
        <v>6006</v>
      </c>
      <c r="BG268" s="1" t="str">
        <f>HYPERLINK("http://dx.doi.org/10.1145/3594536.3595170","http://dx.doi.org/10.1145/3594536.3595170")</f>
        <v>http://dx.doi.org/10.1145/3594536.3595170</v>
      </c>
      <c r="BH268" s="1" t="s">
        <v>1507</v>
      </c>
      <c r="BI268" s="1" t="s">
        <v>1507</v>
      </c>
      <c r="BJ268" s="1">
        <v>5</v>
      </c>
      <c r="BK268" s="1" t="s">
        <v>6007</v>
      </c>
      <c r="BL268" s="1" t="s">
        <v>5695</v>
      </c>
      <c r="BM268" s="1" t="s">
        <v>6008</v>
      </c>
      <c r="BN268" s="1" t="s">
        <v>6009</v>
      </c>
      <c r="BO268" s="1" t="s">
        <v>1507</v>
      </c>
      <c r="BP268" s="1" t="s">
        <v>1507</v>
      </c>
      <c r="BQ268" s="1" t="s">
        <v>1507</v>
      </c>
      <c r="BR268" s="1" t="s">
        <v>1507</v>
      </c>
      <c r="BS268" s="1" t="s">
        <v>13744</v>
      </c>
      <c r="BT268" s="1" t="s">
        <v>6010</v>
      </c>
      <c r="BU268" s="1" t="str">
        <f>HYPERLINK("https%3A%2F%2Fwww.webofscience.com%2Fwos%2Fwoscc%2Ffull-record%2FWOS:001139079400047","View Full Record in Web of Science")</f>
        <v>View Full Record in Web of Science</v>
      </c>
    </row>
    <row r="269" spans="1:73" x14ac:dyDescent="0.25">
      <c r="A269" s="1">
        <v>268</v>
      </c>
      <c r="B269" s="1" t="s">
        <v>1506</v>
      </c>
      <c r="C269" s="1" t="s">
        <v>4678</v>
      </c>
      <c r="D269" s="1" t="s">
        <v>1507</v>
      </c>
      <c r="E269" s="1" t="s">
        <v>1507</v>
      </c>
      <c r="F269" s="1" t="s">
        <v>1507</v>
      </c>
      <c r="G269" s="1" t="s">
        <v>4679</v>
      </c>
      <c r="H269" s="1" t="s">
        <v>1507</v>
      </c>
      <c r="I269" s="1" t="s">
        <v>1507</v>
      </c>
      <c r="J269" s="1" t="s">
        <v>4680</v>
      </c>
      <c r="K269" s="1" t="s">
        <v>1760</v>
      </c>
      <c r="L269" s="1" t="s">
        <v>1507</v>
      </c>
      <c r="M269" s="1" t="s">
        <v>1507</v>
      </c>
      <c r="N269" s="1" t="s">
        <v>42</v>
      </c>
      <c r="O269" s="1" t="s">
        <v>56</v>
      </c>
      <c r="P269" s="1" t="s">
        <v>1507</v>
      </c>
      <c r="Q269" s="1" t="s">
        <v>1507</v>
      </c>
      <c r="R269" s="1" t="s">
        <v>1507</v>
      </c>
      <c r="S269" s="1" t="s">
        <v>1507</v>
      </c>
      <c r="T269" s="1" t="s">
        <v>1507</v>
      </c>
      <c r="U269" s="1" t="s">
        <v>1507</v>
      </c>
      <c r="V269" s="1" t="s">
        <v>1507</v>
      </c>
      <c r="W269" s="1" t="s">
        <v>4681</v>
      </c>
      <c r="X269" s="1" t="s">
        <v>4682</v>
      </c>
      <c r="Y269" s="1" t="s">
        <v>4683</v>
      </c>
      <c r="Z269" s="1" t="s">
        <v>4684</v>
      </c>
      <c r="AA269" s="1" t="s">
        <v>4685</v>
      </c>
      <c r="AB269" s="1" t="s">
        <v>1507</v>
      </c>
      <c r="AC269" s="1" t="s">
        <v>14678</v>
      </c>
      <c r="AD269" s="1" t="s">
        <v>4686</v>
      </c>
      <c r="AE269" s="1" t="s">
        <v>4687</v>
      </c>
      <c r="AF269" s="1" t="s">
        <v>4688</v>
      </c>
      <c r="AG269" s="1" t="s">
        <v>1507</v>
      </c>
      <c r="AH269" s="1">
        <v>46</v>
      </c>
      <c r="AI269" s="1">
        <v>33</v>
      </c>
      <c r="AJ269" s="1">
        <v>33</v>
      </c>
      <c r="AK269" s="1">
        <v>25</v>
      </c>
      <c r="AL269" s="1">
        <v>41</v>
      </c>
      <c r="AM269" s="1" t="s">
        <v>1591</v>
      </c>
      <c r="AN269" s="1" t="s">
        <v>1592</v>
      </c>
      <c r="AO269" s="1" t="s">
        <v>1593</v>
      </c>
      <c r="AP269" s="1" t="s">
        <v>1770</v>
      </c>
      <c r="AQ269" s="1" t="s">
        <v>1771</v>
      </c>
      <c r="AR269" s="1" t="s">
        <v>1507</v>
      </c>
      <c r="AS269" s="1" t="s">
        <v>1760</v>
      </c>
      <c r="AT269" s="1" t="s">
        <v>1772</v>
      </c>
      <c r="AU269" s="1" t="s">
        <v>12092</v>
      </c>
      <c r="AV269" s="1">
        <v>2023</v>
      </c>
      <c r="AW269" s="1">
        <v>619</v>
      </c>
      <c r="AX269" s="1">
        <v>7969</v>
      </c>
      <c r="AY269" s="1" t="s">
        <v>1507</v>
      </c>
      <c r="AZ269" s="1" t="s">
        <v>1507</v>
      </c>
      <c r="BA269" s="1" t="s">
        <v>1507</v>
      </c>
      <c r="BB269" s="1" t="s">
        <v>1507</v>
      </c>
      <c r="BC269" s="1">
        <v>357</v>
      </c>
      <c r="BD269" s="1" t="s">
        <v>1774</v>
      </c>
      <c r="BE269" s="1" t="s">
        <v>1507</v>
      </c>
      <c r="BF269" s="1" t="s">
        <v>4689</v>
      </c>
      <c r="BG269" s="1" t="str">
        <f>HYPERLINK("http://dx.doi.org/10.1038/s41586-023-06160-y","http://dx.doi.org/10.1038/s41586-023-06160-y")</f>
        <v>http://dx.doi.org/10.1038/s41586-023-06160-y</v>
      </c>
      <c r="BH269" s="1" t="s">
        <v>1507</v>
      </c>
      <c r="BI269" s="1" t="s">
        <v>4630</v>
      </c>
      <c r="BJ269" s="1">
        <v>25</v>
      </c>
      <c r="BK269" s="1" t="s">
        <v>1776</v>
      </c>
      <c r="BL269" s="1" t="s">
        <v>1573</v>
      </c>
      <c r="BM269" s="1" t="s">
        <v>1777</v>
      </c>
      <c r="BN269" s="1" t="s">
        <v>4690</v>
      </c>
      <c r="BO269" s="1">
        <v>37286606</v>
      </c>
      <c r="BP269" s="1" t="s">
        <v>2309</v>
      </c>
      <c r="BQ269" s="1" t="s">
        <v>1507</v>
      </c>
      <c r="BR269" s="1" t="s">
        <v>1507</v>
      </c>
      <c r="BS269" s="1" t="s">
        <v>13744</v>
      </c>
      <c r="BT269" s="1" t="s">
        <v>4691</v>
      </c>
      <c r="BU269" s="1" t="str">
        <f>HYPERLINK("https%3A%2F%2Fwww.webofscience.com%2Fwos%2Fwoscc%2Ffull-record%2FWOS:001005804900017","View Full Record in Web of Science")</f>
        <v>View Full Record in Web of Science</v>
      </c>
    </row>
    <row r="270" spans="1:73" x14ac:dyDescent="0.25">
      <c r="A270" s="1">
        <v>269</v>
      </c>
      <c r="B270" s="1" t="s">
        <v>5546</v>
      </c>
      <c r="C270" s="1" t="s">
        <v>6011</v>
      </c>
      <c r="D270" s="1" t="s">
        <v>1507</v>
      </c>
      <c r="E270" s="1" t="s">
        <v>1507</v>
      </c>
      <c r="F270" s="1" t="s">
        <v>5628</v>
      </c>
      <c r="G270" s="1" t="s">
        <v>6012</v>
      </c>
      <c r="H270" s="1" t="s">
        <v>1507</v>
      </c>
      <c r="I270" s="1" t="s">
        <v>1507</v>
      </c>
      <c r="J270" s="1" t="s">
        <v>6013</v>
      </c>
      <c r="K270" s="1" t="s">
        <v>6014</v>
      </c>
      <c r="L270" s="1" t="s">
        <v>6015</v>
      </c>
      <c r="M270" s="1" t="s">
        <v>1507</v>
      </c>
      <c r="N270" s="1" t="s">
        <v>42</v>
      </c>
      <c r="O270" s="1" t="s">
        <v>5552</v>
      </c>
      <c r="P270" s="1" t="s">
        <v>6016</v>
      </c>
      <c r="Q270" s="1" t="s">
        <v>6017</v>
      </c>
      <c r="R270" s="1" t="s">
        <v>6018</v>
      </c>
      <c r="S270" s="1" t="s">
        <v>6019</v>
      </c>
      <c r="T270" s="1" t="s">
        <v>1507</v>
      </c>
      <c r="U270" s="1" t="s">
        <v>1507</v>
      </c>
      <c r="V270" s="1" t="s">
        <v>1507</v>
      </c>
      <c r="W270" s="1" t="s">
        <v>6020</v>
      </c>
      <c r="X270" s="1" t="s">
        <v>6021</v>
      </c>
      <c r="Y270" s="1" t="s">
        <v>6022</v>
      </c>
      <c r="Z270" s="1" t="s">
        <v>6023</v>
      </c>
      <c r="AA270" s="1" t="s">
        <v>6024</v>
      </c>
      <c r="AB270" s="1" t="s">
        <v>6025</v>
      </c>
      <c r="AC270" s="1" t="s">
        <v>6026</v>
      </c>
      <c r="AD270" s="1" t="s">
        <v>6027</v>
      </c>
      <c r="AE270" s="1" t="s">
        <v>6028</v>
      </c>
      <c r="AF270" s="1" t="s">
        <v>6029</v>
      </c>
      <c r="AG270" s="1" t="s">
        <v>1507</v>
      </c>
      <c r="AH270" s="1">
        <v>57</v>
      </c>
      <c r="AI270" s="1">
        <v>0</v>
      </c>
      <c r="AJ270" s="1">
        <v>0</v>
      </c>
      <c r="AK270" s="1">
        <v>2</v>
      </c>
      <c r="AL270" s="1">
        <v>2</v>
      </c>
      <c r="AM270" s="1" t="s">
        <v>5645</v>
      </c>
      <c r="AN270" s="1" t="s">
        <v>5646</v>
      </c>
      <c r="AO270" s="1" t="s">
        <v>5647</v>
      </c>
      <c r="AP270" s="1" t="s">
        <v>6030</v>
      </c>
      <c r="AQ270" s="1" t="s">
        <v>1507</v>
      </c>
      <c r="AR270" s="1" t="s">
        <v>6031</v>
      </c>
      <c r="AS270" s="1" t="s">
        <v>6032</v>
      </c>
      <c r="AT270" s="1" t="s">
        <v>1507</v>
      </c>
      <c r="AU270" s="1" t="s">
        <v>1507</v>
      </c>
      <c r="AV270" s="1">
        <v>2023</v>
      </c>
      <c r="AW270" s="1" t="s">
        <v>1507</v>
      </c>
      <c r="AX270" s="1" t="s">
        <v>1507</v>
      </c>
      <c r="AY270" s="1" t="s">
        <v>1507</v>
      </c>
      <c r="AZ270" s="1" t="s">
        <v>1507</v>
      </c>
      <c r="BA270" s="1" t="s">
        <v>1507</v>
      </c>
      <c r="BB270" s="1" t="s">
        <v>1507</v>
      </c>
      <c r="BC270" s="1">
        <v>358</v>
      </c>
      <c r="BD270" s="1">
        <v>370</v>
      </c>
      <c r="BE270" s="1" t="s">
        <v>1507</v>
      </c>
      <c r="BF270" s="1" t="s">
        <v>6033</v>
      </c>
      <c r="BG270" s="1" t="str">
        <f>HYPERLINK("http://dx.doi.org/10.1109/ASE56229.2023.00040","http://dx.doi.org/10.1109/ASE56229.2023.00040")</f>
        <v>http://dx.doi.org/10.1109/ASE56229.2023.00040</v>
      </c>
      <c r="BH270" s="1" t="s">
        <v>1507</v>
      </c>
      <c r="BI270" s="1" t="s">
        <v>1507</v>
      </c>
      <c r="BJ270" s="1">
        <v>13</v>
      </c>
      <c r="BK270" s="1" t="s">
        <v>6034</v>
      </c>
      <c r="BL270" s="1" t="s">
        <v>5570</v>
      </c>
      <c r="BM270" s="1" t="s">
        <v>6035</v>
      </c>
      <c r="BN270" s="1" t="s">
        <v>6036</v>
      </c>
      <c r="BO270" s="1" t="s">
        <v>1507</v>
      </c>
      <c r="BP270" s="1" t="s">
        <v>1507</v>
      </c>
      <c r="BQ270" s="1" t="s">
        <v>1507</v>
      </c>
      <c r="BR270" s="1" t="s">
        <v>1507</v>
      </c>
      <c r="BS270" s="1" t="s">
        <v>13744</v>
      </c>
      <c r="BT270" s="1" t="s">
        <v>6037</v>
      </c>
      <c r="BU270" s="1" t="str">
        <f>HYPERLINK("https%3A%2F%2Fwww.webofscience.com%2Fwos%2Fwoscc%2Ffull-record%2FWOS:001103357200029","View Full Record in Web of Science")</f>
        <v>View Full Record in Web of Science</v>
      </c>
    </row>
    <row r="271" spans="1:73" x14ac:dyDescent="0.25">
      <c r="A271" s="1">
        <v>270</v>
      </c>
      <c r="B271" s="1" t="s">
        <v>1506</v>
      </c>
      <c r="C271" s="1" t="s">
        <v>14478</v>
      </c>
      <c r="D271" s="1" t="s">
        <v>1507</v>
      </c>
      <c r="E271" s="1" t="s">
        <v>1507</v>
      </c>
      <c r="F271" s="1" t="s">
        <v>1507</v>
      </c>
      <c r="G271" s="1" t="s">
        <v>14479</v>
      </c>
      <c r="H271" s="1" t="s">
        <v>1507</v>
      </c>
      <c r="I271" s="1" t="s">
        <v>1507</v>
      </c>
      <c r="J271" s="1" t="s">
        <v>14480</v>
      </c>
      <c r="K271" s="1" t="s">
        <v>14481</v>
      </c>
      <c r="L271" s="1" t="s">
        <v>1507</v>
      </c>
      <c r="M271" s="1" t="s">
        <v>1507</v>
      </c>
      <c r="N271" s="1" t="s">
        <v>42</v>
      </c>
      <c r="O271" s="1" t="s">
        <v>13950</v>
      </c>
      <c r="P271" s="1" t="s">
        <v>1507</v>
      </c>
      <c r="Q271" s="1" t="s">
        <v>1507</v>
      </c>
      <c r="R271" s="1" t="s">
        <v>1507</v>
      </c>
      <c r="S271" s="1" t="s">
        <v>1507</v>
      </c>
      <c r="T271" s="1" t="s">
        <v>1507</v>
      </c>
      <c r="U271" s="1" t="s">
        <v>14482</v>
      </c>
      <c r="V271" s="1" t="s">
        <v>1507</v>
      </c>
      <c r="W271" s="1" t="s">
        <v>1507</v>
      </c>
      <c r="X271" s="1" t="s">
        <v>14483</v>
      </c>
      <c r="Y271" s="1" t="s">
        <v>14484</v>
      </c>
      <c r="Z271" s="1" t="s">
        <v>14485</v>
      </c>
      <c r="AA271" s="1" t="s">
        <v>14486</v>
      </c>
      <c r="AB271" s="1" t="s">
        <v>1507</v>
      </c>
      <c r="AC271" s="1" t="s">
        <v>14487</v>
      </c>
      <c r="AD271" s="1" t="s">
        <v>14488</v>
      </c>
      <c r="AE271" s="1" t="s">
        <v>14489</v>
      </c>
      <c r="AF271" s="1" t="s">
        <v>14490</v>
      </c>
      <c r="AG271" s="1" t="s">
        <v>1507</v>
      </c>
      <c r="AH271" s="1">
        <v>5</v>
      </c>
      <c r="AI271" s="1">
        <v>7</v>
      </c>
      <c r="AJ271" s="1">
        <v>7</v>
      </c>
      <c r="AK271" s="1">
        <v>11</v>
      </c>
      <c r="AL271" s="1">
        <v>18</v>
      </c>
      <c r="AM271" s="1" t="s">
        <v>14356</v>
      </c>
      <c r="AN271" s="1" t="s">
        <v>1512</v>
      </c>
      <c r="AO271" s="1" t="s">
        <v>14357</v>
      </c>
      <c r="AP271" s="1" t="s">
        <v>14491</v>
      </c>
      <c r="AQ271" s="1" t="s">
        <v>14492</v>
      </c>
      <c r="AR271" s="1" t="s">
        <v>1507</v>
      </c>
      <c r="AS271" s="1" t="s">
        <v>14493</v>
      </c>
      <c r="AT271" s="1" t="s">
        <v>14494</v>
      </c>
      <c r="AU271" s="1" t="s">
        <v>2889</v>
      </c>
      <c r="AV271" s="1">
        <v>2023</v>
      </c>
      <c r="AW271" s="1">
        <v>89</v>
      </c>
      <c r="AX271" s="1">
        <v>4</v>
      </c>
      <c r="AY271" s="1" t="s">
        <v>1507</v>
      </c>
      <c r="AZ271" s="1" t="s">
        <v>1507</v>
      </c>
      <c r="BA271" s="1" t="s">
        <v>1507</v>
      </c>
      <c r="BB271" s="1" t="s">
        <v>1507</v>
      </c>
      <c r="BC271" s="1">
        <v>870</v>
      </c>
      <c r="BD271" s="1">
        <v>871</v>
      </c>
      <c r="BE271" s="1" t="s">
        <v>1507</v>
      </c>
      <c r="BF271" s="1" t="s">
        <v>14495</v>
      </c>
      <c r="BG271" s="1" t="str">
        <f>HYPERLINK("http://dx.doi.org/10.1016/j.jaad.2023.05.081","http://dx.doi.org/10.1016/j.jaad.2023.05.081")</f>
        <v>http://dx.doi.org/10.1016/j.jaad.2023.05.081</v>
      </c>
      <c r="BH271" s="1" t="s">
        <v>1507</v>
      </c>
      <c r="BI271" s="1" t="s">
        <v>3689</v>
      </c>
      <c r="BJ271" s="1">
        <v>2</v>
      </c>
      <c r="BK271" s="1" t="s">
        <v>14496</v>
      </c>
      <c r="BL271" s="1" t="s">
        <v>1573</v>
      </c>
      <c r="BM271" s="1" t="s">
        <v>14496</v>
      </c>
      <c r="BN271" s="1" t="s">
        <v>14497</v>
      </c>
      <c r="BO271" s="1">
        <v>37315798</v>
      </c>
      <c r="BP271" s="1" t="s">
        <v>1537</v>
      </c>
      <c r="BQ271" s="1" t="s">
        <v>1507</v>
      </c>
      <c r="BR271" s="1" t="s">
        <v>1507</v>
      </c>
      <c r="BS271" s="1" t="s">
        <v>13744</v>
      </c>
      <c r="BT271" s="1" t="s">
        <v>14498</v>
      </c>
      <c r="BU271" s="1" t="str">
        <f>HYPERLINK("https%3A%2F%2Fwww.webofscience.com%2Fwos%2Fwoscc%2Ffull-record%2FWOS:001082034300001","View Full Record in Web of Science")</f>
        <v>View Full Record in Web of Science</v>
      </c>
    </row>
    <row r="272" spans="1:73" x14ac:dyDescent="0.25">
      <c r="A272" s="1">
        <v>271</v>
      </c>
      <c r="B272" s="1" t="s">
        <v>1506</v>
      </c>
      <c r="C272" s="1" t="s">
        <v>6038</v>
      </c>
      <c r="D272" s="1" t="s">
        <v>1507</v>
      </c>
      <c r="E272" s="1" t="s">
        <v>1507</v>
      </c>
      <c r="F272" s="1" t="s">
        <v>1507</v>
      </c>
      <c r="G272" s="1" t="s">
        <v>6039</v>
      </c>
      <c r="H272" s="1" t="s">
        <v>1507</v>
      </c>
      <c r="I272" s="1" t="s">
        <v>1507</v>
      </c>
      <c r="J272" s="1" t="s">
        <v>6040</v>
      </c>
      <c r="K272" s="1" t="s">
        <v>1625</v>
      </c>
      <c r="L272" s="1" t="s">
        <v>1507</v>
      </c>
      <c r="M272" s="1" t="s">
        <v>1507</v>
      </c>
      <c r="N272" s="1" t="s">
        <v>42</v>
      </c>
      <c r="O272" s="1" t="s">
        <v>56</v>
      </c>
      <c r="P272" s="1" t="s">
        <v>1507</v>
      </c>
      <c r="Q272" s="1" t="s">
        <v>1507</v>
      </c>
      <c r="R272" s="1" t="s">
        <v>1507</v>
      </c>
      <c r="S272" s="1" t="s">
        <v>1507</v>
      </c>
      <c r="T272" s="1" t="s">
        <v>1507</v>
      </c>
      <c r="U272" s="1" t="s">
        <v>6041</v>
      </c>
      <c r="V272" s="1" t="s">
        <v>1507</v>
      </c>
      <c r="W272" s="1" t="s">
        <v>6042</v>
      </c>
      <c r="X272" s="1" t="s">
        <v>6043</v>
      </c>
      <c r="Y272" s="1" t="s">
        <v>6044</v>
      </c>
      <c r="Z272" s="1" t="s">
        <v>6045</v>
      </c>
      <c r="AA272" s="1" t="s">
        <v>6046</v>
      </c>
      <c r="AB272" s="1" t="s">
        <v>1507</v>
      </c>
      <c r="AC272" s="1" t="s">
        <v>15064</v>
      </c>
      <c r="AD272" s="1" t="s">
        <v>6047</v>
      </c>
      <c r="AE272" s="1" t="s">
        <v>6047</v>
      </c>
      <c r="AF272" s="1" t="s">
        <v>1510</v>
      </c>
      <c r="AG272" s="1" t="s">
        <v>1507</v>
      </c>
      <c r="AH272" s="1">
        <v>34</v>
      </c>
      <c r="AI272" s="1">
        <v>0</v>
      </c>
      <c r="AJ272" s="1">
        <v>0</v>
      </c>
      <c r="AK272" s="1">
        <v>1</v>
      </c>
      <c r="AL272" s="1">
        <v>1</v>
      </c>
      <c r="AM272" s="1" t="s">
        <v>1626</v>
      </c>
      <c r="AN272" s="1" t="s">
        <v>1627</v>
      </c>
      <c r="AO272" s="1" t="s">
        <v>1628</v>
      </c>
      <c r="AP272" s="1" t="s">
        <v>1629</v>
      </c>
      <c r="AQ272" s="1" t="s">
        <v>1507</v>
      </c>
      <c r="AR272" s="1" t="s">
        <v>1507</v>
      </c>
      <c r="AS272" s="1" t="s">
        <v>1625</v>
      </c>
      <c r="AT272" s="1" t="s">
        <v>1630</v>
      </c>
      <c r="AU272" s="1" t="s">
        <v>1507</v>
      </c>
      <c r="AV272" s="1">
        <v>2023</v>
      </c>
      <c r="AW272" s="1">
        <v>11</v>
      </c>
      <c r="AX272" s="1" t="s">
        <v>1507</v>
      </c>
      <c r="AY272" s="1" t="s">
        <v>1507</v>
      </c>
      <c r="AZ272" s="1" t="s">
        <v>1507</v>
      </c>
      <c r="BA272" s="1" t="s">
        <v>1507</v>
      </c>
      <c r="BB272" s="1" t="s">
        <v>1507</v>
      </c>
      <c r="BC272" s="1">
        <v>141406</v>
      </c>
      <c r="BD272" s="1">
        <v>141420</v>
      </c>
      <c r="BE272" s="1" t="s">
        <v>1507</v>
      </c>
      <c r="BF272" s="1" t="s">
        <v>6048</v>
      </c>
      <c r="BG272" s="1" t="str">
        <f>HYPERLINK("http://dx.doi.org/10.1109/ACCESS.2023.3341007","http://dx.doi.org/10.1109/ACCESS.2023.3341007")</f>
        <v>http://dx.doi.org/10.1109/ACCESS.2023.3341007</v>
      </c>
      <c r="BH272" s="1" t="s">
        <v>1507</v>
      </c>
      <c r="BI272" s="1" t="s">
        <v>1507</v>
      </c>
      <c r="BJ272" s="1">
        <v>15</v>
      </c>
      <c r="BK272" s="1" t="s">
        <v>1631</v>
      </c>
      <c r="BL272" s="1" t="s">
        <v>1573</v>
      </c>
      <c r="BM272" s="1" t="s">
        <v>1632</v>
      </c>
      <c r="BN272" s="1" t="s">
        <v>6049</v>
      </c>
      <c r="BO272" s="1" t="s">
        <v>1507</v>
      </c>
      <c r="BP272" s="1" t="s">
        <v>1531</v>
      </c>
      <c r="BQ272" s="1" t="s">
        <v>1507</v>
      </c>
      <c r="BR272" s="1" t="s">
        <v>1507</v>
      </c>
      <c r="BS272" s="1" t="s">
        <v>13744</v>
      </c>
      <c r="BT272" s="1" t="s">
        <v>6050</v>
      </c>
      <c r="BU272" s="1" t="str">
        <f>HYPERLINK("https%3A%2F%2Fwww.webofscience.com%2Fwos%2Fwoscc%2Ffull-record%2FWOS:001127772400001","View Full Record in Web of Science")</f>
        <v>View Full Record in Web of Science</v>
      </c>
    </row>
    <row r="273" spans="1:73" x14ac:dyDescent="0.25">
      <c r="A273" s="1">
        <v>272</v>
      </c>
      <c r="B273" s="1" t="s">
        <v>1506</v>
      </c>
      <c r="C273" s="1" t="s">
        <v>8367</v>
      </c>
      <c r="D273" s="1" t="s">
        <v>1507</v>
      </c>
      <c r="E273" s="1" t="s">
        <v>1507</v>
      </c>
      <c r="F273" s="1" t="s">
        <v>1507</v>
      </c>
      <c r="G273" s="1" t="s">
        <v>8368</v>
      </c>
      <c r="H273" s="1" t="s">
        <v>1507</v>
      </c>
      <c r="I273" s="1" t="s">
        <v>1507</v>
      </c>
      <c r="J273" s="1" t="s">
        <v>8369</v>
      </c>
      <c r="K273" s="1" t="s">
        <v>8370</v>
      </c>
      <c r="L273" s="1" t="s">
        <v>1507</v>
      </c>
      <c r="M273" s="1" t="s">
        <v>1507</v>
      </c>
      <c r="N273" s="1" t="s">
        <v>42</v>
      </c>
      <c r="O273" s="1" t="s">
        <v>56</v>
      </c>
      <c r="P273" s="1" t="s">
        <v>1507</v>
      </c>
      <c r="Q273" s="1" t="s">
        <v>1507</v>
      </c>
      <c r="R273" s="1" t="s">
        <v>1507</v>
      </c>
      <c r="S273" s="1" t="s">
        <v>1507</v>
      </c>
      <c r="T273" s="1" t="s">
        <v>1507</v>
      </c>
      <c r="U273" s="1" t="s">
        <v>1507</v>
      </c>
      <c r="V273" s="1" t="s">
        <v>8371</v>
      </c>
      <c r="W273" s="1" t="s">
        <v>8372</v>
      </c>
      <c r="X273" s="1" t="s">
        <v>8373</v>
      </c>
      <c r="Y273" s="1" t="s">
        <v>15722</v>
      </c>
      <c r="Z273" s="1" t="s">
        <v>8374</v>
      </c>
      <c r="AA273" s="1" t="s">
        <v>8375</v>
      </c>
      <c r="AB273" s="1" t="s">
        <v>15723</v>
      </c>
      <c r="AC273" s="1" t="s">
        <v>15724</v>
      </c>
      <c r="AD273" s="1" t="s">
        <v>15725</v>
      </c>
      <c r="AE273" s="1" t="s">
        <v>8376</v>
      </c>
      <c r="AF273" s="1" t="s">
        <v>8377</v>
      </c>
      <c r="AG273" s="1" t="s">
        <v>1507</v>
      </c>
      <c r="AH273" s="1">
        <v>92</v>
      </c>
      <c r="AI273" s="1">
        <v>73</v>
      </c>
      <c r="AJ273" s="1">
        <v>79</v>
      </c>
      <c r="AK273" s="1">
        <v>28</v>
      </c>
      <c r="AL273" s="1">
        <v>160</v>
      </c>
      <c r="AM273" s="1" t="s">
        <v>1601</v>
      </c>
      <c r="AN273" s="1" t="s">
        <v>1551</v>
      </c>
      <c r="AO273" s="1" t="s">
        <v>1602</v>
      </c>
      <c r="AP273" s="1" t="s">
        <v>8378</v>
      </c>
      <c r="AQ273" s="1" t="s">
        <v>8379</v>
      </c>
      <c r="AR273" s="1" t="s">
        <v>1507</v>
      </c>
      <c r="AS273" s="1" t="s">
        <v>8380</v>
      </c>
      <c r="AT273" s="1" t="s">
        <v>8381</v>
      </c>
      <c r="AU273" s="1" t="s">
        <v>1616</v>
      </c>
      <c r="AV273" s="1">
        <v>2022</v>
      </c>
      <c r="AW273" s="1">
        <v>16</v>
      </c>
      <c r="AX273" s="1">
        <v>1</v>
      </c>
      <c r="AY273" s="1" t="s">
        <v>1507</v>
      </c>
      <c r="AZ273" s="1" t="s">
        <v>1507</v>
      </c>
      <c r="BA273" s="1" t="s">
        <v>1507</v>
      </c>
      <c r="BB273" s="1" t="s">
        <v>1507</v>
      </c>
      <c r="BC273" s="1">
        <v>272</v>
      </c>
      <c r="BD273" s="1">
        <v>283</v>
      </c>
      <c r="BE273" s="1" t="s">
        <v>1507</v>
      </c>
      <c r="BF273" s="1" t="s">
        <v>8382</v>
      </c>
      <c r="BG273" s="1" t="str">
        <f>HYPERLINK("http://dx.doi.org/10.1038/s41396-021-01064-z","http://dx.doi.org/10.1038/s41396-021-01064-z")</f>
        <v>http://dx.doi.org/10.1038/s41396-021-01064-z</v>
      </c>
      <c r="BH273" s="1" t="s">
        <v>1507</v>
      </c>
      <c r="BI273" s="1" t="s">
        <v>8383</v>
      </c>
      <c r="BJ273" s="1">
        <v>12</v>
      </c>
      <c r="BK273" s="1" t="s">
        <v>8384</v>
      </c>
      <c r="BL273" s="1" t="s">
        <v>1573</v>
      </c>
      <c r="BM273" s="1" t="s">
        <v>8385</v>
      </c>
      <c r="BN273" s="1" t="s">
        <v>8386</v>
      </c>
      <c r="BO273" s="1">
        <v>34316016</v>
      </c>
      <c r="BP273" s="1" t="s">
        <v>15726</v>
      </c>
      <c r="BQ273" s="1" t="s">
        <v>1507</v>
      </c>
      <c r="BR273" s="1" t="s">
        <v>1507</v>
      </c>
      <c r="BS273" s="1" t="s">
        <v>13744</v>
      </c>
      <c r="BT273" s="1" t="s">
        <v>8387</v>
      </c>
      <c r="BU273" s="1" t="str">
        <f>HYPERLINK("https%3A%2F%2Fwww.webofscience.com%2Fwos%2Fwoscc%2Ffull-record%2FWOS:000677942400001","View Full Record in Web of Science")</f>
        <v>View Full Record in Web of Science</v>
      </c>
    </row>
    <row r="274" spans="1:73" x14ac:dyDescent="0.25">
      <c r="A274" s="1">
        <v>273</v>
      </c>
      <c r="B274" s="1" t="s">
        <v>1506</v>
      </c>
      <c r="C274" s="1" t="s">
        <v>4194</v>
      </c>
      <c r="D274" s="1" t="s">
        <v>1507</v>
      </c>
      <c r="E274" s="1" t="s">
        <v>1507</v>
      </c>
      <c r="F274" s="1" t="s">
        <v>1507</v>
      </c>
      <c r="G274" s="1" t="s">
        <v>4195</v>
      </c>
      <c r="H274" s="1" t="s">
        <v>1507</v>
      </c>
      <c r="I274" s="1" t="s">
        <v>1507</v>
      </c>
      <c r="J274" s="1" t="s">
        <v>4196</v>
      </c>
      <c r="K274" s="1" t="s">
        <v>4197</v>
      </c>
      <c r="L274" s="1" t="s">
        <v>1507</v>
      </c>
      <c r="M274" s="1" t="s">
        <v>1507</v>
      </c>
      <c r="N274" s="1" t="s">
        <v>42</v>
      </c>
      <c r="O274" s="1" t="s">
        <v>56</v>
      </c>
      <c r="P274" s="1" t="s">
        <v>1507</v>
      </c>
      <c r="Q274" s="1" t="s">
        <v>1507</v>
      </c>
      <c r="R274" s="1" t="s">
        <v>1507</v>
      </c>
      <c r="S274" s="1" t="s">
        <v>1507</v>
      </c>
      <c r="T274" s="1" t="s">
        <v>1507</v>
      </c>
      <c r="U274" s="1" t="s">
        <v>4198</v>
      </c>
      <c r="V274" s="1" t="s">
        <v>1507</v>
      </c>
      <c r="W274" s="1" t="s">
        <v>4199</v>
      </c>
      <c r="X274" s="1" t="s">
        <v>4200</v>
      </c>
      <c r="Y274" s="1" t="s">
        <v>4201</v>
      </c>
      <c r="Z274" s="1" t="s">
        <v>4202</v>
      </c>
      <c r="AA274" s="1" t="s">
        <v>4203</v>
      </c>
      <c r="AB274" s="1" t="s">
        <v>4204</v>
      </c>
      <c r="AC274" s="1" t="s">
        <v>4205</v>
      </c>
      <c r="AD274" s="1" t="s">
        <v>4206</v>
      </c>
      <c r="AE274" s="1" t="s">
        <v>4206</v>
      </c>
      <c r="AF274" s="1" t="s">
        <v>4207</v>
      </c>
      <c r="AG274" s="1" t="s">
        <v>1507</v>
      </c>
      <c r="AH274" s="1">
        <v>24</v>
      </c>
      <c r="AI274" s="1">
        <v>6</v>
      </c>
      <c r="AJ274" s="1">
        <v>6</v>
      </c>
      <c r="AK274" s="1">
        <v>13</v>
      </c>
      <c r="AL274" s="1">
        <v>19</v>
      </c>
      <c r="AM274" s="1" t="s">
        <v>1511</v>
      </c>
      <c r="AN274" s="1" t="s">
        <v>1512</v>
      </c>
      <c r="AO274" s="1" t="s">
        <v>1513</v>
      </c>
      <c r="AP274" s="1" t="s">
        <v>4208</v>
      </c>
      <c r="AQ274" s="1" t="s">
        <v>4209</v>
      </c>
      <c r="AR274" s="1" t="s">
        <v>1507</v>
      </c>
      <c r="AS274" s="1" t="s">
        <v>4210</v>
      </c>
      <c r="AT274" s="1" t="s">
        <v>4211</v>
      </c>
      <c r="AU274" s="1" t="s">
        <v>2771</v>
      </c>
      <c r="AV274" s="1">
        <v>2023</v>
      </c>
      <c r="AW274" s="1">
        <v>31</v>
      </c>
      <c r="AX274" s="1">
        <v>11</v>
      </c>
      <c r="AY274" s="1" t="s">
        <v>1507</v>
      </c>
      <c r="AZ274" s="1" t="s">
        <v>1507</v>
      </c>
      <c r="BA274" s="1" t="s">
        <v>1507</v>
      </c>
      <c r="BB274" s="1" t="s">
        <v>1507</v>
      </c>
      <c r="BC274" s="1">
        <v>5190</v>
      </c>
      <c r="BD274" s="1">
        <v>5198</v>
      </c>
      <c r="BE274" s="1" t="s">
        <v>1507</v>
      </c>
      <c r="BF274" s="1" t="s">
        <v>4212</v>
      </c>
      <c r="BG274" s="1" t="str">
        <f>HYPERLINK("http://dx.doi.org/10.1007/s00167-023-07529-2","http://dx.doi.org/10.1007/s00167-023-07529-2")</f>
        <v>http://dx.doi.org/10.1007/s00167-023-07529-2</v>
      </c>
      <c r="BH274" s="1" t="s">
        <v>1507</v>
      </c>
      <c r="BI274" s="1" t="s">
        <v>4056</v>
      </c>
      <c r="BJ274" s="1">
        <v>9</v>
      </c>
      <c r="BK274" s="1" t="s">
        <v>4213</v>
      </c>
      <c r="BL274" s="1" t="s">
        <v>1573</v>
      </c>
      <c r="BM274" s="1" t="s">
        <v>4213</v>
      </c>
      <c r="BN274" s="1" t="s">
        <v>14562</v>
      </c>
      <c r="BO274" s="1">
        <v>37553552</v>
      </c>
      <c r="BP274" s="1" t="s">
        <v>2309</v>
      </c>
      <c r="BQ274" s="1" t="s">
        <v>1507</v>
      </c>
      <c r="BR274" s="1" t="s">
        <v>1507</v>
      </c>
      <c r="BS274" s="1" t="s">
        <v>13744</v>
      </c>
      <c r="BT274" s="1" t="s">
        <v>4215</v>
      </c>
      <c r="BU274" s="1" t="str">
        <f>HYPERLINK("https%3A%2F%2Fwww.webofscience.com%2Fwos%2Fwoscc%2Ffull-record%2FWOS:001044338600003","View Full Record in Web of Science")</f>
        <v>View Full Record in Web of Science</v>
      </c>
    </row>
    <row r="275" spans="1:73" x14ac:dyDescent="0.25">
      <c r="A275" s="1">
        <v>274</v>
      </c>
      <c r="B275" s="1" t="s">
        <v>1506</v>
      </c>
      <c r="C275" s="1" t="s">
        <v>8088</v>
      </c>
      <c r="D275" s="1" t="s">
        <v>1507</v>
      </c>
      <c r="E275" s="1" t="s">
        <v>1507</v>
      </c>
      <c r="F275" s="1" t="s">
        <v>1507</v>
      </c>
      <c r="G275" s="1" t="s">
        <v>8089</v>
      </c>
      <c r="H275" s="1" t="s">
        <v>1507</v>
      </c>
      <c r="I275" s="1" t="s">
        <v>1507</v>
      </c>
      <c r="J275" s="1" t="s">
        <v>8090</v>
      </c>
      <c r="K275" s="1" t="s">
        <v>8091</v>
      </c>
      <c r="L275" s="1" t="s">
        <v>1507</v>
      </c>
      <c r="M275" s="1" t="s">
        <v>1507</v>
      </c>
      <c r="N275" s="1" t="s">
        <v>42</v>
      </c>
      <c r="O275" s="1" t="s">
        <v>56</v>
      </c>
      <c r="P275" s="1" t="s">
        <v>1507</v>
      </c>
      <c r="Q275" s="1" t="s">
        <v>1507</v>
      </c>
      <c r="R275" s="1" t="s">
        <v>1507</v>
      </c>
      <c r="S275" s="1" t="s">
        <v>1507</v>
      </c>
      <c r="T275" s="1" t="s">
        <v>1507</v>
      </c>
      <c r="U275" s="1" t="s">
        <v>8092</v>
      </c>
      <c r="V275" s="1" t="s">
        <v>8093</v>
      </c>
      <c r="W275" s="1" t="s">
        <v>8094</v>
      </c>
      <c r="X275" s="1" t="s">
        <v>8095</v>
      </c>
      <c r="Y275" s="1" t="s">
        <v>15689</v>
      </c>
      <c r="Z275" s="1" t="s">
        <v>8096</v>
      </c>
      <c r="AA275" s="1" t="s">
        <v>8097</v>
      </c>
      <c r="AB275" s="1" t="s">
        <v>15690</v>
      </c>
      <c r="AC275" s="1" t="s">
        <v>15691</v>
      </c>
      <c r="AD275" s="1" t="s">
        <v>8098</v>
      </c>
      <c r="AE275" s="1" t="s">
        <v>8099</v>
      </c>
      <c r="AF275" s="1" t="s">
        <v>8100</v>
      </c>
      <c r="AG275" s="1" t="s">
        <v>1507</v>
      </c>
      <c r="AH275" s="1">
        <v>40</v>
      </c>
      <c r="AI275" s="1">
        <v>1</v>
      </c>
      <c r="AJ275" s="1">
        <v>1</v>
      </c>
      <c r="AK275" s="1">
        <v>0</v>
      </c>
      <c r="AL275" s="1">
        <v>3</v>
      </c>
      <c r="AM275" s="1" t="s">
        <v>1582</v>
      </c>
      <c r="AN275" s="1" t="s">
        <v>1583</v>
      </c>
      <c r="AO275" s="1" t="s">
        <v>1584</v>
      </c>
      <c r="AP275" s="1" t="s">
        <v>8101</v>
      </c>
      <c r="AQ275" s="1" t="s">
        <v>8102</v>
      </c>
      <c r="AR275" s="1" t="s">
        <v>1507</v>
      </c>
      <c r="AS275" s="1" t="s">
        <v>8103</v>
      </c>
      <c r="AT275" s="1" t="s">
        <v>8104</v>
      </c>
      <c r="AU275" s="1" t="s">
        <v>2771</v>
      </c>
      <c r="AV275" s="1">
        <v>2021</v>
      </c>
      <c r="AW275" s="1">
        <v>151</v>
      </c>
      <c r="AX275" s="1">
        <v>11</v>
      </c>
      <c r="AY275" s="1" t="s">
        <v>1507</v>
      </c>
      <c r="AZ275" s="1" t="s">
        <v>1507</v>
      </c>
      <c r="BA275" s="1" t="s">
        <v>1507</v>
      </c>
      <c r="BB275" s="1" t="s">
        <v>1507</v>
      </c>
      <c r="BC275" s="1">
        <v>3579</v>
      </c>
      <c r="BD275" s="1">
        <v>3587</v>
      </c>
      <c r="BE275" s="1" t="s">
        <v>1507</v>
      </c>
      <c r="BF275" s="1" t="s">
        <v>8105</v>
      </c>
      <c r="BG275" s="1" t="str">
        <f>HYPERLINK("http://dx.doi.org/10.1093/jn/nxab300","http://dx.doi.org/10.1093/jn/nxab300")</f>
        <v>http://dx.doi.org/10.1093/jn/nxab300</v>
      </c>
      <c r="BH275" s="1" t="s">
        <v>1507</v>
      </c>
      <c r="BI275" s="1" t="s">
        <v>1507</v>
      </c>
      <c r="BJ275" s="1">
        <v>9</v>
      </c>
      <c r="BK275" s="1" t="s">
        <v>7211</v>
      </c>
      <c r="BL275" s="1" t="s">
        <v>1573</v>
      </c>
      <c r="BM275" s="1" t="s">
        <v>7211</v>
      </c>
      <c r="BN275" s="1" t="s">
        <v>8106</v>
      </c>
      <c r="BO275" s="1">
        <v>34590125</v>
      </c>
      <c r="BP275" s="1" t="s">
        <v>2309</v>
      </c>
      <c r="BQ275" s="1" t="s">
        <v>1507</v>
      </c>
      <c r="BR275" s="1" t="s">
        <v>1507</v>
      </c>
      <c r="BS275" s="1" t="s">
        <v>13744</v>
      </c>
      <c r="BT275" s="1" t="s">
        <v>8107</v>
      </c>
      <c r="BU275" s="1" t="str">
        <f>HYPERLINK("https%3A%2F%2Fwww.webofscience.com%2Fwos%2Fwoscc%2Ffull-record%2FWOS:000731863600032","View Full Record in Web of Science")</f>
        <v>View Full Record in Web of Science</v>
      </c>
    </row>
    <row r="276" spans="1:73" x14ac:dyDescent="0.25">
      <c r="A276" s="1">
        <v>275</v>
      </c>
      <c r="B276" s="1" t="s">
        <v>1506</v>
      </c>
      <c r="C276" s="1" t="s">
        <v>13982</v>
      </c>
      <c r="D276" s="1" t="s">
        <v>1507</v>
      </c>
      <c r="E276" s="1" t="s">
        <v>1507</v>
      </c>
      <c r="F276" s="1" t="s">
        <v>1507</v>
      </c>
      <c r="G276" s="1" t="s">
        <v>13983</v>
      </c>
      <c r="H276" s="1" t="s">
        <v>1507</v>
      </c>
      <c r="I276" s="1" t="s">
        <v>1507</v>
      </c>
      <c r="J276" s="1" t="s">
        <v>13984</v>
      </c>
      <c r="K276" s="1" t="s">
        <v>11798</v>
      </c>
      <c r="L276" s="1" t="s">
        <v>1507</v>
      </c>
      <c r="M276" s="1" t="s">
        <v>1507</v>
      </c>
      <c r="N276" s="1" t="s">
        <v>42</v>
      </c>
      <c r="O276" s="1" t="s">
        <v>13985</v>
      </c>
      <c r="P276" s="1" t="s">
        <v>1507</v>
      </c>
      <c r="Q276" s="1" t="s">
        <v>1507</v>
      </c>
      <c r="R276" s="1" t="s">
        <v>1507</v>
      </c>
      <c r="S276" s="1" t="s">
        <v>1507</v>
      </c>
      <c r="T276" s="1" t="s">
        <v>1507</v>
      </c>
      <c r="U276" s="1" t="s">
        <v>13986</v>
      </c>
      <c r="V276" s="1" t="s">
        <v>1507</v>
      </c>
      <c r="W276" s="1" t="s">
        <v>1507</v>
      </c>
      <c r="X276" s="1" t="s">
        <v>13987</v>
      </c>
      <c r="Y276" s="1" t="s">
        <v>13988</v>
      </c>
      <c r="Z276" s="1" t="s">
        <v>13989</v>
      </c>
      <c r="AA276" s="1" t="s">
        <v>13990</v>
      </c>
      <c r="AB276" s="1" t="s">
        <v>1507</v>
      </c>
      <c r="AC276" s="1" t="s">
        <v>1507</v>
      </c>
      <c r="AD276" s="1" t="s">
        <v>13991</v>
      </c>
      <c r="AE276" s="1" t="s">
        <v>13992</v>
      </c>
      <c r="AF276" s="1" t="s">
        <v>13993</v>
      </c>
      <c r="AG276" s="1" t="s">
        <v>1507</v>
      </c>
      <c r="AH276" s="1">
        <v>23</v>
      </c>
      <c r="AI276" s="1">
        <v>0</v>
      </c>
      <c r="AJ276" s="1">
        <v>0</v>
      </c>
      <c r="AK276" s="1">
        <v>43</v>
      </c>
      <c r="AL276" s="1">
        <v>43</v>
      </c>
      <c r="AM276" s="1" t="s">
        <v>4284</v>
      </c>
      <c r="AN276" s="1" t="s">
        <v>4285</v>
      </c>
      <c r="AO276" s="1" t="s">
        <v>4286</v>
      </c>
      <c r="AP276" s="1" t="s">
        <v>11808</v>
      </c>
      <c r="AQ276" s="1" t="s">
        <v>11809</v>
      </c>
      <c r="AR276" s="1" t="s">
        <v>1507</v>
      </c>
      <c r="AS276" s="1" t="s">
        <v>11810</v>
      </c>
      <c r="AT276" s="1" t="s">
        <v>11811</v>
      </c>
      <c r="AU276" s="1" t="s">
        <v>13994</v>
      </c>
      <c r="AV276" s="1">
        <v>2023</v>
      </c>
      <c r="AW276" s="1" t="s">
        <v>1507</v>
      </c>
      <c r="AX276" s="1" t="s">
        <v>1507</v>
      </c>
      <c r="AY276" s="1" t="s">
        <v>1507</v>
      </c>
      <c r="AZ276" s="1" t="s">
        <v>1507</v>
      </c>
      <c r="BA276" s="1" t="s">
        <v>1507</v>
      </c>
      <c r="BB276" s="1" t="s">
        <v>1507</v>
      </c>
      <c r="BC276" s="1" t="s">
        <v>1507</v>
      </c>
      <c r="BD276" s="1" t="s">
        <v>1507</v>
      </c>
      <c r="BE276" s="1" t="s">
        <v>1507</v>
      </c>
      <c r="BF276" s="1" t="s">
        <v>13995</v>
      </c>
      <c r="BG276" s="1" t="str">
        <f>HYPERLINK("http://dx.doi.org/10.1093/cid/ciad635","http://dx.doi.org/10.1093/cid/ciad635")</f>
        <v>http://dx.doi.org/10.1093/cid/ciad635</v>
      </c>
      <c r="BH276" s="1" t="s">
        <v>1507</v>
      </c>
      <c r="BI276" s="1" t="s">
        <v>2396</v>
      </c>
      <c r="BJ276" s="1">
        <v>3</v>
      </c>
      <c r="BK276" s="1" t="s">
        <v>11813</v>
      </c>
      <c r="BL276" s="1" t="s">
        <v>1573</v>
      </c>
      <c r="BM276" s="1" t="s">
        <v>11813</v>
      </c>
      <c r="BN276" s="1" t="s">
        <v>13996</v>
      </c>
      <c r="BO276" s="1">
        <v>37963099</v>
      </c>
      <c r="BP276" s="1" t="s">
        <v>1507</v>
      </c>
      <c r="BQ276" s="1" t="s">
        <v>1507</v>
      </c>
      <c r="BR276" s="1" t="s">
        <v>1507</v>
      </c>
      <c r="BS276" s="1" t="s">
        <v>13744</v>
      </c>
      <c r="BT276" s="1" t="s">
        <v>13997</v>
      </c>
      <c r="BU276" s="1" t="str">
        <f>HYPERLINK("https%3A%2F%2Fwww.webofscience.com%2Fwos%2Fwoscc%2Ffull-record%2FWOS:001104478800001","View Full Record in Web of Science")</f>
        <v>View Full Record in Web of Science</v>
      </c>
    </row>
    <row r="277" spans="1:73" x14ac:dyDescent="0.25">
      <c r="A277" s="1">
        <v>276</v>
      </c>
      <c r="B277" s="1" t="s">
        <v>5546</v>
      </c>
      <c r="C277" s="1" t="s">
        <v>15065</v>
      </c>
      <c r="D277" s="1" t="s">
        <v>1507</v>
      </c>
      <c r="E277" s="1" t="s">
        <v>1507</v>
      </c>
      <c r="F277" s="1" t="s">
        <v>5628</v>
      </c>
      <c r="G277" s="1" t="s">
        <v>15066</v>
      </c>
      <c r="H277" s="1" t="s">
        <v>1507</v>
      </c>
      <c r="I277" s="1" t="s">
        <v>1507</v>
      </c>
      <c r="J277" s="1" t="s">
        <v>15067</v>
      </c>
      <c r="K277" s="1" t="s">
        <v>15068</v>
      </c>
      <c r="L277" s="1" t="s">
        <v>15069</v>
      </c>
      <c r="M277" s="1" t="s">
        <v>1507</v>
      </c>
      <c r="N277" s="1" t="s">
        <v>42</v>
      </c>
      <c r="O277" s="1" t="s">
        <v>5552</v>
      </c>
      <c r="P277" s="1" t="s">
        <v>15070</v>
      </c>
      <c r="Q277" s="1" t="s">
        <v>15071</v>
      </c>
      <c r="R277" s="1" t="s">
        <v>15072</v>
      </c>
      <c r="S277" s="1" t="s">
        <v>15073</v>
      </c>
      <c r="T277" s="1" t="s">
        <v>1507</v>
      </c>
      <c r="U277" s="1" t="s">
        <v>15074</v>
      </c>
      <c r="V277" s="1" t="s">
        <v>15075</v>
      </c>
      <c r="W277" s="1" t="s">
        <v>15076</v>
      </c>
      <c r="X277" s="1" t="s">
        <v>15077</v>
      </c>
      <c r="Y277" s="1" t="s">
        <v>15078</v>
      </c>
      <c r="Z277" s="1" t="s">
        <v>15079</v>
      </c>
      <c r="AA277" s="1" t="s">
        <v>15080</v>
      </c>
      <c r="AB277" s="1" t="s">
        <v>1507</v>
      </c>
      <c r="AC277" s="1" t="s">
        <v>1507</v>
      </c>
      <c r="AD277" s="1" t="s">
        <v>1507</v>
      </c>
      <c r="AE277" s="1" t="s">
        <v>1507</v>
      </c>
      <c r="AF277" s="1" t="s">
        <v>1507</v>
      </c>
      <c r="AG277" s="1" t="s">
        <v>1507</v>
      </c>
      <c r="AH277" s="1">
        <v>87</v>
      </c>
      <c r="AI277" s="1">
        <v>0</v>
      </c>
      <c r="AJ277" s="1">
        <v>0</v>
      </c>
      <c r="AK277" s="1">
        <v>1</v>
      </c>
      <c r="AL277" s="1">
        <v>1</v>
      </c>
      <c r="AM277" s="1" t="s">
        <v>5628</v>
      </c>
      <c r="AN277" s="1" t="s">
        <v>1512</v>
      </c>
      <c r="AO277" s="1" t="s">
        <v>6457</v>
      </c>
      <c r="AP277" s="1" t="s">
        <v>15081</v>
      </c>
      <c r="AQ277" s="1" t="s">
        <v>1507</v>
      </c>
      <c r="AR277" s="1" t="s">
        <v>15082</v>
      </c>
      <c r="AS277" s="1" t="s">
        <v>15083</v>
      </c>
      <c r="AT277" s="1" t="s">
        <v>1507</v>
      </c>
      <c r="AU277" s="1" t="s">
        <v>1507</v>
      </c>
      <c r="AV277" s="1">
        <v>2023</v>
      </c>
      <c r="AW277" s="1" t="s">
        <v>1507</v>
      </c>
      <c r="AX277" s="1" t="s">
        <v>1507</v>
      </c>
      <c r="AY277" s="1" t="s">
        <v>1507</v>
      </c>
      <c r="AZ277" s="1" t="s">
        <v>1507</v>
      </c>
      <c r="BA277" s="1" t="s">
        <v>1507</v>
      </c>
      <c r="BB277" s="1" t="s">
        <v>1507</v>
      </c>
      <c r="BC277" s="1">
        <v>110</v>
      </c>
      <c r="BD277" s="1">
        <v>117</v>
      </c>
      <c r="BE277" s="1" t="s">
        <v>1507</v>
      </c>
      <c r="BF277" s="1" t="s">
        <v>15084</v>
      </c>
      <c r="BG277" s="1" t="str">
        <f>HYPERLINK("http://dx.doi.org/10.1109/VLSI-SoC57769.2023.10321880","http://dx.doi.org/10.1109/VLSI-SoC57769.2023.10321880")</f>
        <v>http://dx.doi.org/10.1109/VLSI-SoC57769.2023.10321880</v>
      </c>
      <c r="BH277" s="1" t="s">
        <v>1507</v>
      </c>
      <c r="BI277" s="1" t="s">
        <v>1507</v>
      </c>
      <c r="BJ277" s="1">
        <v>8</v>
      </c>
      <c r="BK277" s="1" t="s">
        <v>15085</v>
      </c>
      <c r="BL277" s="1" t="s">
        <v>5570</v>
      </c>
      <c r="BM277" s="1" t="s">
        <v>1578</v>
      </c>
      <c r="BN277" s="1" t="s">
        <v>15086</v>
      </c>
      <c r="BO277" s="1" t="s">
        <v>1507</v>
      </c>
      <c r="BP277" s="1" t="s">
        <v>1507</v>
      </c>
      <c r="BQ277" s="1" t="s">
        <v>1507</v>
      </c>
      <c r="BR277" s="1" t="s">
        <v>1507</v>
      </c>
      <c r="BS277" s="1" t="s">
        <v>13744</v>
      </c>
      <c r="BT277" s="1" t="s">
        <v>15087</v>
      </c>
      <c r="BU277" s="1" t="str">
        <f>HYPERLINK("https%3A%2F%2Fwww.webofscience.com%2Fwos%2Fwoscc%2Ffull-record%2FWOS:001108827200019","View Full Record in Web of Science")</f>
        <v>View Full Record in Web of Science</v>
      </c>
    </row>
    <row r="278" spans="1:73" x14ac:dyDescent="0.25">
      <c r="A278" s="1">
        <v>277</v>
      </c>
      <c r="B278" s="1" t="s">
        <v>1506</v>
      </c>
      <c r="C278" s="1" t="s">
        <v>11751</v>
      </c>
      <c r="D278" s="1" t="s">
        <v>1507</v>
      </c>
      <c r="E278" s="1" t="s">
        <v>1507</v>
      </c>
      <c r="F278" s="1" t="s">
        <v>1507</v>
      </c>
      <c r="G278" s="1" t="s">
        <v>11752</v>
      </c>
      <c r="H278" s="1" t="s">
        <v>1507</v>
      </c>
      <c r="I278" s="1" t="s">
        <v>1507</v>
      </c>
      <c r="J278" s="1" t="s">
        <v>11753</v>
      </c>
      <c r="K278" s="1" t="s">
        <v>11754</v>
      </c>
      <c r="L278" s="1" t="s">
        <v>1507</v>
      </c>
      <c r="M278" s="1" t="s">
        <v>1507</v>
      </c>
      <c r="N278" s="1" t="s">
        <v>42</v>
      </c>
      <c r="O278" s="1" t="s">
        <v>56</v>
      </c>
      <c r="P278" s="1" t="s">
        <v>1507</v>
      </c>
      <c r="Q278" s="1" t="s">
        <v>1507</v>
      </c>
      <c r="R278" s="1" t="s">
        <v>1507</v>
      </c>
      <c r="S278" s="1" t="s">
        <v>1507</v>
      </c>
      <c r="T278" s="1" t="s">
        <v>1507</v>
      </c>
      <c r="U278" s="1" t="s">
        <v>11755</v>
      </c>
      <c r="V278" s="1" t="s">
        <v>11756</v>
      </c>
      <c r="W278" s="1" t="s">
        <v>11757</v>
      </c>
      <c r="X278" s="1" t="s">
        <v>11758</v>
      </c>
      <c r="Y278" s="1" t="s">
        <v>11759</v>
      </c>
      <c r="Z278" s="1" t="s">
        <v>11760</v>
      </c>
      <c r="AA278" s="1" t="s">
        <v>11761</v>
      </c>
      <c r="AB278" s="1" t="s">
        <v>16006</v>
      </c>
      <c r="AC278" s="1" t="s">
        <v>16007</v>
      </c>
      <c r="AD278" s="1" t="s">
        <v>1507</v>
      </c>
      <c r="AE278" s="1" t="s">
        <v>1507</v>
      </c>
      <c r="AF278" s="1" t="s">
        <v>1507</v>
      </c>
      <c r="AG278" s="1" t="s">
        <v>1507</v>
      </c>
      <c r="AH278" s="1">
        <v>39</v>
      </c>
      <c r="AI278" s="1">
        <v>33</v>
      </c>
      <c r="AJ278" s="1">
        <v>36</v>
      </c>
      <c r="AK278" s="1">
        <v>1</v>
      </c>
      <c r="AL278" s="1">
        <v>6</v>
      </c>
      <c r="AM278" s="1" t="s">
        <v>11762</v>
      </c>
      <c r="AN278" s="1" t="s">
        <v>1551</v>
      </c>
      <c r="AO278" s="1" t="s">
        <v>11763</v>
      </c>
      <c r="AP278" s="1" t="s">
        <v>11764</v>
      </c>
      <c r="AQ278" s="1" t="s">
        <v>11765</v>
      </c>
      <c r="AR278" s="1" t="s">
        <v>1507</v>
      </c>
      <c r="AS278" s="1" t="s">
        <v>11766</v>
      </c>
      <c r="AT278" s="1" t="s">
        <v>11767</v>
      </c>
      <c r="AU278" s="1" t="s">
        <v>11768</v>
      </c>
      <c r="AV278" s="1">
        <v>2018</v>
      </c>
      <c r="AW278" s="1">
        <v>11</v>
      </c>
      <c r="AX278" s="1">
        <v>3</v>
      </c>
      <c r="AY278" s="1" t="s">
        <v>1507</v>
      </c>
      <c r="AZ278" s="1" t="s">
        <v>1507</v>
      </c>
      <c r="BA278" s="1" t="s">
        <v>1507</v>
      </c>
      <c r="BB278" s="1" t="s">
        <v>1507</v>
      </c>
      <c r="BC278" s="1">
        <v>331</v>
      </c>
      <c r="BD278" s="1">
        <v>338</v>
      </c>
      <c r="BE278" s="1" t="s">
        <v>1507</v>
      </c>
      <c r="BF278" s="1" t="s">
        <v>11769</v>
      </c>
      <c r="BG278" s="1" t="str">
        <f>HYPERLINK("http://dx.doi.org/10.1016/j.jiph.2017.00.022","http://dx.doi.org/10.1016/j.jiph.2017.00.022")</f>
        <v>http://dx.doi.org/10.1016/j.jiph.2017.00.022</v>
      </c>
      <c r="BH278" s="1" t="s">
        <v>1507</v>
      </c>
      <c r="BI278" s="1" t="s">
        <v>1507</v>
      </c>
      <c r="BJ278" s="1">
        <v>8</v>
      </c>
      <c r="BK278" s="1" t="s">
        <v>11770</v>
      </c>
      <c r="BL278" s="1" t="s">
        <v>1573</v>
      </c>
      <c r="BM278" s="1" t="s">
        <v>11770</v>
      </c>
      <c r="BN278" s="1" t="s">
        <v>11771</v>
      </c>
      <c r="BO278" s="1">
        <v>28993171</v>
      </c>
      <c r="BP278" s="1" t="s">
        <v>1507</v>
      </c>
      <c r="BQ278" s="1" t="s">
        <v>1507</v>
      </c>
      <c r="BR278" s="1" t="s">
        <v>1507</v>
      </c>
      <c r="BS278" s="1" t="s">
        <v>13744</v>
      </c>
      <c r="BT278" s="1" t="s">
        <v>11772</v>
      </c>
      <c r="BU278" s="1" t="str">
        <f>HYPERLINK("https%3A%2F%2Fwww.webofscience.com%2Fwos%2Fwoscc%2Ffull-record%2FWOS:000432468400008","View Full Record in Web of Science")</f>
        <v>View Full Record in Web of Science</v>
      </c>
    </row>
    <row r="279" spans="1:73" x14ac:dyDescent="0.25">
      <c r="A279" s="1">
        <v>278</v>
      </c>
      <c r="B279" s="1" t="s">
        <v>1506</v>
      </c>
      <c r="C279" s="1" t="s">
        <v>2808</v>
      </c>
      <c r="D279" s="1" t="s">
        <v>1507</v>
      </c>
      <c r="E279" s="1" t="s">
        <v>1507</v>
      </c>
      <c r="F279" s="1" t="s">
        <v>1507</v>
      </c>
      <c r="G279" s="1" t="s">
        <v>2809</v>
      </c>
      <c r="H279" s="1" t="s">
        <v>1507</v>
      </c>
      <c r="I279" s="1" t="s">
        <v>1507</v>
      </c>
      <c r="J279" s="1" t="s">
        <v>2810</v>
      </c>
      <c r="K279" s="1" t="s">
        <v>2811</v>
      </c>
      <c r="L279" s="1" t="s">
        <v>1507</v>
      </c>
      <c r="M279" s="1" t="s">
        <v>1507</v>
      </c>
      <c r="N279" s="1" t="s">
        <v>42</v>
      </c>
      <c r="O279" s="1" t="s">
        <v>56</v>
      </c>
      <c r="P279" s="1" t="s">
        <v>1507</v>
      </c>
      <c r="Q279" s="1" t="s">
        <v>1507</v>
      </c>
      <c r="R279" s="1" t="s">
        <v>1507</v>
      </c>
      <c r="S279" s="1" t="s">
        <v>1507</v>
      </c>
      <c r="T279" s="1" t="s">
        <v>1507</v>
      </c>
      <c r="U279" s="1" t="s">
        <v>2812</v>
      </c>
      <c r="V279" s="1" t="s">
        <v>2813</v>
      </c>
      <c r="W279" s="1" t="s">
        <v>2814</v>
      </c>
      <c r="X279" s="1" t="s">
        <v>2815</v>
      </c>
      <c r="Y279" s="1" t="s">
        <v>2816</v>
      </c>
      <c r="Z279" s="1" t="s">
        <v>2817</v>
      </c>
      <c r="AA279" s="1" t="s">
        <v>2818</v>
      </c>
      <c r="AB279" s="1" t="s">
        <v>1590</v>
      </c>
      <c r="AC279" s="1" t="s">
        <v>1507</v>
      </c>
      <c r="AD279" s="1" t="s">
        <v>2819</v>
      </c>
      <c r="AE279" s="1" t="s">
        <v>2820</v>
      </c>
      <c r="AF279" s="1" t="s">
        <v>2821</v>
      </c>
      <c r="AG279" s="1" t="s">
        <v>1507</v>
      </c>
      <c r="AH279" s="1">
        <v>172</v>
      </c>
      <c r="AI279" s="1">
        <v>2</v>
      </c>
      <c r="AJ279" s="1">
        <v>2</v>
      </c>
      <c r="AK279" s="1">
        <v>13</v>
      </c>
      <c r="AL279" s="1">
        <v>13</v>
      </c>
      <c r="AM279" s="1" t="s">
        <v>1559</v>
      </c>
      <c r="AN279" s="1" t="s">
        <v>1560</v>
      </c>
      <c r="AO279" s="1" t="s">
        <v>1561</v>
      </c>
      <c r="AP279" s="1" t="s">
        <v>2822</v>
      </c>
      <c r="AQ279" s="1" t="s">
        <v>2823</v>
      </c>
      <c r="AR279" s="1" t="s">
        <v>1507</v>
      </c>
      <c r="AS279" s="1" t="s">
        <v>2824</v>
      </c>
      <c r="AT279" s="1" t="s">
        <v>2825</v>
      </c>
      <c r="AU279" s="1" t="s">
        <v>2771</v>
      </c>
      <c r="AV279" s="1">
        <v>2023</v>
      </c>
      <c r="AW279" s="1">
        <v>47</v>
      </c>
      <c r="AX279" s="1">
        <v>11</v>
      </c>
      <c r="AY279" s="1" t="s">
        <v>1507</v>
      </c>
      <c r="AZ279" s="1" t="s">
        <v>1507</v>
      </c>
      <c r="BA279" s="1" t="s">
        <v>1507</v>
      </c>
      <c r="BB279" s="1" t="s">
        <v>1507</v>
      </c>
      <c r="BC279" s="1" t="s">
        <v>1507</v>
      </c>
      <c r="BD279" s="1" t="s">
        <v>1507</v>
      </c>
      <c r="BE279" s="1" t="s">
        <v>2826</v>
      </c>
      <c r="BF279" s="1" t="s">
        <v>2827</v>
      </c>
      <c r="BG279" s="1" t="str">
        <f>HYPERLINK("http://dx.doi.org/10.1111/cogs.13386","http://dx.doi.org/10.1111/cogs.13386")</f>
        <v>http://dx.doi.org/10.1111/cogs.13386</v>
      </c>
      <c r="BH279" s="1" t="s">
        <v>1507</v>
      </c>
      <c r="BI279" s="1" t="s">
        <v>1507</v>
      </c>
      <c r="BJ279" s="1">
        <v>40</v>
      </c>
      <c r="BK279" s="1" t="s">
        <v>2828</v>
      </c>
      <c r="BL279" s="1" t="s">
        <v>1518</v>
      </c>
      <c r="BM279" s="1" t="s">
        <v>1519</v>
      </c>
      <c r="BN279" s="1" t="s">
        <v>2829</v>
      </c>
      <c r="BO279" s="1">
        <v>38009752</v>
      </c>
      <c r="BP279" s="1" t="s">
        <v>2574</v>
      </c>
      <c r="BQ279" s="1" t="s">
        <v>1507</v>
      </c>
      <c r="BR279" s="1" t="s">
        <v>1507</v>
      </c>
      <c r="BS279" s="1" t="s">
        <v>13744</v>
      </c>
      <c r="BT279" s="1" t="s">
        <v>2830</v>
      </c>
      <c r="BU279" s="1" t="str">
        <f>HYPERLINK("https%3A%2F%2Fwww.webofscience.com%2Fwos%2Fwoscc%2Ffull-record%2FWOS:001108816900001","View Full Record in Web of Science")</f>
        <v>View Full Record in Web of Science</v>
      </c>
    </row>
    <row r="280" spans="1:73" x14ac:dyDescent="0.25">
      <c r="A280" s="1">
        <v>279</v>
      </c>
      <c r="B280" s="1" t="s">
        <v>1506</v>
      </c>
      <c r="C280" s="1" t="s">
        <v>10329</v>
      </c>
      <c r="D280" s="1" t="s">
        <v>1507</v>
      </c>
      <c r="E280" s="1" t="s">
        <v>1507</v>
      </c>
      <c r="F280" s="1" t="s">
        <v>1507</v>
      </c>
      <c r="G280" s="1" t="s">
        <v>10330</v>
      </c>
      <c r="H280" s="1" t="s">
        <v>1507</v>
      </c>
      <c r="I280" s="1" t="s">
        <v>1507</v>
      </c>
      <c r="J280" s="1" t="s">
        <v>10331</v>
      </c>
      <c r="K280" s="1" t="s">
        <v>10332</v>
      </c>
      <c r="L280" s="1" t="s">
        <v>1507</v>
      </c>
      <c r="M280" s="1" t="s">
        <v>1507</v>
      </c>
      <c r="N280" s="1" t="s">
        <v>42</v>
      </c>
      <c r="O280" s="1" t="s">
        <v>56</v>
      </c>
      <c r="P280" s="1" t="s">
        <v>1507</v>
      </c>
      <c r="Q280" s="1" t="s">
        <v>1507</v>
      </c>
      <c r="R280" s="1" t="s">
        <v>1507</v>
      </c>
      <c r="S280" s="1" t="s">
        <v>1507</v>
      </c>
      <c r="T280" s="1" t="s">
        <v>1507</v>
      </c>
      <c r="U280" s="1" t="s">
        <v>10333</v>
      </c>
      <c r="V280" s="1" t="s">
        <v>10334</v>
      </c>
      <c r="W280" s="1" t="s">
        <v>10335</v>
      </c>
      <c r="X280" s="1" t="s">
        <v>10336</v>
      </c>
      <c r="Y280" s="1" t="s">
        <v>15847</v>
      </c>
      <c r="Z280" s="1" t="s">
        <v>10337</v>
      </c>
      <c r="AA280" s="1" t="s">
        <v>10338</v>
      </c>
      <c r="AB280" s="1" t="s">
        <v>15848</v>
      </c>
      <c r="AC280" s="1" t="s">
        <v>15849</v>
      </c>
      <c r="AD280" s="1" t="s">
        <v>10339</v>
      </c>
      <c r="AE280" s="1" t="s">
        <v>10340</v>
      </c>
      <c r="AF280" s="1" t="s">
        <v>10341</v>
      </c>
      <c r="AG280" s="1" t="s">
        <v>1507</v>
      </c>
      <c r="AH280" s="1">
        <v>47</v>
      </c>
      <c r="AI280" s="1">
        <v>14</v>
      </c>
      <c r="AJ280" s="1">
        <v>14</v>
      </c>
      <c r="AK280" s="1">
        <v>0</v>
      </c>
      <c r="AL280" s="1">
        <v>0</v>
      </c>
      <c r="AM280" s="1" t="s">
        <v>1559</v>
      </c>
      <c r="AN280" s="1" t="s">
        <v>1560</v>
      </c>
      <c r="AO280" s="1" t="s">
        <v>1561</v>
      </c>
      <c r="AP280" s="1" t="s">
        <v>1507</v>
      </c>
      <c r="AQ280" s="1" t="s">
        <v>10342</v>
      </c>
      <c r="AR280" s="1" t="s">
        <v>1507</v>
      </c>
      <c r="AS280" s="1" t="s">
        <v>10343</v>
      </c>
      <c r="AT280" s="1" t="s">
        <v>10344</v>
      </c>
      <c r="AU280" s="1" t="s">
        <v>1507</v>
      </c>
      <c r="AV280" s="1">
        <v>2020</v>
      </c>
      <c r="AW280" s="1">
        <v>9</v>
      </c>
      <c r="AX280" s="1">
        <v>2</v>
      </c>
      <c r="AY280" s="1" t="s">
        <v>1507</v>
      </c>
      <c r="AZ280" s="1" t="s">
        <v>1507</v>
      </c>
      <c r="BA280" s="1" t="s">
        <v>1507</v>
      </c>
      <c r="BB280" s="1" t="s">
        <v>1507</v>
      </c>
      <c r="BC280" s="1" t="s">
        <v>1507</v>
      </c>
      <c r="BD280" s="1" t="s">
        <v>1507</v>
      </c>
      <c r="BE280" s="1" t="s">
        <v>10345</v>
      </c>
      <c r="BF280" s="1" t="s">
        <v>10346</v>
      </c>
      <c r="BG280" s="1" t="str">
        <f>HYPERLINK("http://dx.doi.org/10.1002/cti2.1107","http://dx.doi.org/10.1002/cti2.1107")</f>
        <v>http://dx.doi.org/10.1002/cti2.1107</v>
      </c>
      <c r="BH280" s="1" t="s">
        <v>1507</v>
      </c>
      <c r="BI280" s="1" t="s">
        <v>1507</v>
      </c>
      <c r="BJ280" s="1">
        <v>18</v>
      </c>
      <c r="BK280" s="1" t="s">
        <v>9653</v>
      </c>
      <c r="BL280" s="1" t="s">
        <v>1573</v>
      </c>
      <c r="BM280" s="1" t="s">
        <v>9653</v>
      </c>
      <c r="BN280" s="1" t="s">
        <v>10347</v>
      </c>
      <c r="BO280" s="1">
        <v>32025302</v>
      </c>
      <c r="BP280" s="1" t="s">
        <v>1674</v>
      </c>
      <c r="BQ280" s="1" t="s">
        <v>1507</v>
      </c>
      <c r="BR280" s="1" t="s">
        <v>1507</v>
      </c>
      <c r="BS280" s="1" t="s">
        <v>13744</v>
      </c>
      <c r="BT280" s="1" t="s">
        <v>10348</v>
      </c>
      <c r="BU280" s="1" t="str">
        <f>HYPERLINK("https%3A%2F%2Fwww.webofscience.com%2Fwos%2Fwoscc%2Ffull-record%2FWOS:000519748300009","View Full Record in Web of Science")</f>
        <v>View Full Record in Web of Science</v>
      </c>
    </row>
    <row r="281" spans="1:73" x14ac:dyDescent="0.25">
      <c r="A281" s="1">
        <v>280</v>
      </c>
      <c r="B281" s="1" t="s">
        <v>1506</v>
      </c>
      <c r="C281" s="1" t="s">
        <v>6719</v>
      </c>
      <c r="D281" s="1" t="s">
        <v>1507</v>
      </c>
      <c r="E281" s="1" t="s">
        <v>1507</v>
      </c>
      <c r="F281" s="1" t="s">
        <v>1507</v>
      </c>
      <c r="G281" s="1" t="s">
        <v>6720</v>
      </c>
      <c r="H281" s="1" t="s">
        <v>1507</v>
      </c>
      <c r="I281" s="1" t="s">
        <v>1507</v>
      </c>
      <c r="J281" s="1" t="s">
        <v>943</v>
      </c>
      <c r="K281" s="1" t="s">
        <v>6721</v>
      </c>
      <c r="L281" s="1" t="s">
        <v>1507</v>
      </c>
      <c r="M281" s="1" t="s">
        <v>1507</v>
      </c>
      <c r="N281" s="1" t="s">
        <v>42</v>
      </c>
      <c r="O281" s="1" t="s">
        <v>56</v>
      </c>
      <c r="P281" s="1" t="s">
        <v>1507</v>
      </c>
      <c r="Q281" s="1" t="s">
        <v>1507</v>
      </c>
      <c r="R281" s="1" t="s">
        <v>1507</v>
      </c>
      <c r="S281" s="1" t="s">
        <v>1507</v>
      </c>
      <c r="T281" s="1" t="s">
        <v>1507</v>
      </c>
      <c r="U281" s="1" t="s">
        <v>949</v>
      </c>
      <c r="V281" s="1" t="s">
        <v>6722</v>
      </c>
      <c r="W281" s="1" t="s">
        <v>6723</v>
      </c>
      <c r="X281" s="1" t="s">
        <v>6724</v>
      </c>
      <c r="Y281" s="1" t="s">
        <v>6725</v>
      </c>
      <c r="Z281" s="1" t="s">
        <v>6726</v>
      </c>
      <c r="AA281" s="1" t="s">
        <v>6727</v>
      </c>
      <c r="AB281" s="1" t="s">
        <v>15543</v>
      </c>
      <c r="AC281" s="1" t="s">
        <v>6728</v>
      </c>
      <c r="AD281" s="1" t="s">
        <v>1507</v>
      </c>
      <c r="AE281" s="1" t="s">
        <v>1507</v>
      </c>
      <c r="AF281" s="1" t="s">
        <v>1507</v>
      </c>
      <c r="AG281" s="1" t="s">
        <v>1507</v>
      </c>
      <c r="AH281" s="1">
        <v>100</v>
      </c>
      <c r="AI281" s="1">
        <v>5</v>
      </c>
      <c r="AJ281" s="1">
        <v>5</v>
      </c>
      <c r="AK281" s="1">
        <v>11</v>
      </c>
      <c r="AL281" s="1">
        <v>30</v>
      </c>
      <c r="AM281" s="1" t="s">
        <v>6729</v>
      </c>
      <c r="AN281" s="1" t="s">
        <v>2300</v>
      </c>
      <c r="AO281" s="1" t="s">
        <v>6730</v>
      </c>
      <c r="AP281" s="1" t="s">
        <v>6731</v>
      </c>
      <c r="AQ281" s="1" t="s">
        <v>6732</v>
      </c>
      <c r="AR281" s="1" t="s">
        <v>1507</v>
      </c>
      <c r="AS281" s="1" t="s">
        <v>6733</v>
      </c>
      <c r="AT281" s="1" t="s">
        <v>952</v>
      </c>
      <c r="AU281" s="1" t="s">
        <v>1616</v>
      </c>
      <c r="AV281" s="1">
        <v>2023</v>
      </c>
      <c r="AW281" s="1">
        <v>112</v>
      </c>
      <c r="AX281" s="1">
        <v>1</v>
      </c>
      <c r="AY281" s="1" t="s">
        <v>1507</v>
      </c>
      <c r="AZ281" s="1" t="s">
        <v>1507</v>
      </c>
      <c r="BA281" s="1" t="s">
        <v>1507</v>
      </c>
      <c r="BB281" s="1" t="s">
        <v>1507</v>
      </c>
      <c r="BC281" s="1">
        <v>90</v>
      </c>
      <c r="BD281" s="1">
        <v>107</v>
      </c>
      <c r="BE281" s="1" t="s">
        <v>1507</v>
      </c>
      <c r="BF281" s="1" t="s">
        <v>945</v>
      </c>
      <c r="BG281" s="1" t="str">
        <f>HYPERLINK("http://dx.doi.org/10.1002/jee.20499","http://dx.doi.org/10.1002/jee.20499")</f>
        <v>http://dx.doi.org/10.1002/jee.20499</v>
      </c>
      <c r="BH281" s="1" t="s">
        <v>1507</v>
      </c>
      <c r="BI281" s="1" t="s">
        <v>6734</v>
      </c>
      <c r="BJ281" s="1">
        <v>18</v>
      </c>
      <c r="BK281" s="1" t="s">
        <v>6735</v>
      </c>
      <c r="BL281" s="1" t="s">
        <v>1598</v>
      </c>
      <c r="BM281" s="1" t="s">
        <v>6736</v>
      </c>
      <c r="BN281" s="1" t="s">
        <v>6737</v>
      </c>
      <c r="BO281" s="1" t="s">
        <v>1507</v>
      </c>
      <c r="BP281" s="1" t="s">
        <v>15544</v>
      </c>
      <c r="BQ281" s="1" t="s">
        <v>1507</v>
      </c>
      <c r="BR281" s="1" t="s">
        <v>1507</v>
      </c>
      <c r="BS281" s="1" t="s">
        <v>13744</v>
      </c>
      <c r="BT281" s="1" t="s">
        <v>6738</v>
      </c>
      <c r="BU281" s="1" t="str">
        <f>HYPERLINK("https%3A%2F%2Fwww.webofscience.com%2Fwos%2Fwoscc%2Ffull-record%2FWOS:000905689200001","View Full Record in Web of Science")</f>
        <v>View Full Record in Web of Science</v>
      </c>
    </row>
    <row r="282" spans="1:73" x14ac:dyDescent="0.25">
      <c r="A282" s="1">
        <v>281</v>
      </c>
      <c r="B282" s="1" t="s">
        <v>5546</v>
      </c>
      <c r="C282" s="1" t="s">
        <v>6051</v>
      </c>
      <c r="D282" s="1" t="s">
        <v>1507</v>
      </c>
      <c r="E282" s="1" t="s">
        <v>1507</v>
      </c>
      <c r="F282" s="1" t="s">
        <v>5548</v>
      </c>
      <c r="G282" s="1" t="s">
        <v>6052</v>
      </c>
      <c r="H282" s="1" t="s">
        <v>1507</v>
      </c>
      <c r="I282" s="1" t="s">
        <v>1507</v>
      </c>
      <c r="J282" s="1" t="s">
        <v>6053</v>
      </c>
      <c r="K282" s="1" t="s">
        <v>6054</v>
      </c>
      <c r="L282" s="1" t="s">
        <v>1507</v>
      </c>
      <c r="M282" s="1" t="s">
        <v>1507</v>
      </c>
      <c r="N282" s="1" t="s">
        <v>42</v>
      </c>
      <c r="O282" s="1" t="s">
        <v>5552</v>
      </c>
      <c r="P282" s="1" t="s">
        <v>6055</v>
      </c>
      <c r="Q282" s="1" t="s">
        <v>6056</v>
      </c>
      <c r="R282" s="1" t="s">
        <v>6057</v>
      </c>
      <c r="S282" s="1" t="s">
        <v>6058</v>
      </c>
      <c r="T282" s="1" t="s">
        <v>1507</v>
      </c>
      <c r="U282" s="1" t="s">
        <v>6059</v>
      </c>
      <c r="V282" s="1" t="s">
        <v>6060</v>
      </c>
      <c r="W282" s="1" t="s">
        <v>6061</v>
      </c>
      <c r="X282" s="1" t="s">
        <v>6062</v>
      </c>
      <c r="Y282" s="1" t="s">
        <v>6063</v>
      </c>
      <c r="Z282" s="1" t="s">
        <v>6064</v>
      </c>
      <c r="AA282" s="1" t="s">
        <v>6065</v>
      </c>
      <c r="AB282" s="1" t="s">
        <v>1507</v>
      </c>
      <c r="AC282" s="1" t="s">
        <v>15088</v>
      </c>
      <c r="AD282" s="1" t="s">
        <v>1507</v>
      </c>
      <c r="AE282" s="1" t="s">
        <v>1507</v>
      </c>
      <c r="AF282" s="1" t="s">
        <v>1507</v>
      </c>
      <c r="AG282" s="1" t="s">
        <v>1507</v>
      </c>
      <c r="AH282" s="1">
        <v>94</v>
      </c>
      <c r="AI282" s="1">
        <v>20</v>
      </c>
      <c r="AJ282" s="1">
        <v>20</v>
      </c>
      <c r="AK282" s="1">
        <v>25</v>
      </c>
      <c r="AL282" s="1">
        <v>25</v>
      </c>
      <c r="AM282" s="1" t="s">
        <v>5565</v>
      </c>
      <c r="AN282" s="1" t="s">
        <v>1512</v>
      </c>
      <c r="AO282" s="1" t="s">
        <v>5566</v>
      </c>
      <c r="AP282" s="1" t="s">
        <v>1507</v>
      </c>
      <c r="AQ282" s="1" t="s">
        <v>1507</v>
      </c>
      <c r="AR282" s="1" t="s">
        <v>6066</v>
      </c>
      <c r="AS282" s="1" t="s">
        <v>1507</v>
      </c>
      <c r="AT282" s="1" t="s">
        <v>1507</v>
      </c>
      <c r="AU282" s="1" t="s">
        <v>1507</v>
      </c>
      <c r="AV282" s="1">
        <v>2023</v>
      </c>
      <c r="AW282" s="1" t="s">
        <v>1507</v>
      </c>
      <c r="AX282" s="1" t="s">
        <v>1507</v>
      </c>
      <c r="AY282" s="1" t="s">
        <v>1507</v>
      </c>
      <c r="AZ282" s="1" t="s">
        <v>1507</v>
      </c>
      <c r="BA282" s="1" t="s">
        <v>1507</v>
      </c>
      <c r="BB282" s="1" t="s">
        <v>1507</v>
      </c>
      <c r="BC282" s="1" t="s">
        <v>1507</v>
      </c>
      <c r="BD282" s="1" t="s">
        <v>1507</v>
      </c>
      <c r="BE282" s="1" t="s">
        <v>1507</v>
      </c>
      <c r="BF282" s="1" t="s">
        <v>6067</v>
      </c>
      <c r="BG282" s="1" t="str">
        <f>HYPERLINK("http://dx.doi.org/10.1145/3544548.3580919","http://dx.doi.org/10.1145/3544548.3580919")</f>
        <v>http://dx.doi.org/10.1145/3544548.3580919</v>
      </c>
      <c r="BH282" s="1" t="s">
        <v>1507</v>
      </c>
      <c r="BI282" s="1" t="s">
        <v>1507</v>
      </c>
      <c r="BJ282" s="1">
        <v>23</v>
      </c>
      <c r="BK282" s="1" t="s">
        <v>6068</v>
      </c>
      <c r="BL282" s="1" t="s">
        <v>5570</v>
      </c>
      <c r="BM282" s="1" t="s">
        <v>2194</v>
      </c>
      <c r="BN282" s="1" t="s">
        <v>6069</v>
      </c>
      <c r="BO282" s="1" t="s">
        <v>1507</v>
      </c>
      <c r="BP282" s="1" t="s">
        <v>1600</v>
      </c>
      <c r="BQ282" s="1" t="s">
        <v>1507</v>
      </c>
      <c r="BR282" s="1" t="s">
        <v>1507</v>
      </c>
      <c r="BS282" s="1" t="s">
        <v>13744</v>
      </c>
      <c r="BT282" s="1" t="s">
        <v>6070</v>
      </c>
      <c r="BU282" s="1" t="str">
        <f>HYPERLINK("https%3A%2F%2Fwww.webofscience.com%2Fwos%2Fwoscc%2Ffull-record%2FWOS:001037809504017","View Full Record in Web of Science")</f>
        <v>View Full Record in Web of Science</v>
      </c>
    </row>
    <row r="283" spans="1:73" x14ac:dyDescent="0.25">
      <c r="A283" s="1">
        <v>282</v>
      </c>
      <c r="B283" s="1" t="s">
        <v>1506</v>
      </c>
      <c r="C283" s="1" t="s">
        <v>6071</v>
      </c>
      <c r="D283" s="1" t="s">
        <v>1507</v>
      </c>
      <c r="E283" s="1" t="s">
        <v>1507</v>
      </c>
      <c r="F283" s="1" t="s">
        <v>1507</v>
      </c>
      <c r="G283" s="1" t="s">
        <v>6072</v>
      </c>
      <c r="H283" s="1" t="s">
        <v>1507</v>
      </c>
      <c r="I283" s="1" t="s">
        <v>1507</v>
      </c>
      <c r="J283" s="1" t="s">
        <v>6073</v>
      </c>
      <c r="K283" s="1" t="s">
        <v>6074</v>
      </c>
      <c r="L283" s="1" t="s">
        <v>1507</v>
      </c>
      <c r="M283" s="1" t="s">
        <v>1507</v>
      </c>
      <c r="N283" s="1" t="s">
        <v>42</v>
      </c>
      <c r="O283" s="1" t="s">
        <v>56</v>
      </c>
      <c r="P283" s="1" t="s">
        <v>1507</v>
      </c>
      <c r="Q283" s="1" t="s">
        <v>1507</v>
      </c>
      <c r="R283" s="1" t="s">
        <v>1507</v>
      </c>
      <c r="S283" s="1" t="s">
        <v>1507</v>
      </c>
      <c r="T283" s="1" t="s">
        <v>1507</v>
      </c>
      <c r="U283" s="1" t="s">
        <v>1507</v>
      </c>
      <c r="V283" s="1" t="s">
        <v>1507</v>
      </c>
      <c r="W283" s="1" t="s">
        <v>1507</v>
      </c>
      <c r="X283" s="1" t="s">
        <v>6075</v>
      </c>
      <c r="Y283" s="1" t="s">
        <v>6076</v>
      </c>
      <c r="Z283" s="1" t="s">
        <v>6077</v>
      </c>
      <c r="AA283" s="1" t="s">
        <v>1507</v>
      </c>
      <c r="AB283" s="1" t="s">
        <v>1507</v>
      </c>
      <c r="AC283" s="1" t="s">
        <v>1507</v>
      </c>
      <c r="AD283" s="1" t="s">
        <v>1507</v>
      </c>
      <c r="AE283" s="1" t="s">
        <v>1507</v>
      </c>
      <c r="AF283" s="1" t="s">
        <v>1507</v>
      </c>
      <c r="AG283" s="1" t="s">
        <v>1507</v>
      </c>
      <c r="AH283" s="1">
        <v>29</v>
      </c>
      <c r="AI283" s="1">
        <v>0</v>
      </c>
      <c r="AJ283" s="1">
        <v>0</v>
      </c>
      <c r="AK283" s="1">
        <v>0</v>
      </c>
      <c r="AL283" s="1">
        <v>0</v>
      </c>
      <c r="AM283" s="1" t="s">
        <v>6078</v>
      </c>
      <c r="AN283" s="1" t="s">
        <v>6079</v>
      </c>
      <c r="AO283" s="1" t="s">
        <v>6080</v>
      </c>
      <c r="AP283" s="1" t="s">
        <v>6081</v>
      </c>
      <c r="AQ283" s="1" t="s">
        <v>6082</v>
      </c>
      <c r="AR283" s="1" t="s">
        <v>1507</v>
      </c>
      <c r="AS283" s="1" t="s">
        <v>6083</v>
      </c>
      <c r="AT283" s="1" t="s">
        <v>6084</v>
      </c>
      <c r="AU283" s="1" t="s">
        <v>1507</v>
      </c>
      <c r="AV283" s="1">
        <v>2023</v>
      </c>
      <c r="AW283" s="1">
        <v>84</v>
      </c>
      <c r="AX283" s="1">
        <v>5</v>
      </c>
      <c r="AY283" s="1" t="s">
        <v>1507</v>
      </c>
      <c r="AZ283" s="1" t="s">
        <v>1507</v>
      </c>
      <c r="BA283" s="1" t="s">
        <v>1507</v>
      </c>
      <c r="BB283" s="1" t="s">
        <v>1507</v>
      </c>
      <c r="BC283" s="1">
        <v>1</v>
      </c>
      <c r="BD283" s="1">
        <v>12</v>
      </c>
      <c r="BE283" s="1" t="s">
        <v>1507</v>
      </c>
      <c r="BF283" s="1" t="s">
        <v>6085</v>
      </c>
      <c r="BG283" s="1" t="str">
        <f>HYPERLINK("http://dx.doi.org/10.5195/lawreview.2023.917","http://dx.doi.org/10.5195/lawreview.2023.917")</f>
        <v>http://dx.doi.org/10.5195/lawreview.2023.917</v>
      </c>
      <c r="BH283" s="1" t="s">
        <v>1507</v>
      </c>
      <c r="BI283" s="1" t="s">
        <v>1507</v>
      </c>
      <c r="BJ283" s="1">
        <v>13</v>
      </c>
      <c r="BK283" s="1" t="s">
        <v>1535</v>
      </c>
      <c r="BL283" s="1" t="s">
        <v>1518</v>
      </c>
      <c r="BM283" s="1" t="s">
        <v>1536</v>
      </c>
      <c r="BN283" s="1" t="s">
        <v>6086</v>
      </c>
      <c r="BO283" s="1" t="s">
        <v>1507</v>
      </c>
      <c r="BP283" s="1" t="s">
        <v>1531</v>
      </c>
      <c r="BQ283" s="1" t="s">
        <v>1507</v>
      </c>
      <c r="BR283" s="1" t="s">
        <v>1507</v>
      </c>
      <c r="BS283" s="1" t="s">
        <v>13744</v>
      </c>
      <c r="BT283" s="1" t="s">
        <v>6087</v>
      </c>
      <c r="BU283" s="1" t="str">
        <f>HYPERLINK("https%3A%2F%2Fwww.webofscience.com%2Fwos%2Fwoscc%2Ffull-record%2FWOS:000957586000001","View Full Record in Web of Science")</f>
        <v>View Full Record in Web of Science</v>
      </c>
    </row>
    <row r="284" spans="1:73" x14ac:dyDescent="0.25">
      <c r="A284" s="1">
        <v>283</v>
      </c>
      <c r="B284" s="1" t="s">
        <v>1506</v>
      </c>
      <c r="C284" s="1" t="s">
        <v>10206</v>
      </c>
      <c r="D284" s="1" t="s">
        <v>1507</v>
      </c>
      <c r="E284" s="1" t="s">
        <v>1507</v>
      </c>
      <c r="F284" s="1" t="s">
        <v>1507</v>
      </c>
      <c r="G284" s="1" t="s">
        <v>10207</v>
      </c>
      <c r="H284" s="1" t="s">
        <v>1507</v>
      </c>
      <c r="I284" s="1" t="s">
        <v>1507</v>
      </c>
      <c r="J284" s="1" t="s">
        <v>10208</v>
      </c>
      <c r="K284" s="1" t="s">
        <v>2087</v>
      </c>
      <c r="L284" s="1" t="s">
        <v>1507</v>
      </c>
      <c r="M284" s="1" t="s">
        <v>1507</v>
      </c>
      <c r="N284" s="1" t="s">
        <v>42</v>
      </c>
      <c r="O284" s="1" t="s">
        <v>56</v>
      </c>
      <c r="P284" s="1" t="s">
        <v>1507</v>
      </c>
      <c r="Q284" s="1" t="s">
        <v>1507</v>
      </c>
      <c r="R284" s="1" t="s">
        <v>1507</v>
      </c>
      <c r="S284" s="1" t="s">
        <v>1507</v>
      </c>
      <c r="T284" s="1" t="s">
        <v>1507</v>
      </c>
      <c r="U284" s="1" t="s">
        <v>10209</v>
      </c>
      <c r="V284" s="1" t="s">
        <v>10210</v>
      </c>
      <c r="W284" s="1" t="s">
        <v>10211</v>
      </c>
      <c r="X284" s="1" t="s">
        <v>10212</v>
      </c>
      <c r="Y284" s="1" t="s">
        <v>10213</v>
      </c>
      <c r="Z284" s="1" t="s">
        <v>10214</v>
      </c>
      <c r="AA284" s="1" t="s">
        <v>10215</v>
      </c>
      <c r="AB284" s="1" t="s">
        <v>1507</v>
      </c>
      <c r="AC284" s="1" t="s">
        <v>10216</v>
      </c>
      <c r="AD284" s="1" t="s">
        <v>10217</v>
      </c>
      <c r="AE284" s="1" t="s">
        <v>10218</v>
      </c>
      <c r="AF284" s="1" t="s">
        <v>10219</v>
      </c>
      <c r="AG284" s="1" t="s">
        <v>1507</v>
      </c>
      <c r="AH284" s="1">
        <v>62</v>
      </c>
      <c r="AI284" s="1">
        <v>14</v>
      </c>
      <c r="AJ284" s="1">
        <v>14</v>
      </c>
      <c r="AK284" s="1">
        <v>0</v>
      </c>
      <c r="AL284" s="1">
        <v>3</v>
      </c>
      <c r="AM284" s="1" t="s">
        <v>1511</v>
      </c>
      <c r="AN284" s="1" t="s">
        <v>1512</v>
      </c>
      <c r="AO284" s="1" t="s">
        <v>1513</v>
      </c>
      <c r="AP284" s="1" t="s">
        <v>2098</v>
      </c>
      <c r="AQ284" s="1" t="s">
        <v>1507</v>
      </c>
      <c r="AR284" s="1" t="s">
        <v>1507</v>
      </c>
      <c r="AS284" s="1" t="s">
        <v>2099</v>
      </c>
      <c r="AT284" s="1" t="s">
        <v>2100</v>
      </c>
      <c r="AU284" s="1" t="s">
        <v>1552</v>
      </c>
      <c r="AV284" s="1">
        <v>2020</v>
      </c>
      <c r="AW284" s="1" t="s">
        <v>1507</v>
      </c>
      <c r="AX284" s="1">
        <v>1</v>
      </c>
      <c r="AY284" s="1" t="s">
        <v>1507</v>
      </c>
      <c r="AZ284" s="1" t="s">
        <v>1507</v>
      </c>
      <c r="BA284" s="1" t="s">
        <v>1507</v>
      </c>
      <c r="BB284" s="1" t="s">
        <v>1507</v>
      </c>
      <c r="BC284" s="1" t="s">
        <v>1507</v>
      </c>
      <c r="BD284" s="1" t="s">
        <v>1507</v>
      </c>
      <c r="BE284" s="1">
        <v>146</v>
      </c>
      <c r="BF284" s="1" t="s">
        <v>10220</v>
      </c>
      <c r="BG284" s="1" t="str">
        <f>HYPERLINK("http://dx.doi.org/10.1007/JHEP01(2020)146","http://dx.doi.org/10.1007/JHEP01(2020)146")</f>
        <v>http://dx.doi.org/10.1007/JHEP01(2020)146</v>
      </c>
      <c r="BH284" s="1" t="s">
        <v>1507</v>
      </c>
      <c r="BI284" s="1" t="s">
        <v>1507</v>
      </c>
      <c r="BJ284" s="1">
        <v>43</v>
      </c>
      <c r="BK284" s="1" t="s">
        <v>2103</v>
      </c>
      <c r="BL284" s="1" t="s">
        <v>1573</v>
      </c>
      <c r="BM284" s="1" t="s">
        <v>2104</v>
      </c>
      <c r="BN284" s="1" t="s">
        <v>10221</v>
      </c>
      <c r="BO284" s="1" t="s">
        <v>1507</v>
      </c>
      <c r="BP284" s="1" t="s">
        <v>1547</v>
      </c>
      <c r="BQ284" s="1" t="s">
        <v>1507</v>
      </c>
      <c r="BR284" s="1" t="s">
        <v>1507</v>
      </c>
      <c r="BS284" s="1" t="s">
        <v>13744</v>
      </c>
      <c r="BT284" s="1" t="s">
        <v>10222</v>
      </c>
      <c r="BU284" s="1" t="str">
        <f>HYPERLINK("https%3A%2F%2Fwww.webofscience.com%2Fwos%2Fwoscc%2Ffull-record%2FWOS:000513933400002","View Full Record in Web of Science")</f>
        <v>View Full Record in Web of Science</v>
      </c>
    </row>
    <row r="285" spans="1:73" x14ac:dyDescent="0.25">
      <c r="A285" s="1">
        <v>284</v>
      </c>
      <c r="B285" s="1" t="s">
        <v>1506</v>
      </c>
      <c r="C285" s="1" t="s">
        <v>3901</v>
      </c>
      <c r="D285" s="1" t="s">
        <v>1507</v>
      </c>
      <c r="E285" s="1" t="s">
        <v>1507</v>
      </c>
      <c r="F285" s="1" t="s">
        <v>1507</v>
      </c>
      <c r="G285" s="1" t="s">
        <v>3902</v>
      </c>
      <c r="H285" s="1" t="s">
        <v>1507</v>
      </c>
      <c r="I285" s="1" t="s">
        <v>1507</v>
      </c>
      <c r="J285" s="1" t="s">
        <v>3903</v>
      </c>
      <c r="K285" s="1" t="s">
        <v>3904</v>
      </c>
      <c r="L285" s="1" t="s">
        <v>1507</v>
      </c>
      <c r="M285" s="1" t="s">
        <v>1507</v>
      </c>
      <c r="N285" s="1" t="s">
        <v>42</v>
      </c>
      <c r="O285" s="1" t="s">
        <v>56</v>
      </c>
      <c r="P285" s="1" t="s">
        <v>1507</v>
      </c>
      <c r="Q285" s="1" t="s">
        <v>1507</v>
      </c>
      <c r="R285" s="1" t="s">
        <v>1507</v>
      </c>
      <c r="S285" s="1" t="s">
        <v>1507</v>
      </c>
      <c r="T285" s="1" t="s">
        <v>1507</v>
      </c>
      <c r="U285" s="1" t="s">
        <v>3905</v>
      </c>
      <c r="V285" s="1" t="s">
        <v>1507</v>
      </c>
      <c r="W285" s="1" t="s">
        <v>1507</v>
      </c>
      <c r="X285" s="1" t="s">
        <v>3906</v>
      </c>
      <c r="Y285" s="1" t="s">
        <v>3907</v>
      </c>
      <c r="Z285" s="1" t="s">
        <v>3908</v>
      </c>
      <c r="AA285" s="1" t="s">
        <v>3909</v>
      </c>
      <c r="AB285" s="1" t="s">
        <v>14525</v>
      </c>
      <c r="AC285" s="1" t="s">
        <v>14526</v>
      </c>
      <c r="AD285" s="1" t="s">
        <v>3910</v>
      </c>
      <c r="AE285" s="1" t="s">
        <v>3910</v>
      </c>
      <c r="AF285" s="1" t="s">
        <v>3910</v>
      </c>
      <c r="AG285" s="1" t="s">
        <v>1507</v>
      </c>
      <c r="AH285" s="1">
        <v>70</v>
      </c>
      <c r="AI285" s="1">
        <v>0</v>
      </c>
      <c r="AJ285" s="1">
        <v>0</v>
      </c>
      <c r="AK285" s="1">
        <v>48</v>
      </c>
      <c r="AL285" s="1">
        <v>57</v>
      </c>
      <c r="AM285" s="1" t="s">
        <v>1559</v>
      </c>
      <c r="AN285" s="1" t="s">
        <v>1560</v>
      </c>
      <c r="AO285" s="1" t="s">
        <v>1561</v>
      </c>
      <c r="AP285" s="1" t="s">
        <v>3911</v>
      </c>
      <c r="AQ285" s="1" t="s">
        <v>3912</v>
      </c>
      <c r="AR285" s="1" t="s">
        <v>1507</v>
      </c>
      <c r="AS285" s="1" t="s">
        <v>3913</v>
      </c>
      <c r="AT285" s="1" t="s">
        <v>3914</v>
      </c>
      <c r="AU285" s="1" t="s">
        <v>1616</v>
      </c>
      <c r="AV285" s="1">
        <v>2024</v>
      </c>
      <c r="AW285" s="1">
        <v>37</v>
      </c>
      <c r="AX285" s="1">
        <v>1</v>
      </c>
      <c r="AY285" s="1" t="s">
        <v>1507</v>
      </c>
      <c r="AZ285" s="1" t="s">
        <v>1507</v>
      </c>
      <c r="BA285" s="1" t="s">
        <v>1507</v>
      </c>
      <c r="BB285" s="1" t="s">
        <v>1507</v>
      </c>
      <c r="BC285" s="1">
        <v>55</v>
      </c>
      <c r="BD285" s="1">
        <v>62</v>
      </c>
      <c r="BE285" s="1" t="s">
        <v>1507</v>
      </c>
      <c r="BF285" s="1" t="s">
        <v>3915</v>
      </c>
      <c r="BG285" s="1" t="str">
        <f>HYPERLINK("http://dx.doi.org/10.1002/leap.1578","http://dx.doi.org/10.1002/leap.1578")</f>
        <v>http://dx.doi.org/10.1002/leap.1578</v>
      </c>
      <c r="BH285" s="1" t="s">
        <v>1507</v>
      </c>
      <c r="BI285" s="1" t="s">
        <v>3689</v>
      </c>
      <c r="BJ285" s="1">
        <v>8</v>
      </c>
      <c r="BK285" s="1" t="s">
        <v>3916</v>
      </c>
      <c r="BL285" s="1" t="s">
        <v>1518</v>
      </c>
      <c r="BM285" s="1" t="s">
        <v>3916</v>
      </c>
      <c r="BN285" s="1" t="s">
        <v>3917</v>
      </c>
      <c r="BO285" s="1" t="s">
        <v>1507</v>
      </c>
      <c r="BP285" s="1" t="s">
        <v>1507</v>
      </c>
      <c r="BQ285" s="1" t="s">
        <v>1507</v>
      </c>
      <c r="BR285" s="1" t="s">
        <v>1507</v>
      </c>
      <c r="BS285" s="1" t="s">
        <v>13744</v>
      </c>
      <c r="BT285" s="1" t="s">
        <v>3918</v>
      </c>
      <c r="BU285" s="1" t="str">
        <f>HYPERLINK("https%3A%2F%2Fwww.webofscience.com%2Fwos%2Fwoscc%2Ffull-record%2FWOS:001064030500001","View Full Record in Web of Science")</f>
        <v>View Full Record in Web of Science</v>
      </c>
    </row>
    <row r="286" spans="1:73" x14ac:dyDescent="0.25">
      <c r="A286" s="1">
        <v>285</v>
      </c>
      <c r="B286" s="1" t="s">
        <v>1506</v>
      </c>
      <c r="C286" s="1" t="s">
        <v>8461</v>
      </c>
      <c r="D286" s="1" t="s">
        <v>1507</v>
      </c>
      <c r="E286" s="1" t="s">
        <v>1507</v>
      </c>
      <c r="F286" s="1" t="s">
        <v>1507</v>
      </c>
      <c r="G286" s="1" t="s">
        <v>8462</v>
      </c>
      <c r="H286" s="1" t="s">
        <v>1507</v>
      </c>
      <c r="I286" s="1" t="s">
        <v>1507</v>
      </c>
      <c r="J286" s="1" t="s">
        <v>1127</v>
      </c>
      <c r="K286" s="1" t="s">
        <v>5077</v>
      </c>
      <c r="L286" s="1" t="s">
        <v>1507</v>
      </c>
      <c r="M286" s="1" t="s">
        <v>1507</v>
      </c>
      <c r="N286" s="1" t="s">
        <v>42</v>
      </c>
      <c r="O286" s="1" t="s">
        <v>56</v>
      </c>
      <c r="P286" s="1" t="s">
        <v>1507</v>
      </c>
      <c r="Q286" s="1" t="s">
        <v>1507</v>
      </c>
      <c r="R286" s="1" t="s">
        <v>1507</v>
      </c>
      <c r="S286" s="1" t="s">
        <v>1507</v>
      </c>
      <c r="T286" s="1" t="s">
        <v>1507</v>
      </c>
      <c r="U286" s="1" t="s">
        <v>1132</v>
      </c>
      <c r="V286" s="1" t="s">
        <v>4989</v>
      </c>
      <c r="W286" s="1" t="s">
        <v>8463</v>
      </c>
      <c r="X286" s="1" t="s">
        <v>8464</v>
      </c>
      <c r="Y286" s="1" t="s">
        <v>8465</v>
      </c>
      <c r="Z286" s="1" t="s">
        <v>8466</v>
      </c>
      <c r="AA286" s="1" t="s">
        <v>8467</v>
      </c>
      <c r="AB286" s="1" t="s">
        <v>8468</v>
      </c>
      <c r="AC286" s="1" t="s">
        <v>8469</v>
      </c>
      <c r="AD286" s="1" t="s">
        <v>1507</v>
      </c>
      <c r="AE286" s="1" t="s">
        <v>1507</v>
      </c>
      <c r="AF286" s="1" t="s">
        <v>1507</v>
      </c>
      <c r="AG286" s="1" t="s">
        <v>1507</v>
      </c>
      <c r="AH286" s="1">
        <v>39</v>
      </c>
      <c r="AI286" s="1">
        <v>5</v>
      </c>
      <c r="AJ286" s="1">
        <v>5</v>
      </c>
      <c r="AK286" s="1">
        <v>6</v>
      </c>
      <c r="AL286" s="1">
        <v>27</v>
      </c>
      <c r="AM286" s="1" t="s">
        <v>1586</v>
      </c>
      <c r="AN286" s="1" t="s">
        <v>1583</v>
      </c>
      <c r="AO286" s="1" t="s">
        <v>3684</v>
      </c>
      <c r="AP286" s="1" t="s">
        <v>8184</v>
      </c>
      <c r="AQ286" s="1" t="s">
        <v>8185</v>
      </c>
      <c r="AR286" s="1" t="s">
        <v>1507</v>
      </c>
      <c r="AS286" s="1" t="s">
        <v>5077</v>
      </c>
      <c r="AT286" s="1" t="s">
        <v>1016</v>
      </c>
      <c r="AU286" s="1" t="s">
        <v>4336</v>
      </c>
      <c r="AV286" s="1">
        <v>2021</v>
      </c>
      <c r="AW286" s="1">
        <v>100</v>
      </c>
      <c r="AX286" s="1" t="s">
        <v>1507</v>
      </c>
      <c r="AY286" s="1" t="s">
        <v>1507</v>
      </c>
      <c r="AZ286" s="1" t="s">
        <v>1507</v>
      </c>
      <c r="BA286" s="1" t="s">
        <v>1507</v>
      </c>
      <c r="BB286" s="1" t="s">
        <v>1507</v>
      </c>
      <c r="BC286" s="1" t="s">
        <v>1507</v>
      </c>
      <c r="BD286" s="1" t="s">
        <v>1507</v>
      </c>
      <c r="BE286" s="1">
        <v>102551</v>
      </c>
      <c r="BF286" s="1" t="s">
        <v>1128</v>
      </c>
      <c r="BG286" s="1" t="str">
        <f>HYPERLINK("http://dx.doi.org/10.1016/j.system.2021.102551","http://dx.doi.org/10.1016/j.system.2021.102551")</f>
        <v>http://dx.doi.org/10.1016/j.system.2021.102551</v>
      </c>
      <c r="BH286" s="1" t="s">
        <v>1507</v>
      </c>
      <c r="BI286" s="1" t="s">
        <v>8441</v>
      </c>
      <c r="BJ286" s="1">
        <v>11</v>
      </c>
      <c r="BK286" s="1" t="s">
        <v>4526</v>
      </c>
      <c r="BL286" s="1" t="s">
        <v>1518</v>
      </c>
      <c r="BM286" s="1" t="s">
        <v>4526</v>
      </c>
      <c r="BN286" s="1" t="s">
        <v>8470</v>
      </c>
      <c r="BO286" s="1" t="s">
        <v>1507</v>
      </c>
      <c r="BP286" s="1" t="s">
        <v>1507</v>
      </c>
      <c r="BQ286" s="1" t="s">
        <v>1507</v>
      </c>
      <c r="BR286" s="1" t="s">
        <v>1507</v>
      </c>
      <c r="BS286" s="1" t="s">
        <v>13744</v>
      </c>
      <c r="BT286" s="1" t="s">
        <v>8471</v>
      </c>
      <c r="BU286" s="1" t="str">
        <f>HYPERLINK("https%3A%2F%2Fwww.webofscience.com%2Fwos%2Fwoscc%2Ffull-record%2FWOS:000671110300016","View Full Record in Web of Science")</f>
        <v>View Full Record in Web of Science</v>
      </c>
    </row>
    <row r="287" spans="1:73" x14ac:dyDescent="0.25">
      <c r="A287" s="1">
        <v>286</v>
      </c>
      <c r="B287" s="1" t="s">
        <v>1506</v>
      </c>
      <c r="C287" s="1" t="s">
        <v>4572</v>
      </c>
      <c r="D287" s="1" t="s">
        <v>1507</v>
      </c>
      <c r="E287" s="1" t="s">
        <v>1507</v>
      </c>
      <c r="F287" s="1" t="s">
        <v>1507</v>
      </c>
      <c r="G287" s="1" t="s">
        <v>4573</v>
      </c>
      <c r="H287" s="1" t="s">
        <v>1507</v>
      </c>
      <c r="I287" s="1" t="s">
        <v>1507</v>
      </c>
      <c r="J287" s="1" t="s">
        <v>4574</v>
      </c>
      <c r="K287" s="1" t="s">
        <v>4575</v>
      </c>
      <c r="L287" s="1" t="s">
        <v>1507</v>
      </c>
      <c r="M287" s="1" t="s">
        <v>1507</v>
      </c>
      <c r="N287" s="1" t="s">
        <v>42</v>
      </c>
      <c r="O287" s="1" t="s">
        <v>56</v>
      </c>
      <c r="P287" s="1" t="s">
        <v>1507</v>
      </c>
      <c r="Q287" s="1" t="s">
        <v>1507</v>
      </c>
      <c r="R287" s="1" t="s">
        <v>1507</v>
      </c>
      <c r="S287" s="1" t="s">
        <v>1507</v>
      </c>
      <c r="T287" s="1" t="s">
        <v>1507</v>
      </c>
      <c r="U287" s="1" t="s">
        <v>4576</v>
      </c>
      <c r="V287" s="1" t="s">
        <v>1507</v>
      </c>
      <c r="W287" s="1" t="s">
        <v>4577</v>
      </c>
      <c r="X287" s="1" t="s">
        <v>4578</v>
      </c>
      <c r="Y287" s="1" t="s">
        <v>4579</v>
      </c>
      <c r="Z287" s="1" t="s">
        <v>4580</v>
      </c>
      <c r="AA287" s="1" t="s">
        <v>4581</v>
      </c>
      <c r="AB287" s="1" t="s">
        <v>14636</v>
      </c>
      <c r="AC287" s="1" t="s">
        <v>14637</v>
      </c>
      <c r="AD287" s="1" t="s">
        <v>4582</v>
      </c>
      <c r="AE287" s="1" t="s">
        <v>4583</v>
      </c>
      <c r="AF287" s="1" t="s">
        <v>4584</v>
      </c>
      <c r="AG287" s="1" t="s">
        <v>1507</v>
      </c>
      <c r="AH287" s="1">
        <v>30</v>
      </c>
      <c r="AI287" s="1">
        <v>1</v>
      </c>
      <c r="AJ287" s="1">
        <v>1</v>
      </c>
      <c r="AK287" s="1">
        <v>5</v>
      </c>
      <c r="AL287" s="1">
        <v>6</v>
      </c>
      <c r="AM287" s="1" t="s">
        <v>1610</v>
      </c>
      <c r="AN287" s="1" t="s">
        <v>1611</v>
      </c>
      <c r="AO287" s="1" t="s">
        <v>1612</v>
      </c>
      <c r="AP287" s="1" t="s">
        <v>1507</v>
      </c>
      <c r="AQ287" s="1" t="s">
        <v>4585</v>
      </c>
      <c r="AR287" s="1" t="s">
        <v>1507</v>
      </c>
      <c r="AS287" s="1" t="s">
        <v>4586</v>
      </c>
      <c r="AT287" s="1" t="s">
        <v>4587</v>
      </c>
      <c r="AU287" s="1" t="s">
        <v>4556</v>
      </c>
      <c r="AV287" s="1">
        <v>2023</v>
      </c>
      <c r="AW287" s="1">
        <v>15</v>
      </c>
      <c r="AX287" s="1">
        <v>14</v>
      </c>
      <c r="AY287" s="1" t="s">
        <v>1507</v>
      </c>
      <c r="AZ287" s="1" t="s">
        <v>1507</v>
      </c>
      <c r="BA287" s="1" t="s">
        <v>1507</v>
      </c>
      <c r="BB287" s="1" t="s">
        <v>1507</v>
      </c>
      <c r="BC287" s="1" t="s">
        <v>1507</v>
      </c>
      <c r="BD287" s="1" t="s">
        <v>1507</v>
      </c>
      <c r="BE287" s="1">
        <v>10828</v>
      </c>
      <c r="BF287" s="1" t="s">
        <v>4588</v>
      </c>
      <c r="BG287" s="1" t="str">
        <f>HYPERLINK("http://dx.doi.org/10.3390/su151410828","http://dx.doi.org/10.3390/su151410828")</f>
        <v>http://dx.doi.org/10.3390/su151410828</v>
      </c>
      <c r="BH287" s="1" t="s">
        <v>1507</v>
      </c>
      <c r="BI287" s="1" t="s">
        <v>1507</v>
      </c>
      <c r="BJ287" s="1">
        <v>11</v>
      </c>
      <c r="BK287" s="1" t="s">
        <v>4589</v>
      </c>
      <c r="BL287" s="1" t="s">
        <v>1598</v>
      </c>
      <c r="BM287" s="1" t="s">
        <v>4590</v>
      </c>
      <c r="BN287" s="1" t="s">
        <v>4591</v>
      </c>
      <c r="BO287" s="1" t="s">
        <v>1507</v>
      </c>
      <c r="BP287" s="1" t="s">
        <v>1531</v>
      </c>
      <c r="BQ287" s="1" t="s">
        <v>1507</v>
      </c>
      <c r="BR287" s="1" t="s">
        <v>1507</v>
      </c>
      <c r="BS287" s="1" t="s">
        <v>13744</v>
      </c>
      <c r="BT287" s="1" t="s">
        <v>4592</v>
      </c>
      <c r="BU287" s="1" t="str">
        <f>HYPERLINK("https%3A%2F%2Fwww.webofscience.com%2Fwos%2Fwoscc%2Ffull-record%2FWOS:001038876500001","View Full Record in Web of Science")</f>
        <v>View Full Record in Web of Science</v>
      </c>
    </row>
    <row r="288" spans="1:73" x14ac:dyDescent="0.25">
      <c r="A288" s="1">
        <v>287</v>
      </c>
      <c r="B288" s="1" t="s">
        <v>1506</v>
      </c>
      <c r="C288" s="1" t="s">
        <v>8490</v>
      </c>
      <c r="D288" s="1" t="s">
        <v>1507</v>
      </c>
      <c r="E288" s="1" t="s">
        <v>1507</v>
      </c>
      <c r="F288" s="1" t="s">
        <v>1507</v>
      </c>
      <c r="G288" s="1" t="s">
        <v>8491</v>
      </c>
      <c r="H288" s="1" t="s">
        <v>1507</v>
      </c>
      <c r="I288" s="1" t="s">
        <v>1507</v>
      </c>
      <c r="J288" s="1" t="s">
        <v>8492</v>
      </c>
      <c r="K288" s="1" t="s">
        <v>8493</v>
      </c>
      <c r="L288" s="1" t="s">
        <v>1507</v>
      </c>
      <c r="M288" s="1" t="s">
        <v>1507</v>
      </c>
      <c r="N288" s="1" t="s">
        <v>42</v>
      </c>
      <c r="O288" s="1" t="s">
        <v>56</v>
      </c>
      <c r="P288" s="1" t="s">
        <v>1507</v>
      </c>
      <c r="Q288" s="1" t="s">
        <v>1507</v>
      </c>
      <c r="R288" s="1" t="s">
        <v>1507</v>
      </c>
      <c r="S288" s="1" t="s">
        <v>1507</v>
      </c>
      <c r="T288" s="1" t="s">
        <v>1507</v>
      </c>
      <c r="U288" s="1" t="s">
        <v>8494</v>
      </c>
      <c r="V288" s="1" t="s">
        <v>8495</v>
      </c>
      <c r="W288" s="1" t="s">
        <v>8496</v>
      </c>
      <c r="X288" s="1" t="s">
        <v>8497</v>
      </c>
      <c r="Y288" s="1" t="s">
        <v>8498</v>
      </c>
      <c r="Z288" s="1" t="s">
        <v>8499</v>
      </c>
      <c r="AA288" s="1" t="s">
        <v>8500</v>
      </c>
      <c r="AB288" s="1" t="s">
        <v>15734</v>
      </c>
      <c r="AC288" s="1" t="s">
        <v>15735</v>
      </c>
      <c r="AD288" s="1" t="s">
        <v>8501</v>
      </c>
      <c r="AE288" s="1" t="s">
        <v>8502</v>
      </c>
      <c r="AF288" s="1" t="s">
        <v>8503</v>
      </c>
      <c r="AG288" s="1" t="s">
        <v>1507</v>
      </c>
      <c r="AH288" s="1">
        <v>70</v>
      </c>
      <c r="AI288" s="1">
        <v>30</v>
      </c>
      <c r="AJ288" s="1">
        <v>30</v>
      </c>
      <c r="AK288" s="1">
        <v>6</v>
      </c>
      <c r="AL288" s="1">
        <v>30</v>
      </c>
      <c r="AM288" s="1" t="s">
        <v>1900</v>
      </c>
      <c r="AN288" s="1" t="s">
        <v>1583</v>
      </c>
      <c r="AO288" s="1" t="s">
        <v>1901</v>
      </c>
      <c r="AP288" s="1" t="s">
        <v>8504</v>
      </c>
      <c r="AQ288" s="1" t="s">
        <v>8505</v>
      </c>
      <c r="AR288" s="1" t="s">
        <v>1507</v>
      </c>
      <c r="AS288" s="1" t="s">
        <v>8506</v>
      </c>
      <c r="AT288" s="1" t="s">
        <v>8507</v>
      </c>
      <c r="AU288" s="1" t="s">
        <v>15736</v>
      </c>
      <c r="AV288" s="1">
        <v>2021</v>
      </c>
      <c r="AW288" s="1">
        <v>279</v>
      </c>
      <c r="AX288" s="1" t="s">
        <v>1507</v>
      </c>
      <c r="AY288" s="1" t="s">
        <v>1507</v>
      </c>
      <c r="AZ288" s="1" t="s">
        <v>1507</v>
      </c>
      <c r="BA288" s="1" t="s">
        <v>1507</v>
      </c>
      <c r="BB288" s="1" t="s">
        <v>1507</v>
      </c>
      <c r="BC288" s="1" t="s">
        <v>1507</v>
      </c>
      <c r="BD288" s="1" t="s">
        <v>1507</v>
      </c>
      <c r="BE288" s="1">
        <v>119674</v>
      </c>
      <c r="BF288" s="1" t="s">
        <v>8508</v>
      </c>
      <c r="BG288" s="1" t="str">
        <f>HYPERLINK("http://dx.doi.org/10.1016/j.lfs.2021.119674","http://dx.doi.org/10.1016/j.lfs.2021.119674")</f>
        <v>http://dx.doi.org/10.1016/j.lfs.2021.119674</v>
      </c>
      <c r="BH288" s="1" t="s">
        <v>1507</v>
      </c>
      <c r="BI288" s="1" t="s">
        <v>8441</v>
      </c>
      <c r="BJ288" s="1">
        <v>10</v>
      </c>
      <c r="BK288" s="1" t="s">
        <v>8509</v>
      </c>
      <c r="BL288" s="1" t="s">
        <v>1573</v>
      </c>
      <c r="BM288" s="1" t="s">
        <v>8510</v>
      </c>
      <c r="BN288" s="1" t="s">
        <v>8511</v>
      </c>
      <c r="BO288" s="1">
        <v>34081992</v>
      </c>
      <c r="BP288" s="1" t="s">
        <v>1507</v>
      </c>
      <c r="BQ288" s="1" t="s">
        <v>1507</v>
      </c>
      <c r="BR288" s="1" t="s">
        <v>1507</v>
      </c>
      <c r="BS288" s="1" t="s">
        <v>13744</v>
      </c>
      <c r="BT288" s="1" t="s">
        <v>8512</v>
      </c>
      <c r="BU288" s="1" t="str">
        <f>HYPERLINK("https%3A%2F%2Fwww.webofscience.com%2Fwos%2Fwoscc%2Ffull-record%2FWOS:000664113400004","View Full Record in Web of Science")</f>
        <v>View Full Record in Web of Science</v>
      </c>
    </row>
    <row r="289" spans="1:73" x14ac:dyDescent="0.25">
      <c r="A289" s="1">
        <v>288</v>
      </c>
      <c r="B289" s="1" t="s">
        <v>1506</v>
      </c>
      <c r="C289" s="1" t="s">
        <v>3776</v>
      </c>
      <c r="D289" s="1" t="s">
        <v>1507</v>
      </c>
      <c r="E289" s="1" t="s">
        <v>1507</v>
      </c>
      <c r="F289" s="1" t="s">
        <v>1507</v>
      </c>
      <c r="G289" s="1" t="s">
        <v>3777</v>
      </c>
      <c r="H289" s="1" t="s">
        <v>1507</v>
      </c>
      <c r="I289" s="1" t="s">
        <v>1507</v>
      </c>
      <c r="J289" s="1" t="s">
        <v>3778</v>
      </c>
      <c r="K289" s="1" t="s">
        <v>3779</v>
      </c>
      <c r="L289" s="1" t="s">
        <v>1507</v>
      </c>
      <c r="M289" s="1" t="s">
        <v>1507</v>
      </c>
      <c r="N289" s="1" t="s">
        <v>42</v>
      </c>
      <c r="O289" s="1" t="s">
        <v>1509</v>
      </c>
      <c r="P289" s="1" t="s">
        <v>1507</v>
      </c>
      <c r="Q289" s="1" t="s">
        <v>1507</v>
      </c>
      <c r="R289" s="1" t="s">
        <v>1507</v>
      </c>
      <c r="S289" s="1" t="s">
        <v>1507</v>
      </c>
      <c r="T289" s="1" t="s">
        <v>1507</v>
      </c>
      <c r="U289" s="1" t="s">
        <v>3780</v>
      </c>
      <c r="V289" s="1" t="s">
        <v>3781</v>
      </c>
      <c r="W289" s="1" t="s">
        <v>3782</v>
      </c>
      <c r="X289" s="1" t="s">
        <v>3783</v>
      </c>
      <c r="Y289" s="1" t="s">
        <v>3784</v>
      </c>
      <c r="Z289" s="1" t="s">
        <v>3785</v>
      </c>
      <c r="AA289" s="1" t="s">
        <v>3786</v>
      </c>
      <c r="AB289" s="1" t="s">
        <v>3787</v>
      </c>
      <c r="AC289" s="1" t="s">
        <v>3788</v>
      </c>
      <c r="AD289" s="1" t="s">
        <v>3789</v>
      </c>
      <c r="AE289" s="1" t="s">
        <v>3790</v>
      </c>
      <c r="AF289" s="1" t="s">
        <v>3791</v>
      </c>
      <c r="AG289" s="1" t="s">
        <v>1507</v>
      </c>
      <c r="AH289" s="1">
        <v>30</v>
      </c>
      <c r="AI289" s="1">
        <v>0</v>
      </c>
      <c r="AJ289" s="1">
        <v>0</v>
      </c>
      <c r="AK289" s="1">
        <v>33</v>
      </c>
      <c r="AL289" s="1">
        <v>37</v>
      </c>
      <c r="AM289" s="1" t="s">
        <v>1555</v>
      </c>
      <c r="AN289" s="1" t="s">
        <v>1556</v>
      </c>
      <c r="AO289" s="1" t="s">
        <v>1557</v>
      </c>
      <c r="AP289" s="1" t="s">
        <v>3792</v>
      </c>
      <c r="AQ289" s="1" t="s">
        <v>3793</v>
      </c>
      <c r="AR289" s="1" t="s">
        <v>1507</v>
      </c>
      <c r="AS289" s="1" t="s">
        <v>3794</v>
      </c>
      <c r="AT289" s="1" t="s">
        <v>3795</v>
      </c>
      <c r="AU289" s="1" t="s">
        <v>3796</v>
      </c>
      <c r="AV289" s="1">
        <v>2023</v>
      </c>
      <c r="AW289" s="1" t="s">
        <v>1507</v>
      </c>
      <c r="AX289" s="1" t="s">
        <v>1507</v>
      </c>
      <c r="AY289" s="1" t="s">
        <v>1507</v>
      </c>
      <c r="AZ289" s="1" t="s">
        <v>1507</v>
      </c>
      <c r="BA289" s="1" t="s">
        <v>1507</v>
      </c>
      <c r="BB289" s="1" t="s">
        <v>1507</v>
      </c>
      <c r="BC289" s="1" t="s">
        <v>1507</v>
      </c>
      <c r="BD289" s="1" t="s">
        <v>1507</v>
      </c>
      <c r="BE289" s="1" t="s">
        <v>1507</v>
      </c>
      <c r="BF289" s="1" t="s">
        <v>3797</v>
      </c>
      <c r="BG289" s="1" t="str">
        <f>HYPERLINK("http://dx.doi.org/10.1080/14703297.2023.2258842","http://dx.doi.org/10.1080/14703297.2023.2258842")</f>
        <v>http://dx.doi.org/10.1080/14703297.2023.2258842</v>
      </c>
      <c r="BH289" s="1" t="s">
        <v>1507</v>
      </c>
      <c r="BI289" s="1" t="s">
        <v>3689</v>
      </c>
      <c r="BJ289" s="1">
        <v>10</v>
      </c>
      <c r="BK289" s="1" t="s">
        <v>1558</v>
      </c>
      <c r="BL289" s="1" t="s">
        <v>1518</v>
      </c>
      <c r="BM289" s="1" t="s">
        <v>1558</v>
      </c>
      <c r="BN289" s="1" t="s">
        <v>3798</v>
      </c>
      <c r="BO289" s="1" t="s">
        <v>1507</v>
      </c>
      <c r="BP289" s="1" t="s">
        <v>1507</v>
      </c>
      <c r="BQ289" s="1" t="s">
        <v>1507</v>
      </c>
      <c r="BR289" s="1" t="s">
        <v>1507</v>
      </c>
      <c r="BS289" s="1" t="s">
        <v>13744</v>
      </c>
      <c r="BT289" s="1" t="s">
        <v>3799</v>
      </c>
      <c r="BU289" s="1" t="str">
        <f>HYPERLINK("https%3A%2F%2Fwww.webofscience.com%2Fwos%2Fwoscc%2Ffull-record%2FWOS:001065511400001","View Full Record in Web of Science")</f>
        <v>View Full Record in Web of Science</v>
      </c>
    </row>
    <row r="290" spans="1:73" x14ac:dyDescent="0.25">
      <c r="A290" s="1">
        <v>289</v>
      </c>
      <c r="B290" s="1" t="s">
        <v>1506</v>
      </c>
      <c r="C290" s="1" t="s">
        <v>9070</v>
      </c>
      <c r="D290" s="1" t="s">
        <v>1507</v>
      </c>
      <c r="E290" s="1" t="s">
        <v>1507</v>
      </c>
      <c r="F290" s="1" t="s">
        <v>1507</v>
      </c>
      <c r="G290" s="1" t="s">
        <v>9071</v>
      </c>
      <c r="H290" s="1" t="s">
        <v>1507</v>
      </c>
      <c r="I290" s="1" t="s">
        <v>1507</v>
      </c>
      <c r="J290" s="1" t="s">
        <v>9072</v>
      </c>
      <c r="K290" s="1" t="s">
        <v>3555</v>
      </c>
      <c r="L290" s="1" t="s">
        <v>1507</v>
      </c>
      <c r="M290" s="1" t="s">
        <v>1507</v>
      </c>
      <c r="N290" s="1" t="s">
        <v>42</v>
      </c>
      <c r="O290" s="1" t="s">
        <v>56</v>
      </c>
      <c r="P290" s="1" t="s">
        <v>1507</v>
      </c>
      <c r="Q290" s="1" t="s">
        <v>1507</v>
      </c>
      <c r="R290" s="1" t="s">
        <v>1507</v>
      </c>
      <c r="S290" s="1" t="s">
        <v>1507</v>
      </c>
      <c r="T290" s="1" t="s">
        <v>1507</v>
      </c>
      <c r="U290" s="1" t="s">
        <v>9073</v>
      </c>
      <c r="V290" s="1" t="s">
        <v>1507</v>
      </c>
      <c r="W290" s="1" t="s">
        <v>9074</v>
      </c>
      <c r="X290" s="1" t="s">
        <v>9075</v>
      </c>
      <c r="Y290" s="1" t="s">
        <v>5170</v>
      </c>
      <c r="Z290" s="1" t="s">
        <v>9076</v>
      </c>
      <c r="AA290" s="1" t="s">
        <v>9077</v>
      </c>
      <c r="AB290" s="1" t="s">
        <v>1507</v>
      </c>
      <c r="AC290" s="1" t="s">
        <v>1507</v>
      </c>
      <c r="AD290" s="1" t="s">
        <v>9078</v>
      </c>
      <c r="AE290" s="1" t="s">
        <v>9078</v>
      </c>
      <c r="AF290" s="1" t="s">
        <v>9079</v>
      </c>
      <c r="AG290" s="1" t="s">
        <v>1507</v>
      </c>
      <c r="AH290" s="1">
        <v>11</v>
      </c>
      <c r="AI290" s="1">
        <v>0</v>
      </c>
      <c r="AJ290" s="1">
        <v>0</v>
      </c>
      <c r="AK290" s="1">
        <v>0</v>
      </c>
      <c r="AL290" s="1">
        <v>2</v>
      </c>
      <c r="AM290" s="1" t="s">
        <v>3564</v>
      </c>
      <c r="AN290" s="1" t="s">
        <v>1523</v>
      </c>
      <c r="AO290" s="1" t="s">
        <v>3565</v>
      </c>
      <c r="AP290" s="1" t="s">
        <v>3566</v>
      </c>
      <c r="AQ290" s="1" t="s">
        <v>3567</v>
      </c>
      <c r="AR290" s="1" t="s">
        <v>1507</v>
      </c>
      <c r="AS290" s="1" t="s">
        <v>3568</v>
      </c>
      <c r="AT290" s="1" t="s">
        <v>3569</v>
      </c>
      <c r="AU290" s="1" t="s">
        <v>9054</v>
      </c>
      <c r="AV290" s="1">
        <v>2021</v>
      </c>
      <c r="AW290" s="1">
        <v>65</v>
      </c>
      <c r="AX290" s="1">
        <v>1</v>
      </c>
      <c r="AY290" s="1" t="s">
        <v>1507</v>
      </c>
      <c r="AZ290" s="1" t="s">
        <v>1507</v>
      </c>
      <c r="BA290" s="1" t="s">
        <v>1507</v>
      </c>
      <c r="BB290" s="1" t="s">
        <v>1507</v>
      </c>
      <c r="BC290" s="1">
        <v>69</v>
      </c>
      <c r="BD290" s="1">
        <v>86</v>
      </c>
      <c r="BE290" s="1" t="s">
        <v>9080</v>
      </c>
      <c r="BF290" s="1" t="s">
        <v>9081</v>
      </c>
      <c r="BG290" s="1" t="str">
        <f>HYPERLINK("http://dx.doi.org/10.1017/S0021855320000236","http://dx.doi.org/10.1017/S0021855320000236")</f>
        <v>http://dx.doi.org/10.1017/S0021855320000236</v>
      </c>
      <c r="BH290" s="1" t="s">
        <v>1507</v>
      </c>
      <c r="BI290" s="1" t="s">
        <v>1507</v>
      </c>
      <c r="BJ290" s="1">
        <v>18</v>
      </c>
      <c r="BK290" s="1" t="s">
        <v>1535</v>
      </c>
      <c r="BL290" s="1" t="s">
        <v>1518</v>
      </c>
      <c r="BM290" s="1" t="s">
        <v>1536</v>
      </c>
      <c r="BN290" s="1" t="s">
        <v>9082</v>
      </c>
      <c r="BO290" s="1" t="s">
        <v>1507</v>
      </c>
      <c r="BP290" s="1" t="s">
        <v>1507</v>
      </c>
      <c r="BQ290" s="1" t="s">
        <v>1507</v>
      </c>
      <c r="BR290" s="1" t="s">
        <v>1507</v>
      </c>
      <c r="BS290" s="1" t="s">
        <v>13744</v>
      </c>
      <c r="BT290" s="1" t="s">
        <v>9083</v>
      </c>
      <c r="BU290" s="1" t="str">
        <f>HYPERLINK("https%3A%2F%2Fwww.webofscience.com%2Fwos%2Fwoscc%2Ffull-record%2FWOS:000625214500004","View Full Record in Web of Science")</f>
        <v>View Full Record in Web of Science</v>
      </c>
    </row>
    <row r="291" spans="1:73" x14ac:dyDescent="0.25">
      <c r="A291" s="1">
        <v>290</v>
      </c>
      <c r="B291" s="1" t="s">
        <v>1506</v>
      </c>
      <c r="C291" s="1" t="s">
        <v>4908</v>
      </c>
      <c r="D291" s="1" t="s">
        <v>1507</v>
      </c>
      <c r="E291" s="1" t="s">
        <v>1507</v>
      </c>
      <c r="F291" s="1" t="s">
        <v>1507</v>
      </c>
      <c r="G291" s="1" t="s">
        <v>4909</v>
      </c>
      <c r="H291" s="1" t="s">
        <v>1507</v>
      </c>
      <c r="I291" s="1" t="s">
        <v>1507</v>
      </c>
      <c r="J291" s="1" t="s">
        <v>4910</v>
      </c>
      <c r="K291" s="1" t="s">
        <v>4911</v>
      </c>
      <c r="L291" s="1" t="s">
        <v>1507</v>
      </c>
      <c r="M291" s="1" t="s">
        <v>1507</v>
      </c>
      <c r="N291" s="1" t="s">
        <v>42</v>
      </c>
      <c r="O291" s="1" t="s">
        <v>56</v>
      </c>
      <c r="P291" s="1" t="s">
        <v>1507</v>
      </c>
      <c r="Q291" s="1" t="s">
        <v>1507</v>
      </c>
      <c r="R291" s="1" t="s">
        <v>1507</v>
      </c>
      <c r="S291" s="1" t="s">
        <v>1507</v>
      </c>
      <c r="T291" s="1" t="s">
        <v>1507</v>
      </c>
      <c r="U291" s="1" t="s">
        <v>4912</v>
      </c>
      <c r="V291" s="1" t="s">
        <v>4913</v>
      </c>
      <c r="W291" s="1" t="s">
        <v>4914</v>
      </c>
      <c r="X291" s="1" t="s">
        <v>4915</v>
      </c>
      <c r="Y291" s="1" t="s">
        <v>4916</v>
      </c>
      <c r="Z291" s="1" t="s">
        <v>4917</v>
      </c>
      <c r="AA291" s="1" t="s">
        <v>4918</v>
      </c>
      <c r="AB291" s="1" t="s">
        <v>1507</v>
      </c>
      <c r="AC291" s="1" t="s">
        <v>14689</v>
      </c>
      <c r="AD291" s="1" t="s">
        <v>1507</v>
      </c>
      <c r="AE291" s="1" t="s">
        <v>1507</v>
      </c>
      <c r="AF291" s="1" t="s">
        <v>1507</v>
      </c>
      <c r="AG291" s="1" t="s">
        <v>1507</v>
      </c>
      <c r="AH291" s="1">
        <v>13</v>
      </c>
      <c r="AI291" s="1">
        <v>2</v>
      </c>
      <c r="AJ291" s="1">
        <v>2</v>
      </c>
      <c r="AK291" s="1">
        <v>85</v>
      </c>
      <c r="AL291" s="1">
        <v>166</v>
      </c>
      <c r="AM291" s="1" t="s">
        <v>4267</v>
      </c>
      <c r="AN291" s="1" t="s">
        <v>4268</v>
      </c>
      <c r="AO291" s="1" t="s">
        <v>4269</v>
      </c>
      <c r="AP291" s="1" t="s">
        <v>4919</v>
      </c>
      <c r="AQ291" s="1" t="s">
        <v>4920</v>
      </c>
      <c r="AR291" s="1" t="s">
        <v>1507</v>
      </c>
      <c r="AS291" s="1" t="s">
        <v>4921</v>
      </c>
      <c r="AT291" s="1" t="s">
        <v>464</v>
      </c>
      <c r="AU291" s="1" t="s">
        <v>4556</v>
      </c>
      <c r="AV291" s="1">
        <v>2023</v>
      </c>
      <c r="AW291" s="1">
        <v>42</v>
      </c>
      <c r="AX291" s="1">
        <v>3</v>
      </c>
      <c r="AY291" s="1" t="s">
        <v>1507</v>
      </c>
      <c r="AZ291" s="1" t="s">
        <v>1507</v>
      </c>
      <c r="BA291" s="1" t="s">
        <v>1507</v>
      </c>
      <c r="BB291" s="1" t="s">
        <v>1507</v>
      </c>
      <c r="BC291" s="1">
        <v>385</v>
      </c>
      <c r="BD291" s="1">
        <v>389</v>
      </c>
      <c r="BE291" s="1" t="s">
        <v>1507</v>
      </c>
      <c r="BF291" s="1" t="s">
        <v>458</v>
      </c>
      <c r="BG291" s="1" t="str">
        <f>HYPERLINK("http://dx.doi.org/10.1123/jtpe.2023-0058","http://dx.doi.org/10.1123/jtpe.2023-0058")</f>
        <v>http://dx.doi.org/10.1123/jtpe.2023-0058</v>
      </c>
      <c r="BH291" s="1" t="s">
        <v>1507</v>
      </c>
      <c r="BI291" s="1" t="s">
        <v>4832</v>
      </c>
      <c r="BJ291" s="1">
        <v>5</v>
      </c>
      <c r="BK291" s="1" t="s">
        <v>4922</v>
      </c>
      <c r="BL291" s="1" t="s">
        <v>1598</v>
      </c>
      <c r="BM291" s="1" t="s">
        <v>4922</v>
      </c>
      <c r="BN291" s="1" t="s">
        <v>4923</v>
      </c>
      <c r="BO291" s="1" t="s">
        <v>1507</v>
      </c>
      <c r="BP291" s="1" t="s">
        <v>4924</v>
      </c>
      <c r="BQ291" s="1" t="s">
        <v>1507</v>
      </c>
      <c r="BR291" s="1" t="s">
        <v>1507</v>
      </c>
      <c r="BS291" s="1" t="s">
        <v>13744</v>
      </c>
      <c r="BT291" s="1" t="s">
        <v>4925</v>
      </c>
      <c r="BU291" s="1" t="str">
        <f>HYPERLINK("https%3A%2F%2Fwww.webofscience.com%2Fwos%2Fwoscc%2Ffull-record%2FWOS:001001106200001","View Full Record in Web of Science")</f>
        <v>View Full Record in Web of Science</v>
      </c>
    </row>
    <row r="292" spans="1:73" x14ac:dyDescent="0.25">
      <c r="A292" s="1">
        <v>291</v>
      </c>
      <c r="B292" s="1" t="s">
        <v>1506</v>
      </c>
      <c r="C292" s="1" t="s">
        <v>2831</v>
      </c>
      <c r="D292" s="1" t="s">
        <v>1507</v>
      </c>
      <c r="E292" s="1" t="s">
        <v>1507</v>
      </c>
      <c r="F292" s="1" t="s">
        <v>1507</v>
      </c>
      <c r="G292" s="1" t="s">
        <v>2832</v>
      </c>
      <c r="H292" s="1" t="s">
        <v>1507</v>
      </c>
      <c r="I292" s="1" t="s">
        <v>1507</v>
      </c>
      <c r="J292" s="1" t="s">
        <v>2833</v>
      </c>
      <c r="K292" s="1" t="s">
        <v>1609</v>
      </c>
      <c r="L292" s="1" t="s">
        <v>1507</v>
      </c>
      <c r="M292" s="1" t="s">
        <v>1507</v>
      </c>
      <c r="N292" s="1" t="s">
        <v>42</v>
      </c>
      <c r="O292" s="1" t="s">
        <v>56</v>
      </c>
      <c r="P292" s="1" t="s">
        <v>1507</v>
      </c>
      <c r="Q292" s="1" t="s">
        <v>1507</v>
      </c>
      <c r="R292" s="1" t="s">
        <v>1507</v>
      </c>
      <c r="S292" s="1" t="s">
        <v>1507</v>
      </c>
      <c r="T292" s="1" t="s">
        <v>1507</v>
      </c>
      <c r="U292" s="1" t="s">
        <v>2834</v>
      </c>
      <c r="V292" s="1" t="s">
        <v>1507</v>
      </c>
      <c r="W292" s="1" t="s">
        <v>2835</v>
      </c>
      <c r="X292" s="1" t="s">
        <v>2836</v>
      </c>
      <c r="Y292" s="1" t="s">
        <v>2837</v>
      </c>
      <c r="Z292" s="1" t="s">
        <v>2838</v>
      </c>
      <c r="AA292" s="1" t="s">
        <v>2839</v>
      </c>
      <c r="AB292" s="1" t="s">
        <v>1507</v>
      </c>
      <c r="AC292" s="1" t="s">
        <v>2840</v>
      </c>
      <c r="AD292" s="1" t="s">
        <v>2841</v>
      </c>
      <c r="AE292" s="1" t="s">
        <v>2842</v>
      </c>
      <c r="AF292" s="1" t="s">
        <v>2843</v>
      </c>
      <c r="AG292" s="1" t="s">
        <v>1507</v>
      </c>
      <c r="AH292" s="1">
        <v>21</v>
      </c>
      <c r="AI292" s="1">
        <v>0</v>
      </c>
      <c r="AJ292" s="1">
        <v>0</v>
      </c>
      <c r="AK292" s="1">
        <v>16</v>
      </c>
      <c r="AL292" s="1">
        <v>16</v>
      </c>
      <c r="AM292" s="1" t="s">
        <v>1610</v>
      </c>
      <c r="AN292" s="1" t="s">
        <v>1611</v>
      </c>
      <c r="AO292" s="1" t="s">
        <v>1612</v>
      </c>
      <c r="AP292" s="1" t="s">
        <v>1507</v>
      </c>
      <c r="AQ292" s="1" t="s">
        <v>1613</v>
      </c>
      <c r="AR292" s="1" t="s">
        <v>1507</v>
      </c>
      <c r="AS292" s="1" t="s">
        <v>1614</v>
      </c>
      <c r="AT292" s="1" t="s">
        <v>1615</v>
      </c>
      <c r="AU292" s="1" t="s">
        <v>2771</v>
      </c>
      <c r="AV292" s="1">
        <v>2023</v>
      </c>
      <c r="AW292" s="1">
        <v>11</v>
      </c>
      <c r="AX292" s="1">
        <v>21</v>
      </c>
      <c r="AY292" s="1" t="s">
        <v>1507</v>
      </c>
      <c r="AZ292" s="1" t="s">
        <v>1507</v>
      </c>
      <c r="BA292" s="1" t="s">
        <v>1507</v>
      </c>
      <c r="BB292" s="1" t="s">
        <v>1507</v>
      </c>
      <c r="BC292" s="1" t="s">
        <v>1507</v>
      </c>
      <c r="BD292" s="1" t="s">
        <v>1507</v>
      </c>
      <c r="BE292" s="1">
        <v>4479</v>
      </c>
      <c r="BF292" s="1" t="s">
        <v>2844</v>
      </c>
      <c r="BG292" s="1" t="str">
        <f>HYPERLINK("http://dx.doi.org/10.3390/math11214479","http://dx.doi.org/10.3390/math11214479")</f>
        <v>http://dx.doi.org/10.3390/math11214479</v>
      </c>
      <c r="BH292" s="1" t="s">
        <v>1507</v>
      </c>
      <c r="BI292" s="1" t="s">
        <v>1507</v>
      </c>
      <c r="BJ292" s="1">
        <v>19</v>
      </c>
      <c r="BK292" s="1" t="s">
        <v>1615</v>
      </c>
      <c r="BL292" s="1" t="s">
        <v>1573</v>
      </c>
      <c r="BM292" s="1" t="s">
        <v>1615</v>
      </c>
      <c r="BN292" s="1" t="s">
        <v>2845</v>
      </c>
      <c r="BO292" s="1" t="s">
        <v>1507</v>
      </c>
      <c r="BP292" s="1" t="s">
        <v>1507</v>
      </c>
      <c r="BQ292" s="1" t="s">
        <v>1507</v>
      </c>
      <c r="BR292" s="1" t="s">
        <v>1507</v>
      </c>
      <c r="BS292" s="1" t="s">
        <v>13744</v>
      </c>
      <c r="BT292" s="1" t="s">
        <v>2846</v>
      </c>
      <c r="BU292" s="1" t="str">
        <f>HYPERLINK("https%3A%2F%2Fwww.webofscience.com%2Fwos%2Fwoscc%2Ffull-record%2FWOS:001100441000001","View Full Record in Web of Science")</f>
        <v>View Full Record in Web of Science</v>
      </c>
    </row>
    <row r="293" spans="1:73" x14ac:dyDescent="0.25">
      <c r="A293" s="1">
        <v>292</v>
      </c>
      <c r="B293" s="1" t="s">
        <v>1506</v>
      </c>
      <c r="C293" s="1" t="s">
        <v>14122</v>
      </c>
      <c r="D293" s="1" t="s">
        <v>1507</v>
      </c>
      <c r="E293" s="1" t="s">
        <v>1507</v>
      </c>
      <c r="F293" s="1" t="s">
        <v>1507</v>
      </c>
      <c r="G293" s="1" t="s">
        <v>14123</v>
      </c>
      <c r="H293" s="1" t="s">
        <v>1507</v>
      </c>
      <c r="I293" s="1" t="s">
        <v>1507</v>
      </c>
      <c r="J293" s="1" t="s">
        <v>14124</v>
      </c>
      <c r="K293" s="1" t="s">
        <v>14125</v>
      </c>
      <c r="L293" s="1" t="s">
        <v>1507</v>
      </c>
      <c r="M293" s="1" t="s">
        <v>1507</v>
      </c>
      <c r="N293" s="1" t="s">
        <v>42</v>
      </c>
      <c r="O293" s="1" t="s">
        <v>12366</v>
      </c>
      <c r="P293" s="1" t="s">
        <v>1507</v>
      </c>
      <c r="Q293" s="1" t="s">
        <v>1507</v>
      </c>
      <c r="R293" s="1" t="s">
        <v>1507</v>
      </c>
      <c r="S293" s="1" t="s">
        <v>1507</v>
      </c>
      <c r="T293" s="1" t="s">
        <v>1507</v>
      </c>
      <c r="U293" s="1" t="s">
        <v>14126</v>
      </c>
      <c r="V293" s="1" t="s">
        <v>14127</v>
      </c>
      <c r="W293" s="1" t="s">
        <v>14128</v>
      </c>
      <c r="X293" s="1" t="s">
        <v>14129</v>
      </c>
      <c r="Y293" s="1" t="s">
        <v>14130</v>
      </c>
      <c r="Z293" s="1" t="s">
        <v>14131</v>
      </c>
      <c r="AA293" s="1" t="s">
        <v>14132</v>
      </c>
      <c r="AB293" s="1" t="s">
        <v>1507</v>
      </c>
      <c r="AC293" s="1" t="s">
        <v>14133</v>
      </c>
      <c r="AD293" s="1" t="s">
        <v>14134</v>
      </c>
      <c r="AE293" s="1" t="s">
        <v>14134</v>
      </c>
      <c r="AF293" s="1" t="s">
        <v>1510</v>
      </c>
      <c r="AG293" s="1" t="s">
        <v>1507</v>
      </c>
      <c r="AH293" s="1">
        <v>59</v>
      </c>
      <c r="AI293" s="1">
        <v>1</v>
      </c>
      <c r="AJ293" s="1">
        <v>1</v>
      </c>
      <c r="AK293" s="1">
        <v>7</v>
      </c>
      <c r="AL293" s="1">
        <v>7</v>
      </c>
      <c r="AM293" s="1" t="s">
        <v>1610</v>
      </c>
      <c r="AN293" s="1" t="s">
        <v>1611</v>
      </c>
      <c r="AO293" s="1" t="s">
        <v>1612</v>
      </c>
      <c r="AP293" s="1" t="s">
        <v>1507</v>
      </c>
      <c r="AQ293" s="1" t="s">
        <v>14135</v>
      </c>
      <c r="AR293" s="1" t="s">
        <v>1507</v>
      </c>
      <c r="AS293" s="1" t="s">
        <v>14136</v>
      </c>
      <c r="AT293" s="1" t="s">
        <v>14137</v>
      </c>
      <c r="AU293" s="1" t="s">
        <v>2771</v>
      </c>
      <c r="AV293" s="1">
        <v>2023</v>
      </c>
      <c r="AW293" s="1">
        <v>8</v>
      </c>
      <c r="AX293" s="1">
        <v>7</v>
      </c>
      <c r="AY293" s="1" t="s">
        <v>1507</v>
      </c>
      <c r="AZ293" s="1" t="s">
        <v>1507</v>
      </c>
      <c r="BA293" s="1" t="s">
        <v>1507</v>
      </c>
      <c r="BB293" s="1" t="s">
        <v>1507</v>
      </c>
      <c r="BC293" s="1" t="s">
        <v>1507</v>
      </c>
      <c r="BD293" s="1" t="s">
        <v>1507</v>
      </c>
      <c r="BE293" s="1">
        <v>512</v>
      </c>
      <c r="BF293" s="1" t="s">
        <v>14138</v>
      </c>
      <c r="BG293" s="1" t="str">
        <f>HYPERLINK("http://dx.doi.org/10.3390/biomimetics8070512","http://dx.doi.org/10.3390/biomimetics8070512")</f>
        <v>http://dx.doi.org/10.3390/biomimetics8070512</v>
      </c>
      <c r="BH293" s="1" t="s">
        <v>1507</v>
      </c>
      <c r="BI293" s="1" t="s">
        <v>1507</v>
      </c>
      <c r="BJ293" s="1">
        <v>16</v>
      </c>
      <c r="BK293" s="1" t="s">
        <v>14139</v>
      </c>
      <c r="BL293" s="1" t="s">
        <v>1573</v>
      </c>
      <c r="BM293" s="1" t="s">
        <v>14140</v>
      </c>
      <c r="BN293" s="1" t="s">
        <v>14141</v>
      </c>
      <c r="BO293" s="1">
        <v>37999153</v>
      </c>
      <c r="BP293" s="1" t="s">
        <v>1952</v>
      </c>
      <c r="BQ293" s="1" t="s">
        <v>1507</v>
      </c>
      <c r="BR293" s="1" t="s">
        <v>1507</v>
      </c>
      <c r="BS293" s="1" t="s">
        <v>13744</v>
      </c>
      <c r="BT293" s="1" t="s">
        <v>14142</v>
      </c>
      <c r="BU293" s="1" t="str">
        <f>HYPERLINK("https%3A%2F%2Fwww.webofscience.com%2Fwos%2Fwoscc%2Ffull-record%2FWOS:001118122400001","View Full Record in Web of Science")</f>
        <v>View Full Record in Web of Science</v>
      </c>
    </row>
    <row r="294" spans="1:73" x14ac:dyDescent="0.25">
      <c r="A294" s="1">
        <v>293</v>
      </c>
      <c r="B294" s="1" t="s">
        <v>1506</v>
      </c>
      <c r="C294" s="1" t="s">
        <v>3143</v>
      </c>
      <c r="D294" s="1" t="s">
        <v>1507</v>
      </c>
      <c r="E294" s="1" t="s">
        <v>1507</v>
      </c>
      <c r="F294" s="1" t="s">
        <v>1507</v>
      </c>
      <c r="G294" s="1" t="s">
        <v>3144</v>
      </c>
      <c r="H294" s="1" t="s">
        <v>1507</v>
      </c>
      <c r="I294" s="1" t="s">
        <v>1507</v>
      </c>
      <c r="J294" s="1" t="s">
        <v>3145</v>
      </c>
      <c r="K294" s="1" t="s">
        <v>3146</v>
      </c>
      <c r="L294" s="1" t="s">
        <v>1507</v>
      </c>
      <c r="M294" s="1" t="s">
        <v>1507</v>
      </c>
      <c r="N294" s="1" t="s">
        <v>42</v>
      </c>
      <c r="O294" s="1" t="s">
        <v>56</v>
      </c>
      <c r="P294" s="1" t="s">
        <v>1507</v>
      </c>
      <c r="Q294" s="1" t="s">
        <v>1507</v>
      </c>
      <c r="R294" s="1" t="s">
        <v>1507</v>
      </c>
      <c r="S294" s="1" t="s">
        <v>1507</v>
      </c>
      <c r="T294" s="1" t="s">
        <v>1507</v>
      </c>
      <c r="U294" s="1" t="s">
        <v>3147</v>
      </c>
      <c r="V294" s="1" t="s">
        <v>1507</v>
      </c>
      <c r="W294" s="1" t="s">
        <v>3148</v>
      </c>
      <c r="X294" s="1" t="s">
        <v>3149</v>
      </c>
      <c r="Y294" s="1" t="s">
        <v>3150</v>
      </c>
      <c r="Z294" s="1" t="s">
        <v>3151</v>
      </c>
      <c r="AA294" s="1" t="s">
        <v>3152</v>
      </c>
      <c r="AB294" s="1" t="s">
        <v>1507</v>
      </c>
      <c r="AC294" s="1" t="s">
        <v>1507</v>
      </c>
      <c r="AD294" s="1" t="s">
        <v>3153</v>
      </c>
      <c r="AE294" s="1" t="s">
        <v>3154</v>
      </c>
      <c r="AF294" s="1" t="s">
        <v>3155</v>
      </c>
      <c r="AG294" s="1" t="s">
        <v>1507</v>
      </c>
      <c r="AH294" s="1">
        <v>14</v>
      </c>
      <c r="AI294" s="1">
        <v>2</v>
      </c>
      <c r="AJ294" s="1">
        <v>2</v>
      </c>
      <c r="AK294" s="1">
        <v>47</v>
      </c>
      <c r="AL294" s="1">
        <v>47</v>
      </c>
      <c r="AM294" s="1" t="s">
        <v>3156</v>
      </c>
      <c r="AN294" s="1" t="s">
        <v>3157</v>
      </c>
      <c r="AO294" s="1" t="s">
        <v>3158</v>
      </c>
      <c r="AP294" s="1" t="s">
        <v>3159</v>
      </c>
      <c r="AQ294" s="1" t="s">
        <v>3160</v>
      </c>
      <c r="AR294" s="1" t="s">
        <v>1507</v>
      </c>
      <c r="AS294" s="1" t="s">
        <v>3161</v>
      </c>
      <c r="AT294" s="1" t="s">
        <v>3162</v>
      </c>
      <c r="AU294" s="1" t="s">
        <v>2191</v>
      </c>
      <c r="AV294" s="1">
        <v>2023</v>
      </c>
      <c r="AW294" s="1">
        <v>58</v>
      </c>
      <c r="AX294" s="1" t="s">
        <v>1507</v>
      </c>
      <c r="AY294" s="1" t="s">
        <v>3163</v>
      </c>
      <c r="AZ294" s="1" t="s">
        <v>1507</v>
      </c>
      <c r="BA294" s="1" t="s">
        <v>1507</v>
      </c>
      <c r="BB294" s="1" t="s">
        <v>1507</v>
      </c>
      <c r="BC294" s="1" t="s">
        <v>1507</v>
      </c>
      <c r="BD294" s="1" t="s">
        <v>1507</v>
      </c>
      <c r="BE294" s="1">
        <v>104580</v>
      </c>
      <c r="BF294" s="1" t="s">
        <v>3164</v>
      </c>
      <c r="BG294" s="1" t="str">
        <f>HYPERLINK("http://dx.doi.org/10.1016/j.frl.2023.104580","http://dx.doi.org/10.1016/j.frl.2023.104580")</f>
        <v>http://dx.doi.org/10.1016/j.frl.2023.104580</v>
      </c>
      <c r="BH294" s="1" t="s">
        <v>1507</v>
      </c>
      <c r="BI294" s="1" t="s">
        <v>2891</v>
      </c>
      <c r="BJ294" s="1">
        <v>7</v>
      </c>
      <c r="BK294" s="1" t="s">
        <v>3165</v>
      </c>
      <c r="BL294" s="1" t="s">
        <v>1518</v>
      </c>
      <c r="BM294" s="1" t="s">
        <v>3118</v>
      </c>
      <c r="BN294" s="1" t="s">
        <v>3166</v>
      </c>
      <c r="BO294" s="1" t="s">
        <v>1507</v>
      </c>
      <c r="BP294" s="1" t="s">
        <v>1507</v>
      </c>
      <c r="BQ294" s="1" t="s">
        <v>1507</v>
      </c>
      <c r="BR294" s="1" t="s">
        <v>1507</v>
      </c>
      <c r="BS294" s="1" t="s">
        <v>13744</v>
      </c>
      <c r="BT294" s="1" t="s">
        <v>3167</v>
      </c>
      <c r="BU294" s="1" t="str">
        <f>HYPERLINK("https%3A%2F%2Fwww.webofscience.com%2Fwos%2Fwoscc%2Ffull-record%2FWOS:001098428500001","View Full Record in Web of Science")</f>
        <v>View Full Record in Web of Science</v>
      </c>
    </row>
    <row r="295" spans="1:73" x14ac:dyDescent="0.25">
      <c r="A295" s="1">
        <v>294</v>
      </c>
      <c r="B295" s="1" t="s">
        <v>5546</v>
      </c>
      <c r="C295" s="1" t="s">
        <v>15089</v>
      </c>
      <c r="D295" s="1" t="s">
        <v>1507</v>
      </c>
      <c r="E295" s="1" t="s">
        <v>1507</v>
      </c>
      <c r="F295" s="1" t="s">
        <v>5548</v>
      </c>
      <c r="G295" s="1" t="s">
        <v>15090</v>
      </c>
      <c r="H295" s="1" t="s">
        <v>1507</v>
      </c>
      <c r="I295" s="1" t="s">
        <v>1507</v>
      </c>
      <c r="J295" s="1" t="s">
        <v>15091</v>
      </c>
      <c r="K295" s="1" t="s">
        <v>15092</v>
      </c>
      <c r="L295" s="1" t="s">
        <v>1507</v>
      </c>
      <c r="M295" s="1" t="s">
        <v>1507</v>
      </c>
      <c r="N295" s="1" t="s">
        <v>42</v>
      </c>
      <c r="O295" s="1" t="s">
        <v>5552</v>
      </c>
      <c r="P295" s="1" t="s">
        <v>15093</v>
      </c>
      <c r="Q295" s="1" t="s">
        <v>15094</v>
      </c>
      <c r="R295" s="1" t="s">
        <v>15095</v>
      </c>
      <c r="S295" s="1" t="s">
        <v>15096</v>
      </c>
      <c r="T295" s="1" t="s">
        <v>1507</v>
      </c>
      <c r="U295" s="1" t="s">
        <v>15097</v>
      </c>
      <c r="V295" s="1" t="s">
        <v>1507</v>
      </c>
      <c r="W295" s="1" t="s">
        <v>15098</v>
      </c>
      <c r="X295" s="1" t="s">
        <v>15099</v>
      </c>
      <c r="Y295" s="1" t="s">
        <v>15100</v>
      </c>
      <c r="Z295" s="1" t="s">
        <v>15101</v>
      </c>
      <c r="AA295" s="1" t="s">
        <v>15102</v>
      </c>
      <c r="AB295" s="1" t="s">
        <v>1507</v>
      </c>
      <c r="AC295" s="1" t="s">
        <v>15103</v>
      </c>
      <c r="AD295" s="1" t="s">
        <v>15104</v>
      </c>
      <c r="AE295" s="1" t="s">
        <v>15105</v>
      </c>
      <c r="AF295" s="1" t="s">
        <v>15106</v>
      </c>
      <c r="AG295" s="1" t="s">
        <v>1507</v>
      </c>
      <c r="AH295" s="1">
        <v>21</v>
      </c>
      <c r="AI295" s="1">
        <v>0</v>
      </c>
      <c r="AJ295" s="1">
        <v>0</v>
      </c>
      <c r="AK295" s="1">
        <v>0</v>
      </c>
      <c r="AL295" s="1">
        <v>0</v>
      </c>
      <c r="AM295" s="1" t="s">
        <v>5565</v>
      </c>
      <c r="AN295" s="1" t="s">
        <v>1512</v>
      </c>
      <c r="AO295" s="1" t="s">
        <v>5566</v>
      </c>
      <c r="AP295" s="1" t="s">
        <v>1507</v>
      </c>
      <c r="AQ295" s="1" t="s">
        <v>1507</v>
      </c>
      <c r="AR295" s="1" t="s">
        <v>15107</v>
      </c>
      <c r="AS295" s="1" t="s">
        <v>1507</v>
      </c>
      <c r="AT295" s="1" t="s">
        <v>1507</v>
      </c>
      <c r="AU295" s="1" t="s">
        <v>1507</v>
      </c>
      <c r="AV295" s="1">
        <v>2023</v>
      </c>
      <c r="AW295" s="1" t="s">
        <v>1507</v>
      </c>
      <c r="AX295" s="1" t="s">
        <v>1507</v>
      </c>
      <c r="AY295" s="1" t="s">
        <v>1507</v>
      </c>
      <c r="AZ295" s="1" t="s">
        <v>1507</v>
      </c>
      <c r="BA295" s="1" t="s">
        <v>1507</v>
      </c>
      <c r="BB295" s="1" t="s">
        <v>1507</v>
      </c>
      <c r="BC295" s="1">
        <v>4018</v>
      </c>
      <c r="BD295" s="1">
        <v>4022</v>
      </c>
      <c r="BE295" s="1" t="s">
        <v>1507</v>
      </c>
      <c r="BF295" s="1" t="s">
        <v>15108</v>
      </c>
      <c r="BG295" s="1" t="str">
        <f>HYPERLINK("http://dx.doi.org/10.1145/3583780.3615234","http://dx.doi.org/10.1145/3583780.3615234")</f>
        <v>http://dx.doi.org/10.1145/3583780.3615234</v>
      </c>
      <c r="BH295" s="1" t="s">
        <v>1507</v>
      </c>
      <c r="BI295" s="1" t="s">
        <v>1507</v>
      </c>
      <c r="BJ295" s="1">
        <v>5</v>
      </c>
      <c r="BK295" s="1" t="s">
        <v>5650</v>
      </c>
      <c r="BL295" s="1" t="s">
        <v>5570</v>
      </c>
      <c r="BM295" s="1" t="s">
        <v>1577</v>
      </c>
      <c r="BN295" s="1" t="s">
        <v>15109</v>
      </c>
      <c r="BO295" s="1" t="s">
        <v>1507</v>
      </c>
      <c r="BP295" s="1" t="s">
        <v>1507</v>
      </c>
      <c r="BQ295" s="1" t="s">
        <v>1507</v>
      </c>
      <c r="BR295" s="1" t="s">
        <v>1507</v>
      </c>
      <c r="BS295" s="1" t="s">
        <v>13744</v>
      </c>
      <c r="BT295" s="1" t="s">
        <v>15110</v>
      </c>
      <c r="BU295" s="1" t="str">
        <f>HYPERLINK("https%3A%2F%2Fwww.webofscience.com%2Fwos%2Fwoscc%2Ffull-record%2FWOS:001161549504012","View Full Record in Web of Science")</f>
        <v>View Full Record in Web of Science</v>
      </c>
    </row>
    <row r="296" spans="1:73" x14ac:dyDescent="0.25">
      <c r="A296" s="1">
        <v>295</v>
      </c>
      <c r="B296" s="1" t="s">
        <v>5546</v>
      </c>
      <c r="C296" s="1" t="s">
        <v>15111</v>
      </c>
      <c r="D296" s="1" t="s">
        <v>1507</v>
      </c>
      <c r="E296" s="1" t="s">
        <v>15112</v>
      </c>
      <c r="F296" s="1" t="s">
        <v>1507</v>
      </c>
      <c r="G296" s="1" t="s">
        <v>15113</v>
      </c>
      <c r="H296" s="1" t="s">
        <v>1507</v>
      </c>
      <c r="I296" s="1" t="s">
        <v>1507</v>
      </c>
      <c r="J296" s="1" t="s">
        <v>15114</v>
      </c>
      <c r="K296" s="1" t="s">
        <v>15115</v>
      </c>
      <c r="L296" s="1" t="s">
        <v>1507</v>
      </c>
      <c r="M296" s="1" t="s">
        <v>1507</v>
      </c>
      <c r="N296" s="1" t="s">
        <v>42</v>
      </c>
      <c r="O296" s="1" t="s">
        <v>5552</v>
      </c>
      <c r="P296" s="1" t="s">
        <v>15116</v>
      </c>
      <c r="Q296" s="1" t="s">
        <v>15117</v>
      </c>
      <c r="R296" s="1" t="s">
        <v>15118</v>
      </c>
      <c r="S296" s="1" t="s">
        <v>15119</v>
      </c>
      <c r="T296" s="1" t="s">
        <v>1507</v>
      </c>
      <c r="U296" s="1" t="s">
        <v>1507</v>
      </c>
      <c r="V296" s="1" t="s">
        <v>1507</v>
      </c>
      <c r="W296" s="1" t="s">
        <v>15120</v>
      </c>
      <c r="X296" s="1" t="s">
        <v>15121</v>
      </c>
      <c r="Y296" s="1" t="s">
        <v>15122</v>
      </c>
      <c r="Z296" s="1" t="s">
        <v>15123</v>
      </c>
      <c r="AA296" s="1" t="s">
        <v>15124</v>
      </c>
      <c r="AB296" s="1" t="s">
        <v>1507</v>
      </c>
      <c r="AC296" s="1" t="s">
        <v>1507</v>
      </c>
      <c r="AD296" s="1" t="s">
        <v>15125</v>
      </c>
      <c r="AE296" s="1" t="s">
        <v>15126</v>
      </c>
      <c r="AF296" s="1" t="s">
        <v>15127</v>
      </c>
      <c r="AG296" s="1" t="s">
        <v>1507</v>
      </c>
      <c r="AH296" s="1">
        <v>49</v>
      </c>
      <c r="AI296" s="1">
        <v>0</v>
      </c>
      <c r="AJ296" s="1">
        <v>0</v>
      </c>
      <c r="AK296" s="1">
        <v>0</v>
      </c>
      <c r="AL296" s="1">
        <v>0</v>
      </c>
      <c r="AM296" s="1" t="s">
        <v>7663</v>
      </c>
      <c r="AN296" s="1" t="s">
        <v>7664</v>
      </c>
      <c r="AO296" s="1" t="s">
        <v>7665</v>
      </c>
      <c r="AP296" s="1" t="s">
        <v>1507</v>
      </c>
      <c r="AQ296" s="1" t="s">
        <v>1507</v>
      </c>
      <c r="AR296" s="1" t="s">
        <v>15128</v>
      </c>
      <c r="AS296" s="1" t="s">
        <v>1507</v>
      </c>
      <c r="AT296" s="1" t="s">
        <v>1507</v>
      </c>
      <c r="AU296" s="1" t="s">
        <v>1507</v>
      </c>
      <c r="AV296" s="1">
        <v>2023</v>
      </c>
      <c r="AW296" s="1" t="s">
        <v>1507</v>
      </c>
      <c r="AX296" s="1" t="s">
        <v>1507</v>
      </c>
      <c r="AY296" s="1" t="s">
        <v>1507</v>
      </c>
      <c r="AZ296" s="1" t="s">
        <v>1507</v>
      </c>
      <c r="BA296" s="1" t="s">
        <v>1507</v>
      </c>
      <c r="BB296" s="1" t="s">
        <v>1507</v>
      </c>
      <c r="BC296" s="1">
        <v>195</v>
      </c>
      <c r="BD296" s="1">
        <v>208</v>
      </c>
      <c r="BE296" s="1" t="s">
        <v>1507</v>
      </c>
      <c r="BF296" s="1" t="s">
        <v>1507</v>
      </c>
      <c r="BG296" s="1" t="s">
        <v>1507</v>
      </c>
      <c r="BH296" s="1" t="s">
        <v>1507</v>
      </c>
      <c r="BI296" s="1" t="s">
        <v>1507</v>
      </c>
      <c r="BJ296" s="1">
        <v>14</v>
      </c>
      <c r="BK296" s="1" t="s">
        <v>2678</v>
      </c>
      <c r="BL296" s="1" t="s">
        <v>5570</v>
      </c>
      <c r="BM296" s="1" t="s">
        <v>1577</v>
      </c>
      <c r="BN296" s="1" t="s">
        <v>15129</v>
      </c>
      <c r="BO296" s="1" t="s">
        <v>1507</v>
      </c>
      <c r="BP296" s="1" t="s">
        <v>1507</v>
      </c>
      <c r="BQ296" s="1" t="s">
        <v>1507</v>
      </c>
      <c r="BR296" s="1" t="s">
        <v>1507</v>
      </c>
      <c r="BS296" s="1" t="s">
        <v>13744</v>
      </c>
      <c r="BT296" s="1" t="s">
        <v>15130</v>
      </c>
      <c r="BU296" s="1" t="str">
        <f>HYPERLINK("https%3A%2F%2Fwww.webofscience.com%2Fwos%2Fwoscc%2Ffull-record%2FWOS:001181069700023","View Full Record in Web of Science")</f>
        <v>View Full Record in Web of Science</v>
      </c>
    </row>
    <row r="297" spans="1:73" x14ac:dyDescent="0.25">
      <c r="A297" s="1">
        <v>296</v>
      </c>
      <c r="B297" s="1" t="s">
        <v>1506</v>
      </c>
      <c r="C297" s="1" t="s">
        <v>3099</v>
      </c>
      <c r="D297" s="1" t="s">
        <v>1507</v>
      </c>
      <c r="E297" s="1" t="s">
        <v>1507</v>
      </c>
      <c r="F297" s="1" t="s">
        <v>1507</v>
      </c>
      <c r="G297" s="1" t="s">
        <v>3100</v>
      </c>
      <c r="H297" s="1" t="s">
        <v>1507</v>
      </c>
      <c r="I297" s="1" t="s">
        <v>1507</v>
      </c>
      <c r="J297" s="1" t="s">
        <v>3101</v>
      </c>
      <c r="K297" s="1" t="s">
        <v>3102</v>
      </c>
      <c r="L297" s="1" t="s">
        <v>1507</v>
      </c>
      <c r="M297" s="1" t="s">
        <v>1507</v>
      </c>
      <c r="N297" s="1" t="s">
        <v>42</v>
      </c>
      <c r="O297" s="1" t="s">
        <v>56</v>
      </c>
      <c r="P297" s="1" t="s">
        <v>1507</v>
      </c>
      <c r="Q297" s="1" t="s">
        <v>1507</v>
      </c>
      <c r="R297" s="1" t="s">
        <v>1507</v>
      </c>
      <c r="S297" s="1" t="s">
        <v>1507</v>
      </c>
      <c r="T297" s="1" t="s">
        <v>1507</v>
      </c>
      <c r="U297" s="1" t="s">
        <v>3103</v>
      </c>
      <c r="V297" s="1" t="s">
        <v>3104</v>
      </c>
      <c r="W297" s="1" t="s">
        <v>3105</v>
      </c>
      <c r="X297" s="1" t="s">
        <v>3106</v>
      </c>
      <c r="Y297" s="1" t="s">
        <v>3107</v>
      </c>
      <c r="Z297" s="1" t="s">
        <v>3108</v>
      </c>
      <c r="AA297" s="1" t="s">
        <v>3109</v>
      </c>
      <c r="AB297" s="1" t="s">
        <v>1507</v>
      </c>
      <c r="AC297" s="1" t="s">
        <v>1507</v>
      </c>
      <c r="AD297" s="1" t="s">
        <v>3110</v>
      </c>
      <c r="AE297" s="1" t="s">
        <v>3110</v>
      </c>
      <c r="AF297" s="1" t="s">
        <v>3111</v>
      </c>
      <c r="AG297" s="1" t="s">
        <v>1507</v>
      </c>
      <c r="AH297" s="1">
        <v>67</v>
      </c>
      <c r="AI297" s="1">
        <v>2</v>
      </c>
      <c r="AJ297" s="1">
        <v>2</v>
      </c>
      <c r="AK297" s="1">
        <v>72</v>
      </c>
      <c r="AL297" s="1">
        <v>72</v>
      </c>
      <c r="AM297" s="1" t="s">
        <v>1586</v>
      </c>
      <c r="AN297" s="1" t="s">
        <v>1587</v>
      </c>
      <c r="AO297" s="1" t="s">
        <v>1588</v>
      </c>
      <c r="AP297" s="1" t="s">
        <v>3112</v>
      </c>
      <c r="AQ297" s="1" t="s">
        <v>3113</v>
      </c>
      <c r="AR297" s="1" t="s">
        <v>1507</v>
      </c>
      <c r="AS297" s="1" t="s">
        <v>3114</v>
      </c>
      <c r="AT297" s="1" t="s">
        <v>3115</v>
      </c>
      <c r="AU297" s="1" t="s">
        <v>1616</v>
      </c>
      <c r="AV297" s="1">
        <v>2024</v>
      </c>
      <c r="AW297" s="1">
        <v>76</v>
      </c>
      <c r="AX297" s="1" t="s">
        <v>1507</v>
      </c>
      <c r="AY297" s="1" t="s">
        <v>1507</v>
      </c>
      <c r="AZ297" s="1" t="s">
        <v>1507</v>
      </c>
      <c r="BA297" s="1" t="s">
        <v>1507</v>
      </c>
      <c r="BB297" s="1" t="s">
        <v>1507</v>
      </c>
      <c r="BC297" s="1" t="s">
        <v>1507</v>
      </c>
      <c r="BD297" s="1" t="s">
        <v>1507</v>
      </c>
      <c r="BE297" s="1">
        <v>103580</v>
      </c>
      <c r="BF297" s="1" t="s">
        <v>3116</v>
      </c>
      <c r="BG297" s="1" t="str">
        <f>HYPERLINK("http://dx.doi.org/10.1016/j.jretconser.2023.103580","http://dx.doi.org/10.1016/j.jretconser.2023.103580")</f>
        <v>http://dx.doi.org/10.1016/j.jretconser.2023.103580</v>
      </c>
      <c r="BH297" s="1" t="s">
        <v>1507</v>
      </c>
      <c r="BI297" s="1" t="s">
        <v>2891</v>
      </c>
      <c r="BJ297" s="1">
        <v>13</v>
      </c>
      <c r="BK297" s="1" t="s">
        <v>3117</v>
      </c>
      <c r="BL297" s="1" t="s">
        <v>1518</v>
      </c>
      <c r="BM297" s="1" t="s">
        <v>3118</v>
      </c>
      <c r="BN297" s="1" t="s">
        <v>3119</v>
      </c>
      <c r="BO297" s="1" t="s">
        <v>1507</v>
      </c>
      <c r="BP297" s="1" t="s">
        <v>1537</v>
      </c>
      <c r="BQ297" s="1" t="s">
        <v>1507</v>
      </c>
      <c r="BR297" s="1" t="s">
        <v>1507</v>
      </c>
      <c r="BS297" s="1" t="s">
        <v>13744</v>
      </c>
      <c r="BT297" s="1" t="s">
        <v>3120</v>
      </c>
      <c r="BU297" s="1" t="str">
        <f>HYPERLINK("https%3A%2F%2Fwww.webofscience.com%2Fwos%2Fwoscc%2Ffull-record%2FWOS:001108563800001","View Full Record in Web of Science")</f>
        <v>View Full Record in Web of Science</v>
      </c>
    </row>
    <row r="298" spans="1:73" x14ac:dyDescent="0.25">
      <c r="A298" s="1">
        <v>297</v>
      </c>
      <c r="B298" s="1" t="s">
        <v>1506</v>
      </c>
      <c r="C298" s="1" t="s">
        <v>2383</v>
      </c>
      <c r="D298" s="1" t="s">
        <v>1507</v>
      </c>
      <c r="E298" s="1" t="s">
        <v>1507</v>
      </c>
      <c r="F298" s="1" t="s">
        <v>1507</v>
      </c>
      <c r="G298" s="1" t="s">
        <v>2384</v>
      </c>
      <c r="H298" s="1" t="s">
        <v>1507</v>
      </c>
      <c r="I298" s="1" t="s">
        <v>1507</v>
      </c>
      <c r="J298" s="1" t="s">
        <v>1347</v>
      </c>
      <c r="K298" s="1" t="s">
        <v>2385</v>
      </c>
      <c r="L298" s="1" t="s">
        <v>1507</v>
      </c>
      <c r="M298" s="1" t="s">
        <v>1507</v>
      </c>
      <c r="N298" s="1" t="s">
        <v>42</v>
      </c>
      <c r="O298" s="1" t="s">
        <v>1509</v>
      </c>
      <c r="P298" s="1" t="s">
        <v>1507</v>
      </c>
      <c r="Q298" s="1" t="s">
        <v>1507</v>
      </c>
      <c r="R298" s="1" t="s">
        <v>1507</v>
      </c>
      <c r="S298" s="1" t="s">
        <v>1507</v>
      </c>
      <c r="T298" s="1" t="s">
        <v>1507</v>
      </c>
      <c r="U298" s="1" t="s">
        <v>2386</v>
      </c>
      <c r="V298" s="1" t="s">
        <v>1507</v>
      </c>
      <c r="W298" s="1" t="s">
        <v>2387</v>
      </c>
      <c r="X298" s="1" t="s">
        <v>2388</v>
      </c>
      <c r="Y298" s="1" t="s">
        <v>2389</v>
      </c>
      <c r="Z298" s="1" t="s">
        <v>2390</v>
      </c>
      <c r="AA298" s="1" t="s">
        <v>2391</v>
      </c>
      <c r="AB298" s="1" t="s">
        <v>1507</v>
      </c>
      <c r="AC298" s="1" t="s">
        <v>1507</v>
      </c>
      <c r="AD298" s="1" t="s">
        <v>1507</v>
      </c>
      <c r="AE298" s="1" t="s">
        <v>1507</v>
      </c>
      <c r="AF298" s="1" t="s">
        <v>1507</v>
      </c>
      <c r="AG298" s="1" t="s">
        <v>1507</v>
      </c>
      <c r="AH298" s="1">
        <v>58</v>
      </c>
      <c r="AI298" s="1">
        <v>0</v>
      </c>
      <c r="AJ298" s="1">
        <v>0</v>
      </c>
      <c r="AK298" s="1">
        <v>50</v>
      </c>
      <c r="AL298" s="1">
        <v>50</v>
      </c>
      <c r="AM298" s="1" t="s">
        <v>1555</v>
      </c>
      <c r="AN298" s="1" t="s">
        <v>1556</v>
      </c>
      <c r="AO298" s="1" t="s">
        <v>1557</v>
      </c>
      <c r="AP298" s="1" t="s">
        <v>2392</v>
      </c>
      <c r="AQ298" s="1" t="s">
        <v>2393</v>
      </c>
      <c r="AR298" s="1" t="s">
        <v>1507</v>
      </c>
      <c r="AS298" s="1" t="s">
        <v>2394</v>
      </c>
      <c r="AT298" s="1" t="s">
        <v>1354</v>
      </c>
      <c r="AU298" s="1" t="s">
        <v>2395</v>
      </c>
      <c r="AV298" s="1">
        <v>2023</v>
      </c>
      <c r="AW298" s="1" t="s">
        <v>1507</v>
      </c>
      <c r="AX298" s="1" t="s">
        <v>1507</v>
      </c>
      <c r="AY298" s="1" t="s">
        <v>1507</v>
      </c>
      <c r="AZ298" s="1" t="s">
        <v>1507</v>
      </c>
      <c r="BA298" s="1" t="s">
        <v>1507</v>
      </c>
      <c r="BB298" s="1" t="s">
        <v>1507</v>
      </c>
      <c r="BC298" s="1" t="s">
        <v>1507</v>
      </c>
      <c r="BD298" s="1" t="s">
        <v>1507</v>
      </c>
      <c r="BE298" s="1" t="s">
        <v>1507</v>
      </c>
      <c r="BF298" s="1" t="s">
        <v>1349</v>
      </c>
      <c r="BG298" s="1" t="str">
        <f>HYPERLINK("http://dx.doi.org/10.1080/03323315.2023.2284901","http://dx.doi.org/10.1080/03323315.2023.2284901")</f>
        <v>http://dx.doi.org/10.1080/03323315.2023.2284901</v>
      </c>
      <c r="BH298" s="1" t="s">
        <v>1507</v>
      </c>
      <c r="BI298" s="1" t="s">
        <v>2396</v>
      </c>
      <c r="BJ298" s="1">
        <v>18</v>
      </c>
      <c r="BK298" s="1" t="s">
        <v>1558</v>
      </c>
      <c r="BL298" s="1" t="s">
        <v>1518</v>
      </c>
      <c r="BM298" s="1" t="s">
        <v>1558</v>
      </c>
      <c r="BN298" s="1" t="s">
        <v>2397</v>
      </c>
      <c r="BO298" s="1" t="s">
        <v>1507</v>
      </c>
      <c r="BP298" s="1" t="s">
        <v>1507</v>
      </c>
      <c r="BQ298" s="1" t="s">
        <v>1507</v>
      </c>
      <c r="BR298" s="1" t="s">
        <v>1507</v>
      </c>
      <c r="BS298" s="1" t="s">
        <v>13744</v>
      </c>
      <c r="BT298" s="1" t="s">
        <v>2398</v>
      </c>
      <c r="BU298" s="1" t="str">
        <f>HYPERLINK("https%3A%2F%2Fwww.webofscience.com%2Fwos%2Fwoscc%2Ffull-record%2FWOS:001105574000001","View Full Record in Web of Science")</f>
        <v>View Full Record in Web of Science</v>
      </c>
    </row>
    <row r="299" spans="1:73" x14ac:dyDescent="0.25">
      <c r="A299" s="1">
        <v>298</v>
      </c>
      <c r="B299" s="1" t="s">
        <v>1506</v>
      </c>
      <c r="C299" s="1" t="s">
        <v>11607</v>
      </c>
      <c r="D299" s="1" t="s">
        <v>1507</v>
      </c>
      <c r="E299" s="1" t="s">
        <v>1507</v>
      </c>
      <c r="F299" s="1" t="s">
        <v>1507</v>
      </c>
      <c r="G299" s="1" t="s">
        <v>11608</v>
      </c>
      <c r="H299" s="1" t="s">
        <v>1507</v>
      </c>
      <c r="I299" s="1" t="s">
        <v>1507</v>
      </c>
      <c r="J299" s="1" t="s">
        <v>11609</v>
      </c>
      <c r="K299" s="1" t="s">
        <v>11610</v>
      </c>
      <c r="L299" s="1" t="s">
        <v>1507</v>
      </c>
      <c r="M299" s="1" t="s">
        <v>1507</v>
      </c>
      <c r="N299" s="1" t="s">
        <v>42</v>
      </c>
      <c r="O299" s="1" t="s">
        <v>56</v>
      </c>
      <c r="P299" s="1" t="s">
        <v>1507</v>
      </c>
      <c r="Q299" s="1" t="s">
        <v>1507</v>
      </c>
      <c r="R299" s="1" t="s">
        <v>1507</v>
      </c>
      <c r="S299" s="1" t="s">
        <v>1507</v>
      </c>
      <c r="T299" s="1" t="s">
        <v>1507</v>
      </c>
      <c r="U299" s="1" t="s">
        <v>11611</v>
      </c>
      <c r="V299" s="1" t="s">
        <v>11612</v>
      </c>
      <c r="W299" s="1" t="s">
        <v>11613</v>
      </c>
      <c r="X299" s="1" t="s">
        <v>11614</v>
      </c>
      <c r="Y299" s="1" t="s">
        <v>11615</v>
      </c>
      <c r="Z299" s="1" t="s">
        <v>11616</v>
      </c>
      <c r="AA299" s="1" t="s">
        <v>11617</v>
      </c>
      <c r="AB299" s="1" t="s">
        <v>11618</v>
      </c>
      <c r="AC299" s="1" t="s">
        <v>11619</v>
      </c>
      <c r="AD299" s="1" t="s">
        <v>11620</v>
      </c>
      <c r="AE299" s="1" t="s">
        <v>11621</v>
      </c>
      <c r="AF299" s="1" t="s">
        <v>11622</v>
      </c>
      <c r="AG299" s="1" t="s">
        <v>1507</v>
      </c>
      <c r="AH299" s="1">
        <v>42</v>
      </c>
      <c r="AI299" s="1">
        <v>9</v>
      </c>
      <c r="AJ299" s="1">
        <v>10</v>
      </c>
      <c r="AK299" s="1">
        <v>0</v>
      </c>
      <c r="AL299" s="1">
        <v>23</v>
      </c>
      <c r="AM299" s="1" t="s">
        <v>11623</v>
      </c>
      <c r="AN299" s="1" t="s">
        <v>1580</v>
      </c>
      <c r="AO299" s="1" t="s">
        <v>11624</v>
      </c>
      <c r="AP299" s="1" t="s">
        <v>11625</v>
      </c>
      <c r="AQ299" s="1" t="s">
        <v>11626</v>
      </c>
      <c r="AR299" s="1" t="s">
        <v>1507</v>
      </c>
      <c r="AS299" s="1" t="s">
        <v>11627</v>
      </c>
      <c r="AT299" s="1" t="s">
        <v>11628</v>
      </c>
      <c r="AU299" s="1" t="s">
        <v>3992</v>
      </c>
      <c r="AV299" s="1">
        <v>2018</v>
      </c>
      <c r="AW299" s="1">
        <v>143</v>
      </c>
      <c r="AX299" s="1" t="s">
        <v>1507</v>
      </c>
      <c r="AY299" s="1" t="s">
        <v>1507</v>
      </c>
      <c r="AZ299" s="1" t="s">
        <v>1507</v>
      </c>
      <c r="BA299" s="1" t="s">
        <v>1507</v>
      </c>
      <c r="BB299" s="1" t="s">
        <v>1507</v>
      </c>
      <c r="BC299" s="1">
        <v>102</v>
      </c>
      <c r="BD299" s="1">
        <v>111</v>
      </c>
      <c r="BE299" s="1" t="s">
        <v>1507</v>
      </c>
      <c r="BF299" s="1" t="s">
        <v>11629</v>
      </c>
      <c r="BG299" s="1" t="str">
        <f>HYPERLINK("http://dx.doi.org/10.1016/j.postharvbio.2018.04.018","http://dx.doi.org/10.1016/j.postharvbio.2018.04.018")</f>
        <v>http://dx.doi.org/10.1016/j.postharvbio.2018.04.018</v>
      </c>
      <c r="BH299" s="1" t="s">
        <v>1507</v>
      </c>
      <c r="BI299" s="1" t="s">
        <v>1507</v>
      </c>
      <c r="BJ299" s="1">
        <v>10</v>
      </c>
      <c r="BK299" s="1" t="s">
        <v>11630</v>
      </c>
      <c r="BL299" s="1" t="s">
        <v>1573</v>
      </c>
      <c r="BM299" s="1" t="s">
        <v>11631</v>
      </c>
      <c r="BN299" s="1" t="s">
        <v>11632</v>
      </c>
      <c r="BO299" s="1" t="s">
        <v>1507</v>
      </c>
      <c r="BP299" s="1" t="s">
        <v>1507</v>
      </c>
      <c r="BQ299" s="1" t="s">
        <v>1507</v>
      </c>
      <c r="BR299" s="1" t="s">
        <v>1507</v>
      </c>
      <c r="BS299" s="1" t="s">
        <v>13744</v>
      </c>
      <c r="BT299" s="1" t="s">
        <v>11633</v>
      </c>
      <c r="BU299" s="1" t="str">
        <f>HYPERLINK("https%3A%2F%2Fwww.webofscience.com%2Fwos%2Fwoscc%2Ffull-record%2FWOS:000433225900012","View Full Record in Web of Science")</f>
        <v>View Full Record in Web of Science</v>
      </c>
    </row>
    <row r="300" spans="1:73" x14ac:dyDescent="0.25">
      <c r="A300" s="1">
        <v>299</v>
      </c>
      <c r="B300" s="1" t="s">
        <v>1506</v>
      </c>
      <c r="C300" s="1" t="s">
        <v>10115</v>
      </c>
      <c r="D300" s="1" t="s">
        <v>1507</v>
      </c>
      <c r="E300" s="1" t="s">
        <v>1507</v>
      </c>
      <c r="F300" s="1" t="s">
        <v>1507</v>
      </c>
      <c r="G300" s="1" t="s">
        <v>10116</v>
      </c>
      <c r="H300" s="1" t="s">
        <v>1507</v>
      </c>
      <c r="I300" s="1" t="s">
        <v>1507</v>
      </c>
      <c r="J300" s="1" t="s">
        <v>10117</v>
      </c>
      <c r="K300" s="1" t="s">
        <v>9535</v>
      </c>
      <c r="L300" s="1" t="s">
        <v>1507</v>
      </c>
      <c r="M300" s="1" t="s">
        <v>1507</v>
      </c>
      <c r="N300" s="1" t="s">
        <v>42</v>
      </c>
      <c r="O300" s="1" t="s">
        <v>56</v>
      </c>
      <c r="P300" s="1" t="s">
        <v>1507</v>
      </c>
      <c r="Q300" s="1" t="s">
        <v>1507</v>
      </c>
      <c r="R300" s="1" t="s">
        <v>1507</v>
      </c>
      <c r="S300" s="1" t="s">
        <v>1507</v>
      </c>
      <c r="T300" s="1" t="s">
        <v>1507</v>
      </c>
      <c r="U300" s="1" t="s">
        <v>10118</v>
      </c>
      <c r="V300" s="1" t="s">
        <v>1507</v>
      </c>
      <c r="W300" s="1" t="s">
        <v>10119</v>
      </c>
      <c r="X300" s="1" t="s">
        <v>10120</v>
      </c>
      <c r="Y300" s="1" t="s">
        <v>15829</v>
      </c>
      <c r="Z300" s="1" t="s">
        <v>10121</v>
      </c>
      <c r="AA300" s="1" t="s">
        <v>10122</v>
      </c>
      <c r="AB300" s="1" t="s">
        <v>1507</v>
      </c>
      <c r="AC300" s="1" t="s">
        <v>10123</v>
      </c>
      <c r="AD300" s="1" t="s">
        <v>10124</v>
      </c>
      <c r="AE300" s="1" t="s">
        <v>10125</v>
      </c>
      <c r="AF300" s="1" t="s">
        <v>10126</v>
      </c>
      <c r="AG300" s="1" t="s">
        <v>1507</v>
      </c>
      <c r="AH300" s="1">
        <v>79</v>
      </c>
      <c r="AI300" s="1">
        <v>12</v>
      </c>
      <c r="AJ300" s="1">
        <v>12</v>
      </c>
      <c r="AK300" s="1">
        <v>3</v>
      </c>
      <c r="AL300" s="1">
        <v>25</v>
      </c>
      <c r="AM300" s="1" t="s">
        <v>9546</v>
      </c>
      <c r="AN300" s="1" t="s">
        <v>9547</v>
      </c>
      <c r="AO300" s="1" t="s">
        <v>9548</v>
      </c>
      <c r="AP300" s="1" t="s">
        <v>9549</v>
      </c>
      <c r="AQ300" s="1" t="s">
        <v>9550</v>
      </c>
      <c r="AR300" s="1" t="s">
        <v>1507</v>
      </c>
      <c r="AS300" s="1" t="s">
        <v>9551</v>
      </c>
      <c r="AT300" s="1" t="s">
        <v>9552</v>
      </c>
      <c r="AU300" s="1" t="s">
        <v>9054</v>
      </c>
      <c r="AV300" s="1">
        <v>2020</v>
      </c>
      <c r="AW300" s="1">
        <v>21</v>
      </c>
      <c r="AX300" s="1">
        <v>1</v>
      </c>
      <c r="AY300" s="1" t="s">
        <v>1507</v>
      </c>
      <c r="AZ300" s="1" t="s">
        <v>1507</v>
      </c>
      <c r="BA300" s="1" t="s">
        <v>3506</v>
      </c>
      <c r="BB300" s="1" t="s">
        <v>1507</v>
      </c>
      <c r="BC300" s="1">
        <v>104</v>
      </c>
      <c r="BD300" s="1">
        <v>139</v>
      </c>
      <c r="BE300" s="1" t="s">
        <v>1507</v>
      </c>
      <c r="BF300" s="1" t="s">
        <v>10127</v>
      </c>
      <c r="BG300" s="1" t="str">
        <f>HYPERLINK("http://dx.doi.org/10.1163/22119000-12340169","http://dx.doi.org/10.1163/22119000-12340169")</f>
        <v>http://dx.doi.org/10.1163/22119000-12340169</v>
      </c>
      <c r="BH300" s="1" t="s">
        <v>1507</v>
      </c>
      <c r="BI300" s="1" t="s">
        <v>1507</v>
      </c>
      <c r="BJ300" s="1">
        <v>36</v>
      </c>
      <c r="BK300" s="1" t="s">
        <v>1535</v>
      </c>
      <c r="BL300" s="1" t="s">
        <v>1529</v>
      </c>
      <c r="BM300" s="1" t="s">
        <v>1536</v>
      </c>
      <c r="BN300" s="1" t="s">
        <v>10128</v>
      </c>
      <c r="BO300" s="1" t="s">
        <v>1507</v>
      </c>
      <c r="BP300" s="1" t="s">
        <v>1507</v>
      </c>
      <c r="BQ300" s="1" t="s">
        <v>1507</v>
      </c>
      <c r="BR300" s="1" t="s">
        <v>1507</v>
      </c>
      <c r="BS300" s="1" t="s">
        <v>13744</v>
      </c>
      <c r="BT300" s="1" t="s">
        <v>10129</v>
      </c>
      <c r="BU300" s="1" t="str">
        <f>HYPERLINK("https%3A%2F%2Fwww.webofscience.com%2Fwos%2Fwoscc%2Ffull-record%2FWOS:000514808400005","View Full Record in Web of Science")</f>
        <v>View Full Record in Web of Science</v>
      </c>
    </row>
    <row r="301" spans="1:73" x14ac:dyDescent="0.25">
      <c r="A301" s="1">
        <v>300</v>
      </c>
      <c r="B301" s="1" t="s">
        <v>1506</v>
      </c>
      <c r="C301" s="1" t="s">
        <v>7236</v>
      </c>
      <c r="D301" s="1" t="s">
        <v>1507</v>
      </c>
      <c r="E301" s="1" t="s">
        <v>1507</v>
      </c>
      <c r="F301" s="1" t="s">
        <v>1507</v>
      </c>
      <c r="G301" s="1" t="s">
        <v>7237</v>
      </c>
      <c r="H301" s="1" t="s">
        <v>1507</v>
      </c>
      <c r="I301" s="1" t="s">
        <v>1507</v>
      </c>
      <c r="J301" s="1" t="s">
        <v>7238</v>
      </c>
      <c r="K301" s="1" t="s">
        <v>7239</v>
      </c>
      <c r="L301" s="1" t="s">
        <v>1507</v>
      </c>
      <c r="M301" s="1" t="s">
        <v>1507</v>
      </c>
      <c r="N301" s="1" t="s">
        <v>42</v>
      </c>
      <c r="O301" s="1" t="s">
        <v>56</v>
      </c>
      <c r="P301" s="1" t="s">
        <v>1507</v>
      </c>
      <c r="Q301" s="1" t="s">
        <v>1507</v>
      </c>
      <c r="R301" s="1" t="s">
        <v>1507</v>
      </c>
      <c r="S301" s="1" t="s">
        <v>1507</v>
      </c>
      <c r="T301" s="1" t="s">
        <v>1507</v>
      </c>
      <c r="U301" s="1" t="s">
        <v>7240</v>
      </c>
      <c r="V301" s="1" t="s">
        <v>7241</v>
      </c>
      <c r="W301" s="1" t="s">
        <v>7242</v>
      </c>
      <c r="X301" s="1" t="s">
        <v>7243</v>
      </c>
      <c r="Y301" s="1" t="s">
        <v>7244</v>
      </c>
      <c r="Z301" s="1" t="s">
        <v>7245</v>
      </c>
      <c r="AA301" s="1" t="s">
        <v>7246</v>
      </c>
      <c r="AB301" s="1" t="s">
        <v>7247</v>
      </c>
      <c r="AC301" s="1" t="s">
        <v>15616</v>
      </c>
      <c r="AD301" s="1" t="s">
        <v>7248</v>
      </c>
      <c r="AE301" s="1" t="s">
        <v>7249</v>
      </c>
      <c r="AF301" s="1" t="s">
        <v>7250</v>
      </c>
      <c r="AG301" s="1" t="s">
        <v>1507</v>
      </c>
      <c r="AH301" s="1">
        <v>60</v>
      </c>
      <c r="AI301" s="1">
        <v>1</v>
      </c>
      <c r="AJ301" s="1">
        <v>1</v>
      </c>
      <c r="AK301" s="1">
        <v>1</v>
      </c>
      <c r="AL301" s="1">
        <v>4</v>
      </c>
      <c r="AM301" s="1" t="s">
        <v>1610</v>
      </c>
      <c r="AN301" s="1" t="s">
        <v>1611</v>
      </c>
      <c r="AO301" s="1" t="s">
        <v>1612</v>
      </c>
      <c r="AP301" s="1" t="s">
        <v>1507</v>
      </c>
      <c r="AQ301" s="1" t="s">
        <v>7251</v>
      </c>
      <c r="AR301" s="1" t="s">
        <v>1507</v>
      </c>
      <c r="AS301" s="1" t="s">
        <v>7239</v>
      </c>
      <c r="AT301" s="1" t="s">
        <v>7252</v>
      </c>
      <c r="AU301" s="1" t="s">
        <v>5045</v>
      </c>
      <c r="AV301" s="1">
        <v>2022</v>
      </c>
      <c r="AW301" s="1">
        <v>10</v>
      </c>
      <c r="AX301" s="1">
        <v>5</v>
      </c>
      <c r="AY301" s="1" t="s">
        <v>1507</v>
      </c>
      <c r="AZ301" s="1" t="s">
        <v>1507</v>
      </c>
      <c r="BA301" s="1" t="s">
        <v>1507</v>
      </c>
      <c r="BB301" s="1" t="s">
        <v>1507</v>
      </c>
      <c r="BC301" s="1" t="s">
        <v>1507</v>
      </c>
      <c r="BD301" s="1" t="s">
        <v>1507</v>
      </c>
      <c r="BE301" s="1">
        <v>39</v>
      </c>
      <c r="BF301" s="1" t="s">
        <v>7253</v>
      </c>
      <c r="BG301" s="1" t="str">
        <f>HYPERLINK("http://dx.doi.org/10.3390/fib10050039","http://dx.doi.org/10.3390/fib10050039")</f>
        <v>http://dx.doi.org/10.3390/fib10050039</v>
      </c>
      <c r="BH301" s="1" t="s">
        <v>1507</v>
      </c>
      <c r="BI301" s="1" t="s">
        <v>1507</v>
      </c>
      <c r="BJ301" s="1">
        <v>20</v>
      </c>
      <c r="BK301" s="1" t="s">
        <v>7254</v>
      </c>
      <c r="BL301" s="1" t="s">
        <v>1529</v>
      </c>
      <c r="BM301" s="1" t="s">
        <v>7255</v>
      </c>
      <c r="BN301" s="1" t="s">
        <v>7256</v>
      </c>
      <c r="BO301" s="1" t="s">
        <v>1507</v>
      </c>
      <c r="BP301" s="1" t="s">
        <v>1531</v>
      </c>
      <c r="BQ301" s="1" t="s">
        <v>1507</v>
      </c>
      <c r="BR301" s="1" t="s">
        <v>1507</v>
      </c>
      <c r="BS301" s="1" t="s">
        <v>13744</v>
      </c>
      <c r="BT301" s="1" t="s">
        <v>7257</v>
      </c>
      <c r="BU301" s="1" t="str">
        <f>HYPERLINK("https%3A%2F%2Fwww.webofscience.com%2Fwos%2Fwoscc%2Ffull-record%2FWOS:000802462500001","View Full Record in Web of Science")</f>
        <v>View Full Record in Web of Science</v>
      </c>
    </row>
    <row r="302" spans="1:73" x14ac:dyDescent="0.25">
      <c r="A302" s="1">
        <v>301</v>
      </c>
      <c r="B302" s="1" t="s">
        <v>1506</v>
      </c>
      <c r="C302" s="1" t="s">
        <v>4663</v>
      </c>
      <c r="D302" s="1" t="s">
        <v>1507</v>
      </c>
      <c r="E302" s="1" t="s">
        <v>1507</v>
      </c>
      <c r="F302" s="1" t="s">
        <v>1507</v>
      </c>
      <c r="G302" s="1" t="s">
        <v>4664</v>
      </c>
      <c r="H302" s="1" t="s">
        <v>1507</v>
      </c>
      <c r="I302" s="1" t="s">
        <v>1507</v>
      </c>
      <c r="J302" s="1" t="s">
        <v>4665</v>
      </c>
      <c r="K302" s="1" t="s">
        <v>2662</v>
      </c>
      <c r="L302" s="1" t="s">
        <v>1507</v>
      </c>
      <c r="M302" s="1" t="s">
        <v>1507</v>
      </c>
      <c r="N302" s="1" t="s">
        <v>42</v>
      </c>
      <c r="O302" s="1" t="s">
        <v>56</v>
      </c>
      <c r="P302" s="1" t="s">
        <v>1507</v>
      </c>
      <c r="Q302" s="1" t="s">
        <v>1507</v>
      </c>
      <c r="R302" s="1" t="s">
        <v>1507</v>
      </c>
      <c r="S302" s="1" t="s">
        <v>1507</v>
      </c>
      <c r="T302" s="1" t="s">
        <v>1507</v>
      </c>
      <c r="U302" s="1" t="s">
        <v>4666</v>
      </c>
      <c r="V302" s="1" t="s">
        <v>1507</v>
      </c>
      <c r="W302" s="1" t="s">
        <v>4667</v>
      </c>
      <c r="X302" s="1" t="s">
        <v>4668</v>
      </c>
      <c r="Y302" s="1" t="s">
        <v>4669</v>
      </c>
      <c r="Z302" s="1" t="s">
        <v>4670</v>
      </c>
      <c r="AA302" s="1" t="s">
        <v>4671</v>
      </c>
      <c r="AB302" s="1" t="s">
        <v>14676</v>
      </c>
      <c r="AC302" s="1" t="s">
        <v>14677</v>
      </c>
      <c r="AD302" s="1" t="s">
        <v>4672</v>
      </c>
      <c r="AE302" s="1" t="s">
        <v>4673</v>
      </c>
      <c r="AF302" s="1" t="s">
        <v>4674</v>
      </c>
      <c r="AG302" s="1" t="s">
        <v>1507</v>
      </c>
      <c r="AH302" s="1">
        <v>105</v>
      </c>
      <c r="AI302" s="1">
        <v>38</v>
      </c>
      <c r="AJ302" s="1">
        <v>38</v>
      </c>
      <c r="AK302" s="1">
        <v>79</v>
      </c>
      <c r="AL302" s="1">
        <v>132</v>
      </c>
      <c r="AM302" s="1" t="s">
        <v>1579</v>
      </c>
      <c r="AN302" s="1" t="s">
        <v>1580</v>
      </c>
      <c r="AO302" s="1" t="s">
        <v>1581</v>
      </c>
      <c r="AP302" s="1" t="s">
        <v>2673</v>
      </c>
      <c r="AQ302" s="1" t="s">
        <v>2674</v>
      </c>
      <c r="AR302" s="1" t="s">
        <v>1507</v>
      </c>
      <c r="AS302" s="1" t="s">
        <v>2675</v>
      </c>
      <c r="AT302" s="1" t="s">
        <v>2676</v>
      </c>
      <c r="AU302" s="1" t="s">
        <v>2771</v>
      </c>
      <c r="AV302" s="1">
        <v>2023</v>
      </c>
      <c r="AW302" s="1">
        <v>99</v>
      </c>
      <c r="AX302" s="1" t="s">
        <v>1507</v>
      </c>
      <c r="AY302" s="1" t="s">
        <v>1507</v>
      </c>
      <c r="AZ302" s="1" t="s">
        <v>1507</v>
      </c>
      <c r="BA302" s="1" t="s">
        <v>1507</v>
      </c>
      <c r="BB302" s="1" t="s">
        <v>1507</v>
      </c>
      <c r="BC302" s="1" t="s">
        <v>1507</v>
      </c>
      <c r="BD302" s="1" t="s">
        <v>1507</v>
      </c>
      <c r="BE302" s="1">
        <v>101861</v>
      </c>
      <c r="BF302" s="1" t="s">
        <v>4675</v>
      </c>
      <c r="BG302" s="1" t="str">
        <f>HYPERLINK("http://dx.doi.org/10.1016/j.inffus.2023.101861","http://dx.doi.org/10.1016/j.inffus.2023.101861")</f>
        <v>http://dx.doi.org/10.1016/j.inffus.2023.101861</v>
      </c>
      <c r="BH302" s="1" t="s">
        <v>1507</v>
      </c>
      <c r="BI302" s="1" t="s">
        <v>4630</v>
      </c>
      <c r="BJ302" s="1">
        <v>37</v>
      </c>
      <c r="BK302" s="1" t="s">
        <v>2678</v>
      </c>
      <c r="BL302" s="1" t="s">
        <v>1573</v>
      </c>
      <c r="BM302" s="1" t="s">
        <v>1577</v>
      </c>
      <c r="BN302" s="1" t="s">
        <v>4676</v>
      </c>
      <c r="BO302" s="1" t="s">
        <v>1507</v>
      </c>
      <c r="BP302" s="1" t="s">
        <v>2574</v>
      </c>
      <c r="BQ302" s="1" t="s">
        <v>1507</v>
      </c>
      <c r="BR302" s="1" t="s">
        <v>1507</v>
      </c>
      <c r="BS302" s="1" t="s">
        <v>13744</v>
      </c>
      <c r="BT302" s="1" t="s">
        <v>4677</v>
      </c>
      <c r="BU302" s="1" t="str">
        <f>HYPERLINK("https%3A%2F%2Fwww.webofscience.com%2Fwos%2Fwoscc%2Ffull-record%2FWOS:001025183100001","View Full Record in Web of Science")</f>
        <v>View Full Record in Web of Science</v>
      </c>
    </row>
    <row r="303" spans="1:73" x14ac:dyDescent="0.25">
      <c r="A303" s="1">
        <v>302</v>
      </c>
      <c r="B303" s="1" t="s">
        <v>1506</v>
      </c>
      <c r="C303" s="1" t="s">
        <v>3669</v>
      </c>
      <c r="D303" s="1" t="s">
        <v>1507</v>
      </c>
      <c r="E303" s="1" t="s">
        <v>1507</v>
      </c>
      <c r="F303" s="1" t="s">
        <v>1507</v>
      </c>
      <c r="G303" s="1" t="s">
        <v>3670</v>
      </c>
      <c r="H303" s="1" t="s">
        <v>1507</v>
      </c>
      <c r="I303" s="1" t="s">
        <v>1507</v>
      </c>
      <c r="J303" s="1" t="s">
        <v>3671</v>
      </c>
      <c r="K303" s="1" t="s">
        <v>3672</v>
      </c>
      <c r="L303" s="1" t="s">
        <v>1507</v>
      </c>
      <c r="M303" s="1" t="s">
        <v>1507</v>
      </c>
      <c r="N303" s="1" t="s">
        <v>42</v>
      </c>
      <c r="O303" s="1" t="s">
        <v>56</v>
      </c>
      <c r="P303" s="1" t="s">
        <v>1507</v>
      </c>
      <c r="Q303" s="1" t="s">
        <v>1507</v>
      </c>
      <c r="R303" s="1" t="s">
        <v>1507</v>
      </c>
      <c r="S303" s="1" t="s">
        <v>1507</v>
      </c>
      <c r="T303" s="1" t="s">
        <v>1507</v>
      </c>
      <c r="U303" s="1" t="s">
        <v>3673</v>
      </c>
      <c r="V303" s="1" t="s">
        <v>3674</v>
      </c>
      <c r="W303" s="1" t="s">
        <v>3675</v>
      </c>
      <c r="X303" s="1" t="s">
        <v>3676</v>
      </c>
      <c r="Y303" s="1" t="s">
        <v>14460</v>
      </c>
      <c r="Z303" s="1" t="s">
        <v>3677</v>
      </c>
      <c r="AA303" s="1" t="s">
        <v>3678</v>
      </c>
      <c r="AB303" s="1" t="s">
        <v>3679</v>
      </c>
      <c r="AC303" s="1" t="s">
        <v>3680</v>
      </c>
      <c r="AD303" s="1" t="s">
        <v>3681</v>
      </c>
      <c r="AE303" s="1" t="s">
        <v>3682</v>
      </c>
      <c r="AF303" s="1" t="s">
        <v>3683</v>
      </c>
      <c r="AG303" s="1" t="s">
        <v>1507</v>
      </c>
      <c r="AH303" s="1">
        <v>27</v>
      </c>
      <c r="AI303" s="1">
        <v>1</v>
      </c>
      <c r="AJ303" s="1">
        <v>1</v>
      </c>
      <c r="AK303" s="1">
        <v>12</v>
      </c>
      <c r="AL303" s="1">
        <v>12</v>
      </c>
      <c r="AM303" s="1" t="s">
        <v>1586</v>
      </c>
      <c r="AN303" s="1" t="s">
        <v>1583</v>
      </c>
      <c r="AO303" s="1" t="s">
        <v>3684</v>
      </c>
      <c r="AP303" s="1" t="s">
        <v>3685</v>
      </c>
      <c r="AQ303" s="1" t="s">
        <v>1507</v>
      </c>
      <c r="AR303" s="1" t="s">
        <v>1507</v>
      </c>
      <c r="AS303" s="1" t="s">
        <v>3686</v>
      </c>
      <c r="AT303" s="1" t="s">
        <v>3687</v>
      </c>
      <c r="AU303" s="1" t="s">
        <v>2191</v>
      </c>
      <c r="AV303" s="1">
        <v>2023</v>
      </c>
      <c r="AW303" s="1">
        <v>9</v>
      </c>
      <c r="AX303" s="1" t="s">
        <v>1507</v>
      </c>
      <c r="AY303" s="1" t="s">
        <v>1507</v>
      </c>
      <c r="AZ303" s="1" t="s">
        <v>1507</v>
      </c>
      <c r="BA303" s="1" t="s">
        <v>1507</v>
      </c>
      <c r="BB303" s="1" t="s">
        <v>1507</v>
      </c>
      <c r="BC303" s="1" t="s">
        <v>1507</v>
      </c>
      <c r="BD303" s="1" t="s">
        <v>1507</v>
      </c>
      <c r="BE303" s="1">
        <v>100126</v>
      </c>
      <c r="BF303" s="1" t="s">
        <v>3688</v>
      </c>
      <c r="BG303" s="1" t="str">
        <f>HYPERLINK("http://dx.doi.org/10.1016/j.dche.2023.100126","http://dx.doi.org/10.1016/j.dche.2023.100126")</f>
        <v>http://dx.doi.org/10.1016/j.dche.2023.100126</v>
      </c>
      <c r="BH303" s="1" t="s">
        <v>1507</v>
      </c>
      <c r="BI303" s="1" t="s">
        <v>3689</v>
      </c>
      <c r="BJ303" s="1">
        <v>11</v>
      </c>
      <c r="BK303" s="1" t="s">
        <v>3690</v>
      </c>
      <c r="BL303" s="1" t="s">
        <v>1529</v>
      </c>
      <c r="BM303" s="1" t="s">
        <v>3691</v>
      </c>
      <c r="BN303" s="1" t="s">
        <v>3692</v>
      </c>
      <c r="BO303" s="1" t="s">
        <v>1507</v>
      </c>
      <c r="BP303" s="1" t="s">
        <v>1531</v>
      </c>
      <c r="BQ303" s="1" t="s">
        <v>1507</v>
      </c>
      <c r="BR303" s="1" t="s">
        <v>1507</v>
      </c>
      <c r="BS303" s="1" t="s">
        <v>13744</v>
      </c>
      <c r="BT303" s="1" t="s">
        <v>3693</v>
      </c>
      <c r="BU303" s="1" t="str">
        <f>HYPERLINK("https%3A%2F%2Fwww.webofscience.com%2Fwos%2Fwoscc%2Ffull-record%2FWOS:001097784400001","View Full Record in Web of Science")</f>
        <v>View Full Record in Web of Science</v>
      </c>
    </row>
    <row r="304" spans="1:73" x14ac:dyDescent="0.25">
      <c r="A304" s="1">
        <v>303</v>
      </c>
      <c r="B304" s="1" t="s">
        <v>1506</v>
      </c>
      <c r="C304" s="1" t="s">
        <v>6780</v>
      </c>
      <c r="D304" s="1" t="s">
        <v>1507</v>
      </c>
      <c r="E304" s="1" t="s">
        <v>1507</v>
      </c>
      <c r="F304" s="1" t="s">
        <v>1507</v>
      </c>
      <c r="G304" s="1" t="s">
        <v>6781</v>
      </c>
      <c r="H304" s="1" t="s">
        <v>1507</v>
      </c>
      <c r="I304" s="1" t="s">
        <v>1507</v>
      </c>
      <c r="J304" s="1" t="s">
        <v>6782</v>
      </c>
      <c r="K304" s="1" t="s">
        <v>6783</v>
      </c>
      <c r="L304" s="1" t="s">
        <v>1507</v>
      </c>
      <c r="M304" s="1" t="s">
        <v>1507</v>
      </c>
      <c r="N304" s="1" t="s">
        <v>42</v>
      </c>
      <c r="O304" s="1" t="s">
        <v>1509</v>
      </c>
      <c r="P304" s="1" t="s">
        <v>1507</v>
      </c>
      <c r="Q304" s="1" t="s">
        <v>1507</v>
      </c>
      <c r="R304" s="1" t="s">
        <v>1507</v>
      </c>
      <c r="S304" s="1" t="s">
        <v>1507</v>
      </c>
      <c r="T304" s="1" t="s">
        <v>1507</v>
      </c>
      <c r="U304" s="1" t="s">
        <v>1507</v>
      </c>
      <c r="V304" s="1" t="s">
        <v>6784</v>
      </c>
      <c r="W304" s="1" t="s">
        <v>6785</v>
      </c>
      <c r="X304" s="1" t="s">
        <v>6786</v>
      </c>
      <c r="Y304" s="1" t="s">
        <v>6787</v>
      </c>
      <c r="Z304" s="1" t="s">
        <v>6788</v>
      </c>
      <c r="AA304" s="1" t="s">
        <v>1507</v>
      </c>
      <c r="AB304" s="1" t="s">
        <v>5251</v>
      </c>
      <c r="AC304" s="1" t="s">
        <v>6789</v>
      </c>
      <c r="AD304" s="1" t="s">
        <v>6790</v>
      </c>
      <c r="AE304" s="1" t="s">
        <v>6791</v>
      </c>
      <c r="AF304" s="1" t="s">
        <v>6792</v>
      </c>
      <c r="AG304" s="1" t="s">
        <v>1507</v>
      </c>
      <c r="AH304" s="1">
        <v>39</v>
      </c>
      <c r="AI304" s="1">
        <v>1</v>
      </c>
      <c r="AJ304" s="1">
        <v>1</v>
      </c>
      <c r="AK304" s="1">
        <v>3</v>
      </c>
      <c r="AL304" s="1">
        <v>10</v>
      </c>
      <c r="AM304" s="1" t="s">
        <v>2372</v>
      </c>
      <c r="AN304" s="1" t="s">
        <v>2300</v>
      </c>
      <c r="AO304" s="1" t="s">
        <v>2373</v>
      </c>
      <c r="AP304" s="1" t="s">
        <v>6793</v>
      </c>
      <c r="AQ304" s="1" t="s">
        <v>6794</v>
      </c>
      <c r="AR304" s="1" t="s">
        <v>1507</v>
      </c>
      <c r="AS304" s="1" t="s">
        <v>6795</v>
      </c>
      <c r="AT304" s="1" t="s">
        <v>6796</v>
      </c>
      <c r="AU304" s="1" t="s">
        <v>6797</v>
      </c>
      <c r="AV304" s="1">
        <v>2022</v>
      </c>
      <c r="AW304" s="1" t="s">
        <v>1507</v>
      </c>
      <c r="AX304" s="1" t="s">
        <v>1507</v>
      </c>
      <c r="AY304" s="1" t="s">
        <v>1507</v>
      </c>
      <c r="AZ304" s="1" t="s">
        <v>1507</v>
      </c>
      <c r="BA304" s="1" t="s">
        <v>1507</v>
      </c>
      <c r="BB304" s="1" t="s">
        <v>1507</v>
      </c>
      <c r="BC304" s="1" t="s">
        <v>1507</v>
      </c>
      <c r="BD304" s="1" t="s">
        <v>1507</v>
      </c>
      <c r="BE304" s="1" t="s">
        <v>1507</v>
      </c>
      <c r="BF304" s="1" t="s">
        <v>6798</v>
      </c>
      <c r="BG304" s="1" t="str">
        <f>HYPERLINK("http://dx.doi.org/10.1021/acs.analchem.2c03972","http://dx.doi.org/10.1021/acs.analchem.2c03972")</f>
        <v>http://dx.doi.org/10.1021/acs.analchem.2c03972</v>
      </c>
      <c r="BH304" s="1" t="s">
        <v>1507</v>
      </c>
      <c r="BI304" s="1" t="s">
        <v>6799</v>
      </c>
      <c r="BJ304" s="1">
        <v>9</v>
      </c>
      <c r="BK304" s="1" t="s">
        <v>6800</v>
      </c>
      <c r="BL304" s="1" t="s">
        <v>1573</v>
      </c>
      <c r="BM304" s="1" t="s">
        <v>2380</v>
      </c>
      <c r="BN304" s="1" t="s">
        <v>6801</v>
      </c>
      <c r="BO304" s="1">
        <v>36418227</v>
      </c>
      <c r="BP304" s="1" t="s">
        <v>1507</v>
      </c>
      <c r="BQ304" s="1" t="s">
        <v>1507</v>
      </c>
      <c r="BR304" s="1" t="s">
        <v>1507</v>
      </c>
      <c r="BS304" s="1" t="s">
        <v>13744</v>
      </c>
      <c r="BT304" s="1" t="s">
        <v>6802</v>
      </c>
      <c r="BU304" s="1" t="str">
        <f>HYPERLINK("https%3A%2F%2Fwww.webofscience.com%2Fwos%2Fwoscc%2Ffull-record%2FWOS:000892860100001","View Full Record in Web of Science")</f>
        <v>View Full Record in Web of Science</v>
      </c>
    </row>
    <row r="305" spans="1:73" x14ac:dyDescent="0.25">
      <c r="A305" s="1">
        <v>304</v>
      </c>
      <c r="B305" s="1" t="s">
        <v>1506</v>
      </c>
      <c r="C305" s="1" t="s">
        <v>8429</v>
      </c>
      <c r="D305" s="1" t="s">
        <v>1507</v>
      </c>
      <c r="E305" s="1" t="s">
        <v>1507</v>
      </c>
      <c r="F305" s="1" t="s">
        <v>1507</v>
      </c>
      <c r="G305" s="1" t="s">
        <v>8430</v>
      </c>
      <c r="H305" s="1" t="s">
        <v>1507</v>
      </c>
      <c r="I305" s="1" t="s">
        <v>1507</v>
      </c>
      <c r="J305" s="1" t="s">
        <v>8431</v>
      </c>
      <c r="K305" s="1" t="s">
        <v>6783</v>
      </c>
      <c r="L305" s="1" t="s">
        <v>1507</v>
      </c>
      <c r="M305" s="1" t="s">
        <v>1507</v>
      </c>
      <c r="N305" s="1" t="s">
        <v>42</v>
      </c>
      <c r="O305" s="1" t="s">
        <v>56</v>
      </c>
      <c r="P305" s="1" t="s">
        <v>1507</v>
      </c>
      <c r="Q305" s="1" t="s">
        <v>1507</v>
      </c>
      <c r="R305" s="1" t="s">
        <v>1507</v>
      </c>
      <c r="S305" s="1" t="s">
        <v>1507</v>
      </c>
      <c r="T305" s="1" t="s">
        <v>1507</v>
      </c>
      <c r="U305" s="1" t="s">
        <v>1507</v>
      </c>
      <c r="V305" s="1" t="s">
        <v>8432</v>
      </c>
      <c r="W305" s="1" t="s">
        <v>8433</v>
      </c>
      <c r="X305" s="1" t="s">
        <v>8434</v>
      </c>
      <c r="Y305" s="1" t="s">
        <v>8435</v>
      </c>
      <c r="Z305" s="1" t="s">
        <v>8436</v>
      </c>
      <c r="AA305" s="1" t="s">
        <v>6852</v>
      </c>
      <c r="AB305" s="1" t="s">
        <v>15728</v>
      </c>
      <c r="AC305" s="1" t="s">
        <v>15729</v>
      </c>
      <c r="AD305" s="1" t="s">
        <v>8437</v>
      </c>
      <c r="AE305" s="1" t="s">
        <v>8438</v>
      </c>
      <c r="AF305" s="1" t="s">
        <v>8439</v>
      </c>
      <c r="AG305" s="1" t="s">
        <v>1507</v>
      </c>
      <c r="AH305" s="1">
        <v>79</v>
      </c>
      <c r="AI305" s="1">
        <v>8</v>
      </c>
      <c r="AJ305" s="1">
        <v>9</v>
      </c>
      <c r="AK305" s="1">
        <v>4</v>
      </c>
      <c r="AL305" s="1">
        <v>26</v>
      </c>
      <c r="AM305" s="1" t="s">
        <v>2372</v>
      </c>
      <c r="AN305" s="1" t="s">
        <v>2300</v>
      </c>
      <c r="AO305" s="1" t="s">
        <v>2373</v>
      </c>
      <c r="AP305" s="1" t="s">
        <v>6793</v>
      </c>
      <c r="AQ305" s="1" t="s">
        <v>6794</v>
      </c>
      <c r="AR305" s="1" t="s">
        <v>1507</v>
      </c>
      <c r="AS305" s="1" t="s">
        <v>6795</v>
      </c>
      <c r="AT305" s="1" t="s">
        <v>6796</v>
      </c>
      <c r="AU305" s="1" t="s">
        <v>12092</v>
      </c>
      <c r="AV305" s="1">
        <v>2021</v>
      </c>
      <c r="AW305" s="1">
        <v>93</v>
      </c>
      <c r="AX305" s="1">
        <v>27</v>
      </c>
      <c r="AY305" s="1" t="s">
        <v>1507</v>
      </c>
      <c r="AZ305" s="1" t="s">
        <v>1507</v>
      </c>
      <c r="BA305" s="1" t="s">
        <v>1507</v>
      </c>
      <c r="BB305" s="1" t="s">
        <v>1507</v>
      </c>
      <c r="BC305" s="1">
        <v>9418</v>
      </c>
      <c r="BD305" s="1">
        <v>9427</v>
      </c>
      <c r="BE305" s="1" t="s">
        <v>1507</v>
      </c>
      <c r="BF305" s="1" t="s">
        <v>8440</v>
      </c>
      <c r="BG305" s="1" t="str">
        <f>HYPERLINK("http://dx.doi.org/10.1021/acs.analchem.1c01018","http://dx.doi.org/10.1021/acs.analchem.1c01018")</f>
        <v>http://dx.doi.org/10.1021/acs.analchem.1c01018</v>
      </c>
      <c r="BH305" s="1" t="s">
        <v>1507</v>
      </c>
      <c r="BI305" s="1" t="s">
        <v>8441</v>
      </c>
      <c r="BJ305" s="1">
        <v>10</v>
      </c>
      <c r="BK305" s="1" t="s">
        <v>6800</v>
      </c>
      <c r="BL305" s="1" t="s">
        <v>1573</v>
      </c>
      <c r="BM305" s="1" t="s">
        <v>2380</v>
      </c>
      <c r="BN305" s="1" t="s">
        <v>8442</v>
      </c>
      <c r="BO305" s="1">
        <v>34170684</v>
      </c>
      <c r="BP305" s="1" t="s">
        <v>1507</v>
      </c>
      <c r="BQ305" s="1" t="s">
        <v>1507</v>
      </c>
      <c r="BR305" s="1" t="s">
        <v>1507</v>
      </c>
      <c r="BS305" s="1" t="s">
        <v>13744</v>
      </c>
      <c r="BT305" s="1" t="s">
        <v>8443</v>
      </c>
      <c r="BU305" s="1" t="str">
        <f>HYPERLINK("https%3A%2F%2Fwww.webofscience.com%2Fwos%2Fwoscc%2Ffull-record%2FWOS:000674254900016","View Full Record in Web of Science")</f>
        <v>View Full Record in Web of Science</v>
      </c>
    </row>
    <row r="306" spans="1:73" x14ac:dyDescent="0.25">
      <c r="A306" s="1">
        <v>305</v>
      </c>
      <c r="B306" s="1" t="s">
        <v>1506</v>
      </c>
      <c r="C306" s="1" t="s">
        <v>2019</v>
      </c>
      <c r="D306" s="1" t="s">
        <v>1507</v>
      </c>
      <c r="E306" s="1" t="s">
        <v>1507</v>
      </c>
      <c r="F306" s="1" t="s">
        <v>1507</v>
      </c>
      <c r="G306" s="1" t="s">
        <v>2020</v>
      </c>
      <c r="H306" s="1" t="s">
        <v>1507</v>
      </c>
      <c r="I306" s="1" t="s">
        <v>1507</v>
      </c>
      <c r="J306" s="1" t="s">
        <v>2021</v>
      </c>
      <c r="K306" s="1" t="s">
        <v>2022</v>
      </c>
      <c r="L306" s="1" t="s">
        <v>1507</v>
      </c>
      <c r="M306" s="1" t="s">
        <v>1507</v>
      </c>
      <c r="N306" s="1" t="s">
        <v>42</v>
      </c>
      <c r="O306" s="1" t="s">
        <v>56</v>
      </c>
      <c r="P306" s="1" t="s">
        <v>1507</v>
      </c>
      <c r="Q306" s="1" t="s">
        <v>1507</v>
      </c>
      <c r="R306" s="1" t="s">
        <v>1507</v>
      </c>
      <c r="S306" s="1" t="s">
        <v>1507</v>
      </c>
      <c r="T306" s="1" t="s">
        <v>1507</v>
      </c>
      <c r="U306" s="1" t="s">
        <v>1507</v>
      </c>
      <c r="V306" s="1" t="s">
        <v>2023</v>
      </c>
      <c r="W306" s="1" t="s">
        <v>2024</v>
      </c>
      <c r="X306" s="1" t="s">
        <v>2025</v>
      </c>
      <c r="Y306" s="1" t="s">
        <v>2026</v>
      </c>
      <c r="Z306" s="1" t="s">
        <v>2027</v>
      </c>
      <c r="AA306" s="1" t="s">
        <v>2028</v>
      </c>
      <c r="AB306" s="1" t="s">
        <v>1507</v>
      </c>
      <c r="AC306" s="1" t="s">
        <v>2029</v>
      </c>
      <c r="AD306" s="1" t="s">
        <v>2030</v>
      </c>
      <c r="AE306" s="1" t="s">
        <v>2031</v>
      </c>
      <c r="AF306" s="1" t="s">
        <v>2032</v>
      </c>
      <c r="AG306" s="1" t="s">
        <v>1507</v>
      </c>
      <c r="AH306" s="1">
        <v>57</v>
      </c>
      <c r="AI306" s="1">
        <v>0</v>
      </c>
      <c r="AJ306" s="1">
        <v>0</v>
      </c>
      <c r="AK306" s="1">
        <v>1</v>
      </c>
      <c r="AL306" s="1">
        <v>1</v>
      </c>
      <c r="AM306" s="1" t="s">
        <v>2033</v>
      </c>
      <c r="AN306" s="1" t="s">
        <v>1523</v>
      </c>
      <c r="AO306" s="1" t="s">
        <v>2034</v>
      </c>
      <c r="AP306" s="1" t="s">
        <v>2035</v>
      </c>
      <c r="AQ306" s="1" t="s">
        <v>1507</v>
      </c>
      <c r="AR306" s="1" t="s">
        <v>1507</v>
      </c>
      <c r="AS306" s="1" t="s">
        <v>2022</v>
      </c>
      <c r="AT306" s="1" t="s">
        <v>2036</v>
      </c>
      <c r="AU306" s="1" t="s">
        <v>2014</v>
      </c>
      <c r="AV306" s="1">
        <v>2023</v>
      </c>
      <c r="AW306" s="1">
        <v>4</v>
      </c>
      <c r="AX306" s="1">
        <v>12</v>
      </c>
      <c r="AY306" s="1" t="s">
        <v>1507</v>
      </c>
      <c r="AZ306" s="1" t="s">
        <v>1507</v>
      </c>
      <c r="BA306" s="1" t="s">
        <v>1507</v>
      </c>
      <c r="BB306" s="1" t="s">
        <v>1507</v>
      </c>
      <c r="BC306" s="1" t="s">
        <v>1507</v>
      </c>
      <c r="BD306" s="1" t="s">
        <v>1507</v>
      </c>
      <c r="BE306" s="1">
        <v>100865</v>
      </c>
      <c r="BF306" s="1" t="s">
        <v>2037</v>
      </c>
      <c r="BG306" s="1" t="str">
        <f>HYPERLINK("http://dx.doi.org/10.1016/j.patter.2023.100865","http://dx.doi.org/10.1016/j.patter.2023.100865")</f>
        <v>http://dx.doi.org/10.1016/j.patter.2023.100865</v>
      </c>
      <c r="BH306" s="1" t="s">
        <v>1507</v>
      </c>
      <c r="BI306" s="1" t="s">
        <v>1652</v>
      </c>
      <c r="BJ306" s="1">
        <v>13</v>
      </c>
      <c r="BK306" s="1" t="s">
        <v>2038</v>
      </c>
      <c r="BL306" s="1" t="s">
        <v>1529</v>
      </c>
      <c r="BM306" s="1" t="s">
        <v>1577</v>
      </c>
      <c r="BN306" s="1" t="s">
        <v>2039</v>
      </c>
      <c r="BO306" s="1">
        <v>38106612</v>
      </c>
      <c r="BP306" s="1" t="s">
        <v>3433</v>
      </c>
      <c r="BQ306" s="1" t="s">
        <v>1507</v>
      </c>
      <c r="BR306" s="1" t="s">
        <v>1507</v>
      </c>
      <c r="BS306" s="1" t="s">
        <v>13744</v>
      </c>
      <c r="BT306" s="1" t="s">
        <v>2041</v>
      </c>
      <c r="BU306" s="1" t="str">
        <f>HYPERLINK("https%3A%2F%2Fwww.webofscience.com%2Fwos%2Fwoscc%2Ffull-record%2FWOS:001133582500001","View Full Record in Web of Science")</f>
        <v>View Full Record in Web of Science</v>
      </c>
    </row>
    <row r="307" spans="1:73" x14ac:dyDescent="0.25">
      <c r="A307" s="1">
        <v>306</v>
      </c>
      <c r="B307" s="1" t="s">
        <v>1506</v>
      </c>
      <c r="C307" s="1" t="s">
        <v>14638</v>
      </c>
      <c r="D307" s="1" t="s">
        <v>1507</v>
      </c>
      <c r="E307" s="1" t="s">
        <v>1507</v>
      </c>
      <c r="F307" s="1" t="s">
        <v>1507</v>
      </c>
      <c r="G307" s="1" t="s">
        <v>14639</v>
      </c>
      <c r="H307" s="1" t="s">
        <v>1507</v>
      </c>
      <c r="I307" s="1" t="s">
        <v>1507</v>
      </c>
      <c r="J307" s="1" t="s">
        <v>14640</v>
      </c>
      <c r="K307" s="1" t="s">
        <v>4595</v>
      </c>
      <c r="L307" s="1" t="s">
        <v>1507</v>
      </c>
      <c r="M307" s="1" t="s">
        <v>1507</v>
      </c>
      <c r="N307" s="1" t="s">
        <v>42</v>
      </c>
      <c r="O307" s="1" t="s">
        <v>13950</v>
      </c>
      <c r="P307" s="1" t="s">
        <v>1507</v>
      </c>
      <c r="Q307" s="1" t="s">
        <v>1507</v>
      </c>
      <c r="R307" s="1" t="s">
        <v>1507</v>
      </c>
      <c r="S307" s="1" t="s">
        <v>1507</v>
      </c>
      <c r="T307" s="1" t="s">
        <v>1507</v>
      </c>
      <c r="U307" s="1" t="s">
        <v>1507</v>
      </c>
      <c r="V307" s="1" t="s">
        <v>1507</v>
      </c>
      <c r="W307" s="1" t="s">
        <v>1507</v>
      </c>
      <c r="X307" s="1" t="s">
        <v>14641</v>
      </c>
      <c r="Y307" s="1" t="s">
        <v>14642</v>
      </c>
      <c r="Z307" s="1" t="s">
        <v>14643</v>
      </c>
      <c r="AA307" s="1" t="s">
        <v>14644</v>
      </c>
      <c r="AB307" s="1" t="s">
        <v>1507</v>
      </c>
      <c r="AC307" s="1" t="s">
        <v>14645</v>
      </c>
      <c r="AD307" s="1" t="s">
        <v>14646</v>
      </c>
      <c r="AE307" s="1" t="s">
        <v>14647</v>
      </c>
      <c r="AF307" s="1" t="s">
        <v>14648</v>
      </c>
      <c r="AG307" s="1" t="s">
        <v>1507</v>
      </c>
      <c r="AH307" s="1">
        <v>7</v>
      </c>
      <c r="AI307" s="1">
        <v>10</v>
      </c>
      <c r="AJ307" s="1">
        <v>10</v>
      </c>
      <c r="AK307" s="1">
        <v>49</v>
      </c>
      <c r="AL307" s="1">
        <v>51</v>
      </c>
      <c r="AM307" s="1" t="s">
        <v>4605</v>
      </c>
      <c r="AN307" s="1" t="s">
        <v>4606</v>
      </c>
      <c r="AO307" s="1" t="s">
        <v>4607</v>
      </c>
      <c r="AP307" s="1" t="s">
        <v>4608</v>
      </c>
      <c r="AQ307" s="1" t="s">
        <v>1507</v>
      </c>
      <c r="AR307" s="1" t="s">
        <v>1507</v>
      </c>
      <c r="AS307" s="1" t="s">
        <v>4595</v>
      </c>
      <c r="AT307" s="1" t="s">
        <v>366</v>
      </c>
      <c r="AU307" s="1" t="s">
        <v>4556</v>
      </c>
      <c r="AV307" s="1">
        <v>2023</v>
      </c>
      <c r="AW307" s="1">
        <v>308</v>
      </c>
      <c r="AX307" s="1">
        <v>1</v>
      </c>
      <c r="AY307" s="1" t="s">
        <v>1507</v>
      </c>
      <c r="AZ307" s="1" t="s">
        <v>1507</v>
      </c>
      <c r="BA307" s="1" t="s">
        <v>1507</v>
      </c>
      <c r="BB307" s="1" t="s">
        <v>1507</v>
      </c>
      <c r="BC307" s="1" t="s">
        <v>1507</v>
      </c>
      <c r="BD307" s="1" t="s">
        <v>1507</v>
      </c>
      <c r="BE307" s="1" t="s">
        <v>14649</v>
      </c>
      <c r="BF307" s="1" t="s">
        <v>14650</v>
      </c>
      <c r="BG307" s="1" t="str">
        <f>HYPERLINK("http://dx.doi.org/10.1148/radiol.231167","http://dx.doi.org/10.1148/radiol.231167")</f>
        <v>http://dx.doi.org/10.1148/radiol.231167</v>
      </c>
      <c r="BH307" s="1" t="s">
        <v>1507</v>
      </c>
      <c r="BI307" s="1" t="s">
        <v>1507</v>
      </c>
      <c r="BJ307" s="1">
        <v>3</v>
      </c>
      <c r="BK307" s="1" t="s">
        <v>1653</v>
      </c>
      <c r="BL307" s="1" t="s">
        <v>1573</v>
      </c>
      <c r="BM307" s="1" t="s">
        <v>1653</v>
      </c>
      <c r="BN307" s="1" t="s">
        <v>4609</v>
      </c>
      <c r="BO307" s="1">
        <v>37404149</v>
      </c>
      <c r="BP307" s="1" t="s">
        <v>1507</v>
      </c>
      <c r="BQ307" s="1" t="s">
        <v>1507</v>
      </c>
      <c r="BR307" s="1" t="s">
        <v>1507</v>
      </c>
      <c r="BS307" s="1" t="s">
        <v>13744</v>
      </c>
      <c r="BT307" s="1" t="s">
        <v>14651</v>
      </c>
      <c r="BU307" s="1" t="str">
        <f>HYPERLINK("https%3A%2F%2Fwww.webofscience.com%2Fwos%2Fwoscc%2Ffull-record%2FWOS:001068217100033","View Full Record in Web of Science")</f>
        <v>View Full Record in Web of Science</v>
      </c>
    </row>
    <row r="308" spans="1:73" x14ac:dyDescent="0.25">
      <c r="A308" s="1">
        <v>307</v>
      </c>
      <c r="B308" s="1" t="s">
        <v>1506</v>
      </c>
      <c r="C308" s="1" t="s">
        <v>8581</v>
      </c>
      <c r="D308" s="1" t="s">
        <v>1507</v>
      </c>
      <c r="E308" s="1" t="s">
        <v>1507</v>
      </c>
      <c r="F308" s="1" t="s">
        <v>1507</v>
      </c>
      <c r="G308" s="1" t="s">
        <v>8582</v>
      </c>
      <c r="H308" s="1" t="s">
        <v>1507</v>
      </c>
      <c r="I308" s="1" t="s">
        <v>1507</v>
      </c>
      <c r="J308" s="1" t="s">
        <v>8583</v>
      </c>
      <c r="K308" s="1" t="s">
        <v>8584</v>
      </c>
      <c r="L308" s="1" t="s">
        <v>1507</v>
      </c>
      <c r="M308" s="1" t="s">
        <v>1507</v>
      </c>
      <c r="N308" s="1" t="s">
        <v>42</v>
      </c>
      <c r="O308" s="1" t="s">
        <v>56</v>
      </c>
      <c r="P308" s="1" t="s">
        <v>1507</v>
      </c>
      <c r="Q308" s="1" t="s">
        <v>1507</v>
      </c>
      <c r="R308" s="1" t="s">
        <v>1507</v>
      </c>
      <c r="S308" s="1" t="s">
        <v>1507</v>
      </c>
      <c r="T308" s="1" t="s">
        <v>1507</v>
      </c>
      <c r="U308" s="1" t="s">
        <v>8585</v>
      </c>
      <c r="V308" s="1" t="s">
        <v>1507</v>
      </c>
      <c r="W308" s="1" t="s">
        <v>8586</v>
      </c>
      <c r="X308" s="1" t="s">
        <v>8587</v>
      </c>
      <c r="Y308" s="1" t="s">
        <v>8588</v>
      </c>
      <c r="Z308" s="1" t="s">
        <v>8589</v>
      </c>
      <c r="AA308" s="1" t="s">
        <v>8590</v>
      </c>
      <c r="AB308" s="1" t="s">
        <v>15739</v>
      </c>
      <c r="AC308" s="1" t="s">
        <v>15740</v>
      </c>
      <c r="AD308" s="1" t="s">
        <v>8591</v>
      </c>
      <c r="AE308" s="1" t="s">
        <v>8592</v>
      </c>
      <c r="AF308" s="1" t="s">
        <v>8593</v>
      </c>
      <c r="AG308" s="1" t="s">
        <v>1507</v>
      </c>
      <c r="AH308" s="1">
        <v>21</v>
      </c>
      <c r="AI308" s="1">
        <v>5</v>
      </c>
      <c r="AJ308" s="1">
        <v>6</v>
      </c>
      <c r="AK308" s="1">
        <v>0</v>
      </c>
      <c r="AL308" s="1">
        <v>1</v>
      </c>
      <c r="AM308" s="1" t="s">
        <v>8594</v>
      </c>
      <c r="AN308" s="1" t="s">
        <v>8595</v>
      </c>
      <c r="AO308" s="1" t="s">
        <v>8596</v>
      </c>
      <c r="AP308" s="1" t="s">
        <v>8597</v>
      </c>
      <c r="AQ308" s="1" t="s">
        <v>8598</v>
      </c>
      <c r="AR308" s="1" t="s">
        <v>1507</v>
      </c>
      <c r="AS308" s="1" t="s">
        <v>8584</v>
      </c>
      <c r="AT308" s="1" t="s">
        <v>8599</v>
      </c>
      <c r="AU308" s="1" t="s">
        <v>4848</v>
      </c>
      <c r="AV308" s="1">
        <v>2021</v>
      </c>
      <c r="AW308" s="1">
        <v>4980</v>
      </c>
      <c r="AX308" s="1">
        <v>1</v>
      </c>
      <c r="AY308" s="1" t="s">
        <v>1507</v>
      </c>
      <c r="AZ308" s="1" t="s">
        <v>1507</v>
      </c>
      <c r="BA308" s="1" t="s">
        <v>1507</v>
      </c>
      <c r="BB308" s="1" t="s">
        <v>1507</v>
      </c>
      <c r="BC308" s="1">
        <v>45</v>
      </c>
      <c r="BD308" s="1">
        <v>63</v>
      </c>
      <c r="BE308" s="1" t="s">
        <v>1507</v>
      </c>
      <c r="BF308" s="1" t="s">
        <v>8600</v>
      </c>
      <c r="BG308" s="1" t="str">
        <f>HYPERLINK("http://dx.doi.org/10.11646/zootaxa.4980.1.3","http://dx.doi.org/10.11646/zootaxa.4980.1.3")</f>
        <v>http://dx.doi.org/10.11646/zootaxa.4980.1.3</v>
      </c>
      <c r="BH308" s="1" t="s">
        <v>1507</v>
      </c>
      <c r="BI308" s="1" t="s">
        <v>1507</v>
      </c>
      <c r="BJ308" s="1">
        <v>19</v>
      </c>
      <c r="BK308" s="1" t="s">
        <v>8601</v>
      </c>
      <c r="BL308" s="1" t="s">
        <v>1573</v>
      </c>
      <c r="BM308" s="1" t="s">
        <v>8601</v>
      </c>
      <c r="BN308" s="1" t="s">
        <v>8602</v>
      </c>
      <c r="BO308" s="1">
        <v>34186992</v>
      </c>
      <c r="BP308" s="1" t="s">
        <v>1507</v>
      </c>
      <c r="BQ308" s="1" t="s">
        <v>1507</v>
      </c>
      <c r="BR308" s="1" t="s">
        <v>1507</v>
      </c>
      <c r="BS308" s="1" t="s">
        <v>13744</v>
      </c>
      <c r="BT308" s="1" t="s">
        <v>8603</v>
      </c>
      <c r="BU308" s="1" t="str">
        <f>HYPERLINK("https%3A%2F%2Fwww.webofscience.com%2Fwos%2Fwoscc%2Ffull-record%2FWOS:000659190800003","View Full Record in Web of Science")</f>
        <v>View Full Record in Web of Science</v>
      </c>
    </row>
    <row r="309" spans="1:73" x14ac:dyDescent="0.25">
      <c r="A309" s="1">
        <v>308</v>
      </c>
      <c r="B309" s="1" t="s">
        <v>1506</v>
      </c>
      <c r="C309" s="1" t="s">
        <v>11570</v>
      </c>
      <c r="D309" s="1" t="s">
        <v>1507</v>
      </c>
      <c r="E309" s="1" t="s">
        <v>1507</v>
      </c>
      <c r="F309" s="1" t="s">
        <v>1507</v>
      </c>
      <c r="G309" s="1" t="s">
        <v>11571</v>
      </c>
      <c r="H309" s="1" t="s">
        <v>1507</v>
      </c>
      <c r="I309" s="1" t="s">
        <v>1507</v>
      </c>
      <c r="J309" s="1" t="s">
        <v>11572</v>
      </c>
      <c r="K309" s="1" t="s">
        <v>11573</v>
      </c>
      <c r="L309" s="1" t="s">
        <v>1507</v>
      </c>
      <c r="M309" s="1" t="s">
        <v>1507</v>
      </c>
      <c r="N309" s="1" t="s">
        <v>42</v>
      </c>
      <c r="O309" s="1" t="s">
        <v>56</v>
      </c>
      <c r="P309" s="1" t="s">
        <v>1507</v>
      </c>
      <c r="Q309" s="1" t="s">
        <v>1507</v>
      </c>
      <c r="R309" s="1" t="s">
        <v>1507</v>
      </c>
      <c r="S309" s="1" t="s">
        <v>1507</v>
      </c>
      <c r="T309" s="1" t="s">
        <v>1507</v>
      </c>
      <c r="U309" s="1" t="s">
        <v>1507</v>
      </c>
      <c r="V309" s="1" t="s">
        <v>11574</v>
      </c>
      <c r="W309" s="1" t="s">
        <v>11575</v>
      </c>
      <c r="X309" s="1" t="s">
        <v>11576</v>
      </c>
      <c r="Y309" s="1" t="s">
        <v>11577</v>
      </c>
      <c r="Z309" s="1" t="s">
        <v>11578</v>
      </c>
      <c r="AA309" s="1" t="s">
        <v>11579</v>
      </c>
      <c r="AB309" s="1" t="s">
        <v>1507</v>
      </c>
      <c r="AC309" s="1" t="s">
        <v>1507</v>
      </c>
      <c r="AD309" s="1" t="s">
        <v>11580</v>
      </c>
      <c r="AE309" s="1" t="s">
        <v>11581</v>
      </c>
      <c r="AF309" s="1" t="s">
        <v>11582</v>
      </c>
      <c r="AG309" s="1" t="s">
        <v>1507</v>
      </c>
      <c r="AH309" s="1">
        <v>33</v>
      </c>
      <c r="AI309" s="1">
        <v>3</v>
      </c>
      <c r="AJ309" s="1">
        <v>3</v>
      </c>
      <c r="AK309" s="1">
        <v>0</v>
      </c>
      <c r="AL309" s="1">
        <v>1</v>
      </c>
      <c r="AM309" s="1" t="s">
        <v>1511</v>
      </c>
      <c r="AN309" s="1" t="s">
        <v>1512</v>
      </c>
      <c r="AO309" s="1" t="s">
        <v>8572</v>
      </c>
      <c r="AP309" s="1" t="s">
        <v>11583</v>
      </c>
      <c r="AQ309" s="1" t="s">
        <v>11584</v>
      </c>
      <c r="AR309" s="1" t="s">
        <v>1507</v>
      </c>
      <c r="AS309" s="1" t="s">
        <v>11585</v>
      </c>
      <c r="AT309" s="1" t="s">
        <v>11586</v>
      </c>
      <c r="AU309" s="1" t="s">
        <v>11587</v>
      </c>
      <c r="AV309" s="1">
        <v>2018</v>
      </c>
      <c r="AW309" s="1">
        <v>78</v>
      </c>
      <c r="AX309" s="1">
        <v>10</v>
      </c>
      <c r="AY309" s="1" t="s">
        <v>1507</v>
      </c>
      <c r="AZ309" s="1" t="s">
        <v>1507</v>
      </c>
      <c r="BA309" s="1" t="s">
        <v>1507</v>
      </c>
      <c r="BB309" s="1" t="s">
        <v>1507</v>
      </c>
      <c r="BC309" s="1" t="s">
        <v>1507</v>
      </c>
      <c r="BD309" s="1" t="s">
        <v>1507</v>
      </c>
      <c r="BE309" s="1">
        <v>856</v>
      </c>
      <c r="BF309" s="1" t="s">
        <v>11588</v>
      </c>
      <c r="BG309" s="1" t="str">
        <f>HYPERLINK("http://dx.doi.org/10.1140/epjc/s10052-018-6324-9","http://dx.doi.org/10.1140/epjc/s10052-018-6324-9")</f>
        <v>http://dx.doi.org/10.1140/epjc/s10052-018-6324-9</v>
      </c>
      <c r="BH309" s="1" t="s">
        <v>1507</v>
      </c>
      <c r="BI309" s="1" t="s">
        <v>1507</v>
      </c>
      <c r="BJ309" s="1">
        <v>16</v>
      </c>
      <c r="BK309" s="1" t="s">
        <v>2103</v>
      </c>
      <c r="BL309" s="1" t="s">
        <v>1573</v>
      </c>
      <c r="BM309" s="1" t="s">
        <v>2104</v>
      </c>
      <c r="BN309" s="1" t="s">
        <v>11589</v>
      </c>
      <c r="BO309" s="1" t="s">
        <v>1507</v>
      </c>
      <c r="BP309" s="1" t="s">
        <v>1547</v>
      </c>
      <c r="BQ309" s="1" t="s">
        <v>1507</v>
      </c>
      <c r="BR309" s="1" t="s">
        <v>1507</v>
      </c>
      <c r="BS309" s="1" t="s">
        <v>13744</v>
      </c>
      <c r="BT309" s="1" t="s">
        <v>11590</v>
      </c>
      <c r="BU309" s="1" t="str">
        <f>HYPERLINK("https%3A%2F%2Fwww.webofscience.com%2Fwos%2Fwoscc%2Ffull-record%2FWOS:000448427200002","View Full Record in Web of Science")</f>
        <v>View Full Record in Web of Science</v>
      </c>
    </row>
    <row r="310" spans="1:73" x14ac:dyDescent="0.25">
      <c r="A310" s="1">
        <v>309</v>
      </c>
      <c r="B310" s="1" t="s">
        <v>1506</v>
      </c>
      <c r="C310" s="1" t="s">
        <v>11570</v>
      </c>
      <c r="D310" s="1" t="s">
        <v>1507</v>
      </c>
      <c r="E310" s="1" t="s">
        <v>1507</v>
      </c>
      <c r="F310" s="1" t="s">
        <v>1507</v>
      </c>
      <c r="G310" s="1" t="s">
        <v>11571</v>
      </c>
      <c r="H310" s="1" t="s">
        <v>1507</v>
      </c>
      <c r="I310" s="1" t="s">
        <v>1507</v>
      </c>
      <c r="J310" s="1" t="s">
        <v>11738</v>
      </c>
      <c r="K310" s="1" t="s">
        <v>2087</v>
      </c>
      <c r="L310" s="1" t="s">
        <v>1507</v>
      </c>
      <c r="M310" s="1" t="s">
        <v>1507</v>
      </c>
      <c r="N310" s="1" t="s">
        <v>42</v>
      </c>
      <c r="O310" s="1" t="s">
        <v>56</v>
      </c>
      <c r="P310" s="1" t="s">
        <v>1507</v>
      </c>
      <c r="Q310" s="1" t="s">
        <v>1507</v>
      </c>
      <c r="R310" s="1" t="s">
        <v>1507</v>
      </c>
      <c r="S310" s="1" t="s">
        <v>1507</v>
      </c>
      <c r="T310" s="1" t="s">
        <v>1507</v>
      </c>
      <c r="U310" s="1" t="s">
        <v>11739</v>
      </c>
      <c r="V310" s="1" t="s">
        <v>11740</v>
      </c>
      <c r="W310" s="1" t="s">
        <v>11741</v>
      </c>
      <c r="X310" s="1" t="s">
        <v>11742</v>
      </c>
      <c r="Y310" s="1" t="s">
        <v>11743</v>
      </c>
      <c r="Z310" s="1" t="s">
        <v>11744</v>
      </c>
      <c r="AA310" s="1" t="s">
        <v>11579</v>
      </c>
      <c r="AB310" s="1" t="s">
        <v>1507</v>
      </c>
      <c r="AC310" s="1" t="s">
        <v>1507</v>
      </c>
      <c r="AD310" s="1" t="s">
        <v>11745</v>
      </c>
      <c r="AE310" s="1" t="s">
        <v>11581</v>
      </c>
      <c r="AF310" s="1" t="s">
        <v>11746</v>
      </c>
      <c r="AG310" s="1" t="s">
        <v>1507</v>
      </c>
      <c r="AH310" s="1">
        <v>67</v>
      </c>
      <c r="AI310" s="1">
        <v>8</v>
      </c>
      <c r="AJ310" s="1">
        <v>8</v>
      </c>
      <c r="AK310" s="1">
        <v>0</v>
      </c>
      <c r="AL310" s="1">
        <v>1</v>
      </c>
      <c r="AM310" s="1" t="s">
        <v>1511</v>
      </c>
      <c r="AN310" s="1" t="s">
        <v>1512</v>
      </c>
      <c r="AO310" s="1" t="s">
        <v>8572</v>
      </c>
      <c r="AP310" s="1" t="s">
        <v>2098</v>
      </c>
      <c r="AQ310" s="1" t="s">
        <v>1507</v>
      </c>
      <c r="AR310" s="1" t="s">
        <v>1507</v>
      </c>
      <c r="AS310" s="1" t="s">
        <v>2099</v>
      </c>
      <c r="AT310" s="1" t="s">
        <v>2100</v>
      </c>
      <c r="AU310" s="1" t="s">
        <v>11747</v>
      </c>
      <c r="AV310" s="1">
        <v>2018</v>
      </c>
      <c r="AW310" s="1" t="s">
        <v>1507</v>
      </c>
      <c r="AX310" s="1">
        <v>5</v>
      </c>
      <c r="AY310" s="1" t="s">
        <v>1507</v>
      </c>
      <c r="AZ310" s="1" t="s">
        <v>1507</v>
      </c>
      <c r="BA310" s="1" t="s">
        <v>1507</v>
      </c>
      <c r="BB310" s="1" t="s">
        <v>1507</v>
      </c>
      <c r="BC310" s="1" t="s">
        <v>1507</v>
      </c>
      <c r="BD310" s="1" t="s">
        <v>1507</v>
      </c>
      <c r="BE310" s="1">
        <v>9</v>
      </c>
      <c r="BF310" s="1" t="s">
        <v>11748</v>
      </c>
      <c r="BG310" s="1" t="str">
        <f>HYPERLINK("http://dx.doi.org/10.1007/JHEP05(2018)009","http://dx.doi.org/10.1007/JHEP05(2018)009")</f>
        <v>http://dx.doi.org/10.1007/JHEP05(2018)009</v>
      </c>
      <c r="BH310" s="1" t="s">
        <v>1507</v>
      </c>
      <c r="BI310" s="1" t="s">
        <v>1507</v>
      </c>
      <c r="BJ310" s="1">
        <v>36</v>
      </c>
      <c r="BK310" s="1" t="s">
        <v>2103</v>
      </c>
      <c r="BL310" s="1" t="s">
        <v>1573</v>
      </c>
      <c r="BM310" s="1" t="s">
        <v>2104</v>
      </c>
      <c r="BN310" s="1" t="s">
        <v>11749</v>
      </c>
      <c r="BO310" s="1" t="s">
        <v>1507</v>
      </c>
      <c r="BP310" s="1" t="s">
        <v>1553</v>
      </c>
      <c r="BQ310" s="1" t="s">
        <v>1507</v>
      </c>
      <c r="BR310" s="1" t="s">
        <v>1507</v>
      </c>
      <c r="BS310" s="1" t="s">
        <v>13744</v>
      </c>
      <c r="BT310" s="1" t="s">
        <v>11750</v>
      </c>
      <c r="BU310" s="1" t="str">
        <f>HYPERLINK("https%3A%2F%2Fwww.webofscience.com%2Fwos%2Fwoscc%2Ffull-record%2FWOS:000432046400002","View Full Record in Web of Science")</f>
        <v>View Full Record in Web of Science</v>
      </c>
    </row>
    <row r="311" spans="1:73" x14ac:dyDescent="0.25">
      <c r="A311" s="1">
        <v>310</v>
      </c>
      <c r="B311" s="1" t="s">
        <v>1506</v>
      </c>
      <c r="C311" s="1" t="s">
        <v>14309</v>
      </c>
      <c r="D311" s="1" t="s">
        <v>1507</v>
      </c>
      <c r="E311" s="1" t="s">
        <v>1507</v>
      </c>
      <c r="F311" s="1" t="s">
        <v>1507</v>
      </c>
      <c r="G311" s="1" t="s">
        <v>14310</v>
      </c>
      <c r="H311" s="1" t="s">
        <v>1507</v>
      </c>
      <c r="I311" s="1" t="s">
        <v>1507</v>
      </c>
      <c r="J311" s="1" t="s">
        <v>14311</v>
      </c>
      <c r="K311" s="1" t="s">
        <v>14312</v>
      </c>
      <c r="L311" s="1" t="s">
        <v>1507</v>
      </c>
      <c r="M311" s="1" t="s">
        <v>1507</v>
      </c>
      <c r="N311" s="1" t="s">
        <v>42</v>
      </c>
      <c r="O311" s="1" t="s">
        <v>13950</v>
      </c>
      <c r="P311" s="1" t="s">
        <v>1507</v>
      </c>
      <c r="Q311" s="1" t="s">
        <v>1507</v>
      </c>
      <c r="R311" s="1" t="s">
        <v>1507</v>
      </c>
      <c r="S311" s="1" t="s">
        <v>1507</v>
      </c>
      <c r="T311" s="1" t="s">
        <v>1507</v>
      </c>
      <c r="U311" s="1" t="s">
        <v>1507</v>
      </c>
      <c r="V311" s="1" t="s">
        <v>1507</v>
      </c>
      <c r="W311" s="1" t="s">
        <v>1507</v>
      </c>
      <c r="X311" s="1" t="s">
        <v>14313</v>
      </c>
      <c r="Y311" s="1" t="s">
        <v>14314</v>
      </c>
      <c r="Z311" s="1" t="s">
        <v>14315</v>
      </c>
      <c r="AA311" s="1" t="s">
        <v>14316</v>
      </c>
      <c r="AB311" s="1" t="s">
        <v>1507</v>
      </c>
      <c r="AC311" s="1" t="s">
        <v>14317</v>
      </c>
      <c r="AD311" s="1" t="s">
        <v>14318</v>
      </c>
      <c r="AE311" s="1" t="s">
        <v>14318</v>
      </c>
      <c r="AF311" s="1" t="s">
        <v>14319</v>
      </c>
      <c r="AG311" s="1" t="s">
        <v>1507</v>
      </c>
      <c r="AH311" s="1">
        <v>6</v>
      </c>
      <c r="AI311" s="1">
        <v>1</v>
      </c>
      <c r="AJ311" s="1">
        <v>1</v>
      </c>
      <c r="AK311" s="1">
        <v>2</v>
      </c>
      <c r="AL311" s="1">
        <v>2</v>
      </c>
      <c r="AM311" s="1" t="s">
        <v>1555</v>
      </c>
      <c r="AN311" s="1" t="s">
        <v>1556</v>
      </c>
      <c r="AO311" s="1" t="s">
        <v>1557</v>
      </c>
      <c r="AP311" s="1" t="s">
        <v>14320</v>
      </c>
      <c r="AQ311" s="1" t="s">
        <v>14321</v>
      </c>
      <c r="AR311" s="1" t="s">
        <v>1507</v>
      </c>
      <c r="AS311" s="1" t="s">
        <v>14322</v>
      </c>
      <c r="AT311" s="1" t="s">
        <v>14323</v>
      </c>
      <c r="AU311" s="1" t="s">
        <v>14324</v>
      </c>
      <c r="AV311" s="1">
        <v>2023</v>
      </c>
      <c r="AW311" s="1">
        <v>23</v>
      </c>
      <c r="AX311" s="1">
        <v>10</v>
      </c>
      <c r="AY311" s="1" t="s">
        <v>1507</v>
      </c>
      <c r="AZ311" s="1" t="s">
        <v>1507</v>
      </c>
      <c r="BA311" s="1" t="s">
        <v>1507</v>
      </c>
      <c r="BB311" s="1" t="s">
        <v>1507</v>
      </c>
      <c r="BC311" s="1">
        <v>60</v>
      </c>
      <c r="BD311" s="1">
        <v>63</v>
      </c>
      <c r="BE311" s="1" t="s">
        <v>1507</v>
      </c>
      <c r="BF311" s="1" t="s">
        <v>14325</v>
      </c>
      <c r="BG311" s="1" t="str">
        <f>HYPERLINK("http://dx.doi.org/10.1080/15265161.2023.2250292","http://dx.doi.org/10.1080/15265161.2023.2250292")</f>
        <v>http://dx.doi.org/10.1080/15265161.2023.2250292</v>
      </c>
      <c r="BH311" s="1" t="s">
        <v>1507</v>
      </c>
      <c r="BI311" s="1" t="s">
        <v>1507</v>
      </c>
      <c r="BJ311" s="1">
        <v>4</v>
      </c>
      <c r="BK311" s="1" t="s">
        <v>14326</v>
      </c>
      <c r="BL311" s="1" t="s">
        <v>1598</v>
      </c>
      <c r="BM311" s="1" t="s">
        <v>14327</v>
      </c>
      <c r="BN311" s="1" t="s">
        <v>14328</v>
      </c>
      <c r="BO311" s="1">
        <v>37812095</v>
      </c>
      <c r="BP311" s="1" t="s">
        <v>1537</v>
      </c>
      <c r="BQ311" s="1" t="s">
        <v>1507</v>
      </c>
      <c r="BR311" s="1" t="s">
        <v>1507</v>
      </c>
      <c r="BS311" s="1" t="s">
        <v>13744</v>
      </c>
      <c r="BT311" s="1" t="s">
        <v>14329</v>
      </c>
      <c r="BU311" s="1" t="str">
        <f>HYPERLINK("https%3A%2F%2Fwww.webofscience.com%2Fwos%2Fwoscc%2Ffull-record%2FWOS:001083139600014","View Full Record in Web of Science")</f>
        <v>View Full Record in Web of Science</v>
      </c>
    </row>
    <row r="312" spans="1:73" x14ac:dyDescent="0.25">
      <c r="A312" s="1">
        <v>311</v>
      </c>
      <c r="B312" s="1" t="s">
        <v>5546</v>
      </c>
      <c r="C312" s="1" t="s">
        <v>6088</v>
      </c>
      <c r="D312" s="1" t="s">
        <v>1507</v>
      </c>
      <c r="E312" s="1" t="s">
        <v>6089</v>
      </c>
      <c r="F312" s="1" t="s">
        <v>1507</v>
      </c>
      <c r="G312" s="1" t="s">
        <v>6090</v>
      </c>
      <c r="H312" s="1" t="s">
        <v>1507</v>
      </c>
      <c r="I312" s="1" t="s">
        <v>1507</v>
      </c>
      <c r="J312" s="1" t="s">
        <v>6091</v>
      </c>
      <c r="K312" s="1" t="s">
        <v>6092</v>
      </c>
      <c r="L312" s="1" t="s">
        <v>6093</v>
      </c>
      <c r="M312" s="1" t="s">
        <v>1507</v>
      </c>
      <c r="N312" s="1" t="s">
        <v>42</v>
      </c>
      <c r="O312" s="1" t="s">
        <v>5552</v>
      </c>
      <c r="P312" s="1" t="s">
        <v>6094</v>
      </c>
      <c r="Q312" s="1" t="s">
        <v>6095</v>
      </c>
      <c r="R312" s="1" t="s">
        <v>6096</v>
      </c>
      <c r="S312" s="1" t="s">
        <v>6097</v>
      </c>
      <c r="T312" s="1" t="s">
        <v>1507</v>
      </c>
      <c r="U312" s="1" t="s">
        <v>6098</v>
      </c>
      <c r="V312" s="1" t="s">
        <v>1507</v>
      </c>
      <c r="W312" s="1" t="s">
        <v>6099</v>
      </c>
      <c r="X312" s="1" t="s">
        <v>6100</v>
      </c>
      <c r="Y312" s="1" t="s">
        <v>6101</v>
      </c>
      <c r="Z312" s="1" t="s">
        <v>6102</v>
      </c>
      <c r="AA312" s="1" t="s">
        <v>6103</v>
      </c>
      <c r="AB312" s="1" t="s">
        <v>1507</v>
      </c>
      <c r="AC312" s="1" t="s">
        <v>15131</v>
      </c>
      <c r="AD312" s="1" t="s">
        <v>1507</v>
      </c>
      <c r="AE312" s="1" t="s">
        <v>1507</v>
      </c>
      <c r="AF312" s="1" t="s">
        <v>1507</v>
      </c>
      <c r="AG312" s="1" t="s">
        <v>1507</v>
      </c>
      <c r="AH312" s="1">
        <v>21</v>
      </c>
      <c r="AI312" s="1">
        <v>2</v>
      </c>
      <c r="AJ312" s="1">
        <v>2</v>
      </c>
      <c r="AK312" s="1">
        <v>72</v>
      </c>
      <c r="AL312" s="1">
        <v>72</v>
      </c>
      <c r="AM312" s="1" t="s">
        <v>5645</v>
      </c>
      <c r="AN312" s="1" t="s">
        <v>5646</v>
      </c>
      <c r="AO312" s="1" t="s">
        <v>5647</v>
      </c>
      <c r="AP312" s="1" t="s">
        <v>6104</v>
      </c>
      <c r="AQ312" s="1" t="s">
        <v>1507</v>
      </c>
      <c r="AR312" s="1" t="s">
        <v>6105</v>
      </c>
      <c r="AS312" s="1" t="s">
        <v>6106</v>
      </c>
      <c r="AT312" s="1" t="s">
        <v>1507</v>
      </c>
      <c r="AU312" s="1" t="s">
        <v>1507</v>
      </c>
      <c r="AV312" s="1">
        <v>2023</v>
      </c>
      <c r="AW312" s="1" t="s">
        <v>1507</v>
      </c>
      <c r="AX312" s="1" t="s">
        <v>1507</v>
      </c>
      <c r="AY312" s="1" t="s">
        <v>1507</v>
      </c>
      <c r="AZ312" s="1" t="s">
        <v>1507</v>
      </c>
      <c r="BA312" s="1" t="s">
        <v>1507</v>
      </c>
      <c r="BB312" s="1" t="s">
        <v>1507</v>
      </c>
      <c r="BC312" s="1">
        <v>226</v>
      </c>
      <c r="BD312" s="1">
        <v>230</v>
      </c>
      <c r="BE312" s="1" t="s">
        <v>1507</v>
      </c>
      <c r="BF312" s="1" t="s">
        <v>1259</v>
      </c>
      <c r="BG312" s="1" t="str">
        <f>HYPERLINK("http://dx.doi.org/10.1109/ICALT58122.2023.00072","http://dx.doi.org/10.1109/ICALT58122.2023.00072")</f>
        <v>http://dx.doi.org/10.1109/ICALT58122.2023.00072</v>
      </c>
      <c r="BH312" s="1" t="s">
        <v>1507</v>
      </c>
      <c r="BI312" s="1" t="s">
        <v>1507</v>
      </c>
      <c r="BJ312" s="1">
        <v>5</v>
      </c>
      <c r="BK312" s="1" t="s">
        <v>6107</v>
      </c>
      <c r="BL312" s="1" t="s">
        <v>5695</v>
      </c>
      <c r="BM312" s="1" t="s">
        <v>6108</v>
      </c>
      <c r="BN312" s="1" t="s">
        <v>6109</v>
      </c>
      <c r="BO312" s="1" t="s">
        <v>1507</v>
      </c>
      <c r="BP312" s="1" t="s">
        <v>1507</v>
      </c>
      <c r="BQ312" s="1" t="s">
        <v>1507</v>
      </c>
      <c r="BR312" s="1" t="s">
        <v>1507</v>
      </c>
      <c r="BS312" s="1" t="s">
        <v>13744</v>
      </c>
      <c r="BT312" s="1" t="s">
        <v>6110</v>
      </c>
      <c r="BU312" s="1" t="str">
        <f>HYPERLINK("https%3A%2F%2Fwww.webofscience.com%2Fwos%2Fwoscc%2Ffull-record%2FWOS:001094548800066","View Full Record in Web of Science")</f>
        <v>View Full Record in Web of Science</v>
      </c>
    </row>
    <row r="313" spans="1:73" x14ac:dyDescent="0.25">
      <c r="A313" s="1">
        <v>312</v>
      </c>
      <c r="B313" s="1" t="s">
        <v>1506</v>
      </c>
      <c r="C313" s="1" t="s">
        <v>4470</v>
      </c>
      <c r="D313" s="1" t="s">
        <v>1507</v>
      </c>
      <c r="E313" s="1" t="s">
        <v>1507</v>
      </c>
      <c r="F313" s="1" t="s">
        <v>1507</v>
      </c>
      <c r="G313" s="1" t="s">
        <v>4471</v>
      </c>
      <c r="H313" s="1" t="s">
        <v>1507</v>
      </c>
      <c r="I313" s="1" t="s">
        <v>1507</v>
      </c>
      <c r="J313" s="1" t="s">
        <v>685</v>
      </c>
      <c r="K313" s="1" t="s">
        <v>4472</v>
      </c>
      <c r="L313" s="1" t="s">
        <v>1507</v>
      </c>
      <c r="M313" s="1" t="s">
        <v>1507</v>
      </c>
      <c r="N313" s="1" t="s">
        <v>42</v>
      </c>
      <c r="O313" s="1" t="s">
        <v>56</v>
      </c>
      <c r="P313" s="1" t="s">
        <v>1507</v>
      </c>
      <c r="Q313" s="1" t="s">
        <v>1507</v>
      </c>
      <c r="R313" s="1" t="s">
        <v>1507</v>
      </c>
      <c r="S313" s="1" t="s">
        <v>1507</v>
      </c>
      <c r="T313" s="1" t="s">
        <v>1507</v>
      </c>
      <c r="U313" s="1" t="s">
        <v>1507</v>
      </c>
      <c r="V313" s="1" t="s">
        <v>1507</v>
      </c>
      <c r="W313" s="1" t="s">
        <v>4473</v>
      </c>
      <c r="X313" s="1" t="s">
        <v>4474</v>
      </c>
      <c r="Y313" s="1" t="s">
        <v>4475</v>
      </c>
      <c r="Z313" s="1" t="s">
        <v>4476</v>
      </c>
      <c r="AA313" s="1" t="s">
        <v>4477</v>
      </c>
      <c r="AB313" s="1" t="s">
        <v>1507</v>
      </c>
      <c r="AC313" s="1" t="s">
        <v>14602</v>
      </c>
      <c r="AD313" s="1" t="s">
        <v>1507</v>
      </c>
      <c r="AE313" s="1" t="s">
        <v>1507</v>
      </c>
      <c r="AF313" s="1" t="s">
        <v>1507</v>
      </c>
      <c r="AG313" s="1" t="s">
        <v>1507</v>
      </c>
      <c r="AH313" s="1">
        <v>13</v>
      </c>
      <c r="AI313" s="1">
        <v>0</v>
      </c>
      <c r="AJ313" s="1">
        <v>0</v>
      </c>
      <c r="AK313" s="1">
        <v>32</v>
      </c>
      <c r="AL313" s="1">
        <v>54</v>
      </c>
      <c r="AM313" s="1" t="s">
        <v>4478</v>
      </c>
      <c r="AN313" s="1" t="s">
        <v>4479</v>
      </c>
      <c r="AO313" s="1" t="s">
        <v>4480</v>
      </c>
      <c r="AP313" s="1" t="s">
        <v>4481</v>
      </c>
      <c r="AQ313" s="1" t="s">
        <v>4482</v>
      </c>
      <c r="AR313" s="1" t="s">
        <v>1507</v>
      </c>
      <c r="AS313" s="1" t="s">
        <v>4483</v>
      </c>
      <c r="AT313" s="1" t="s">
        <v>4484</v>
      </c>
      <c r="AU313" s="1" t="s">
        <v>1507</v>
      </c>
      <c r="AV313" s="1">
        <v>2023</v>
      </c>
      <c r="AW313" s="1">
        <v>44</v>
      </c>
      <c r="AX313" s="1">
        <v>3</v>
      </c>
      <c r="AY313" s="1" t="s">
        <v>1507</v>
      </c>
      <c r="AZ313" s="1" t="s">
        <v>1507</v>
      </c>
      <c r="BA313" s="1" t="s">
        <v>1507</v>
      </c>
      <c r="BB313" s="1" t="s">
        <v>1507</v>
      </c>
      <c r="BC313" s="1">
        <v>124</v>
      </c>
      <c r="BD313" s="1">
        <v>126</v>
      </c>
      <c r="BE313" s="1" t="s">
        <v>1507</v>
      </c>
      <c r="BF313" s="1" t="s">
        <v>687</v>
      </c>
      <c r="BG313" s="1" t="str">
        <f>HYPERLINK("http://dx.doi.org/10.1071/MA23036","http://dx.doi.org/10.1071/MA23036")</f>
        <v>http://dx.doi.org/10.1071/MA23036</v>
      </c>
      <c r="BH313" s="1" t="s">
        <v>1507</v>
      </c>
      <c r="BI313" s="1" t="s">
        <v>4389</v>
      </c>
      <c r="BJ313" s="1">
        <v>3</v>
      </c>
      <c r="BK313" s="1" t="s">
        <v>4485</v>
      </c>
      <c r="BL313" s="1" t="s">
        <v>1529</v>
      </c>
      <c r="BM313" s="1" t="s">
        <v>4485</v>
      </c>
      <c r="BN313" s="1" t="s">
        <v>14603</v>
      </c>
      <c r="BO313" s="1" t="s">
        <v>1507</v>
      </c>
      <c r="BP313" s="1" t="s">
        <v>4357</v>
      </c>
      <c r="BQ313" s="1" t="s">
        <v>1507</v>
      </c>
      <c r="BR313" s="1" t="s">
        <v>1507</v>
      </c>
      <c r="BS313" s="1" t="s">
        <v>13744</v>
      </c>
      <c r="BT313" s="1" t="s">
        <v>4486</v>
      </c>
      <c r="BU313" s="1" t="str">
        <f>HYPERLINK("https%3A%2F%2Fwww.webofscience.com%2Fwos%2Fwoscc%2Ffull-record%2FWOS:001027882700001","View Full Record in Web of Science")</f>
        <v>View Full Record in Web of Science</v>
      </c>
    </row>
    <row r="314" spans="1:73" x14ac:dyDescent="0.25">
      <c r="A314" s="1">
        <v>313</v>
      </c>
      <c r="B314" s="1" t="s">
        <v>1506</v>
      </c>
      <c r="C314" s="1" t="s">
        <v>10851</v>
      </c>
      <c r="D314" s="1" t="s">
        <v>1507</v>
      </c>
      <c r="E314" s="1" t="s">
        <v>1507</v>
      </c>
      <c r="F314" s="1" t="s">
        <v>1507</v>
      </c>
      <c r="G314" s="1" t="s">
        <v>10852</v>
      </c>
      <c r="H314" s="1" t="s">
        <v>1507</v>
      </c>
      <c r="I314" s="1" t="s">
        <v>1507</v>
      </c>
      <c r="J314" s="1" t="s">
        <v>10853</v>
      </c>
      <c r="K314" s="1" t="s">
        <v>10008</v>
      </c>
      <c r="L314" s="1" t="s">
        <v>1507</v>
      </c>
      <c r="M314" s="1" t="s">
        <v>1507</v>
      </c>
      <c r="N314" s="1" t="s">
        <v>42</v>
      </c>
      <c r="O314" s="1" t="s">
        <v>56</v>
      </c>
      <c r="P314" s="1" t="s">
        <v>1507</v>
      </c>
      <c r="Q314" s="1" t="s">
        <v>1507</v>
      </c>
      <c r="R314" s="1" t="s">
        <v>1507</v>
      </c>
      <c r="S314" s="1" t="s">
        <v>1507</v>
      </c>
      <c r="T314" s="1" t="s">
        <v>1507</v>
      </c>
      <c r="U314" s="1" t="s">
        <v>1507</v>
      </c>
      <c r="V314" s="1" t="s">
        <v>10854</v>
      </c>
      <c r="W314" s="1" t="s">
        <v>10855</v>
      </c>
      <c r="X314" s="1" t="s">
        <v>10856</v>
      </c>
      <c r="Y314" s="1" t="s">
        <v>10857</v>
      </c>
      <c r="Z314" s="1" t="s">
        <v>10858</v>
      </c>
      <c r="AA314" s="1" t="s">
        <v>10015</v>
      </c>
      <c r="AB314" s="1" t="s">
        <v>1507</v>
      </c>
      <c r="AC314" s="1" t="s">
        <v>15922</v>
      </c>
      <c r="AD314" s="1" t="s">
        <v>10859</v>
      </c>
      <c r="AE314" s="1" t="s">
        <v>10860</v>
      </c>
      <c r="AF314" s="1" t="s">
        <v>10861</v>
      </c>
      <c r="AG314" s="1" t="s">
        <v>1507</v>
      </c>
      <c r="AH314" s="1">
        <v>59</v>
      </c>
      <c r="AI314" s="1">
        <v>6</v>
      </c>
      <c r="AJ314" s="1">
        <v>6</v>
      </c>
      <c r="AK314" s="1">
        <v>4</v>
      </c>
      <c r="AL314" s="1">
        <v>23</v>
      </c>
      <c r="AM314" s="1" t="s">
        <v>1559</v>
      </c>
      <c r="AN314" s="1" t="s">
        <v>1560</v>
      </c>
      <c r="AO314" s="1" t="s">
        <v>1561</v>
      </c>
      <c r="AP314" s="1" t="s">
        <v>10018</v>
      </c>
      <c r="AQ314" s="1" t="s">
        <v>10019</v>
      </c>
      <c r="AR314" s="1" t="s">
        <v>1507</v>
      </c>
      <c r="AS314" s="1" t="s">
        <v>10020</v>
      </c>
      <c r="AT314" s="1" t="s">
        <v>10021</v>
      </c>
      <c r="AU314" s="1" t="s">
        <v>4556</v>
      </c>
      <c r="AV314" s="1">
        <v>2019</v>
      </c>
      <c r="AW314" s="1">
        <v>112</v>
      </c>
      <c r="AX314" s="1">
        <v>1</v>
      </c>
      <c r="AY314" s="1" t="s">
        <v>1507</v>
      </c>
      <c r="AZ314" s="1" t="s">
        <v>1507</v>
      </c>
      <c r="BA314" s="1" t="s">
        <v>1507</v>
      </c>
      <c r="BB314" s="1" t="s">
        <v>1507</v>
      </c>
      <c r="BC314" s="1">
        <v>99</v>
      </c>
      <c r="BD314" s="1">
        <v>113</v>
      </c>
      <c r="BE314" s="1" t="s">
        <v>1507</v>
      </c>
      <c r="BF314" s="1" t="s">
        <v>10862</v>
      </c>
      <c r="BG314" s="1" t="str">
        <f>HYPERLINK("http://dx.doi.org/10.1111/mmi.14256","http://dx.doi.org/10.1111/mmi.14256")</f>
        <v>http://dx.doi.org/10.1111/mmi.14256</v>
      </c>
      <c r="BH314" s="1" t="s">
        <v>1507</v>
      </c>
      <c r="BI314" s="1" t="s">
        <v>1507</v>
      </c>
      <c r="BJ314" s="1">
        <v>15</v>
      </c>
      <c r="BK314" s="1" t="s">
        <v>10024</v>
      </c>
      <c r="BL314" s="1" t="s">
        <v>1573</v>
      </c>
      <c r="BM314" s="1" t="s">
        <v>10024</v>
      </c>
      <c r="BN314" s="1" t="s">
        <v>10863</v>
      </c>
      <c r="BO314" s="1">
        <v>30938898</v>
      </c>
      <c r="BP314" s="1" t="s">
        <v>7558</v>
      </c>
      <c r="BQ314" s="1" t="s">
        <v>1507</v>
      </c>
      <c r="BR314" s="1" t="s">
        <v>1507</v>
      </c>
      <c r="BS314" s="1" t="s">
        <v>13744</v>
      </c>
      <c r="BT314" s="1" t="s">
        <v>10864</v>
      </c>
      <c r="BU314" s="1" t="str">
        <f>HYPERLINK("https%3A%2F%2Fwww.webofscience.com%2Fwos%2Fwoscc%2Ffull-record%2FWOS:000474705900007","View Full Record in Web of Science")</f>
        <v>View Full Record in Web of Science</v>
      </c>
    </row>
    <row r="315" spans="1:73" x14ac:dyDescent="0.25">
      <c r="A315" s="1">
        <v>314</v>
      </c>
      <c r="B315" s="1" t="s">
        <v>1506</v>
      </c>
      <c r="C315" s="1" t="s">
        <v>2233</v>
      </c>
      <c r="D315" s="1" t="s">
        <v>1507</v>
      </c>
      <c r="E315" s="1" t="s">
        <v>1507</v>
      </c>
      <c r="F315" s="1" t="s">
        <v>1507</v>
      </c>
      <c r="G315" s="1" t="s">
        <v>2234</v>
      </c>
      <c r="H315" s="1" t="s">
        <v>1507</v>
      </c>
      <c r="I315" s="1" t="s">
        <v>1507</v>
      </c>
      <c r="J315" s="1" t="s">
        <v>2235</v>
      </c>
      <c r="K315" s="1" t="s">
        <v>2236</v>
      </c>
      <c r="L315" s="1" t="s">
        <v>1507</v>
      </c>
      <c r="M315" s="1" t="s">
        <v>1507</v>
      </c>
      <c r="N315" s="1" t="s">
        <v>42</v>
      </c>
      <c r="O315" s="1" t="s">
        <v>56</v>
      </c>
      <c r="P315" s="1" t="s">
        <v>1507</v>
      </c>
      <c r="Q315" s="1" t="s">
        <v>1507</v>
      </c>
      <c r="R315" s="1" t="s">
        <v>1507</v>
      </c>
      <c r="S315" s="1" t="s">
        <v>1507</v>
      </c>
      <c r="T315" s="1" t="s">
        <v>1507</v>
      </c>
      <c r="U315" s="1" t="s">
        <v>2237</v>
      </c>
      <c r="V315" s="1" t="s">
        <v>1507</v>
      </c>
      <c r="W315" s="1" t="s">
        <v>2238</v>
      </c>
      <c r="X315" s="1" t="s">
        <v>2239</v>
      </c>
      <c r="Y315" s="1" t="s">
        <v>2240</v>
      </c>
      <c r="Z315" s="1" t="s">
        <v>2241</v>
      </c>
      <c r="AA315" s="1" t="s">
        <v>2242</v>
      </c>
      <c r="AB315" s="1" t="s">
        <v>1507</v>
      </c>
      <c r="AC315" s="1" t="s">
        <v>13898</v>
      </c>
      <c r="AD315" s="1" t="s">
        <v>2243</v>
      </c>
      <c r="AE315" s="1" t="s">
        <v>2244</v>
      </c>
      <c r="AF315" s="1" t="s">
        <v>2245</v>
      </c>
      <c r="AG315" s="1" t="s">
        <v>1507</v>
      </c>
      <c r="AH315" s="1">
        <v>50</v>
      </c>
      <c r="AI315" s="1">
        <v>1</v>
      </c>
      <c r="AJ315" s="1">
        <v>1</v>
      </c>
      <c r="AK315" s="1">
        <v>5</v>
      </c>
      <c r="AL315" s="1">
        <v>5</v>
      </c>
      <c r="AM315" s="1" t="s">
        <v>1610</v>
      </c>
      <c r="AN315" s="1" t="s">
        <v>1611</v>
      </c>
      <c r="AO315" s="1" t="s">
        <v>1612</v>
      </c>
      <c r="AP315" s="1" t="s">
        <v>1507</v>
      </c>
      <c r="AQ315" s="1" t="s">
        <v>2246</v>
      </c>
      <c r="AR315" s="1" t="s">
        <v>1507</v>
      </c>
      <c r="AS315" s="1" t="s">
        <v>2236</v>
      </c>
      <c r="AT315" s="1" t="s">
        <v>2247</v>
      </c>
      <c r="AU315" s="1" t="s">
        <v>2191</v>
      </c>
      <c r="AV315" s="1">
        <v>2023</v>
      </c>
      <c r="AW315" s="1">
        <v>14</v>
      </c>
      <c r="AX315" s="1">
        <v>12</v>
      </c>
      <c r="AY315" s="1" t="s">
        <v>1507</v>
      </c>
      <c r="AZ315" s="1" t="s">
        <v>1507</v>
      </c>
      <c r="BA315" s="1" t="s">
        <v>1507</v>
      </c>
      <c r="BB315" s="1" t="s">
        <v>1507</v>
      </c>
      <c r="BC315" s="1" t="s">
        <v>1507</v>
      </c>
      <c r="BD315" s="1" t="s">
        <v>1507</v>
      </c>
      <c r="BE315" s="1">
        <v>638</v>
      </c>
      <c r="BF315" s="1" t="s">
        <v>2248</v>
      </c>
      <c r="BG315" s="1" t="str">
        <f>HYPERLINK("http://dx.doi.org/10.3390/info14120638","http://dx.doi.org/10.3390/info14120638")</f>
        <v>http://dx.doi.org/10.3390/info14120638</v>
      </c>
      <c r="BH315" s="1" t="s">
        <v>1507</v>
      </c>
      <c r="BI315" s="1" t="s">
        <v>1507</v>
      </c>
      <c r="BJ315" s="1">
        <v>24</v>
      </c>
      <c r="BK315" s="1" t="s">
        <v>1576</v>
      </c>
      <c r="BL315" s="1" t="s">
        <v>1529</v>
      </c>
      <c r="BM315" s="1" t="s">
        <v>1577</v>
      </c>
      <c r="BN315" s="1" t="s">
        <v>2249</v>
      </c>
      <c r="BO315" s="1" t="s">
        <v>1507</v>
      </c>
      <c r="BP315" s="1" t="s">
        <v>1531</v>
      </c>
      <c r="BQ315" s="1" t="s">
        <v>1507</v>
      </c>
      <c r="BR315" s="1" t="s">
        <v>1507</v>
      </c>
      <c r="BS315" s="1" t="s">
        <v>13744</v>
      </c>
      <c r="BT315" s="1" t="s">
        <v>2250</v>
      </c>
      <c r="BU315" s="1" t="str">
        <f>HYPERLINK("https%3A%2F%2Fwww.webofscience.com%2Fwos%2Fwoscc%2Ffull-record%2FWOS:001130965600001","View Full Record in Web of Science")</f>
        <v>View Full Record in Web of Science</v>
      </c>
    </row>
    <row r="316" spans="1:73" x14ac:dyDescent="0.25">
      <c r="A316" s="1">
        <v>315</v>
      </c>
      <c r="B316" s="1" t="s">
        <v>1506</v>
      </c>
      <c r="C316" s="1" t="s">
        <v>2553</v>
      </c>
      <c r="D316" s="1" t="s">
        <v>1507</v>
      </c>
      <c r="E316" s="1" t="s">
        <v>1507</v>
      </c>
      <c r="F316" s="1" t="s">
        <v>1507</v>
      </c>
      <c r="G316" s="1" t="s">
        <v>2554</v>
      </c>
      <c r="H316" s="1" t="s">
        <v>1507</v>
      </c>
      <c r="I316" s="1" t="s">
        <v>1507</v>
      </c>
      <c r="J316" s="1" t="s">
        <v>2555</v>
      </c>
      <c r="K316" s="1" t="s">
        <v>2556</v>
      </c>
      <c r="L316" s="1" t="s">
        <v>1507</v>
      </c>
      <c r="M316" s="1" t="s">
        <v>1507</v>
      </c>
      <c r="N316" s="1" t="s">
        <v>42</v>
      </c>
      <c r="O316" s="1" t="s">
        <v>56</v>
      </c>
      <c r="P316" s="1" t="s">
        <v>1507</v>
      </c>
      <c r="Q316" s="1" t="s">
        <v>1507</v>
      </c>
      <c r="R316" s="1" t="s">
        <v>1507</v>
      </c>
      <c r="S316" s="1" t="s">
        <v>1507</v>
      </c>
      <c r="T316" s="1" t="s">
        <v>1507</v>
      </c>
      <c r="U316" s="1" t="s">
        <v>2557</v>
      </c>
      <c r="V316" s="1" t="s">
        <v>1507</v>
      </c>
      <c r="W316" s="1" t="s">
        <v>2558</v>
      </c>
      <c r="X316" s="1" t="s">
        <v>2559</v>
      </c>
      <c r="Y316" s="1" t="s">
        <v>2560</v>
      </c>
      <c r="Z316" s="1" t="s">
        <v>2561</v>
      </c>
      <c r="AA316" s="1" t="s">
        <v>2562</v>
      </c>
      <c r="AB316" s="1" t="s">
        <v>1507</v>
      </c>
      <c r="AC316" s="1" t="s">
        <v>1507</v>
      </c>
      <c r="AD316" s="1" t="s">
        <v>2563</v>
      </c>
      <c r="AE316" s="1" t="s">
        <v>2564</v>
      </c>
      <c r="AF316" s="1" t="s">
        <v>2565</v>
      </c>
      <c r="AG316" s="1" t="s">
        <v>1507</v>
      </c>
      <c r="AH316" s="1">
        <v>48</v>
      </c>
      <c r="AI316" s="1">
        <v>0</v>
      </c>
      <c r="AJ316" s="1">
        <v>0</v>
      </c>
      <c r="AK316" s="1">
        <v>7</v>
      </c>
      <c r="AL316" s="1">
        <v>7</v>
      </c>
      <c r="AM316" s="1" t="s">
        <v>1511</v>
      </c>
      <c r="AN316" s="1" t="s">
        <v>1570</v>
      </c>
      <c r="AO316" s="1" t="s">
        <v>1571</v>
      </c>
      <c r="AP316" s="1" t="s">
        <v>2566</v>
      </c>
      <c r="AQ316" s="1" t="s">
        <v>2567</v>
      </c>
      <c r="AR316" s="1" t="s">
        <v>1507</v>
      </c>
      <c r="AS316" s="1" t="s">
        <v>2568</v>
      </c>
      <c r="AT316" s="1" t="s">
        <v>2569</v>
      </c>
      <c r="AU316" s="1" t="s">
        <v>5362</v>
      </c>
      <c r="AV316" s="1">
        <v>2024</v>
      </c>
      <c r="AW316" s="1">
        <v>33</v>
      </c>
      <c r="AX316" s="1">
        <v>1</v>
      </c>
      <c r="AY316" s="1" t="s">
        <v>1507</v>
      </c>
      <c r="AZ316" s="1" t="s">
        <v>1507</v>
      </c>
      <c r="BA316" s="1" t="s">
        <v>3506</v>
      </c>
      <c r="BB316" s="1" t="s">
        <v>1507</v>
      </c>
      <c r="BC316" s="1">
        <v>9</v>
      </c>
      <c r="BD316" s="1">
        <v>20</v>
      </c>
      <c r="BE316" s="1" t="s">
        <v>1507</v>
      </c>
      <c r="BF316" s="1" t="s">
        <v>2570</v>
      </c>
      <c r="BG316" s="1" t="str">
        <f>HYPERLINK("http://dx.doi.org/10.1007/s10849-023-09409-x","http://dx.doi.org/10.1007/s10849-023-09409-x")</f>
        <v>http://dx.doi.org/10.1007/s10849-023-09409-x</v>
      </c>
      <c r="BH316" s="1" t="s">
        <v>1507</v>
      </c>
      <c r="BI316" s="1" t="s">
        <v>2396</v>
      </c>
      <c r="BJ316" s="1">
        <v>12</v>
      </c>
      <c r="BK316" s="1" t="s">
        <v>2571</v>
      </c>
      <c r="BL316" s="1" t="s">
        <v>2572</v>
      </c>
      <c r="BM316" s="1" t="s">
        <v>2573</v>
      </c>
      <c r="BN316" s="1" t="s">
        <v>13998</v>
      </c>
      <c r="BO316" s="1" t="s">
        <v>1507</v>
      </c>
      <c r="BP316" s="1" t="s">
        <v>2574</v>
      </c>
      <c r="BQ316" s="1" t="s">
        <v>1507</v>
      </c>
      <c r="BR316" s="1" t="s">
        <v>1507</v>
      </c>
      <c r="BS316" s="1" t="s">
        <v>13744</v>
      </c>
      <c r="BT316" s="1" t="s">
        <v>2575</v>
      </c>
      <c r="BU316" s="1" t="str">
        <f>HYPERLINK("https%3A%2F%2Fwww.webofscience.com%2Fwos%2Fwoscc%2Ffull-record%2FWOS:001100636300002","View Full Record in Web of Science")</f>
        <v>View Full Record in Web of Science</v>
      </c>
    </row>
    <row r="317" spans="1:73" x14ac:dyDescent="0.25">
      <c r="A317" s="1">
        <v>316</v>
      </c>
      <c r="B317" s="1" t="s">
        <v>1506</v>
      </c>
      <c r="C317" s="1" t="s">
        <v>8131</v>
      </c>
      <c r="D317" s="1" t="s">
        <v>1507</v>
      </c>
      <c r="E317" s="1" t="s">
        <v>1507</v>
      </c>
      <c r="F317" s="1" t="s">
        <v>1507</v>
      </c>
      <c r="G317" s="1" t="s">
        <v>8132</v>
      </c>
      <c r="H317" s="1" t="s">
        <v>1507</v>
      </c>
      <c r="I317" s="1" t="s">
        <v>1507</v>
      </c>
      <c r="J317" s="1" t="s">
        <v>8133</v>
      </c>
      <c r="K317" s="1" t="s">
        <v>8134</v>
      </c>
      <c r="L317" s="1" t="s">
        <v>1507</v>
      </c>
      <c r="M317" s="1" t="s">
        <v>1507</v>
      </c>
      <c r="N317" s="1" t="s">
        <v>42</v>
      </c>
      <c r="O317" s="1" t="s">
        <v>56</v>
      </c>
      <c r="P317" s="1" t="s">
        <v>1507</v>
      </c>
      <c r="Q317" s="1" t="s">
        <v>1507</v>
      </c>
      <c r="R317" s="1" t="s">
        <v>1507</v>
      </c>
      <c r="S317" s="1" t="s">
        <v>1507</v>
      </c>
      <c r="T317" s="1" t="s">
        <v>1507</v>
      </c>
      <c r="U317" s="1" t="s">
        <v>8135</v>
      </c>
      <c r="V317" s="1" t="s">
        <v>8136</v>
      </c>
      <c r="W317" s="1" t="s">
        <v>8137</v>
      </c>
      <c r="X317" s="1" t="s">
        <v>8138</v>
      </c>
      <c r="Y317" s="1" t="s">
        <v>8139</v>
      </c>
      <c r="Z317" s="1" t="s">
        <v>8140</v>
      </c>
      <c r="AA317" s="1" t="s">
        <v>2295</v>
      </c>
      <c r="AB317" s="1" t="s">
        <v>8141</v>
      </c>
      <c r="AC317" s="1" t="s">
        <v>8142</v>
      </c>
      <c r="AD317" s="1" t="s">
        <v>8143</v>
      </c>
      <c r="AE317" s="1" t="s">
        <v>8144</v>
      </c>
      <c r="AF317" s="1" t="s">
        <v>8145</v>
      </c>
      <c r="AG317" s="1" t="s">
        <v>1507</v>
      </c>
      <c r="AH317" s="1">
        <v>33</v>
      </c>
      <c r="AI317" s="1">
        <v>36</v>
      </c>
      <c r="AJ317" s="1">
        <v>38</v>
      </c>
      <c r="AK317" s="1">
        <v>0</v>
      </c>
      <c r="AL317" s="1">
        <v>4</v>
      </c>
      <c r="AM317" s="1" t="s">
        <v>1579</v>
      </c>
      <c r="AN317" s="1" t="s">
        <v>1580</v>
      </c>
      <c r="AO317" s="1" t="s">
        <v>1581</v>
      </c>
      <c r="AP317" s="1" t="s">
        <v>1507</v>
      </c>
      <c r="AQ317" s="1" t="s">
        <v>8146</v>
      </c>
      <c r="AR317" s="1" t="s">
        <v>1507</v>
      </c>
      <c r="AS317" s="1" t="s">
        <v>8134</v>
      </c>
      <c r="AT317" s="1" t="s">
        <v>8147</v>
      </c>
      <c r="AU317" s="1" t="s">
        <v>2771</v>
      </c>
      <c r="AV317" s="1">
        <v>2021</v>
      </c>
      <c r="AW317" s="1">
        <v>41</v>
      </c>
      <c r="AX317" s="1" t="s">
        <v>1507</v>
      </c>
      <c r="AY317" s="1" t="s">
        <v>1507</v>
      </c>
      <c r="AZ317" s="1" t="s">
        <v>1507</v>
      </c>
      <c r="BA317" s="1" t="s">
        <v>1507</v>
      </c>
      <c r="BB317" s="1" t="s">
        <v>1507</v>
      </c>
      <c r="BC317" s="1" t="s">
        <v>1507</v>
      </c>
      <c r="BD317" s="1" t="s">
        <v>1507</v>
      </c>
      <c r="BE317" s="1">
        <v>101174</v>
      </c>
      <c r="BF317" s="1" t="s">
        <v>8148</v>
      </c>
      <c r="BG317" s="1" t="str">
        <f>HYPERLINK("http://dx.doi.org/10.1016/j.eclinm.2021.101174","http://dx.doi.org/10.1016/j.eclinm.2021.101174")</f>
        <v>http://dx.doi.org/10.1016/j.eclinm.2021.101174</v>
      </c>
      <c r="BH317" s="1" t="s">
        <v>1507</v>
      </c>
      <c r="BI317" s="1" t="s">
        <v>8149</v>
      </c>
      <c r="BJ317" s="1">
        <v>8</v>
      </c>
      <c r="BK317" s="1" t="s">
        <v>1949</v>
      </c>
      <c r="BL317" s="1" t="s">
        <v>1573</v>
      </c>
      <c r="BM317" s="1" t="s">
        <v>1950</v>
      </c>
      <c r="BN317" s="1" t="s">
        <v>8150</v>
      </c>
      <c r="BO317" s="1">
        <v>34746725</v>
      </c>
      <c r="BP317" s="1" t="s">
        <v>1674</v>
      </c>
      <c r="BQ317" s="1" t="s">
        <v>1507</v>
      </c>
      <c r="BR317" s="1" t="s">
        <v>1507</v>
      </c>
      <c r="BS317" s="1" t="s">
        <v>13744</v>
      </c>
      <c r="BT317" s="1" t="s">
        <v>8151</v>
      </c>
      <c r="BU317" s="1" t="str">
        <f>HYPERLINK("https%3A%2F%2Fwww.webofscience.com%2Fwos%2Fwoscc%2Ffull-record%2FWOS:000723039100003","View Full Record in Web of Science")</f>
        <v>View Full Record in Web of Science</v>
      </c>
    </row>
    <row r="318" spans="1:73" x14ac:dyDescent="0.25">
      <c r="A318" s="1">
        <v>317</v>
      </c>
      <c r="B318" s="1" t="s">
        <v>5546</v>
      </c>
      <c r="C318" s="1" t="s">
        <v>6111</v>
      </c>
      <c r="D318" s="1" t="s">
        <v>1507</v>
      </c>
      <c r="E318" s="1" t="s">
        <v>1507</v>
      </c>
      <c r="F318" s="1" t="s">
        <v>5548</v>
      </c>
      <c r="G318" s="1" t="s">
        <v>6112</v>
      </c>
      <c r="H318" s="1" t="s">
        <v>1507</v>
      </c>
      <c r="I318" s="1" t="s">
        <v>1507</v>
      </c>
      <c r="J318" s="1" t="s">
        <v>6113</v>
      </c>
      <c r="K318" s="1" t="s">
        <v>6114</v>
      </c>
      <c r="L318" s="1" t="s">
        <v>1507</v>
      </c>
      <c r="M318" s="1" t="s">
        <v>1507</v>
      </c>
      <c r="N318" s="1" t="s">
        <v>42</v>
      </c>
      <c r="O318" s="1" t="s">
        <v>5552</v>
      </c>
      <c r="P318" s="1" t="s">
        <v>6115</v>
      </c>
      <c r="Q318" s="1" t="s">
        <v>6116</v>
      </c>
      <c r="R318" s="1" t="s">
        <v>5942</v>
      </c>
      <c r="S318" s="1" t="s">
        <v>6117</v>
      </c>
      <c r="T318" s="1" t="s">
        <v>1507</v>
      </c>
      <c r="U318" s="1" t="s">
        <v>6118</v>
      </c>
      <c r="V318" s="1" t="s">
        <v>1507</v>
      </c>
      <c r="W318" s="1" t="s">
        <v>6119</v>
      </c>
      <c r="X318" s="1" t="s">
        <v>6120</v>
      </c>
      <c r="Y318" s="1" t="s">
        <v>6121</v>
      </c>
      <c r="Z318" s="1" t="s">
        <v>6122</v>
      </c>
      <c r="AA318" s="1" t="s">
        <v>6123</v>
      </c>
      <c r="AB318" s="1" t="s">
        <v>1507</v>
      </c>
      <c r="AC318" s="1" t="s">
        <v>1507</v>
      </c>
      <c r="AD318" s="1" t="s">
        <v>6124</v>
      </c>
      <c r="AE318" s="1" t="s">
        <v>6125</v>
      </c>
      <c r="AF318" s="1" t="s">
        <v>6126</v>
      </c>
      <c r="AG318" s="1" t="s">
        <v>1507</v>
      </c>
      <c r="AH318" s="1">
        <v>115</v>
      </c>
      <c r="AI318" s="1">
        <v>7</v>
      </c>
      <c r="AJ318" s="1">
        <v>7</v>
      </c>
      <c r="AK318" s="1">
        <v>3</v>
      </c>
      <c r="AL318" s="1">
        <v>3</v>
      </c>
      <c r="AM318" s="1" t="s">
        <v>5565</v>
      </c>
      <c r="AN318" s="1" t="s">
        <v>1512</v>
      </c>
      <c r="AO318" s="1" t="s">
        <v>5566</v>
      </c>
      <c r="AP318" s="1" t="s">
        <v>1507</v>
      </c>
      <c r="AQ318" s="1" t="s">
        <v>1507</v>
      </c>
      <c r="AR318" s="1" t="s">
        <v>6127</v>
      </c>
      <c r="AS318" s="1" t="s">
        <v>1507</v>
      </c>
      <c r="AT318" s="1" t="s">
        <v>1507</v>
      </c>
      <c r="AU318" s="1" t="s">
        <v>1507</v>
      </c>
      <c r="AV318" s="1">
        <v>2023</v>
      </c>
      <c r="AW318" s="1" t="s">
        <v>1507</v>
      </c>
      <c r="AX318" s="1" t="s">
        <v>1507</v>
      </c>
      <c r="AY318" s="1" t="s">
        <v>1507</v>
      </c>
      <c r="AZ318" s="1" t="s">
        <v>1507</v>
      </c>
      <c r="BA318" s="1" t="s">
        <v>1507</v>
      </c>
      <c r="BB318" s="1" t="s">
        <v>1507</v>
      </c>
      <c r="BC318" s="1">
        <v>106</v>
      </c>
      <c r="BD318" s="1">
        <v>121</v>
      </c>
      <c r="BE318" s="1" t="s">
        <v>1507</v>
      </c>
      <c r="BF318" s="1" t="s">
        <v>450</v>
      </c>
      <c r="BG318" s="1" t="str">
        <f>HYPERLINK("http://dx.doi.org/10.1145/3568813.3600138","http://dx.doi.org/10.1145/3568813.3600138")</f>
        <v>http://dx.doi.org/10.1145/3568813.3600138</v>
      </c>
      <c r="BH318" s="1" t="s">
        <v>1507</v>
      </c>
      <c r="BI318" s="1" t="s">
        <v>1507</v>
      </c>
      <c r="BJ318" s="1">
        <v>16</v>
      </c>
      <c r="BK318" s="1" t="s">
        <v>6128</v>
      </c>
      <c r="BL318" s="1" t="s">
        <v>5695</v>
      </c>
      <c r="BM318" s="1" t="s">
        <v>6108</v>
      </c>
      <c r="BN318" s="1" t="s">
        <v>6129</v>
      </c>
      <c r="BO318" s="1" t="s">
        <v>1507</v>
      </c>
      <c r="BP318" s="1" t="s">
        <v>1507</v>
      </c>
      <c r="BQ318" s="1" t="s">
        <v>1507</v>
      </c>
      <c r="BR318" s="1" t="s">
        <v>1507</v>
      </c>
      <c r="BS318" s="1" t="s">
        <v>13744</v>
      </c>
      <c r="BT318" s="1" t="s">
        <v>6130</v>
      </c>
      <c r="BU318" s="1" t="str">
        <f>HYPERLINK("https%3A%2F%2Fwww.webofscience.com%2Fwos%2Fwoscc%2Ffull-record%2FWOS:001141973500008","View Full Record in Web of Science")</f>
        <v>View Full Record in Web of Science</v>
      </c>
    </row>
    <row r="319" spans="1:73" x14ac:dyDescent="0.25">
      <c r="A319" s="1">
        <v>318</v>
      </c>
      <c r="B319" s="1" t="s">
        <v>1506</v>
      </c>
      <c r="C319" s="1" t="s">
        <v>8793</v>
      </c>
      <c r="D319" s="1" t="s">
        <v>1507</v>
      </c>
      <c r="E319" s="1" t="s">
        <v>1507</v>
      </c>
      <c r="F319" s="1" t="s">
        <v>1507</v>
      </c>
      <c r="G319" s="1" t="s">
        <v>8794</v>
      </c>
      <c r="H319" s="1" t="s">
        <v>1507</v>
      </c>
      <c r="I319" s="1" t="s">
        <v>1507</v>
      </c>
      <c r="J319" s="1" t="s">
        <v>8795</v>
      </c>
      <c r="K319" s="1" t="s">
        <v>8796</v>
      </c>
      <c r="L319" s="1" t="s">
        <v>1507</v>
      </c>
      <c r="M319" s="1" t="s">
        <v>1507</v>
      </c>
      <c r="N319" s="1" t="s">
        <v>42</v>
      </c>
      <c r="O319" s="1" t="s">
        <v>56</v>
      </c>
      <c r="P319" s="1" t="s">
        <v>1507</v>
      </c>
      <c r="Q319" s="1" t="s">
        <v>1507</v>
      </c>
      <c r="R319" s="1" t="s">
        <v>1507</v>
      </c>
      <c r="S319" s="1" t="s">
        <v>1507</v>
      </c>
      <c r="T319" s="1" t="s">
        <v>1507</v>
      </c>
      <c r="U319" s="1" t="s">
        <v>1507</v>
      </c>
      <c r="V319" s="1" t="s">
        <v>1507</v>
      </c>
      <c r="W319" s="1" t="s">
        <v>8797</v>
      </c>
      <c r="X319" s="1" t="s">
        <v>8798</v>
      </c>
      <c r="Y319" s="1" t="s">
        <v>8799</v>
      </c>
      <c r="Z319" s="1" t="s">
        <v>8800</v>
      </c>
      <c r="AA319" s="1" t="s">
        <v>8801</v>
      </c>
      <c r="AB319" s="1" t="s">
        <v>1507</v>
      </c>
      <c r="AC319" s="1" t="s">
        <v>8802</v>
      </c>
      <c r="AD319" s="1" t="s">
        <v>8803</v>
      </c>
      <c r="AE319" s="1" t="s">
        <v>8803</v>
      </c>
      <c r="AF319" s="1" t="s">
        <v>8804</v>
      </c>
      <c r="AG319" s="1" t="s">
        <v>1507</v>
      </c>
      <c r="AH319" s="1">
        <v>33</v>
      </c>
      <c r="AI319" s="1">
        <v>1</v>
      </c>
      <c r="AJ319" s="1">
        <v>1</v>
      </c>
      <c r="AK319" s="1">
        <v>0</v>
      </c>
      <c r="AL319" s="1">
        <v>0</v>
      </c>
      <c r="AM319" s="1" t="s">
        <v>1582</v>
      </c>
      <c r="AN319" s="1" t="s">
        <v>1583</v>
      </c>
      <c r="AO319" s="1" t="s">
        <v>1584</v>
      </c>
      <c r="AP319" s="1" t="s">
        <v>8805</v>
      </c>
      <c r="AQ319" s="1" t="s">
        <v>8806</v>
      </c>
      <c r="AR319" s="1" t="s">
        <v>1507</v>
      </c>
      <c r="AS319" s="1" t="s">
        <v>8807</v>
      </c>
      <c r="AT319" s="1" t="s">
        <v>8808</v>
      </c>
      <c r="AU319" s="1" t="s">
        <v>5045</v>
      </c>
      <c r="AV319" s="1">
        <v>2021</v>
      </c>
      <c r="AW319" s="1">
        <v>27</v>
      </c>
      <c r="AX319" s="1">
        <v>4</v>
      </c>
      <c r="AY319" s="1" t="s">
        <v>1507</v>
      </c>
      <c r="AZ319" s="1" t="s">
        <v>1507</v>
      </c>
      <c r="BA319" s="1" t="s">
        <v>1507</v>
      </c>
      <c r="BB319" s="1" t="s">
        <v>1507</v>
      </c>
      <c r="BC319" s="1">
        <v>302</v>
      </c>
      <c r="BD319" s="1">
        <v>310</v>
      </c>
      <c r="BE319" s="1" t="s">
        <v>1507</v>
      </c>
      <c r="BF319" s="1" t="s">
        <v>8809</v>
      </c>
      <c r="BG319" s="1" t="str">
        <f>HYPERLINK("http://dx.doi.org/10.1093/tandt/ttab013","http://dx.doi.org/10.1093/tandt/ttab013")</f>
        <v>http://dx.doi.org/10.1093/tandt/ttab013</v>
      </c>
      <c r="BH319" s="1" t="s">
        <v>1507</v>
      </c>
      <c r="BI319" s="1" t="s">
        <v>8746</v>
      </c>
      <c r="BJ319" s="1">
        <v>9</v>
      </c>
      <c r="BK319" s="1" t="s">
        <v>1535</v>
      </c>
      <c r="BL319" s="1" t="s">
        <v>1529</v>
      </c>
      <c r="BM319" s="1" t="s">
        <v>1536</v>
      </c>
      <c r="BN319" s="1" t="s">
        <v>8810</v>
      </c>
      <c r="BO319" s="1" t="s">
        <v>1507</v>
      </c>
      <c r="BP319" s="1" t="s">
        <v>12107</v>
      </c>
      <c r="BQ319" s="1" t="s">
        <v>1507</v>
      </c>
      <c r="BR319" s="1" t="s">
        <v>1507</v>
      </c>
      <c r="BS319" s="1" t="s">
        <v>13744</v>
      </c>
      <c r="BT319" s="1" t="s">
        <v>8812</v>
      </c>
      <c r="BU319" s="1" t="str">
        <f>HYPERLINK("https%3A%2F%2Fwww.webofscience.com%2Fwos%2Fwoscc%2Ffull-record%2FWOS:000695741400005","View Full Record in Web of Science")</f>
        <v>View Full Record in Web of Science</v>
      </c>
    </row>
    <row r="320" spans="1:73" x14ac:dyDescent="0.25">
      <c r="A320" s="1">
        <v>319</v>
      </c>
      <c r="B320" s="1" t="s">
        <v>1506</v>
      </c>
      <c r="C320" s="1" t="s">
        <v>8793</v>
      </c>
      <c r="D320" s="1" t="s">
        <v>1507</v>
      </c>
      <c r="E320" s="1" t="s">
        <v>1507</v>
      </c>
      <c r="F320" s="1" t="s">
        <v>1507</v>
      </c>
      <c r="G320" s="1" t="s">
        <v>9215</v>
      </c>
      <c r="H320" s="1" t="s">
        <v>1507</v>
      </c>
      <c r="I320" s="1" t="s">
        <v>1507</v>
      </c>
      <c r="J320" s="1" t="s">
        <v>9216</v>
      </c>
      <c r="K320" s="1" t="s">
        <v>7697</v>
      </c>
      <c r="L320" s="1" t="s">
        <v>1507</v>
      </c>
      <c r="M320" s="1" t="s">
        <v>1507</v>
      </c>
      <c r="N320" s="1" t="s">
        <v>42</v>
      </c>
      <c r="O320" s="1" t="s">
        <v>56</v>
      </c>
      <c r="P320" s="1" t="s">
        <v>1507</v>
      </c>
      <c r="Q320" s="1" t="s">
        <v>1507</v>
      </c>
      <c r="R320" s="1" t="s">
        <v>1507</v>
      </c>
      <c r="S320" s="1" t="s">
        <v>1507</v>
      </c>
      <c r="T320" s="1" t="s">
        <v>1507</v>
      </c>
      <c r="U320" s="1" t="s">
        <v>1507</v>
      </c>
      <c r="V320" s="1" t="s">
        <v>9217</v>
      </c>
      <c r="W320" s="1" t="s">
        <v>9218</v>
      </c>
      <c r="X320" s="1" t="s">
        <v>9219</v>
      </c>
      <c r="Y320" s="1" t="s">
        <v>1683</v>
      </c>
      <c r="Z320" s="1" t="s">
        <v>9220</v>
      </c>
      <c r="AA320" s="1" t="s">
        <v>9221</v>
      </c>
      <c r="AB320" s="1" t="s">
        <v>1507</v>
      </c>
      <c r="AC320" s="1" t="s">
        <v>1507</v>
      </c>
      <c r="AD320" s="1" t="s">
        <v>9222</v>
      </c>
      <c r="AE320" s="1" t="s">
        <v>9222</v>
      </c>
      <c r="AF320" s="1" t="s">
        <v>9223</v>
      </c>
      <c r="AG320" s="1" t="s">
        <v>1507</v>
      </c>
      <c r="AH320" s="1">
        <v>74</v>
      </c>
      <c r="AI320" s="1">
        <v>0</v>
      </c>
      <c r="AJ320" s="1">
        <v>0</v>
      </c>
      <c r="AK320" s="1">
        <v>0</v>
      </c>
      <c r="AL320" s="1">
        <v>1</v>
      </c>
      <c r="AM320" s="1" t="s">
        <v>7708</v>
      </c>
      <c r="AN320" s="1" t="s">
        <v>7709</v>
      </c>
      <c r="AO320" s="1" t="s">
        <v>7710</v>
      </c>
      <c r="AP320" s="1" t="s">
        <v>7711</v>
      </c>
      <c r="AQ320" s="1" t="s">
        <v>1507</v>
      </c>
      <c r="AR320" s="1" t="s">
        <v>1507</v>
      </c>
      <c r="AS320" s="1" t="s">
        <v>7712</v>
      </c>
      <c r="AT320" s="1" t="s">
        <v>7713</v>
      </c>
      <c r="AU320" s="1" t="s">
        <v>1507</v>
      </c>
      <c r="AV320" s="1">
        <v>2021</v>
      </c>
      <c r="AW320" s="1">
        <v>51</v>
      </c>
      <c r="AX320" s="1" t="s">
        <v>1507</v>
      </c>
      <c r="AY320" s="1">
        <v>1</v>
      </c>
      <c r="AZ320" s="1" t="s">
        <v>1507</v>
      </c>
      <c r="BA320" s="1" t="s">
        <v>1507</v>
      </c>
      <c r="BB320" s="1" t="s">
        <v>1507</v>
      </c>
      <c r="BC320" s="1">
        <v>169</v>
      </c>
      <c r="BD320" s="1">
        <v>201</v>
      </c>
      <c r="BE320" s="1" t="s">
        <v>1507</v>
      </c>
      <c r="BF320" s="1" t="s">
        <v>1507</v>
      </c>
      <c r="BG320" s="1" t="s">
        <v>1507</v>
      </c>
      <c r="BH320" s="1" t="s">
        <v>1507</v>
      </c>
      <c r="BI320" s="1" t="s">
        <v>1507</v>
      </c>
      <c r="BJ320" s="1">
        <v>33</v>
      </c>
      <c r="BK320" s="1" t="s">
        <v>1535</v>
      </c>
      <c r="BL320" s="1" t="s">
        <v>1518</v>
      </c>
      <c r="BM320" s="1" t="s">
        <v>1536</v>
      </c>
      <c r="BN320" s="1" t="s">
        <v>9224</v>
      </c>
      <c r="BO320" s="1" t="s">
        <v>1507</v>
      </c>
      <c r="BP320" s="1" t="s">
        <v>1507</v>
      </c>
      <c r="BQ320" s="1" t="s">
        <v>1507</v>
      </c>
      <c r="BR320" s="1" t="s">
        <v>1507</v>
      </c>
      <c r="BS320" s="1" t="s">
        <v>13744</v>
      </c>
      <c r="BT320" s="1" t="s">
        <v>9225</v>
      </c>
      <c r="BU320" s="1" t="str">
        <f>HYPERLINK("https%3A%2F%2Fwww.webofscience.com%2Fwos%2Fwoscc%2Ffull-record%2FWOS:000820773100009","View Full Record in Web of Science")</f>
        <v>View Full Record in Web of Science</v>
      </c>
    </row>
    <row r="321" spans="1:73" x14ac:dyDescent="0.25">
      <c r="A321" s="1">
        <v>320</v>
      </c>
      <c r="B321" s="1" t="s">
        <v>1506</v>
      </c>
      <c r="C321" s="1" t="s">
        <v>1911</v>
      </c>
      <c r="D321" s="1" t="s">
        <v>1507</v>
      </c>
      <c r="E321" s="1" t="s">
        <v>1507</v>
      </c>
      <c r="F321" s="1" t="s">
        <v>1507</v>
      </c>
      <c r="G321" s="1" t="s">
        <v>1912</v>
      </c>
      <c r="H321" s="1" t="s">
        <v>1507</v>
      </c>
      <c r="I321" s="1" t="s">
        <v>1507</v>
      </c>
      <c r="J321" s="1" t="s">
        <v>1913</v>
      </c>
      <c r="K321" s="1" t="s">
        <v>1914</v>
      </c>
      <c r="L321" s="1" t="s">
        <v>1507</v>
      </c>
      <c r="M321" s="1" t="s">
        <v>1507</v>
      </c>
      <c r="N321" s="1" t="s">
        <v>42</v>
      </c>
      <c r="O321" s="1" t="s">
        <v>56</v>
      </c>
      <c r="P321" s="1" t="s">
        <v>1507</v>
      </c>
      <c r="Q321" s="1" t="s">
        <v>1507</v>
      </c>
      <c r="R321" s="1" t="s">
        <v>1507</v>
      </c>
      <c r="S321" s="1" t="s">
        <v>1507</v>
      </c>
      <c r="T321" s="1" t="s">
        <v>1507</v>
      </c>
      <c r="U321" s="1" t="s">
        <v>1915</v>
      </c>
      <c r="V321" s="1" t="s">
        <v>1916</v>
      </c>
      <c r="W321" s="1" t="s">
        <v>1917</v>
      </c>
      <c r="X321" s="1" t="s">
        <v>1918</v>
      </c>
      <c r="Y321" s="1" t="s">
        <v>1919</v>
      </c>
      <c r="Z321" s="1" t="s">
        <v>1920</v>
      </c>
      <c r="AA321" s="1" t="s">
        <v>1921</v>
      </c>
      <c r="AB321" s="1" t="s">
        <v>1507</v>
      </c>
      <c r="AC321" s="1" t="s">
        <v>1507</v>
      </c>
      <c r="AD321" s="1" t="s">
        <v>1922</v>
      </c>
      <c r="AE321" s="1" t="s">
        <v>1923</v>
      </c>
      <c r="AF321" s="1" t="s">
        <v>1924</v>
      </c>
      <c r="AG321" s="1" t="s">
        <v>1507</v>
      </c>
      <c r="AH321" s="1">
        <v>43</v>
      </c>
      <c r="AI321" s="1">
        <v>0</v>
      </c>
      <c r="AJ321" s="1">
        <v>0</v>
      </c>
      <c r="AK321" s="1">
        <v>3</v>
      </c>
      <c r="AL321" s="1">
        <v>3</v>
      </c>
      <c r="AM321" s="1" t="s">
        <v>1925</v>
      </c>
      <c r="AN321" s="1" t="s">
        <v>1746</v>
      </c>
      <c r="AO321" s="1" t="s">
        <v>1926</v>
      </c>
      <c r="AP321" s="1" t="s">
        <v>1927</v>
      </c>
      <c r="AQ321" s="1" t="s">
        <v>1928</v>
      </c>
      <c r="AR321" s="1" t="s">
        <v>1507</v>
      </c>
      <c r="AS321" s="1" t="s">
        <v>1929</v>
      </c>
      <c r="AT321" s="1" t="s">
        <v>1930</v>
      </c>
      <c r="AU321" s="1" t="s">
        <v>5362</v>
      </c>
      <c r="AV321" s="1">
        <v>2024</v>
      </c>
      <c r="AW321" s="1">
        <v>77</v>
      </c>
      <c r="AX321" s="1" t="s">
        <v>1507</v>
      </c>
      <c r="AY321" s="1" t="s">
        <v>1507</v>
      </c>
      <c r="AZ321" s="1" t="s">
        <v>1507</v>
      </c>
      <c r="BA321" s="1" t="s">
        <v>1507</v>
      </c>
      <c r="BB321" s="1" t="s">
        <v>1507</v>
      </c>
      <c r="BC321" s="1">
        <v>29</v>
      </c>
      <c r="BD321" s="1">
        <v>38</v>
      </c>
      <c r="BE321" s="1" t="s">
        <v>1507</v>
      </c>
      <c r="BF321" s="1" t="s">
        <v>1931</v>
      </c>
      <c r="BG321" s="1" t="str">
        <f>HYPERLINK("http://dx.doi.org/10.1016/j.ajem.2023.11.063","http://dx.doi.org/10.1016/j.ajem.2023.11.063")</f>
        <v>http://dx.doi.org/10.1016/j.ajem.2023.11.063</v>
      </c>
      <c r="BH321" s="1" t="s">
        <v>1507</v>
      </c>
      <c r="BI321" s="1" t="s">
        <v>1652</v>
      </c>
      <c r="BJ321" s="1">
        <v>10</v>
      </c>
      <c r="BK321" s="1" t="s">
        <v>1932</v>
      </c>
      <c r="BL321" s="1" t="s">
        <v>1573</v>
      </c>
      <c r="BM321" s="1" t="s">
        <v>1932</v>
      </c>
      <c r="BN321" s="1" t="s">
        <v>1933</v>
      </c>
      <c r="BO321" s="1">
        <v>38096637</v>
      </c>
      <c r="BP321" s="1" t="s">
        <v>1507</v>
      </c>
      <c r="BQ321" s="1" t="s">
        <v>1507</v>
      </c>
      <c r="BR321" s="1" t="s">
        <v>1507</v>
      </c>
      <c r="BS321" s="1" t="s">
        <v>13744</v>
      </c>
      <c r="BT321" s="1" t="s">
        <v>1934</v>
      </c>
      <c r="BU321" s="1" t="str">
        <f>HYPERLINK("https%3A%2F%2Fwww.webofscience.com%2Fwos%2Fwoscc%2Ffull-record%2FWOS:001137546400001","View Full Record in Web of Science")</f>
        <v>View Full Record in Web of Science</v>
      </c>
    </row>
    <row r="322" spans="1:73" x14ac:dyDescent="0.25">
      <c r="A322" s="1">
        <v>321</v>
      </c>
      <c r="B322" s="1" t="s">
        <v>5546</v>
      </c>
      <c r="C322" s="1" t="s">
        <v>15132</v>
      </c>
      <c r="D322" s="1" t="s">
        <v>1507</v>
      </c>
      <c r="E322" s="1" t="s">
        <v>1507</v>
      </c>
      <c r="F322" s="1" t="s">
        <v>5628</v>
      </c>
      <c r="G322" s="1" t="s">
        <v>15133</v>
      </c>
      <c r="H322" s="1" t="s">
        <v>1507</v>
      </c>
      <c r="I322" s="1" t="s">
        <v>1507</v>
      </c>
      <c r="J322" s="1" t="s">
        <v>15134</v>
      </c>
      <c r="K322" s="1" t="s">
        <v>15135</v>
      </c>
      <c r="L322" s="1" t="s">
        <v>15136</v>
      </c>
      <c r="M322" s="1" t="s">
        <v>1507</v>
      </c>
      <c r="N322" s="1" t="s">
        <v>42</v>
      </c>
      <c r="O322" s="1" t="s">
        <v>5552</v>
      </c>
      <c r="P322" s="1" t="s">
        <v>15137</v>
      </c>
      <c r="Q322" s="1" t="s">
        <v>15138</v>
      </c>
      <c r="R322" s="1" t="s">
        <v>6272</v>
      </c>
      <c r="S322" s="1" t="s">
        <v>5628</v>
      </c>
      <c r="T322" s="1" t="s">
        <v>1507</v>
      </c>
      <c r="U322" s="1" t="s">
        <v>15139</v>
      </c>
      <c r="V322" s="1" t="s">
        <v>1507</v>
      </c>
      <c r="W322" s="1" t="s">
        <v>15140</v>
      </c>
      <c r="X322" s="1" t="s">
        <v>15141</v>
      </c>
      <c r="Y322" s="1" t="s">
        <v>15142</v>
      </c>
      <c r="Z322" s="1" t="s">
        <v>15143</v>
      </c>
      <c r="AA322" s="1" t="s">
        <v>15144</v>
      </c>
      <c r="AB322" s="1" t="s">
        <v>1507</v>
      </c>
      <c r="AC322" s="1" t="s">
        <v>1507</v>
      </c>
      <c r="AD322" s="1" t="s">
        <v>15145</v>
      </c>
      <c r="AE322" s="1" t="s">
        <v>15146</v>
      </c>
      <c r="AF322" s="1" t="s">
        <v>15147</v>
      </c>
      <c r="AG322" s="1" t="s">
        <v>1507</v>
      </c>
      <c r="AH322" s="1">
        <v>20</v>
      </c>
      <c r="AI322" s="1">
        <v>0</v>
      </c>
      <c r="AJ322" s="1">
        <v>0</v>
      </c>
      <c r="AK322" s="1">
        <v>0</v>
      </c>
      <c r="AL322" s="1">
        <v>0</v>
      </c>
      <c r="AM322" s="1" t="s">
        <v>5628</v>
      </c>
      <c r="AN322" s="1" t="s">
        <v>1512</v>
      </c>
      <c r="AO322" s="1" t="s">
        <v>6457</v>
      </c>
      <c r="AP322" s="1" t="s">
        <v>15148</v>
      </c>
      <c r="AQ322" s="1" t="s">
        <v>1507</v>
      </c>
      <c r="AR322" s="1" t="s">
        <v>15149</v>
      </c>
      <c r="AS322" s="1" t="s">
        <v>15150</v>
      </c>
      <c r="AT322" s="1" t="s">
        <v>1507</v>
      </c>
      <c r="AU322" s="1" t="s">
        <v>1507</v>
      </c>
      <c r="AV322" s="1">
        <v>2023</v>
      </c>
      <c r="AW322" s="1" t="s">
        <v>1507</v>
      </c>
      <c r="AX322" s="1" t="s">
        <v>1507</v>
      </c>
      <c r="AY322" s="1" t="s">
        <v>1507</v>
      </c>
      <c r="AZ322" s="1" t="s">
        <v>1507</v>
      </c>
      <c r="BA322" s="1" t="s">
        <v>1507</v>
      </c>
      <c r="BB322" s="1" t="s">
        <v>1507</v>
      </c>
      <c r="BC322" s="1" t="s">
        <v>1507</v>
      </c>
      <c r="BD322" s="1" t="s">
        <v>1507</v>
      </c>
      <c r="BE322" s="1" t="s">
        <v>1507</v>
      </c>
      <c r="BF322" s="1" t="s">
        <v>15151</v>
      </c>
      <c r="BG322" s="1" t="str">
        <f>HYPERLINK("http://dx.doi.org/10.1109/HPEC58863.2023.10363534","http://dx.doi.org/10.1109/HPEC58863.2023.10363534")</f>
        <v>http://dx.doi.org/10.1109/HPEC58863.2023.10363534</v>
      </c>
      <c r="BH322" s="1" t="s">
        <v>1507</v>
      </c>
      <c r="BI322" s="1" t="s">
        <v>1507</v>
      </c>
      <c r="BJ322" s="1">
        <v>7</v>
      </c>
      <c r="BK322" s="1" t="s">
        <v>15152</v>
      </c>
      <c r="BL322" s="1" t="s">
        <v>5570</v>
      </c>
      <c r="BM322" s="1" t="s">
        <v>1578</v>
      </c>
      <c r="BN322" s="1" t="s">
        <v>15153</v>
      </c>
      <c r="BO322" s="1" t="s">
        <v>1507</v>
      </c>
      <c r="BP322" s="1" t="s">
        <v>1600</v>
      </c>
      <c r="BQ322" s="1" t="s">
        <v>1507</v>
      </c>
      <c r="BR322" s="1" t="s">
        <v>1507</v>
      </c>
      <c r="BS322" s="1" t="s">
        <v>13744</v>
      </c>
      <c r="BT322" s="1" t="s">
        <v>15154</v>
      </c>
      <c r="BU322" s="1" t="str">
        <f>HYPERLINK("https%3A%2F%2Fwww.webofscience.com%2Fwos%2Fwoscc%2Ffull-record%2FWOS:001156959800048","View Full Record in Web of Science")</f>
        <v>View Full Record in Web of Science</v>
      </c>
    </row>
    <row r="323" spans="1:73" x14ac:dyDescent="0.25">
      <c r="A323" s="1">
        <v>322</v>
      </c>
      <c r="B323" s="1" t="s">
        <v>1506</v>
      </c>
      <c r="C323" s="1" t="s">
        <v>8333</v>
      </c>
      <c r="D323" s="1" t="s">
        <v>1507</v>
      </c>
      <c r="E323" s="1" t="s">
        <v>1507</v>
      </c>
      <c r="F323" s="1" t="s">
        <v>1507</v>
      </c>
      <c r="G323" s="1" t="s">
        <v>8334</v>
      </c>
      <c r="H323" s="1" t="s">
        <v>1507</v>
      </c>
      <c r="I323" s="1" t="s">
        <v>1507</v>
      </c>
      <c r="J323" s="1" t="s">
        <v>8335</v>
      </c>
      <c r="K323" s="1" t="s">
        <v>8336</v>
      </c>
      <c r="L323" s="1" t="s">
        <v>1507</v>
      </c>
      <c r="M323" s="1" t="s">
        <v>1507</v>
      </c>
      <c r="N323" s="1" t="s">
        <v>42</v>
      </c>
      <c r="O323" s="1" t="s">
        <v>56</v>
      </c>
      <c r="P323" s="1" t="s">
        <v>1507</v>
      </c>
      <c r="Q323" s="1" t="s">
        <v>1507</v>
      </c>
      <c r="R323" s="1" t="s">
        <v>1507</v>
      </c>
      <c r="S323" s="1" t="s">
        <v>1507</v>
      </c>
      <c r="T323" s="1" t="s">
        <v>1507</v>
      </c>
      <c r="U323" s="1" t="s">
        <v>8337</v>
      </c>
      <c r="V323" s="1" t="s">
        <v>8338</v>
      </c>
      <c r="W323" s="1" t="s">
        <v>8339</v>
      </c>
      <c r="X323" s="1" t="s">
        <v>8340</v>
      </c>
      <c r="Y323" s="1" t="s">
        <v>15719</v>
      </c>
      <c r="Z323" s="1" t="s">
        <v>8341</v>
      </c>
      <c r="AA323" s="1" t="s">
        <v>8342</v>
      </c>
      <c r="AB323" s="1" t="s">
        <v>15720</v>
      </c>
      <c r="AC323" s="1" t="s">
        <v>15721</v>
      </c>
      <c r="AD323" s="1" t="s">
        <v>8343</v>
      </c>
      <c r="AE323" s="1" t="s">
        <v>8344</v>
      </c>
      <c r="AF323" s="1" t="s">
        <v>8345</v>
      </c>
      <c r="AG323" s="1" t="s">
        <v>1507</v>
      </c>
      <c r="AH323" s="1">
        <v>66</v>
      </c>
      <c r="AI323" s="1">
        <v>9</v>
      </c>
      <c r="AJ323" s="1">
        <v>9</v>
      </c>
      <c r="AK323" s="1">
        <v>1</v>
      </c>
      <c r="AL323" s="1">
        <v>16</v>
      </c>
      <c r="AM323" s="1" t="s">
        <v>1610</v>
      </c>
      <c r="AN323" s="1" t="s">
        <v>1611</v>
      </c>
      <c r="AO323" s="1" t="s">
        <v>1612</v>
      </c>
      <c r="AP323" s="1" t="s">
        <v>1507</v>
      </c>
      <c r="AQ323" s="1" t="s">
        <v>8346</v>
      </c>
      <c r="AR323" s="1" t="s">
        <v>1507</v>
      </c>
      <c r="AS323" s="1" t="s">
        <v>8336</v>
      </c>
      <c r="AT323" s="1" t="s">
        <v>8347</v>
      </c>
      <c r="AU323" s="1" t="s">
        <v>4336</v>
      </c>
      <c r="AV323" s="1">
        <v>2021</v>
      </c>
      <c r="AW323" s="1">
        <v>13</v>
      </c>
      <c r="AX323" s="1">
        <v>8</v>
      </c>
      <c r="AY323" s="1" t="s">
        <v>1507</v>
      </c>
      <c r="AZ323" s="1" t="s">
        <v>1507</v>
      </c>
      <c r="BA323" s="1" t="s">
        <v>1507</v>
      </c>
      <c r="BB323" s="1" t="s">
        <v>1507</v>
      </c>
      <c r="BC323" s="1" t="s">
        <v>1507</v>
      </c>
      <c r="BD323" s="1" t="s">
        <v>1507</v>
      </c>
      <c r="BE323" s="1">
        <v>564</v>
      </c>
      <c r="BF323" s="1" t="s">
        <v>8348</v>
      </c>
      <c r="BG323" s="1" t="str">
        <f>HYPERLINK("http://dx.doi.org/10.3390/toxins13080564","http://dx.doi.org/10.3390/toxins13080564")</f>
        <v>http://dx.doi.org/10.3390/toxins13080564</v>
      </c>
      <c r="BH323" s="1" t="s">
        <v>1507</v>
      </c>
      <c r="BI323" s="1" t="s">
        <v>1507</v>
      </c>
      <c r="BJ323" s="1">
        <v>19</v>
      </c>
      <c r="BK323" s="1" t="s">
        <v>8349</v>
      </c>
      <c r="BL323" s="1" t="s">
        <v>1573</v>
      </c>
      <c r="BM323" s="1" t="s">
        <v>8349</v>
      </c>
      <c r="BN323" s="1" t="s">
        <v>8350</v>
      </c>
      <c r="BO323" s="1">
        <v>34437435</v>
      </c>
      <c r="BP323" s="1" t="s">
        <v>1952</v>
      </c>
      <c r="BQ323" s="1" t="s">
        <v>1507</v>
      </c>
      <c r="BR323" s="1" t="s">
        <v>1507</v>
      </c>
      <c r="BS323" s="1" t="s">
        <v>13744</v>
      </c>
      <c r="BT323" s="1" t="s">
        <v>8351</v>
      </c>
      <c r="BU323" s="1" t="str">
        <f>HYPERLINK("https%3A%2F%2Fwww.webofscience.com%2Fwos%2Fwoscc%2Ffull-record%2FWOS:000690137800001","View Full Record in Web of Science")</f>
        <v>View Full Record in Web of Science</v>
      </c>
    </row>
    <row r="324" spans="1:73" x14ac:dyDescent="0.25">
      <c r="A324" s="1">
        <v>323</v>
      </c>
      <c r="B324" s="1" t="s">
        <v>1506</v>
      </c>
      <c r="C324" s="1" t="s">
        <v>9226</v>
      </c>
      <c r="D324" s="1" t="s">
        <v>1507</v>
      </c>
      <c r="E324" s="1" t="s">
        <v>1507</v>
      </c>
      <c r="F324" s="1" t="s">
        <v>1507</v>
      </c>
      <c r="G324" s="1" t="s">
        <v>9227</v>
      </c>
      <c r="H324" s="1" t="s">
        <v>1507</v>
      </c>
      <c r="I324" s="1" t="s">
        <v>1507</v>
      </c>
      <c r="J324" s="1" t="s">
        <v>9228</v>
      </c>
      <c r="K324" s="1" t="s">
        <v>9229</v>
      </c>
      <c r="L324" s="1" t="s">
        <v>1507</v>
      </c>
      <c r="M324" s="1" t="s">
        <v>1507</v>
      </c>
      <c r="N324" s="1" t="s">
        <v>42</v>
      </c>
      <c r="O324" s="1" t="s">
        <v>56</v>
      </c>
      <c r="P324" s="1" t="s">
        <v>1507</v>
      </c>
      <c r="Q324" s="1" t="s">
        <v>1507</v>
      </c>
      <c r="R324" s="1" t="s">
        <v>1507</v>
      </c>
      <c r="S324" s="1" t="s">
        <v>1507</v>
      </c>
      <c r="T324" s="1" t="s">
        <v>1507</v>
      </c>
      <c r="U324" s="1" t="s">
        <v>1507</v>
      </c>
      <c r="V324" s="1" t="s">
        <v>9230</v>
      </c>
      <c r="W324" s="1" t="s">
        <v>9231</v>
      </c>
      <c r="X324" s="1" t="s">
        <v>9232</v>
      </c>
      <c r="Y324" s="1" t="s">
        <v>9233</v>
      </c>
      <c r="Z324" s="1" t="s">
        <v>9234</v>
      </c>
      <c r="AA324" s="1" t="s">
        <v>1507</v>
      </c>
      <c r="AB324" s="1" t="s">
        <v>1507</v>
      </c>
      <c r="AC324" s="1" t="s">
        <v>1507</v>
      </c>
      <c r="AD324" s="1" t="s">
        <v>9235</v>
      </c>
      <c r="AE324" s="1" t="s">
        <v>9235</v>
      </c>
      <c r="AF324" s="1" t="s">
        <v>9236</v>
      </c>
      <c r="AG324" s="1" t="s">
        <v>1507</v>
      </c>
      <c r="AH324" s="1">
        <v>66</v>
      </c>
      <c r="AI324" s="1">
        <v>0</v>
      </c>
      <c r="AJ324" s="1">
        <v>0</v>
      </c>
      <c r="AK324" s="1">
        <v>0</v>
      </c>
      <c r="AL324" s="1">
        <v>1</v>
      </c>
      <c r="AM324" s="1" t="s">
        <v>9237</v>
      </c>
      <c r="AN324" s="1" t="s">
        <v>9238</v>
      </c>
      <c r="AO324" s="1" t="s">
        <v>9239</v>
      </c>
      <c r="AP324" s="1" t="s">
        <v>9240</v>
      </c>
      <c r="AQ324" s="1" t="s">
        <v>1507</v>
      </c>
      <c r="AR324" s="1" t="s">
        <v>1507</v>
      </c>
      <c r="AS324" s="1" t="s">
        <v>9241</v>
      </c>
      <c r="AT324" s="1" t="s">
        <v>9242</v>
      </c>
      <c r="AU324" s="1" t="s">
        <v>1507</v>
      </c>
      <c r="AV324" s="1">
        <v>2021</v>
      </c>
      <c r="AW324" s="1">
        <v>31</v>
      </c>
      <c r="AX324" s="1">
        <v>3</v>
      </c>
      <c r="AY324" s="1" t="s">
        <v>1507</v>
      </c>
      <c r="AZ324" s="1" t="s">
        <v>1507</v>
      </c>
      <c r="BA324" s="1" t="s">
        <v>1507</v>
      </c>
      <c r="BB324" s="1" t="s">
        <v>1507</v>
      </c>
      <c r="BC324" s="1">
        <v>223</v>
      </c>
      <c r="BD324" s="1">
        <v>234</v>
      </c>
      <c r="BE324" s="1" t="s">
        <v>1507</v>
      </c>
      <c r="BF324" s="1" t="s">
        <v>1507</v>
      </c>
      <c r="BG324" s="1" t="s">
        <v>1507</v>
      </c>
      <c r="BH324" s="1" t="s">
        <v>1507</v>
      </c>
      <c r="BI324" s="1" t="s">
        <v>1507</v>
      </c>
      <c r="BJ324" s="1">
        <v>12</v>
      </c>
      <c r="BK324" s="1" t="s">
        <v>1535</v>
      </c>
      <c r="BL324" s="1" t="s">
        <v>1529</v>
      </c>
      <c r="BM324" s="1" t="s">
        <v>1536</v>
      </c>
      <c r="BN324" s="1" t="s">
        <v>9243</v>
      </c>
      <c r="BO324" s="1" t="s">
        <v>1507</v>
      </c>
      <c r="BP324" s="1" t="s">
        <v>1507</v>
      </c>
      <c r="BQ324" s="1" t="s">
        <v>1507</v>
      </c>
      <c r="BR324" s="1" t="s">
        <v>1507</v>
      </c>
      <c r="BS324" s="1" t="s">
        <v>13744</v>
      </c>
      <c r="BT324" s="1" t="s">
        <v>9244</v>
      </c>
      <c r="BU324" s="1" t="str">
        <f>HYPERLINK("https%3A%2F%2Fwww.webofscience.com%2Fwos%2Fwoscc%2Ffull-record%2FWOS:000727303100005","View Full Record in Web of Science")</f>
        <v>View Full Record in Web of Science</v>
      </c>
    </row>
    <row r="325" spans="1:73" x14ac:dyDescent="0.25">
      <c r="A325" s="1">
        <v>324</v>
      </c>
      <c r="B325" s="1" t="s">
        <v>1506</v>
      </c>
      <c r="C325" s="1" t="s">
        <v>9752</v>
      </c>
      <c r="D325" s="1" t="s">
        <v>1507</v>
      </c>
      <c r="E325" s="1" t="s">
        <v>1507</v>
      </c>
      <c r="F325" s="1" t="s">
        <v>1507</v>
      </c>
      <c r="G325" s="1" t="s">
        <v>9753</v>
      </c>
      <c r="H325" s="1" t="s">
        <v>1507</v>
      </c>
      <c r="I325" s="1" t="s">
        <v>1507</v>
      </c>
      <c r="J325" s="1" t="s">
        <v>9754</v>
      </c>
      <c r="K325" s="1" t="s">
        <v>9755</v>
      </c>
      <c r="L325" s="1" t="s">
        <v>1507</v>
      </c>
      <c r="M325" s="1" t="s">
        <v>1507</v>
      </c>
      <c r="N325" s="1" t="s">
        <v>42</v>
      </c>
      <c r="O325" s="1" t="s">
        <v>56</v>
      </c>
      <c r="P325" s="1" t="s">
        <v>1507</v>
      </c>
      <c r="Q325" s="1" t="s">
        <v>1507</v>
      </c>
      <c r="R325" s="1" t="s">
        <v>1507</v>
      </c>
      <c r="S325" s="1" t="s">
        <v>1507</v>
      </c>
      <c r="T325" s="1" t="s">
        <v>1507</v>
      </c>
      <c r="U325" s="1" t="s">
        <v>9756</v>
      </c>
      <c r="V325" s="1" t="s">
        <v>9757</v>
      </c>
      <c r="W325" s="1" t="s">
        <v>9758</v>
      </c>
      <c r="X325" s="1" t="s">
        <v>9759</v>
      </c>
      <c r="Y325" s="1" t="s">
        <v>9760</v>
      </c>
      <c r="Z325" s="1" t="s">
        <v>9761</v>
      </c>
      <c r="AA325" s="1" t="s">
        <v>9762</v>
      </c>
      <c r="AB325" s="1" t="s">
        <v>9763</v>
      </c>
      <c r="AC325" s="1" t="s">
        <v>15807</v>
      </c>
      <c r="AD325" s="1" t="s">
        <v>9764</v>
      </c>
      <c r="AE325" s="1" t="s">
        <v>9765</v>
      </c>
      <c r="AF325" s="1" t="s">
        <v>9766</v>
      </c>
      <c r="AG325" s="1" t="s">
        <v>1507</v>
      </c>
      <c r="AH325" s="1">
        <v>34</v>
      </c>
      <c r="AI325" s="1">
        <v>11</v>
      </c>
      <c r="AJ325" s="1">
        <v>11</v>
      </c>
      <c r="AK325" s="1">
        <v>2</v>
      </c>
      <c r="AL325" s="1">
        <v>11</v>
      </c>
      <c r="AM325" s="1" t="s">
        <v>1559</v>
      </c>
      <c r="AN325" s="1" t="s">
        <v>1560</v>
      </c>
      <c r="AO325" s="1" t="s">
        <v>1561</v>
      </c>
      <c r="AP325" s="1" t="s">
        <v>9767</v>
      </c>
      <c r="AQ325" s="1" t="s">
        <v>9768</v>
      </c>
      <c r="AR325" s="1" t="s">
        <v>1507</v>
      </c>
      <c r="AS325" s="1" t="s">
        <v>9769</v>
      </c>
      <c r="AT325" s="1" t="s">
        <v>9770</v>
      </c>
      <c r="AU325" s="1" t="s">
        <v>2771</v>
      </c>
      <c r="AV325" s="1">
        <v>2020</v>
      </c>
      <c r="AW325" s="1">
        <v>14</v>
      </c>
      <c r="AX325" s="1">
        <v>6</v>
      </c>
      <c r="AY325" s="1" t="s">
        <v>1507</v>
      </c>
      <c r="AZ325" s="1" t="s">
        <v>1507</v>
      </c>
      <c r="BA325" s="1" t="s">
        <v>1507</v>
      </c>
      <c r="BB325" s="1" t="s">
        <v>1507</v>
      </c>
      <c r="BC325" s="1">
        <v>720</v>
      </c>
      <c r="BD325" s="1">
        <v>729</v>
      </c>
      <c r="BE325" s="1" t="s">
        <v>1507</v>
      </c>
      <c r="BF325" s="1" t="s">
        <v>9771</v>
      </c>
      <c r="BG325" s="1" t="str">
        <f>HYPERLINK("http://dx.doi.org/10.1111/irv.12769","http://dx.doi.org/10.1111/irv.12769")</f>
        <v>http://dx.doi.org/10.1111/irv.12769</v>
      </c>
      <c r="BH325" s="1" t="s">
        <v>1507</v>
      </c>
      <c r="BI325" s="1" t="s">
        <v>9748</v>
      </c>
      <c r="BJ325" s="1">
        <v>10</v>
      </c>
      <c r="BK325" s="1" t="s">
        <v>9772</v>
      </c>
      <c r="BL325" s="1" t="s">
        <v>1573</v>
      </c>
      <c r="BM325" s="1" t="s">
        <v>9772</v>
      </c>
      <c r="BN325" s="1" t="s">
        <v>9773</v>
      </c>
      <c r="BO325" s="1">
        <v>32519796</v>
      </c>
      <c r="BP325" s="1" t="s">
        <v>5071</v>
      </c>
      <c r="BQ325" s="1" t="s">
        <v>1507</v>
      </c>
      <c r="BR325" s="1" t="s">
        <v>1507</v>
      </c>
      <c r="BS325" s="1" t="s">
        <v>13744</v>
      </c>
      <c r="BT325" s="1" t="s">
        <v>9774</v>
      </c>
      <c r="BU325" s="1" t="str">
        <f>HYPERLINK("https%3A%2F%2Fwww.webofscience.com%2Fwos%2Fwoscc%2Ffull-record%2FWOS:000547924200001","View Full Record in Web of Science")</f>
        <v>View Full Record in Web of Science</v>
      </c>
    </row>
    <row r="326" spans="1:73" x14ac:dyDescent="0.25">
      <c r="A326" s="1">
        <v>325</v>
      </c>
      <c r="B326" s="1" t="s">
        <v>1506</v>
      </c>
      <c r="C326" s="1" t="s">
        <v>15155</v>
      </c>
      <c r="D326" s="1" t="s">
        <v>1507</v>
      </c>
      <c r="E326" s="1" t="s">
        <v>1507</v>
      </c>
      <c r="F326" s="1" t="s">
        <v>1507</v>
      </c>
      <c r="G326" s="1" t="s">
        <v>15156</v>
      </c>
      <c r="H326" s="1" t="s">
        <v>1507</v>
      </c>
      <c r="I326" s="1" t="s">
        <v>1507</v>
      </c>
      <c r="J326" s="1" t="s">
        <v>1163</v>
      </c>
      <c r="K326" s="1" t="s">
        <v>5976</v>
      </c>
      <c r="L326" s="1" t="s">
        <v>1507</v>
      </c>
      <c r="M326" s="1" t="s">
        <v>1507</v>
      </c>
      <c r="N326" s="1" t="s">
        <v>42</v>
      </c>
      <c r="O326" s="1" t="s">
        <v>13950</v>
      </c>
      <c r="P326" s="1" t="s">
        <v>1507</v>
      </c>
      <c r="Q326" s="1" t="s">
        <v>1507</v>
      </c>
      <c r="R326" s="1" t="s">
        <v>1507</v>
      </c>
      <c r="S326" s="1" t="s">
        <v>1507</v>
      </c>
      <c r="T326" s="1" t="s">
        <v>1507</v>
      </c>
      <c r="U326" s="1" t="s">
        <v>15157</v>
      </c>
      <c r="V326" s="1" t="s">
        <v>15158</v>
      </c>
      <c r="W326" s="1" t="s">
        <v>15159</v>
      </c>
      <c r="X326" s="1" t="s">
        <v>15160</v>
      </c>
      <c r="Y326" s="1" t="s">
        <v>15161</v>
      </c>
      <c r="Z326" s="1" t="s">
        <v>15162</v>
      </c>
      <c r="AA326" s="1" t="s">
        <v>15163</v>
      </c>
      <c r="AB326" s="1" t="s">
        <v>15164</v>
      </c>
      <c r="AC326" s="1" t="s">
        <v>15165</v>
      </c>
      <c r="AD326" s="1" t="s">
        <v>1507</v>
      </c>
      <c r="AE326" s="1" t="s">
        <v>1507</v>
      </c>
      <c r="AF326" s="1" t="s">
        <v>1507</v>
      </c>
      <c r="AG326" s="1" t="s">
        <v>1507</v>
      </c>
      <c r="AH326" s="1">
        <v>57</v>
      </c>
      <c r="AI326" s="1">
        <v>2</v>
      </c>
      <c r="AJ326" s="1">
        <v>2</v>
      </c>
      <c r="AK326" s="1">
        <v>3</v>
      </c>
      <c r="AL326" s="1">
        <v>3</v>
      </c>
      <c r="AM326" s="1" t="s">
        <v>1667</v>
      </c>
      <c r="AN326" s="1" t="s">
        <v>1668</v>
      </c>
      <c r="AO326" s="1" t="s">
        <v>1669</v>
      </c>
      <c r="AP326" s="1" t="s">
        <v>5983</v>
      </c>
      <c r="AQ326" s="1" t="s">
        <v>1507</v>
      </c>
      <c r="AR326" s="1" t="s">
        <v>1507</v>
      </c>
      <c r="AS326" s="1" t="s">
        <v>5984</v>
      </c>
      <c r="AT326" s="1" t="s">
        <v>1003</v>
      </c>
      <c r="AU326" s="1" t="s">
        <v>1507</v>
      </c>
      <c r="AV326" s="1">
        <v>2023</v>
      </c>
      <c r="AW326" s="1">
        <v>9</v>
      </c>
      <c r="AX326" s="1" t="s">
        <v>1507</v>
      </c>
      <c r="AY326" s="1" t="s">
        <v>1507</v>
      </c>
      <c r="AZ326" s="1" t="s">
        <v>1507</v>
      </c>
      <c r="BA326" s="1" t="s">
        <v>1507</v>
      </c>
      <c r="BB326" s="1" t="s">
        <v>1507</v>
      </c>
      <c r="BC326" s="1" t="s">
        <v>1507</v>
      </c>
      <c r="BD326" s="1" t="s">
        <v>1507</v>
      </c>
      <c r="BE326" s="1" t="s">
        <v>1164</v>
      </c>
      <c r="BF326" s="1" t="s">
        <v>1165</v>
      </c>
      <c r="BG326" s="1" t="str">
        <f>HYPERLINK("http://dx.doi.org/10.2196/51494","http://dx.doi.org/10.2196/51494")</f>
        <v>http://dx.doi.org/10.2196/51494</v>
      </c>
      <c r="BH326" s="1" t="s">
        <v>1507</v>
      </c>
      <c r="BI326" s="1" t="s">
        <v>1507</v>
      </c>
      <c r="BJ326" s="1">
        <v>7</v>
      </c>
      <c r="BK326" s="1" t="s">
        <v>2721</v>
      </c>
      <c r="BL326" s="1" t="s">
        <v>1529</v>
      </c>
      <c r="BM326" s="1" t="s">
        <v>1558</v>
      </c>
      <c r="BN326" s="1" t="s">
        <v>15166</v>
      </c>
      <c r="BO326" s="1">
        <v>37610808</v>
      </c>
      <c r="BP326" s="1" t="s">
        <v>1674</v>
      </c>
      <c r="BQ326" s="1" t="s">
        <v>1507</v>
      </c>
      <c r="BR326" s="1" t="s">
        <v>1507</v>
      </c>
      <c r="BS326" s="1" t="s">
        <v>13744</v>
      </c>
      <c r="BT326" s="1" t="s">
        <v>15167</v>
      </c>
      <c r="BU326" s="1" t="str">
        <f>HYPERLINK("https%3A%2F%2Fwww.webofscience.com%2Fwos%2Fwoscc%2Ffull-record%2FWOS:001155880300009","View Full Record in Web of Science")</f>
        <v>View Full Record in Web of Science</v>
      </c>
    </row>
    <row r="327" spans="1:73" x14ac:dyDescent="0.25">
      <c r="A327" s="1">
        <v>326</v>
      </c>
      <c r="B327" s="1" t="s">
        <v>1506</v>
      </c>
      <c r="C327" s="1" t="s">
        <v>6921</v>
      </c>
      <c r="D327" s="1" t="s">
        <v>1507</v>
      </c>
      <c r="E327" s="1" t="s">
        <v>1507</v>
      </c>
      <c r="F327" s="1" t="s">
        <v>1507</v>
      </c>
      <c r="G327" s="1" t="s">
        <v>6922</v>
      </c>
      <c r="H327" s="1" t="s">
        <v>1507</v>
      </c>
      <c r="I327" s="1" t="s">
        <v>1507</v>
      </c>
      <c r="J327" s="1" t="s">
        <v>6923</v>
      </c>
      <c r="K327" s="1" t="s">
        <v>6924</v>
      </c>
      <c r="L327" s="1" t="s">
        <v>1507</v>
      </c>
      <c r="M327" s="1" t="s">
        <v>1507</v>
      </c>
      <c r="N327" s="1" t="s">
        <v>42</v>
      </c>
      <c r="O327" s="1" t="s">
        <v>56</v>
      </c>
      <c r="P327" s="1" t="s">
        <v>1507</v>
      </c>
      <c r="Q327" s="1" t="s">
        <v>1507</v>
      </c>
      <c r="R327" s="1" t="s">
        <v>1507</v>
      </c>
      <c r="S327" s="1" t="s">
        <v>1507</v>
      </c>
      <c r="T327" s="1" t="s">
        <v>1507</v>
      </c>
      <c r="U327" s="1" t="s">
        <v>6925</v>
      </c>
      <c r="V327" s="1" t="s">
        <v>6926</v>
      </c>
      <c r="W327" s="1" t="s">
        <v>6927</v>
      </c>
      <c r="X327" s="1" t="s">
        <v>6928</v>
      </c>
      <c r="Y327" s="1" t="s">
        <v>6929</v>
      </c>
      <c r="Z327" s="1" t="s">
        <v>6930</v>
      </c>
      <c r="AA327" s="1" t="s">
        <v>6931</v>
      </c>
      <c r="AB327" s="1" t="s">
        <v>15589</v>
      </c>
      <c r="AC327" s="1" t="s">
        <v>6932</v>
      </c>
      <c r="AD327" s="1" t="s">
        <v>6933</v>
      </c>
      <c r="AE327" s="1" t="s">
        <v>6934</v>
      </c>
      <c r="AF327" s="1" t="s">
        <v>6935</v>
      </c>
      <c r="AG327" s="1" t="s">
        <v>1507</v>
      </c>
      <c r="AH327" s="1">
        <v>33</v>
      </c>
      <c r="AI327" s="1">
        <v>2</v>
      </c>
      <c r="AJ327" s="1">
        <v>2</v>
      </c>
      <c r="AK327" s="1">
        <v>0</v>
      </c>
      <c r="AL327" s="1">
        <v>1</v>
      </c>
      <c r="AM327" s="1" t="s">
        <v>1559</v>
      </c>
      <c r="AN327" s="1" t="s">
        <v>1560</v>
      </c>
      <c r="AO327" s="1" t="s">
        <v>1561</v>
      </c>
      <c r="AP327" s="1" t="s">
        <v>6936</v>
      </c>
      <c r="AQ327" s="1" t="s">
        <v>6937</v>
      </c>
      <c r="AR327" s="1" t="s">
        <v>1507</v>
      </c>
      <c r="AS327" s="1" t="s">
        <v>6938</v>
      </c>
      <c r="AT327" s="1" t="s">
        <v>6939</v>
      </c>
      <c r="AU327" s="1" t="s">
        <v>2889</v>
      </c>
      <c r="AV327" s="1">
        <v>2023</v>
      </c>
      <c r="AW327" s="1">
        <v>29</v>
      </c>
      <c r="AX327" s="1">
        <v>7</v>
      </c>
      <c r="AY327" s="1" t="s">
        <v>1507</v>
      </c>
      <c r="AZ327" s="1" t="s">
        <v>1507</v>
      </c>
      <c r="BA327" s="1" t="s">
        <v>1507</v>
      </c>
      <c r="BB327" s="1" t="s">
        <v>1507</v>
      </c>
      <c r="BC327" s="1">
        <v>2650</v>
      </c>
      <c r="BD327" s="1">
        <v>2657</v>
      </c>
      <c r="BE327" s="1" t="s">
        <v>1507</v>
      </c>
      <c r="BF327" s="1" t="s">
        <v>6940</v>
      </c>
      <c r="BG327" s="1" t="str">
        <f>HYPERLINK("http://dx.doi.org/10.1111/odi.14340","http://dx.doi.org/10.1111/odi.14340")</f>
        <v>http://dx.doi.org/10.1111/odi.14340</v>
      </c>
      <c r="BH327" s="1" t="s">
        <v>1507</v>
      </c>
      <c r="BI327" s="1" t="s">
        <v>6910</v>
      </c>
      <c r="BJ327" s="1">
        <v>8</v>
      </c>
      <c r="BK327" s="1" t="s">
        <v>6941</v>
      </c>
      <c r="BL327" s="1" t="s">
        <v>1573</v>
      </c>
      <c r="BM327" s="1" t="s">
        <v>6941</v>
      </c>
      <c r="BN327" s="1" t="s">
        <v>6942</v>
      </c>
      <c r="BO327" s="1">
        <v>35925052</v>
      </c>
      <c r="BP327" s="1" t="s">
        <v>1507</v>
      </c>
      <c r="BQ327" s="1" t="s">
        <v>1507</v>
      </c>
      <c r="BR327" s="1" t="s">
        <v>1507</v>
      </c>
      <c r="BS327" s="1" t="s">
        <v>13744</v>
      </c>
      <c r="BT327" s="1" t="s">
        <v>6943</v>
      </c>
      <c r="BU327" s="1" t="str">
        <f>HYPERLINK("https%3A%2F%2Fwww.webofscience.com%2Fwos%2Fwoscc%2Ffull-record%2FWOS:000852977200001","View Full Record in Web of Science")</f>
        <v>View Full Record in Web of Science</v>
      </c>
    </row>
    <row r="328" spans="1:73" x14ac:dyDescent="0.25">
      <c r="A328" s="1">
        <v>327</v>
      </c>
      <c r="B328" s="1" t="s">
        <v>1506</v>
      </c>
      <c r="C328" s="1" t="s">
        <v>13824</v>
      </c>
      <c r="D328" s="1" t="s">
        <v>1507</v>
      </c>
      <c r="E328" s="1" t="s">
        <v>1507</v>
      </c>
      <c r="F328" s="1" t="s">
        <v>1507</v>
      </c>
      <c r="G328" s="1" t="s">
        <v>13825</v>
      </c>
      <c r="H328" s="1" t="s">
        <v>1507</v>
      </c>
      <c r="I328" s="1" t="s">
        <v>1507</v>
      </c>
      <c r="J328" s="1" t="s">
        <v>13826</v>
      </c>
      <c r="K328" s="1" t="s">
        <v>2159</v>
      </c>
      <c r="L328" s="1" t="s">
        <v>1507</v>
      </c>
      <c r="M328" s="1" t="s">
        <v>1507</v>
      </c>
      <c r="N328" s="1" t="s">
        <v>42</v>
      </c>
      <c r="O328" s="1" t="s">
        <v>12366</v>
      </c>
      <c r="P328" s="1" t="s">
        <v>1507</v>
      </c>
      <c r="Q328" s="1" t="s">
        <v>1507</v>
      </c>
      <c r="R328" s="1" t="s">
        <v>1507</v>
      </c>
      <c r="S328" s="1" t="s">
        <v>1507</v>
      </c>
      <c r="T328" s="1" t="s">
        <v>1507</v>
      </c>
      <c r="U328" s="1" t="s">
        <v>1507</v>
      </c>
      <c r="V328" s="1" t="s">
        <v>13827</v>
      </c>
      <c r="W328" s="1" t="s">
        <v>13828</v>
      </c>
      <c r="X328" s="1" t="s">
        <v>13829</v>
      </c>
      <c r="Y328" s="1" t="s">
        <v>13830</v>
      </c>
      <c r="Z328" s="1" t="s">
        <v>13831</v>
      </c>
      <c r="AA328" s="1" t="s">
        <v>13832</v>
      </c>
      <c r="AB328" s="1" t="s">
        <v>1507</v>
      </c>
      <c r="AC328" s="1" t="s">
        <v>13833</v>
      </c>
      <c r="AD328" s="1" t="s">
        <v>13834</v>
      </c>
      <c r="AE328" s="1" t="s">
        <v>13835</v>
      </c>
      <c r="AF328" s="1" t="s">
        <v>13836</v>
      </c>
      <c r="AG328" s="1" t="s">
        <v>1507</v>
      </c>
      <c r="AH328" s="1">
        <v>75</v>
      </c>
      <c r="AI328" s="1">
        <v>1</v>
      </c>
      <c r="AJ328" s="1">
        <v>1</v>
      </c>
      <c r="AK328" s="1">
        <v>54</v>
      </c>
      <c r="AL328" s="1">
        <v>54</v>
      </c>
      <c r="AM328" s="1" t="s">
        <v>1591</v>
      </c>
      <c r="AN328" s="1" t="s">
        <v>1592</v>
      </c>
      <c r="AO328" s="1" t="s">
        <v>1593</v>
      </c>
      <c r="AP328" s="1" t="s">
        <v>2169</v>
      </c>
      <c r="AQ328" s="1" t="s">
        <v>1507</v>
      </c>
      <c r="AR328" s="1" t="s">
        <v>1507</v>
      </c>
      <c r="AS328" s="1" t="s">
        <v>2170</v>
      </c>
      <c r="AT328" s="1" t="s">
        <v>439</v>
      </c>
      <c r="AU328" s="1" t="s">
        <v>13820</v>
      </c>
      <c r="AV328" s="1">
        <v>2023</v>
      </c>
      <c r="AW328" s="1">
        <v>6</v>
      </c>
      <c r="AX328" s="1">
        <v>1</v>
      </c>
      <c r="AY328" s="1" t="s">
        <v>1507</v>
      </c>
      <c r="AZ328" s="1" t="s">
        <v>1507</v>
      </c>
      <c r="BA328" s="1" t="s">
        <v>1507</v>
      </c>
      <c r="BB328" s="1" t="s">
        <v>1507</v>
      </c>
      <c r="BC328" s="1" t="s">
        <v>1507</v>
      </c>
      <c r="BD328" s="1" t="s">
        <v>1507</v>
      </c>
      <c r="BE328" s="1">
        <v>236</v>
      </c>
      <c r="BF328" s="1" t="s">
        <v>13837</v>
      </c>
      <c r="BG328" s="1" t="str">
        <f>HYPERLINK("http://dx.doi.org/10.1038/s41746-023-00979-5","http://dx.doi.org/10.1038/s41746-023-00979-5")</f>
        <v>http://dx.doi.org/10.1038/s41746-023-00979-5</v>
      </c>
      <c r="BH328" s="1" t="s">
        <v>1507</v>
      </c>
      <c r="BI328" s="1" t="s">
        <v>1507</v>
      </c>
      <c r="BJ328" s="1">
        <v>14</v>
      </c>
      <c r="BK328" s="1" t="s">
        <v>1585</v>
      </c>
      <c r="BL328" s="1" t="s">
        <v>1573</v>
      </c>
      <c r="BM328" s="1" t="s">
        <v>1585</v>
      </c>
      <c r="BN328" s="1" t="s">
        <v>13838</v>
      </c>
      <c r="BO328" s="1">
        <v>38114588</v>
      </c>
      <c r="BP328" s="1" t="s">
        <v>1531</v>
      </c>
      <c r="BQ328" s="1" t="s">
        <v>1507</v>
      </c>
      <c r="BR328" s="1" t="s">
        <v>1507</v>
      </c>
      <c r="BS328" s="1" t="s">
        <v>13744</v>
      </c>
      <c r="BT328" s="1" t="s">
        <v>13839</v>
      </c>
      <c r="BU328" s="1" t="str">
        <f>HYPERLINK("https%3A%2F%2Fwww.webofscience.com%2Fwos%2Fwoscc%2Ffull-record%2FWOS:001129970300001","View Full Record in Web of Science")</f>
        <v>View Full Record in Web of Science</v>
      </c>
    </row>
    <row r="329" spans="1:73" x14ac:dyDescent="0.25">
      <c r="A329" s="1">
        <v>328</v>
      </c>
      <c r="B329" s="1" t="s">
        <v>5546</v>
      </c>
      <c r="C329" s="1" t="s">
        <v>7844</v>
      </c>
      <c r="D329" s="1" t="s">
        <v>1507</v>
      </c>
      <c r="E329" s="1" t="s">
        <v>1507</v>
      </c>
      <c r="F329" s="1" t="s">
        <v>7845</v>
      </c>
      <c r="G329" s="1" t="s">
        <v>7846</v>
      </c>
      <c r="H329" s="1" t="s">
        <v>1507</v>
      </c>
      <c r="I329" s="1" t="s">
        <v>1507</v>
      </c>
      <c r="J329" s="1" t="s">
        <v>7847</v>
      </c>
      <c r="K329" s="1" t="s">
        <v>7848</v>
      </c>
      <c r="L329" s="1" t="s">
        <v>1507</v>
      </c>
      <c r="M329" s="1" t="s">
        <v>1507</v>
      </c>
      <c r="N329" s="1" t="s">
        <v>42</v>
      </c>
      <c r="O329" s="1" t="s">
        <v>5552</v>
      </c>
      <c r="P329" s="1" t="s">
        <v>7849</v>
      </c>
      <c r="Q329" s="1" t="s">
        <v>7850</v>
      </c>
      <c r="R329" s="1" t="s">
        <v>7851</v>
      </c>
      <c r="S329" s="1" t="s">
        <v>7852</v>
      </c>
      <c r="T329" s="1" t="s">
        <v>1507</v>
      </c>
      <c r="U329" s="1" t="s">
        <v>1507</v>
      </c>
      <c r="V329" s="1" t="s">
        <v>1507</v>
      </c>
      <c r="W329" s="1" t="s">
        <v>7853</v>
      </c>
      <c r="X329" s="1" t="s">
        <v>7854</v>
      </c>
      <c r="Y329" s="1" t="s">
        <v>7855</v>
      </c>
      <c r="Z329" s="1" t="s">
        <v>7856</v>
      </c>
      <c r="AA329" s="1" t="s">
        <v>7857</v>
      </c>
      <c r="AB329" s="1" t="s">
        <v>15671</v>
      </c>
      <c r="AC329" s="1" t="s">
        <v>15672</v>
      </c>
      <c r="AD329" s="1" t="s">
        <v>7858</v>
      </c>
      <c r="AE329" s="1" t="s">
        <v>7859</v>
      </c>
      <c r="AF329" s="1" t="s">
        <v>7860</v>
      </c>
      <c r="AG329" s="1" t="s">
        <v>1507</v>
      </c>
      <c r="AH329" s="1">
        <v>32</v>
      </c>
      <c r="AI329" s="1">
        <v>2</v>
      </c>
      <c r="AJ329" s="1">
        <v>2</v>
      </c>
      <c r="AK329" s="1">
        <v>0</v>
      </c>
      <c r="AL329" s="1">
        <v>0</v>
      </c>
      <c r="AM329" s="1" t="s">
        <v>7663</v>
      </c>
      <c r="AN329" s="1" t="s">
        <v>7664</v>
      </c>
      <c r="AO329" s="1" t="s">
        <v>7665</v>
      </c>
      <c r="AP329" s="1" t="s">
        <v>1507</v>
      </c>
      <c r="AQ329" s="1" t="s">
        <v>1507</v>
      </c>
      <c r="AR329" s="1" t="s">
        <v>7861</v>
      </c>
      <c r="AS329" s="1" t="s">
        <v>1507</v>
      </c>
      <c r="AT329" s="1" t="s">
        <v>1507</v>
      </c>
      <c r="AU329" s="1" t="s">
        <v>1507</v>
      </c>
      <c r="AV329" s="1">
        <v>2022</v>
      </c>
      <c r="AW329" s="1" t="s">
        <v>1507</v>
      </c>
      <c r="AX329" s="1" t="s">
        <v>1507</v>
      </c>
      <c r="AY329" s="1" t="s">
        <v>1507</v>
      </c>
      <c r="AZ329" s="1" t="s">
        <v>1507</v>
      </c>
      <c r="BA329" s="1" t="s">
        <v>1507</v>
      </c>
      <c r="BB329" s="1" t="s">
        <v>1507</v>
      </c>
      <c r="BC329" s="1">
        <v>5858</v>
      </c>
      <c r="BD329" s="1">
        <v>5870</v>
      </c>
      <c r="BE329" s="1" t="s">
        <v>1507</v>
      </c>
      <c r="BF329" s="1" t="s">
        <v>1507</v>
      </c>
      <c r="BG329" s="1" t="s">
        <v>1507</v>
      </c>
      <c r="BH329" s="1" t="s">
        <v>1507</v>
      </c>
      <c r="BI329" s="1" t="s">
        <v>1507</v>
      </c>
      <c r="BJ329" s="1">
        <v>13</v>
      </c>
      <c r="BK329" s="1" t="s">
        <v>7862</v>
      </c>
      <c r="BL329" s="1" t="s">
        <v>5695</v>
      </c>
      <c r="BM329" s="1" t="s">
        <v>1546</v>
      </c>
      <c r="BN329" s="1" t="s">
        <v>7863</v>
      </c>
      <c r="BO329" s="1" t="s">
        <v>1507</v>
      </c>
      <c r="BP329" s="1" t="s">
        <v>1507</v>
      </c>
      <c r="BQ329" s="1" t="s">
        <v>1507</v>
      </c>
      <c r="BR329" s="1" t="s">
        <v>1507</v>
      </c>
      <c r="BS329" s="1" t="s">
        <v>13744</v>
      </c>
      <c r="BT329" s="1" t="s">
        <v>7864</v>
      </c>
      <c r="BU329" s="1" t="str">
        <f>HYPERLINK("https%3A%2F%2Fwww.webofscience.com%2Fwos%2Fwoscc%2Ffull-record%2FWOS:000859869505071","View Full Record in Web of Science")</f>
        <v>View Full Record in Web of Science</v>
      </c>
    </row>
    <row r="330" spans="1:73" x14ac:dyDescent="0.25">
      <c r="A330" s="1">
        <v>329</v>
      </c>
      <c r="B330" s="1" t="s">
        <v>1506</v>
      </c>
      <c r="C330" s="1" t="s">
        <v>4411</v>
      </c>
      <c r="D330" s="1" t="s">
        <v>1507</v>
      </c>
      <c r="E330" s="1" t="s">
        <v>1507</v>
      </c>
      <c r="F330" s="1" t="s">
        <v>1507</v>
      </c>
      <c r="G330" s="1" t="s">
        <v>4412</v>
      </c>
      <c r="H330" s="1" t="s">
        <v>1507</v>
      </c>
      <c r="I330" s="1" t="s">
        <v>1507</v>
      </c>
      <c r="J330" s="1" t="s">
        <v>4413</v>
      </c>
      <c r="K330" s="1" t="s">
        <v>4414</v>
      </c>
      <c r="L330" s="1" t="s">
        <v>1507</v>
      </c>
      <c r="M330" s="1" t="s">
        <v>1507</v>
      </c>
      <c r="N330" s="1" t="s">
        <v>42</v>
      </c>
      <c r="O330" s="1" t="s">
        <v>56</v>
      </c>
      <c r="P330" s="1" t="s">
        <v>1507</v>
      </c>
      <c r="Q330" s="1" t="s">
        <v>1507</v>
      </c>
      <c r="R330" s="1" t="s">
        <v>1507</v>
      </c>
      <c r="S330" s="1" t="s">
        <v>1507</v>
      </c>
      <c r="T330" s="1" t="s">
        <v>1507</v>
      </c>
      <c r="U330" s="1" t="s">
        <v>1507</v>
      </c>
      <c r="V330" s="1" t="s">
        <v>4415</v>
      </c>
      <c r="W330" s="1" t="s">
        <v>4416</v>
      </c>
      <c r="X330" s="1" t="s">
        <v>4417</v>
      </c>
      <c r="Y330" s="1" t="s">
        <v>4418</v>
      </c>
      <c r="Z330" s="1" t="s">
        <v>4419</v>
      </c>
      <c r="AA330" s="1" t="s">
        <v>4420</v>
      </c>
      <c r="AB330" s="1" t="s">
        <v>14600</v>
      </c>
      <c r="AC330" s="1" t="s">
        <v>4421</v>
      </c>
      <c r="AD330" s="1" t="s">
        <v>4422</v>
      </c>
      <c r="AE330" s="1" t="s">
        <v>4422</v>
      </c>
      <c r="AF330" s="1" t="s">
        <v>4423</v>
      </c>
      <c r="AG330" s="1" t="s">
        <v>1507</v>
      </c>
      <c r="AH330" s="1">
        <v>41</v>
      </c>
      <c r="AI330" s="1">
        <v>0</v>
      </c>
      <c r="AJ330" s="1">
        <v>0</v>
      </c>
      <c r="AK330" s="1">
        <v>3</v>
      </c>
      <c r="AL330" s="1">
        <v>3</v>
      </c>
      <c r="AM330" s="1" t="s">
        <v>1601</v>
      </c>
      <c r="AN330" s="1" t="s">
        <v>1551</v>
      </c>
      <c r="AO330" s="1" t="s">
        <v>1602</v>
      </c>
      <c r="AP330" s="1" t="s">
        <v>4424</v>
      </c>
      <c r="AQ330" s="1" t="s">
        <v>1507</v>
      </c>
      <c r="AR330" s="1" t="s">
        <v>1507</v>
      </c>
      <c r="AS330" s="1" t="s">
        <v>4425</v>
      </c>
      <c r="AT330" s="1" t="s">
        <v>4426</v>
      </c>
      <c r="AU330" s="1" t="s">
        <v>4427</v>
      </c>
      <c r="AV330" s="1">
        <v>2023</v>
      </c>
      <c r="AW330" s="1">
        <v>3</v>
      </c>
      <c r="AX330" s="1">
        <v>1</v>
      </c>
      <c r="AY330" s="1" t="s">
        <v>1507</v>
      </c>
      <c r="AZ330" s="1" t="s">
        <v>1507</v>
      </c>
      <c r="BA330" s="1" t="s">
        <v>1507</v>
      </c>
      <c r="BB330" s="1" t="s">
        <v>1507</v>
      </c>
      <c r="BC330" s="1" t="s">
        <v>1507</v>
      </c>
      <c r="BD330" s="1" t="s">
        <v>1507</v>
      </c>
      <c r="BE330" s="1">
        <v>104</v>
      </c>
      <c r="BF330" s="1" t="s">
        <v>4428</v>
      </c>
      <c r="BG330" s="1" t="str">
        <f>HYPERLINK("http://dx.doi.org/10.1038/s43856-023-00334-5","http://dx.doi.org/10.1038/s43856-023-00334-5")</f>
        <v>http://dx.doi.org/10.1038/s43856-023-00334-5</v>
      </c>
      <c r="BH330" s="1" t="s">
        <v>1507</v>
      </c>
      <c r="BI330" s="1" t="s">
        <v>1507</v>
      </c>
      <c r="BJ330" s="1">
        <v>8</v>
      </c>
      <c r="BK330" s="1" t="s">
        <v>3858</v>
      </c>
      <c r="BL330" s="1" t="s">
        <v>1529</v>
      </c>
      <c r="BM330" s="1" t="s">
        <v>3859</v>
      </c>
      <c r="BN330" s="1" t="s">
        <v>4429</v>
      </c>
      <c r="BO330" s="1">
        <v>37500763</v>
      </c>
      <c r="BP330" s="1" t="s">
        <v>1952</v>
      </c>
      <c r="BQ330" s="1" t="s">
        <v>1507</v>
      </c>
      <c r="BR330" s="1" t="s">
        <v>1507</v>
      </c>
      <c r="BS330" s="1" t="s">
        <v>13744</v>
      </c>
      <c r="BT330" s="1" t="s">
        <v>4430</v>
      </c>
      <c r="BU330" s="1" t="str">
        <f>HYPERLINK("https%3A%2F%2Fwww.webofscience.com%2Fwos%2Fwoscc%2Ffull-record%2FWOS:001037431200001","View Full Record in Web of Science")</f>
        <v>View Full Record in Web of Science</v>
      </c>
    </row>
    <row r="331" spans="1:73" x14ac:dyDescent="0.25">
      <c r="A331" s="1">
        <v>330</v>
      </c>
      <c r="B331" s="1" t="s">
        <v>5546</v>
      </c>
      <c r="C331" s="1" t="s">
        <v>15168</v>
      </c>
      <c r="D331" s="1" t="s">
        <v>1507</v>
      </c>
      <c r="E331" s="1" t="s">
        <v>1507</v>
      </c>
      <c r="F331" s="1" t="s">
        <v>5548</v>
      </c>
      <c r="G331" s="1" t="s">
        <v>15169</v>
      </c>
      <c r="H331" s="1" t="s">
        <v>1507</v>
      </c>
      <c r="I331" s="1" t="s">
        <v>1507</v>
      </c>
      <c r="J331" s="1" t="s">
        <v>15170</v>
      </c>
      <c r="K331" s="1" t="s">
        <v>15092</v>
      </c>
      <c r="L331" s="1" t="s">
        <v>1507</v>
      </c>
      <c r="M331" s="1" t="s">
        <v>1507</v>
      </c>
      <c r="N331" s="1" t="s">
        <v>42</v>
      </c>
      <c r="O331" s="1" t="s">
        <v>5552</v>
      </c>
      <c r="P331" s="1" t="s">
        <v>15093</v>
      </c>
      <c r="Q331" s="1" t="s">
        <v>15094</v>
      </c>
      <c r="R331" s="1" t="s">
        <v>15095</v>
      </c>
      <c r="S331" s="1" t="s">
        <v>15096</v>
      </c>
      <c r="T331" s="1" t="s">
        <v>1507</v>
      </c>
      <c r="U331" s="1" t="s">
        <v>15171</v>
      </c>
      <c r="V331" s="1" t="s">
        <v>1507</v>
      </c>
      <c r="W331" s="1" t="s">
        <v>15172</v>
      </c>
      <c r="X331" s="1" t="s">
        <v>15173</v>
      </c>
      <c r="Y331" s="1" t="s">
        <v>15174</v>
      </c>
      <c r="Z331" s="1" t="s">
        <v>15175</v>
      </c>
      <c r="AA331" s="1" t="s">
        <v>15176</v>
      </c>
      <c r="AB331" s="1" t="s">
        <v>1507</v>
      </c>
      <c r="AC331" s="1" t="s">
        <v>15177</v>
      </c>
      <c r="AD331" s="1" t="s">
        <v>15178</v>
      </c>
      <c r="AE331" s="1" t="s">
        <v>15179</v>
      </c>
      <c r="AF331" s="1" t="s">
        <v>15180</v>
      </c>
      <c r="AG331" s="1" t="s">
        <v>1507</v>
      </c>
      <c r="AH331" s="1">
        <v>47</v>
      </c>
      <c r="AI331" s="1">
        <v>0</v>
      </c>
      <c r="AJ331" s="1">
        <v>0</v>
      </c>
      <c r="AK331" s="1">
        <v>0</v>
      </c>
      <c r="AL331" s="1">
        <v>0</v>
      </c>
      <c r="AM331" s="1" t="s">
        <v>5565</v>
      </c>
      <c r="AN331" s="1" t="s">
        <v>1512</v>
      </c>
      <c r="AO331" s="1" t="s">
        <v>5566</v>
      </c>
      <c r="AP331" s="1" t="s">
        <v>1507</v>
      </c>
      <c r="AQ331" s="1" t="s">
        <v>1507</v>
      </c>
      <c r="AR331" s="1" t="s">
        <v>15107</v>
      </c>
      <c r="AS331" s="1" t="s">
        <v>1507</v>
      </c>
      <c r="AT331" s="1" t="s">
        <v>1507</v>
      </c>
      <c r="AU331" s="1" t="s">
        <v>1507</v>
      </c>
      <c r="AV331" s="1">
        <v>2023</v>
      </c>
      <c r="AW331" s="1" t="s">
        <v>1507</v>
      </c>
      <c r="AX331" s="1" t="s">
        <v>1507</v>
      </c>
      <c r="AY331" s="1" t="s">
        <v>1507</v>
      </c>
      <c r="AZ331" s="1" t="s">
        <v>1507</v>
      </c>
      <c r="BA331" s="1" t="s">
        <v>1507</v>
      </c>
      <c r="BB331" s="1" t="s">
        <v>1507</v>
      </c>
      <c r="BC331" s="1">
        <v>1348</v>
      </c>
      <c r="BD331" s="1">
        <v>1357</v>
      </c>
      <c r="BE331" s="1" t="s">
        <v>1507</v>
      </c>
      <c r="BF331" s="1" t="s">
        <v>15181</v>
      </c>
      <c r="BG331" s="1" t="str">
        <f>HYPERLINK("http://dx.doi.org/10.1145/3583780.3615017","http://dx.doi.org/10.1145/3583780.3615017")</f>
        <v>http://dx.doi.org/10.1145/3583780.3615017</v>
      </c>
      <c r="BH331" s="1" t="s">
        <v>1507</v>
      </c>
      <c r="BI331" s="1" t="s">
        <v>1507</v>
      </c>
      <c r="BJ331" s="1">
        <v>10</v>
      </c>
      <c r="BK331" s="1" t="s">
        <v>5650</v>
      </c>
      <c r="BL331" s="1" t="s">
        <v>5570</v>
      </c>
      <c r="BM331" s="1" t="s">
        <v>1577</v>
      </c>
      <c r="BN331" s="1" t="s">
        <v>15109</v>
      </c>
      <c r="BO331" s="1" t="s">
        <v>1507</v>
      </c>
      <c r="BP331" s="1" t="s">
        <v>1507</v>
      </c>
      <c r="BQ331" s="1" t="s">
        <v>1507</v>
      </c>
      <c r="BR331" s="1" t="s">
        <v>1507</v>
      </c>
      <c r="BS331" s="1" t="s">
        <v>13744</v>
      </c>
      <c r="BT331" s="1" t="s">
        <v>15182</v>
      </c>
      <c r="BU331" s="1" t="str">
        <f>HYPERLINK("https%3A%2F%2Fwww.webofscience.com%2Fwos%2Fwoscc%2Ffull-record%2FWOS:001161549501043","View Full Record in Web of Science")</f>
        <v>View Full Record in Web of Science</v>
      </c>
    </row>
    <row r="332" spans="1:73" x14ac:dyDescent="0.25">
      <c r="A332" s="1">
        <v>331</v>
      </c>
      <c r="B332" s="1" t="s">
        <v>1506</v>
      </c>
      <c r="C332" s="1" t="s">
        <v>3819</v>
      </c>
      <c r="D332" s="1" t="s">
        <v>1507</v>
      </c>
      <c r="E332" s="1" t="s">
        <v>1507</v>
      </c>
      <c r="F332" s="1" t="s">
        <v>1507</v>
      </c>
      <c r="G332" s="1" t="s">
        <v>3820</v>
      </c>
      <c r="H332" s="1" t="s">
        <v>1507</v>
      </c>
      <c r="I332" s="1" t="s">
        <v>1507</v>
      </c>
      <c r="J332" s="1" t="s">
        <v>3821</v>
      </c>
      <c r="K332" s="1" t="s">
        <v>3822</v>
      </c>
      <c r="L332" s="1" t="s">
        <v>1507</v>
      </c>
      <c r="M332" s="1" t="s">
        <v>1507</v>
      </c>
      <c r="N332" s="1" t="s">
        <v>42</v>
      </c>
      <c r="O332" s="1" t="s">
        <v>56</v>
      </c>
      <c r="P332" s="1" t="s">
        <v>1507</v>
      </c>
      <c r="Q332" s="1" t="s">
        <v>1507</v>
      </c>
      <c r="R332" s="1" t="s">
        <v>1507</v>
      </c>
      <c r="S332" s="1" t="s">
        <v>1507</v>
      </c>
      <c r="T332" s="1" t="s">
        <v>1507</v>
      </c>
      <c r="U332" s="1" t="s">
        <v>3823</v>
      </c>
      <c r="V332" s="1" t="s">
        <v>1507</v>
      </c>
      <c r="W332" s="1" t="s">
        <v>3824</v>
      </c>
      <c r="X332" s="1" t="s">
        <v>3825</v>
      </c>
      <c r="Y332" s="1" t="s">
        <v>3826</v>
      </c>
      <c r="Z332" s="1" t="s">
        <v>3827</v>
      </c>
      <c r="AA332" s="1" t="s">
        <v>3828</v>
      </c>
      <c r="AB332" s="1" t="s">
        <v>14501</v>
      </c>
      <c r="AC332" s="1" t="s">
        <v>3829</v>
      </c>
      <c r="AD332" s="1" t="s">
        <v>3830</v>
      </c>
      <c r="AE332" s="1" t="s">
        <v>3831</v>
      </c>
      <c r="AF332" s="1" t="s">
        <v>3832</v>
      </c>
      <c r="AG332" s="1" t="s">
        <v>1507</v>
      </c>
      <c r="AH332" s="1">
        <v>56</v>
      </c>
      <c r="AI332" s="1">
        <v>1</v>
      </c>
      <c r="AJ332" s="1">
        <v>1</v>
      </c>
      <c r="AK332" s="1">
        <v>8</v>
      </c>
      <c r="AL332" s="1">
        <v>8</v>
      </c>
      <c r="AM332" s="1" t="s">
        <v>1579</v>
      </c>
      <c r="AN332" s="1" t="s">
        <v>1580</v>
      </c>
      <c r="AO332" s="1" t="s">
        <v>1581</v>
      </c>
      <c r="AP332" s="1" t="s">
        <v>3833</v>
      </c>
      <c r="AQ332" s="1" t="s">
        <v>3834</v>
      </c>
      <c r="AR332" s="1" t="s">
        <v>1507</v>
      </c>
      <c r="AS332" s="1" t="s">
        <v>3835</v>
      </c>
      <c r="AT332" s="1" t="s">
        <v>3836</v>
      </c>
      <c r="AU332" s="1" t="s">
        <v>14502</v>
      </c>
      <c r="AV332" s="1">
        <v>2023</v>
      </c>
      <c r="AW332" s="1">
        <v>279</v>
      </c>
      <c r="AX332" s="1" t="s">
        <v>1507</v>
      </c>
      <c r="AY332" s="1" t="s">
        <v>1507</v>
      </c>
      <c r="AZ332" s="1" t="s">
        <v>1507</v>
      </c>
      <c r="BA332" s="1" t="s">
        <v>1507</v>
      </c>
      <c r="BB332" s="1" t="s">
        <v>1507</v>
      </c>
      <c r="BC332" s="1" t="s">
        <v>1507</v>
      </c>
      <c r="BD332" s="1" t="s">
        <v>1507</v>
      </c>
      <c r="BE332" s="1">
        <v>110957</v>
      </c>
      <c r="BF332" s="1" t="s">
        <v>3837</v>
      </c>
      <c r="BG332" s="1" t="str">
        <f>HYPERLINK("http://dx.doi.org/10.1016/j.knosys.2023.110957","http://dx.doi.org/10.1016/j.knosys.2023.110957")</f>
        <v>http://dx.doi.org/10.1016/j.knosys.2023.110957</v>
      </c>
      <c r="BH332" s="1" t="s">
        <v>1507</v>
      </c>
      <c r="BI332" s="1" t="s">
        <v>3689</v>
      </c>
      <c r="BJ332" s="1">
        <v>10</v>
      </c>
      <c r="BK332" s="1" t="s">
        <v>2994</v>
      </c>
      <c r="BL332" s="1" t="s">
        <v>1573</v>
      </c>
      <c r="BM332" s="1" t="s">
        <v>1577</v>
      </c>
      <c r="BN332" s="1" t="s">
        <v>3838</v>
      </c>
      <c r="BO332" s="1" t="s">
        <v>1507</v>
      </c>
      <c r="BP332" s="1" t="s">
        <v>1507</v>
      </c>
      <c r="BQ332" s="1" t="s">
        <v>1507</v>
      </c>
      <c r="BR332" s="1" t="s">
        <v>1507</v>
      </c>
      <c r="BS332" s="1" t="s">
        <v>13744</v>
      </c>
      <c r="BT332" s="1" t="s">
        <v>3839</v>
      </c>
      <c r="BU332" s="1" t="str">
        <f>HYPERLINK("https%3A%2F%2Fwww.webofscience.com%2Fwos%2Fwoscc%2Ffull-record%2FWOS:001078705700001","View Full Record in Web of Science")</f>
        <v>View Full Record in Web of Science</v>
      </c>
    </row>
    <row r="333" spans="1:73" x14ac:dyDescent="0.25">
      <c r="A333" s="1">
        <v>332</v>
      </c>
      <c r="B333" s="1" t="s">
        <v>1506</v>
      </c>
      <c r="C333" s="1" t="s">
        <v>8108</v>
      </c>
      <c r="D333" s="1" t="s">
        <v>1507</v>
      </c>
      <c r="E333" s="1" t="s">
        <v>1507</v>
      </c>
      <c r="F333" s="1" t="s">
        <v>1507</v>
      </c>
      <c r="G333" s="1" t="s">
        <v>8109</v>
      </c>
      <c r="H333" s="1" t="s">
        <v>1507</v>
      </c>
      <c r="I333" s="1" t="s">
        <v>1507</v>
      </c>
      <c r="J333" s="1" t="s">
        <v>8110</v>
      </c>
      <c r="K333" s="1" t="s">
        <v>8111</v>
      </c>
      <c r="L333" s="1" t="s">
        <v>1507</v>
      </c>
      <c r="M333" s="1" t="s">
        <v>1507</v>
      </c>
      <c r="N333" s="1" t="s">
        <v>42</v>
      </c>
      <c r="O333" s="1" t="s">
        <v>56</v>
      </c>
      <c r="P333" s="1" t="s">
        <v>1507</v>
      </c>
      <c r="Q333" s="1" t="s">
        <v>1507</v>
      </c>
      <c r="R333" s="1" t="s">
        <v>1507</v>
      </c>
      <c r="S333" s="1" t="s">
        <v>1507</v>
      </c>
      <c r="T333" s="1" t="s">
        <v>1507</v>
      </c>
      <c r="U333" s="1" t="s">
        <v>8112</v>
      </c>
      <c r="V333" s="1" t="s">
        <v>8113</v>
      </c>
      <c r="W333" s="1" t="s">
        <v>8114</v>
      </c>
      <c r="X333" s="1" t="s">
        <v>8115</v>
      </c>
      <c r="Y333" s="1" t="s">
        <v>8116</v>
      </c>
      <c r="Z333" s="1" t="s">
        <v>8117</v>
      </c>
      <c r="AA333" s="1" t="s">
        <v>8118</v>
      </c>
      <c r="AB333" s="1" t="s">
        <v>8119</v>
      </c>
      <c r="AC333" s="1" t="s">
        <v>8120</v>
      </c>
      <c r="AD333" s="1" t="s">
        <v>8121</v>
      </c>
      <c r="AE333" s="1" t="s">
        <v>8122</v>
      </c>
      <c r="AF333" s="1" t="s">
        <v>8123</v>
      </c>
      <c r="AG333" s="1" t="s">
        <v>1507</v>
      </c>
      <c r="AH333" s="1">
        <v>34</v>
      </c>
      <c r="AI333" s="1">
        <v>3</v>
      </c>
      <c r="AJ333" s="1">
        <v>3</v>
      </c>
      <c r="AK333" s="1">
        <v>5</v>
      </c>
      <c r="AL333" s="1">
        <v>24</v>
      </c>
      <c r="AM333" s="1" t="s">
        <v>1610</v>
      </c>
      <c r="AN333" s="1" t="s">
        <v>1611</v>
      </c>
      <c r="AO333" s="1" t="s">
        <v>1612</v>
      </c>
      <c r="AP333" s="1" t="s">
        <v>1507</v>
      </c>
      <c r="AQ333" s="1" t="s">
        <v>8124</v>
      </c>
      <c r="AR333" s="1" t="s">
        <v>1507</v>
      </c>
      <c r="AS333" s="1" t="s">
        <v>8111</v>
      </c>
      <c r="AT333" s="1" t="s">
        <v>8125</v>
      </c>
      <c r="AU333" s="1" t="s">
        <v>2771</v>
      </c>
      <c r="AV333" s="1">
        <v>2021</v>
      </c>
      <c r="AW333" s="1">
        <v>26</v>
      </c>
      <c r="AX333" s="1">
        <v>22</v>
      </c>
      <c r="AY333" s="1" t="s">
        <v>1507</v>
      </c>
      <c r="AZ333" s="1" t="s">
        <v>1507</v>
      </c>
      <c r="BA333" s="1" t="s">
        <v>1507</v>
      </c>
      <c r="BB333" s="1" t="s">
        <v>1507</v>
      </c>
      <c r="BC333" s="1" t="s">
        <v>1507</v>
      </c>
      <c r="BD333" s="1" t="s">
        <v>1507</v>
      </c>
      <c r="BE333" s="1">
        <v>6831</v>
      </c>
      <c r="BF333" s="1" t="s">
        <v>8126</v>
      </c>
      <c r="BG333" s="1" t="str">
        <f>HYPERLINK("http://dx.doi.org/10.3390/molecules26226831","http://dx.doi.org/10.3390/molecules26226831")</f>
        <v>http://dx.doi.org/10.3390/molecules26226831</v>
      </c>
      <c r="BH333" s="1" t="s">
        <v>1507</v>
      </c>
      <c r="BI333" s="1" t="s">
        <v>1507</v>
      </c>
      <c r="BJ333" s="1">
        <v>12</v>
      </c>
      <c r="BK333" s="1" t="s">
        <v>8127</v>
      </c>
      <c r="BL333" s="1" t="s">
        <v>1573</v>
      </c>
      <c r="BM333" s="1" t="s">
        <v>8128</v>
      </c>
      <c r="BN333" s="1" t="s">
        <v>8129</v>
      </c>
      <c r="BO333" s="1">
        <v>34833923</v>
      </c>
      <c r="BP333" s="1" t="s">
        <v>1674</v>
      </c>
      <c r="BQ333" s="1" t="s">
        <v>1507</v>
      </c>
      <c r="BR333" s="1" t="s">
        <v>1507</v>
      </c>
      <c r="BS333" s="1" t="s">
        <v>13744</v>
      </c>
      <c r="BT333" s="1" t="s">
        <v>8130</v>
      </c>
      <c r="BU333" s="1" t="str">
        <f>HYPERLINK("https%3A%2F%2Fwww.webofscience.com%2Fwos%2Fwoscc%2Ffull-record%2FWOS:000724160700001","View Full Record in Web of Science")</f>
        <v>View Full Record in Web of Science</v>
      </c>
    </row>
    <row r="334" spans="1:73" x14ac:dyDescent="0.25">
      <c r="A334" s="1">
        <v>333</v>
      </c>
      <c r="B334" s="1" t="s">
        <v>5546</v>
      </c>
      <c r="C334" s="1" t="s">
        <v>6131</v>
      </c>
      <c r="D334" s="1" t="s">
        <v>1507</v>
      </c>
      <c r="E334" s="1" t="s">
        <v>1507</v>
      </c>
      <c r="F334" s="1" t="s">
        <v>5628</v>
      </c>
      <c r="G334" s="1" t="s">
        <v>6132</v>
      </c>
      <c r="H334" s="1" t="s">
        <v>1507</v>
      </c>
      <c r="I334" s="1" t="s">
        <v>1507</v>
      </c>
      <c r="J334" s="1" t="s">
        <v>6133</v>
      </c>
      <c r="K334" s="1" t="s">
        <v>6014</v>
      </c>
      <c r="L334" s="1" t="s">
        <v>6015</v>
      </c>
      <c r="M334" s="1" t="s">
        <v>1507</v>
      </c>
      <c r="N334" s="1" t="s">
        <v>42</v>
      </c>
      <c r="O334" s="1" t="s">
        <v>5552</v>
      </c>
      <c r="P334" s="1" t="s">
        <v>6016</v>
      </c>
      <c r="Q334" s="1" t="s">
        <v>6017</v>
      </c>
      <c r="R334" s="1" t="s">
        <v>6018</v>
      </c>
      <c r="S334" s="1" t="s">
        <v>6019</v>
      </c>
      <c r="T334" s="1" t="s">
        <v>1507</v>
      </c>
      <c r="U334" s="1" t="s">
        <v>6134</v>
      </c>
      <c r="V334" s="1" t="s">
        <v>1507</v>
      </c>
      <c r="W334" s="1" t="s">
        <v>6135</v>
      </c>
      <c r="X334" s="1" t="s">
        <v>6136</v>
      </c>
      <c r="Y334" s="1" t="s">
        <v>6137</v>
      </c>
      <c r="Z334" s="1" t="s">
        <v>6138</v>
      </c>
      <c r="AA334" s="1" t="s">
        <v>6139</v>
      </c>
      <c r="AB334" s="1" t="s">
        <v>1507</v>
      </c>
      <c r="AC334" s="1" t="s">
        <v>1507</v>
      </c>
      <c r="AD334" s="1" t="s">
        <v>6140</v>
      </c>
      <c r="AE334" s="1" t="s">
        <v>6141</v>
      </c>
      <c r="AF334" s="1" t="s">
        <v>6142</v>
      </c>
      <c r="AG334" s="1" t="s">
        <v>1507</v>
      </c>
      <c r="AH334" s="1">
        <v>56</v>
      </c>
      <c r="AI334" s="1">
        <v>0</v>
      </c>
      <c r="AJ334" s="1">
        <v>0</v>
      </c>
      <c r="AK334" s="1">
        <v>3</v>
      </c>
      <c r="AL334" s="1">
        <v>3</v>
      </c>
      <c r="AM334" s="1" t="s">
        <v>5645</v>
      </c>
      <c r="AN334" s="1" t="s">
        <v>5646</v>
      </c>
      <c r="AO334" s="1" t="s">
        <v>5647</v>
      </c>
      <c r="AP334" s="1" t="s">
        <v>6030</v>
      </c>
      <c r="AQ334" s="1" t="s">
        <v>1507</v>
      </c>
      <c r="AR334" s="1" t="s">
        <v>6031</v>
      </c>
      <c r="AS334" s="1" t="s">
        <v>6032</v>
      </c>
      <c r="AT334" s="1" t="s">
        <v>1507</v>
      </c>
      <c r="AU334" s="1" t="s">
        <v>1507</v>
      </c>
      <c r="AV334" s="1">
        <v>2023</v>
      </c>
      <c r="AW334" s="1" t="s">
        <v>1507</v>
      </c>
      <c r="AX334" s="1" t="s">
        <v>1507</v>
      </c>
      <c r="AY334" s="1" t="s">
        <v>1507</v>
      </c>
      <c r="AZ334" s="1" t="s">
        <v>1507</v>
      </c>
      <c r="BA334" s="1" t="s">
        <v>1507</v>
      </c>
      <c r="BB334" s="1" t="s">
        <v>1507</v>
      </c>
      <c r="BC334" s="1">
        <v>14</v>
      </c>
      <c r="BD334" s="1">
        <v>26</v>
      </c>
      <c r="BE334" s="1" t="s">
        <v>1507</v>
      </c>
      <c r="BF334" s="1" t="s">
        <v>6143</v>
      </c>
      <c r="BG334" s="1" t="str">
        <f>HYPERLINK("http://dx.doi.org/10.1109/ASE56229.2023.00089","http://dx.doi.org/10.1109/ASE56229.2023.00089")</f>
        <v>http://dx.doi.org/10.1109/ASE56229.2023.00089</v>
      </c>
      <c r="BH334" s="1" t="s">
        <v>1507</v>
      </c>
      <c r="BI334" s="1" t="s">
        <v>1507</v>
      </c>
      <c r="BJ334" s="1">
        <v>13</v>
      </c>
      <c r="BK334" s="1" t="s">
        <v>6034</v>
      </c>
      <c r="BL334" s="1" t="s">
        <v>5570</v>
      </c>
      <c r="BM334" s="1" t="s">
        <v>6035</v>
      </c>
      <c r="BN334" s="1" t="s">
        <v>6036</v>
      </c>
      <c r="BO334" s="1" t="s">
        <v>1507</v>
      </c>
      <c r="BP334" s="1" t="s">
        <v>1600</v>
      </c>
      <c r="BQ334" s="1" t="s">
        <v>1507</v>
      </c>
      <c r="BR334" s="1" t="s">
        <v>1507</v>
      </c>
      <c r="BS334" s="1" t="s">
        <v>13744</v>
      </c>
      <c r="BT334" s="1" t="s">
        <v>6144</v>
      </c>
      <c r="BU334" s="1" t="str">
        <f>HYPERLINK("https%3A%2F%2Fwww.webofscience.com%2Fwos%2Fwoscc%2Ffull-record%2FWOS:001103357200002","View Full Record in Web of Science")</f>
        <v>View Full Record in Web of Science</v>
      </c>
    </row>
    <row r="335" spans="1:73" x14ac:dyDescent="0.25">
      <c r="A335" s="1">
        <v>334</v>
      </c>
      <c r="B335" s="1" t="s">
        <v>1506</v>
      </c>
      <c r="C335" s="1" t="s">
        <v>8922</v>
      </c>
      <c r="D335" s="1" t="s">
        <v>1507</v>
      </c>
      <c r="E335" s="1" t="s">
        <v>1507</v>
      </c>
      <c r="F335" s="1" t="s">
        <v>1507</v>
      </c>
      <c r="G335" s="1" t="s">
        <v>8923</v>
      </c>
      <c r="H335" s="1" t="s">
        <v>1507</v>
      </c>
      <c r="I335" s="1" t="s">
        <v>1507</v>
      </c>
      <c r="J335" s="1" t="s">
        <v>8924</v>
      </c>
      <c r="K335" s="1" t="s">
        <v>8925</v>
      </c>
      <c r="L335" s="1" t="s">
        <v>1507</v>
      </c>
      <c r="M335" s="1" t="s">
        <v>1507</v>
      </c>
      <c r="N335" s="1" t="s">
        <v>42</v>
      </c>
      <c r="O335" s="1" t="s">
        <v>56</v>
      </c>
      <c r="P335" s="1" t="s">
        <v>1507</v>
      </c>
      <c r="Q335" s="1" t="s">
        <v>1507</v>
      </c>
      <c r="R335" s="1" t="s">
        <v>1507</v>
      </c>
      <c r="S335" s="1" t="s">
        <v>1507</v>
      </c>
      <c r="T335" s="1" t="s">
        <v>1507</v>
      </c>
      <c r="U335" s="1" t="s">
        <v>8926</v>
      </c>
      <c r="V335" s="1" t="s">
        <v>8927</v>
      </c>
      <c r="W335" s="1" t="s">
        <v>8928</v>
      </c>
      <c r="X335" s="1" t="s">
        <v>8929</v>
      </c>
      <c r="Y335" s="1" t="s">
        <v>8930</v>
      </c>
      <c r="Z335" s="1" t="s">
        <v>8931</v>
      </c>
      <c r="AA335" s="1" t="s">
        <v>8932</v>
      </c>
      <c r="AB335" s="1" t="s">
        <v>15754</v>
      </c>
      <c r="AC335" s="1" t="s">
        <v>1507</v>
      </c>
      <c r="AD335" s="1" t="s">
        <v>8933</v>
      </c>
      <c r="AE335" s="1" t="s">
        <v>8934</v>
      </c>
      <c r="AF335" s="1" t="s">
        <v>8935</v>
      </c>
      <c r="AG335" s="1" t="s">
        <v>1507</v>
      </c>
      <c r="AH335" s="1">
        <v>26</v>
      </c>
      <c r="AI335" s="1">
        <v>6</v>
      </c>
      <c r="AJ335" s="1">
        <v>6</v>
      </c>
      <c r="AK335" s="1">
        <v>6</v>
      </c>
      <c r="AL335" s="1">
        <v>26</v>
      </c>
      <c r="AM335" s="1" t="s">
        <v>2372</v>
      </c>
      <c r="AN335" s="1" t="s">
        <v>2300</v>
      </c>
      <c r="AO335" s="1" t="s">
        <v>2373</v>
      </c>
      <c r="AP335" s="1" t="s">
        <v>8936</v>
      </c>
      <c r="AQ335" s="1" t="s">
        <v>8937</v>
      </c>
      <c r="AR335" s="1" t="s">
        <v>1507</v>
      </c>
      <c r="AS335" s="1" t="s">
        <v>8938</v>
      </c>
      <c r="AT335" s="1" t="s">
        <v>8939</v>
      </c>
      <c r="AU335" s="1" t="s">
        <v>15755</v>
      </c>
      <c r="AV335" s="1">
        <v>2021</v>
      </c>
      <c r="AW335" s="1">
        <v>25</v>
      </c>
      <c r="AX335" s="1">
        <v>4</v>
      </c>
      <c r="AY335" s="1" t="s">
        <v>1507</v>
      </c>
      <c r="AZ335" s="1" t="s">
        <v>1507</v>
      </c>
      <c r="BA335" s="1" t="s">
        <v>1507</v>
      </c>
      <c r="BB335" s="1" t="s">
        <v>1507</v>
      </c>
      <c r="BC335" s="1">
        <v>849</v>
      </c>
      <c r="BD335" s="1">
        <v>857</v>
      </c>
      <c r="BE335" s="1" t="s">
        <v>1507</v>
      </c>
      <c r="BF335" s="1" t="s">
        <v>8940</v>
      </c>
      <c r="BG335" s="1" t="str">
        <f>HYPERLINK("http://dx.doi.org/10.1021/acs.oprd.0c00529","http://dx.doi.org/10.1021/acs.oprd.0c00529")</f>
        <v>http://dx.doi.org/10.1021/acs.oprd.0c00529</v>
      </c>
      <c r="BH335" s="1" t="s">
        <v>1507</v>
      </c>
      <c r="BI335" s="1" t="s">
        <v>8876</v>
      </c>
      <c r="BJ335" s="1">
        <v>9</v>
      </c>
      <c r="BK335" s="1" t="s">
        <v>8941</v>
      </c>
      <c r="BL335" s="1" t="s">
        <v>1573</v>
      </c>
      <c r="BM335" s="1" t="s">
        <v>2380</v>
      </c>
      <c r="BN335" s="1" t="s">
        <v>8942</v>
      </c>
      <c r="BO335" s="1" t="s">
        <v>1507</v>
      </c>
      <c r="BP335" s="1" t="s">
        <v>1507</v>
      </c>
      <c r="BQ335" s="1" t="s">
        <v>1507</v>
      </c>
      <c r="BR335" s="1" t="s">
        <v>1507</v>
      </c>
      <c r="BS335" s="1" t="s">
        <v>13744</v>
      </c>
      <c r="BT335" s="1" t="s">
        <v>8943</v>
      </c>
      <c r="BU335" s="1" t="str">
        <f>HYPERLINK("https%3A%2F%2Fwww.webofscience.com%2Fwos%2Fwoscc%2Ffull-record%2FWOS:000641295300016","View Full Record in Web of Science")</f>
        <v>View Full Record in Web of Science</v>
      </c>
    </row>
    <row r="336" spans="1:73" x14ac:dyDescent="0.25">
      <c r="A336" s="1">
        <v>335</v>
      </c>
      <c r="B336" s="1" t="s">
        <v>1506</v>
      </c>
      <c r="C336" s="1" t="s">
        <v>14022</v>
      </c>
      <c r="D336" s="1" t="s">
        <v>1507</v>
      </c>
      <c r="E336" s="1" t="s">
        <v>1507</v>
      </c>
      <c r="F336" s="1" t="s">
        <v>1507</v>
      </c>
      <c r="G336" s="1" t="s">
        <v>14023</v>
      </c>
      <c r="H336" s="1" t="s">
        <v>1507</v>
      </c>
      <c r="I336" s="1" t="s">
        <v>1507</v>
      </c>
      <c r="J336" s="1" t="s">
        <v>14024</v>
      </c>
      <c r="K336" s="1" t="s">
        <v>14025</v>
      </c>
      <c r="L336" s="1" t="s">
        <v>1507</v>
      </c>
      <c r="M336" s="1" t="s">
        <v>1507</v>
      </c>
      <c r="N336" s="1" t="s">
        <v>42</v>
      </c>
      <c r="O336" s="1" t="s">
        <v>12366</v>
      </c>
      <c r="P336" s="1" t="s">
        <v>1507</v>
      </c>
      <c r="Q336" s="1" t="s">
        <v>1507</v>
      </c>
      <c r="R336" s="1" t="s">
        <v>1507</v>
      </c>
      <c r="S336" s="1" t="s">
        <v>1507</v>
      </c>
      <c r="T336" s="1" t="s">
        <v>1507</v>
      </c>
      <c r="U336" s="1" t="s">
        <v>14026</v>
      </c>
      <c r="V336" s="1" t="s">
        <v>14027</v>
      </c>
      <c r="W336" s="1" t="s">
        <v>14028</v>
      </c>
      <c r="X336" s="1" t="s">
        <v>14029</v>
      </c>
      <c r="Y336" s="1" t="s">
        <v>14030</v>
      </c>
      <c r="Z336" s="1" t="s">
        <v>14031</v>
      </c>
      <c r="AA336" s="1" t="s">
        <v>14032</v>
      </c>
      <c r="AB336" s="1" t="s">
        <v>1507</v>
      </c>
      <c r="AC336" s="1" t="s">
        <v>14033</v>
      </c>
      <c r="AD336" s="1" t="s">
        <v>14034</v>
      </c>
      <c r="AE336" s="1" t="s">
        <v>14035</v>
      </c>
      <c r="AF336" s="1" t="s">
        <v>14036</v>
      </c>
      <c r="AG336" s="1" t="s">
        <v>1507</v>
      </c>
      <c r="AH336" s="1">
        <v>118</v>
      </c>
      <c r="AI336" s="1">
        <v>2</v>
      </c>
      <c r="AJ336" s="1">
        <v>2</v>
      </c>
      <c r="AK336" s="1">
        <v>36</v>
      </c>
      <c r="AL336" s="1">
        <v>36</v>
      </c>
      <c r="AM336" s="1" t="s">
        <v>1900</v>
      </c>
      <c r="AN336" s="1" t="s">
        <v>1583</v>
      </c>
      <c r="AO336" s="1" t="s">
        <v>1901</v>
      </c>
      <c r="AP336" s="1" t="s">
        <v>14037</v>
      </c>
      <c r="AQ336" s="1" t="s">
        <v>14038</v>
      </c>
      <c r="AR336" s="1" t="s">
        <v>1507</v>
      </c>
      <c r="AS336" s="1" t="s">
        <v>14039</v>
      </c>
      <c r="AT336" s="1" t="s">
        <v>14040</v>
      </c>
      <c r="AU336" s="1" t="s">
        <v>6775</v>
      </c>
      <c r="AV336" s="1">
        <v>2023</v>
      </c>
      <c r="AW336" s="1">
        <v>246</v>
      </c>
      <c r="AX336" s="1" t="s">
        <v>1507</v>
      </c>
      <c r="AY336" s="1" t="s">
        <v>1507</v>
      </c>
      <c r="AZ336" s="1" t="s">
        <v>1507</v>
      </c>
      <c r="BA336" s="1" t="s">
        <v>1507</v>
      </c>
      <c r="BB336" s="1" t="s">
        <v>1507</v>
      </c>
      <c r="BC336" s="1" t="s">
        <v>1507</v>
      </c>
      <c r="BD336" s="1" t="s">
        <v>1507</v>
      </c>
      <c r="BE336" s="1">
        <v>110960</v>
      </c>
      <c r="BF336" s="1" t="s">
        <v>14041</v>
      </c>
      <c r="BG336" s="1" t="str">
        <f>HYPERLINK("http://dx.doi.org/10.1016/j.buildenv.2023.110960","http://dx.doi.org/10.1016/j.buildenv.2023.110960")</f>
        <v>http://dx.doi.org/10.1016/j.buildenv.2023.110960</v>
      </c>
      <c r="BH336" s="1" t="s">
        <v>1507</v>
      </c>
      <c r="BI336" s="1" t="s">
        <v>2396</v>
      </c>
      <c r="BJ336" s="1">
        <v>16</v>
      </c>
      <c r="BK336" s="1" t="s">
        <v>14042</v>
      </c>
      <c r="BL336" s="1" t="s">
        <v>1573</v>
      </c>
      <c r="BM336" s="1" t="s">
        <v>1816</v>
      </c>
      <c r="BN336" s="1" t="s">
        <v>14043</v>
      </c>
      <c r="BO336" s="1" t="s">
        <v>1507</v>
      </c>
      <c r="BP336" s="1" t="s">
        <v>1507</v>
      </c>
      <c r="BQ336" s="1" t="s">
        <v>1507</v>
      </c>
      <c r="BR336" s="1" t="s">
        <v>1507</v>
      </c>
      <c r="BS336" s="1" t="s">
        <v>13744</v>
      </c>
      <c r="BT336" s="1" t="s">
        <v>14044</v>
      </c>
      <c r="BU336" s="1" t="str">
        <f>HYPERLINK("https%3A%2F%2Fwww.webofscience.com%2Fwos%2Fwoscc%2Ffull-record%2FWOS:001107666000001","View Full Record in Web of Science")</f>
        <v>View Full Record in Web of Science</v>
      </c>
    </row>
    <row r="337" spans="1:73" x14ac:dyDescent="0.25">
      <c r="A337" s="1">
        <v>336</v>
      </c>
      <c r="B337" s="1" t="s">
        <v>1506</v>
      </c>
      <c r="C337" s="1" t="s">
        <v>2042</v>
      </c>
      <c r="D337" s="1" t="s">
        <v>1507</v>
      </c>
      <c r="E337" s="1" t="s">
        <v>1507</v>
      </c>
      <c r="F337" s="1" t="s">
        <v>1507</v>
      </c>
      <c r="G337" s="1" t="s">
        <v>2043</v>
      </c>
      <c r="H337" s="1" t="s">
        <v>1507</v>
      </c>
      <c r="I337" s="1" t="s">
        <v>1507</v>
      </c>
      <c r="J337" s="1" t="s">
        <v>2044</v>
      </c>
      <c r="K337" s="1" t="s">
        <v>2045</v>
      </c>
      <c r="L337" s="1" t="s">
        <v>1507</v>
      </c>
      <c r="M337" s="1" t="s">
        <v>1507</v>
      </c>
      <c r="N337" s="1" t="s">
        <v>42</v>
      </c>
      <c r="O337" s="1" t="s">
        <v>56</v>
      </c>
      <c r="P337" s="1" t="s">
        <v>1507</v>
      </c>
      <c r="Q337" s="1" t="s">
        <v>1507</v>
      </c>
      <c r="R337" s="1" t="s">
        <v>1507</v>
      </c>
      <c r="S337" s="1" t="s">
        <v>1507</v>
      </c>
      <c r="T337" s="1" t="s">
        <v>1507</v>
      </c>
      <c r="U337" s="1" t="s">
        <v>2046</v>
      </c>
      <c r="V337" s="1" t="s">
        <v>1507</v>
      </c>
      <c r="W337" s="1" t="s">
        <v>2047</v>
      </c>
      <c r="X337" s="1" t="s">
        <v>2048</v>
      </c>
      <c r="Y337" s="1" t="s">
        <v>2049</v>
      </c>
      <c r="Z337" s="1" t="s">
        <v>2050</v>
      </c>
      <c r="AA337" s="1" t="s">
        <v>2051</v>
      </c>
      <c r="AB337" s="1" t="s">
        <v>1507</v>
      </c>
      <c r="AC337" s="1" t="s">
        <v>1507</v>
      </c>
      <c r="AD337" s="1" t="s">
        <v>2052</v>
      </c>
      <c r="AE337" s="1" t="s">
        <v>2052</v>
      </c>
      <c r="AF337" s="1" t="s">
        <v>2052</v>
      </c>
      <c r="AG337" s="1" t="s">
        <v>1507</v>
      </c>
      <c r="AH337" s="1">
        <v>63</v>
      </c>
      <c r="AI337" s="1">
        <v>0</v>
      </c>
      <c r="AJ337" s="1">
        <v>0</v>
      </c>
      <c r="AK337" s="1">
        <v>61</v>
      </c>
      <c r="AL337" s="1">
        <v>61</v>
      </c>
      <c r="AM337" s="1" t="s">
        <v>2053</v>
      </c>
      <c r="AN337" s="1" t="s">
        <v>1556</v>
      </c>
      <c r="AO337" s="1" t="s">
        <v>2054</v>
      </c>
      <c r="AP337" s="1" t="s">
        <v>2055</v>
      </c>
      <c r="AQ337" s="1" t="s">
        <v>2056</v>
      </c>
      <c r="AR337" s="1" t="s">
        <v>1507</v>
      </c>
      <c r="AS337" s="1" t="s">
        <v>2057</v>
      </c>
      <c r="AT337" s="1" t="s">
        <v>2058</v>
      </c>
      <c r="AU337" s="1" t="s">
        <v>2014</v>
      </c>
      <c r="AV337" s="1">
        <v>2023</v>
      </c>
      <c r="AW337" s="1">
        <v>16</v>
      </c>
      <c r="AX337" s="1">
        <v>2</v>
      </c>
      <c r="AY337" s="1" t="s">
        <v>1507</v>
      </c>
      <c r="AZ337" s="1" t="s">
        <v>1507</v>
      </c>
      <c r="BA337" s="1" t="s">
        <v>1507</v>
      </c>
      <c r="BB337" s="1" t="s">
        <v>1507</v>
      </c>
      <c r="BC337" s="1">
        <v>4668</v>
      </c>
      <c r="BD337" s="1">
        <v>4686</v>
      </c>
      <c r="BE337" s="1" t="s">
        <v>1507</v>
      </c>
      <c r="BF337" s="1" t="s">
        <v>2059</v>
      </c>
      <c r="BG337" s="1" t="str">
        <f>HYPERLINK("http://dx.doi.org/10.1080/17538947.2023.2278895","http://dx.doi.org/10.1080/17538947.2023.2278895")</f>
        <v>http://dx.doi.org/10.1080/17538947.2023.2278895</v>
      </c>
      <c r="BH337" s="1" t="s">
        <v>1507</v>
      </c>
      <c r="BI337" s="1" t="s">
        <v>1507</v>
      </c>
      <c r="BJ337" s="1">
        <v>19</v>
      </c>
      <c r="BK337" s="1" t="s">
        <v>2060</v>
      </c>
      <c r="BL337" s="1" t="s">
        <v>1573</v>
      </c>
      <c r="BM337" s="1" t="s">
        <v>2061</v>
      </c>
      <c r="BN337" s="1" t="s">
        <v>2062</v>
      </c>
      <c r="BO337" s="1" t="s">
        <v>1507</v>
      </c>
      <c r="BP337" s="1" t="s">
        <v>1553</v>
      </c>
      <c r="BQ337" s="1" t="s">
        <v>1507</v>
      </c>
      <c r="BR337" s="1" t="s">
        <v>1507</v>
      </c>
      <c r="BS337" s="1" t="s">
        <v>13744</v>
      </c>
      <c r="BT337" s="1" t="s">
        <v>2063</v>
      </c>
      <c r="BU337" s="1" t="str">
        <f>HYPERLINK("https%3A%2F%2Fwww.webofscience.com%2Fwos%2Fwoscc%2Ffull-record%2FWOS:001100562400001","View Full Record in Web of Science")</f>
        <v>View Full Record in Web of Science</v>
      </c>
    </row>
    <row r="338" spans="1:73" x14ac:dyDescent="0.25">
      <c r="A338" s="1">
        <v>337</v>
      </c>
      <c r="B338" s="1" t="s">
        <v>1506</v>
      </c>
      <c r="C338" s="1" t="s">
        <v>1633</v>
      </c>
      <c r="D338" s="1" t="s">
        <v>1507</v>
      </c>
      <c r="E338" s="1" t="s">
        <v>1507</v>
      </c>
      <c r="F338" s="1" t="s">
        <v>1507</v>
      </c>
      <c r="G338" s="1" t="s">
        <v>1634</v>
      </c>
      <c r="H338" s="1" t="s">
        <v>1507</v>
      </c>
      <c r="I338" s="1" t="s">
        <v>1507</v>
      </c>
      <c r="J338" s="1" t="s">
        <v>1635</v>
      </c>
      <c r="K338" s="1" t="s">
        <v>1636</v>
      </c>
      <c r="L338" s="1" t="s">
        <v>1507</v>
      </c>
      <c r="M338" s="1" t="s">
        <v>1507</v>
      </c>
      <c r="N338" s="1" t="s">
        <v>42</v>
      </c>
      <c r="O338" s="1" t="s">
        <v>56</v>
      </c>
      <c r="P338" s="1" t="s">
        <v>1507</v>
      </c>
      <c r="Q338" s="1" t="s">
        <v>1507</v>
      </c>
      <c r="R338" s="1" t="s">
        <v>1507</v>
      </c>
      <c r="S338" s="1" t="s">
        <v>1507</v>
      </c>
      <c r="T338" s="1" t="s">
        <v>1507</v>
      </c>
      <c r="U338" s="1" t="s">
        <v>1637</v>
      </c>
      <c r="V338" s="1" t="s">
        <v>1638</v>
      </c>
      <c r="W338" s="1" t="s">
        <v>1639</v>
      </c>
      <c r="X338" s="1" t="s">
        <v>1640</v>
      </c>
      <c r="Y338" s="1" t="s">
        <v>1641</v>
      </c>
      <c r="Z338" s="1" t="s">
        <v>1642</v>
      </c>
      <c r="AA338" s="1" t="s">
        <v>1643</v>
      </c>
      <c r="AB338" s="1" t="s">
        <v>13741</v>
      </c>
      <c r="AC338" s="1" t="s">
        <v>13742</v>
      </c>
      <c r="AD338" s="1" t="s">
        <v>1644</v>
      </c>
      <c r="AE338" s="1" t="s">
        <v>1645</v>
      </c>
      <c r="AF338" s="1" t="s">
        <v>1646</v>
      </c>
      <c r="AG338" s="1" t="s">
        <v>1507</v>
      </c>
      <c r="AH338" s="1">
        <v>76</v>
      </c>
      <c r="AI338" s="1">
        <v>0</v>
      </c>
      <c r="AJ338" s="1">
        <v>0</v>
      </c>
      <c r="AK338" s="1">
        <v>3</v>
      </c>
      <c r="AL338" s="1">
        <v>3</v>
      </c>
      <c r="AM338" s="1" t="s">
        <v>1559</v>
      </c>
      <c r="AN338" s="1" t="s">
        <v>1560</v>
      </c>
      <c r="AO338" s="1" t="s">
        <v>1561</v>
      </c>
      <c r="AP338" s="1" t="s">
        <v>1647</v>
      </c>
      <c r="AQ338" s="1" t="s">
        <v>1648</v>
      </c>
      <c r="AR338" s="1" t="s">
        <v>1507</v>
      </c>
      <c r="AS338" s="1" t="s">
        <v>1649</v>
      </c>
      <c r="AT338" s="1" t="s">
        <v>1650</v>
      </c>
      <c r="AU338" s="1" t="s">
        <v>4721</v>
      </c>
      <c r="AV338" s="1">
        <v>2024</v>
      </c>
      <c r="AW338" s="1">
        <v>91</v>
      </c>
      <c r="AX338" s="1">
        <v>6</v>
      </c>
      <c r="AY338" s="1" t="s">
        <v>1507</v>
      </c>
      <c r="AZ338" s="1" t="s">
        <v>1507</v>
      </c>
      <c r="BA338" s="1" t="s">
        <v>1507</v>
      </c>
      <c r="BB338" s="1" t="s">
        <v>1507</v>
      </c>
      <c r="BC338" s="1">
        <v>2278</v>
      </c>
      <c r="BD338" s="1">
        <v>2293</v>
      </c>
      <c r="BE338" s="1" t="s">
        <v>1507</v>
      </c>
      <c r="BF338" s="1" t="s">
        <v>1651</v>
      </c>
      <c r="BG338" s="1" t="str">
        <f>HYPERLINK("http://dx.doi.org/10.1002/mrm.29990","http://dx.doi.org/10.1002/mrm.29990")</f>
        <v>http://dx.doi.org/10.1002/mrm.29990</v>
      </c>
      <c r="BH338" s="1" t="s">
        <v>1507</v>
      </c>
      <c r="BI338" s="1" t="s">
        <v>1652</v>
      </c>
      <c r="BJ338" s="1">
        <v>16</v>
      </c>
      <c r="BK338" s="1" t="s">
        <v>1653</v>
      </c>
      <c r="BL338" s="1" t="s">
        <v>1573</v>
      </c>
      <c r="BM338" s="1" t="s">
        <v>1653</v>
      </c>
      <c r="BN338" s="1" t="s">
        <v>13743</v>
      </c>
      <c r="BO338" s="1">
        <v>38156945</v>
      </c>
      <c r="BP338" s="1" t="s">
        <v>1507</v>
      </c>
      <c r="BQ338" s="1" t="s">
        <v>1507</v>
      </c>
      <c r="BR338" s="1" t="s">
        <v>1507</v>
      </c>
      <c r="BS338" s="1" t="s">
        <v>13744</v>
      </c>
      <c r="BT338" s="1" t="s">
        <v>1654</v>
      </c>
      <c r="BU338" s="1" t="str">
        <f>HYPERLINK("https%3A%2F%2Fwww.webofscience.com%2Fwos%2Fwoscc%2Ffull-record%2FWOS:001134125600001","View Full Record in Web of Science")</f>
        <v>View Full Record in Web of Science</v>
      </c>
    </row>
    <row r="339" spans="1:73" x14ac:dyDescent="0.25">
      <c r="A339" s="1">
        <v>338</v>
      </c>
      <c r="B339" s="1" t="s">
        <v>1506</v>
      </c>
      <c r="C339" s="1" t="s">
        <v>11068</v>
      </c>
      <c r="D339" s="1" t="s">
        <v>1507</v>
      </c>
      <c r="E339" s="1" t="s">
        <v>1507</v>
      </c>
      <c r="F339" s="1" t="s">
        <v>1507</v>
      </c>
      <c r="G339" s="1" t="s">
        <v>11069</v>
      </c>
      <c r="H339" s="1" t="s">
        <v>1507</v>
      </c>
      <c r="I339" s="1" t="s">
        <v>1507</v>
      </c>
      <c r="J339" s="1" t="s">
        <v>11070</v>
      </c>
      <c r="K339" s="1" t="s">
        <v>4452</v>
      </c>
      <c r="L339" s="1" t="s">
        <v>1507</v>
      </c>
      <c r="M339" s="1" t="s">
        <v>1507</v>
      </c>
      <c r="N339" s="1" t="s">
        <v>42</v>
      </c>
      <c r="O339" s="1" t="s">
        <v>56</v>
      </c>
      <c r="P339" s="1" t="s">
        <v>1507</v>
      </c>
      <c r="Q339" s="1" t="s">
        <v>1507</v>
      </c>
      <c r="R339" s="1" t="s">
        <v>1507</v>
      </c>
      <c r="S339" s="1" t="s">
        <v>1507</v>
      </c>
      <c r="T339" s="1" t="s">
        <v>1507</v>
      </c>
      <c r="U339" s="1" t="s">
        <v>11071</v>
      </c>
      <c r="V339" s="1" t="s">
        <v>11072</v>
      </c>
      <c r="W339" s="1" t="s">
        <v>11073</v>
      </c>
      <c r="X339" s="1" t="s">
        <v>11074</v>
      </c>
      <c r="Y339" s="1" t="s">
        <v>11075</v>
      </c>
      <c r="Z339" s="1" t="s">
        <v>11076</v>
      </c>
      <c r="AA339" s="1" t="s">
        <v>4822</v>
      </c>
      <c r="AB339" s="1" t="s">
        <v>11077</v>
      </c>
      <c r="AC339" s="1" t="s">
        <v>8956</v>
      </c>
      <c r="AD339" s="1" t="s">
        <v>11078</v>
      </c>
      <c r="AE339" s="1" t="s">
        <v>11079</v>
      </c>
      <c r="AF339" s="1" t="s">
        <v>11080</v>
      </c>
      <c r="AG339" s="1" t="s">
        <v>1507</v>
      </c>
      <c r="AH339" s="1">
        <v>54</v>
      </c>
      <c r="AI339" s="1">
        <v>10</v>
      </c>
      <c r="AJ339" s="1">
        <v>11</v>
      </c>
      <c r="AK339" s="1">
        <v>0</v>
      </c>
      <c r="AL339" s="1">
        <v>15</v>
      </c>
      <c r="AM339" s="1" t="s">
        <v>1511</v>
      </c>
      <c r="AN339" s="1" t="s">
        <v>1512</v>
      </c>
      <c r="AO339" s="1" t="s">
        <v>8572</v>
      </c>
      <c r="AP339" s="1" t="s">
        <v>4463</v>
      </c>
      <c r="AQ339" s="1" t="s">
        <v>1507</v>
      </c>
      <c r="AR339" s="1" t="s">
        <v>1507</v>
      </c>
      <c r="AS339" s="1" t="s">
        <v>4464</v>
      </c>
      <c r="AT339" s="1" t="s">
        <v>4465</v>
      </c>
      <c r="AU339" s="1" t="s">
        <v>5201</v>
      </c>
      <c r="AV339" s="1">
        <v>2019</v>
      </c>
      <c r="AW339" s="1">
        <v>44</v>
      </c>
      <c r="AX339" s="1">
        <v>2</v>
      </c>
      <c r="AY339" s="1" t="s">
        <v>1507</v>
      </c>
      <c r="AZ339" s="1" t="s">
        <v>1507</v>
      </c>
      <c r="BA339" s="1" t="s">
        <v>1507</v>
      </c>
      <c r="BB339" s="1" t="s">
        <v>1507</v>
      </c>
      <c r="BC339" s="1">
        <v>140</v>
      </c>
      <c r="BD339" s="1">
        <v>150</v>
      </c>
      <c r="BE339" s="1" t="s">
        <v>1507</v>
      </c>
      <c r="BF339" s="1" t="s">
        <v>11081</v>
      </c>
      <c r="BG339" s="1" t="str">
        <f>HYPERLINK("http://dx.doi.org/10.1007/s40858-018-0254-9","http://dx.doi.org/10.1007/s40858-018-0254-9")</f>
        <v>http://dx.doi.org/10.1007/s40858-018-0254-9</v>
      </c>
      <c r="BH339" s="1" t="s">
        <v>1507</v>
      </c>
      <c r="BI339" s="1" t="s">
        <v>1507</v>
      </c>
      <c r="BJ339" s="1">
        <v>11</v>
      </c>
      <c r="BK339" s="1" t="s">
        <v>2914</v>
      </c>
      <c r="BL339" s="1" t="s">
        <v>1573</v>
      </c>
      <c r="BM339" s="1" t="s">
        <v>2914</v>
      </c>
      <c r="BN339" s="1" t="s">
        <v>11082</v>
      </c>
      <c r="BO339" s="1" t="s">
        <v>1507</v>
      </c>
      <c r="BP339" s="1" t="s">
        <v>3572</v>
      </c>
      <c r="BQ339" s="1" t="s">
        <v>1507</v>
      </c>
      <c r="BR339" s="1" t="s">
        <v>1507</v>
      </c>
      <c r="BS339" s="1" t="s">
        <v>13744</v>
      </c>
      <c r="BT339" s="1" t="s">
        <v>11083</v>
      </c>
      <c r="BU339" s="1" t="str">
        <f>HYPERLINK("https%3A%2F%2Fwww.webofscience.com%2Fwos%2Fwoscc%2Ffull-record%2FWOS:000464764700004","View Full Record in Web of Science")</f>
        <v>View Full Record in Web of Science</v>
      </c>
    </row>
    <row r="340" spans="1:73" x14ac:dyDescent="0.25">
      <c r="A340" s="1">
        <v>339</v>
      </c>
      <c r="B340" s="1" t="s">
        <v>1506</v>
      </c>
      <c r="C340" s="1" t="s">
        <v>9512</v>
      </c>
      <c r="D340" s="1" t="s">
        <v>1507</v>
      </c>
      <c r="E340" s="1" t="s">
        <v>1507</v>
      </c>
      <c r="F340" s="1" t="s">
        <v>1507</v>
      </c>
      <c r="G340" s="1" t="s">
        <v>9513</v>
      </c>
      <c r="H340" s="1" t="s">
        <v>1507</v>
      </c>
      <c r="I340" s="1" t="s">
        <v>1507</v>
      </c>
      <c r="J340" s="1" t="s">
        <v>9514</v>
      </c>
      <c r="K340" s="1" t="s">
        <v>9515</v>
      </c>
      <c r="L340" s="1" t="s">
        <v>1507</v>
      </c>
      <c r="M340" s="1" t="s">
        <v>1507</v>
      </c>
      <c r="N340" s="1" t="s">
        <v>42</v>
      </c>
      <c r="O340" s="1" t="s">
        <v>56</v>
      </c>
      <c r="P340" s="1" t="s">
        <v>1507</v>
      </c>
      <c r="Q340" s="1" t="s">
        <v>1507</v>
      </c>
      <c r="R340" s="1" t="s">
        <v>1507</v>
      </c>
      <c r="S340" s="1" t="s">
        <v>1507</v>
      </c>
      <c r="T340" s="1" t="s">
        <v>1507</v>
      </c>
      <c r="U340" s="1" t="s">
        <v>1507</v>
      </c>
      <c r="V340" s="1" t="s">
        <v>9516</v>
      </c>
      <c r="W340" s="1" t="s">
        <v>9517</v>
      </c>
      <c r="X340" s="1" t="s">
        <v>9518</v>
      </c>
      <c r="Y340" s="1" t="s">
        <v>9519</v>
      </c>
      <c r="Z340" s="1" t="s">
        <v>9520</v>
      </c>
      <c r="AA340" s="1" t="s">
        <v>9521</v>
      </c>
      <c r="AB340" s="1" t="s">
        <v>1507</v>
      </c>
      <c r="AC340" s="1" t="s">
        <v>1507</v>
      </c>
      <c r="AD340" s="1" t="s">
        <v>9522</v>
      </c>
      <c r="AE340" s="1" t="s">
        <v>9522</v>
      </c>
      <c r="AF340" s="1" t="s">
        <v>9523</v>
      </c>
      <c r="AG340" s="1" t="s">
        <v>1507</v>
      </c>
      <c r="AH340" s="1">
        <v>118</v>
      </c>
      <c r="AI340" s="1">
        <v>4</v>
      </c>
      <c r="AJ340" s="1">
        <v>4</v>
      </c>
      <c r="AK340" s="1">
        <v>1</v>
      </c>
      <c r="AL340" s="1">
        <v>6</v>
      </c>
      <c r="AM340" s="1" t="s">
        <v>9524</v>
      </c>
      <c r="AN340" s="1" t="s">
        <v>9525</v>
      </c>
      <c r="AO340" s="1" t="s">
        <v>9526</v>
      </c>
      <c r="AP340" s="1" t="s">
        <v>9527</v>
      </c>
      <c r="AQ340" s="1" t="s">
        <v>1507</v>
      </c>
      <c r="AR340" s="1" t="s">
        <v>1507</v>
      </c>
      <c r="AS340" s="1" t="s">
        <v>9528</v>
      </c>
      <c r="AT340" s="1" t="s">
        <v>9529</v>
      </c>
      <c r="AU340" s="1" t="s">
        <v>2889</v>
      </c>
      <c r="AV340" s="1">
        <v>2020</v>
      </c>
      <c r="AW340" s="1">
        <v>95</v>
      </c>
      <c r="AX340" s="1">
        <v>3</v>
      </c>
      <c r="AY340" s="1" t="s">
        <v>1507</v>
      </c>
      <c r="AZ340" s="1" t="s">
        <v>1507</v>
      </c>
      <c r="BA340" s="1" t="s">
        <v>1507</v>
      </c>
      <c r="BB340" s="1" t="s">
        <v>1507</v>
      </c>
      <c r="BC340" s="1">
        <v>1317</v>
      </c>
      <c r="BD340" s="1">
        <v>1382</v>
      </c>
      <c r="BE340" s="1" t="s">
        <v>1507</v>
      </c>
      <c r="BF340" s="1" t="s">
        <v>1507</v>
      </c>
      <c r="BG340" s="1" t="s">
        <v>1507</v>
      </c>
      <c r="BH340" s="1" t="s">
        <v>1507</v>
      </c>
      <c r="BI340" s="1" t="s">
        <v>1507</v>
      </c>
      <c r="BJ340" s="1">
        <v>66</v>
      </c>
      <c r="BK340" s="1" t="s">
        <v>1535</v>
      </c>
      <c r="BL340" s="1" t="s">
        <v>1518</v>
      </c>
      <c r="BM340" s="1" t="s">
        <v>1536</v>
      </c>
      <c r="BN340" s="1" t="s">
        <v>9530</v>
      </c>
      <c r="BO340" s="1" t="s">
        <v>1507</v>
      </c>
      <c r="BP340" s="1" t="s">
        <v>1507</v>
      </c>
      <c r="BQ340" s="1" t="s">
        <v>1507</v>
      </c>
      <c r="BR340" s="1" t="s">
        <v>1507</v>
      </c>
      <c r="BS340" s="1" t="s">
        <v>13744</v>
      </c>
      <c r="BT340" s="1" t="s">
        <v>9531</v>
      </c>
      <c r="BU340" s="1" t="str">
        <f>HYPERLINK("https%3A%2F%2Fwww.webofscience.com%2Fwos%2Fwoscc%2Ffull-record%2FWOS:000609004500004","View Full Record in Web of Science")</f>
        <v>View Full Record in Web of Science</v>
      </c>
    </row>
    <row r="341" spans="1:73" x14ac:dyDescent="0.25">
      <c r="A341" s="1">
        <v>340</v>
      </c>
      <c r="B341" s="1" t="s">
        <v>1506</v>
      </c>
      <c r="C341" s="1" t="s">
        <v>3956</v>
      </c>
      <c r="D341" s="1" t="s">
        <v>1507</v>
      </c>
      <c r="E341" s="1" t="s">
        <v>1507</v>
      </c>
      <c r="F341" s="1" t="s">
        <v>1507</v>
      </c>
      <c r="G341" s="1" t="s">
        <v>3957</v>
      </c>
      <c r="H341" s="1" t="s">
        <v>1507</v>
      </c>
      <c r="I341" s="1" t="s">
        <v>1507</v>
      </c>
      <c r="J341" s="1" t="s">
        <v>3958</v>
      </c>
      <c r="K341" s="1" t="s">
        <v>3959</v>
      </c>
      <c r="L341" s="1" t="s">
        <v>1507</v>
      </c>
      <c r="M341" s="1" t="s">
        <v>1507</v>
      </c>
      <c r="N341" s="1" t="s">
        <v>42</v>
      </c>
      <c r="O341" s="1" t="s">
        <v>56</v>
      </c>
      <c r="P341" s="1" t="s">
        <v>1507</v>
      </c>
      <c r="Q341" s="1" t="s">
        <v>1507</v>
      </c>
      <c r="R341" s="1" t="s">
        <v>1507</v>
      </c>
      <c r="S341" s="1" t="s">
        <v>1507</v>
      </c>
      <c r="T341" s="1" t="s">
        <v>1507</v>
      </c>
      <c r="U341" s="1" t="s">
        <v>3960</v>
      </c>
      <c r="V341" s="1" t="s">
        <v>3961</v>
      </c>
      <c r="W341" s="1" t="s">
        <v>3962</v>
      </c>
      <c r="X341" s="1" t="s">
        <v>3963</v>
      </c>
      <c r="Y341" s="1" t="s">
        <v>3964</v>
      </c>
      <c r="Z341" s="1" t="s">
        <v>3965</v>
      </c>
      <c r="AA341" s="1" t="s">
        <v>3966</v>
      </c>
      <c r="AB341" s="1" t="s">
        <v>1507</v>
      </c>
      <c r="AC341" s="1" t="s">
        <v>3967</v>
      </c>
      <c r="AD341" s="1" t="s">
        <v>3968</v>
      </c>
      <c r="AE341" s="1" t="s">
        <v>3969</v>
      </c>
      <c r="AF341" s="1" t="s">
        <v>3970</v>
      </c>
      <c r="AG341" s="1" t="s">
        <v>1507</v>
      </c>
      <c r="AH341" s="1">
        <v>39</v>
      </c>
      <c r="AI341" s="1">
        <v>2</v>
      </c>
      <c r="AJ341" s="1">
        <v>2</v>
      </c>
      <c r="AK341" s="1">
        <v>33</v>
      </c>
      <c r="AL341" s="1">
        <v>33</v>
      </c>
      <c r="AM341" s="1" t="s">
        <v>3971</v>
      </c>
      <c r="AN341" s="1" t="s">
        <v>1583</v>
      </c>
      <c r="AO341" s="1" t="s">
        <v>3972</v>
      </c>
      <c r="AP341" s="1" t="s">
        <v>3973</v>
      </c>
      <c r="AQ341" s="1" t="s">
        <v>1507</v>
      </c>
      <c r="AR341" s="1" t="s">
        <v>1507</v>
      </c>
      <c r="AS341" s="1" t="s">
        <v>3974</v>
      </c>
      <c r="AT341" s="1" t="s">
        <v>3975</v>
      </c>
      <c r="AU341" s="1" t="s">
        <v>2771</v>
      </c>
      <c r="AV341" s="1">
        <v>2023</v>
      </c>
      <c r="AW341" s="1">
        <v>51</v>
      </c>
      <c r="AX341" s="1" t="s">
        <v>1507</v>
      </c>
      <c r="AY341" s="1" t="s">
        <v>1507</v>
      </c>
      <c r="AZ341" s="1" t="s">
        <v>1507</v>
      </c>
      <c r="BA341" s="1" t="s">
        <v>1507</v>
      </c>
      <c r="BB341" s="1" t="s">
        <v>1507</v>
      </c>
      <c r="BC341" s="1" t="s">
        <v>1507</v>
      </c>
      <c r="BD341" s="1" t="s">
        <v>1507</v>
      </c>
      <c r="BE341" s="1">
        <v>105864</v>
      </c>
      <c r="BF341" s="1" t="s">
        <v>3976</v>
      </c>
      <c r="BG341" s="1" t="str">
        <f>HYPERLINK("http://dx.doi.org/10.1016/j.clsr.2023.105864","http://dx.doi.org/10.1016/j.clsr.2023.105864")</f>
        <v>http://dx.doi.org/10.1016/j.clsr.2023.105864</v>
      </c>
      <c r="BH341" s="1" t="s">
        <v>1507</v>
      </c>
      <c r="BI341" s="1" t="s">
        <v>3689</v>
      </c>
      <c r="BJ341" s="1">
        <v>10</v>
      </c>
      <c r="BK341" s="1" t="s">
        <v>1535</v>
      </c>
      <c r="BL341" s="1" t="s">
        <v>1518</v>
      </c>
      <c r="BM341" s="1" t="s">
        <v>1536</v>
      </c>
      <c r="BN341" s="1" t="s">
        <v>3977</v>
      </c>
      <c r="BO341" s="1" t="s">
        <v>1507</v>
      </c>
      <c r="BP341" s="1" t="s">
        <v>1507</v>
      </c>
      <c r="BQ341" s="1" t="s">
        <v>1507</v>
      </c>
      <c r="BR341" s="1" t="s">
        <v>1507</v>
      </c>
      <c r="BS341" s="1" t="s">
        <v>13744</v>
      </c>
      <c r="BT341" s="1" t="s">
        <v>3978</v>
      </c>
      <c r="BU341" s="1" t="str">
        <f>HYPERLINK("https%3A%2F%2Fwww.webofscience.com%2Fwos%2Fwoscc%2Ffull-record%2FWOS:001074080200001","View Full Record in Web of Science")</f>
        <v>View Full Record in Web of Science</v>
      </c>
    </row>
    <row r="342" spans="1:73" x14ac:dyDescent="0.25">
      <c r="A342" s="1">
        <v>341</v>
      </c>
      <c r="B342" s="1" t="s">
        <v>1506</v>
      </c>
      <c r="C342" s="1" t="s">
        <v>2894</v>
      </c>
      <c r="D342" s="1" t="s">
        <v>1507</v>
      </c>
      <c r="E342" s="1" t="s">
        <v>1507</v>
      </c>
      <c r="F342" s="1" t="s">
        <v>1507</v>
      </c>
      <c r="G342" s="1" t="s">
        <v>2895</v>
      </c>
      <c r="H342" s="1" t="s">
        <v>1507</v>
      </c>
      <c r="I342" s="1" t="s">
        <v>1507</v>
      </c>
      <c r="J342" s="1" t="s">
        <v>2896</v>
      </c>
      <c r="K342" s="1" t="s">
        <v>2897</v>
      </c>
      <c r="L342" s="1" t="s">
        <v>1507</v>
      </c>
      <c r="M342" s="1" t="s">
        <v>1507</v>
      </c>
      <c r="N342" s="1" t="s">
        <v>42</v>
      </c>
      <c r="O342" s="1" t="s">
        <v>56</v>
      </c>
      <c r="P342" s="1" t="s">
        <v>1507</v>
      </c>
      <c r="Q342" s="1" t="s">
        <v>1507</v>
      </c>
      <c r="R342" s="1" t="s">
        <v>1507</v>
      </c>
      <c r="S342" s="1" t="s">
        <v>1507</v>
      </c>
      <c r="T342" s="1" t="s">
        <v>1507</v>
      </c>
      <c r="U342" s="1" t="s">
        <v>2898</v>
      </c>
      <c r="V342" s="1" t="s">
        <v>2899</v>
      </c>
      <c r="W342" s="1" t="s">
        <v>2900</v>
      </c>
      <c r="X342" s="1" t="s">
        <v>2901</v>
      </c>
      <c r="Y342" s="1" t="s">
        <v>2902</v>
      </c>
      <c r="Z342" s="1" t="s">
        <v>2903</v>
      </c>
      <c r="AA342" s="1" t="s">
        <v>2904</v>
      </c>
      <c r="AB342" s="1" t="s">
        <v>1507</v>
      </c>
      <c r="AC342" s="1" t="s">
        <v>2905</v>
      </c>
      <c r="AD342" s="1" t="s">
        <v>2906</v>
      </c>
      <c r="AE342" s="1" t="s">
        <v>2907</v>
      </c>
      <c r="AF342" s="1" t="s">
        <v>2908</v>
      </c>
      <c r="AG342" s="1" t="s">
        <v>1507</v>
      </c>
      <c r="AH342" s="1">
        <v>61</v>
      </c>
      <c r="AI342" s="1">
        <v>0</v>
      </c>
      <c r="AJ342" s="1">
        <v>0</v>
      </c>
      <c r="AK342" s="1">
        <v>16</v>
      </c>
      <c r="AL342" s="1">
        <v>16</v>
      </c>
      <c r="AM342" s="1" t="s">
        <v>1559</v>
      </c>
      <c r="AN342" s="1" t="s">
        <v>1560</v>
      </c>
      <c r="AO342" s="1" t="s">
        <v>1561</v>
      </c>
      <c r="AP342" s="1" t="s">
        <v>2909</v>
      </c>
      <c r="AQ342" s="1" t="s">
        <v>2910</v>
      </c>
      <c r="AR342" s="1" t="s">
        <v>1507</v>
      </c>
      <c r="AS342" s="1" t="s">
        <v>2911</v>
      </c>
      <c r="AT342" s="1" t="s">
        <v>2912</v>
      </c>
      <c r="AU342" s="1" t="s">
        <v>1616</v>
      </c>
      <c r="AV342" s="1">
        <v>2024</v>
      </c>
      <c r="AW342" s="1">
        <v>117</v>
      </c>
      <c r="AX342" s="1">
        <v>2</v>
      </c>
      <c r="AY342" s="1" t="s">
        <v>1507</v>
      </c>
      <c r="AZ342" s="1" t="s">
        <v>1507</v>
      </c>
      <c r="BA342" s="1" t="s">
        <v>1507</v>
      </c>
      <c r="BB342" s="1" t="s">
        <v>1507</v>
      </c>
      <c r="BC342" s="1">
        <v>599</v>
      </c>
      <c r="BD342" s="1">
        <v>615</v>
      </c>
      <c r="BE342" s="1" t="s">
        <v>1507</v>
      </c>
      <c r="BF342" s="1" t="s">
        <v>2913</v>
      </c>
      <c r="BG342" s="1" t="str">
        <f>HYPERLINK("http://dx.doi.org/10.1111/tpj.16517","http://dx.doi.org/10.1111/tpj.16517")</f>
        <v>http://dx.doi.org/10.1111/tpj.16517</v>
      </c>
      <c r="BH342" s="1" t="s">
        <v>1507</v>
      </c>
      <c r="BI342" s="1" t="s">
        <v>2891</v>
      </c>
      <c r="BJ342" s="1">
        <v>17</v>
      </c>
      <c r="BK342" s="1" t="s">
        <v>2914</v>
      </c>
      <c r="BL342" s="1" t="s">
        <v>1573</v>
      </c>
      <c r="BM342" s="1" t="s">
        <v>2914</v>
      </c>
      <c r="BN342" s="1" t="s">
        <v>2915</v>
      </c>
      <c r="BO342" s="1">
        <v>37902786</v>
      </c>
      <c r="BP342" s="1" t="s">
        <v>1507</v>
      </c>
      <c r="BQ342" s="1" t="s">
        <v>1507</v>
      </c>
      <c r="BR342" s="1" t="s">
        <v>1507</v>
      </c>
      <c r="BS342" s="1" t="s">
        <v>13744</v>
      </c>
      <c r="BT342" s="1" t="s">
        <v>2916</v>
      </c>
      <c r="BU342" s="1" t="str">
        <f>HYPERLINK("https%3A%2F%2Fwww.webofscience.com%2Fwos%2Fwoscc%2Ffull-record%2FWOS:001092672500001","View Full Record in Web of Science")</f>
        <v>View Full Record in Web of Science</v>
      </c>
    </row>
    <row r="343" spans="1:73" x14ac:dyDescent="0.25">
      <c r="A343" s="1">
        <v>342</v>
      </c>
      <c r="B343" s="1" t="s">
        <v>1506</v>
      </c>
      <c r="C343" s="1" t="s">
        <v>4878</v>
      </c>
      <c r="D343" s="1" t="s">
        <v>1507</v>
      </c>
      <c r="E343" s="1" t="s">
        <v>1507</v>
      </c>
      <c r="F343" s="1" t="s">
        <v>1507</v>
      </c>
      <c r="G343" s="1" t="s">
        <v>4879</v>
      </c>
      <c r="H343" s="1" t="s">
        <v>1507</v>
      </c>
      <c r="I343" s="1" t="s">
        <v>1507</v>
      </c>
      <c r="J343" s="1" t="s">
        <v>1187</v>
      </c>
      <c r="K343" s="1" t="s">
        <v>4880</v>
      </c>
      <c r="L343" s="1" t="s">
        <v>1507</v>
      </c>
      <c r="M343" s="1" t="s">
        <v>1507</v>
      </c>
      <c r="N343" s="1" t="s">
        <v>42</v>
      </c>
      <c r="O343" s="1" t="s">
        <v>56</v>
      </c>
      <c r="P343" s="1" t="s">
        <v>1507</v>
      </c>
      <c r="Q343" s="1" t="s">
        <v>1507</v>
      </c>
      <c r="R343" s="1" t="s">
        <v>1507</v>
      </c>
      <c r="S343" s="1" t="s">
        <v>1507</v>
      </c>
      <c r="T343" s="1" t="s">
        <v>1507</v>
      </c>
      <c r="U343" s="1" t="s">
        <v>4881</v>
      </c>
      <c r="V343" s="1" t="s">
        <v>4882</v>
      </c>
      <c r="W343" s="1" t="s">
        <v>4883</v>
      </c>
      <c r="X343" s="1" t="s">
        <v>4884</v>
      </c>
      <c r="Y343" s="1" t="s">
        <v>4885</v>
      </c>
      <c r="Z343" s="1" t="s">
        <v>4886</v>
      </c>
      <c r="AA343" s="1" t="s">
        <v>4887</v>
      </c>
      <c r="AB343" s="1" t="s">
        <v>1507</v>
      </c>
      <c r="AC343" s="1" t="s">
        <v>1507</v>
      </c>
      <c r="AD343" s="1" t="s">
        <v>1507</v>
      </c>
      <c r="AE343" s="1" t="s">
        <v>1507</v>
      </c>
      <c r="AF343" s="1" t="s">
        <v>1507</v>
      </c>
      <c r="AG343" s="1" t="s">
        <v>1507</v>
      </c>
      <c r="AH343" s="1">
        <v>114</v>
      </c>
      <c r="AI343" s="1">
        <v>8</v>
      </c>
      <c r="AJ343" s="1">
        <v>8</v>
      </c>
      <c r="AK343" s="1">
        <v>44</v>
      </c>
      <c r="AL343" s="1">
        <v>70</v>
      </c>
      <c r="AM343" s="1" t="s">
        <v>1564</v>
      </c>
      <c r="AN343" s="1" t="s">
        <v>1565</v>
      </c>
      <c r="AO343" s="1" t="s">
        <v>1566</v>
      </c>
      <c r="AP343" s="1" t="s">
        <v>1507</v>
      </c>
      <c r="AQ343" s="1" t="s">
        <v>4888</v>
      </c>
      <c r="AR343" s="1" t="s">
        <v>1507</v>
      </c>
      <c r="AS343" s="1" t="s">
        <v>4889</v>
      </c>
      <c r="AT343" s="1" t="s">
        <v>1196</v>
      </c>
      <c r="AU343" s="1" t="s">
        <v>4890</v>
      </c>
      <c r="AV343" s="1">
        <v>2023</v>
      </c>
      <c r="AW343" s="1">
        <v>8</v>
      </c>
      <c r="AX343" s="1" t="s">
        <v>1507</v>
      </c>
      <c r="AY343" s="1" t="s">
        <v>1507</v>
      </c>
      <c r="AZ343" s="1" t="s">
        <v>1507</v>
      </c>
      <c r="BA343" s="1" t="s">
        <v>1507</v>
      </c>
      <c r="BB343" s="1" t="s">
        <v>1507</v>
      </c>
      <c r="BC343" s="1" t="s">
        <v>1507</v>
      </c>
      <c r="BD343" s="1" t="s">
        <v>1507</v>
      </c>
      <c r="BE343" s="1">
        <v>1129082</v>
      </c>
      <c r="BF343" s="1" t="s">
        <v>1189</v>
      </c>
      <c r="BG343" s="1" t="str">
        <f>HYPERLINK("http://dx.doi.org/10.3389/fcomm.2023.1129082","http://dx.doi.org/10.3389/fcomm.2023.1129082")</f>
        <v>http://dx.doi.org/10.3389/fcomm.2023.1129082</v>
      </c>
      <c r="BH343" s="1" t="s">
        <v>1507</v>
      </c>
      <c r="BI343" s="1" t="s">
        <v>1507</v>
      </c>
      <c r="BJ343" s="1">
        <v>15</v>
      </c>
      <c r="BK343" s="1" t="s">
        <v>2418</v>
      </c>
      <c r="BL343" s="1" t="s">
        <v>1529</v>
      </c>
      <c r="BM343" s="1" t="s">
        <v>2418</v>
      </c>
      <c r="BN343" s="1" t="s">
        <v>4891</v>
      </c>
      <c r="BO343" s="1" t="s">
        <v>1507</v>
      </c>
      <c r="BP343" s="1" t="s">
        <v>1531</v>
      </c>
      <c r="BQ343" s="1" t="s">
        <v>1507</v>
      </c>
      <c r="BR343" s="1" t="s">
        <v>1507</v>
      </c>
      <c r="BS343" s="1" t="s">
        <v>13744</v>
      </c>
      <c r="BT343" s="1" t="s">
        <v>4892</v>
      </c>
      <c r="BU343" s="1" t="str">
        <f>HYPERLINK("https%3A%2F%2Fwww.webofscience.com%2Fwos%2Fwoscc%2Ffull-record%2FWOS:001003088700001","View Full Record in Web of Science")</f>
        <v>View Full Record in Web of Science</v>
      </c>
    </row>
    <row r="344" spans="1:73" x14ac:dyDescent="0.25">
      <c r="A344" s="1">
        <v>343</v>
      </c>
      <c r="B344" s="1" t="s">
        <v>1506</v>
      </c>
      <c r="C344" s="1" t="s">
        <v>11122</v>
      </c>
      <c r="D344" s="1" t="s">
        <v>1507</v>
      </c>
      <c r="E344" s="1" t="s">
        <v>1507</v>
      </c>
      <c r="F344" s="1" t="s">
        <v>1507</v>
      </c>
      <c r="G344" s="1" t="s">
        <v>11123</v>
      </c>
      <c r="H344" s="1" t="s">
        <v>1507</v>
      </c>
      <c r="I344" s="1" t="s">
        <v>1507</v>
      </c>
      <c r="J344" s="1" t="s">
        <v>11124</v>
      </c>
      <c r="K344" s="1" t="s">
        <v>11125</v>
      </c>
      <c r="L344" s="1" t="s">
        <v>1507</v>
      </c>
      <c r="M344" s="1" t="s">
        <v>1507</v>
      </c>
      <c r="N344" s="1" t="s">
        <v>42</v>
      </c>
      <c r="O344" s="1" t="s">
        <v>56</v>
      </c>
      <c r="P344" s="1" t="s">
        <v>1507</v>
      </c>
      <c r="Q344" s="1" t="s">
        <v>1507</v>
      </c>
      <c r="R344" s="1" t="s">
        <v>1507</v>
      </c>
      <c r="S344" s="1" t="s">
        <v>1507</v>
      </c>
      <c r="T344" s="1" t="s">
        <v>1507</v>
      </c>
      <c r="U344" s="1" t="s">
        <v>11126</v>
      </c>
      <c r="V344" s="1" t="s">
        <v>11127</v>
      </c>
      <c r="W344" s="1" t="s">
        <v>11128</v>
      </c>
      <c r="X344" s="1" t="s">
        <v>11129</v>
      </c>
      <c r="Y344" s="1" t="s">
        <v>11130</v>
      </c>
      <c r="Z344" s="1" t="s">
        <v>11131</v>
      </c>
      <c r="AA344" s="1" t="s">
        <v>11132</v>
      </c>
      <c r="AB344" s="1" t="s">
        <v>1507</v>
      </c>
      <c r="AC344" s="1" t="s">
        <v>15936</v>
      </c>
      <c r="AD344" s="1" t="s">
        <v>11133</v>
      </c>
      <c r="AE344" s="1" t="s">
        <v>11133</v>
      </c>
      <c r="AF344" s="1" t="s">
        <v>11134</v>
      </c>
      <c r="AG344" s="1" t="s">
        <v>1507</v>
      </c>
      <c r="AH344" s="1">
        <v>77</v>
      </c>
      <c r="AI344" s="1">
        <v>8</v>
      </c>
      <c r="AJ344" s="1">
        <v>9</v>
      </c>
      <c r="AK344" s="1">
        <v>1</v>
      </c>
      <c r="AL344" s="1">
        <v>5</v>
      </c>
      <c r="AM344" s="1" t="s">
        <v>3564</v>
      </c>
      <c r="AN344" s="1" t="s">
        <v>1523</v>
      </c>
      <c r="AO344" s="1" t="s">
        <v>3565</v>
      </c>
      <c r="AP344" s="1" t="s">
        <v>11135</v>
      </c>
      <c r="AQ344" s="1" t="s">
        <v>11136</v>
      </c>
      <c r="AR344" s="1" t="s">
        <v>1507</v>
      </c>
      <c r="AS344" s="1" t="s">
        <v>11137</v>
      </c>
      <c r="AT344" s="1" t="s">
        <v>11138</v>
      </c>
      <c r="AU344" s="1" t="s">
        <v>5362</v>
      </c>
      <c r="AV344" s="1">
        <v>2019</v>
      </c>
      <c r="AW344" s="1">
        <v>8</v>
      </c>
      <c r="AX344" s="1">
        <v>1</v>
      </c>
      <c r="AY344" s="1" t="s">
        <v>1507</v>
      </c>
      <c r="AZ344" s="1" t="s">
        <v>1507</v>
      </c>
      <c r="BA344" s="1" t="s">
        <v>1507</v>
      </c>
      <c r="BB344" s="1" t="s">
        <v>1507</v>
      </c>
      <c r="BC344" s="1">
        <v>119</v>
      </c>
      <c r="BD344" s="1">
        <v>142</v>
      </c>
      <c r="BE344" s="1" t="s">
        <v>1507</v>
      </c>
      <c r="BF344" s="1" t="s">
        <v>11139</v>
      </c>
      <c r="BG344" s="1" t="str">
        <f>HYPERLINK("http://dx.doi.org/10.1017/S2047102518000298","http://dx.doi.org/10.1017/S2047102518000298")</f>
        <v>http://dx.doi.org/10.1017/S2047102518000298</v>
      </c>
      <c r="BH344" s="1" t="s">
        <v>1507</v>
      </c>
      <c r="BI344" s="1" t="s">
        <v>1507</v>
      </c>
      <c r="BJ344" s="1">
        <v>24</v>
      </c>
      <c r="BK344" s="1" t="s">
        <v>11140</v>
      </c>
      <c r="BL344" s="1" t="s">
        <v>1518</v>
      </c>
      <c r="BM344" s="1" t="s">
        <v>11141</v>
      </c>
      <c r="BN344" s="1" t="s">
        <v>11142</v>
      </c>
      <c r="BO344" s="1" t="s">
        <v>1507</v>
      </c>
      <c r="BP344" s="1" t="s">
        <v>3572</v>
      </c>
      <c r="BQ344" s="1" t="s">
        <v>1507</v>
      </c>
      <c r="BR344" s="1" t="s">
        <v>1507</v>
      </c>
      <c r="BS344" s="1" t="s">
        <v>13744</v>
      </c>
      <c r="BT344" s="1" t="s">
        <v>11143</v>
      </c>
      <c r="BU344" s="1" t="str">
        <f>HYPERLINK("https%3A%2F%2Fwww.webofscience.com%2Fwos%2Fwoscc%2Ffull-record%2FWOS:000462865800006","View Full Record in Web of Science")</f>
        <v>View Full Record in Web of Science</v>
      </c>
    </row>
    <row r="345" spans="1:73" x14ac:dyDescent="0.25">
      <c r="A345" s="1">
        <v>344</v>
      </c>
      <c r="B345" s="1" t="s">
        <v>1506</v>
      </c>
      <c r="C345" s="1" t="s">
        <v>11144</v>
      </c>
      <c r="D345" s="1" t="s">
        <v>1507</v>
      </c>
      <c r="E345" s="1" t="s">
        <v>1507</v>
      </c>
      <c r="F345" s="1" t="s">
        <v>1507</v>
      </c>
      <c r="G345" s="1" t="s">
        <v>11145</v>
      </c>
      <c r="H345" s="1" t="s">
        <v>1507</v>
      </c>
      <c r="I345" s="1" t="s">
        <v>1507</v>
      </c>
      <c r="J345" s="1" t="s">
        <v>11146</v>
      </c>
      <c r="K345" s="1" t="s">
        <v>11147</v>
      </c>
      <c r="L345" s="1" t="s">
        <v>1507</v>
      </c>
      <c r="M345" s="1" t="s">
        <v>1507</v>
      </c>
      <c r="N345" s="1" t="s">
        <v>42</v>
      </c>
      <c r="O345" s="1" t="s">
        <v>56</v>
      </c>
      <c r="P345" s="1" t="s">
        <v>1507</v>
      </c>
      <c r="Q345" s="1" t="s">
        <v>1507</v>
      </c>
      <c r="R345" s="1" t="s">
        <v>1507</v>
      </c>
      <c r="S345" s="1" t="s">
        <v>1507</v>
      </c>
      <c r="T345" s="1" t="s">
        <v>1507</v>
      </c>
      <c r="U345" s="1" t="s">
        <v>11148</v>
      </c>
      <c r="V345" s="1" t="s">
        <v>11149</v>
      </c>
      <c r="W345" s="1" t="s">
        <v>11150</v>
      </c>
      <c r="X345" s="1" t="s">
        <v>11151</v>
      </c>
      <c r="Y345" s="1" t="s">
        <v>10230</v>
      </c>
      <c r="Z345" s="1" t="s">
        <v>11152</v>
      </c>
      <c r="AA345" s="1" t="s">
        <v>11153</v>
      </c>
      <c r="AB345" s="1" t="s">
        <v>15937</v>
      </c>
      <c r="AC345" s="1" t="s">
        <v>15938</v>
      </c>
      <c r="AD345" s="1" t="s">
        <v>11154</v>
      </c>
      <c r="AE345" s="1" t="s">
        <v>11155</v>
      </c>
      <c r="AF345" s="1" t="s">
        <v>11156</v>
      </c>
      <c r="AG345" s="1" t="s">
        <v>1507</v>
      </c>
      <c r="AH345" s="1">
        <v>27</v>
      </c>
      <c r="AI345" s="1">
        <v>5</v>
      </c>
      <c r="AJ345" s="1">
        <v>8</v>
      </c>
      <c r="AK345" s="1">
        <v>10</v>
      </c>
      <c r="AL345" s="1">
        <v>52</v>
      </c>
      <c r="AM345" s="1" t="s">
        <v>1511</v>
      </c>
      <c r="AN345" s="1" t="s">
        <v>1570</v>
      </c>
      <c r="AO345" s="1" t="s">
        <v>1571</v>
      </c>
      <c r="AP345" s="1" t="s">
        <v>11157</v>
      </c>
      <c r="AQ345" s="1" t="s">
        <v>11158</v>
      </c>
      <c r="AR345" s="1" t="s">
        <v>1507</v>
      </c>
      <c r="AS345" s="1" t="s">
        <v>11159</v>
      </c>
      <c r="AT345" s="1" t="s">
        <v>11160</v>
      </c>
      <c r="AU345" s="1" t="s">
        <v>5362</v>
      </c>
      <c r="AV345" s="1">
        <v>2019</v>
      </c>
      <c r="AW345" s="1">
        <v>135</v>
      </c>
      <c r="AX345" s="1">
        <v>6</v>
      </c>
      <c r="AY345" s="1" t="s">
        <v>1507</v>
      </c>
      <c r="AZ345" s="1" t="s">
        <v>1507</v>
      </c>
      <c r="BA345" s="1" t="s">
        <v>1507</v>
      </c>
      <c r="BB345" s="1" t="s">
        <v>1507</v>
      </c>
      <c r="BC345" s="1">
        <v>3303</v>
      </c>
      <c r="BD345" s="1">
        <v>3309</v>
      </c>
      <c r="BE345" s="1" t="s">
        <v>1507</v>
      </c>
      <c r="BF345" s="1" t="s">
        <v>11161</v>
      </c>
      <c r="BG345" s="1" t="str">
        <f>HYPERLINK("http://dx.doi.org/10.1007/s10973-019-08079-x","http://dx.doi.org/10.1007/s10973-019-08079-x")</f>
        <v>http://dx.doi.org/10.1007/s10973-019-08079-x</v>
      </c>
      <c r="BH345" s="1" t="s">
        <v>1507</v>
      </c>
      <c r="BI345" s="1" t="s">
        <v>1507</v>
      </c>
      <c r="BJ345" s="1">
        <v>7</v>
      </c>
      <c r="BK345" s="1" t="s">
        <v>11162</v>
      </c>
      <c r="BL345" s="1" t="s">
        <v>1573</v>
      </c>
      <c r="BM345" s="1" t="s">
        <v>11163</v>
      </c>
      <c r="BN345" s="1" t="s">
        <v>11164</v>
      </c>
      <c r="BO345" s="1" t="s">
        <v>1507</v>
      </c>
      <c r="BP345" s="1" t="s">
        <v>1507</v>
      </c>
      <c r="BQ345" s="1" t="s">
        <v>1507</v>
      </c>
      <c r="BR345" s="1" t="s">
        <v>1507</v>
      </c>
      <c r="BS345" s="1" t="s">
        <v>13744</v>
      </c>
      <c r="BT345" s="1" t="s">
        <v>11165</v>
      </c>
      <c r="BU345" s="1" t="str">
        <f>HYPERLINK("https%3A%2F%2Fwww.webofscience.com%2Fwos%2Fwoscc%2Ffull-record%2FWOS:000462553400039","View Full Record in Web of Science")</f>
        <v>View Full Record in Web of Science</v>
      </c>
    </row>
    <row r="346" spans="1:73" x14ac:dyDescent="0.25">
      <c r="A346" s="1">
        <v>345</v>
      </c>
      <c r="B346" s="1" t="s">
        <v>1506</v>
      </c>
      <c r="C346" s="1" t="s">
        <v>2156</v>
      </c>
      <c r="D346" s="1" t="s">
        <v>1507</v>
      </c>
      <c r="E346" s="1" t="s">
        <v>1507</v>
      </c>
      <c r="F346" s="1" t="s">
        <v>1507</v>
      </c>
      <c r="G346" s="1" t="s">
        <v>2157</v>
      </c>
      <c r="H346" s="1" t="s">
        <v>1507</v>
      </c>
      <c r="I346" s="1" t="s">
        <v>1507</v>
      </c>
      <c r="J346" s="1" t="s">
        <v>2158</v>
      </c>
      <c r="K346" s="1" t="s">
        <v>2159</v>
      </c>
      <c r="L346" s="1" t="s">
        <v>1507</v>
      </c>
      <c r="M346" s="1" t="s">
        <v>1507</v>
      </c>
      <c r="N346" s="1" t="s">
        <v>42</v>
      </c>
      <c r="O346" s="1" t="s">
        <v>56</v>
      </c>
      <c r="P346" s="1" t="s">
        <v>1507</v>
      </c>
      <c r="Q346" s="1" t="s">
        <v>1507</v>
      </c>
      <c r="R346" s="1" t="s">
        <v>1507</v>
      </c>
      <c r="S346" s="1" t="s">
        <v>1507</v>
      </c>
      <c r="T346" s="1" t="s">
        <v>1507</v>
      </c>
      <c r="U346" s="1" t="s">
        <v>1507</v>
      </c>
      <c r="V346" s="1" t="s">
        <v>2160</v>
      </c>
      <c r="W346" s="1" t="s">
        <v>2161</v>
      </c>
      <c r="X346" s="1" t="s">
        <v>2162</v>
      </c>
      <c r="Y346" s="1" t="s">
        <v>2163</v>
      </c>
      <c r="Z346" s="1" t="s">
        <v>2164</v>
      </c>
      <c r="AA346" s="1" t="s">
        <v>2165</v>
      </c>
      <c r="AB346" s="1" t="s">
        <v>13873</v>
      </c>
      <c r="AC346" s="1" t="s">
        <v>13874</v>
      </c>
      <c r="AD346" s="1" t="s">
        <v>2166</v>
      </c>
      <c r="AE346" s="1" t="s">
        <v>2167</v>
      </c>
      <c r="AF346" s="1" t="s">
        <v>2168</v>
      </c>
      <c r="AG346" s="1" t="s">
        <v>1507</v>
      </c>
      <c r="AH346" s="1">
        <v>105</v>
      </c>
      <c r="AI346" s="1">
        <v>1</v>
      </c>
      <c r="AJ346" s="1">
        <v>1</v>
      </c>
      <c r="AK346" s="1">
        <v>11</v>
      </c>
      <c r="AL346" s="1">
        <v>11</v>
      </c>
      <c r="AM346" s="1" t="s">
        <v>1591</v>
      </c>
      <c r="AN346" s="1" t="s">
        <v>1592</v>
      </c>
      <c r="AO346" s="1" t="s">
        <v>1593</v>
      </c>
      <c r="AP346" s="1" t="s">
        <v>2169</v>
      </c>
      <c r="AQ346" s="1" t="s">
        <v>1507</v>
      </c>
      <c r="AR346" s="1" t="s">
        <v>1507</v>
      </c>
      <c r="AS346" s="1" t="s">
        <v>2170</v>
      </c>
      <c r="AT346" s="1" t="s">
        <v>439</v>
      </c>
      <c r="AU346" s="1" t="s">
        <v>2171</v>
      </c>
      <c r="AV346" s="1">
        <v>2023</v>
      </c>
      <c r="AW346" s="1">
        <v>6</v>
      </c>
      <c r="AX346" s="1">
        <v>1</v>
      </c>
      <c r="AY346" s="1" t="s">
        <v>1507</v>
      </c>
      <c r="AZ346" s="1" t="s">
        <v>1507</v>
      </c>
      <c r="BA346" s="1" t="s">
        <v>1507</v>
      </c>
      <c r="BB346" s="1" t="s">
        <v>1507</v>
      </c>
      <c r="BC346" s="1" t="s">
        <v>1507</v>
      </c>
      <c r="BD346" s="1" t="s">
        <v>1507</v>
      </c>
      <c r="BE346" s="1">
        <v>226</v>
      </c>
      <c r="BF346" s="1" t="s">
        <v>2172</v>
      </c>
      <c r="BG346" s="1" t="str">
        <f>HYPERLINK("http://dx.doi.org/10.1038/s41746-023-00952-2","http://dx.doi.org/10.1038/s41746-023-00952-2")</f>
        <v>http://dx.doi.org/10.1038/s41746-023-00952-2</v>
      </c>
      <c r="BH346" s="1" t="s">
        <v>1507</v>
      </c>
      <c r="BI346" s="1" t="s">
        <v>1507</v>
      </c>
      <c r="BJ346" s="1">
        <v>15</v>
      </c>
      <c r="BK346" s="1" t="s">
        <v>1585</v>
      </c>
      <c r="BL346" s="1" t="s">
        <v>1573</v>
      </c>
      <c r="BM346" s="1" t="s">
        <v>1585</v>
      </c>
      <c r="BN346" s="1" t="s">
        <v>2173</v>
      </c>
      <c r="BO346" s="1">
        <v>38042919</v>
      </c>
      <c r="BP346" s="1" t="s">
        <v>4312</v>
      </c>
      <c r="BQ346" s="1" t="s">
        <v>1507</v>
      </c>
      <c r="BR346" s="1" t="s">
        <v>1507</v>
      </c>
      <c r="BS346" s="1" t="s">
        <v>13744</v>
      </c>
      <c r="BT346" s="1" t="s">
        <v>2174</v>
      </c>
      <c r="BU346" s="1" t="str">
        <f>HYPERLINK("https%3A%2F%2Fwww.webofscience.com%2Fwos%2Fwoscc%2Ffull-record%2FWOS:001112300500002","View Full Record in Web of Science")</f>
        <v>View Full Record in Web of Science</v>
      </c>
    </row>
    <row r="347" spans="1:73" x14ac:dyDescent="0.25">
      <c r="A347" s="1">
        <v>346</v>
      </c>
      <c r="B347" s="1" t="s">
        <v>1506</v>
      </c>
      <c r="C347" s="1" t="s">
        <v>10349</v>
      </c>
      <c r="D347" s="1" t="s">
        <v>1507</v>
      </c>
      <c r="E347" s="1" t="s">
        <v>1507</v>
      </c>
      <c r="F347" s="1" t="s">
        <v>1507</v>
      </c>
      <c r="G347" s="1" t="s">
        <v>10350</v>
      </c>
      <c r="H347" s="1" t="s">
        <v>1507</v>
      </c>
      <c r="I347" s="1" t="s">
        <v>1507</v>
      </c>
      <c r="J347" s="1" t="s">
        <v>10351</v>
      </c>
      <c r="K347" s="1" t="s">
        <v>7982</v>
      </c>
      <c r="L347" s="1" t="s">
        <v>1507</v>
      </c>
      <c r="M347" s="1" t="s">
        <v>1507</v>
      </c>
      <c r="N347" s="1" t="s">
        <v>42</v>
      </c>
      <c r="O347" s="1" t="s">
        <v>56</v>
      </c>
      <c r="P347" s="1" t="s">
        <v>1507</v>
      </c>
      <c r="Q347" s="1" t="s">
        <v>1507</v>
      </c>
      <c r="R347" s="1" t="s">
        <v>1507</v>
      </c>
      <c r="S347" s="1" t="s">
        <v>1507</v>
      </c>
      <c r="T347" s="1" t="s">
        <v>1507</v>
      </c>
      <c r="U347" s="1" t="s">
        <v>10352</v>
      </c>
      <c r="V347" s="1" t="s">
        <v>10353</v>
      </c>
      <c r="W347" s="1" t="s">
        <v>10354</v>
      </c>
      <c r="X347" s="1" t="s">
        <v>10355</v>
      </c>
      <c r="Y347" s="1" t="s">
        <v>10356</v>
      </c>
      <c r="Z347" s="1" t="s">
        <v>10357</v>
      </c>
      <c r="AA347" s="1" t="s">
        <v>10358</v>
      </c>
      <c r="AB347" s="1" t="s">
        <v>15850</v>
      </c>
      <c r="AC347" s="1" t="s">
        <v>15851</v>
      </c>
      <c r="AD347" s="1" t="s">
        <v>10359</v>
      </c>
      <c r="AE347" s="1" t="s">
        <v>10360</v>
      </c>
      <c r="AF347" s="1" t="s">
        <v>10361</v>
      </c>
      <c r="AG347" s="1" t="s">
        <v>1507</v>
      </c>
      <c r="AH347" s="1">
        <v>45</v>
      </c>
      <c r="AI347" s="1">
        <v>19</v>
      </c>
      <c r="AJ347" s="1">
        <v>20</v>
      </c>
      <c r="AK347" s="1">
        <v>0</v>
      </c>
      <c r="AL347" s="1">
        <v>31</v>
      </c>
      <c r="AM347" s="1" t="s">
        <v>1582</v>
      </c>
      <c r="AN347" s="1" t="s">
        <v>1583</v>
      </c>
      <c r="AO347" s="1" t="s">
        <v>1584</v>
      </c>
      <c r="AP347" s="1" t="s">
        <v>7993</v>
      </c>
      <c r="AQ347" s="1" t="s">
        <v>7994</v>
      </c>
      <c r="AR347" s="1" t="s">
        <v>1507</v>
      </c>
      <c r="AS347" s="1" t="s">
        <v>7995</v>
      </c>
      <c r="AT347" s="1" t="s">
        <v>7996</v>
      </c>
      <c r="AU347" s="1" t="s">
        <v>1607</v>
      </c>
      <c r="AV347" s="1">
        <v>2020</v>
      </c>
      <c r="AW347" s="1">
        <v>71</v>
      </c>
      <c r="AX347" s="1">
        <v>1</v>
      </c>
      <c r="AY347" s="1" t="s">
        <v>1507</v>
      </c>
      <c r="AZ347" s="1" t="s">
        <v>1507</v>
      </c>
      <c r="BA347" s="1" t="s">
        <v>1507</v>
      </c>
      <c r="BB347" s="1" t="s">
        <v>1507</v>
      </c>
      <c r="BC347" s="1">
        <v>344</v>
      </c>
      <c r="BD347" s="1">
        <v>355</v>
      </c>
      <c r="BE347" s="1" t="s">
        <v>1507</v>
      </c>
      <c r="BF347" s="1" t="s">
        <v>10362</v>
      </c>
      <c r="BG347" s="1" t="str">
        <f>HYPERLINK("http://dx.doi.org/10.1093/jxb/erz409","http://dx.doi.org/10.1093/jxb/erz409")</f>
        <v>http://dx.doi.org/10.1093/jxb/erz409</v>
      </c>
      <c r="BH347" s="1" t="s">
        <v>1507</v>
      </c>
      <c r="BI347" s="1" t="s">
        <v>1507</v>
      </c>
      <c r="BJ347" s="1">
        <v>12</v>
      </c>
      <c r="BK347" s="1" t="s">
        <v>2914</v>
      </c>
      <c r="BL347" s="1" t="s">
        <v>1573</v>
      </c>
      <c r="BM347" s="1" t="s">
        <v>2914</v>
      </c>
      <c r="BN347" s="1" t="s">
        <v>10363</v>
      </c>
      <c r="BO347" s="1">
        <v>31536614</v>
      </c>
      <c r="BP347" s="1" t="s">
        <v>15852</v>
      </c>
      <c r="BQ347" s="1" t="s">
        <v>1507</v>
      </c>
      <c r="BR347" s="1" t="s">
        <v>1507</v>
      </c>
      <c r="BS347" s="1" t="s">
        <v>13744</v>
      </c>
      <c r="BT347" s="1" t="s">
        <v>10364</v>
      </c>
      <c r="BU347" s="1" t="str">
        <f>HYPERLINK("https%3A%2F%2Fwww.webofscience.com%2Fwos%2Fwoscc%2Ffull-record%2FWOS:000524911100029","View Full Record in Web of Science")</f>
        <v>View Full Record in Web of Science</v>
      </c>
    </row>
    <row r="348" spans="1:73" x14ac:dyDescent="0.25">
      <c r="A348" s="1">
        <v>347</v>
      </c>
      <c r="B348" s="1" t="s">
        <v>1506</v>
      </c>
      <c r="C348" s="1" t="s">
        <v>9245</v>
      </c>
      <c r="D348" s="1" t="s">
        <v>1507</v>
      </c>
      <c r="E348" s="1" t="s">
        <v>1507</v>
      </c>
      <c r="F348" s="1" t="s">
        <v>1507</v>
      </c>
      <c r="G348" s="1" t="s">
        <v>9246</v>
      </c>
      <c r="H348" s="1" t="s">
        <v>1507</v>
      </c>
      <c r="I348" s="1" t="s">
        <v>1507</v>
      </c>
      <c r="J348" s="1" t="s">
        <v>9247</v>
      </c>
      <c r="K348" s="1" t="s">
        <v>9248</v>
      </c>
      <c r="L348" s="1" t="s">
        <v>1507</v>
      </c>
      <c r="M348" s="1" t="s">
        <v>1507</v>
      </c>
      <c r="N348" s="1" t="s">
        <v>42</v>
      </c>
      <c r="O348" s="1" t="s">
        <v>56</v>
      </c>
      <c r="P348" s="1" t="s">
        <v>1507</v>
      </c>
      <c r="Q348" s="1" t="s">
        <v>1507</v>
      </c>
      <c r="R348" s="1" t="s">
        <v>1507</v>
      </c>
      <c r="S348" s="1" t="s">
        <v>1507</v>
      </c>
      <c r="T348" s="1" t="s">
        <v>1507</v>
      </c>
      <c r="U348" s="1" t="s">
        <v>1507</v>
      </c>
      <c r="V348" s="1" t="s">
        <v>9249</v>
      </c>
      <c r="W348" s="1" t="s">
        <v>9250</v>
      </c>
      <c r="X348" s="1" t="s">
        <v>9251</v>
      </c>
      <c r="Y348" s="1" t="s">
        <v>4777</v>
      </c>
      <c r="Z348" s="1" t="s">
        <v>9252</v>
      </c>
      <c r="AA348" s="1" t="s">
        <v>1507</v>
      </c>
      <c r="AB348" s="1" t="s">
        <v>1507</v>
      </c>
      <c r="AC348" s="1" t="s">
        <v>1507</v>
      </c>
      <c r="AD348" s="1" t="s">
        <v>9253</v>
      </c>
      <c r="AE348" s="1" t="s">
        <v>9254</v>
      </c>
      <c r="AF348" s="1" t="s">
        <v>9255</v>
      </c>
      <c r="AG348" s="1" t="s">
        <v>1507</v>
      </c>
      <c r="AH348" s="1">
        <v>54</v>
      </c>
      <c r="AI348" s="1">
        <v>0</v>
      </c>
      <c r="AJ348" s="1">
        <v>0</v>
      </c>
      <c r="AK348" s="1">
        <v>0</v>
      </c>
      <c r="AL348" s="1">
        <v>0</v>
      </c>
      <c r="AM348" s="1" t="s">
        <v>9256</v>
      </c>
      <c r="AN348" s="1" t="s">
        <v>9257</v>
      </c>
      <c r="AO348" s="1" t="s">
        <v>9258</v>
      </c>
      <c r="AP348" s="1" t="s">
        <v>9259</v>
      </c>
      <c r="AQ348" s="1" t="s">
        <v>9260</v>
      </c>
      <c r="AR348" s="1" t="s">
        <v>1507</v>
      </c>
      <c r="AS348" s="1" t="s">
        <v>9261</v>
      </c>
      <c r="AT348" s="1" t="s">
        <v>9262</v>
      </c>
      <c r="AU348" s="1" t="s">
        <v>1507</v>
      </c>
      <c r="AV348" s="1">
        <v>2021</v>
      </c>
      <c r="AW348" s="1">
        <v>58</v>
      </c>
      <c r="AX348" s="1">
        <v>3</v>
      </c>
      <c r="AY348" s="1" t="s">
        <v>1507</v>
      </c>
      <c r="AZ348" s="1" t="s">
        <v>1507</v>
      </c>
      <c r="BA348" s="1" t="s">
        <v>1507</v>
      </c>
      <c r="BB348" s="1" t="s">
        <v>1507</v>
      </c>
      <c r="BC348" s="1">
        <v>687</v>
      </c>
      <c r="BD348" s="1">
        <v>738</v>
      </c>
      <c r="BE348" s="1" t="s">
        <v>1507</v>
      </c>
      <c r="BF348" s="1" t="s">
        <v>1507</v>
      </c>
      <c r="BG348" s="1" t="s">
        <v>1507</v>
      </c>
      <c r="BH348" s="1" t="s">
        <v>1507</v>
      </c>
      <c r="BI348" s="1" t="s">
        <v>1507</v>
      </c>
      <c r="BJ348" s="1">
        <v>52</v>
      </c>
      <c r="BK348" s="1" t="s">
        <v>1535</v>
      </c>
      <c r="BL348" s="1" t="s">
        <v>1529</v>
      </c>
      <c r="BM348" s="1" t="s">
        <v>1536</v>
      </c>
      <c r="BN348" s="1" t="s">
        <v>9263</v>
      </c>
      <c r="BO348" s="1" t="s">
        <v>1507</v>
      </c>
      <c r="BP348" s="1" t="s">
        <v>1507</v>
      </c>
      <c r="BQ348" s="1" t="s">
        <v>1507</v>
      </c>
      <c r="BR348" s="1" t="s">
        <v>1507</v>
      </c>
      <c r="BS348" s="1" t="s">
        <v>13744</v>
      </c>
      <c r="BT348" s="1" t="s">
        <v>9264</v>
      </c>
      <c r="BU348" s="1" t="str">
        <f>HYPERLINK("https%3A%2F%2Fwww.webofscience.com%2Fwos%2Fwoscc%2Ffull-record%2FWOS:000628820100006","View Full Record in Web of Science")</f>
        <v>View Full Record in Web of Science</v>
      </c>
    </row>
    <row r="349" spans="1:73" x14ac:dyDescent="0.25">
      <c r="A349" s="1">
        <v>348</v>
      </c>
      <c r="B349" s="1" t="s">
        <v>1506</v>
      </c>
      <c r="C349" s="1" t="s">
        <v>15873</v>
      </c>
      <c r="D349" s="1" t="s">
        <v>1507</v>
      </c>
      <c r="E349" s="1" t="s">
        <v>1507</v>
      </c>
      <c r="F349" s="1" t="s">
        <v>1507</v>
      </c>
      <c r="G349" s="1" t="s">
        <v>15874</v>
      </c>
      <c r="H349" s="1" t="s">
        <v>1507</v>
      </c>
      <c r="I349" s="1" t="s">
        <v>1507</v>
      </c>
      <c r="J349" s="1" t="s">
        <v>15875</v>
      </c>
      <c r="K349" s="1" t="s">
        <v>15876</v>
      </c>
      <c r="L349" s="1" t="s">
        <v>1507</v>
      </c>
      <c r="M349" s="1" t="s">
        <v>1507</v>
      </c>
      <c r="N349" s="1" t="s">
        <v>42</v>
      </c>
      <c r="O349" s="1" t="s">
        <v>1487</v>
      </c>
      <c r="P349" s="1" t="s">
        <v>15877</v>
      </c>
      <c r="Q349" s="1" t="s">
        <v>15878</v>
      </c>
      <c r="R349" s="1" t="s">
        <v>15267</v>
      </c>
      <c r="S349" s="1" t="s">
        <v>15879</v>
      </c>
      <c r="T349" s="1" t="s">
        <v>1507</v>
      </c>
      <c r="U349" s="1" t="s">
        <v>1507</v>
      </c>
      <c r="V349" s="1" t="s">
        <v>1507</v>
      </c>
      <c r="W349" s="1" t="s">
        <v>1507</v>
      </c>
      <c r="X349" s="1" t="s">
        <v>15880</v>
      </c>
      <c r="Y349" s="1" t="s">
        <v>1507</v>
      </c>
      <c r="Z349" s="1" t="s">
        <v>1507</v>
      </c>
      <c r="AA349" s="1" t="s">
        <v>1507</v>
      </c>
      <c r="AB349" s="1" t="s">
        <v>1507</v>
      </c>
      <c r="AC349" s="1" t="s">
        <v>1507</v>
      </c>
      <c r="AD349" s="1" t="s">
        <v>1507</v>
      </c>
      <c r="AE349" s="1" t="s">
        <v>1507</v>
      </c>
      <c r="AF349" s="1" t="s">
        <v>1507</v>
      </c>
      <c r="AG349" s="1" t="s">
        <v>1507</v>
      </c>
      <c r="AH349" s="1">
        <v>0</v>
      </c>
      <c r="AI349" s="1">
        <v>0</v>
      </c>
      <c r="AJ349" s="1">
        <v>0</v>
      </c>
      <c r="AK349" s="1">
        <v>0</v>
      </c>
      <c r="AL349" s="1">
        <v>0</v>
      </c>
      <c r="AM349" s="1" t="s">
        <v>1559</v>
      </c>
      <c r="AN349" s="1" t="s">
        <v>1560</v>
      </c>
      <c r="AO349" s="1" t="s">
        <v>1561</v>
      </c>
      <c r="AP349" s="1" t="s">
        <v>15881</v>
      </c>
      <c r="AQ349" s="1" t="s">
        <v>15882</v>
      </c>
      <c r="AR349" s="1" t="s">
        <v>1507</v>
      </c>
      <c r="AS349" s="1" t="s">
        <v>15883</v>
      </c>
      <c r="AT349" s="1" t="s">
        <v>15884</v>
      </c>
      <c r="AU349" s="1" t="s">
        <v>2889</v>
      </c>
      <c r="AV349" s="1">
        <v>2019</v>
      </c>
      <c r="AW349" s="1">
        <v>71</v>
      </c>
      <c r="AX349" s="1" t="s">
        <v>1507</v>
      </c>
      <c r="AY349" s="1" t="s">
        <v>1507</v>
      </c>
      <c r="AZ349" s="1">
        <v>10</v>
      </c>
      <c r="BA349" s="1" t="s">
        <v>1507</v>
      </c>
      <c r="BB349" s="1">
        <v>1372</v>
      </c>
      <c r="BC349" s="1" t="s">
        <v>1507</v>
      </c>
      <c r="BD349" s="1" t="s">
        <v>1507</v>
      </c>
      <c r="BE349" s="1" t="s">
        <v>1507</v>
      </c>
      <c r="BF349" s="1" t="s">
        <v>1507</v>
      </c>
      <c r="BG349" s="1" t="s">
        <v>1507</v>
      </c>
      <c r="BH349" s="1" t="s">
        <v>1507</v>
      </c>
      <c r="BI349" s="1" t="s">
        <v>1507</v>
      </c>
      <c r="BJ349" s="1">
        <v>2</v>
      </c>
      <c r="BK349" s="1" t="s">
        <v>4937</v>
      </c>
      <c r="BL349" s="1" t="s">
        <v>11691</v>
      </c>
      <c r="BM349" s="1" t="s">
        <v>4937</v>
      </c>
      <c r="BN349" s="1" t="s">
        <v>15885</v>
      </c>
      <c r="BO349" s="1" t="s">
        <v>1507</v>
      </c>
      <c r="BP349" s="1" t="s">
        <v>1507</v>
      </c>
      <c r="BQ349" s="1" t="s">
        <v>1507</v>
      </c>
      <c r="BR349" s="1" t="s">
        <v>1507</v>
      </c>
      <c r="BS349" s="1" t="s">
        <v>13744</v>
      </c>
      <c r="BT349" s="1" t="s">
        <v>15886</v>
      </c>
      <c r="BU349" s="1" t="str">
        <f>HYPERLINK("https%3A%2F%2Fwww.webofscience.com%2Fwos%2Fwoscc%2Ffull-record%2FWOS:000507466902230","View Full Record in Web of Science")</f>
        <v>View Full Record in Web of Science</v>
      </c>
    </row>
    <row r="350" spans="1:73" x14ac:dyDescent="0.25">
      <c r="A350" s="1">
        <v>349</v>
      </c>
      <c r="B350" s="1" t="s">
        <v>1506</v>
      </c>
      <c r="C350" s="1" t="s">
        <v>10547</v>
      </c>
      <c r="D350" s="1" t="s">
        <v>1507</v>
      </c>
      <c r="E350" s="1" t="s">
        <v>1507</v>
      </c>
      <c r="F350" s="1" t="s">
        <v>1507</v>
      </c>
      <c r="G350" s="1" t="s">
        <v>10548</v>
      </c>
      <c r="H350" s="1" t="s">
        <v>1507</v>
      </c>
      <c r="I350" s="1" t="s">
        <v>1507</v>
      </c>
      <c r="J350" s="1" t="s">
        <v>10549</v>
      </c>
      <c r="K350" s="1" t="s">
        <v>10550</v>
      </c>
      <c r="L350" s="1" t="s">
        <v>1507</v>
      </c>
      <c r="M350" s="1" t="s">
        <v>1507</v>
      </c>
      <c r="N350" s="1" t="s">
        <v>42</v>
      </c>
      <c r="O350" s="1" t="s">
        <v>56</v>
      </c>
      <c r="P350" s="1" t="s">
        <v>1507</v>
      </c>
      <c r="Q350" s="1" t="s">
        <v>1507</v>
      </c>
      <c r="R350" s="1" t="s">
        <v>1507</v>
      </c>
      <c r="S350" s="1" t="s">
        <v>1507</v>
      </c>
      <c r="T350" s="1" t="s">
        <v>1507</v>
      </c>
      <c r="U350" s="1" t="s">
        <v>10551</v>
      </c>
      <c r="V350" s="1" t="s">
        <v>10552</v>
      </c>
      <c r="W350" s="1" t="s">
        <v>10553</v>
      </c>
      <c r="X350" s="1" t="s">
        <v>10554</v>
      </c>
      <c r="Y350" s="1" t="s">
        <v>10555</v>
      </c>
      <c r="Z350" s="1" t="s">
        <v>10556</v>
      </c>
      <c r="AA350" s="1" t="s">
        <v>10557</v>
      </c>
      <c r="AB350" s="1" t="s">
        <v>10558</v>
      </c>
      <c r="AC350" s="1" t="s">
        <v>1507</v>
      </c>
      <c r="AD350" s="1" t="s">
        <v>10559</v>
      </c>
      <c r="AE350" s="1" t="s">
        <v>10560</v>
      </c>
      <c r="AF350" s="1" t="s">
        <v>10561</v>
      </c>
      <c r="AG350" s="1" t="s">
        <v>1507</v>
      </c>
      <c r="AH350" s="1">
        <v>58</v>
      </c>
      <c r="AI350" s="1">
        <v>17</v>
      </c>
      <c r="AJ350" s="1">
        <v>19</v>
      </c>
      <c r="AK350" s="1">
        <v>4</v>
      </c>
      <c r="AL350" s="1">
        <v>40</v>
      </c>
      <c r="AM350" s="1" t="s">
        <v>1511</v>
      </c>
      <c r="AN350" s="1" t="s">
        <v>1512</v>
      </c>
      <c r="AO350" s="1" t="s">
        <v>1513</v>
      </c>
      <c r="AP350" s="1" t="s">
        <v>10562</v>
      </c>
      <c r="AQ350" s="1" t="s">
        <v>10563</v>
      </c>
      <c r="AR350" s="1" t="s">
        <v>1507</v>
      </c>
      <c r="AS350" s="1" t="s">
        <v>10564</v>
      </c>
      <c r="AT350" s="1" t="s">
        <v>10565</v>
      </c>
      <c r="AU350" s="1" t="s">
        <v>2771</v>
      </c>
      <c r="AV350" s="1">
        <v>2019</v>
      </c>
      <c r="AW350" s="1">
        <v>73</v>
      </c>
      <c r="AX350" s="1">
        <v>11</v>
      </c>
      <c r="AY350" s="1" t="s">
        <v>1507</v>
      </c>
      <c r="AZ350" s="1" t="s">
        <v>1507</v>
      </c>
      <c r="BA350" s="1" t="s">
        <v>1507</v>
      </c>
      <c r="BB350" s="1" t="s">
        <v>1507</v>
      </c>
      <c r="BC350" s="1" t="s">
        <v>1507</v>
      </c>
      <c r="BD350" s="1" t="s">
        <v>1507</v>
      </c>
      <c r="BE350" s="1">
        <v>154</v>
      </c>
      <c r="BF350" s="1" t="s">
        <v>10566</v>
      </c>
      <c r="BG350" s="1" t="str">
        <f>HYPERLINK("http://dx.doi.org/10.1007/s00265-019-2766-9","http://dx.doi.org/10.1007/s00265-019-2766-9")</f>
        <v>http://dx.doi.org/10.1007/s00265-019-2766-9</v>
      </c>
      <c r="BH350" s="1" t="s">
        <v>1507</v>
      </c>
      <c r="BI350" s="1" t="s">
        <v>1507</v>
      </c>
      <c r="BJ350" s="1">
        <v>12</v>
      </c>
      <c r="BK350" s="1" t="s">
        <v>10567</v>
      </c>
      <c r="BL350" s="1" t="s">
        <v>1573</v>
      </c>
      <c r="BM350" s="1" t="s">
        <v>10568</v>
      </c>
      <c r="BN350" s="1" t="s">
        <v>10569</v>
      </c>
      <c r="BO350" s="1" t="s">
        <v>1507</v>
      </c>
      <c r="BP350" s="1" t="s">
        <v>1507</v>
      </c>
      <c r="BQ350" s="1" t="s">
        <v>1507</v>
      </c>
      <c r="BR350" s="1" t="s">
        <v>1507</v>
      </c>
      <c r="BS350" s="1" t="s">
        <v>13744</v>
      </c>
      <c r="BT350" s="1" t="s">
        <v>10570</v>
      </c>
      <c r="BU350" s="1" t="str">
        <f>HYPERLINK("https%3A%2F%2Fwww.webofscience.com%2Fwos%2Fwoscc%2Ffull-record%2FWOS:000501328100001","View Full Record in Web of Science")</f>
        <v>View Full Record in Web of Science</v>
      </c>
    </row>
    <row r="351" spans="1:73" x14ac:dyDescent="0.25">
      <c r="A351" s="1">
        <v>350</v>
      </c>
      <c r="B351" s="1" t="s">
        <v>1506</v>
      </c>
      <c r="C351" s="1" t="s">
        <v>9775</v>
      </c>
      <c r="D351" s="1" t="s">
        <v>1507</v>
      </c>
      <c r="E351" s="1" t="s">
        <v>1507</v>
      </c>
      <c r="F351" s="1" t="s">
        <v>1507</v>
      </c>
      <c r="G351" s="1" t="s">
        <v>9776</v>
      </c>
      <c r="H351" s="1" t="s">
        <v>1507</v>
      </c>
      <c r="I351" s="1" t="s">
        <v>1507</v>
      </c>
      <c r="J351" s="1" t="s">
        <v>9777</v>
      </c>
      <c r="K351" s="1" t="s">
        <v>9778</v>
      </c>
      <c r="L351" s="1" t="s">
        <v>1507</v>
      </c>
      <c r="M351" s="1" t="s">
        <v>1507</v>
      </c>
      <c r="N351" s="1" t="s">
        <v>42</v>
      </c>
      <c r="O351" s="1" t="s">
        <v>56</v>
      </c>
      <c r="P351" s="1" t="s">
        <v>1507</v>
      </c>
      <c r="Q351" s="1" t="s">
        <v>1507</v>
      </c>
      <c r="R351" s="1" t="s">
        <v>1507</v>
      </c>
      <c r="S351" s="1" t="s">
        <v>1507</v>
      </c>
      <c r="T351" s="1" t="s">
        <v>1507</v>
      </c>
      <c r="U351" s="1" t="s">
        <v>1507</v>
      </c>
      <c r="V351" s="1" t="s">
        <v>9779</v>
      </c>
      <c r="W351" s="1" t="s">
        <v>9780</v>
      </c>
      <c r="X351" s="1" t="s">
        <v>9781</v>
      </c>
      <c r="Y351" s="1" t="s">
        <v>9782</v>
      </c>
      <c r="Z351" s="1" t="s">
        <v>9783</v>
      </c>
      <c r="AA351" s="1" t="s">
        <v>9784</v>
      </c>
      <c r="AB351" s="1" t="s">
        <v>15808</v>
      </c>
      <c r="AC351" s="1" t="s">
        <v>15809</v>
      </c>
      <c r="AD351" s="1" t="s">
        <v>9785</v>
      </c>
      <c r="AE351" s="1" t="s">
        <v>9786</v>
      </c>
      <c r="AF351" s="1" t="s">
        <v>9787</v>
      </c>
      <c r="AG351" s="1" t="s">
        <v>1507</v>
      </c>
      <c r="AH351" s="1">
        <v>45</v>
      </c>
      <c r="AI351" s="1">
        <v>142</v>
      </c>
      <c r="AJ351" s="1">
        <v>149</v>
      </c>
      <c r="AK351" s="1">
        <v>0</v>
      </c>
      <c r="AL351" s="1">
        <v>23</v>
      </c>
      <c r="AM351" s="1" t="s">
        <v>2033</v>
      </c>
      <c r="AN351" s="1" t="s">
        <v>1523</v>
      </c>
      <c r="AO351" s="1" t="s">
        <v>2034</v>
      </c>
      <c r="AP351" s="1" t="s">
        <v>9788</v>
      </c>
      <c r="AQ351" s="1" t="s">
        <v>1507</v>
      </c>
      <c r="AR351" s="1" t="s">
        <v>1507</v>
      </c>
      <c r="AS351" s="1" t="s">
        <v>9789</v>
      </c>
      <c r="AT351" s="1" t="s">
        <v>9790</v>
      </c>
      <c r="AU351" s="1" t="s">
        <v>9791</v>
      </c>
      <c r="AV351" s="1">
        <v>2020</v>
      </c>
      <c r="AW351" s="1">
        <v>31</v>
      </c>
      <c r="AX351" s="1">
        <v>9</v>
      </c>
      <c r="AY351" s="1" t="s">
        <v>1507</v>
      </c>
      <c r="AZ351" s="1" t="s">
        <v>1507</v>
      </c>
      <c r="BA351" s="1" t="s">
        <v>1507</v>
      </c>
      <c r="BB351" s="1" t="s">
        <v>1507</v>
      </c>
      <c r="BC351" s="1" t="s">
        <v>1507</v>
      </c>
      <c r="BD351" s="1" t="s">
        <v>1507</v>
      </c>
      <c r="BE351" s="1">
        <v>107725</v>
      </c>
      <c r="BF351" s="1" t="s">
        <v>9792</v>
      </c>
      <c r="BG351" s="1" t="str">
        <f>HYPERLINK("http://dx.doi.org/10.1016/j.celrep.2020.107725","http://dx.doi.org/10.1016/j.celrep.2020.107725")</f>
        <v>http://dx.doi.org/10.1016/j.celrep.2020.107725</v>
      </c>
      <c r="BH351" s="1" t="s">
        <v>1507</v>
      </c>
      <c r="BI351" s="1" t="s">
        <v>1507</v>
      </c>
      <c r="BJ351" s="1">
        <v>9</v>
      </c>
      <c r="BK351" s="1" t="s">
        <v>7275</v>
      </c>
      <c r="BL351" s="1" t="s">
        <v>1573</v>
      </c>
      <c r="BM351" s="1" t="s">
        <v>7275</v>
      </c>
      <c r="BN351" s="1" t="s">
        <v>9793</v>
      </c>
      <c r="BO351" s="1" t="s">
        <v>1507</v>
      </c>
      <c r="BP351" s="1" t="s">
        <v>2518</v>
      </c>
      <c r="BQ351" s="1" t="s">
        <v>1507</v>
      </c>
      <c r="BR351" s="1" t="s">
        <v>1507</v>
      </c>
      <c r="BS351" s="1" t="s">
        <v>13744</v>
      </c>
      <c r="BT351" s="1" t="s">
        <v>9794</v>
      </c>
      <c r="BU351" s="1" t="str">
        <f>HYPERLINK("https%3A%2F%2Fwww.webofscience.com%2Fwos%2Fwoscc%2Ffull-record%2FWOS:000538168300021","View Full Record in Web of Science")</f>
        <v>View Full Record in Web of Science</v>
      </c>
    </row>
    <row r="352" spans="1:73" x14ac:dyDescent="0.25">
      <c r="A352" s="1">
        <v>351</v>
      </c>
      <c r="B352" s="1" t="s">
        <v>1506</v>
      </c>
      <c r="C352" s="1" t="s">
        <v>2251</v>
      </c>
      <c r="D352" s="1" t="s">
        <v>1507</v>
      </c>
      <c r="E352" s="1" t="s">
        <v>1507</v>
      </c>
      <c r="F352" s="1" t="s">
        <v>1507</v>
      </c>
      <c r="G352" s="1" t="s">
        <v>2252</v>
      </c>
      <c r="H352" s="1" t="s">
        <v>1507</v>
      </c>
      <c r="I352" s="1" t="s">
        <v>1507</v>
      </c>
      <c r="J352" s="1" t="s">
        <v>2253</v>
      </c>
      <c r="K352" s="1" t="s">
        <v>2254</v>
      </c>
      <c r="L352" s="1" t="s">
        <v>1507</v>
      </c>
      <c r="M352" s="1" t="s">
        <v>1507</v>
      </c>
      <c r="N352" s="1" t="s">
        <v>42</v>
      </c>
      <c r="O352" s="1" t="s">
        <v>56</v>
      </c>
      <c r="P352" s="1" t="s">
        <v>1507</v>
      </c>
      <c r="Q352" s="1" t="s">
        <v>1507</v>
      </c>
      <c r="R352" s="1" t="s">
        <v>1507</v>
      </c>
      <c r="S352" s="1" t="s">
        <v>1507</v>
      </c>
      <c r="T352" s="1" t="s">
        <v>1507</v>
      </c>
      <c r="U352" s="1" t="s">
        <v>2255</v>
      </c>
      <c r="V352" s="1" t="s">
        <v>2256</v>
      </c>
      <c r="W352" s="1" t="s">
        <v>2257</v>
      </c>
      <c r="X352" s="1" t="s">
        <v>2258</v>
      </c>
      <c r="Y352" s="1" t="s">
        <v>2259</v>
      </c>
      <c r="Z352" s="1" t="s">
        <v>2260</v>
      </c>
      <c r="AA352" s="1" t="s">
        <v>2261</v>
      </c>
      <c r="AB352" s="1" t="s">
        <v>13899</v>
      </c>
      <c r="AC352" s="1" t="s">
        <v>13900</v>
      </c>
      <c r="AD352" s="1" t="s">
        <v>2262</v>
      </c>
      <c r="AE352" s="1" t="s">
        <v>2262</v>
      </c>
      <c r="AF352" s="1" t="s">
        <v>1510</v>
      </c>
      <c r="AG352" s="1" t="s">
        <v>1507</v>
      </c>
      <c r="AH352" s="1">
        <v>95</v>
      </c>
      <c r="AI352" s="1">
        <v>2</v>
      </c>
      <c r="AJ352" s="1">
        <v>2</v>
      </c>
      <c r="AK352" s="1">
        <v>9</v>
      </c>
      <c r="AL352" s="1">
        <v>9</v>
      </c>
      <c r="AM352" s="1" t="s">
        <v>1610</v>
      </c>
      <c r="AN352" s="1" t="s">
        <v>1611</v>
      </c>
      <c r="AO352" s="1" t="s">
        <v>1612</v>
      </c>
      <c r="AP352" s="1" t="s">
        <v>2263</v>
      </c>
      <c r="AQ352" s="1" t="s">
        <v>1507</v>
      </c>
      <c r="AR352" s="1" t="s">
        <v>1507</v>
      </c>
      <c r="AS352" s="1" t="s">
        <v>2254</v>
      </c>
      <c r="AT352" s="1" t="s">
        <v>2264</v>
      </c>
      <c r="AU352" s="1" t="s">
        <v>2191</v>
      </c>
      <c r="AV352" s="1">
        <v>2023</v>
      </c>
      <c r="AW352" s="1">
        <v>15</v>
      </c>
      <c r="AX352" s="1">
        <v>12</v>
      </c>
      <c r="AY352" s="1" t="s">
        <v>1507</v>
      </c>
      <c r="AZ352" s="1" t="s">
        <v>1507</v>
      </c>
      <c r="BA352" s="1" t="s">
        <v>1507</v>
      </c>
      <c r="BB352" s="1" t="s">
        <v>1507</v>
      </c>
      <c r="BC352" s="1" t="s">
        <v>1507</v>
      </c>
      <c r="BD352" s="1" t="s">
        <v>1507</v>
      </c>
      <c r="BE352" s="1">
        <v>375</v>
      </c>
      <c r="BF352" s="1" t="s">
        <v>2265</v>
      </c>
      <c r="BG352" s="1" t="str">
        <f>HYPERLINK("http://dx.doi.org/10.3390/fi15120375","http://dx.doi.org/10.3390/fi15120375")</f>
        <v>http://dx.doi.org/10.3390/fi15120375</v>
      </c>
      <c r="BH352" s="1" t="s">
        <v>1507</v>
      </c>
      <c r="BI352" s="1" t="s">
        <v>1507</v>
      </c>
      <c r="BJ352" s="1">
        <v>36</v>
      </c>
      <c r="BK352" s="1" t="s">
        <v>1576</v>
      </c>
      <c r="BL352" s="1" t="s">
        <v>1529</v>
      </c>
      <c r="BM352" s="1" t="s">
        <v>1577</v>
      </c>
      <c r="BN352" s="1" t="s">
        <v>2266</v>
      </c>
      <c r="BO352" s="1" t="s">
        <v>1507</v>
      </c>
      <c r="BP352" s="1" t="s">
        <v>1547</v>
      </c>
      <c r="BQ352" s="1" t="s">
        <v>1507</v>
      </c>
      <c r="BR352" s="1" t="s">
        <v>1507</v>
      </c>
      <c r="BS352" s="1" t="s">
        <v>13744</v>
      </c>
      <c r="BT352" s="1" t="s">
        <v>2267</v>
      </c>
      <c r="BU352" s="1" t="str">
        <f>HYPERLINK("https%3A%2F%2Fwww.webofscience.com%2Fwos%2Fwoscc%2Ffull-record%2FWOS:001130781600001","View Full Record in Web of Science")</f>
        <v>View Full Record in Web of Science</v>
      </c>
    </row>
    <row r="353" spans="1:73" x14ac:dyDescent="0.25">
      <c r="A353" s="1">
        <v>352</v>
      </c>
      <c r="B353" s="1" t="s">
        <v>5546</v>
      </c>
      <c r="C353" s="1" t="s">
        <v>6145</v>
      </c>
      <c r="D353" s="1" t="s">
        <v>1507</v>
      </c>
      <c r="E353" s="1" t="s">
        <v>1507</v>
      </c>
      <c r="F353" s="1" t="s">
        <v>5548</v>
      </c>
      <c r="G353" s="1" t="s">
        <v>6146</v>
      </c>
      <c r="H353" s="1" t="s">
        <v>1507</v>
      </c>
      <c r="I353" s="1" t="s">
        <v>1507</v>
      </c>
      <c r="J353" s="1" t="s">
        <v>6147</v>
      </c>
      <c r="K353" s="1" t="s">
        <v>6148</v>
      </c>
      <c r="L353" s="1" t="s">
        <v>1507</v>
      </c>
      <c r="M353" s="1" t="s">
        <v>1507</v>
      </c>
      <c r="N353" s="1" t="s">
        <v>42</v>
      </c>
      <c r="O353" s="1" t="s">
        <v>5552</v>
      </c>
      <c r="P353" s="1" t="s">
        <v>6149</v>
      </c>
      <c r="Q353" s="1" t="s">
        <v>6150</v>
      </c>
      <c r="R353" s="1" t="s">
        <v>6151</v>
      </c>
      <c r="S353" s="1" t="s">
        <v>6152</v>
      </c>
      <c r="T353" s="1" t="s">
        <v>1507</v>
      </c>
      <c r="U353" s="1" t="s">
        <v>6153</v>
      </c>
      <c r="V353" s="1" t="s">
        <v>1507</v>
      </c>
      <c r="W353" s="1" t="s">
        <v>6154</v>
      </c>
      <c r="X353" s="1" t="s">
        <v>6155</v>
      </c>
      <c r="Y353" s="1" t="s">
        <v>6156</v>
      </c>
      <c r="Z353" s="1" t="s">
        <v>6157</v>
      </c>
      <c r="AA353" s="1" t="s">
        <v>6158</v>
      </c>
      <c r="AB353" s="1" t="s">
        <v>15183</v>
      </c>
      <c r="AC353" s="1" t="s">
        <v>15184</v>
      </c>
      <c r="AD353" s="1" t="s">
        <v>6159</v>
      </c>
      <c r="AE353" s="1" t="s">
        <v>6160</v>
      </c>
      <c r="AF353" s="1" t="s">
        <v>6161</v>
      </c>
      <c r="AG353" s="1" t="s">
        <v>1507</v>
      </c>
      <c r="AH353" s="1">
        <v>7</v>
      </c>
      <c r="AI353" s="1">
        <v>0</v>
      </c>
      <c r="AJ353" s="1">
        <v>0</v>
      </c>
      <c r="AK353" s="1">
        <v>2</v>
      </c>
      <c r="AL353" s="1">
        <v>2</v>
      </c>
      <c r="AM353" s="1" t="s">
        <v>5565</v>
      </c>
      <c r="AN353" s="1" t="s">
        <v>1512</v>
      </c>
      <c r="AO353" s="1" t="s">
        <v>5566</v>
      </c>
      <c r="AP353" s="1" t="s">
        <v>1507</v>
      </c>
      <c r="AQ353" s="1" t="s">
        <v>1507</v>
      </c>
      <c r="AR353" s="1" t="s">
        <v>6162</v>
      </c>
      <c r="AS353" s="1" t="s">
        <v>1507</v>
      </c>
      <c r="AT353" s="1" t="s">
        <v>1507</v>
      </c>
      <c r="AU353" s="1" t="s">
        <v>1507</v>
      </c>
      <c r="AV353" s="1">
        <v>2023</v>
      </c>
      <c r="AW353" s="1" t="s">
        <v>1507</v>
      </c>
      <c r="AX353" s="1" t="s">
        <v>1507</v>
      </c>
      <c r="AY353" s="1" t="s">
        <v>1507</v>
      </c>
      <c r="AZ353" s="1" t="s">
        <v>1507</v>
      </c>
      <c r="BA353" s="1" t="s">
        <v>1507</v>
      </c>
      <c r="BB353" s="1" t="s">
        <v>1507</v>
      </c>
      <c r="BC353" s="1">
        <v>1126</v>
      </c>
      <c r="BD353" s="1">
        <v>1128</v>
      </c>
      <c r="BE353" s="1" t="s">
        <v>1507</v>
      </c>
      <c r="BF353" s="1" t="s">
        <v>6163</v>
      </c>
      <c r="BG353" s="1" t="str">
        <f>HYPERLINK("http://dx.doi.org/10.1145/3603269.3610856","http://dx.doi.org/10.1145/3603269.3610856")</f>
        <v>http://dx.doi.org/10.1145/3603269.3610856</v>
      </c>
      <c r="BH353" s="1" t="s">
        <v>1507</v>
      </c>
      <c r="BI353" s="1" t="s">
        <v>1507</v>
      </c>
      <c r="BJ353" s="1">
        <v>3</v>
      </c>
      <c r="BK353" s="1" t="s">
        <v>6164</v>
      </c>
      <c r="BL353" s="1" t="s">
        <v>5570</v>
      </c>
      <c r="BM353" s="1" t="s">
        <v>1632</v>
      </c>
      <c r="BN353" s="1" t="s">
        <v>6165</v>
      </c>
      <c r="BO353" s="1" t="s">
        <v>1507</v>
      </c>
      <c r="BP353" s="1" t="s">
        <v>1507</v>
      </c>
      <c r="BQ353" s="1" t="s">
        <v>1507</v>
      </c>
      <c r="BR353" s="1" t="s">
        <v>1507</v>
      </c>
      <c r="BS353" s="1" t="s">
        <v>13744</v>
      </c>
      <c r="BT353" s="1" t="s">
        <v>6166</v>
      </c>
      <c r="BU353" s="1" t="str">
        <f>HYPERLINK("https%3A%2F%2Fwww.webofscience.com%2Fwos%2Fwoscc%2Ffull-record%2FWOS:001116971100085","View Full Record in Web of Science")</f>
        <v>View Full Record in Web of Science</v>
      </c>
    </row>
    <row r="354" spans="1:73" x14ac:dyDescent="0.25">
      <c r="A354" s="1">
        <v>353</v>
      </c>
      <c r="B354" s="1" t="s">
        <v>1506</v>
      </c>
      <c r="C354" s="1" t="s">
        <v>7383</v>
      </c>
      <c r="D354" s="1" t="s">
        <v>1507</v>
      </c>
      <c r="E354" s="1" t="s">
        <v>1507</v>
      </c>
      <c r="F354" s="1" t="s">
        <v>1507</v>
      </c>
      <c r="G354" s="1" t="s">
        <v>7384</v>
      </c>
      <c r="H354" s="1" t="s">
        <v>1507</v>
      </c>
      <c r="I354" s="1" t="s">
        <v>1507</v>
      </c>
      <c r="J354" s="1" t="s">
        <v>7385</v>
      </c>
      <c r="K354" s="1" t="s">
        <v>7386</v>
      </c>
      <c r="L354" s="1" t="s">
        <v>1507</v>
      </c>
      <c r="M354" s="1" t="s">
        <v>1507</v>
      </c>
      <c r="N354" s="1" t="s">
        <v>42</v>
      </c>
      <c r="O354" s="1" t="s">
        <v>56</v>
      </c>
      <c r="P354" s="1" t="s">
        <v>1507</v>
      </c>
      <c r="Q354" s="1" t="s">
        <v>1507</v>
      </c>
      <c r="R354" s="1" t="s">
        <v>1507</v>
      </c>
      <c r="S354" s="1" t="s">
        <v>1507</v>
      </c>
      <c r="T354" s="1" t="s">
        <v>1507</v>
      </c>
      <c r="U354" s="1" t="s">
        <v>1507</v>
      </c>
      <c r="V354" s="1" t="s">
        <v>7387</v>
      </c>
      <c r="W354" s="1" t="s">
        <v>7388</v>
      </c>
      <c r="X354" s="1" t="s">
        <v>7389</v>
      </c>
      <c r="Y354" s="1" t="s">
        <v>15624</v>
      </c>
      <c r="Z354" s="1" t="s">
        <v>7390</v>
      </c>
      <c r="AA354" s="1" t="s">
        <v>7391</v>
      </c>
      <c r="AB354" s="1" t="s">
        <v>15625</v>
      </c>
      <c r="AC354" s="1" t="s">
        <v>15626</v>
      </c>
      <c r="AD354" s="1" t="s">
        <v>7392</v>
      </c>
      <c r="AE354" s="1" t="s">
        <v>7393</v>
      </c>
      <c r="AF354" s="1" t="s">
        <v>7394</v>
      </c>
      <c r="AG354" s="1" t="s">
        <v>1507</v>
      </c>
      <c r="AH354" s="1">
        <v>42</v>
      </c>
      <c r="AI354" s="1">
        <v>17</v>
      </c>
      <c r="AJ354" s="1">
        <v>18</v>
      </c>
      <c r="AK354" s="1">
        <v>1</v>
      </c>
      <c r="AL354" s="1">
        <v>10</v>
      </c>
      <c r="AM354" s="1" t="s">
        <v>2033</v>
      </c>
      <c r="AN354" s="1" t="s">
        <v>1523</v>
      </c>
      <c r="AO354" s="1" t="s">
        <v>2034</v>
      </c>
      <c r="AP354" s="1" t="s">
        <v>7395</v>
      </c>
      <c r="AQ354" s="1" t="s">
        <v>1507</v>
      </c>
      <c r="AR354" s="1" t="s">
        <v>1507</v>
      </c>
      <c r="AS354" s="1" t="s">
        <v>7396</v>
      </c>
      <c r="AT354" s="1" t="s">
        <v>7397</v>
      </c>
      <c r="AU354" s="1" t="s">
        <v>15627</v>
      </c>
      <c r="AV354" s="1">
        <v>2022</v>
      </c>
      <c r="AW354" s="1">
        <v>17</v>
      </c>
      <c r="AX354" s="1">
        <v>3</v>
      </c>
      <c r="AY354" s="1" t="s">
        <v>1507</v>
      </c>
      <c r="AZ354" s="1" t="s">
        <v>1507</v>
      </c>
      <c r="BA354" s="1" t="s">
        <v>1507</v>
      </c>
      <c r="BB354" s="1" t="s">
        <v>1507</v>
      </c>
      <c r="BC354" s="1">
        <v>538</v>
      </c>
      <c r="BD354" s="1">
        <v>555</v>
      </c>
      <c r="BE354" s="1" t="s">
        <v>1507</v>
      </c>
      <c r="BF354" s="1" t="s">
        <v>7398</v>
      </c>
      <c r="BG354" s="1" t="str">
        <f>HYPERLINK("http://dx.doi.org/10.1016/j.stemcr.2022.01.015","http://dx.doi.org/10.1016/j.stemcr.2022.01.015")</f>
        <v>http://dx.doi.org/10.1016/j.stemcr.2022.01.015</v>
      </c>
      <c r="BH354" s="1" t="s">
        <v>1507</v>
      </c>
      <c r="BI354" s="1" t="s">
        <v>7380</v>
      </c>
      <c r="BJ354" s="1">
        <v>18</v>
      </c>
      <c r="BK354" s="1" t="s">
        <v>7399</v>
      </c>
      <c r="BL354" s="1" t="s">
        <v>1573</v>
      </c>
      <c r="BM354" s="1" t="s">
        <v>7275</v>
      </c>
      <c r="BN354" s="1" t="s">
        <v>7400</v>
      </c>
      <c r="BO354" s="1">
        <v>35180397</v>
      </c>
      <c r="BP354" s="1" t="s">
        <v>5071</v>
      </c>
      <c r="BQ354" s="1" t="s">
        <v>1507</v>
      </c>
      <c r="BR354" s="1" t="s">
        <v>1507</v>
      </c>
      <c r="BS354" s="1" t="s">
        <v>13744</v>
      </c>
      <c r="BT354" s="1" t="s">
        <v>7401</v>
      </c>
      <c r="BU354" s="1" t="str">
        <f>HYPERLINK("https%3A%2F%2Fwww.webofscience.com%2Fwos%2Fwoscc%2Ffull-record%2FWOS:000767602800009","View Full Record in Web of Science")</f>
        <v>View Full Record in Web of Science</v>
      </c>
    </row>
    <row r="355" spans="1:73" x14ac:dyDescent="0.25">
      <c r="A355" s="1">
        <v>354</v>
      </c>
      <c r="B355" s="1" t="s">
        <v>5546</v>
      </c>
      <c r="C355" s="1" t="s">
        <v>15185</v>
      </c>
      <c r="D355" s="1" t="s">
        <v>1507</v>
      </c>
      <c r="E355" s="1" t="s">
        <v>1507</v>
      </c>
      <c r="F355" s="1" t="s">
        <v>15186</v>
      </c>
      <c r="G355" s="1" t="s">
        <v>15187</v>
      </c>
      <c r="H355" s="1" t="s">
        <v>1507</v>
      </c>
      <c r="I355" s="1" t="s">
        <v>1507</v>
      </c>
      <c r="J355" s="1" t="s">
        <v>15188</v>
      </c>
      <c r="K355" s="1" t="s">
        <v>15189</v>
      </c>
      <c r="L355" s="1" t="s">
        <v>1507</v>
      </c>
      <c r="M355" s="1" t="s">
        <v>1507</v>
      </c>
      <c r="N355" s="1" t="s">
        <v>42</v>
      </c>
      <c r="O355" s="1" t="s">
        <v>5552</v>
      </c>
      <c r="P355" s="1" t="s">
        <v>15190</v>
      </c>
      <c r="Q355" s="1" t="s">
        <v>15191</v>
      </c>
      <c r="R355" s="1" t="s">
        <v>15192</v>
      </c>
      <c r="S355" s="1" t="s">
        <v>1507</v>
      </c>
      <c r="T355" s="1" t="s">
        <v>1507</v>
      </c>
      <c r="U355" s="1" t="s">
        <v>15193</v>
      </c>
      <c r="V355" s="1" t="s">
        <v>1507</v>
      </c>
      <c r="W355" s="1" t="s">
        <v>15194</v>
      </c>
      <c r="X355" s="1" t="s">
        <v>15195</v>
      </c>
      <c r="Y355" s="1" t="s">
        <v>15196</v>
      </c>
      <c r="Z355" s="1" t="s">
        <v>15197</v>
      </c>
      <c r="AA355" s="1" t="s">
        <v>1507</v>
      </c>
      <c r="AB355" s="1" t="s">
        <v>1507</v>
      </c>
      <c r="AC355" s="1" t="s">
        <v>1507</v>
      </c>
      <c r="AD355" s="1" t="s">
        <v>15198</v>
      </c>
      <c r="AE355" s="1" t="s">
        <v>15199</v>
      </c>
      <c r="AF355" s="1" t="s">
        <v>15200</v>
      </c>
      <c r="AG355" s="1" t="s">
        <v>1507</v>
      </c>
      <c r="AH355" s="1">
        <v>37</v>
      </c>
      <c r="AI355" s="1">
        <v>0</v>
      </c>
      <c r="AJ355" s="1">
        <v>0</v>
      </c>
      <c r="AK355" s="1">
        <v>0</v>
      </c>
      <c r="AL355" s="1">
        <v>0</v>
      </c>
      <c r="AM355" s="1" t="s">
        <v>5565</v>
      </c>
      <c r="AN355" s="1" t="s">
        <v>1512</v>
      </c>
      <c r="AO355" s="1" t="s">
        <v>5566</v>
      </c>
      <c r="AP355" s="1" t="s">
        <v>1507</v>
      </c>
      <c r="AQ355" s="1" t="s">
        <v>1507</v>
      </c>
      <c r="AR355" s="1" t="s">
        <v>15201</v>
      </c>
      <c r="AS355" s="1" t="s">
        <v>1507</v>
      </c>
      <c r="AT355" s="1" t="s">
        <v>1507</v>
      </c>
      <c r="AU355" s="1" t="s">
        <v>1507</v>
      </c>
      <c r="AV355" s="1">
        <v>2023</v>
      </c>
      <c r="AW355" s="1" t="s">
        <v>1507</v>
      </c>
      <c r="AX355" s="1" t="s">
        <v>1507</v>
      </c>
      <c r="AY355" s="1" t="s">
        <v>1507</v>
      </c>
      <c r="AZ355" s="1" t="s">
        <v>1507</v>
      </c>
      <c r="BA355" s="1" t="s">
        <v>1507</v>
      </c>
      <c r="BB355" s="1" t="s">
        <v>1507</v>
      </c>
      <c r="BC355" s="1">
        <v>19</v>
      </c>
      <c r="BD355" s="1">
        <v>24</v>
      </c>
      <c r="BE355" s="1" t="s">
        <v>1507</v>
      </c>
      <c r="BF355" s="1" t="s">
        <v>15202</v>
      </c>
      <c r="BG355" s="1" t="str">
        <f>HYPERLINK("http://dx.doi.org/10.1145/3639233.3639353","http://dx.doi.org/10.1145/3639233.3639353")</f>
        <v>http://dx.doi.org/10.1145/3639233.3639353</v>
      </c>
      <c r="BH355" s="1" t="s">
        <v>1507</v>
      </c>
      <c r="BI355" s="1" t="s">
        <v>1507</v>
      </c>
      <c r="BJ355" s="1">
        <v>6</v>
      </c>
      <c r="BK355" s="1" t="s">
        <v>5650</v>
      </c>
      <c r="BL355" s="1" t="s">
        <v>5570</v>
      </c>
      <c r="BM355" s="1" t="s">
        <v>1577</v>
      </c>
      <c r="BN355" s="1" t="s">
        <v>15203</v>
      </c>
      <c r="BO355" s="1" t="s">
        <v>1507</v>
      </c>
      <c r="BP355" s="1" t="s">
        <v>1507</v>
      </c>
      <c r="BQ355" s="1" t="s">
        <v>1507</v>
      </c>
      <c r="BR355" s="1" t="s">
        <v>1507</v>
      </c>
      <c r="BS355" s="1" t="s">
        <v>13744</v>
      </c>
      <c r="BT355" s="1" t="s">
        <v>15204</v>
      </c>
      <c r="BU355" s="1" t="str">
        <f>HYPERLINK("https%3A%2F%2Fwww.webofscience.com%2Fwos%2Fwoscc%2Ffull-record%2FWOS:001179071500003","View Full Record in Web of Science")</f>
        <v>View Full Record in Web of Science</v>
      </c>
    </row>
    <row r="356" spans="1:73" x14ac:dyDescent="0.25">
      <c r="A356" s="1">
        <v>355</v>
      </c>
      <c r="B356" s="1" t="s">
        <v>1506</v>
      </c>
      <c r="C356" s="1" t="s">
        <v>5429</v>
      </c>
      <c r="D356" s="1" t="s">
        <v>1507</v>
      </c>
      <c r="E356" s="1" t="s">
        <v>1507</v>
      </c>
      <c r="F356" s="1" t="s">
        <v>1507</v>
      </c>
      <c r="G356" s="1" t="s">
        <v>5430</v>
      </c>
      <c r="H356" s="1" t="s">
        <v>1507</v>
      </c>
      <c r="I356" s="1" t="s">
        <v>1507</v>
      </c>
      <c r="J356" s="1" t="s">
        <v>5431</v>
      </c>
      <c r="K356" s="1" t="s">
        <v>5432</v>
      </c>
      <c r="L356" s="1" t="s">
        <v>1507</v>
      </c>
      <c r="M356" s="1" t="s">
        <v>1507</v>
      </c>
      <c r="N356" s="1" t="s">
        <v>42</v>
      </c>
      <c r="O356" s="1" t="s">
        <v>56</v>
      </c>
      <c r="P356" s="1" t="s">
        <v>1507</v>
      </c>
      <c r="Q356" s="1" t="s">
        <v>1507</v>
      </c>
      <c r="R356" s="1" t="s">
        <v>1507</v>
      </c>
      <c r="S356" s="1" t="s">
        <v>1507</v>
      </c>
      <c r="T356" s="1" t="s">
        <v>1507</v>
      </c>
      <c r="U356" s="1" t="s">
        <v>1507</v>
      </c>
      <c r="V356" s="1" t="s">
        <v>5433</v>
      </c>
      <c r="W356" s="1" t="s">
        <v>5434</v>
      </c>
      <c r="X356" s="1" t="s">
        <v>5435</v>
      </c>
      <c r="Y356" s="1" t="s">
        <v>14809</v>
      </c>
      <c r="Z356" s="1" t="s">
        <v>5436</v>
      </c>
      <c r="AA356" s="1" t="s">
        <v>5437</v>
      </c>
      <c r="AB356" s="1" t="s">
        <v>14810</v>
      </c>
      <c r="AC356" s="1" t="s">
        <v>14811</v>
      </c>
      <c r="AD356" s="1" t="s">
        <v>5438</v>
      </c>
      <c r="AE356" s="1" t="s">
        <v>5439</v>
      </c>
      <c r="AF356" s="1" t="s">
        <v>5440</v>
      </c>
      <c r="AG356" s="1" t="s">
        <v>1507</v>
      </c>
      <c r="AH356" s="1">
        <v>85</v>
      </c>
      <c r="AI356" s="1">
        <v>143</v>
      </c>
      <c r="AJ356" s="1">
        <v>155</v>
      </c>
      <c r="AK356" s="1">
        <v>114</v>
      </c>
      <c r="AL356" s="1">
        <v>260</v>
      </c>
      <c r="AM356" s="1" t="s">
        <v>1591</v>
      </c>
      <c r="AN356" s="1" t="s">
        <v>1592</v>
      </c>
      <c r="AO356" s="1" t="s">
        <v>1593</v>
      </c>
      <c r="AP356" s="1" t="s">
        <v>5441</v>
      </c>
      <c r="AQ356" s="1" t="s">
        <v>5442</v>
      </c>
      <c r="AR356" s="1" t="s">
        <v>1507</v>
      </c>
      <c r="AS356" s="1" t="s">
        <v>5443</v>
      </c>
      <c r="AT356" s="1" t="s">
        <v>5444</v>
      </c>
      <c r="AU356" s="1" t="s">
        <v>4336</v>
      </c>
      <c r="AV356" s="1">
        <v>2023</v>
      </c>
      <c r="AW356" s="1">
        <v>41</v>
      </c>
      <c r="AX356" s="1">
        <v>8</v>
      </c>
      <c r="AY356" s="1" t="s">
        <v>1507</v>
      </c>
      <c r="AZ356" s="1" t="s">
        <v>1507</v>
      </c>
      <c r="BA356" s="1" t="s">
        <v>1507</v>
      </c>
      <c r="BB356" s="1" t="s">
        <v>1507</v>
      </c>
      <c r="BC356" s="1">
        <v>1099</v>
      </c>
      <c r="BD356" s="1" t="s">
        <v>1774</v>
      </c>
      <c r="BE356" s="1" t="s">
        <v>1507</v>
      </c>
      <c r="BF356" s="1" t="s">
        <v>5445</v>
      </c>
      <c r="BG356" s="1" t="str">
        <f>HYPERLINK("http://dx.doi.org/10.1038/s41587-022-01618-2","http://dx.doi.org/10.1038/s41587-022-01618-2")</f>
        <v>http://dx.doi.org/10.1038/s41587-022-01618-2</v>
      </c>
      <c r="BH356" s="1" t="s">
        <v>1507</v>
      </c>
      <c r="BI356" s="1" t="s">
        <v>5446</v>
      </c>
      <c r="BJ356" s="1">
        <v>17</v>
      </c>
      <c r="BK356" s="1" t="s">
        <v>5447</v>
      </c>
      <c r="BL356" s="1" t="s">
        <v>1573</v>
      </c>
      <c r="BM356" s="1" t="s">
        <v>5447</v>
      </c>
      <c r="BN356" s="1" t="s">
        <v>5448</v>
      </c>
      <c r="BO356" s="1">
        <v>36702895</v>
      </c>
      <c r="BP356" s="1" t="s">
        <v>1507</v>
      </c>
      <c r="BQ356" s="1" t="s">
        <v>1507</v>
      </c>
      <c r="BR356" s="1" t="s">
        <v>1507</v>
      </c>
      <c r="BS356" s="1" t="s">
        <v>13744</v>
      </c>
      <c r="BT356" s="1" t="s">
        <v>5449</v>
      </c>
      <c r="BU356" s="1" t="str">
        <f>HYPERLINK("https%3A%2F%2Fwww.webofscience.com%2Fwos%2Fwoscc%2Ffull-record%2FWOS:000920853200002","View Full Record in Web of Science")</f>
        <v>View Full Record in Web of Science</v>
      </c>
    </row>
    <row r="357" spans="1:73" x14ac:dyDescent="0.25">
      <c r="A357" s="1">
        <v>356</v>
      </c>
      <c r="B357" s="1" t="s">
        <v>1506</v>
      </c>
      <c r="C357" s="1" t="s">
        <v>2268</v>
      </c>
      <c r="D357" s="1" t="s">
        <v>1507</v>
      </c>
      <c r="E357" s="1" t="s">
        <v>1507</v>
      </c>
      <c r="F357" s="1" t="s">
        <v>1507</v>
      </c>
      <c r="G357" s="1" t="s">
        <v>2269</v>
      </c>
      <c r="H357" s="1" t="s">
        <v>1507</v>
      </c>
      <c r="I357" s="1" t="s">
        <v>1507</v>
      </c>
      <c r="J357" s="1" t="s">
        <v>2270</v>
      </c>
      <c r="K357" s="1" t="s">
        <v>2200</v>
      </c>
      <c r="L357" s="1" t="s">
        <v>1507</v>
      </c>
      <c r="M357" s="1" t="s">
        <v>1507</v>
      </c>
      <c r="N357" s="1" t="s">
        <v>42</v>
      </c>
      <c r="O357" s="1" t="s">
        <v>56</v>
      </c>
      <c r="P357" s="1" t="s">
        <v>1507</v>
      </c>
      <c r="Q357" s="1" t="s">
        <v>1507</v>
      </c>
      <c r="R357" s="1" t="s">
        <v>1507</v>
      </c>
      <c r="S357" s="1" t="s">
        <v>1507</v>
      </c>
      <c r="T357" s="1" t="s">
        <v>1507</v>
      </c>
      <c r="U357" s="1" t="s">
        <v>2271</v>
      </c>
      <c r="V357" s="1" t="s">
        <v>2272</v>
      </c>
      <c r="W357" s="1" t="s">
        <v>2273</v>
      </c>
      <c r="X357" s="1" t="s">
        <v>2274</v>
      </c>
      <c r="Y357" s="1" t="s">
        <v>2275</v>
      </c>
      <c r="Z357" s="1" t="s">
        <v>2276</v>
      </c>
      <c r="AA357" s="1" t="s">
        <v>2277</v>
      </c>
      <c r="AB357" s="1" t="s">
        <v>2278</v>
      </c>
      <c r="AC357" s="1" t="s">
        <v>2279</v>
      </c>
      <c r="AD357" s="1" t="s">
        <v>2280</v>
      </c>
      <c r="AE357" s="1" t="s">
        <v>2280</v>
      </c>
      <c r="AF357" s="1" t="s">
        <v>2281</v>
      </c>
      <c r="AG357" s="1" t="s">
        <v>1507</v>
      </c>
      <c r="AH357" s="1">
        <v>129</v>
      </c>
      <c r="AI357" s="1">
        <v>0</v>
      </c>
      <c r="AJ357" s="1">
        <v>0</v>
      </c>
      <c r="AK357" s="1">
        <v>2</v>
      </c>
      <c r="AL357" s="1">
        <v>2</v>
      </c>
      <c r="AM357" s="1" t="s">
        <v>1610</v>
      </c>
      <c r="AN357" s="1" t="s">
        <v>1611</v>
      </c>
      <c r="AO357" s="1" t="s">
        <v>1612</v>
      </c>
      <c r="AP357" s="1" t="s">
        <v>1507</v>
      </c>
      <c r="AQ357" s="1" t="s">
        <v>2211</v>
      </c>
      <c r="AR357" s="1" t="s">
        <v>1507</v>
      </c>
      <c r="AS357" s="1" t="s">
        <v>2200</v>
      </c>
      <c r="AT357" s="1" t="s">
        <v>2212</v>
      </c>
      <c r="AU357" s="1" t="s">
        <v>2191</v>
      </c>
      <c r="AV357" s="1">
        <v>2023</v>
      </c>
      <c r="AW357" s="1">
        <v>10</v>
      </c>
      <c r="AX357" s="1">
        <v>4</v>
      </c>
      <c r="AY357" s="1" t="s">
        <v>1507</v>
      </c>
      <c r="AZ357" s="1" t="s">
        <v>1507</v>
      </c>
      <c r="BA357" s="1" t="s">
        <v>1507</v>
      </c>
      <c r="BB357" s="1" t="s">
        <v>1507</v>
      </c>
      <c r="BC357" s="1" t="s">
        <v>1507</v>
      </c>
      <c r="BD357" s="1" t="s">
        <v>1507</v>
      </c>
      <c r="BE357" s="1">
        <v>84</v>
      </c>
      <c r="BF357" s="1" t="s">
        <v>2282</v>
      </c>
      <c r="BG357" s="1" t="str">
        <f>HYPERLINK("http://dx.doi.org/10.3390/informatics10040084","http://dx.doi.org/10.3390/informatics10040084")</f>
        <v>http://dx.doi.org/10.3390/informatics10040084</v>
      </c>
      <c r="BH357" s="1" t="s">
        <v>1507</v>
      </c>
      <c r="BI357" s="1" t="s">
        <v>1507</v>
      </c>
      <c r="BJ357" s="1">
        <v>24</v>
      </c>
      <c r="BK357" s="1" t="s">
        <v>2214</v>
      </c>
      <c r="BL357" s="1" t="s">
        <v>1529</v>
      </c>
      <c r="BM357" s="1" t="s">
        <v>1577</v>
      </c>
      <c r="BN357" s="1" t="s">
        <v>2283</v>
      </c>
      <c r="BO357" s="1" t="s">
        <v>1507</v>
      </c>
      <c r="BP357" s="1" t="s">
        <v>1531</v>
      </c>
      <c r="BQ357" s="1" t="s">
        <v>1507</v>
      </c>
      <c r="BR357" s="1" t="s">
        <v>1507</v>
      </c>
      <c r="BS357" s="1" t="s">
        <v>13744</v>
      </c>
      <c r="BT357" s="1" t="s">
        <v>2284</v>
      </c>
      <c r="BU357" s="1" t="str">
        <f>HYPERLINK("https%3A%2F%2Fwww.webofscience.com%2Fwos%2Fwoscc%2Ffull-record%2FWOS:001130595500001","View Full Record in Web of Science")</f>
        <v>View Full Record in Web of Science</v>
      </c>
    </row>
    <row r="358" spans="1:73" x14ac:dyDescent="0.25">
      <c r="A358" s="1">
        <v>357</v>
      </c>
      <c r="B358" s="1" t="s">
        <v>1506</v>
      </c>
      <c r="C358" s="1" t="s">
        <v>4487</v>
      </c>
      <c r="D358" s="1" t="s">
        <v>1507</v>
      </c>
      <c r="E358" s="1" t="s">
        <v>1507</v>
      </c>
      <c r="F358" s="1" t="s">
        <v>1507</v>
      </c>
      <c r="G358" s="1" t="s">
        <v>4488</v>
      </c>
      <c r="H358" s="1" t="s">
        <v>1507</v>
      </c>
      <c r="I358" s="1" t="s">
        <v>1507</v>
      </c>
      <c r="J358" s="1" t="s">
        <v>4489</v>
      </c>
      <c r="K358" s="1" t="s">
        <v>4490</v>
      </c>
      <c r="L358" s="1" t="s">
        <v>1507</v>
      </c>
      <c r="M358" s="1" t="s">
        <v>1507</v>
      </c>
      <c r="N358" s="1" t="s">
        <v>42</v>
      </c>
      <c r="O358" s="1" t="s">
        <v>56</v>
      </c>
      <c r="P358" s="1" t="s">
        <v>1507</v>
      </c>
      <c r="Q358" s="1" t="s">
        <v>1507</v>
      </c>
      <c r="R358" s="1" t="s">
        <v>1507</v>
      </c>
      <c r="S358" s="1" t="s">
        <v>1507</v>
      </c>
      <c r="T358" s="1" t="s">
        <v>1507</v>
      </c>
      <c r="U358" s="1" t="s">
        <v>4491</v>
      </c>
      <c r="V358" s="1" t="s">
        <v>4492</v>
      </c>
      <c r="W358" s="1" t="s">
        <v>4493</v>
      </c>
      <c r="X358" s="1" t="s">
        <v>4494</v>
      </c>
      <c r="Y358" s="1" t="s">
        <v>4495</v>
      </c>
      <c r="Z358" s="1" t="s">
        <v>4496</v>
      </c>
      <c r="AA358" s="1" t="s">
        <v>4497</v>
      </c>
      <c r="AB358" s="1" t="s">
        <v>4498</v>
      </c>
      <c r="AC358" s="1" t="s">
        <v>4499</v>
      </c>
      <c r="AD358" s="1" t="s">
        <v>4500</v>
      </c>
      <c r="AE358" s="1" t="s">
        <v>4501</v>
      </c>
      <c r="AF358" s="1" t="s">
        <v>4502</v>
      </c>
      <c r="AG358" s="1" t="s">
        <v>1507</v>
      </c>
      <c r="AH358" s="1">
        <v>241</v>
      </c>
      <c r="AI358" s="1">
        <v>2</v>
      </c>
      <c r="AJ358" s="1">
        <v>2</v>
      </c>
      <c r="AK358" s="1">
        <v>11</v>
      </c>
      <c r="AL358" s="1">
        <v>17</v>
      </c>
      <c r="AM358" s="1" t="s">
        <v>1579</v>
      </c>
      <c r="AN358" s="1" t="s">
        <v>1580</v>
      </c>
      <c r="AO358" s="1" t="s">
        <v>1581</v>
      </c>
      <c r="AP358" s="1" t="s">
        <v>4503</v>
      </c>
      <c r="AQ358" s="1" t="s">
        <v>4504</v>
      </c>
      <c r="AR358" s="1" t="s">
        <v>1507</v>
      </c>
      <c r="AS358" s="1" t="s">
        <v>4490</v>
      </c>
      <c r="AT358" s="1" t="s">
        <v>4505</v>
      </c>
      <c r="AU358" s="1" t="s">
        <v>4336</v>
      </c>
      <c r="AV358" s="1">
        <v>2023</v>
      </c>
      <c r="AW358" s="1">
        <v>127</v>
      </c>
      <c r="AX358" s="1" t="s">
        <v>1507</v>
      </c>
      <c r="AY358" s="1" t="s">
        <v>1507</v>
      </c>
      <c r="AZ358" s="1" t="s">
        <v>1507</v>
      </c>
      <c r="BA358" s="1" t="s">
        <v>1507</v>
      </c>
      <c r="BB358" s="1" t="s">
        <v>1507</v>
      </c>
      <c r="BC358" s="1" t="s">
        <v>1507</v>
      </c>
      <c r="BD358" s="1" t="s">
        <v>1507</v>
      </c>
      <c r="BE358" s="1">
        <v>102478</v>
      </c>
      <c r="BF358" s="1" t="s">
        <v>4506</v>
      </c>
      <c r="BG358" s="1" t="str">
        <f>HYPERLINK("http://dx.doi.org/10.1016/j.hal.2023.102478","http://dx.doi.org/10.1016/j.hal.2023.102478")</f>
        <v>http://dx.doi.org/10.1016/j.hal.2023.102478</v>
      </c>
      <c r="BH358" s="1" t="s">
        <v>1507</v>
      </c>
      <c r="BI358" s="1" t="s">
        <v>4389</v>
      </c>
      <c r="BJ358" s="1">
        <v>20</v>
      </c>
      <c r="BK358" s="1" t="s">
        <v>4507</v>
      </c>
      <c r="BL358" s="1" t="s">
        <v>1573</v>
      </c>
      <c r="BM358" s="1" t="s">
        <v>4507</v>
      </c>
      <c r="BN358" s="1" t="s">
        <v>4508</v>
      </c>
      <c r="BO358" s="1">
        <v>37544678</v>
      </c>
      <c r="BP358" s="1" t="s">
        <v>1507</v>
      </c>
      <c r="BQ358" s="1" t="s">
        <v>1507</v>
      </c>
      <c r="BR358" s="1" t="s">
        <v>1507</v>
      </c>
      <c r="BS358" s="1" t="s">
        <v>13744</v>
      </c>
      <c r="BT358" s="1" t="s">
        <v>4509</v>
      </c>
      <c r="BU358" s="1" t="str">
        <f>HYPERLINK("https%3A%2F%2Fwww.webofscience.com%2Fwos%2Fwoscc%2Ffull-record%2FWOS:001044035300001","View Full Record in Web of Science")</f>
        <v>View Full Record in Web of Science</v>
      </c>
    </row>
    <row r="359" spans="1:73" x14ac:dyDescent="0.25">
      <c r="A359" s="1">
        <v>358</v>
      </c>
      <c r="B359" s="1" t="s">
        <v>5546</v>
      </c>
      <c r="C359" s="1" t="s">
        <v>15205</v>
      </c>
      <c r="D359" s="1" t="s">
        <v>1507</v>
      </c>
      <c r="E359" s="1" t="s">
        <v>15206</v>
      </c>
      <c r="F359" s="1" t="s">
        <v>1507</v>
      </c>
      <c r="G359" s="1" t="s">
        <v>15207</v>
      </c>
      <c r="H359" s="1" t="s">
        <v>1507</v>
      </c>
      <c r="I359" s="1" t="s">
        <v>1507</v>
      </c>
      <c r="J359" s="1" t="s">
        <v>15208</v>
      </c>
      <c r="K359" s="1" t="s">
        <v>15209</v>
      </c>
      <c r="L359" s="1" t="s">
        <v>6208</v>
      </c>
      <c r="M359" s="1" t="s">
        <v>1507</v>
      </c>
      <c r="N359" s="1" t="s">
        <v>42</v>
      </c>
      <c r="O359" s="1" t="s">
        <v>5552</v>
      </c>
      <c r="P359" s="1" t="s">
        <v>15210</v>
      </c>
      <c r="Q359" s="1" t="s">
        <v>15211</v>
      </c>
      <c r="R359" s="1" t="s">
        <v>15212</v>
      </c>
      <c r="S359" s="1" t="s">
        <v>1507</v>
      </c>
      <c r="T359" s="1" t="s">
        <v>1507</v>
      </c>
      <c r="U359" s="1" t="s">
        <v>15213</v>
      </c>
      <c r="V359" s="1" t="s">
        <v>1507</v>
      </c>
      <c r="W359" s="1" t="s">
        <v>15214</v>
      </c>
      <c r="X359" s="1" t="s">
        <v>15215</v>
      </c>
      <c r="Y359" s="1" t="s">
        <v>1507</v>
      </c>
      <c r="Z359" s="1" t="s">
        <v>15216</v>
      </c>
      <c r="AA359" s="1" t="s">
        <v>15217</v>
      </c>
      <c r="AB359" s="1" t="s">
        <v>1507</v>
      </c>
      <c r="AC359" s="1" t="s">
        <v>15218</v>
      </c>
      <c r="AD359" s="1" t="s">
        <v>1507</v>
      </c>
      <c r="AE359" s="1" t="s">
        <v>1507</v>
      </c>
      <c r="AF359" s="1" t="s">
        <v>1507</v>
      </c>
      <c r="AG359" s="1" t="s">
        <v>1507</v>
      </c>
      <c r="AH359" s="1">
        <v>22</v>
      </c>
      <c r="AI359" s="1">
        <v>0</v>
      </c>
      <c r="AJ359" s="1">
        <v>0</v>
      </c>
      <c r="AK359" s="1">
        <v>2</v>
      </c>
      <c r="AL359" s="1">
        <v>2</v>
      </c>
      <c r="AM359" s="1" t="s">
        <v>6221</v>
      </c>
      <c r="AN359" s="1" t="s">
        <v>6222</v>
      </c>
      <c r="AO359" s="1" t="s">
        <v>6223</v>
      </c>
      <c r="AP359" s="1" t="s">
        <v>6224</v>
      </c>
      <c r="AQ359" s="1" t="s">
        <v>6225</v>
      </c>
      <c r="AR359" s="1" t="s">
        <v>15219</v>
      </c>
      <c r="AS359" s="1" t="s">
        <v>6227</v>
      </c>
      <c r="AT359" s="1" t="s">
        <v>1507</v>
      </c>
      <c r="AU359" s="1" t="s">
        <v>1507</v>
      </c>
      <c r="AV359" s="1">
        <v>2023</v>
      </c>
      <c r="AW359" s="1">
        <v>14060</v>
      </c>
      <c r="AX359" s="1" t="s">
        <v>1507</v>
      </c>
      <c r="AY359" s="1" t="s">
        <v>1507</v>
      </c>
      <c r="AZ359" s="1" t="s">
        <v>1507</v>
      </c>
      <c r="BA359" s="1" t="s">
        <v>1507</v>
      </c>
      <c r="BB359" s="1" t="s">
        <v>1507</v>
      </c>
      <c r="BC359" s="1">
        <v>176</v>
      </c>
      <c r="BD359" s="1">
        <v>190</v>
      </c>
      <c r="BE359" s="1" t="s">
        <v>1507</v>
      </c>
      <c r="BF359" s="1" t="s">
        <v>851</v>
      </c>
      <c r="BG359" s="1" t="str">
        <f>HYPERLINK("http://dx.doi.org/10.1007/978-3-031-48060-7_14","http://dx.doi.org/10.1007/978-3-031-48060-7_14")</f>
        <v>http://dx.doi.org/10.1007/978-3-031-48060-7_14</v>
      </c>
      <c r="BH359" s="1" t="s">
        <v>1507</v>
      </c>
      <c r="BI359" s="1" t="s">
        <v>1507</v>
      </c>
      <c r="BJ359" s="1">
        <v>15</v>
      </c>
      <c r="BK359" s="1" t="s">
        <v>2230</v>
      </c>
      <c r="BL359" s="1" t="s">
        <v>5570</v>
      </c>
      <c r="BM359" s="1" t="s">
        <v>1577</v>
      </c>
      <c r="BN359" s="1" t="s">
        <v>15220</v>
      </c>
      <c r="BO359" s="1" t="s">
        <v>1507</v>
      </c>
      <c r="BP359" s="1" t="s">
        <v>1507</v>
      </c>
      <c r="BQ359" s="1" t="s">
        <v>1507</v>
      </c>
      <c r="BR359" s="1" t="s">
        <v>1507</v>
      </c>
      <c r="BS359" s="1" t="s">
        <v>13744</v>
      </c>
      <c r="BT359" s="1" t="s">
        <v>15221</v>
      </c>
      <c r="BU359" s="1" t="str">
        <f>HYPERLINK("https%3A%2F%2Fwww.webofscience.com%2Fwos%2Fwoscc%2Ffull-record%2FWOS:001159628500014","View Full Record in Web of Science")</f>
        <v>View Full Record in Web of Science</v>
      </c>
    </row>
    <row r="360" spans="1:73" x14ac:dyDescent="0.25">
      <c r="A360" s="1">
        <v>359</v>
      </c>
      <c r="B360" s="1" t="s">
        <v>5546</v>
      </c>
      <c r="C360" s="1" t="s">
        <v>12015</v>
      </c>
      <c r="D360" s="1" t="s">
        <v>1507</v>
      </c>
      <c r="E360" s="1" t="s">
        <v>1507</v>
      </c>
      <c r="F360" s="1" t="s">
        <v>5628</v>
      </c>
      <c r="G360" s="1" t="s">
        <v>12016</v>
      </c>
      <c r="H360" s="1" t="s">
        <v>1507</v>
      </c>
      <c r="I360" s="1" t="s">
        <v>1507</v>
      </c>
      <c r="J360" s="1" t="s">
        <v>12017</v>
      </c>
      <c r="K360" s="1" t="s">
        <v>12018</v>
      </c>
      <c r="L360" s="1" t="s">
        <v>12019</v>
      </c>
      <c r="M360" s="1" t="s">
        <v>1507</v>
      </c>
      <c r="N360" s="1" t="s">
        <v>42</v>
      </c>
      <c r="O360" s="1" t="s">
        <v>5552</v>
      </c>
      <c r="P360" s="1" t="s">
        <v>12020</v>
      </c>
      <c r="Q360" s="1" t="s">
        <v>12021</v>
      </c>
      <c r="R360" s="1" t="s">
        <v>12022</v>
      </c>
      <c r="S360" s="1" t="s">
        <v>12023</v>
      </c>
      <c r="T360" s="1" t="s">
        <v>1507</v>
      </c>
      <c r="U360" s="1" t="s">
        <v>1507</v>
      </c>
      <c r="V360" s="1" t="s">
        <v>1507</v>
      </c>
      <c r="W360" s="1" t="s">
        <v>12024</v>
      </c>
      <c r="X360" s="1" t="s">
        <v>12025</v>
      </c>
      <c r="Y360" s="1" t="s">
        <v>12026</v>
      </c>
      <c r="Z360" s="1" t="s">
        <v>12027</v>
      </c>
      <c r="AA360" s="1" t="s">
        <v>1507</v>
      </c>
      <c r="AB360" s="1" t="s">
        <v>12028</v>
      </c>
      <c r="AC360" s="1" t="s">
        <v>12029</v>
      </c>
      <c r="AD360" s="1" t="s">
        <v>12030</v>
      </c>
      <c r="AE360" s="1" t="s">
        <v>12031</v>
      </c>
      <c r="AF360" s="1" t="s">
        <v>12032</v>
      </c>
      <c r="AG360" s="1" t="s">
        <v>1507</v>
      </c>
      <c r="AH360" s="1">
        <v>17</v>
      </c>
      <c r="AI360" s="1">
        <v>2</v>
      </c>
      <c r="AJ360" s="1">
        <v>2</v>
      </c>
      <c r="AK360" s="1">
        <v>0</v>
      </c>
      <c r="AL360" s="1">
        <v>1</v>
      </c>
      <c r="AM360" s="1" t="s">
        <v>5628</v>
      </c>
      <c r="AN360" s="1" t="s">
        <v>1512</v>
      </c>
      <c r="AO360" s="1" t="s">
        <v>6457</v>
      </c>
      <c r="AP360" s="1" t="s">
        <v>12033</v>
      </c>
      <c r="AQ360" s="1" t="s">
        <v>1507</v>
      </c>
      <c r="AR360" s="1" t="s">
        <v>12034</v>
      </c>
      <c r="AS360" s="1" t="s">
        <v>12035</v>
      </c>
      <c r="AT360" s="1" t="s">
        <v>1507</v>
      </c>
      <c r="AU360" s="1" t="s">
        <v>1507</v>
      </c>
      <c r="AV360" s="1">
        <v>2018</v>
      </c>
      <c r="AW360" s="1" t="s">
        <v>1507</v>
      </c>
      <c r="AX360" s="1" t="s">
        <v>1507</v>
      </c>
      <c r="AY360" s="1" t="s">
        <v>1507</v>
      </c>
      <c r="AZ360" s="1" t="s">
        <v>1507</v>
      </c>
      <c r="BA360" s="1" t="s">
        <v>1507</v>
      </c>
      <c r="BB360" s="1" t="s">
        <v>1507</v>
      </c>
      <c r="BC360" s="1">
        <v>424</v>
      </c>
      <c r="BD360" s="1">
        <v>431</v>
      </c>
      <c r="BE360" s="1" t="s">
        <v>1507</v>
      </c>
      <c r="BF360" s="1" t="s">
        <v>12036</v>
      </c>
      <c r="BG360" s="1" t="str">
        <f>HYPERLINK("http://dx.doi.org/10.1109/SIBGRAPI.2018.00061","http://dx.doi.org/10.1109/SIBGRAPI.2018.00061")</f>
        <v>http://dx.doi.org/10.1109/SIBGRAPI.2018.00061</v>
      </c>
      <c r="BH360" s="1" t="s">
        <v>1507</v>
      </c>
      <c r="BI360" s="1" t="s">
        <v>1507</v>
      </c>
      <c r="BJ360" s="1">
        <v>8</v>
      </c>
      <c r="BK360" s="1" t="s">
        <v>7840</v>
      </c>
      <c r="BL360" s="1" t="s">
        <v>5570</v>
      </c>
      <c r="BM360" s="1" t="s">
        <v>7841</v>
      </c>
      <c r="BN360" s="1" t="s">
        <v>12037</v>
      </c>
      <c r="BO360" s="1" t="s">
        <v>1507</v>
      </c>
      <c r="BP360" s="1" t="s">
        <v>1507</v>
      </c>
      <c r="BQ360" s="1" t="s">
        <v>1507</v>
      </c>
      <c r="BR360" s="1" t="s">
        <v>1507</v>
      </c>
      <c r="BS360" s="1" t="s">
        <v>13744</v>
      </c>
      <c r="BT360" s="1" t="s">
        <v>12038</v>
      </c>
      <c r="BU360" s="1" t="str">
        <f>HYPERLINK("https%3A%2F%2Fwww.webofscience.com%2Fwos%2Fwoscc%2Ffull-record%2FWOS:000459886600055","View Full Record in Web of Science")</f>
        <v>View Full Record in Web of Science</v>
      </c>
    </row>
    <row r="361" spans="1:73" x14ac:dyDescent="0.25">
      <c r="A361" s="1">
        <v>360</v>
      </c>
      <c r="B361" s="1" t="s">
        <v>1506</v>
      </c>
      <c r="C361" s="1" t="s">
        <v>4836</v>
      </c>
      <c r="D361" s="1" t="s">
        <v>1507</v>
      </c>
      <c r="E361" s="1" t="s">
        <v>1507</v>
      </c>
      <c r="F361" s="1" t="s">
        <v>1507</v>
      </c>
      <c r="G361" s="1" t="s">
        <v>4837</v>
      </c>
      <c r="H361" s="1" t="s">
        <v>1507</v>
      </c>
      <c r="I361" s="1" t="s">
        <v>1507</v>
      </c>
      <c r="J361" s="1" t="s">
        <v>4838</v>
      </c>
      <c r="K361" s="1" t="s">
        <v>1657</v>
      </c>
      <c r="L361" s="1" t="s">
        <v>1507</v>
      </c>
      <c r="M361" s="1" t="s">
        <v>1507</v>
      </c>
      <c r="N361" s="1" t="s">
        <v>42</v>
      </c>
      <c r="O361" s="1" t="s">
        <v>56</v>
      </c>
      <c r="P361" s="1" t="s">
        <v>1507</v>
      </c>
      <c r="Q361" s="1" t="s">
        <v>1507</v>
      </c>
      <c r="R361" s="1" t="s">
        <v>1507</v>
      </c>
      <c r="S361" s="1" t="s">
        <v>1507</v>
      </c>
      <c r="T361" s="1" t="s">
        <v>1507</v>
      </c>
      <c r="U361" s="1" t="s">
        <v>4839</v>
      </c>
      <c r="V361" s="1" t="s">
        <v>1507</v>
      </c>
      <c r="W361" s="1" t="s">
        <v>4840</v>
      </c>
      <c r="X361" s="1" t="s">
        <v>4841</v>
      </c>
      <c r="Y361" s="1" t="s">
        <v>4842</v>
      </c>
      <c r="Z361" s="1" t="s">
        <v>4843</v>
      </c>
      <c r="AA361" s="1" t="s">
        <v>4844</v>
      </c>
      <c r="AB361" s="1" t="s">
        <v>14687</v>
      </c>
      <c r="AC361" s="1" t="s">
        <v>14688</v>
      </c>
      <c r="AD361" s="1" t="s">
        <v>4845</v>
      </c>
      <c r="AE361" s="1" t="s">
        <v>4846</v>
      </c>
      <c r="AF361" s="1" t="s">
        <v>4847</v>
      </c>
      <c r="AG361" s="1" t="s">
        <v>1507</v>
      </c>
      <c r="AH361" s="1">
        <v>16</v>
      </c>
      <c r="AI361" s="1">
        <v>40</v>
      </c>
      <c r="AJ361" s="1">
        <v>40</v>
      </c>
      <c r="AK361" s="1">
        <v>127</v>
      </c>
      <c r="AL361" s="1">
        <v>148</v>
      </c>
      <c r="AM361" s="1" t="s">
        <v>1667</v>
      </c>
      <c r="AN361" s="1" t="s">
        <v>1668</v>
      </c>
      <c r="AO361" s="1" t="s">
        <v>1669</v>
      </c>
      <c r="AP361" s="1" t="s">
        <v>1670</v>
      </c>
      <c r="AQ361" s="1" t="s">
        <v>1507</v>
      </c>
      <c r="AR361" s="1" t="s">
        <v>1507</v>
      </c>
      <c r="AS361" s="1" t="s">
        <v>1671</v>
      </c>
      <c r="AT361" s="1" t="s">
        <v>567</v>
      </c>
      <c r="AU361" s="1" t="s">
        <v>4848</v>
      </c>
      <c r="AV361" s="1">
        <v>2023</v>
      </c>
      <c r="AW361" s="1">
        <v>25</v>
      </c>
      <c r="AX361" s="1" t="s">
        <v>1507</v>
      </c>
      <c r="AY361" s="1" t="s">
        <v>1507</v>
      </c>
      <c r="AZ361" s="1" t="s">
        <v>1507</v>
      </c>
      <c r="BA361" s="1" t="s">
        <v>1507</v>
      </c>
      <c r="BB361" s="1" t="s">
        <v>1507</v>
      </c>
      <c r="BC361" s="1" t="s">
        <v>1507</v>
      </c>
      <c r="BD361" s="1" t="s">
        <v>1507</v>
      </c>
      <c r="BE361" s="1" t="s">
        <v>4849</v>
      </c>
      <c r="BF361" s="1" t="s">
        <v>4850</v>
      </c>
      <c r="BG361" s="1" t="str">
        <f>HYPERLINK("http://dx.doi.org/10.2196/46924","http://dx.doi.org/10.2196/46924")</f>
        <v>http://dx.doi.org/10.2196/46924</v>
      </c>
      <c r="BH361" s="1" t="s">
        <v>1507</v>
      </c>
      <c r="BI361" s="1" t="s">
        <v>1507</v>
      </c>
      <c r="BJ361" s="1">
        <v>8</v>
      </c>
      <c r="BK361" s="1" t="s">
        <v>1585</v>
      </c>
      <c r="BL361" s="1" t="s">
        <v>1573</v>
      </c>
      <c r="BM361" s="1" t="s">
        <v>1585</v>
      </c>
      <c r="BN361" s="1" t="s">
        <v>4851</v>
      </c>
      <c r="BO361" s="1">
        <v>37256685</v>
      </c>
      <c r="BP361" s="1" t="s">
        <v>1952</v>
      </c>
      <c r="BQ361" s="1" t="s">
        <v>1507</v>
      </c>
      <c r="BR361" s="1" t="s">
        <v>1507</v>
      </c>
      <c r="BS361" s="1" t="s">
        <v>13744</v>
      </c>
      <c r="BT361" s="1" t="s">
        <v>4852</v>
      </c>
      <c r="BU361" s="1" t="str">
        <f>HYPERLINK("https%3A%2F%2Fwww.webofscience.com%2Fwos%2Fwoscc%2Ffull-record%2FWOS:001022158000003","View Full Record in Web of Science")</f>
        <v>View Full Record in Web of Science</v>
      </c>
    </row>
    <row r="362" spans="1:73" x14ac:dyDescent="0.25">
      <c r="A362" s="1">
        <v>361</v>
      </c>
      <c r="B362" s="1" t="s">
        <v>5546</v>
      </c>
      <c r="C362" s="1" t="s">
        <v>6167</v>
      </c>
      <c r="D362" s="1" t="s">
        <v>1507</v>
      </c>
      <c r="E362" s="1" t="s">
        <v>1507</v>
      </c>
      <c r="F362" s="1" t="s">
        <v>5548</v>
      </c>
      <c r="G362" s="1" t="s">
        <v>6168</v>
      </c>
      <c r="H362" s="1" t="s">
        <v>1507</v>
      </c>
      <c r="I362" s="1" t="s">
        <v>1507</v>
      </c>
      <c r="J362" s="1" t="s">
        <v>6169</v>
      </c>
      <c r="K362" s="1" t="s">
        <v>6170</v>
      </c>
      <c r="L362" s="1" t="s">
        <v>1507</v>
      </c>
      <c r="M362" s="1" t="s">
        <v>1507</v>
      </c>
      <c r="N362" s="1" t="s">
        <v>42</v>
      </c>
      <c r="O362" s="1" t="s">
        <v>5552</v>
      </c>
      <c r="P362" s="1" t="s">
        <v>6171</v>
      </c>
      <c r="Q362" s="1" t="s">
        <v>6172</v>
      </c>
      <c r="R362" s="1" t="s">
        <v>6173</v>
      </c>
      <c r="S362" s="1" t="s">
        <v>6174</v>
      </c>
      <c r="T362" s="1" t="s">
        <v>1507</v>
      </c>
      <c r="U362" s="1" t="s">
        <v>6175</v>
      </c>
      <c r="V362" s="1" t="s">
        <v>6176</v>
      </c>
      <c r="W362" s="1" t="s">
        <v>6177</v>
      </c>
      <c r="X362" s="1" t="s">
        <v>6178</v>
      </c>
      <c r="Y362" s="1" t="s">
        <v>6179</v>
      </c>
      <c r="Z362" s="1" t="s">
        <v>6180</v>
      </c>
      <c r="AA362" s="1" t="s">
        <v>1507</v>
      </c>
      <c r="AB362" s="1" t="s">
        <v>1507</v>
      </c>
      <c r="AC362" s="1" t="s">
        <v>15222</v>
      </c>
      <c r="AD362" s="1" t="s">
        <v>1507</v>
      </c>
      <c r="AE362" s="1" t="s">
        <v>1507</v>
      </c>
      <c r="AF362" s="1" t="s">
        <v>1507</v>
      </c>
      <c r="AG362" s="1" t="s">
        <v>1507</v>
      </c>
      <c r="AH362" s="1">
        <v>60</v>
      </c>
      <c r="AI362" s="1">
        <v>0</v>
      </c>
      <c r="AJ362" s="1">
        <v>0</v>
      </c>
      <c r="AK362" s="1">
        <v>3</v>
      </c>
      <c r="AL362" s="1">
        <v>3</v>
      </c>
      <c r="AM362" s="1" t="s">
        <v>5565</v>
      </c>
      <c r="AN362" s="1" t="s">
        <v>1512</v>
      </c>
      <c r="AO362" s="1" t="s">
        <v>5566</v>
      </c>
      <c r="AP362" s="1" t="s">
        <v>1507</v>
      </c>
      <c r="AQ362" s="1" t="s">
        <v>1507</v>
      </c>
      <c r="AR362" s="1" t="s">
        <v>6181</v>
      </c>
      <c r="AS362" s="1" t="s">
        <v>1507</v>
      </c>
      <c r="AT362" s="1" t="s">
        <v>1507</v>
      </c>
      <c r="AU362" s="1" t="s">
        <v>1507</v>
      </c>
      <c r="AV362" s="1">
        <v>2023</v>
      </c>
      <c r="AW362" s="1" t="s">
        <v>1507</v>
      </c>
      <c r="AX362" s="1" t="s">
        <v>1507</v>
      </c>
      <c r="AY362" s="1" t="s">
        <v>1507</v>
      </c>
      <c r="AZ362" s="1" t="s">
        <v>1507</v>
      </c>
      <c r="BA362" s="1" t="s">
        <v>1507</v>
      </c>
      <c r="BB362" s="1" t="s">
        <v>1507</v>
      </c>
      <c r="BC362" s="1">
        <v>196</v>
      </c>
      <c r="BD362" s="1">
        <v>204</v>
      </c>
      <c r="BE362" s="1" t="s">
        <v>1507</v>
      </c>
      <c r="BF362" s="1" t="s">
        <v>6182</v>
      </c>
      <c r="BG362" s="1" t="str">
        <f>HYPERLINK("http://dx.doi.org/10.1145/3626111.3628183","http://dx.doi.org/10.1145/3626111.3628183")</f>
        <v>http://dx.doi.org/10.1145/3626111.3628183</v>
      </c>
      <c r="BH362" s="1" t="s">
        <v>1507</v>
      </c>
      <c r="BI362" s="1" t="s">
        <v>1507</v>
      </c>
      <c r="BJ362" s="1">
        <v>9</v>
      </c>
      <c r="BK362" s="1" t="s">
        <v>6183</v>
      </c>
      <c r="BL362" s="1" t="s">
        <v>5570</v>
      </c>
      <c r="BM362" s="1" t="s">
        <v>5671</v>
      </c>
      <c r="BN362" s="1" t="s">
        <v>6184</v>
      </c>
      <c r="BO362" s="1" t="s">
        <v>1507</v>
      </c>
      <c r="BP362" s="1" t="s">
        <v>1600</v>
      </c>
      <c r="BQ362" s="1" t="s">
        <v>1507</v>
      </c>
      <c r="BR362" s="1" t="s">
        <v>1507</v>
      </c>
      <c r="BS362" s="1" t="s">
        <v>13744</v>
      </c>
      <c r="BT362" s="1" t="s">
        <v>6185</v>
      </c>
      <c r="BU362" s="1" t="str">
        <f>HYPERLINK("https%3A%2F%2Fwww.webofscience.com%2Fwos%2Fwoscc%2Ffull-record%2FWOS:001124843800026","View Full Record in Web of Science")</f>
        <v>View Full Record in Web of Science</v>
      </c>
    </row>
    <row r="363" spans="1:73" x14ac:dyDescent="0.25">
      <c r="A363" s="1">
        <v>362</v>
      </c>
      <c r="B363" s="1" t="s">
        <v>1506</v>
      </c>
      <c r="C363" s="1" t="s">
        <v>14252</v>
      </c>
      <c r="D363" s="1" t="s">
        <v>1507</v>
      </c>
      <c r="E363" s="1" t="s">
        <v>1507</v>
      </c>
      <c r="F363" s="1" t="s">
        <v>1507</v>
      </c>
      <c r="G363" s="1" t="s">
        <v>14253</v>
      </c>
      <c r="H363" s="1" t="s">
        <v>1507</v>
      </c>
      <c r="I363" s="1" t="s">
        <v>1507</v>
      </c>
      <c r="J363" s="1" t="s">
        <v>14254</v>
      </c>
      <c r="K363" s="1" t="s">
        <v>14255</v>
      </c>
      <c r="L363" s="1" t="s">
        <v>1507</v>
      </c>
      <c r="M363" s="1" t="s">
        <v>1507</v>
      </c>
      <c r="N363" s="1" t="s">
        <v>42</v>
      </c>
      <c r="O363" s="1" t="s">
        <v>13950</v>
      </c>
      <c r="P363" s="1" t="s">
        <v>1507</v>
      </c>
      <c r="Q363" s="1" t="s">
        <v>1507</v>
      </c>
      <c r="R363" s="1" t="s">
        <v>1507</v>
      </c>
      <c r="S363" s="1" t="s">
        <v>1507</v>
      </c>
      <c r="T363" s="1" t="s">
        <v>1507</v>
      </c>
      <c r="U363" s="1" t="s">
        <v>1507</v>
      </c>
      <c r="V363" s="1" t="s">
        <v>1507</v>
      </c>
      <c r="W363" s="1" t="s">
        <v>1507</v>
      </c>
      <c r="X363" s="1" t="s">
        <v>14256</v>
      </c>
      <c r="Y363" s="1" t="s">
        <v>14257</v>
      </c>
      <c r="Z363" s="1" t="s">
        <v>14258</v>
      </c>
      <c r="AA363" s="1" t="s">
        <v>14259</v>
      </c>
      <c r="AB363" s="1" t="s">
        <v>1507</v>
      </c>
      <c r="AC363" s="1" t="s">
        <v>1507</v>
      </c>
      <c r="AD363" s="1" t="s">
        <v>14260</v>
      </c>
      <c r="AE363" s="1" t="s">
        <v>14261</v>
      </c>
      <c r="AF363" s="1" t="s">
        <v>14262</v>
      </c>
      <c r="AG363" s="1" t="s">
        <v>1507</v>
      </c>
      <c r="AH363" s="1">
        <v>11</v>
      </c>
      <c r="AI363" s="1">
        <v>0</v>
      </c>
      <c r="AJ363" s="1">
        <v>0</v>
      </c>
      <c r="AK363" s="1">
        <v>4</v>
      </c>
      <c r="AL363" s="1">
        <v>4</v>
      </c>
      <c r="AM363" s="1" t="s">
        <v>3156</v>
      </c>
      <c r="AN363" s="1" t="s">
        <v>3157</v>
      </c>
      <c r="AO363" s="1" t="s">
        <v>3158</v>
      </c>
      <c r="AP363" s="1" t="s">
        <v>14263</v>
      </c>
      <c r="AQ363" s="1" t="s">
        <v>14264</v>
      </c>
      <c r="AR363" s="1" t="s">
        <v>1507</v>
      </c>
      <c r="AS363" s="1" t="s">
        <v>14265</v>
      </c>
      <c r="AT363" s="1" t="s">
        <v>14266</v>
      </c>
      <c r="AU363" s="1" t="s">
        <v>2771</v>
      </c>
      <c r="AV363" s="1">
        <v>2023</v>
      </c>
      <c r="AW363" s="1">
        <v>246</v>
      </c>
      <c r="AX363" s="1" t="s">
        <v>1507</v>
      </c>
      <c r="AY363" s="1" t="s">
        <v>1507</v>
      </c>
      <c r="AZ363" s="1" t="s">
        <v>1507</v>
      </c>
      <c r="BA363" s="1" t="s">
        <v>1507</v>
      </c>
      <c r="BB363" s="1" t="s">
        <v>1507</v>
      </c>
      <c r="BC363" s="1" t="s">
        <v>1507</v>
      </c>
      <c r="BD363" s="1" t="s">
        <v>1507</v>
      </c>
      <c r="BE363" s="1">
        <v>105338</v>
      </c>
      <c r="BF363" s="1" t="s">
        <v>14267</v>
      </c>
      <c r="BG363" s="1" t="str">
        <f>HYPERLINK("http://dx.doi.org/10.1016/j.bandl.2023.105338","http://dx.doi.org/10.1016/j.bandl.2023.105338")</f>
        <v>http://dx.doi.org/10.1016/j.bandl.2023.105338</v>
      </c>
      <c r="BH363" s="1" t="s">
        <v>1507</v>
      </c>
      <c r="BI363" s="1" t="s">
        <v>2891</v>
      </c>
      <c r="BJ363" s="1">
        <v>3</v>
      </c>
      <c r="BK363" s="1" t="s">
        <v>14268</v>
      </c>
      <c r="BL363" s="1" t="s">
        <v>1598</v>
      </c>
      <c r="BM363" s="1" t="s">
        <v>14269</v>
      </c>
      <c r="BN363" s="1" t="s">
        <v>14270</v>
      </c>
      <c r="BO363" s="1">
        <v>38469544</v>
      </c>
      <c r="BP363" s="1" t="s">
        <v>3572</v>
      </c>
      <c r="BQ363" s="1" t="s">
        <v>1507</v>
      </c>
      <c r="BR363" s="1" t="s">
        <v>1507</v>
      </c>
      <c r="BS363" s="1" t="s">
        <v>13744</v>
      </c>
      <c r="BT363" s="1" t="s">
        <v>14271</v>
      </c>
      <c r="BU363" s="1" t="str">
        <f>HYPERLINK("https%3A%2F%2Fwww.webofscience.com%2Fwos%2Fwoscc%2Ffull-record%2FWOS:001165077200001","View Full Record in Web of Science")</f>
        <v>View Full Record in Web of Science</v>
      </c>
    </row>
    <row r="364" spans="1:73" x14ac:dyDescent="0.25">
      <c r="A364" s="1">
        <v>363</v>
      </c>
      <c r="B364" s="1" t="s">
        <v>1506</v>
      </c>
      <c r="C364" s="1" t="s">
        <v>10625</v>
      </c>
      <c r="D364" s="1" t="s">
        <v>1507</v>
      </c>
      <c r="E364" s="1" t="s">
        <v>1507</v>
      </c>
      <c r="F364" s="1" t="s">
        <v>1507</v>
      </c>
      <c r="G364" s="1" t="s">
        <v>10626</v>
      </c>
      <c r="H364" s="1" t="s">
        <v>1507</v>
      </c>
      <c r="I364" s="1" t="s">
        <v>1507</v>
      </c>
      <c r="J364" s="1" t="s">
        <v>10627</v>
      </c>
      <c r="K364" s="1" t="s">
        <v>10628</v>
      </c>
      <c r="L364" s="1" t="s">
        <v>1507</v>
      </c>
      <c r="M364" s="1" t="s">
        <v>1507</v>
      </c>
      <c r="N364" s="1" t="s">
        <v>42</v>
      </c>
      <c r="O364" s="1" t="s">
        <v>56</v>
      </c>
      <c r="P364" s="1" t="s">
        <v>1507</v>
      </c>
      <c r="Q364" s="1" t="s">
        <v>1507</v>
      </c>
      <c r="R364" s="1" t="s">
        <v>1507</v>
      </c>
      <c r="S364" s="1" t="s">
        <v>1507</v>
      </c>
      <c r="T364" s="1" t="s">
        <v>1507</v>
      </c>
      <c r="U364" s="1" t="s">
        <v>10629</v>
      </c>
      <c r="V364" s="1" t="s">
        <v>10630</v>
      </c>
      <c r="W364" s="1" t="s">
        <v>10631</v>
      </c>
      <c r="X364" s="1" t="s">
        <v>10632</v>
      </c>
      <c r="Y364" s="1" t="s">
        <v>10633</v>
      </c>
      <c r="Z364" s="1" t="s">
        <v>10634</v>
      </c>
      <c r="AA364" s="1" t="s">
        <v>10635</v>
      </c>
      <c r="AB364" s="1" t="s">
        <v>15892</v>
      </c>
      <c r="AC364" s="1" t="s">
        <v>15893</v>
      </c>
      <c r="AD364" s="1" t="s">
        <v>10636</v>
      </c>
      <c r="AE364" s="1" t="s">
        <v>10637</v>
      </c>
      <c r="AF364" s="1" t="s">
        <v>10638</v>
      </c>
      <c r="AG364" s="1" t="s">
        <v>1507</v>
      </c>
      <c r="AH364" s="1">
        <v>84</v>
      </c>
      <c r="AI364" s="1">
        <v>11</v>
      </c>
      <c r="AJ364" s="1">
        <v>12</v>
      </c>
      <c r="AK364" s="1">
        <v>1</v>
      </c>
      <c r="AL364" s="1">
        <v>15</v>
      </c>
      <c r="AM364" s="1" t="s">
        <v>3156</v>
      </c>
      <c r="AN364" s="1" t="s">
        <v>3157</v>
      </c>
      <c r="AO364" s="1" t="s">
        <v>3158</v>
      </c>
      <c r="AP364" s="1" t="s">
        <v>10639</v>
      </c>
      <c r="AQ364" s="1" t="s">
        <v>10640</v>
      </c>
      <c r="AR364" s="1" t="s">
        <v>1507</v>
      </c>
      <c r="AS364" s="1" t="s">
        <v>10641</v>
      </c>
      <c r="AT364" s="1" t="s">
        <v>10642</v>
      </c>
      <c r="AU364" s="1" t="s">
        <v>2889</v>
      </c>
      <c r="AV364" s="1">
        <v>2019</v>
      </c>
      <c r="AW364" s="1">
        <v>130</v>
      </c>
      <c r="AX364" s="1" t="s">
        <v>1507</v>
      </c>
      <c r="AY364" s="1" t="s">
        <v>1507</v>
      </c>
      <c r="AZ364" s="1" t="s">
        <v>1507</v>
      </c>
      <c r="BA364" s="1" t="s">
        <v>1507</v>
      </c>
      <c r="BB364" s="1" t="s">
        <v>1507</v>
      </c>
      <c r="BC364" s="1" t="s">
        <v>1507</v>
      </c>
      <c r="BD364" s="1" t="s">
        <v>1507</v>
      </c>
      <c r="BE364" s="1">
        <v>104506</v>
      </c>
      <c r="BF364" s="1" t="s">
        <v>10643</v>
      </c>
      <c r="BG364" s="1" t="str">
        <f>HYPERLINK("http://dx.doi.org/10.1016/j.nbd.2019.104506","http://dx.doi.org/10.1016/j.nbd.2019.104506")</f>
        <v>http://dx.doi.org/10.1016/j.nbd.2019.104506</v>
      </c>
      <c r="BH364" s="1" t="s">
        <v>1507</v>
      </c>
      <c r="BI364" s="1" t="s">
        <v>1507</v>
      </c>
      <c r="BJ364" s="1">
        <v>17</v>
      </c>
      <c r="BK364" s="1" t="s">
        <v>10644</v>
      </c>
      <c r="BL364" s="1" t="s">
        <v>1573</v>
      </c>
      <c r="BM364" s="1" t="s">
        <v>2868</v>
      </c>
      <c r="BN364" s="1" t="s">
        <v>10645</v>
      </c>
      <c r="BO364" s="1">
        <v>31220556</v>
      </c>
      <c r="BP364" s="1" t="s">
        <v>1574</v>
      </c>
      <c r="BQ364" s="1" t="s">
        <v>1507</v>
      </c>
      <c r="BR364" s="1" t="s">
        <v>1507</v>
      </c>
      <c r="BS364" s="1" t="s">
        <v>13744</v>
      </c>
      <c r="BT364" s="1" t="s">
        <v>10646</v>
      </c>
      <c r="BU364" s="1" t="str">
        <f>HYPERLINK("https%3A%2F%2Fwww.webofscience.com%2Fwos%2Fwoscc%2Ffull-record%2FWOS:000481565000031","View Full Record in Web of Science")</f>
        <v>View Full Record in Web of Science</v>
      </c>
    </row>
    <row r="365" spans="1:73" x14ac:dyDescent="0.25">
      <c r="A365" s="1">
        <v>364</v>
      </c>
      <c r="B365" s="1" t="s">
        <v>1506</v>
      </c>
      <c r="C365" s="1" t="s">
        <v>11634</v>
      </c>
      <c r="D365" s="1" t="s">
        <v>1507</v>
      </c>
      <c r="E365" s="1" t="s">
        <v>1507</v>
      </c>
      <c r="F365" s="1" t="s">
        <v>1507</v>
      </c>
      <c r="G365" s="1" t="s">
        <v>11635</v>
      </c>
      <c r="H365" s="1" t="s">
        <v>1507</v>
      </c>
      <c r="I365" s="1" t="s">
        <v>1507</v>
      </c>
      <c r="J365" s="1" t="s">
        <v>11636</v>
      </c>
      <c r="K365" s="1" t="s">
        <v>11637</v>
      </c>
      <c r="L365" s="1" t="s">
        <v>1507</v>
      </c>
      <c r="M365" s="1" t="s">
        <v>1507</v>
      </c>
      <c r="N365" s="1" t="s">
        <v>42</v>
      </c>
      <c r="O365" s="1" t="s">
        <v>56</v>
      </c>
      <c r="P365" s="1" t="s">
        <v>1507</v>
      </c>
      <c r="Q365" s="1" t="s">
        <v>1507</v>
      </c>
      <c r="R365" s="1" t="s">
        <v>1507</v>
      </c>
      <c r="S365" s="1" t="s">
        <v>1507</v>
      </c>
      <c r="T365" s="1" t="s">
        <v>1507</v>
      </c>
      <c r="U365" s="1" t="s">
        <v>11638</v>
      </c>
      <c r="V365" s="1" t="s">
        <v>11639</v>
      </c>
      <c r="W365" s="1" t="s">
        <v>11640</v>
      </c>
      <c r="X365" s="1" t="s">
        <v>11641</v>
      </c>
      <c r="Y365" s="1" t="s">
        <v>16002</v>
      </c>
      <c r="Z365" s="1" t="s">
        <v>11642</v>
      </c>
      <c r="AA365" s="1" t="s">
        <v>10822</v>
      </c>
      <c r="AB365" s="1" t="s">
        <v>11643</v>
      </c>
      <c r="AC365" s="1" t="s">
        <v>11644</v>
      </c>
      <c r="AD365" s="1" t="s">
        <v>11645</v>
      </c>
      <c r="AE365" s="1" t="s">
        <v>11646</v>
      </c>
      <c r="AF365" s="1" t="s">
        <v>11647</v>
      </c>
      <c r="AG365" s="1" t="s">
        <v>1507</v>
      </c>
      <c r="AH365" s="1">
        <v>95</v>
      </c>
      <c r="AI365" s="1">
        <v>21</v>
      </c>
      <c r="AJ365" s="1">
        <v>22</v>
      </c>
      <c r="AK365" s="1">
        <v>0</v>
      </c>
      <c r="AL365" s="1">
        <v>11</v>
      </c>
      <c r="AM365" s="1" t="s">
        <v>3156</v>
      </c>
      <c r="AN365" s="1" t="s">
        <v>3157</v>
      </c>
      <c r="AO365" s="1" t="s">
        <v>3158</v>
      </c>
      <c r="AP365" s="1" t="s">
        <v>11648</v>
      </c>
      <c r="AQ365" s="1" t="s">
        <v>11649</v>
      </c>
      <c r="AR365" s="1" t="s">
        <v>1507</v>
      </c>
      <c r="AS365" s="1" t="s">
        <v>11650</v>
      </c>
      <c r="AT365" s="1" t="s">
        <v>11651</v>
      </c>
      <c r="AU365" s="1" t="s">
        <v>4336</v>
      </c>
      <c r="AV365" s="1">
        <v>2018</v>
      </c>
      <c r="AW365" s="1">
        <v>330</v>
      </c>
      <c r="AX365" s="1" t="s">
        <v>1507</v>
      </c>
      <c r="AY365" s="1" t="s">
        <v>1507</v>
      </c>
      <c r="AZ365" s="1" t="s">
        <v>1507</v>
      </c>
      <c r="BA365" s="1" t="s">
        <v>3506</v>
      </c>
      <c r="BB365" s="1" t="s">
        <v>1507</v>
      </c>
      <c r="BC365" s="1">
        <v>136</v>
      </c>
      <c r="BD365" s="1">
        <v>141</v>
      </c>
      <c r="BE365" s="1" t="s">
        <v>1507</v>
      </c>
      <c r="BF365" s="1" t="s">
        <v>11652</v>
      </c>
      <c r="BG365" s="1" t="str">
        <f>HYPERLINK("http://dx.doi.org/10.1016/j.cellimm.2018.01.018","http://dx.doi.org/10.1016/j.cellimm.2018.01.018")</f>
        <v>http://dx.doi.org/10.1016/j.cellimm.2018.01.018</v>
      </c>
      <c r="BH365" s="1" t="s">
        <v>1507</v>
      </c>
      <c r="BI365" s="1" t="s">
        <v>1507</v>
      </c>
      <c r="BJ365" s="1">
        <v>6</v>
      </c>
      <c r="BK365" s="1" t="s">
        <v>11653</v>
      </c>
      <c r="BL365" s="1" t="s">
        <v>1573</v>
      </c>
      <c r="BM365" s="1" t="s">
        <v>11653</v>
      </c>
      <c r="BN365" s="1" t="s">
        <v>11654</v>
      </c>
      <c r="BO365" s="1">
        <v>29422271</v>
      </c>
      <c r="BP365" s="1" t="s">
        <v>1600</v>
      </c>
      <c r="BQ365" s="1" t="s">
        <v>1507</v>
      </c>
      <c r="BR365" s="1" t="s">
        <v>1507</v>
      </c>
      <c r="BS365" s="1" t="s">
        <v>13744</v>
      </c>
      <c r="BT365" s="1" t="s">
        <v>11655</v>
      </c>
      <c r="BU365" s="1" t="str">
        <f>HYPERLINK("https%3A%2F%2Fwww.webofscience.com%2Fwos%2Fwoscc%2Ffull-record%2FWOS:000441889600017","View Full Record in Web of Science")</f>
        <v>View Full Record in Web of Science</v>
      </c>
    </row>
    <row r="366" spans="1:73" x14ac:dyDescent="0.25">
      <c r="A366" s="1">
        <v>365</v>
      </c>
      <c r="B366" s="1" t="s">
        <v>1506</v>
      </c>
      <c r="C366" s="1" t="s">
        <v>9328</v>
      </c>
      <c r="D366" s="1" t="s">
        <v>1507</v>
      </c>
      <c r="E366" s="1" t="s">
        <v>1507</v>
      </c>
      <c r="F366" s="1" t="s">
        <v>1507</v>
      </c>
      <c r="G366" s="1" t="s">
        <v>9329</v>
      </c>
      <c r="H366" s="1" t="s">
        <v>1507</v>
      </c>
      <c r="I366" s="1" t="s">
        <v>1507</v>
      </c>
      <c r="J366" s="1" t="s">
        <v>9330</v>
      </c>
      <c r="K366" s="1" t="s">
        <v>3251</v>
      </c>
      <c r="L366" s="1" t="s">
        <v>1507</v>
      </c>
      <c r="M366" s="1" t="s">
        <v>1507</v>
      </c>
      <c r="N366" s="1" t="s">
        <v>42</v>
      </c>
      <c r="O366" s="1" t="s">
        <v>56</v>
      </c>
      <c r="P366" s="1" t="s">
        <v>1507</v>
      </c>
      <c r="Q366" s="1" t="s">
        <v>1507</v>
      </c>
      <c r="R366" s="1" t="s">
        <v>1507</v>
      </c>
      <c r="S366" s="1" t="s">
        <v>1507</v>
      </c>
      <c r="T366" s="1" t="s">
        <v>1507</v>
      </c>
      <c r="U366" s="1" t="s">
        <v>9331</v>
      </c>
      <c r="V366" s="1" t="s">
        <v>9332</v>
      </c>
      <c r="W366" s="1" t="s">
        <v>9333</v>
      </c>
      <c r="X366" s="1" t="s">
        <v>9334</v>
      </c>
      <c r="Y366" s="1" t="s">
        <v>15781</v>
      </c>
      <c r="Z366" s="1" t="s">
        <v>9335</v>
      </c>
      <c r="AA366" s="1" t="s">
        <v>9336</v>
      </c>
      <c r="AB366" s="1" t="s">
        <v>15782</v>
      </c>
      <c r="AC366" s="1" t="s">
        <v>15783</v>
      </c>
      <c r="AD366" s="1" t="s">
        <v>9337</v>
      </c>
      <c r="AE366" s="1" t="s">
        <v>9338</v>
      </c>
      <c r="AF366" s="1" t="s">
        <v>9339</v>
      </c>
      <c r="AG366" s="1" t="s">
        <v>1507</v>
      </c>
      <c r="AH366" s="1">
        <v>48</v>
      </c>
      <c r="AI366" s="1">
        <v>15</v>
      </c>
      <c r="AJ366" s="1">
        <v>16</v>
      </c>
      <c r="AK366" s="1">
        <v>2</v>
      </c>
      <c r="AL366" s="1">
        <v>14</v>
      </c>
      <c r="AM366" s="1" t="s">
        <v>3263</v>
      </c>
      <c r="AN366" s="1" t="s">
        <v>2300</v>
      </c>
      <c r="AO366" s="1" t="s">
        <v>3264</v>
      </c>
      <c r="AP366" s="1" t="s">
        <v>3265</v>
      </c>
      <c r="AQ366" s="1" t="s">
        <v>3266</v>
      </c>
      <c r="AR366" s="1" t="s">
        <v>1507</v>
      </c>
      <c r="AS366" s="1" t="s">
        <v>3267</v>
      </c>
      <c r="AT366" s="1" t="s">
        <v>3268</v>
      </c>
      <c r="AU366" s="1" t="s">
        <v>9340</v>
      </c>
      <c r="AV366" s="1">
        <v>2020</v>
      </c>
      <c r="AW366" s="1">
        <v>117</v>
      </c>
      <c r="AX366" s="1">
        <v>52</v>
      </c>
      <c r="AY366" s="1" t="s">
        <v>1507</v>
      </c>
      <c r="AZ366" s="1" t="s">
        <v>1507</v>
      </c>
      <c r="BA366" s="1" t="s">
        <v>1507</v>
      </c>
      <c r="BB366" s="1" t="s">
        <v>1507</v>
      </c>
      <c r="BC366" s="1">
        <v>33404</v>
      </c>
      <c r="BD366" s="1">
        <v>33413</v>
      </c>
      <c r="BE366" s="1" t="s">
        <v>1507</v>
      </c>
      <c r="BF366" s="1" t="s">
        <v>9341</v>
      </c>
      <c r="BG366" s="1" t="str">
        <f>HYPERLINK("http://dx.doi.org/10.1073/pnas.2010738117","http://dx.doi.org/10.1073/pnas.2010738117")</f>
        <v>http://dx.doi.org/10.1073/pnas.2010738117</v>
      </c>
      <c r="BH366" s="1" t="s">
        <v>1507</v>
      </c>
      <c r="BI366" s="1" t="s">
        <v>1507</v>
      </c>
      <c r="BJ366" s="1">
        <v>10</v>
      </c>
      <c r="BK366" s="1" t="s">
        <v>1776</v>
      </c>
      <c r="BL366" s="1" t="s">
        <v>1573</v>
      </c>
      <c r="BM366" s="1" t="s">
        <v>1777</v>
      </c>
      <c r="BN366" s="1" t="s">
        <v>9342</v>
      </c>
      <c r="BO366" s="1">
        <v>33376219</v>
      </c>
      <c r="BP366" s="1" t="s">
        <v>9343</v>
      </c>
      <c r="BQ366" s="1" t="s">
        <v>1507</v>
      </c>
      <c r="BR366" s="1" t="s">
        <v>1507</v>
      </c>
      <c r="BS366" s="1" t="s">
        <v>13744</v>
      </c>
      <c r="BT366" s="1" t="s">
        <v>9344</v>
      </c>
      <c r="BU366" s="1" t="str">
        <f>HYPERLINK("https%3A%2F%2Fwww.webofscience.com%2Fwos%2Fwoscc%2Ffull-record%2FWOS:000604551600075","View Full Record in Web of Science")</f>
        <v>View Full Record in Web of Science</v>
      </c>
    </row>
    <row r="367" spans="1:73" x14ac:dyDescent="0.25">
      <c r="A367" s="1">
        <v>366</v>
      </c>
      <c r="B367" s="1" t="s">
        <v>1506</v>
      </c>
      <c r="C367" s="1" t="s">
        <v>3732</v>
      </c>
      <c r="D367" s="1" t="s">
        <v>1507</v>
      </c>
      <c r="E367" s="1" t="s">
        <v>1507</v>
      </c>
      <c r="F367" s="1" t="s">
        <v>1507</v>
      </c>
      <c r="G367" s="1" t="s">
        <v>3733</v>
      </c>
      <c r="H367" s="1" t="s">
        <v>1507</v>
      </c>
      <c r="I367" s="1" t="s">
        <v>1507</v>
      </c>
      <c r="J367" s="1" t="s">
        <v>3734</v>
      </c>
      <c r="K367" s="1" t="s">
        <v>3735</v>
      </c>
      <c r="L367" s="1" t="s">
        <v>1507</v>
      </c>
      <c r="M367" s="1" t="s">
        <v>1507</v>
      </c>
      <c r="N367" s="1" t="s">
        <v>42</v>
      </c>
      <c r="O367" s="1" t="s">
        <v>1509</v>
      </c>
      <c r="P367" s="1" t="s">
        <v>1507</v>
      </c>
      <c r="Q367" s="1" t="s">
        <v>1507</v>
      </c>
      <c r="R367" s="1" t="s">
        <v>1507</v>
      </c>
      <c r="S367" s="1" t="s">
        <v>1507</v>
      </c>
      <c r="T367" s="1" t="s">
        <v>1507</v>
      </c>
      <c r="U367" s="1" t="s">
        <v>3736</v>
      </c>
      <c r="V367" s="1" t="s">
        <v>3737</v>
      </c>
      <c r="W367" s="1" t="s">
        <v>3738</v>
      </c>
      <c r="X367" s="1" t="s">
        <v>3739</v>
      </c>
      <c r="Y367" s="1" t="s">
        <v>3740</v>
      </c>
      <c r="Z367" s="1" t="s">
        <v>3741</v>
      </c>
      <c r="AA367" s="1" t="s">
        <v>3742</v>
      </c>
      <c r="AB367" s="1" t="s">
        <v>3743</v>
      </c>
      <c r="AC367" s="1" t="s">
        <v>14477</v>
      </c>
      <c r="AD367" s="1" t="s">
        <v>3744</v>
      </c>
      <c r="AE367" s="1" t="s">
        <v>3744</v>
      </c>
      <c r="AF367" s="1" t="s">
        <v>3745</v>
      </c>
      <c r="AG367" s="1" t="s">
        <v>1507</v>
      </c>
      <c r="AH367" s="1">
        <v>166</v>
      </c>
      <c r="AI367" s="1">
        <v>1</v>
      </c>
      <c r="AJ367" s="1">
        <v>1</v>
      </c>
      <c r="AK367" s="1">
        <v>31</v>
      </c>
      <c r="AL367" s="1">
        <v>34</v>
      </c>
      <c r="AM367" s="1" t="s">
        <v>1559</v>
      </c>
      <c r="AN367" s="1" t="s">
        <v>1560</v>
      </c>
      <c r="AO367" s="1" t="s">
        <v>1561</v>
      </c>
      <c r="AP367" s="1" t="s">
        <v>3746</v>
      </c>
      <c r="AQ367" s="1" t="s">
        <v>3747</v>
      </c>
      <c r="AR367" s="1" t="s">
        <v>1507</v>
      </c>
      <c r="AS367" s="1" t="s">
        <v>3748</v>
      </c>
      <c r="AT367" s="1" t="s">
        <v>3749</v>
      </c>
      <c r="AU367" s="1" t="s">
        <v>3750</v>
      </c>
      <c r="AV367" s="1">
        <v>2023</v>
      </c>
      <c r="AW367" s="1" t="s">
        <v>1507</v>
      </c>
      <c r="AX367" s="1" t="s">
        <v>1507</v>
      </c>
      <c r="AY367" s="1" t="s">
        <v>1507</v>
      </c>
      <c r="AZ367" s="1" t="s">
        <v>1507</v>
      </c>
      <c r="BA367" s="1" t="s">
        <v>1507</v>
      </c>
      <c r="BB367" s="1" t="s">
        <v>1507</v>
      </c>
      <c r="BC367" s="1" t="s">
        <v>1507</v>
      </c>
      <c r="BD367" s="1" t="s">
        <v>1507</v>
      </c>
      <c r="BE367" s="1" t="s">
        <v>1507</v>
      </c>
      <c r="BF367" s="1" t="s">
        <v>3751</v>
      </c>
      <c r="BG367" s="1" t="str">
        <f>HYPERLINK("http://dx.doi.org/10.1002/tea.21903","http://dx.doi.org/10.1002/tea.21903")</f>
        <v>http://dx.doi.org/10.1002/tea.21903</v>
      </c>
      <c r="BH367" s="1" t="s">
        <v>1507</v>
      </c>
      <c r="BI367" s="1" t="s">
        <v>3689</v>
      </c>
      <c r="BJ367" s="1">
        <v>36</v>
      </c>
      <c r="BK367" s="1" t="s">
        <v>1558</v>
      </c>
      <c r="BL367" s="1" t="s">
        <v>1518</v>
      </c>
      <c r="BM367" s="1" t="s">
        <v>1558</v>
      </c>
      <c r="BN367" s="1" t="s">
        <v>3752</v>
      </c>
      <c r="BO367" s="1" t="s">
        <v>1507</v>
      </c>
      <c r="BP367" s="1" t="s">
        <v>1537</v>
      </c>
      <c r="BQ367" s="1" t="s">
        <v>1507</v>
      </c>
      <c r="BR367" s="1" t="s">
        <v>1507</v>
      </c>
      <c r="BS367" s="1" t="s">
        <v>13744</v>
      </c>
      <c r="BT367" s="1" t="s">
        <v>3753</v>
      </c>
      <c r="BU367" s="1" t="str">
        <f>HYPERLINK("https%3A%2F%2Fwww.webofscience.com%2Fwos%2Fwoscc%2Ffull-record%2FWOS:001068055900001","View Full Record in Web of Science")</f>
        <v>View Full Record in Web of Science</v>
      </c>
    </row>
    <row r="368" spans="1:73" x14ac:dyDescent="0.25">
      <c r="A368" s="1">
        <v>367</v>
      </c>
      <c r="B368" s="1" t="s">
        <v>1506</v>
      </c>
      <c r="C368" s="1" t="s">
        <v>7258</v>
      </c>
      <c r="D368" s="1" t="s">
        <v>1507</v>
      </c>
      <c r="E368" s="1" t="s">
        <v>1507</v>
      </c>
      <c r="F368" s="1" t="s">
        <v>1507</v>
      </c>
      <c r="G368" s="1" t="s">
        <v>7259</v>
      </c>
      <c r="H368" s="1" t="s">
        <v>1507</v>
      </c>
      <c r="I368" s="1" t="s">
        <v>1507</v>
      </c>
      <c r="J368" s="1" t="s">
        <v>7260</v>
      </c>
      <c r="K368" s="1" t="s">
        <v>7261</v>
      </c>
      <c r="L368" s="1" t="s">
        <v>1507</v>
      </c>
      <c r="M368" s="1" t="s">
        <v>1507</v>
      </c>
      <c r="N368" s="1" t="s">
        <v>42</v>
      </c>
      <c r="O368" s="1" t="s">
        <v>56</v>
      </c>
      <c r="P368" s="1" t="s">
        <v>1507</v>
      </c>
      <c r="Q368" s="1" t="s">
        <v>1507</v>
      </c>
      <c r="R368" s="1" t="s">
        <v>1507</v>
      </c>
      <c r="S368" s="1" t="s">
        <v>1507</v>
      </c>
      <c r="T368" s="1" t="s">
        <v>1507</v>
      </c>
      <c r="U368" s="1" t="s">
        <v>1507</v>
      </c>
      <c r="V368" s="1" t="s">
        <v>7262</v>
      </c>
      <c r="W368" s="1" t="s">
        <v>7263</v>
      </c>
      <c r="X368" s="1" t="s">
        <v>7264</v>
      </c>
      <c r="Y368" s="1" t="s">
        <v>15617</v>
      </c>
      <c r="Z368" s="1" t="s">
        <v>7265</v>
      </c>
      <c r="AA368" s="1" t="s">
        <v>7266</v>
      </c>
      <c r="AB368" s="1" t="s">
        <v>1507</v>
      </c>
      <c r="AC368" s="1" t="s">
        <v>15618</v>
      </c>
      <c r="AD368" s="1" t="s">
        <v>7267</v>
      </c>
      <c r="AE368" s="1" t="s">
        <v>7268</v>
      </c>
      <c r="AF368" s="1" t="s">
        <v>7269</v>
      </c>
      <c r="AG368" s="1" t="s">
        <v>1507</v>
      </c>
      <c r="AH368" s="1">
        <v>417</v>
      </c>
      <c r="AI368" s="1">
        <v>8</v>
      </c>
      <c r="AJ368" s="1">
        <v>8</v>
      </c>
      <c r="AK368" s="1">
        <v>1</v>
      </c>
      <c r="AL368" s="1">
        <v>4</v>
      </c>
      <c r="AM368" s="1" t="s">
        <v>1586</v>
      </c>
      <c r="AN368" s="1" t="s">
        <v>1583</v>
      </c>
      <c r="AO368" s="1" t="s">
        <v>3684</v>
      </c>
      <c r="AP368" s="1" t="s">
        <v>7270</v>
      </c>
      <c r="AQ368" s="1" t="s">
        <v>7271</v>
      </c>
      <c r="AR368" s="1" t="s">
        <v>1507</v>
      </c>
      <c r="AS368" s="1" t="s">
        <v>7261</v>
      </c>
      <c r="AT368" s="1" t="s">
        <v>7272</v>
      </c>
      <c r="AU368" s="1" t="s">
        <v>4721</v>
      </c>
      <c r="AV368" s="1">
        <v>2022</v>
      </c>
      <c r="AW368" s="1">
        <v>104</v>
      </c>
      <c r="AX368" s="1" t="s">
        <v>1507</v>
      </c>
      <c r="AY368" s="1" t="s">
        <v>1507</v>
      </c>
      <c r="AZ368" s="1" t="s">
        <v>1507</v>
      </c>
      <c r="BA368" s="1" t="s">
        <v>1507</v>
      </c>
      <c r="BB368" s="1" t="s">
        <v>1507</v>
      </c>
      <c r="BC368" s="1" t="s">
        <v>1507</v>
      </c>
      <c r="BD368" s="1" t="s">
        <v>1507</v>
      </c>
      <c r="BE368" s="1">
        <v>102582</v>
      </c>
      <c r="BF368" s="1" t="s">
        <v>7273</v>
      </c>
      <c r="BG368" s="1" t="str">
        <f>HYPERLINK("http://dx.doi.org/10.1016/j.ceca.2022.102582","http://dx.doi.org/10.1016/j.ceca.2022.102582")</f>
        <v>http://dx.doi.org/10.1016/j.ceca.2022.102582</v>
      </c>
      <c r="BH368" s="1" t="s">
        <v>1507</v>
      </c>
      <c r="BI368" s="1" t="s">
        <v>7274</v>
      </c>
      <c r="BJ368" s="1">
        <v>21</v>
      </c>
      <c r="BK368" s="1" t="s">
        <v>7275</v>
      </c>
      <c r="BL368" s="1" t="s">
        <v>1573</v>
      </c>
      <c r="BM368" s="1" t="s">
        <v>7275</v>
      </c>
      <c r="BN368" s="1" t="s">
        <v>7276</v>
      </c>
      <c r="BO368" s="1">
        <v>35462080</v>
      </c>
      <c r="BP368" s="1" t="s">
        <v>2309</v>
      </c>
      <c r="BQ368" s="1" t="s">
        <v>1507</v>
      </c>
      <c r="BR368" s="1" t="s">
        <v>1507</v>
      </c>
      <c r="BS368" s="1" t="s">
        <v>13744</v>
      </c>
      <c r="BT368" s="1" t="s">
        <v>7277</v>
      </c>
      <c r="BU368" s="1" t="str">
        <f>HYPERLINK("https%3A%2F%2Fwww.webofscience.com%2Fwos%2Fwoscc%2Ffull-record%2FWOS:000793724600005","View Full Record in Web of Science")</f>
        <v>View Full Record in Web of Science</v>
      </c>
    </row>
    <row r="369" spans="1:73" x14ac:dyDescent="0.25">
      <c r="A369" s="1">
        <v>368</v>
      </c>
      <c r="B369" s="1" t="s">
        <v>1506</v>
      </c>
      <c r="C369" s="1" t="s">
        <v>10647</v>
      </c>
      <c r="D369" s="1" t="s">
        <v>1507</v>
      </c>
      <c r="E369" s="1" t="s">
        <v>1507</v>
      </c>
      <c r="F369" s="1" t="s">
        <v>1507</v>
      </c>
      <c r="G369" s="1" t="s">
        <v>10648</v>
      </c>
      <c r="H369" s="1" t="s">
        <v>1507</v>
      </c>
      <c r="I369" s="1" t="s">
        <v>1507</v>
      </c>
      <c r="J369" s="1" t="s">
        <v>10649</v>
      </c>
      <c r="K369" s="1" t="s">
        <v>10187</v>
      </c>
      <c r="L369" s="1" t="s">
        <v>1507</v>
      </c>
      <c r="M369" s="1" t="s">
        <v>1507</v>
      </c>
      <c r="N369" s="1" t="s">
        <v>42</v>
      </c>
      <c r="O369" s="1" t="s">
        <v>56</v>
      </c>
      <c r="P369" s="1" t="s">
        <v>1507</v>
      </c>
      <c r="Q369" s="1" t="s">
        <v>1507</v>
      </c>
      <c r="R369" s="1" t="s">
        <v>1507</v>
      </c>
      <c r="S369" s="1" t="s">
        <v>1507</v>
      </c>
      <c r="T369" s="1" t="s">
        <v>1507</v>
      </c>
      <c r="U369" s="1" t="s">
        <v>1507</v>
      </c>
      <c r="V369" s="1" t="s">
        <v>10650</v>
      </c>
      <c r="W369" s="1" t="s">
        <v>10651</v>
      </c>
      <c r="X369" s="1" t="s">
        <v>10652</v>
      </c>
      <c r="Y369" s="1" t="s">
        <v>10653</v>
      </c>
      <c r="Z369" s="1" t="s">
        <v>10654</v>
      </c>
      <c r="AA369" s="1" t="s">
        <v>10655</v>
      </c>
      <c r="AB369" s="1" t="s">
        <v>10656</v>
      </c>
      <c r="AC369" s="1" t="s">
        <v>15894</v>
      </c>
      <c r="AD369" s="1" t="s">
        <v>10657</v>
      </c>
      <c r="AE369" s="1" t="s">
        <v>10658</v>
      </c>
      <c r="AF369" s="1" t="s">
        <v>10659</v>
      </c>
      <c r="AG369" s="1" t="s">
        <v>1507</v>
      </c>
      <c r="AH369" s="1">
        <v>41</v>
      </c>
      <c r="AI369" s="1">
        <v>3</v>
      </c>
      <c r="AJ369" s="1">
        <v>3</v>
      </c>
      <c r="AK369" s="1">
        <v>0</v>
      </c>
      <c r="AL369" s="1">
        <v>19</v>
      </c>
      <c r="AM369" s="1" t="s">
        <v>2372</v>
      </c>
      <c r="AN369" s="1" t="s">
        <v>2300</v>
      </c>
      <c r="AO369" s="1" t="s">
        <v>2373</v>
      </c>
      <c r="AP369" s="1" t="s">
        <v>10197</v>
      </c>
      <c r="AQ369" s="1" t="s">
        <v>10198</v>
      </c>
      <c r="AR369" s="1" t="s">
        <v>1507</v>
      </c>
      <c r="AS369" s="1" t="s">
        <v>10199</v>
      </c>
      <c r="AT369" s="1" t="s">
        <v>10200</v>
      </c>
      <c r="AU369" s="1" t="s">
        <v>10660</v>
      </c>
      <c r="AV369" s="1">
        <v>2019</v>
      </c>
      <c r="AW369" s="1">
        <v>123</v>
      </c>
      <c r="AX369" s="1">
        <v>35</v>
      </c>
      <c r="AY369" s="1" t="s">
        <v>1507</v>
      </c>
      <c r="AZ369" s="1" t="s">
        <v>1507</v>
      </c>
      <c r="BA369" s="1" t="s">
        <v>1507</v>
      </c>
      <c r="BB369" s="1" t="s">
        <v>1507</v>
      </c>
      <c r="BC369" s="1">
        <v>21788</v>
      </c>
      <c r="BD369" s="1">
        <v>21795</v>
      </c>
      <c r="BE369" s="1" t="s">
        <v>1507</v>
      </c>
      <c r="BF369" s="1" t="s">
        <v>10661</v>
      </c>
      <c r="BG369" s="1" t="str">
        <f>HYPERLINK("http://dx.doi.org/10.1021/acs.jpcc.9b06180","http://dx.doi.org/10.1021/acs.jpcc.9b06180")</f>
        <v>http://dx.doi.org/10.1021/acs.jpcc.9b06180</v>
      </c>
      <c r="BH369" s="1" t="s">
        <v>1507</v>
      </c>
      <c r="BI369" s="1" t="s">
        <v>1507</v>
      </c>
      <c r="BJ369" s="1">
        <v>8</v>
      </c>
      <c r="BK369" s="1" t="s">
        <v>10203</v>
      </c>
      <c r="BL369" s="1" t="s">
        <v>1573</v>
      </c>
      <c r="BM369" s="1" t="s">
        <v>8919</v>
      </c>
      <c r="BN369" s="1" t="s">
        <v>10662</v>
      </c>
      <c r="BO369" s="1" t="s">
        <v>1507</v>
      </c>
      <c r="BP369" s="1" t="s">
        <v>1600</v>
      </c>
      <c r="BQ369" s="1" t="s">
        <v>1507</v>
      </c>
      <c r="BR369" s="1" t="s">
        <v>1507</v>
      </c>
      <c r="BS369" s="1" t="s">
        <v>13744</v>
      </c>
      <c r="BT369" s="1" t="s">
        <v>10663</v>
      </c>
      <c r="BU369" s="1" t="str">
        <f>HYPERLINK("https%3A%2F%2Fwww.webofscience.com%2Fwos%2Fwoscc%2Ffull-record%2FWOS:000484882500054","View Full Record in Web of Science")</f>
        <v>View Full Record in Web of Science</v>
      </c>
    </row>
    <row r="370" spans="1:73" x14ac:dyDescent="0.25">
      <c r="A370" s="1">
        <v>369</v>
      </c>
      <c r="B370" s="1" t="s">
        <v>1506</v>
      </c>
      <c r="C370" s="1" t="s">
        <v>8251</v>
      </c>
      <c r="D370" s="1" t="s">
        <v>1507</v>
      </c>
      <c r="E370" s="1" t="s">
        <v>1507</v>
      </c>
      <c r="F370" s="1" t="s">
        <v>1507</v>
      </c>
      <c r="G370" s="1" t="s">
        <v>8252</v>
      </c>
      <c r="H370" s="1" t="s">
        <v>1507</v>
      </c>
      <c r="I370" s="1" t="s">
        <v>1507</v>
      </c>
      <c r="J370" s="1" t="s">
        <v>8253</v>
      </c>
      <c r="K370" s="1" t="s">
        <v>8254</v>
      </c>
      <c r="L370" s="1" t="s">
        <v>1507</v>
      </c>
      <c r="M370" s="1" t="s">
        <v>1507</v>
      </c>
      <c r="N370" s="1" t="s">
        <v>42</v>
      </c>
      <c r="O370" s="1" t="s">
        <v>56</v>
      </c>
      <c r="P370" s="1" t="s">
        <v>1507</v>
      </c>
      <c r="Q370" s="1" t="s">
        <v>1507</v>
      </c>
      <c r="R370" s="1" t="s">
        <v>1507</v>
      </c>
      <c r="S370" s="1" t="s">
        <v>1507</v>
      </c>
      <c r="T370" s="1" t="s">
        <v>1507</v>
      </c>
      <c r="U370" s="1" t="s">
        <v>8255</v>
      </c>
      <c r="V370" s="1" t="s">
        <v>8256</v>
      </c>
      <c r="W370" s="1" t="s">
        <v>8257</v>
      </c>
      <c r="X370" s="1" t="s">
        <v>8258</v>
      </c>
      <c r="Y370" s="1" t="s">
        <v>8259</v>
      </c>
      <c r="Z370" s="1" t="s">
        <v>8260</v>
      </c>
      <c r="AA370" s="1" t="s">
        <v>8261</v>
      </c>
      <c r="AB370" s="1" t="s">
        <v>1507</v>
      </c>
      <c r="AC370" s="1" t="s">
        <v>8262</v>
      </c>
      <c r="AD370" s="1" t="s">
        <v>8263</v>
      </c>
      <c r="AE370" s="1" t="s">
        <v>8264</v>
      </c>
      <c r="AF370" s="1" t="s">
        <v>8265</v>
      </c>
      <c r="AG370" s="1" t="s">
        <v>1507</v>
      </c>
      <c r="AH370" s="1">
        <v>40</v>
      </c>
      <c r="AI370" s="1">
        <v>0</v>
      </c>
      <c r="AJ370" s="1">
        <v>0</v>
      </c>
      <c r="AK370" s="1">
        <v>0</v>
      </c>
      <c r="AL370" s="1">
        <v>5</v>
      </c>
      <c r="AM370" s="1" t="s">
        <v>1900</v>
      </c>
      <c r="AN370" s="1" t="s">
        <v>1583</v>
      </c>
      <c r="AO370" s="1" t="s">
        <v>1901</v>
      </c>
      <c r="AP370" s="1" t="s">
        <v>8266</v>
      </c>
      <c r="AQ370" s="1" t="s">
        <v>8267</v>
      </c>
      <c r="AR370" s="1" t="s">
        <v>1507</v>
      </c>
      <c r="AS370" s="1" t="s">
        <v>8268</v>
      </c>
      <c r="AT370" s="1" t="s">
        <v>8269</v>
      </c>
      <c r="AU370" s="1" t="s">
        <v>12091</v>
      </c>
      <c r="AV370" s="1">
        <v>2021</v>
      </c>
      <c r="AW370" s="1">
        <v>50</v>
      </c>
      <c r="AX370" s="1" t="s">
        <v>1507</v>
      </c>
      <c r="AY370" s="1" t="s">
        <v>1507</v>
      </c>
      <c r="AZ370" s="1" t="s">
        <v>1507</v>
      </c>
      <c r="BA370" s="1" t="s">
        <v>1507</v>
      </c>
      <c r="BB370" s="1" t="s">
        <v>1507</v>
      </c>
      <c r="BC370" s="1" t="s">
        <v>1507</v>
      </c>
      <c r="BD370" s="1" t="s">
        <v>1507</v>
      </c>
      <c r="BE370" s="1">
        <v>128313</v>
      </c>
      <c r="BF370" s="1" t="s">
        <v>8270</v>
      </c>
      <c r="BG370" s="1" t="str">
        <f>HYPERLINK("http://dx.doi.org/10.1016/j.bmcl.2021.128313","http://dx.doi.org/10.1016/j.bmcl.2021.128313")</f>
        <v>http://dx.doi.org/10.1016/j.bmcl.2021.128313</v>
      </c>
      <c r="BH370" s="1" t="s">
        <v>1507</v>
      </c>
      <c r="BI370" s="1" t="s">
        <v>8271</v>
      </c>
      <c r="BJ370" s="1">
        <v>8</v>
      </c>
      <c r="BK370" s="1" t="s">
        <v>8272</v>
      </c>
      <c r="BL370" s="1" t="s">
        <v>8273</v>
      </c>
      <c r="BM370" s="1" t="s">
        <v>8274</v>
      </c>
      <c r="BN370" s="1" t="s">
        <v>8275</v>
      </c>
      <c r="BO370" s="1">
        <v>34390827</v>
      </c>
      <c r="BP370" s="1" t="s">
        <v>8276</v>
      </c>
      <c r="BQ370" s="1" t="s">
        <v>1507</v>
      </c>
      <c r="BR370" s="1" t="s">
        <v>1507</v>
      </c>
      <c r="BS370" s="1" t="s">
        <v>13744</v>
      </c>
      <c r="BT370" s="1" t="s">
        <v>8277</v>
      </c>
      <c r="BU370" s="1" t="str">
        <f>HYPERLINK("https%3A%2F%2Fwww.webofscience.com%2Fwos%2Fwoscc%2Ffull-record%2FWOS:000701795800013","View Full Record in Web of Science")</f>
        <v>View Full Record in Web of Science</v>
      </c>
    </row>
    <row r="371" spans="1:73" x14ac:dyDescent="0.25">
      <c r="A371" s="1">
        <v>370</v>
      </c>
      <c r="B371" s="1" t="s">
        <v>1506</v>
      </c>
      <c r="C371" s="1" t="s">
        <v>4853</v>
      </c>
      <c r="D371" s="1" t="s">
        <v>1507</v>
      </c>
      <c r="E371" s="1" t="s">
        <v>1507</v>
      </c>
      <c r="F371" s="1" t="s">
        <v>1507</v>
      </c>
      <c r="G371" s="1" t="s">
        <v>4854</v>
      </c>
      <c r="H371" s="1" t="s">
        <v>1507</v>
      </c>
      <c r="I371" s="1" t="s">
        <v>1507</v>
      </c>
      <c r="J371" s="1" t="s">
        <v>4855</v>
      </c>
      <c r="K371" s="1" t="s">
        <v>4856</v>
      </c>
      <c r="L371" s="1" t="s">
        <v>1507</v>
      </c>
      <c r="M371" s="1" t="s">
        <v>1507</v>
      </c>
      <c r="N371" s="1" t="s">
        <v>42</v>
      </c>
      <c r="O371" s="1" t="s">
        <v>1509</v>
      </c>
      <c r="P371" s="1" t="s">
        <v>1507</v>
      </c>
      <c r="Q371" s="1" t="s">
        <v>1507</v>
      </c>
      <c r="R371" s="1" t="s">
        <v>1507</v>
      </c>
      <c r="S371" s="1" t="s">
        <v>1507</v>
      </c>
      <c r="T371" s="1" t="s">
        <v>1507</v>
      </c>
      <c r="U371" s="1" t="s">
        <v>4857</v>
      </c>
      <c r="V371" s="1" t="s">
        <v>4858</v>
      </c>
      <c r="W371" s="1" t="s">
        <v>4859</v>
      </c>
      <c r="X371" s="1" t="s">
        <v>4860</v>
      </c>
      <c r="Y371" s="1" t="s">
        <v>4861</v>
      </c>
      <c r="Z371" s="1" t="s">
        <v>4862</v>
      </c>
      <c r="AA371" s="1" t="s">
        <v>4863</v>
      </c>
      <c r="AB371" s="1" t="s">
        <v>1507</v>
      </c>
      <c r="AC371" s="1" t="s">
        <v>4864</v>
      </c>
      <c r="AD371" s="1" t="s">
        <v>4865</v>
      </c>
      <c r="AE371" s="1" t="s">
        <v>4861</v>
      </c>
      <c r="AF371" s="1" t="s">
        <v>4866</v>
      </c>
      <c r="AG371" s="1" t="s">
        <v>1507</v>
      </c>
      <c r="AH371" s="1">
        <v>60</v>
      </c>
      <c r="AI371" s="1">
        <v>0</v>
      </c>
      <c r="AJ371" s="1">
        <v>0</v>
      </c>
      <c r="AK371" s="1">
        <v>0</v>
      </c>
      <c r="AL371" s="1">
        <v>0</v>
      </c>
      <c r="AM371" s="1" t="s">
        <v>4867</v>
      </c>
      <c r="AN371" s="1" t="s">
        <v>2300</v>
      </c>
      <c r="AO371" s="1" t="s">
        <v>4868</v>
      </c>
      <c r="AP371" s="1" t="s">
        <v>4869</v>
      </c>
      <c r="AQ371" s="1" t="s">
        <v>4870</v>
      </c>
      <c r="AR371" s="1" t="s">
        <v>1507</v>
      </c>
      <c r="AS371" s="1" t="s">
        <v>4871</v>
      </c>
      <c r="AT371" s="1" t="s">
        <v>4872</v>
      </c>
      <c r="AU371" s="1" t="s">
        <v>4873</v>
      </c>
      <c r="AV371" s="1">
        <v>2023</v>
      </c>
      <c r="AW371" s="1" t="s">
        <v>1507</v>
      </c>
      <c r="AX371" s="1" t="s">
        <v>1507</v>
      </c>
      <c r="AY371" s="1" t="s">
        <v>1507</v>
      </c>
      <c r="AZ371" s="1" t="s">
        <v>1507</v>
      </c>
      <c r="BA371" s="1" t="s">
        <v>1507</v>
      </c>
      <c r="BB371" s="1" t="s">
        <v>1507</v>
      </c>
      <c r="BC371" s="1" t="s">
        <v>1507</v>
      </c>
      <c r="BD371" s="1" t="s">
        <v>1507</v>
      </c>
      <c r="BE371" s="1" t="s">
        <v>1507</v>
      </c>
      <c r="BF371" s="1" t="s">
        <v>4874</v>
      </c>
      <c r="BG371" s="1" t="str">
        <f>HYPERLINK("http://dx.doi.org/10.1037/ebs0000328","http://dx.doi.org/10.1037/ebs0000328")</f>
        <v>http://dx.doi.org/10.1037/ebs0000328</v>
      </c>
      <c r="BH371" s="1" t="s">
        <v>1507</v>
      </c>
      <c r="BI371" s="1" t="s">
        <v>4832</v>
      </c>
      <c r="BJ371" s="1">
        <v>18</v>
      </c>
      <c r="BK371" s="1" t="s">
        <v>4875</v>
      </c>
      <c r="BL371" s="1" t="s">
        <v>1529</v>
      </c>
      <c r="BM371" s="1" t="s">
        <v>4875</v>
      </c>
      <c r="BN371" s="1" t="s">
        <v>4876</v>
      </c>
      <c r="BO371" s="1" t="s">
        <v>1507</v>
      </c>
      <c r="BP371" s="1" t="s">
        <v>1507</v>
      </c>
      <c r="BQ371" s="1" t="s">
        <v>1507</v>
      </c>
      <c r="BR371" s="1" t="s">
        <v>1507</v>
      </c>
      <c r="BS371" s="1" t="s">
        <v>13744</v>
      </c>
      <c r="BT371" s="1" t="s">
        <v>4877</v>
      </c>
      <c r="BU371" s="1" t="str">
        <f>HYPERLINK("https%3A%2F%2Fwww.webofscience.com%2Fwos%2Fwoscc%2Ffull-record%2FWOS:000995740900001","View Full Record in Web of Science")</f>
        <v>View Full Record in Web of Science</v>
      </c>
    </row>
    <row r="372" spans="1:73" x14ac:dyDescent="0.25">
      <c r="A372" s="1">
        <v>371</v>
      </c>
      <c r="B372" s="1" t="s">
        <v>1506</v>
      </c>
      <c r="C372" s="1" t="s">
        <v>9795</v>
      </c>
      <c r="D372" s="1" t="s">
        <v>1507</v>
      </c>
      <c r="E372" s="1" t="s">
        <v>1507</v>
      </c>
      <c r="F372" s="1" t="s">
        <v>1507</v>
      </c>
      <c r="G372" s="1" t="s">
        <v>9796</v>
      </c>
      <c r="H372" s="1" t="s">
        <v>1507</v>
      </c>
      <c r="I372" s="1" t="s">
        <v>1507</v>
      </c>
      <c r="J372" s="1" t="s">
        <v>9797</v>
      </c>
      <c r="K372" s="1" t="s">
        <v>9798</v>
      </c>
      <c r="L372" s="1" t="s">
        <v>1507</v>
      </c>
      <c r="M372" s="1" t="s">
        <v>1507</v>
      </c>
      <c r="N372" s="1" t="s">
        <v>42</v>
      </c>
      <c r="O372" s="1" t="s">
        <v>56</v>
      </c>
      <c r="P372" s="1" t="s">
        <v>1507</v>
      </c>
      <c r="Q372" s="1" t="s">
        <v>1507</v>
      </c>
      <c r="R372" s="1" t="s">
        <v>1507</v>
      </c>
      <c r="S372" s="1" t="s">
        <v>1507</v>
      </c>
      <c r="T372" s="1" t="s">
        <v>1507</v>
      </c>
      <c r="U372" s="1" t="s">
        <v>9799</v>
      </c>
      <c r="V372" s="1" t="s">
        <v>1507</v>
      </c>
      <c r="W372" s="1" t="s">
        <v>9800</v>
      </c>
      <c r="X372" s="1" t="s">
        <v>9801</v>
      </c>
      <c r="Y372" s="1" t="s">
        <v>9802</v>
      </c>
      <c r="Z372" s="1" t="s">
        <v>9803</v>
      </c>
      <c r="AA372" s="1" t="s">
        <v>9804</v>
      </c>
      <c r="AB372" s="1" t="s">
        <v>15810</v>
      </c>
      <c r="AC372" s="1" t="s">
        <v>15811</v>
      </c>
      <c r="AD372" s="1" t="s">
        <v>9805</v>
      </c>
      <c r="AE372" s="1" t="s">
        <v>9805</v>
      </c>
      <c r="AF372" s="1" t="s">
        <v>9806</v>
      </c>
      <c r="AG372" s="1" t="s">
        <v>1507</v>
      </c>
      <c r="AH372" s="1">
        <v>45</v>
      </c>
      <c r="AI372" s="1">
        <v>43</v>
      </c>
      <c r="AJ372" s="1">
        <v>45</v>
      </c>
      <c r="AK372" s="1">
        <v>0</v>
      </c>
      <c r="AL372" s="1">
        <v>2</v>
      </c>
      <c r="AM372" s="1" t="s">
        <v>4330</v>
      </c>
      <c r="AN372" s="1" t="s">
        <v>1746</v>
      </c>
      <c r="AO372" s="1" t="s">
        <v>4331</v>
      </c>
      <c r="AP372" s="1" t="s">
        <v>9807</v>
      </c>
      <c r="AQ372" s="1" t="s">
        <v>9808</v>
      </c>
      <c r="AR372" s="1" t="s">
        <v>1507</v>
      </c>
      <c r="AS372" s="1" t="s">
        <v>9809</v>
      </c>
      <c r="AT372" s="1" t="s">
        <v>9810</v>
      </c>
      <c r="AU372" s="1" t="s">
        <v>4721</v>
      </c>
      <c r="AV372" s="1">
        <v>2020</v>
      </c>
      <c r="AW372" s="1">
        <v>271</v>
      </c>
      <c r="AX372" s="1">
        <v>6</v>
      </c>
      <c r="AY372" s="1" t="s">
        <v>1507</v>
      </c>
      <c r="AZ372" s="1" t="s">
        <v>1507</v>
      </c>
      <c r="BA372" s="1" t="s">
        <v>1507</v>
      </c>
      <c r="BB372" s="1" t="s">
        <v>1507</v>
      </c>
      <c r="BC372" s="1">
        <v>1137</v>
      </c>
      <c r="BD372" s="1">
        <v>1147</v>
      </c>
      <c r="BE372" s="1" t="s">
        <v>1507</v>
      </c>
      <c r="BF372" s="1" t="s">
        <v>9811</v>
      </c>
      <c r="BG372" s="1" t="str">
        <f>HYPERLINK("http://dx.doi.org/10.1097/SLA.0000000000003084","http://dx.doi.org/10.1097/SLA.0000000000003084")</f>
        <v>http://dx.doi.org/10.1097/SLA.0000000000003084</v>
      </c>
      <c r="BH372" s="1" t="s">
        <v>1507</v>
      </c>
      <c r="BI372" s="1" t="s">
        <v>1507</v>
      </c>
      <c r="BJ372" s="1">
        <v>11</v>
      </c>
      <c r="BK372" s="1" t="s">
        <v>9812</v>
      </c>
      <c r="BL372" s="1" t="s">
        <v>1573</v>
      </c>
      <c r="BM372" s="1" t="s">
        <v>9812</v>
      </c>
      <c r="BN372" s="1" t="s">
        <v>9813</v>
      </c>
      <c r="BO372" s="1">
        <v>30394883</v>
      </c>
      <c r="BP372" s="1" t="s">
        <v>1537</v>
      </c>
      <c r="BQ372" s="1" t="s">
        <v>1507</v>
      </c>
      <c r="BR372" s="1" t="s">
        <v>1507</v>
      </c>
      <c r="BS372" s="1" t="s">
        <v>13744</v>
      </c>
      <c r="BT372" s="1" t="s">
        <v>9814</v>
      </c>
      <c r="BU372" s="1" t="str">
        <f>HYPERLINK("https%3A%2F%2Fwww.webofscience.com%2Fwos%2Fwoscc%2Ffull-record%2FWOS:000598231400027","View Full Record in Web of Science")</f>
        <v>View Full Record in Web of Science</v>
      </c>
    </row>
    <row r="373" spans="1:73" x14ac:dyDescent="0.25">
      <c r="A373" s="1">
        <v>372</v>
      </c>
      <c r="B373" s="1" t="s">
        <v>1506</v>
      </c>
      <c r="C373" s="1" t="s">
        <v>12039</v>
      </c>
      <c r="D373" s="1" t="s">
        <v>1507</v>
      </c>
      <c r="E373" s="1" t="s">
        <v>1507</v>
      </c>
      <c r="F373" s="1" t="s">
        <v>1507</v>
      </c>
      <c r="G373" s="1" t="s">
        <v>12040</v>
      </c>
      <c r="H373" s="1" t="s">
        <v>1507</v>
      </c>
      <c r="I373" s="1" t="s">
        <v>1507</v>
      </c>
      <c r="J373" s="1" t="s">
        <v>12041</v>
      </c>
      <c r="K373" s="1" t="s">
        <v>11888</v>
      </c>
      <c r="L373" s="1" t="s">
        <v>1507</v>
      </c>
      <c r="M373" s="1" t="s">
        <v>1507</v>
      </c>
      <c r="N373" s="1" t="s">
        <v>42</v>
      </c>
      <c r="O373" s="1" t="s">
        <v>56</v>
      </c>
      <c r="P373" s="1" t="s">
        <v>1507</v>
      </c>
      <c r="Q373" s="1" t="s">
        <v>1507</v>
      </c>
      <c r="R373" s="1" t="s">
        <v>1507</v>
      </c>
      <c r="S373" s="1" t="s">
        <v>1507</v>
      </c>
      <c r="T373" s="1" t="s">
        <v>1507</v>
      </c>
      <c r="U373" s="1" t="s">
        <v>1507</v>
      </c>
      <c r="V373" s="1" t="s">
        <v>12042</v>
      </c>
      <c r="W373" s="1" t="s">
        <v>12043</v>
      </c>
      <c r="X373" s="1" t="s">
        <v>12044</v>
      </c>
      <c r="Y373" s="1" t="s">
        <v>12045</v>
      </c>
      <c r="Z373" s="1" t="s">
        <v>12046</v>
      </c>
      <c r="AA373" s="1" t="s">
        <v>1507</v>
      </c>
      <c r="AB373" s="1" t="s">
        <v>1507</v>
      </c>
      <c r="AC373" s="1" t="s">
        <v>1507</v>
      </c>
      <c r="AD373" s="1" t="s">
        <v>1507</v>
      </c>
      <c r="AE373" s="1" t="s">
        <v>1507</v>
      </c>
      <c r="AF373" s="1" t="s">
        <v>1507</v>
      </c>
      <c r="AG373" s="1" t="s">
        <v>1507</v>
      </c>
      <c r="AH373" s="1">
        <v>84</v>
      </c>
      <c r="AI373" s="1">
        <v>7</v>
      </c>
      <c r="AJ373" s="1">
        <v>7</v>
      </c>
      <c r="AK373" s="1">
        <v>1</v>
      </c>
      <c r="AL373" s="1">
        <v>18</v>
      </c>
      <c r="AM373" s="1" t="s">
        <v>11895</v>
      </c>
      <c r="AN373" s="1" t="s">
        <v>1746</v>
      </c>
      <c r="AO373" s="1" t="s">
        <v>11896</v>
      </c>
      <c r="AP373" s="1" t="s">
        <v>11897</v>
      </c>
      <c r="AQ373" s="1" t="s">
        <v>1507</v>
      </c>
      <c r="AR373" s="1" t="s">
        <v>1507</v>
      </c>
      <c r="AS373" s="1" t="s">
        <v>11898</v>
      </c>
      <c r="AT373" s="1" t="s">
        <v>11899</v>
      </c>
      <c r="AU373" s="1" t="s">
        <v>1507</v>
      </c>
      <c r="AV373" s="1">
        <v>2018</v>
      </c>
      <c r="AW373" s="1">
        <v>39</v>
      </c>
      <c r="AX373" s="1">
        <v>4</v>
      </c>
      <c r="AY373" s="1" t="s">
        <v>1507</v>
      </c>
      <c r="AZ373" s="1" t="s">
        <v>1507</v>
      </c>
      <c r="BA373" s="1" t="s">
        <v>1507</v>
      </c>
      <c r="BB373" s="1" t="s">
        <v>1507</v>
      </c>
      <c r="BC373" s="1">
        <v>921</v>
      </c>
      <c r="BD373" s="1">
        <v>953</v>
      </c>
      <c r="BE373" s="1" t="s">
        <v>1507</v>
      </c>
      <c r="BF373" s="1" t="s">
        <v>1507</v>
      </c>
      <c r="BG373" s="1" t="s">
        <v>1507</v>
      </c>
      <c r="BH373" s="1" t="s">
        <v>1507</v>
      </c>
      <c r="BI373" s="1" t="s">
        <v>1507</v>
      </c>
      <c r="BJ373" s="1">
        <v>33</v>
      </c>
      <c r="BK373" s="1" t="s">
        <v>1535</v>
      </c>
      <c r="BL373" s="1" t="s">
        <v>1518</v>
      </c>
      <c r="BM373" s="1" t="s">
        <v>1536</v>
      </c>
      <c r="BN373" s="1" t="s">
        <v>12047</v>
      </c>
      <c r="BO373" s="1" t="s">
        <v>1507</v>
      </c>
      <c r="BP373" s="1" t="s">
        <v>1507</v>
      </c>
      <c r="BQ373" s="1" t="s">
        <v>1507</v>
      </c>
      <c r="BR373" s="1" t="s">
        <v>1507</v>
      </c>
      <c r="BS373" s="1" t="s">
        <v>13744</v>
      </c>
      <c r="BT373" s="1" t="s">
        <v>12048</v>
      </c>
      <c r="BU373" s="1" t="str">
        <f>HYPERLINK("https%3A%2F%2Fwww.webofscience.com%2Fwos%2Fwoscc%2Ffull-record%2FWOS:000444988900001","View Full Record in Web of Science")</f>
        <v>View Full Record in Web of Science</v>
      </c>
    </row>
    <row r="374" spans="1:73" x14ac:dyDescent="0.25">
      <c r="A374" s="1">
        <v>373</v>
      </c>
      <c r="B374" s="1" t="s">
        <v>1506</v>
      </c>
      <c r="C374" s="1" t="s">
        <v>11716</v>
      </c>
      <c r="D374" s="1" t="s">
        <v>1507</v>
      </c>
      <c r="E374" s="1" t="s">
        <v>1507</v>
      </c>
      <c r="F374" s="1" t="s">
        <v>1507</v>
      </c>
      <c r="G374" s="1" t="s">
        <v>11717</v>
      </c>
      <c r="H374" s="1" t="s">
        <v>1507</v>
      </c>
      <c r="I374" s="1" t="s">
        <v>1507</v>
      </c>
      <c r="J374" s="1" t="s">
        <v>11718</v>
      </c>
      <c r="K374" s="1" t="s">
        <v>11719</v>
      </c>
      <c r="L374" s="1" t="s">
        <v>1507</v>
      </c>
      <c r="M374" s="1" t="s">
        <v>1507</v>
      </c>
      <c r="N374" s="1" t="s">
        <v>42</v>
      </c>
      <c r="O374" s="1" t="s">
        <v>56</v>
      </c>
      <c r="P374" s="1" t="s">
        <v>1507</v>
      </c>
      <c r="Q374" s="1" t="s">
        <v>1507</v>
      </c>
      <c r="R374" s="1" t="s">
        <v>1507</v>
      </c>
      <c r="S374" s="1" t="s">
        <v>1507</v>
      </c>
      <c r="T374" s="1" t="s">
        <v>1507</v>
      </c>
      <c r="U374" s="1" t="s">
        <v>11720</v>
      </c>
      <c r="V374" s="1" t="s">
        <v>11721</v>
      </c>
      <c r="W374" s="1" t="s">
        <v>11722</v>
      </c>
      <c r="X374" s="1" t="s">
        <v>11723</v>
      </c>
      <c r="Y374" s="1" t="s">
        <v>11724</v>
      </c>
      <c r="Z374" s="1" t="s">
        <v>11725</v>
      </c>
      <c r="AA374" s="1" t="s">
        <v>11726</v>
      </c>
      <c r="AB374" s="1" t="s">
        <v>16005</v>
      </c>
      <c r="AC374" s="1" t="s">
        <v>11727</v>
      </c>
      <c r="AD374" s="1" t="s">
        <v>11728</v>
      </c>
      <c r="AE374" s="1" t="s">
        <v>11729</v>
      </c>
      <c r="AF374" s="1" t="s">
        <v>11730</v>
      </c>
      <c r="AG374" s="1" t="s">
        <v>1507</v>
      </c>
      <c r="AH374" s="1">
        <v>49</v>
      </c>
      <c r="AI374" s="1">
        <v>13</v>
      </c>
      <c r="AJ374" s="1">
        <v>14</v>
      </c>
      <c r="AK374" s="1">
        <v>0</v>
      </c>
      <c r="AL374" s="1">
        <v>12</v>
      </c>
      <c r="AM374" s="1" t="s">
        <v>1564</v>
      </c>
      <c r="AN374" s="1" t="s">
        <v>1565</v>
      </c>
      <c r="AO374" s="1" t="s">
        <v>1566</v>
      </c>
      <c r="AP374" s="1" t="s">
        <v>11731</v>
      </c>
      <c r="AQ374" s="1" t="s">
        <v>1507</v>
      </c>
      <c r="AR374" s="1" t="s">
        <v>1507</v>
      </c>
      <c r="AS374" s="1" t="s">
        <v>11732</v>
      </c>
      <c r="AT374" s="1" t="s">
        <v>11733</v>
      </c>
      <c r="AU374" s="1" t="s">
        <v>11734</v>
      </c>
      <c r="AV374" s="1">
        <v>2018</v>
      </c>
      <c r="AW374" s="1">
        <v>5</v>
      </c>
      <c r="AX374" s="1" t="s">
        <v>1507</v>
      </c>
      <c r="AY374" s="1" t="s">
        <v>1507</v>
      </c>
      <c r="AZ374" s="1" t="s">
        <v>1507</v>
      </c>
      <c r="BA374" s="1" t="s">
        <v>1507</v>
      </c>
      <c r="BB374" s="1" t="s">
        <v>1507</v>
      </c>
      <c r="BC374" s="1" t="s">
        <v>1507</v>
      </c>
      <c r="BD374" s="1" t="s">
        <v>1507</v>
      </c>
      <c r="BE374" s="1">
        <v>66</v>
      </c>
      <c r="BF374" s="1" t="s">
        <v>11735</v>
      </c>
      <c r="BG374" s="1" t="str">
        <f>HYPERLINK("http://dx.doi.org/10.3389/fvets.2018.00066","http://dx.doi.org/10.3389/fvets.2018.00066")</f>
        <v>http://dx.doi.org/10.3389/fvets.2018.00066</v>
      </c>
      <c r="BH374" s="1" t="s">
        <v>1507</v>
      </c>
      <c r="BI374" s="1" t="s">
        <v>1507</v>
      </c>
      <c r="BJ374" s="1">
        <v>13</v>
      </c>
      <c r="BK374" s="1" t="s">
        <v>2139</v>
      </c>
      <c r="BL374" s="1" t="s">
        <v>1598</v>
      </c>
      <c r="BM374" s="1" t="s">
        <v>2139</v>
      </c>
      <c r="BN374" s="1" t="s">
        <v>11736</v>
      </c>
      <c r="BO374" s="1">
        <v>29780810</v>
      </c>
      <c r="BP374" s="1" t="s">
        <v>1674</v>
      </c>
      <c r="BQ374" s="1" t="s">
        <v>1507</v>
      </c>
      <c r="BR374" s="1" t="s">
        <v>1507</v>
      </c>
      <c r="BS374" s="1" t="s">
        <v>13744</v>
      </c>
      <c r="BT374" s="1" t="s">
        <v>11737</v>
      </c>
      <c r="BU374" s="1" t="str">
        <f>HYPERLINK("https%3A%2F%2Fwww.webofscience.com%2Fwos%2Fwoscc%2Ffull-record%2FWOS:000451953100001","View Full Record in Web of Science")</f>
        <v>View Full Record in Web of Science</v>
      </c>
    </row>
    <row r="375" spans="1:73" x14ac:dyDescent="0.25">
      <c r="A375" s="1">
        <v>374</v>
      </c>
      <c r="B375" s="1" t="s">
        <v>1506</v>
      </c>
      <c r="C375" s="1" t="s">
        <v>4258</v>
      </c>
      <c r="D375" s="1" t="s">
        <v>1507</v>
      </c>
      <c r="E375" s="1" t="s">
        <v>1507</v>
      </c>
      <c r="F375" s="1" t="s">
        <v>1507</v>
      </c>
      <c r="G375" s="1" t="s">
        <v>4259</v>
      </c>
      <c r="H375" s="1" t="s">
        <v>1507</v>
      </c>
      <c r="I375" s="1" t="s">
        <v>1507</v>
      </c>
      <c r="J375" s="1" t="s">
        <v>571</v>
      </c>
      <c r="K375" s="1" t="s">
        <v>4260</v>
      </c>
      <c r="L375" s="1" t="s">
        <v>1507</v>
      </c>
      <c r="M375" s="1" t="s">
        <v>1507</v>
      </c>
      <c r="N375" s="1" t="s">
        <v>42</v>
      </c>
      <c r="O375" s="1" t="s">
        <v>56</v>
      </c>
      <c r="P375" s="1" t="s">
        <v>1507</v>
      </c>
      <c r="Q375" s="1" t="s">
        <v>1507</v>
      </c>
      <c r="R375" s="1" t="s">
        <v>1507</v>
      </c>
      <c r="S375" s="1" t="s">
        <v>1507</v>
      </c>
      <c r="T375" s="1" t="s">
        <v>1507</v>
      </c>
      <c r="U375" s="1" t="s">
        <v>577</v>
      </c>
      <c r="V375" s="1" t="s">
        <v>1507</v>
      </c>
      <c r="W375" s="1" t="s">
        <v>4261</v>
      </c>
      <c r="X375" s="1" t="s">
        <v>4262</v>
      </c>
      <c r="Y375" s="1" t="s">
        <v>4263</v>
      </c>
      <c r="Z375" s="1" t="s">
        <v>4264</v>
      </c>
      <c r="AA375" s="1" t="s">
        <v>4265</v>
      </c>
      <c r="AB375" s="1" t="s">
        <v>4266</v>
      </c>
      <c r="AC375" s="1" t="s">
        <v>14568</v>
      </c>
      <c r="AD375" s="1" t="s">
        <v>1507</v>
      </c>
      <c r="AE375" s="1" t="s">
        <v>1507</v>
      </c>
      <c r="AF375" s="1" t="s">
        <v>1507</v>
      </c>
      <c r="AG375" s="1" t="s">
        <v>1507</v>
      </c>
      <c r="AH375" s="1">
        <v>13</v>
      </c>
      <c r="AI375" s="1">
        <v>4</v>
      </c>
      <c r="AJ375" s="1">
        <v>3</v>
      </c>
      <c r="AK375" s="1">
        <v>18</v>
      </c>
      <c r="AL375" s="1">
        <v>26</v>
      </c>
      <c r="AM375" s="1" t="s">
        <v>4267</v>
      </c>
      <c r="AN375" s="1" t="s">
        <v>4268</v>
      </c>
      <c r="AO375" s="1" t="s">
        <v>4269</v>
      </c>
      <c r="AP375" s="1" t="s">
        <v>4270</v>
      </c>
      <c r="AQ375" s="1" t="s">
        <v>4271</v>
      </c>
      <c r="AR375" s="1" t="s">
        <v>1507</v>
      </c>
      <c r="AS375" s="1" t="s">
        <v>4272</v>
      </c>
      <c r="AT375" s="1" t="s">
        <v>578</v>
      </c>
      <c r="AU375" s="1" t="s">
        <v>2889</v>
      </c>
      <c r="AV375" s="1">
        <v>2023</v>
      </c>
      <c r="AW375" s="1">
        <v>18</v>
      </c>
      <c r="AX375" s="1">
        <v>10</v>
      </c>
      <c r="AY375" s="1" t="s">
        <v>1507</v>
      </c>
      <c r="AZ375" s="1" t="s">
        <v>1507</v>
      </c>
      <c r="BA375" s="1" t="s">
        <v>1507</v>
      </c>
      <c r="BB375" s="1" t="s">
        <v>1507</v>
      </c>
      <c r="BC375" s="1">
        <v>1219</v>
      </c>
      <c r="BD375" s="1">
        <v>1223</v>
      </c>
      <c r="BE375" s="1" t="s">
        <v>1507</v>
      </c>
      <c r="BF375" s="1" t="s">
        <v>573</v>
      </c>
      <c r="BG375" s="1" t="str">
        <f>HYPERLINK("http://dx.doi.org/10.1123/ijspp.2023-0109","http://dx.doi.org/10.1123/ijspp.2023-0109")</f>
        <v>http://dx.doi.org/10.1123/ijspp.2023-0109</v>
      </c>
      <c r="BH375" s="1" t="s">
        <v>1507</v>
      </c>
      <c r="BI375" s="1" t="s">
        <v>4056</v>
      </c>
      <c r="BJ375" s="1">
        <v>5</v>
      </c>
      <c r="BK375" s="1" t="s">
        <v>4273</v>
      </c>
      <c r="BL375" s="1" t="s">
        <v>1573</v>
      </c>
      <c r="BM375" s="1" t="s">
        <v>4273</v>
      </c>
      <c r="BN375" s="1" t="s">
        <v>4274</v>
      </c>
      <c r="BO375" s="1">
        <v>37536678</v>
      </c>
      <c r="BP375" s="1" t="s">
        <v>1507</v>
      </c>
      <c r="BQ375" s="1" t="s">
        <v>1507</v>
      </c>
      <c r="BR375" s="1" t="s">
        <v>1507</v>
      </c>
      <c r="BS375" s="1" t="s">
        <v>13744</v>
      </c>
      <c r="BT375" s="1" t="s">
        <v>4275</v>
      </c>
      <c r="BU375" s="1" t="str">
        <f>HYPERLINK("https%3A%2F%2Fwww.webofscience.com%2Fwos%2Fwoscc%2Ffull-record%2FWOS:001046960400001","View Full Record in Web of Science")</f>
        <v>View Full Record in Web of Science</v>
      </c>
    </row>
    <row r="376" spans="1:73" x14ac:dyDescent="0.25">
      <c r="A376" s="1">
        <v>375</v>
      </c>
      <c r="B376" s="1" t="s">
        <v>1506</v>
      </c>
      <c r="C376" s="1" t="s">
        <v>14204</v>
      </c>
      <c r="D376" s="1" t="s">
        <v>1507</v>
      </c>
      <c r="E376" s="1" t="s">
        <v>1507</v>
      </c>
      <c r="F376" s="1" t="s">
        <v>1507</v>
      </c>
      <c r="G376" s="1" t="s">
        <v>14205</v>
      </c>
      <c r="H376" s="1" t="s">
        <v>1507</v>
      </c>
      <c r="I376" s="1" t="s">
        <v>1507</v>
      </c>
      <c r="J376" s="1" t="s">
        <v>14206</v>
      </c>
      <c r="K376" s="1" t="s">
        <v>14207</v>
      </c>
      <c r="L376" s="1" t="s">
        <v>1507</v>
      </c>
      <c r="M376" s="1" t="s">
        <v>1507</v>
      </c>
      <c r="N376" s="1" t="s">
        <v>42</v>
      </c>
      <c r="O376" s="1" t="s">
        <v>13950</v>
      </c>
      <c r="P376" s="1" t="s">
        <v>1507</v>
      </c>
      <c r="Q376" s="1" t="s">
        <v>1507</v>
      </c>
      <c r="R376" s="1" t="s">
        <v>1507</v>
      </c>
      <c r="S376" s="1" t="s">
        <v>1507</v>
      </c>
      <c r="T376" s="1" t="s">
        <v>1507</v>
      </c>
      <c r="U376" s="1" t="s">
        <v>14208</v>
      </c>
      <c r="V376" s="1" t="s">
        <v>1507</v>
      </c>
      <c r="W376" s="1" t="s">
        <v>1507</v>
      </c>
      <c r="X376" s="1" t="s">
        <v>14209</v>
      </c>
      <c r="Y376" s="1" t="s">
        <v>14210</v>
      </c>
      <c r="Z376" s="1" t="s">
        <v>14211</v>
      </c>
      <c r="AA376" s="1" t="s">
        <v>14212</v>
      </c>
      <c r="AB376" s="1" t="s">
        <v>1507</v>
      </c>
      <c r="AC376" s="1" t="s">
        <v>14213</v>
      </c>
      <c r="AD376" s="1" t="s">
        <v>14214</v>
      </c>
      <c r="AE376" s="1" t="s">
        <v>14215</v>
      </c>
      <c r="AF376" s="1" t="s">
        <v>14216</v>
      </c>
      <c r="AG376" s="1" t="s">
        <v>1507</v>
      </c>
      <c r="AH376" s="1">
        <v>20</v>
      </c>
      <c r="AI376" s="1">
        <v>0</v>
      </c>
      <c r="AJ376" s="1">
        <v>0</v>
      </c>
      <c r="AK376" s="1">
        <v>12</v>
      </c>
      <c r="AL376" s="1">
        <v>12</v>
      </c>
      <c r="AM376" s="1" t="s">
        <v>1564</v>
      </c>
      <c r="AN376" s="1" t="s">
        <v>1565</v>
      </c>
      <c r="AO376" s="1" t="s">
        <v>1566</v>
      </c>
      <c r="AP376" s="1" t="s">
        <v>1507</v>
      </c>
      <c r="AQ376" s="1" t="s">
        <v>14217</v>
      </c>
      <c r="AR376" s="1" t="s">
        <v>1507</v>
      </c>
      <c r="AS376" s="1" t="s">
        <v>14218</v>
      </c>
      <c r="AT376" s="1" t="s">
        <v>14219</v>
      </c>
      <c r="AU376" s="1" t="s">
        <v>14177</v>
      </c>
      <c r="AV376" s="1">
        <v>2023</v>
      </c>
      <c r="AW376" s="1">
        <v>11</v>
      </c>
      <c r="AX376" s="1" t="s">
        <v>1507</v>
      </c>
      <c r="AY376" s="1" t="s">
        <v>1507</v>
      </c>
      <c r="AZ376" s="1" t="s">
        <v>1507</v>
      </c>
      <c r="BA376" s="1" t="s">
        <v>1507</v>
      </c>
      <c r="BB376" s="1" t="s">
        <v>1507</v>
      </c>
      <c r="BC376" s="1" t="s">
        <v>1507</v>
      </c>
      <c r="BD376" s="1" t="s">
        <v>1507</v>
      </c>
      <c r="BE376" s="1">
        <v>1226776</v>
      </c>
      <c r="BF376" s="1" t="s">
        <v>14220</v>
      </c>
      <c r="BG376" s="1" t="str">
        <f>HYPERLINK("http://dx.doi.org/10.3389/fpubh.2023.1226776","http://dx.doi.org/10.3389/fpubh.2023.1226776")</f>
        <v>http://dx.doi.org/10.3389/fpubh.2023.1226776</v>
      </c>
      <c r="BH376" s="1" t="s">
        <v>1507</v>
      </c>
      <c r="BI376" s="1" t="s">
        <v>1507</v>
      </c>
      <c r="BJ376" s="1">
        <v>3</v>
      </c>
      <c r="BK376" s="1" t="s">
        <v>6841</v>
      </c>
      <c r="BL376" s="1" t="s">
        <v>1598</v>
      </c>
      <c r="BM376" s="1" t="s">
        <v>6841</v>
      </c>
      <c r="BN376" s="1" t="s">
        <v>14221</v>
      </c>
      <c r="BO376" s="1">
        <v>38026315</v>
      </c>
      <c r="BP376" s="1" t="s">
        <v>1674</v>
      </c>
      <c r="BQ376" s="1" t="s">
        <v>1507</v>
      </c>
      <c r="BR376" s="1" t="s">
        <v>1507</v>
      </c>
      <c r="BS376" s="1" t="s">
        <v>13744</v>
      </c>
      <c r="BT376" s="1" t="s">
        <v>14222</v>
      </c>
      <c r="BU376" s="1" t="str">
        <f>HYPERLINK("https%3A%2F%2Fwww.webofscience.com%2Fwos%2Fwoscc%2Ffull-record%2FWOS:001103903500001","View Full Record in Web of Science")</f>
        <v>View Full Record in Web of Science</v>
      </c>
    </row>
    <row r="377" spans="1:73" x14ac:dyDescent="0.25">
      <c r="A377" s="1">
        <v>376</v>
      </c>
      <c r="B377" s="1" t="s">
        <v>1506</v>
      </c>
      <c r="C377" s="1" t="s">
        <v>14789</v>
      </c>
      <c r="D377" s="1" t="s">
        <v>1507</v>
      </c>
      <c r="E377" s="1" t="s">
        <v>1507</v>
      </c>
      <c r="F377" s="1" t="s">
        <v>1507</v>
      </c>
      <c r="G377" s="1" t="s">
        <v>14790</v>
      </c>
      <c r="H377" s="1" t="s">
        <v>1507</v>
      </c>
      <c r="I377" s="1" t="s">
        <v>1507</v>
      </c>
      <c r="J377" s="1" t="s">
        <v>13195</v>
      </c>
      <c r="K377" s="1" t="s">
        <v>3475</v>
      </c>
      <c r="L377" s="1" t="s">
        <v>1507</v>
      </c>
      <c r="M377" s="1" t="s">
        <v>1507</v>
      </c>
      <c r="N377" s="1" t="s">
        <v>42</v>
      </c>
      <c r="O377" s="1" t="s">
        <v>13186</v>
      </c>
      <c r="P377" s="1" t="s">
        <v>1507</v>
      </c>
      <c r="Q377" s="1" t="s">
        <v>1507</v>
      </c>
      <c r="R377" s="1" t="s">
        <v>1507</v>
      </c>
      <c r="S377" s="1" t="s">
        <v>1507</v>
      </c>
      <c r="T377" s="1" t="s">
        <v>1507</v>
      </c>
      <c r="U377" s="1" t="s">
        <v>1507</v>
      </c>
      <c r="V377" s="1" t="s">
        <v>1507</v>
      </c>
      <c r="W377" s="1" t="s">
        <v>1507</v>
      </c>
      <c r="X377" s="1" t="s">
        <v>14791</v>
      </c>
      <c r="Y377" s="1" t="s">
        <v>14792</v>
      </c>
      <c r="Z377" s="1" t="s">
        <v>14793</v>
      </c>
      <c r="AA377" s="1" t="s">
        <v>14794</v>
      </c>
      <c r="AB377" s="1" t="s">
        <v>1507</v>
      </c>
      <c r="AC377" s="1" t="s">
        <v>14795</v>
      </c>
      <c r="AD377" s="1" t="s">
        <v>1507</v>
      </c>
      <c r="AE377" s="1" t="s">
        <v>1507</v>
      </c>
      <c r="AF377" s="1" t="s">
        <v>1507</v>
      </c>
      <c r="AG377" s="1" t="s">
        <v>1507</v>
      </c>
      <c r="AH377" s="1">
        <v>10</v>
      </c>
      <c r="AI377" s="1">
        <v>20</v>
      </c>
      <c r="AJ377" s="1">
        <v>20</v>
      </c>
      <c r="AK377" s="1">
        <v>29</v>
      </c>
      <c r="AL377" s="1">
        <v>46</v>
      </c>
      <c r="AM377" s="1" t="s">
        <v>1591</v>
      </c>
      <c r="AN377" s="1" t="s">
        <v>1592</v>
      </c>
      <c r="AO377" s="1" t="s">
        <v>1593</v>
      </c>
      <c r="AP377" s="1" t="s">
        <v>1507</v>
      </c>
      <c r="AQ377" s="1" t="s">
        <v>3484</v>
      </c>
      <c r="AR377" s="1" t="s">
        <v>1507</v>
      </c>
      <c r="AS377" s="1" t="s">
        <v>3485</v>
      </c>
      <c r="AT377" s="1" t="s">
        <v>3486</v>
      </c>
      <c r="AU377" s="1" t="s">
        <v>5201</v>
      </c>
      <c r="AV377" s="1">
        <v>2023</v>
      </c>
      <c r="AW377" s="1">
        <v>5</v>
      </c>
      <c r="AX377" s="1">
        <v>4</v>
      </c>
      <c r="AY377" s="1" t="s">
        <v>1507</v>
      </c>
      <c r="AZ377" s="1" t="s">
        <v>1507</v>
      </c>
      <c r="BA377" s="1" t="s">
        <v>1507</v>
      </c>
      <c r="BB377" s="1" t="s">
        <v>1507</v>
      </c>
      <c r="BC377" s="1">
        <v>333</v>
      </c>
      <c r="BD377" s="1">
        <v>334</v>
      </c>
      <c r="BE377" s="1" t="s">
        <v>1507</v>
      </c>
      <c r="BF377" s="1" t="s">
        <v>13193</v>
      </c>
      <c r="BG377" s="1" t="str">
        <f>HYPERLINK("http://dx.doi.org/10.1038/s42256-023-00644-2","http://dx.doi.org/10.1038/s42256-023-00644-2")</f>
        <v>http://dx.doi.org/10.1038/s42256-023-00644-2</v>
      </c>
      <c r="BH377" s="1" t="s">
        <v>1507</v>
      </c>
      <c r="BI377" s="1" t="s">
        <v>5260</v>
      </c>
      <c r="BJ377" s="1">
        <v>2</v>
      </c>
      <c r="BK377" s="1" t="s">
        <v>3488</v>
      </c>
      <c r="BL377" s="1" t="s">
        <v>1573</v>
      </c>
      <c r="BM377" s="1" t="s">
        <v>1577</v>
      </c>
      <c r="BN377" s="1" t="s">
        <v>14796</v>
      </c>
      <c r="BO377" s="1" t="s">
        <v>1507</v>
      </c>
      <c r="BP377" s="1" t="s">
        <v>3572</v>
      </c>
      <c r="BQ377" s="1" t="s">
        <v>1507</v>
      </c>
      <c r="BR377" s="1" t="s">
        <v>1507</v>
      </c>
      <c r="BS377" s="1" t="s">
        <v>13744</v>
      </c>
      <c r="BT377" s="1" t="s">
        <v>14797</v>
      </c>
      <c r="BU377" s="1" t="str">
        <f>HYPERLINK("https%3A%2F%2Fwww.webofscience.com%2Fwos%2Fwoscc%2Ffull-record%2FWOS:000961653600002","View Full Record in Web of Science")</f>
        <v>View Full Record in Web of Science</v>
      </c>
    </row>
    <row r="378" spans="1:73" x14ac:dyDescent="0.25">
      <c r="A378" s="1">
        <v>377</v>
      </c>
      <c r="B378" s="1" t="s">
        <v>1506</v>
      </c>
      <c r="C378" s="1" t="s">
        <v>9532</v>
      </c>
      <c r="D378" s="1" t="s">
        <v>1507</v>
      </c>
      <c r="E378" s="1" t="s">
        <v>1507</v>
      </c>
      <c r="F378" s="1" t="s">
        <v>1507</v>
      </c>
      <c r="G378" s="1" t="s">
        <v>9533</v>
      </c>
      <c r="H378" s="1" t="s">
        <v>1507</v>
      </c>
      <c r="I378" s="1" t="s">
        <v>1507</v>
      </c>
      <c r="J378" s="1" t="s">
        <v>9534</v>
      </c>
      <c r="K378" s="1" t="s">
        <v>9535</v>
      </c>
      <c r="L378" s="1" t="s">
        <v>1507</v>
      </c>
      <c r="M378" s="1" t="s">
        <v>1507</v>
      </c>
      <c r="N378" s="1" t="s">
        <v>42</v>
      </c>
      <c r="O378" s="1" t="s">
        <v>56</v>
      </c>
      <c r="P378" s="1" t="s">
        <v>1507</v>
      </c>
      <c r="Q378" s="1" t="s">
        <v>1507</v>
      </c>
      <c r="R378" s="1" t="s">
        <v>1507</v>
      </c>
      <c r="S378" s="1" t="s">
        <v>1507</v>
      </c>
      <c r="T378" s="1" t="s">
        <v>1507</v>
      </c>
      <c r="U378" s="1" t="s">
        <v>9536</v>
      </c>
      <c r="V378" s="1" t="s">
        <v>9537</v>
      </c>
      <c r="W378" s="1" t="s">
        <v>9538</v>
      </c>
      <c r="X378" s="1" t="s">
        <v>9539</v>
      </c>
      <c r="Y378" s="1" t="s">
        <v>15795</v>
      </c>
      <c r="Z378" s="1" t="s">
        <v>9540</v>
      </c>
      <c r="AA378" s="1" t="s">
        <v>9541</v>
      </c>
      <c r="AB378" s="1" t="s">
        <v>9542</v>
      </c>
      <c r="AC378" s="1" t="s">
        <v>9543</v>
      </c>
      <c r="AD378" s="1" t="s">
        <v>9544</v>
      </c>
      <c r="AE378" s="1" t="s">
        <v>6219</v>
      </c>
      <c r="AF378" s="1" t="s">
        <v>9545</v>
      </c>
      <c r="AG378" s="1" t="s">
        <v>1507</v>
      </c>
      <c r="AH378" s="1">
        <v>53</v>
      </c>
      <c r="AI378" s="1">
        <v>3</v>
      </c>
      <c r="AJ378" s="1">
        <v>3</v>
      </c>
      <c r="AK378" s="1">
        <v>0</v>
      </c>
      <c r="AL378" s="1">
        <v>6</v>
      </c>
      <c r="AM378" s="1" t="s">
        <v>9546</v>
      </c>
      <c r="AN378" s="1" t="s">
        <v>9547</v>
      </c>
      <c r="AO378" s="1" t="s">
        <v>9548</v>
      </c>
      <c r="AP378" s="1" t="s">
        <v>9549</v>
      </c>
      <c r="AQ378" s="1" t="s">
        <v>9550</v>
      </c>
      <c r="AR378" s="1" t="s">
        <v>1507</v>
      </c>
      <c r="AS378" s="1" t="s">
        <v>9551</v>
      </c>
      <c r="AT378" s="1" t="s">
        <v>9552</v>
      </c>
      <c r="AU378" s="1" t="s">
        <v>2889</v>
      </c>
      <c r="AV378" s="1">
        <v>2020</v>
      </c>
      <c r="AW378" s="1">
        <v>21</v>
      </c>
      <c r="AX378" s="1">
        <v>5</v>
      </c>
      <c r="AY378" s="1" t="s">
        <v>1507</v>
      </c>
      <c r="AZ378" s="1" t="s">
        <v>1507</v>
      </c>
      <c r="BA378" s="1" t="s">
        <v>3506</v>
      </c>
      <c r="BB378" s="1" t="s">
        <v>1507</v>
      </c>
      <c r="BC378" s="1">
        <v>674</v>
      </c>
      <c r="BD378" s="1">
        <v>697</v>
      </c>
      <c r="BE378" s="1" t="s">
        <v>1507</v>
      </c>
      <c r="BF378" s="1" t="s">
        <v>9553</v>
      </c>
      <c r="BG378" s="1" t="str">
        <f>HYPERLINK("http://dx.doi.org/10.1163/22119000-12340191","http://dx.doi.org/10.1163/22119000-12340191")</f>
        <v>http://dx.doi.org/10.1163/22119000-12340191</v>
      </c>
      <c r="BH378" s="1" t="s">
        <v>1507</v>
      </c>
      <c r="BI378" s="1" t="s">
        <v>1507</v>
      </c>
      <c r="BJ378" s="1">
        <v>24</v>
      </c>
      <c r="BK378" s="1" t="s">
        <v>1535</v>
      </c>
      <c r="BL378" s="1" t="s">
        <v>1529</v>
      </c>
      <c r="BM378" s="1" t="s">
        <v>1536</v>
      </c>
      <c r="BN378" s="1" t="s">
        <v>9554</v>
      </c>
      <c r="BO378" s="1" t="s">
        <v>1507</v>
      </c>
      <c r="BP378" s="1" t="s">
        <v>1600</v>
      </c>
      <c r="BQ378" s="1" t="s">
        <v>1507</v>
      </c>
      <c r="BR378" s="1" t="s">
        <v>1507</v>
      </c>
      <c r="BS378" s="1" t="s">
        <v>13744</v>
      </c>
      <c r="BT378" s="1" t="s">
        <v>9555</v>
      </c>
      <c r="BU378" s="1" t="str">
        <f>HYPERLINK("https%3A%2F%2Fwww.webofscience.com%2Fwos%2Fwoscc%2Ffull-record%2FWOS:000581780900002","View Full Record in Web of Science")</f>
        <v>View Full Record in Web of Science</v>
      </c>
    </row>
    <row r="379" spans="1:73" x14ac:dyDescent="0.25">
      <c r="A379" s="1">
        <v>378</v>
      </c>
      <c r="B379" s="1" t="s">
        <v>1506</v>
      </c>
      <c r="C379" s="1" t="s">
        <v>9815</v>
      </c>
      <c r="D379" s="1" t="s">
        <v>1507</v>
      </c>
      <c r="E379" s="1" t="s">
        <v>1507</v>
      </c>
      <c r="F379" s="1" t="s">
        <v>1507</v>
      </c>
      <c r="G379" s="1" t="s">
        <v>9816</v>
      </c>
      <c r="H379" s="1" t="s">
        <v>1507</v>
      </c>
      <c r="I379" s="1" t="s">
        <v>1507</v>
      </c>
      <c r="J379" s="1" t="s">
        <v>9817</v>
      </c>
      <c r="K379" s="1" t="s">
        <v>9818</v>
      </c>
      <c r="L379" s="1" t="s">
        <v>1507</v>
      </c>
      <c r="M379" s="1" t="s">
        <v>1507</v>
      </c>
      <c r="N379" s="1" t="s">
        <v>42</v>
      </c>
      <c r="O379" s="1" t="s">
        <v>56</v>
      </c>
      <c r="P379" s="1" t="s">
        <v>1507</v>
      </c>
      <c r="Q379" s="1" t="s">
        <v>1507</v>
      </c>
      <c r="R379" s="1" t="s">
        <v>1507</v>
      </c>
      <c r="S379" s="1" t="s">
        <v>1507</v>
      </c>
      <c r="T379" s="1" t="s">
        <v>1507</v>
      </c>
      <c r="U379" s="1" t="s">
        <v>9819</v>
      </c>
      <c r="V379" s="1" t="s">
        <v>9820</v>
      </c>
      <c r="W379" s="1" t="s">
        <v>9821</v>
      </c>
      <c r="X379" s="1" t="s">
        <v>9822</v>
      </c>
      <c r="Y379" s="1" t="s">
        <v>9823</v>
      </c>
      <c r="Z379" s="1" t="s">
        <v>9824</v>
      </c>
      <c r="AA379" s="1" t="s">
        <v>9825</v>
      </c>
      <c r="AB379" s="1" t="s">
        <v>9826</v>
      </c>
      <c r="AC379" s="1" t="s">
        <v>9827</v>
      </c>
      <c r="AD379" s="1" t="s">
        <v>1507</v>
      </c>
      <c r="AE379" s="1" t="s">
        <v>1507</v>
      </c>
      <c r="AF379" s="1" t="s">
        <v>1507</v>
      </c>
      <c r="AG379" s="1" t="s">
        <v>1507</v>
      </c>
      <c r="AH379" s="1">
        <v>40</v>
      </c>
      <c r="AI379" s="1">
        <v>12</v>
      </c>
      <c r="AJ379" s="1">
        <v>14</v>
      </c>
      <c r="AK379" s="1">
        <v>1</v>
      </c>
      <c r="AL379" s="1">
        <v>13</v>
      </c>
      <c r="AM379" s="1" t="s">
        <v>1586</v>
      </c>
      <c r="AN379" s="1" t="s">
        <v>1583</v>
      </c>
      <c r="AO379" s="1" t="s">
        <v>3684</v>
      </c>
      <c r="AP379" s="1" t="s">
        <v>9828</v>
      </c>
      <c r="AQ379" s="1" t="s">
        <v>9829</v>
      </c>
      <c r="AR379" s="1" t="s">
        <v>1507</v>
      </c>
      <c r="AS379" s="1" t="s">
        <v>9830</v>
      </c>
      <c r="AT379" s="1" t="s">
        <v>9831</v>
      </c>
      <c r="AU379" s="1" t="s">
        <v>4721</v>
      </c>
      <c r="AV379" s="1">
        <v>2020</v>
      </c>
      <c r="AW379" s="1">
        <v>17</v>
      </c>
      <c r="AX379" s="1">
        <v>6</v>
      </c>
      <c r="AY379" s="1" t="s">
        <v>1507</v>
      </c>
      <c r="AZ379" s="1" t="s">
        <v>1507</v>
      </c>
      <c r="BA379" s="1" t="s">
        <v>1507</v>
      </c>
      <c r="BB379" s="1" t="s">
        <v>1507</v>
      </c>
      <c r="BC379" s="1">
        <v>1072</v>
      </c>
      <c r="BD379" s="1">
        <v>1085</v>
      </c>
      <c r="BE379" s="1" t="s">
        <v>1507</v>
      </c>
      <c r="BF379" s="1" t="s">
        <v>9832</v>
      </c>
      <c r="BG379" s="1" t="str">
        <f>HYPERLINK("http://dx.doi.org/10.1016/j.jsxm.2020.02.018","http://dx.doi.org/10.1016/j.jsxm.2020.02.018")</f>
        <v>http://dx.doi.org/10.1016/j.jsxm.2020.02.018</v>
      </c>
      <c r="BH379" s="1" t="s">
        <v>1507</v>
      </c>
      <c r="BI379" s="1" t="s">
        <v>1507</v>
      </c>
      <c r="BJ379" s="1">
        <v>14</v>
      </c>
      <c r="BK379" s="1" t="s">
        <v>9833</v>
      </c>
      <c r="BL379" s="1" t="s">
        <v>1598</v>
      </c>
      <c r="BM379" s="1" t="s">
        <v>9833</v>
      </c>
      <c r="BN379" s="1" t="s">
        <v>9834</v>
      </c>
      <c r="BO379" s="1">
        <v>32205084</v>
      </c>
      <c r="BP379" s="1" t="s">
        <v>1507</v>
      </c>
      <c r="BQ379" s="1" t="s">
        <v>1507</v>
      </c>
      <c r="BR379" s="1" t="s">
        <v>1507</v>
      </c>
      <c r="BS379" s="1" t="s">
        <v>13744</v>
      </c>
      <c r="BT379" s="1" t="s">
        <v>9835</v>
      </c>
      <c r="BU379" s="1" t="str">
        <f>HYPERLINK("https%3A%2F%2Fwww.webofscience.com%2Fwos%2Fwoscc%2Ffull-record%2FWOS:000539168800005","View Full Record in Web of Science")</f>
        <v>View Full Record in Web of Science</v>
      </c>
    </row>
    <row r="380" spans="1:73" x14ac:dyDescent="0.25">
      <c r="A380" s="1">
        <v>379</v>
      </c>
      <c r="B380" s="1" t="s">
        <v>1506</v>
      </c>
      <c r="C380" s="1" t="s">
        <v>13947</v>
      </c>
      <c r="D380" s="1" t="s">
        <v>1507</v>
      </c>
      <c r="E380" s="1" t="s">
        <v>1507</v>
      </c>
      <c r="F380" s="1" t="s">
        <v>1507</v>
      </c>
      <c r="G380" s="1" t="s">
        <v>13948</v>
      </c>
      <c r="H380" s="1" t="s">
        <v>1507</v>
      </c>
      <c r="I380" s="1" t="s">
        <v>1507</v>
      </c>
      <c r="J380" s="1" t="s">
        <v>13949</v>
      </c>
      <c r="K380" s="1" t="s">
        <v>1589</v>
      </c>
      <c r="L380" s="1" t="s">
        <v>1507</v>
      </c>
      <c r="M380" s="1" t="s">
        <v>1507</v>
      </c>
      <c r="N380" s="1" t="s">
        <v>42</v>
      </c>
      <c r="O380" s="1" t="s">
        <v>13950</v>
      </c>
      <c r="P380" s="1" t="s">
        <v>1507</v>
      </c>
      <c r="Q380" s="1" t="s">
        <v>1507</v>
      </c>
      <c r="R380" s="1" t="s">
        <v>1507</v>
      </c>
      <c r="S380" s="1" t="s">
        <v>1507</v>
      </c>
      <c r="T380" s="1" t="s">
        <v>1507</v>
      </c>
      <c r="U380" s="1" t="s">
        <v>1507</v>
      </c>
      <c r="V380" s="1" t="s">
        <v>1507</v>
      </c>
      <c r="W380" s="1" t="s">
        <v>13951</v>
      </c>
      <c r="X380" s="1" t="s">
        <v>13952</v>
      </c>
      <c r="Y380" s="1" t="s">
        <v>2407</v>
      </c>
      <c r="Z380" s="1" t="s">
        <v>13953</v>
      </c>
      <c r="AA380" s="1" t="s">
        <v>13954</v>
      </c>
      <c r="AB380" s="1" t="s">
        <v>1507</v>
      </c>
      <c r="AC380" s="1" t="s">
        <v>13955</v>
      </c>
      <c r="AD380" s="1" t="s">
        <v>13956</v>
      </c>
      <c r="AE380" s="1" t="s">
        <v>13957</v>
      </c>
      <c r="AF380" s="1" t="s">
        <v>13958</v>
      </c>
      <c r="AG380" s="1" t="s">
        <v>1507</v>
      </c>
      <c r="AH380" s="1">
        <v>15</v>
      </c>
      <c r="AI380" s="1">
        <v>1</v>
      </c>
      <c r="AJ380" s="1">
        <v>1</v>
      </c>
      <c r="AK380" s="1">
        <v>1</v>
      </c>
      <c r="AL380" s="1">
        <v>1</v>
      </c>
      <c r="AM380" s="1" t="s">
        <v>1591</v>
      </c>
      <c r="AN380" s="1" t="s">
        <v>1592</v>
      </c>
      <c r="AO380" s="1" t="s">
        <v>1593</v>
      </c>
      <c r="AP380" s="1" t="s">
        <v>1594</v>
      </c>
      <c r="AQ380" s="1" t="s">
        <v>1507</v>
      </c>
      <c r="AR380" s="1" t="s">
        <v>1507</v>
      </c>
      <c r="AS380" s="1" t="s">
        <v>1595</v>
      </c>
      <c r="AT380" s="1" t="s">
        <v>1596</v>
      </c>
      <c r="AU380" s="1" t="s">
        <v>1616</v>
      </c>
      <c r="AV380" s="1">
        <v>2024</v>
      </c>
      <c r="AW380" s="1">
        <v>8</v>
      </c>
      <c r="AX380" s="1">
        <v>1</v>
      </c>
      <c r="AY380" s="1" t="s">
        <v>1507</v>
      </c>
      <c r="AZ380" s="1" t="s">
        <v>1507</v>
      </c>
      <c r="BA380" s="1" t="s">
        <v>1507</v>
      </c>
      <c r="BB380" s="1" t="s">
        <v>1507</v>
      </c>
      <c r="BC380" s="1">
        <v>11</v>
      </c>
      <c r="BD380" s="1">
        <v>13</v>
      </c>
      <c r="BE380" s="1" t="s">
        <v>1507</v>
      </c>
      <c r="BF380" s="1" t="s">
        <v>13959</v>
      </c>
      <c r="BG380" s="1" t="str">
        <f>HYPERLINK("http://dx.doi.org/10.1038/s41562-023-01744-0","http://dx.doi.org/10.1038/s41562-023-01744-0")</f>
        <v>http://dx.doi.org/10.1038/s41562-023-01744-0</v>
      </c>
      <c r="BH380" s="1" t="s">
        <v>1507</v>
      </c>
      <c r="BI380" s="1" t="s">
        <v>2396</v>
      </c>
      <c r="BJ380" s="1">
        <v>3</v>
      </c>
      <c r="BK380" s="1" t="s">
        <v>1597</v>
      </c>
      <c r="BL380" s="1" t="s">
        <v>1598</v>
      </c>
      <c r="BM380" s="1" t="s">
        <v>1599</v>
      </c>
      <c r="BN380" s="1" t="s">
        <v>13960</v>
      </c>
      <c r="BO380" s="1">
        <v>37985912</v>
      </c>
      <c r="BP380" s="1" t="s">
        <v>1507</v>
      </c>
      <c r="BQ380" s="1" t="s">
        <v>1507</v>
      </c>
      <c r="BR380" s="1" t="s">
        <v>1507</v>
      </c>
      <c r="BS380" s="1" t="s">
        <v>13744</v>
      </c>
      <c r="BT380" s="1" t="s">
        <v>13961</v>
      </c>
      <c r="BU380" s="1" t="str">
        <f>HYPERLINK("https%3A%2F%2Fwww.webofscience.com%2Fwos%2Fwoscc%2Ffull-record%2FWOS:001107579600002","View Full Record in Web of Science")</f>
        <v>View Full Record in Web of Science</v>
      </c>
    </row>
    <row r="381" spans="1:73" x14ac:dyDescent="0.25">
      <c r="A381" s="1">
        <v>380</v>
      </c>
      <c r="B381" s="1" t="s">
        <v>1506</v>
      </c>
      <c r="C381" s="1" t="s">
        <v>3552</v>
      </c>
      <c r="D381" s="1" t="s">
        <v>1507</v>
      </c>
      <c r="E381" s="1" t="s">
        <v>1507</v>
      </c>
      <c r="F381" s="1" t="s">
        <v>1507</v>
      </c>
      <c r="G381" s="1" t="s">
        <v>3553</v>
      </c>
      <c r="H381" s="1" t="s">
        <v>1507</v>
      </c>
      <c r="I381" s="1" t="s">
        <v>1507</v>
      </c>
      <c r="J381" s="1" t="s">
        <v>3554</v>
      </c>
      <c r="K381" s="1" t="s">
        <v>3555</v>
      </c>
      <c r="L381" s="1" t="s">
        <v>1507</v>
      </c>
      <c r="M381" s="1" t="s">
        <v>1507</v>
      </c>
      <c r="N381" s="1" t="s">
        <v>42</v>
      </c>
      <c r="O381" s="1" t="s">
        <v>56</v>
      </c>
      <c r="P381" s="1" t="s">
        <v>1507</v>
      </c>
      <c r="Q381" s="1" t="s">
        <v>1507</v>
      </c>
      <c r="R381" s="1" t="s">
        <v>1507</v>
      </c>
      <c r="S381" s="1" t="s">
        <v>1507</v>
      </c>
      <c r="T381" s="1" t="s">
        <v>1507</v>
      </c>
      <c r="U381" s="1" t="s">
        <v>3556</v>
      </c>
      <c r="V381" s="1" t="s">
        <v>1507</v>
      </c>
      <c r="W381" s="1" t="s">
        <v>3557</v>
      </c>
      <c r="X381" s="1" t="s">
        <v>3558</v>
      </c>
      <c r="Y381" s="1" t="s">
        <v>3559</v>
      </c>
      <c r="Z381" s="1" t="s">
        <v>3560</v>
      </c>
      <c r="AA381" s="1" t="s">
        <v>3561</v>
      </c>
      <c r="AB381" s="1" t="s">
        <v>1507</v>
      </c>
      <c r="AC381" s="1" t="s">
        <v>1507</v>
      </c>
      <c r="AD381" s="1" t="s">
        <v>3562</v>
      </c>
      <c r="AE381" s="1" t="s">
        <v>3562</v>
      </c>
      <c r="AF381" s="1" t="s">
        <v>3563</v>
      </c>
      <c r="AG381" s="1" t="s">
        <v>1507</v>
      </c>
      <c r="AH381" s="1">
        <v>25</v>
      </c>
      <c r="AI381" s="1">
        <v>0</v>
      </c>
      <c r="AJ381" s="1">
        <v>0</v>
      </c>
      <c r="AK381" s="1">
        <v>5</v>
      </c>
      <c r="AL381" s="1">
        <v>5</v>
      </c>
      <c r="AM381" s="1" t="s">
        <v>3564</v>
      </c>
      <c r="AN381" s="1" t="s">
        <v>1523</v>
      </c>
      <c r="AO381" s="1" t="s">
        <v>3565</v>
      </c>
      <c r="AP381" s="1" t="s">
        <v>3566</v>
      </c>
      <c r="AQ381" s="1" t="s">
        <v>3567</v>
      </c>
      <c r="AR381" s="1" t="s">
        <v>1507</v>
      </c>
      <c r="AS381" s="1" t="s">
        <v>3568</v>
      </c>
      <c r="AT381" s="1" t="s">
        <v>3569</v>
      </c>
      <c r="AU381" s="1" t="s">
        <v>2889</v>
      </c>
      <c r="AV381" s="1">
        <v>2023</v>
      </c>
      <c r="AW381" s="1">
        <v>67</v>
      </c>
      <c r="AX381" s="1">
        <v>3</v>
      </c>
      <c r="AY381" s="1" t="s">
        <v>1507</v>
      </c>
      <c r="AZ381" s="1" t="s">
        <v>1507</v>
      </c>
      <c r="BA381" s="1" t="s">
        <v>1507</v>
      </c>
      <c r="BB381" s="1" t="s">
        <v>1507</v>
      </c>
      <c r="BC381" s="1">
        <v>463</v>
      </c>
      <c r="BD381" s="1">
        <v>475</v>
      </c>
      <c r="BE381" s="1" t="s">
        <v>1507</v>
      </c>
      <c r="BF381" s="1" t="s">
        <v>3570</v>
      </c>
      <c r="BG381" s="1" t="str">
        <f>HYPERLINK("http://dx.doi.org/10.1017/S0021855323000244","http://dx.doi.org/10.1017/S0021855323000244")</f>
        <v>http://dx.doi.org/10.1017/S0021855323000244</v>
      </c>
      <c r="BH381" s="1" t="s">
        <v>1507</v>
      </c>
      <c r="BI381" s="1" t="s">
        <v>1507</v>
      </c>
      <c r="BJ381" s="1">
        <v>13</v>
      </c>
      <c r="BK381" s="1" t="s">
        <v>1535</v>
      </c>
      <c r="BL381" s="1" t="s">
        <v>1518</v>
      </c>
      <c r="BM381" s="1" t="s">
        <v>1536</v>
      </c>
      <c r="BN381" s="1" t="s">
        <v>3571</v>
      </c>
      <c r="BO381" s="1" t="s">
        <v>1507</v>
      </c>
      <c r="BP381" s="1" t="s">
        <v>3572</v>
      </c>
      <c r="BQ381" s="1" t="s">
        <v>1507</v>
      </c>
      <c r="BR381" s="1" t="s">
        <v>1507</v>
      </c>
      <c r="BS381" s="1" t="s">
        <v>13744</v>
      </c>
      <c r="BT381" s="1" t="s">
        <v>3573</v>
      </c>
      <c r="BU381" s="1" t="str">
        <f>HYPERLINK("https%3A%2F%2Fwww.webofscience.com%2Fwos%2Fwoscc%2Ffull-record%2FWOS:001103093900008","View Full Record in Web of Science")</f>
        <v>View Full Record in Web of Science</v>
      </c>
    </row>
    <row r="382" spans="1:73" x14ac:dyDescent="0.25">
      <c r="A382" s="1">
        <v>381</v>
      </c>
      <c r="B382" s="1" t="s">
        <v>1506</v>
      </c>
      <c r="C382" s="1" t="s">
        <v>11536</v>
      </c>
      <c r="D382" s="1" t="s">
        <v>1507</v>
      </c>
      <c r="E382" s="1" t="s">
        <v>1507</v>
      </c>
      <c r="F382" s="1" t="s">
        <v>1507</v>
      </c>
      <c r="G382" s="1" t="s">
        <v>11537</v>
      </c>
      <c r="H382" s="1" t="s">
        <v>1507</v>
      </c>
      <c r="I382" s="1" t="s">
        <v>1507</v>
      </c>
      <c r="J382" s="1" t="s">
        <v>11538</v>
      </c>
      <c r="K382" s="1" t="s">
        <v>8493</v>
      </c>
      <c r="L382" s="1" t="s">
        <v>1507</v>
      </c>
      <c r="M382" s="1" t="s">
        <v>1507</v>
      </c>
      <c r="N382" s="1" t="s">
        <v>42</v>
      </c>
      <c r="O382" s="1" t="s">
        <v>56</v>
      </c>
      <c r="P382" s="1" t="s">
        <v>1507</v>
      </c>
      <c r="Q382" s="1" t="s">
        <v>1507</v>
      </c>
      <c r="R382" s="1" t="s">
        <v>1507</v>
      </c>
      <c r="S382" s="1" t="s">
        <v>1507</v>
      </c>
      <c r="T382" s="1" t="s">
        <v>1507</v>
      </c>
      <c r="U382" s="1" t="s">
        <v>11539</v>
      </c>
      <c r="V382" s="1" t="s">
        <v>11540</v>
      </c>
      <c r="W382" s="1" t="s">
        <v>11541</v>
      </c>
      <c r="X382" s="1" t="s">
        <v>11542</v>
      </c>
      <c r="Y382" s="1" t="s">
        <v>11543</v>
      </c>
      <c r="Z382" s="1" t="s">
        <v>11544</v>
      </c>
      <c r="AA382" s="1" t="s">
        <v>11545</v>
      </c>
      <c r="AB382" s="1" t="s">
        <v>11546</v>
      </c>
      <c r="AC382" s="1" t="s">
        <v>11547</v>
      </c>
      <c r="AD382" s="1" t="s">
        <v>11548</v>
      </c>
      <c r="AE382" s="1" t="s">
        <v>11549</v>
      </c>
      <c r="AF382" s="1" t="s">
        <v>11550</v>
      </c>
      <c r="AG382" s="1" t="s">
        <v>1507</v>
      </c>
      <c r="AH382" s="1">
        <v>51</v>
      </c>
      <c r="AI382" s="1">
        <v>7</v>
      </c>
      <c r="AJ382" s="1">
        <v>7</v>
      </c>
      <c r="AK382" s="1">
        <v>0</v>
      </c>
      <c r="AL382" s="1">
        <v>5</v>
      </c>
      <c r="AM382" s="1" t="s">
        <v>1900</v>
      </c>
      <c r="AN382" s="1" t="s">
        <v>1583</v>
      </c>
      <c r="AO382" s="1" t="s">
        <v>1901</v>
      </c>
      <c r="AP382" s="1" t="s">
        <v>8504</v>
      </c>
      <c r="AQ382" s="1" t="s">
        <v>8505</v>
      </c>
      <c r="AR382" s="1" t="s">
        <v>1507</v>
      </c>
      <c r="AS382" s="1" t="s">
        <v>8506</v>
      </c>
      <c r="AT382" s="1" t="s">
        <v>8507</v>
      </c>
      <c r="AU382" s="1" t="s">
        <v>2864</v>
      </c>
      <c r="AV382" s="1">
        <v>2018</v>
      </c>
      <c r="AW382" s="1">
        <v>212</v>
      </c>
      <c r="AX382" s="1" t="s">
        <v>1507</v>
      </c>
      <c r="AY382" s="1" t="s">
        <v>1507</v>
      </c>
      <c r="AZ382" s="1" t="s">
        <v>1507</v>
      </c>
      <c r="BA382" s="1" t="s">
        <v>1507</v>
      </c>
      <c r="BB382" s="1" t="s">
        <v>1507</v>
      </c>
      <c r="BC382" s="1">
        <v>159</v>
      </c>
      <c r="BD382" s="1">
        <v>167</v>
      </c>
      <c r="BE382" s="1" t="s">
        <v>1507</v>
      </c>
      <c r="BF382" s="1" t="s">
        <v>11551</v>
      </c>
      <c r="BG382" s="1" t="str">
        <f>HYPERLINK("http://dx.doi.org/10.1016/j.lfs.2018.09.059","http://dx.doi.org/10.1016/j.lfs.2018.09.059")</f>
        <v>http://dx.doi.org/10.1016/j.lfs.2018.09.059</v>
      </c>
      <c r="BH382" s="1" t="s">
        <v>1507</v>
      </c>
      <c r="BI382" s="1" t="s">
        <v>1507</v>
      </c>
      <c r="BJ382" s="1">
        <v>9</v>
      </c>
      <c r="BK382" s="1" t="s">
        <v>8509</v>
      </c>
      <c r="BL382" s="1" t="s">
        <v>1573</v>
      </c>
      <c r="BM382" s="1" t="s">
        <v>8510</v>
      </c>
      <c r="BN382" s="1" t="s">
        <v>11552</v>
      </c>
      <c r="BO382" s="1">
        <v>30290186</v>
      </c>
      <c r="BP382" s="1" t="s">
        <v>1507</v>
      </c>
      <c r="BQ382" s="1" t="s">
        <v>1507</v>
      </c>
      <c r="BR382" s="1" t="s">
        <v>1507</v>
      </c>
      <c r="BS382" s="1" t="s">
        <v>13744</v>
      </c>
      <c r="BT382" s="1" t="s">
        <v>11553</v>
      </c>
      <c r="BU382" s="1" t="str">
        <f>HYPERLINK("https%3A%2F%2Fwww.webofscience.com%2Fwos%2Fwoscc%2Ffull-record%2FWOS:000447649400018","View Full Record in Web of Science")</f>
        <v>View Full Record in Web of Science</v>
      </c>
    </row>
    <row r="383" spans="1:73" x14ac:dyDescent="0.25">
      <c r="A383" s="1">
        <v>382</v>
      </c>
      <c r="B383" s="1" t="s">
        <v>1506</v>
      </c>
      <c r="C383" s="1" t="s">
        <v>7097</v>
      </c>
      <c r="D383" s="1" t="s">
        <v>1507</v>
      </c>
      <c r="E383" s="1" t="s">
        <v>1507</v>
      </c>
      <c r="F383" s="1" t="s">
        <v>1507</v>
      </c>
      <c r="G383" s="1" t="s">
        <v>7098</v>
      </c>
      <c r="H383" s="1" t="s">
        <v>1507</v>
      </c>
      <c r="I383" s="1" t="s">
        <v>1507</v>
      </c>
      <c r="J383" s="1" t="s">
        <v>7099</v>
      </c>
      <c r="K383" s="1" t="s">
        <v>7100</v>
      </c>
      <c r="L383" s="1" t="s">
        <v>1507</v>
      </c>
      <c r="M383" s="1" t="s">
        <v>1507</v>
      </c>
      <c r="N383" s="1" t="s">
        <v>42</v>
      </c>
      <c r="O383" s="1" t="s">
        <v>56</v>
      </c>
      <c r="P383" s="1" t="s">
        <v>1507</v>
      </c>
      <c r="Q383" s="1" t="s">
        <v>1507</v>
      </c>
      <c r="R383" s="1" t="s">
        <v>1507</v>
      </c>
      <c r="S383" s="1" t="s">
        <v>1507</v>
      </c>
      <c r="T383" s="1" t="s">
        <v>1507</v>
      </c>
      <c r="U383" s="1" t="s">
        <v>1507</v>
      </c>
      <c r="V383" s="1" t="s">
        <v>7101</v>
      </c>
      <c r="W383" s="1" t="s">
        <v>7102</v>
      </c>
      <c r="X383" s="1" t="s">
        <v>7103</v>
      </c>
      <c r="Y383" s="1" t="s">
        <v>7104</v>
      </c>
      <c r="Z383" s="1" t="s">
        <v>7105</v>
      </c>
      <c r="AA383" s="1" t="s">
        <v>7106</v>
      </c>
      <c r="AB383" s="1" t="s">
        <v>15602</v>
      </c>
      <c r="AC383" s="1" t="s">
        <v>15603</v>
      </c>
      <c r="AD383" s="1" t="s">
        <v>7107</v>
      </c>
      <c r="AE383" s="1" t="s">
        <v>7108</v>
      </c>
      <c r="AF383" s="1" t="s">
        <v>7109</v>
      </c>
      <c r="AG383" s="1" t="s">
        <v>1507</v>
      </c>
      <c r="AH383" s="1">
        <v>60</v>
      </c>
      <c r="AI383" s="1">
        <v>2</v>
      </c>
      <c r="AJ383" s="1">
        <v>2</v>
      </c>
      <c r="AK383" s="1">
        <v>2</v>
      </c>
      <c r="AL383" s="1">
        <v>11</v>
      </c>
      <c r="AM383" s="1" t="s">
        <v>1522</v>
      </c>
      <c r="AN383" s="1" t="s">
        <v>1523</v>
      </c>
      <c r="AO383" s="1" t="s">
        <v>1524</v>
      </c>
      <c r="AP383" s="1" t="s">
        <v>1507</v>
      </c>
      <c r="AQ383" s="1" t="s">
        <v>7110</v>
      </c>
      <c r="AR383" s="1" t="s">
        <v>1507</v>
      </c>
      <c r="AS383" s="1" t="s">
        <v>7111</v>
      </c>
      <c r="AT383" s="1" t="s">
        <v>7112</v>
      </c>
      <c r="AU383" s="1" t="s">
        <v>7113</v>
      </c>
      <c r="AV383" s="1">
        <v>2022</v>
      </c>
      <c r="AW383" s="1">
        <v>12</v>
      </c>
      <c r="AX383" s="1">
        <v>33</v>
      </c>
      <c r="AY383" s="1" t="s">
        <v>1507</v>
      </c>
      <c r="AZ383" s="1" t="s">
        <v>1507</v>
      </c>
      <c r="BA383" s="1" t="s">
        <v>1507</v>
      </c>
      <c r="BB383" s="1" t="s">
        <v>1507</v>
      </c>
      <c r="BC383" s="1">
        <v>21440</v>
      </c>
      <c r="BD383" s="1">
        <v>21451</v>
      </c>
      <c r="BE383" s="1" t="s">
        <v>1507</v>
      </c>
      <c r="BF383" s="1" t="s">
        <v>7114</v>
      </c>
      <c r="BG383" s="1" t="str">
        <f>HYPERLINK("http://dx.doi.org/10.1039/d2ra03931a","http://dx.doi.org/10.1039/d2ra03931a")</f>
        <v>http://dx.doi.org/10.1039/d2ra03931a</v>
      </c>
      <c r="BH383" s="1" t="s">
        <v>1507</v>
      </c>
      <c r="BI383" s="1" t="s">
        <v>1507</v>
      </c>
      <c r="BJ383" s="1">
        <v>12</v>
      </c>
      <c r="BK383" s="1" t="s">
        <v>2634</v>
      </c>
      <c r="BL383" s="1" t="s">
        <v>1573</v>
      </c>
      <c r="BM383" s="1" t="s">
        <v>2380</v>
      </c>
      <c r="BN383" s="1" t="s">
        <v>7115</v>
      </c>
      <c r="BO383" s="1">
        <v>35975088</v>
      </c>
      <c r="BP383" s="1" t="s">
        <v>1674</v>
      </c>
      <c r="BQ383" s="1" t="s">
        <v>1507</v>
      </c>
      <c r="BR383" s="1" t="s">
        <v>1507</v>
      </c>
      <c r="BS383" s="1" t="s">
        <v>13744</v>
      </c>
      <c r="BT383" s="1" t="s">
        <v>7116</v>
      </c>
      <c r="BU383" s="1" t="str">
        <f>HYPERLINK("https%3A%2F%2Fwww.webofscience.com%2Fwos%2Fwoscc%2Ffull-record%2FWOS:000835245700001","View Full Record in Web of Science")</f>
        <v>View Full Record in Web of Science</v>
      </c>
    </row>
    <row r="384" spans="1:73" x14ac:dyDescent="0.25">
      <c r="A384" s="1">
        <v>383</v>
      </c>
      <c r="B384" s="1" t="s">
        <v>1506</v>
      </c>
      <c r="C384" s="1" t="s">
        <v>2847</v>
      </c>
      <c r="D384" s="1" t="s">
        <v>1507</v>
      </c>
      <c r="E384" s="1" t="s">
        <v>1507</v>
      </c>
      <c r="F384" s="1" t="s">
        <v>1507</v>
      </c>
      <c r="G384" s="1" t="s">
        <v>2848</v>
      </c>
      <c r="H384" s="1" t="s">
        <v>1507</v>
      </c>
      <c r="I384" s="1" t="s">
        <v>1507</v>
      </c>
      <c r="J384" s="1" t="s">
        <v>2849</v>
      </c>
      <c r="K384" s="1" t="s">
        <v>2850</v>
      </c>
      <c r="L384" s="1" t="s">
        <v>1507</v>
      </c>
      <c r="M384" s="1" t="s">
        <v>1507</v>
      </c>
      <c r="N384" s="1" t="s">
        <v>42</v>
      </c>
      <c r="O384" s="1" t="s">
        <v>56</v>
      </c>
      <c r="P384" s="1" t="s">
        <v>1507</v>
      </c>
      <c r="Q384" s="1" t="s">
        <v>1507</v>
      </c>
      <c r="R384" s="1" t="s">
        <v>1507</v>
      </c>
      <c r="S384" s="1" t="s">
        <v>1507</v>
      </c>
      <c r="T384" s="1" t="s">
        <v>1507</v>
      </c>
      <c r="U384" s="1" t="s">
        <v>2851</v>
      </c>
      <c r="V384" s="1" t="s">
        <v>2852</v>
      </c>
      <c r="W384" s="1" t="s">
        <v>2853</v>
      </c>
      <c r="X384" s="1" t="s">
        <v>2854</v>
      </c>
      <c r="Y384" s="1" t="s">
        <v>2855</v>
      </c>
      <c r="Z384" s="1" t="s">
        <v>2856</v>
      </c>
      <c r="AA384" s="1" t="s">
        <v>2857</v>
      </c>
      <c r="AB384" s="1" t="s">
        <v>1507</v>
      </c>
      <c r="AC384" s="1" t="s">
        <v>14143</v>
      </c>
      <c r="AD384" s="1" t="s">
        <v>2858</v>
      </c>
      <c r="AE384" s="1" t="s">
        <v>2859</v>
      </c>
      <c r="AF384" s="1" t="s">
        <v>2860</v>
      </c>
      <c r="AG384" s="1" t="s">
        <v>1507</v>
      </c>
      <c r="AH384" s="1">
        <v>36</v>
      </c>
      <c r="AI384" s="1">
        <v>0</v>
      </c>
      <c r="AJ384" s="1">
        <v>0</v>
      </c>
      <c r="AK384" s="1">
        <v>0</v>
      </c>
      <c r="AL384" s="1">
        <v>0</v>
      </c>
      <c r="AM384" s="1" t="s">
        <v>1582</v>
      </c>
      <c r="AN384" s="1" t="s">
        <v>1583</v>
      </c>
      <c r="AO384" s="1" t="s">
        <v>1584</v>
      </c>
      <c r="AP384" s="1" t="s">
        <v>1507</v>
      </c>
      <c r="AQ384" s="1" t="s">
        <v>2861</v>
      </c>
      <c r="AR384" s="1" t="s">
        <v>1507</v>
      </c>
      <c r="AS384" s="1" t="s">
        <v>2862</v>
      </c>
      <c r="AT384" s="1" t="s">
        <v>2863</v>
      </c>
      <c r="AU384" s="1" t="s">
        <v>2864</v>
      </c>
      <c r="AV384" s="1">
        <v>2023</v>
      </c>
      <c r="AW384" s="1">
        <v>5</v>
      </c>
      <c r="AX384" s="1">
        <v>6</v>
      </c>
      <c r="AY384" s="1" t="s">
        <v>1507</v>
      </c>
      <c r="AZ384" s="1" t="s">
        <v>1507</v>
      </c>
      <c r="BA384" s="1" t="s">
        <v>1507</v>
      </c>
      <c r="BB384" s="1" t="s">
        <v>1507</v>
      </c>
      <c r="BC384" s="1" t="s">
        <v>1507</v>
      </c>
      <c r="BD384" s="1" t="s">
        <v>1507</v>
      </c>
      <c r="BE384" s="1" t="s">
        <v>2865</v>
      </c>
      <c r="BF384" s="1" t="s">
        <v>2866</v>
      </c>
      <c r="BG384" s="1" t="str">
        <f>HYPERLINK("http://dx.doi.org/10.1093/braincomms/fcad318","http://dx.doi.org/10.1093/braincomms/fcad318")</f>
        <v>http://dx.doi.org/10.1093/braincomms/fcad318</v>
      </c>
      <c r="BH384" s="1" t="s">
        <v>1507</v>
      </c>
      <c r="BI384" s="1" t="s">
        <v>1507</v>
      </c>
      <c r="BJ384" s="1">
        <v>13</v>
      </c>
      <c r="BK384" s="1" t="s">
        <v>2867</v>
      </c>
      <c r="BL384" s="1" t="s">
        <v>1529</v>
      </c>
      <c r="BM384" s="1" t="s">
        <v>2868</v>
      </c>
      <c r="BN384" s="1" t="s">
        <v>2869</v>
      </c>
      <c r="BO384" s="1">
        <v>38046096</v>
      </c>
      <c r="BP384" s="1" t="s">
        <v>1674</v>
      </c>
      <c r="BQ384" s="1" t="s">
        <v>1507</v>
      </c>
      <c r="BR384" s="1" t="s">
        <v>1507</v>
      </c>
      <c r="BS384" s="1" t="s">
        <v>13744</v>
      </c>
      <c r="BT384" s="1" t="s">
        <v>2870</v>
      </c>
      <c r="BU384" s="1" t="str">
        <f>HYPERLINK("https%3A%2F%2Fwww.webofscience.com%2Fwos%2Fwoscc%2Ffull-record%2FWOS:001126899900008","View Full Record in Web of Science")</f>
        <v>View Full Record in Web of Science</v>
      </c>
    </row>
    <row r="385" spans="1:73" x14ac:dyDescent="0.25">
      <c r="A385" s="1">
        <v>384</v>
      </c>
      <c r="B385" s="1" t="s">
        <v>1506</v>
      </c>
      <c r="C385" s="1" t="s">
        <v>10130</v>
      </c>
      <c r="D385" s="1" t="s">
        <v>1507</v>
      </c>
      <c r="E385" s="1" t="s">
        <v>1507</v>
      </c>
      <c r="F385" s="1" t="s">
        <v>1507</v>
      </c>
      <c r="G385" s="1" t="s">
        <v>10131</v>
      </c>
      <c r="H385" s="1" t="s">
        <v>1507</v>
      </c>
      <c r="I385" s="1" t="s">
        <v>1507</v>
      </c>
      <c r="J385" s="1" t="s">
        <v>10132</v>
      </c>
      <c r="K385" s="1" t="s">
        <v>10133</v>
      </c>
      <c r="L385" s="1" t="s">
        <v>1507</v>
      </c>
      <c r="M385" s="1" t="s">
        <v>1507</v>
      </c>
      <c r="N385" s="1" t="s">
        <v>42</v>
      </c>
      <c r="O385" s="1" t="s">
        <v>56</v>
      </c>
      <c r="P385" s="1" t="s">
        <v>1507</v>
      </c>
      <c r="Q385" s="1" t="s">
        <v>1507</v>
      </c>
      <c r="R385" s="1" t="s">
        <v>1507</v>
      </c>
      <c r="S385" s="1" t="s">
        <v>1507</v>
      </c>
      <c r="T385" s="1" t="s">
        <v>1507</v>
      </c>
      <c r="U385" s="1" t="s">
        <v>10134</v>
      </c>
      <c r="V385" s="1" t="s">
        <v>10135</v>
      </c>
      <c r="W385" s="1" t="s">
        <v>10136</v>
      </c>
      <c r="X385" s="1" t="s">
        <v>10137</v>
      </c>
      <c r="Y385" s="1" t="s">
        <v>10138</v>
      </c>
      <c r="Z385" s="1" t="s">
        <v>10139</v>
      </c>
      <c r="AA385" s="1" t="s">
        <v>10140</v>
      </c>
      <c r="AB385" s="1" t="s">
        <v>1507</v>
      </c>
      <c r="AC385" s="1" t="s">
        <v>10141</v>
      </c>
      <c r="AD385" s="1" t="s">
        <v>10142</v>
      </c>
      <c r="AE385" s="1" t="s">
        <v>10142</v>
      </c>
      <c r="AF385" s="1" t="s">
        <v>10143</v>
      </c>
      <c r="AG385" s="1" t="s">
        <v>1507</v>
      </c>
      <c r="AH385" s="1">
        <v>35</v>
      </c>
      <c r="AI385" s="1">
        <v>4</v>
      </c>
      <c r="AJ385" s="1">
        <v>5</v>
      </c>
      <c r="AK385" s="1">
        <v>0</v>
      </c>
      <c r="AL385" s="1">
        <v>5</v>
      </c>
      <c r="AM385" s="1" t="s">
        <v>3156</v>
      </c>
      <c r="AN385" s="1" t="s">
        <v>3157</v>
      </c>
      <c r="AO385" s="1" t="s">
        <v>3158</v>
      </c>
      <c r="AP385" s="1" t="s">
        <v>10144</v>
      </c>
      <c r="AQ385" s="1" t="s">
        <v>10145</v>
      </c>
      <c r="AR385" s="1" t="s">
        <v>1507</v>
      </c>
      <c r="AS385" s="1" t="s">
        <v>10146</v>
      </c>
      <c r="AT385" s="1" t="s">
        <v>10147</v>
      </c>
      <c r="AU385" s="1" t="s">
        <v>9054</v>
      </c>
      <c r="AV385" s="1">
        <v>2020</v>
      </c>
      <c r="AW385" s="1">
        <v>170</v>
      </c>
      <c r="AX385" s="1" t="s">
        <v>1507</v>
      </c>
      <c r="AY385" s="1" t="s">
        <v>1507</v>
      </c>
      <c r="AZ385" s="1" t="s">
        <v>1507</v>
      </c>
      <c r="BA385" s="1" t="s">
        <v>1507</v>
      </c>
      <c r="BB385" s="1" t="s">
        <v>1507</v>
      </c>
      <c r="BC385" s="1" t="s">
        <v>1507</v>
      </c>
      <c r="BD385" s="1" t="s">
        <v>1507</v>
      </c>
      <c r="BE385" s="1">
        <v>107312</v>
      </c>
      <c r="BF385" s="1" t="s">
        <v>10148</v>
      </c>
      <c r="BG385" s="1" t="str">
        <f>HYPERLINK("http://dx.doi.org/10.1016/j.jip.2019.107312","http://dx.doi.org/10.1016/j.jip.2019.107312")</f>
        <v>http://dx.doi.org/10.1016/j.jip.2019.107312</v>
      </c>
      <c r="BH385" s="1" t="s">
        <v>1507</v>
      </c>
      <c r="BI385" s="1" t="s">
        <v>1507</v>
      </c>
      <c r="BJ385" s="1">
        <v>6</v>
      </c>
      <c r="BK385" s="1" t="s">
        <v>8601</v>
      </c>
      <c r="BL385" s="1" t="s">
        <v>1573</v>
      </c>
      <c r="BM385" s="1" t="s">
        <v>8601</v>
      </c>
      <c r="BN385" s="1" t="s">
        <v>10149</v>
      </c>
      <c r="BO385" s="1">
        <v>31870852</v>
      </c>
      <c r="BP385" s="1" t="s">
        <v>1537</v>
      </c>
      <c r="BQ385" s="1" t="s">
        <v>1507</v>
      </c>
      <c r="BR385" s="1" t="s">
        <v>1507</v>
      </c>
      <c r="BS385" s="1" t="s">
        <v>13744</v>
      </c>
      <c r="BT385" s="1" t="s">
        <v>10150</v>
      </c>
      <c r="BU385" s="1" t="str">
        <f>HYPERLINK("https%3A%2F%2Fwww.webofscience.com%2Fwos%2Fwoscc%2Ffull-record%2FWOS:000552825100002","View Full Record in Web of Science")</f>
        <v>View Full Record in Web of Science</v>
      </c>
    </row>
    <row r="386" spans="1:73" x14ac:dyDescent="0.25">
      <c r="A386" s="1">
        <v>385</v>
      </c>
      <c r="B386" s="1" t="s">
        <v>1506</v>
      </c>
      <c r="C386" s="1" t="s">
        <v>14009</v>
      </c>
      <c r="D386" s="1" t="s">
        <v>1507</v>
      </c>
      <c r="E386" s="1" t="s">
        <v>1507</v>
      </c>
      <c r="F386" s="1" t="s">
        <v>1507</v>
      </c>
      <c r="G386" s="1" t="s">
        <v>14010</v>
      </c>
      <c r="H386" s="1" t="s">
        <v>1507</v>
      </c>
      <c r="I386" s="1" t="s">
        <v>1507</v>
      </c>
      <c r="J386" s="1" t="s">
        <v>14011</v>
      </c>
      <c r="K386" s="1" t="s">
        <v>3083</v>
      </c>
      <c r="L386" s="1" t="s">
        <v>1507</v>
      </c>
      <c r="M386" s="1" t="s">
        <v>1507</v>
      </c>
      <c r="N386" s="1" t="s">
        <v>42</v>
      </c>
      <c r="O386" s="1" t="s">
        <v>56</v>
      </c>
      <c r="P386" s="1" t="s">
        <v>1507</v>
      </c>
      <c r="Q386" s="1" t="s">
        <v>1507</v>
      </c>
      <c r="R386" s="1" t="s">
        <v>1507</v>
      </c>
      <c r="S386" s="1" t="s">
        <v>1507</v>
      </c>
      <c r="T386" s="1" t="s">
        <v>1507</v>
      </c>
      <c r="U386" s="1" t="s">
        <v>14012</v>
      </c>
      <c r="V386" s="1" t="s">
        <v>14013</v>
      </c>
      <c r="W386" s="1" t="s">
        <v>14014</v>
      </c>
      <c r="X386" s="1" t="s">
        <v>14015</v>
      </c>
      <c r="Y386" s="1" t="s">
        <v>1507</v>
      </c>
      <c r="Z386" s="1" t="s">
        <v>14016</v>
      </c>
      <c r="AA386" s="1" t="s">
        <v>3088</v>
      </c>
      <c r="AB386" s="1" t="s">
        <v>1507</v>
      </c>
      <c r="AC386" s="1" t="s">
        <v>1507</v>
      </c>
      <c r="AD386" s="1" t="s">
        <v>1507</v>
      </c>
      <c r="AE386" s="1" t="s">
        <v>1507</v>
      </c>
      <c r="AF386" s="1" t="s">
        <v>1507</v>
      </c>
      <c r="AG386" s="1" t="s">
        <v>1507</v>
      </c>
      <c r="AH386" s="1">
        <v>15</v>
      </c>
      <c r="AI386" s="1">
        <v>0</v>
      </c>
      <c r="AJ386" s="1">
        <v>0</v>
      </c>
      <c r="AK386" s="1">
        <v>7</v>
      </c>
      <c r="AL386" s="1">
        <v>7</v>
      </c>
      <c r="AM386" s="1" t="s">
        <v>1601</v>
      </c>
      <c r="AN386" s="1" t="s">
        <v>1551</v>
      </c>
      <c r="AO386" s="1" t="s">
        <v>1602</v>
      </c>
      <c r="AP386" s="1" t="s">
        <v>1507</v>
      </c>
      <c r="AQ386" s="1" t="s">
        <v>3091</v>
      </c>
      <c r="AR386" s="1" t="s">
        <v>1507</v>
      </c>
      <c r="AS386" s="1" t="s">
        <v>3092</v>
      </c>
      <c r="AT386" s="1" t="s">
        <v>3093</v>
      </c>
      <c r="AU386" s="1" t="s">
        <v>14017</v>
      </c>
      <c r="AV386" s="1">
        <v>2023</v>
      </c>
      <c r="AW386" s="1">
        <v>15</v>
      </c>
      <c r="AX386" s="1">
        <v>11</v>
      </c>
      <c r="AY386" s="1" t="s">
        <v>1507</v>
      </c>
      <c r="AZ386" s="1" t="s">
        <v>1507</v>
      </c>
      <c r="BA386" s="1" t="s">
        <v>1507</v>
      </c>
      <c r="BB386" s="1" t="s">
        <v>1507</v>
      </c>
      <c r="BC386" s="1" t="s">
        <v>1507</v>
      </c>
      <c r="BD386" s="1" t="s">
        <v>1507</v>
      </c>
      <c r="BE386" s="1" t="s">
        <v>14018</v>
      </c>
      <c r="BF386" s="1" t="s">
        <v>14019</v>
      </c>
      <c r="BG386" s="1" t="str">
        <f>HYPERLINK("http://dx.doi.org/10.7759/cureus.48296","http://dx.doi.org/10.7759/cureus.48296")</f>
        <v>http://dx.doi.org/10.7759/cureus.48296</v>
      </c>
      <c r="BH386" s="1" t="s">
        <v>1507</v>
      </c>
      <c r="BI386" s="1" t="s">
        <v>1507</v>
      </c>
      <c r="BJ386" s="1">
        <v>7</v>
      </c>
      <c r="BK386" s="1" t="s">
        <v>1949</v>
      </c>
      <c r="BL386" s="1" t="s">
        <v>1529</v>
      </c>
      <c r="BM386" s="1" t="s">
        <v>1950</v>
      </c>
      <c r="BN386" s="1" t="s">
        <v>14020</v>
      </c>
      <c r="BO386" s="1">
        <v>38058315</v>
      </c>
      <c r="BP386" s="1" t="s">
        <v>1952</v>
      </c>
      <c r="BQ386" s="1" t="s">
        <v>1507</v>
      </c>
      <c r="BR386" s="1" t="s">
        <v>1507</v>
      </c>
      <c r="BS386" s="1" t="s">
        <v>13744</v>
      </c>
      <c r="BT386" s="1" t="s">
        <v>14021</v>
      </c>
      <c r="BU386" s="1" t="str">
        <f>HYPERLINK("https%3A%2F%2Fwww.webofscience.com%2Fwos%2Fwoscc%2Ffull-record%2FWOS:001110699100024","View Full Record in Web of Science")</f>
        <v>View Full Record in Web of Science</v>
      </c>
    </row>
    <row r="387" spans="1:73" x14ac:dyDescent="0.25">
      <c r="A387" s="1">
        <v>386</v>
      </c>
      <c r="B387" s="1" t="s">
        <v>1506</v>
      </c>
      <c r="C387" s="1" t="s">
        <v>4138</v>
      </c>
      <c r="D387" s="1" t="s">
        <v>1507</v>
      </c>
      <c r="E387" s="1" t="s">
        <v>1507</v>
      </c>
      <c r="F387" s="1" t="s">
        <v>1507</v>
      </c>
      <c r="G387" s="1" t="s">
        <v>4139</v>
      </c>
      <c r="H387" s="1" t="s">
        <v>1507</v>
      </c>
      <c r="I387" s="1" t="s">
        <v>1507</v>
      </c>
      <c r="J387" s="1" t="s">
        <v>4140</v>
      </c>
      <c r="K387" s="1" t="s">
        <v>1562</v>
      </c>
      <c r="L387" s="1" t="s">
        <v>1507</v>
      </c>
      <c r="M387" s="1" t="s">
        <v>1507</v>
      </c>
      <c r="N387" s="1" t="s">
        <v>42</v>
      </c>
      <c r="O387" s="1" t="s">
        <v>56</v>
      </c>
      <c r="P387" s="1" t="s">
        <v>1507</v>
      </c>
      <c r="Q387" s="1" t="s">
        <v>1507</v>
      </c>
      <c r="R387" s="1" t="s">
        <v>1507</v>
      </c>
      <c r="S387" s="1" t="s">
        <v>1507</v>
      </c>
      <c r="T387" s="1" t="s">
        <v>1507</v>
      </c>
      <c r="U387" s="1" t="s">
        <v>4141</v>
      </c>
      <c r="V387" s="1" t="s">
        <v>4142</v>
      </c>
      <c r="W387" s="1" t="s">
        <v>4143</v>
      </c>
      <c r="X387" s="1" t="s">
        <v>4144</v>
      </c>
      <c r="Y387" s="1" t="s">
        <v>4145</v>
      </c>
      <c r="Z387" s="1" t="s">
        <v>4146</v>
      </c>
      <c r="AA387" s="1" t="s">
        <v>4147</v>
      </c>
      <c r="AB387" s="1" t="s">
        <v>14560</v>
      </c>
      <c r="AC387" s="1" t="s">
        <v>14561</v>
      </c>
      <c r="AD387" s="1" t="s">
        <v>4148</v>
      </c>
      <c r="AE387" s="1" t="s">
        <v>4148</v>
      </c>
      <c r="AF387" s="1" t="s">
        <v>4149</v>
      </c>
      <c r="AG387" s="1" t="s">
        <v>1507</v>
      </c>
      <c r="AH387" s="1">
        <v>91</v>
      </c>
      <c r="AI387" s="1">
        <v>0</v>
      </c>
      <c r="AJ387" s="1">
        <v>0</v>
      </c>
      <c r="AK387" s="1">
        <v>12</v>
      </c>
      <c r="AL387" s="1">
        <v>16</v>
      </c>
      <c r="AM387" s="1" t="s">
        <v>1564</v>
      </c>
      <c r="AN387" s="1" t="s">
        <v>1565</v>
      </c>
      <c r="AO387" s="1" t="s">
        <v>1566</v>
      </c>
      <c r="AP387" s="1" t="s">
        <v>1507</v>
      </c>
      <c r="AQ387" s="1" t="s">
        <v>1567</v>
      </c>
      <c r="AR387" s="1" t="s">
        <v>1507</v>
      </c>
      <c r="AS387" s="1" t="s">
        <v>1568</v>
      </c>
      <c r="AT387" s="1" t="s">
        <v>342</v>
      </c>
      <c r="AU387" s="1" t="s">
        <v>4150</v>
      </c>
      <c r="AV387" s="1">
        <v>2023</v>
      </c>
      <c r="AW387" s="1">
        <v>8</v>
      </c>
      <c r="AX387" s="1" t="s">
        <v>1507</v>
      </c>
      <c r="AY387" s="1" t="s">
        <v>1507</v>
      </c>
      <c r="AZ387" s="1" t="s">
        <v>1507</v>
      </c>
      <c r="BA387" s="1" t="s">
        <v>1507</v>
      </c>
      <c r="BB387" s="1" t="s">
        <v>1507</v>
      </c>
      <c r="BC387" s="1" t="s">
        <v>1507</v>
      </c>
      <c r="BD387" s="1" t="s">
        <v>1507</v>
      </c>
      <c r="BE387" s="1">
        <v>1250461</v>
      </c>
      <c r="BF387" s="1" t="s">
        <v>978</v>
      </c>
      <c r="BG387" s="1" t="str">
        <f>HYPERLINK("http://dx.doi.org/10.3389/feduc.2023.1250461","http://dx.doi.org/10.3389/feduc.2023.1250461")</f>
        <v>http://dx.doi.org/10.3389/feduc.2023.1250461</v>
      </c>
      <c r="BH387" s="1" t="s">
        <v>1507</v>
      </c>
      <c r="BI387" s="1" t="s">
        <v>1507</v>
      </c>
      <c r="BJ387" s="1">
        <v>14</v>
      </c>
      <c r="BK387" s="1" t="s">
        <v>1558</v>
      </c>
      <c r="BL387" s="1" t="s">
        <v>1529</v>
      </c>
      <c r="BM387" s="1" t="s">
        <v>1558</v>
      </c>
      <c r="BN387" s="1" t="s">
        <v>4151</v>
      </c>
      <c r="BO387" s="1" t="s">
        <v>1507</v>
      </c>
      <c r="BP387" s="1" t="s">
        <v>1531</v>
      </c>
      <c r="BQ387" s="1" t="s">
        <v>1507</v>
      </c>
      <c r="BR387" s="1" t="s">
        <v>1507</v>
      </c>
      <c r="BS387" s="1" t="s">
        <v>13744</v>
      </c>
      <c r="BT387" s="1" t="s">
        <v>4152</v>
      </c>
      <c r="BU387" s="1" t="str">
        <f>HYPERLINK("https%3A%2F%2Fwww.webofscience.com%2Fwos%2Fwoscc%2Ffull-record%2FWOS:001059144000001","View Full Record in Web of Science")</f>
        <v>View Full Record in Web of Science</v>
      </c>
    </row>
    <row r="388" spans="1:73" x14ac:dyDescent="0.25">
      <c r="A388" s="1">
        <v>387</v>
      </c>
      <c r="B388" s="1" t="s">
        <v>1506</v>
      </c>
      <c r="C388" s="1" t="s">
        <v>10005</v>
      </c>
      <c r="D388" s="1" t="s">
        <v>1507</v>
      </c>
      <c r="E388" s="1" t="s">
        <v>1507</v>
      </c>
      <c r="F388" s="1" t="s">
        <v>1507</v>
      </c>
      <c r="G388" s="1" t="s">
        <v>10006</v>
      </c>
      <c r="H388" s="1" t="s">
        <v>1507</v>
      </c>
      <c r="I388" s="1" t="s">
        <v>1507</v>
      </c>
      <c r="J388" s="1" t="s">
        <v>10007</v>
      </c>
      <c r="K388" s="1" t="s">
        <v>10008</v>
      </c>
      <c r="L388" s="1" t="s">
        <v>1507</v>
      </c>
      <c r="M388" s="1" t="s">
        <v>1507</v>
      </c>
      <c r="N388" s="1" t="s">
        <v>42</v>
      </c>
      <c r="O388" s="1" t="s">
        <v>56</v>
      </c>
      <c r="P388" s="1" t="s">
        <v>1507</v>
      </c>
      <c r="Q388" s="1" t="s">
        <v>1507</v>
      </c>
      <c r="R388" s="1" t="s">
        <v>1507</v>
      </c>
      <c r="S388" s="1" t="s">
        <v>1507</v>
      </c>
      <c r="T388" s="1" t="s">
        <v>1507</v>
      </c>
      <c r="U388" s="1" t="s">
        <v>10009</v>
      </c>
      <c r="V388" s="1" t="s">
        <v>10010</v>
      </c>
      <c r="W388" s="1" t="s">
        <v>10011</v>
      </c>
      <c r="X388" s="1" t="s">
        <v>10012</v>
      </c>
      <c r="Y388" s="1" t="s">
        <v>10013</v>
      </c>
      <c r="Z388" s="1" t="s">
        <v>10014</v>
      </c>
      <c r="AA388" s="1" t="s">
        <v>10015</v>
      </c>
      <c r="AB388" s="1" t="s">
        <v>1507</v>
      </c>
      <c r="AC388" s="1" t="s">
        <v>1507</v>
      </c>
      <c r="AD388" s="1" t="s">
        <v>10016</v>
      </c>
      <c r="AE388" s="1" t="s">
        <v>10016</v>
      </c>
      <c r="AF388" s="1" t="s">
        <v>10017</v>
      </c>
      <c r="AG388" s="1" t="s">
        <v>1507</v>
      </c>
      <c r="AH388" s="1">
        <v>61</v>
      </c>
      <c r="AI388" s="1">
        <v>6</v>
      </c>
      <c r="AJ388" s="1">
        <v>8</v>
      </c>
      <c r="AK388" s="1">
        <v>0</v>
      </c>
      <c r="AL388" s="1">
        <v>14</v>
      </c>
      <c r="AM388" s="1" t="s">
        <v>1559</v>
      </c>
      <c r="AN388" s="1" t="s">
        <v>1560</v>
      </c>
      <c r="AO388" s="1" t="s">
        <v>1561</v>
      </c>
      <c r="AP388" s="1" t="s">
        <v>10018</v>
      </c>
      <c r="AQ388" s="1" t="s">
        <v>10019</v>
      </c>
      <c r="AR388" s="1" t="s">
        <v>1507</v>
      </c>
      <c r="AS388" s="1" t="s">
        <v>10020</v>
      </c>
      <c r="AT388" s="1" t="s">
        <v>10021</v>
      </c>
      <c r="AU388" s="1" t="s">
        <v>4556</v>
      </c>
      <c r="AV388" s="1">
        <v>2020</v>
      </c>
      <c r="AW388" s="1">
        <v>114</v>
      </c>
      <c r="AX388" s="1">
        <v>1</v>
      </c>
      <c r="AY388" s="1" t="s">
        <v>1507</v>
      </c>
      <c r="AZ388" s="1" t="s">
        <v>1507</v>
      </c>
      <c r="BA388" s="1" t="s">
        <v>1507</v>
      </c>
      <c r="BB388" s="1" t="s">
        <v>1507</v>
      </c>
      <c r="BC388" s="1">
        <v>77</v>
      </c>
      <c r="BD388" s="1">
        <v>92</v>
      </c>
      <c r="BE388" s="1" t="s">
        <v>1507</v>
      </c>
      <c r="BF388" s="1" t="s">
        <v>10022</v>
      </c>
      <c r="BG388" s="1" t="str">
        <f>HYPERLINK("http://dx.doi.org/10.1111/mmi.14497","http://dx.doi.org/10.1111/mmi.14497")</f>
        <v>http://dx.doi.org/10.1111/mmi.14497</v>
      </c>
      <c r="BH388" s="1" t="s">
        <v>1507</v>
      </c>
      <c r="BI388" s="1" t="s">
        <v>10023</v>
      </c>
      <c r="BJ388" s="1">
        <v>16</v>
      </c>
      <c r="BK388" s="1" t="s">
        <v>10024</v>
      </c>
      <c r="BL388" s="1" t="s">
        <v>1573</v>
      </c>
      <c r="BM388" s="1" t="s">
        <v>10024</v>
      </c>
      <c r="BN388" s="1" t="s">
        <v>10025</v>
      </c>
      <c r="BO388" s="1">
        <v>32096286</v>
      </c>
      <c r="BP388" s="1" t="s">
        <v>3572</v>
      </c>
      <c r="BQ388" s="1" t="s">
        <v>1507</v>
      </c>
      <c r="BR388" s="1" t="s">
        <v>1507</v>
      </c>
      <c r="BS388" s="1" t="s">
        <v>13744</v>
      </c>
      <c r="BT388" s="1" t="s">
        <v>10026</v>
      </c>
      <c r="BU388" s="1" t="str">
        <f>HYPERLINK("https%3A%2F%2Fwww.webofscience.com%2Fwos%2Fwoscc%2Ffull-record%2FWOS:000519964300001","View Full Record in Web of Science")</f>
        <v>View Full Record in Web of Science</v>
      </c>
    </row>
    <row r="389" spans="1:73" x14ac:dyDescent="0.25">
      <c r="A389" s="1">
        <v>388</v>
      </c>
      <c r="B389" s="1" t="s">
        <v>1506</v>
      </c>
      <c r="C389" s="1" t="s">
        <v>4153</v>
      </c>
      <c r="D389" s="1" t="s">
        <v>1507</v>
      </c>
      <c r="E389" s="1" t="s">
        <v>1507</v>
      </c>
      <c r="F389" s="1" t="s">
        <v>1507</v>
      </c>
      <c r="G389" s="1" t="s">
        <v>4154</v>
      </c>
      <c r="H389" s="1" t="s">
        <v>1507</v>
      </c>
      <c r="I389" s="1" t="s">
        <v>1507</v>
      </c>
      <c r="J389" s="1" t="s">
        <v>4155</v>
      </c>
      <c r="K389" s="1" t="s">
        <v>4156</v>
      </c>
      <c r="L389" s="1" t="s">
        <v>1507</v>
      </c>
      <c r="M389" s="1" t="s">
        <v>1507</v>
      </c>
      <c r="N389" s="1" t="s">
        <v>42</v>
      </c>
      <c r="O389" s="1" t="s">
        <v>56</v>
      </c>
      <c r="P389" s="1" t="s">
        <v>1507</v>
      </c>
      <c r="Q389" s="1" t="s">
        <v>1507</v>
      </c>
      <c r="R389" s="1" t="s">
        <v>1507</v>
      </c>
      <c r="S389" s="1" t="s">
        <v>1507</v>
      </c>
      <c r="T389" s="1" t="s">
        <v>1507</v>
      </c>
      <c r="U389" s="1" t="s">
        <v>4157</v>
      </c>
      <c r="V389" s="1" t="s">
        <v>1507</v>
      </c>
      <c r="W389" s="1" t="s">
        <v>4158</v>
      </c>
      <c r="X389" s="1" t="s">
        <v>4159</v>
      </c>
      <c r="Y389" s="1" t="s">
        <v>4160</v>
      </c>
      <c r="Z389" s="1" t="s">
        <v>4161</v>
      </c>
      <c r="AA389" s="1" t="s">
        <v>4162</v>
      </c>
      <c r="AB389" s="1" t="s">
        <v>1507</v>
      </c>
      <c r="AC389" s="1" t="s">
        <v>1507</v>
      </c>
      <c r="AD389" s="1" t="s">
        <v>4163</v>
      </c>
      <c r="AE389" s="1" t="s">
        <v>4163</v>
      </c>
      <c r="AF389" s="1" t="s">
        <v>4164</v>
      </c>
      <c r="AG389" s="1" t="s">
        <v>1507</v>
      </c>
      <c r="AH389" s="1">
        <v>10</v>
      </c>
      <c r="AI389" s="1">
        <v>2</v>
      </c>
      <c r="AJ389" s="1">
        <v>2</v>
      </c>
      <c r="AK389" s="1">
        <v>6</v>
      </c>
      <c r="AL389" s="1">
        <v>9</v>
      </c>
      <c r="AM389" s="1" t="s">
        <v>1564</v>
      </c>
      <c r="AN389" s="1" t="s">
        <v>1565</v>
      </c>
      <c r="AO389" s="1" t="s">
        <v>1566</v>
      </c>
      <c r="AP389" s="1" t="s">
        <v>4165</v>
      </c>
      <c r="AQ389" s="1" t="s">
        <v>1507</v>
      </c>
      <c r="AR389" s="1" t="s">
        <v>1507</v>
      </c>
      <c r="AS389" s="1" t="s">
        <v>4166</v>
      </c>
      <c r="AT389" s="1" t="s">
        <v>4167</v>
      </c>
      <c r="AU389" s="1" t="s">
        <v>4150</v>
      </c>
      <c r="AV389" s="1">
        <v>2023</v>
      </c>
      <c r="AW389" s="1">
        <v>14</v>
      </c>
      <c r="AX389" s="1" t="s">
        <v>1507</v>
      </c>
      <c r="AY389" s="1" t="s">
        <v>1507</v>
      </c>
      <c r="AZ389" s="1" t="s">
        <v>1507</v>
      </c>
      <c r="BA389" s="1" t="s">
        <v>1507</v>
      </c>
      <c r="BB389" s="1" t="s">
        <v>1507</v>
      </c>
      <c r="BC389" s="1" t="s">
        <v>1507</v>
      </c>
      <c r="BD389" s="1" t="s">
        <v>1507</v>
      </c>
      <c r="BE389" s="1">
        <v>1225223</v>
      </c>
      <c r="BF389" s="1" t="s">
        <v>4168</v>
      </c>
      <c r="BG389" s="1" t="str">
        <f>HYPERLINK("http://dx.doi.org/10.3389/fneur.2023.1225223","http://dx.doi.org/10.3389/fneur.2023.1225223")</f>
        <v>http://dx.doi.org/10.3389/fneur.2023.1225223</v>
      </c>
      <c r="BH389" s="1" t="s">
        <v>1507</v>
      </c>
      <c r="BI389" s="1" t="s">
        <v>1507</v>
      </c>
      <c r="BJ389" s="1">
        <v>7</v>
      </c>
      <c r="BK389" s="1" t="s">
        <v>2867</v>
      </c>
      <c r="BL389" s="1" t="s">
        <v>1573</v>
      </c>
      <c r="BM389" s="1" t="s">
        <v>2868</v>
      </c>
      <c r="BN389" s="1" t="s">
        <v>4169</v>
      </c>
      <c r="BO389" s="1">
        <v>37662036</v>
      </c>
      <c r="BP389" s="1" t="s">
        <v>1674</v>
      </c>
      <c r="BQ389" s="1" t="s">
        <v>1507</v>
      </c>
      <c r="BR389" s="1" t="s">
        <v>1507</v>
      </c>
      <c r="BS389" s="1" t="s">
        <v>13744</v>
      </c>
      <c r="BT389" s="1" t="s">
        <v>4170</v>
      </c>
      <c r="BU389" s="1" t="str">
        <f>HYPERLINK("https%3A%2F%2Fwww.webofscience.com%2Fwos%2Fwoscc%2Ffull-record%2FWOS:001058930700001","View Full Record in Web of Science")</f>
        <v>View Full Record in Web of Science</v>
      </c>
    </row>
    <row r="390" spans="1:73" x14ac:dyDescent="0.25">
      <c r="A390" s="1">
        <v>389</v>
      </c>
      <c r="B390" s="1" t="s">
        <v>1506</v>
      </c>
      <c r="C390" s="1" t="s">
        <v>15223</v>
      </c>
      <c r="D390" s="1" t="s">
        <v>1507</v>
      </c>
      <c r="E390" s="1" t="s">
        <v>1507</v>
      </c>
      <c r="F390" s="1" t="s">
        <v>1507</v>
      </c>
      <c r="G390" s="1" t="s">
        <v>15224</v>
      </c>
      <c r="H390" s="1" t="s">
        <v>1507</v>
      </c>
      <c r="I390" s="1" t="s">
        <v>1507</v>
      </c>
      <c r="J390" s="1" t="s">
        <v>12137</v>
      </c>
      <c r="K390" s="1" t="s">
        <v>15225</v>
      </c>
      <c r="L390" s="1" t="s">
        <v>1507</v>
      </c>
      <c r="M390" s="1" t="s">
        <v>1507</v>
      </c>
      <c r="N390" s="1" t="s">
        <v>42</v>
      </c>
      <c r="O390" s="1" t="s">
        <v>56</v>
      </c>
      <c r="P390" s="1" t="s">
        <v>1507</v>
      </c>
      <c r="Q390" s="1" t="s">
        <v>1507</v>
      </c>
      <c r="R390" s="1" t="s">
        <v>1507</v>
      </c>
      <c r="S390" s="1" t="s">
        <v>1507</v>
      </c>
      <c r="T390" s="1" t="s">
        <v>1507</v>
      </c>
      <c r="U390" s="1" t="s">
        <v>15226</v>
      </c>
      <c r="V390" s="1" t="s">
        <v>15227</v>
      </c>
      <c r="W390" s="1" t="s">
        <v>15228</v>
      </c>
      <c r="X390" s="1" t="s">
        <v>15229</v>
      </c>
      <c r="Y390" s="1" t="s">
        <v>15230</v>
      </c>
      <c r="Z390" s="1" t="s">
        <v>15231</v>
      </c>
      <c r="AA390" s="1" t="s">
        <v>15232</v>
      </c>
      <c r="AB390" s="1" t="s">
        <v>1507</v>
      </c>
      <c r="AC390" s="1" t="s">
        <v>1507</v>
      </c>
      <c r="AD390" s="1" t="s">
        <v>15233</v>
      </c>
      <c r="AE390" s="1" t="s">
        <v>15234</v>
      </c>
      <c r="AF390" s="1" t="s">
        <v>12884</v>
      </c>
      <c r="AG390" s="1" t="s">
        <v>1507</v>
      </c>
      <c r="AH390" s="1">
        <v>75</v>
      </c>
      <c r="AI390" s="1">
        <v>0</v>
      </c>
      <c r="AJ390" s="1">
        <v>0</v>
      </c>
      <c r="AK390" s="1">
        <v>4</v>
      </c>
      <c r="AL390" s="1">
        <v>4</v>
      </c>
      <c r="AM390" s="1" t="s">
        <v>15235</v>
      </c>
      <c r="AN390" s="1" t="s">
        <v>15236</v>
      </c>
      <c r="AO390" s="1" t="s">
        <v>15237</v>
      </c>
      <c r="AP390" s="1" t="s">
        <v>15238</v>
      </c>
      <c r="AQ390" s="1" t="s">
        <v>1507</v>
      </c>
      <c r="AR390" s="1" t="s">
        <v>1507</v>
      </c>
      <c r="AS390" s="1" t="s">
        <v>15239</v>
      </c>
      <c r="AT390" s="1" t="s">
        <v>15239</v>
      </c>
      <c r="AU390" s="1" t="s">
        <v>1507</v>
      </c>
      <c r="AV390" s="1">
        <v>2023</v>
      </c>
      <c r="AW390" s="1">
        <v>29</v>
      </c>
      <c r="AX390" s="1">
        <v>2</v>
      </c>
      <c r="AY390" s="1" t="s">
        <v>1507</v>
      </c>
      <c r="AZ390" s="1" t="s">
        <v>1507</v>
      </c>
      <c r="BA390" s="1" t="s">
        <v>1507</v>
      </c>
      <c r="BB390" s="1" t="s">
        <v>1507</v>
      </c>
      <c r="BC390" s="1" t="s">
        <v>1507</v>
      </c>
      <c r="BD390" s="1" t="s">
        <v>1507</v>
      </c>
      <c r="BE390" s="1" t="s">
        <v>1507</v>
      </c>
      <c r="BF390" s="1" t="s">
        <v>15240</v>
      </c>
      <c r="BG390" s="1" t="str">
        <f>HYPERLINK("http://dx.doi.org/10.30827/relieve.v29i2.29295","http://dx.doi.org/10.30827/relieve.v29i2.29295")</f>
        <v>http://dx.doi.org/10.30827/relieve.v29i2.29295</v>
      </c>
      <c r="BH390" s="1" t="s">
        <v>1507</v>
      </c>
      <c r="BI390" s="1" t="s">
        <v>1507</v>
      </c>
      <c r="BJ390" s="1">
        <v>21</v>
      </c>
      <c r="BK390" s="1" t="s">
        <v>1558</v>
      </c>
      <c r="BL390" s="1" t="s">
        <v>1529</v>
      </c>
      <c r="BM390" s="1" t="s">
        <v>1558</v>
      </c>
      <c r="BN390" s="1" t="s">
        <v>15241</v>
      </c>
      <c r="BO390" s="1" t="s">
        <v>1507</v>
      </c>
      <c r="BP390" s="1" t="s">
        <v>1531</v>
      </c>
      <c r="BQ390" s="1" t="s">
        <v>1507</v>
      </c>
      <c r="BR390" s="1" t="s">
        <v>1507</v>
      </c>
      <c r="BS390" s="1" t="s">
        <v>13744</v>
      </c>
      <c r="BT390" s="1" t="s">
        <v>15242</v>
      </c>
      <c r="BU390" s="1" t="str">
        <f>HYPERLINK("https%3A%2F%2Fwww.webofscience.com%2Fwos%2Fwoscc%2Ffull-record%2FWOS:001171855700010","View Full Record in Web of Science")</f>
        <v>View Full Record in Web of Science</v>
      </c>
    </row>
    <row r="391" spans="1:73" x14ac:dyDescent="0.25">
      <c r="A391" s="1">
        <v>390</v>
      </c>
      <c r="B391" s="1" t="s">
        <v>1506</v>
      </c>
      <c r="C391" s="1" t="s">
        <v>3574</v>
      </c>
      <c r="D391" s="1" t="s">
        <v>1507</v>
      </c>
      <c r="E391" s="1" t="s">
        <v>1507</v>
      </c>
      <c r="F391" s="1" t="s">
        <v>1507</v>
      </c>
      <c r="G391" s="1" t="s">
        <v>3575</v>
      </c>
      <c r="H391" s="1" t="s">
        <v>1507</v>
      </c>
      <c r="I391" s="1" t="s">
        <v>1507</v>
      </c>
      <c r="J391" s="1" t="s">
        <v>3576</v>
      </c>
      <c r="K391" s="1" t="s">
        <v>3577</v>
      </c>
      <c r="L391" s="1" t="s">
        <v>1507</v>
      </c>
      <c r="M391" s="1" t="s">
        <v>1507</v>
      </c>
      <c r="N391" s="1" t="s">
        <v>42</v>
      </c>
      <c r="O391" s="1" t="s">
        <v>56</v>
      </c>
      <c r="P391" s="1" t="s">
        <v>1507</v>
      </c>
      <c r="Q391" s="1" t="s">
        <v>1507</v>
      </c>
      <c r="R391" s="1" t="s">
        <v>1507</v>
      </c>
      <c r="S391" s="1" t="s">
        <v>1507</v>
      </c>
      <c r="T391" s="1" t="s">
        <v>1507</v>
      </c>
      <c r="U391" s="1" t="s">
        <v>3578</v>
      </c>
      <c r="V391" s="1" t="s">
        <v>1507</v>
      </c>
      <c r="W391" s="1" t="s">
        <v>3579</v>
      </c>
      <c r="X391" s="1" t="s">
        <v>3580</v>
      </c>
      <c r="Y391" s="1" t="s">
        <v>3581</v>
      </c>
      <c r="Z391" s="1" t="s">
        <v>3582</v>
      </c>
      <c r="AA391" s="1" t="s">
        <v>1507</v>
      </c>
      <c r="AB391" s="1" t="s">
        <v>1507</v>
      </c>
      <c r="AC391" s="1" t="s">
        <v>1507</v>
      </c>
      <c r="AD391" s="1" t="s">
        <v>3583</v>
      </c>
      <c r="AE391" s="1" t="s">
        <v>3583</v>
      </c>
      <c r="AF391" s="1" t="s">
        <v>3584</v>
      </c>
      <c r="AG391" s="1" t="s">
        <v>1507</v>
      </c>
      <c r="AH391" s="1">
        <v>23</v>
      </c>
      <c r="AI391" s="1">
        <v>0</v>
      </c>
      <c r="AJ391" s="1">
        <v>0</v>
      </c>
      <c r="AK391" s="1">
        <v>8</v>
      </c>
      <c r="AL391" s="1">
        <v>8</v>
      </c>
      <c r="AM391" s="1" t="s">
        <v>3585</v>
      </c>
      <c r="AN391" s="1" t="s">
        <v>3586</v>
      </c>
      <c r="AO391" s="1" t="s">
        <v>3587</v>
      </c>
      <c r="AP391" s="1" t="s">
        <v>3588</v>
      </c>
      <c r="AQ391" s="1" t="s">
        <v>3589</v>
      </c>
      <c r="AR391" s="1" t="s">
        <v>1507</v>
      </c>
      <c r="AS391" s="1" t="s">
        <v>3590</v>
      </c>
      <c r="AT391" s="1" t="s">
        <v>3591</v>
      </c>
      <c r="AU391" s="1" t="s">
        <v>2889</v>
      </c>
      <c r="AV391" s="1">
        <v>2023</v>
      </c>
      <c r="AW391" s="1">
        <v>14</v>
      </c>
      <c r="AX391" s="1">
        <v>10</v>
      </c>
      <c r="AY391" s="1" t="s">
        <v>1507</v>
      </c>
      <c r="AZ391" s="1" t="s">
        <v>1507</v>
      </c>
      <c r="BA391" s="1" t="s">
        <v>1507</v>
      </c>
      <c r="BB391" s="1" t="s">
        <v>1507</v>
      </c>
      <c r="BC391" s="1">
        <v>382</v>
      </c>
      <c r="BD391" s="1">
        <v>396</v>
      </c>
      <c r="BE391" s="1" t="s">
        <v>1507</v>
      </c>
      <c r="BF391" s="1" t="s">
        <v>1507</v>
      </c>
      <c r="BG391" s="1" t="s">
        <v>1507</v>
      </c>
      <c r="BH391" s="1" t="s">
        <v>1507</v>
      </c>
      <c r="BI391" s="1" t="s">
        <v>1507</v>
      </c>
      <c r="BJ391" s="1">
        <v>15</v>
      </c>
      <c r="BK391" s="1" t="s">
        <v>1603</v>
      </c>
      <c r="BL391" s="1" t="s">
        <v>1529</v>
      </c>
      <c r="BM391" s="1" t="s">
        <v>1577</v>
      </c>
      <c r="BN391" s="1" t="s">
        <v>3592</v>
      </c>
      <c r="BO391" s="1" t="s">
        <v>1507</v>
      </c>
      <c r="BP391" s="1" t="s">
        <v>1507</v>
      </c>
      <c r="BQ391" s="1" t="s">
        <v>1507</v>
      </c>
      <c r="BR391" s="1" t="s">
        <v>1507</v>
      </c>
      <c r="BS391" s="1" t="s">
        <v>13744</v>
      </c>
      <c r="BT391" s="1" t="s">
        <v>3593</v>
      </c>
      <c r="BU391" s="1" t="str">
        <f>HYPERLINK("https%3A%2F%2Fwww.webofscience.com%2Fwos%2Fwoscc%2Ffull-record%2FWOS:001125979200001","View Full Record in Web of Science")</f>
        <v>View Full Record in Web of Science</v>
      </c>
    </row>
    <row r="392" spans="1:73" x14ac:dyDescent="0.25">
      <c r="A392" s="1">
        <v>391</v>
      </c>
      <c r="B392" s="1" t="s">
        <v>1506</v>
      </c>
      <c r="C392" s="1" t="s">
        <v>8880</v>
      </c>
      <c r="D392" s="1" t="s">
        <v>1507</v>
      </c>
      <c r="E392" s="1" t="s">
        <v>1507</v>
      </c>
      <c r="F392" s="1" t="s">
        <v>1507</v>
      </c>
      <c r="G392" s="1" t="s">
        <v>8881</v>
      </c>
      <c r="H392" s="1" t="s">
        <v>1507</v>
      </c>
      <c r="I392" s="1" t="s">
        <v>1507</v>
      </c>
      <c r="J392" s="1" t="s">
        <v>8882</v>
      </c>
      <c r="K392" s="1" t="s">
        <v>8883</v>
      </c>
      <c r="L392" s="1" t="s">
        <v>1507</v>
      </c>
      <c r="M392" s="1" t="s">
        <v>1507</v>
      </c>
      <c r="N392" s="1" t="s">
        <v>42</v>
      </c>
      <c r="O392" s="1" t="s">
        <v>56</v>
      </c>
      <c r="P392" s="1" t="s">
        <v>1507</v>
      </c>
      <c r="Q392" s="1" t="s">
        <v>1507</v>
      </c>
      <c r="R392" s="1" t="s">
        <v>1507</v>
      </c>
      <c r="S392" s="1" t="s">
        <v>1507</v>
      </c>
      <c r="T392" s="1" t="s">
        <v>1507</v>
      </c>
      <c r="U392" s="1" t="s">
        <v>8884</v>
      </c>
      <c r="V392" s="1" t="s">
        <v>8885</v>
      </c>
      <c r="W392" s="1" t="s">
        <v>8886</v>
      </c>
      <c r="X392" s="1" t="s">
        <v>8887</v>
      </c>
      <c r="Y392" s="1" t="s">
        <v>8888</v>
      </c>
      <c r="Z392" s="1" t="s">
        <v>8889</v>
      </c>
      <c r="AA392" s="1" t="s">
        <v>4822</v>
      </c>
      <c r="AB392" s="1" t="s">
        <v>1507</v>
      </c>
      <c r="AC392" s="1" t="s">
        <v>1507</v>
      </c>
      <c r="AD392" s="1" t="s">
        <v>8890</v>
      </c>
      <c r="AE392" s="1" t="s">
        <v>8891</v>
      </c>
      <c r="AF392" s="1" t="s">
        <v>8892</v>
      </c>
      <c r="AG392" s="1" t="s">
        <v>1507</v>
      </c>
      <c r="AH392" s="1">
        <v>48</v>
      </c>
      <c r="AI392" s="1">
        <v>24</v>
      </c>
      <c r="AJ392" s="1">
        <v>24</v>
      </c>
      <c r="AK392" s="1">
        <v>7</v>
      </c>
      <c r="AL392" s="1">
        <v>36</v>
      </c>
      <c r="AM392" s="1" t="s">
        <v>1586</v>
      </c>
      <c r="AN392" s="1" t="s">
        <v>1583</v>
      </c>
      <c r="AO392" s="1" t="s">
        <v>3684</v>
      </c>
      <c r="AP392" s="1" t="s">
        <v>8893</v>
      </c>
      <c r="AQ392" s="1" t="s">
        <v>8894</v>
      </c>
      <c r="AR392" s="1" t="s">
        <v>1507</v>
      </c>
      <c r="AS392" s="1" t="s">
        <v>8895</v>
      </c>
      <c r="AT392" s="1" t="s">
        <v>8896</v>
      </c>
      <c r="AU392" s="1" t="s">
        <v>4556</v>
      </c>
      <c r="AV392" s="1">
        <v>2021</v>
      </c>
      <c r="AW392" s="1">
        <v>145</v>
      </c>
      <c r="AX392" s="1" t="s">
        <v>1507</v>
      </c>
      <c r="AY392" s="1" t="s">
        <v>1507</v>
      </c>
      <c r="AZ392" s="1" t="s">
        <v>1507</v>
      </c>
      <c r="BA392" s="1" t="s">
        <v>1507</v>
      </c>
      <c r="BB392" s="1" t="s">
        <v>1507</v>
      </c>
      <c r="BC392" s="1" t="s">
        <v>1507</v>
      </c>
      <c r="BD392" s="1" t="s">
        <v>1507</v>
      </c>
      <c r="BE392" s="1">
        <v>105618</v>
      </c>
      <c r="BF392" s="1" t="s">
        <v>8897</v>
      </c>
      <c r="BG392" s="1" t="str">
        <f>HYPERLINK("http://dx.doi.org/10.1016/j.cropro.2021.105618","http://dx.doi.org/10.1016/j.cropro.2021.105618")</f>
        <v>http://dx.doi.org/10.1016/j.cropro.2021.105618</v>
      </c>
      <c r="BH392" s="1" t="s">
        <v>1507</v>
      </c>
      <c r="BI392" s="1" t="s">
        <v>8876</v>
      </c>
      <c r="BJ392" s="1">
        <v>7</v>
      </c>
      <c r="BK392" s="1" t="s">
        <v>6511</v>
      </c>
      <c r="BL392" s="1" t="s">
        <v>1573</v>
      </c>
      <c r="BM392" s="1" t="s">
        <v>6512</v>
      </c>
      <c r="BN392" s="1" t="s">
        <v>8898</v>
      </c>
      <c r="BO392" s="1" t="s">
        <v>1507</v>
      </c>
      <c r="BP392" s="1" t="s">
        <v>1507</v>
      </c>
      <c r="BQ392" s="1" t="s">
        <v>1507</v>
      </c>
      <c r="BR392" s="1" t="s">
        <v>1507</v>
      </c>
      <c r="BS392" s="1" t="s">
        <v>13744</v>
      </c>
      <c r="BT392" s="1" t="s">
        <v>8899</v>
      </c>
      <c r="BU392" s="1" t="str">
        <f>HYPERLINK("https%3A%2F%2Fwww.webofscience.com%2Fwos%2Fwoscc%2Ffull-record%2FWOS:000645087000018","View Full Record in Web of Science")</f>
        <v>View Full Record in Web of Science</v>
      </c>
    </row>
    <row r="393" spans="1:73" x14ac:dyDescent="0.25">
      <c r="A393" s="1">
        <v>392</v>
      </c>
      <c r="B393" s="1" t="s">
        <v>1506</v>
      </c>
      <c r="C393" s="1" t="s">
        <v>5265</v>
      </c>
      <c r="D393" s="1" t="s">
        <v>1507</v>
      </c>
      <c r="E393" s="1" t="s">
        <v>1507</v>
      </c>
      <c r="F393" s="1" t="s">
        <v>1507</v>
      </c>
      <c r="G393" s="1" t="s">
        <v>5266</v>
      </c>
      <c r="H393" s="1" t="s">
        <v>1507</v>
      </c>
      <c r="I393" s="1" t="s">
        <v>1507</v>
      </c>
      <c r="J393" s="1" t="s">
        <v>5267</v>
      </c>
      <c r="K393" s="1" t="s">
        <v>5268</v>
      </c>
      <c r="L393" s="1" t="s">
        <v>1507</v>
      </c>
      <c r="M393" s="1" t="s">
        <v>1507</v>
      </c>
      <c r="N393" s="1" t="s">
        <v>42</v>
      </c>
      <c r="O393" s="1" t="s">
        <v>56</v>
      </c>
      <c r="P393" s="1" t="s">
        <v>1507</v>
      </c>
      <c r="Q393" s="1" t="s">
        <v>1507</v>
      </c>
      <c r="R393" s="1" t="s">
        <v>1507</v>
      </c>
      <c r="S393" s="1" t="s">
        <v>1507</v>
      </c>
      <c r="T393" s="1" t="s">
        <v>1507</v>
      </c>
      <c r="U393" s="1" t="s">
        <v>1507</v>
      </c>
      <c r="V393" s="1" t="s">
        <v>5269</v>
      </c>
      <c r="W393" s="1" t="s">
        <v>5270</v>
      </c>
      <c r="X393" s="1" t="s">
        <v>5271</v>
      </c>
      <c r="Y393" s="1" t="s">
        <v>5272</v>
      </c>
      <c r="Z393" s="1" t="s">
        <v>5273</v>
      </c>
      <c r="AA393" s="1" t="s">
        <v>5274</v>
      </c>
      <c r="AB393" s="1" t="s">
        <v>5275</v>
      </c>
      <c r="AC393" s="1" t="s">
        <v>14800</v>
      </c>
      <c r="AD393" s="1" t="s">
        <v>5276</v>
      </c>
      <c r="AE393" s="1" t="s">
        <v>5276</v>
      </c>
      <c r="AF393" s="1" t="s">
        <v>5277</v>
      </c>
      <c r="AG393" s="1" t="s">
        <v>1507</v>
      </c>
      <c r="AH393" s="1">
        <v>104</v>
      </c>
      <c r="AI393" s="1">
        <v>0</v>
      </c>
      <c r="AJ393" s="1">
        <v>0</v>
      </c>
      <c r="AK393" s="1">
        <v>0</v>
      </c>
      <c r="AL393" s="1">
        <v>1</v>
      </c>
      <c r="AM393" s="1" t="s">
        <v>5278</v>
      </c>
      <c r="AN393" s="1" t="s">
        <v>1551</v>
      </c>
      <c r="AO393" s="1" t="s">
        <v>5279</v>
      </c>
      <c r="AP393" s="1" t="s">
        <v>5280</v>
      </c>
      <c r="AQ393" s="1" t="s">
        <v>5281</v>
      </c>
      <c r="AR393" s="1" t="s">
        <v>1507</v>
      </c>
      <c r="AS393" s="1" t="s">
        <v>5282</v>
      </c>
      <c r="AT393" s="1" t="s">
        <v>5283</v>
      </c>
      <c r="AU393" s="1" t="s">
        <v>5284</v>
      </c>
      <c r="AV393" s="1">
        <v>2023</v>
      </c>
      <c r="AW393" s="1">
        <v>2023</v>
      </c>
      <c r="AX393" s="1" t="s">
        <v>1507</v>
      </c>
      <c r="AY393" s="1" t="s">
        <v>1507</v>
      </c>
      <c r="AZ393" s="1" t="s">
        <v>1507</v>
      </c>
      <c r="BA393" s="1" t="s">
        <v>1507</v>
      </c>
      <c r="BB393" s="1" t="s">
        <v>1507</v>
      </c>
      <c r="BC393" s="1" t="s">
        <v>1507</v>
      </c>
      <c r="BD393" s="1" t="s">
        <v>1507</v>
      </c>
      <c r="BE393" s="1">
        <v>7104852</v>
      </c>
      <c r="BF393" s="1" t="s">
        <v>5285</v>
      </c>
      <c r="BG393" s="1" t="str">
        <f>HYPERLINK("http://dx.doi.org/10.1155/2023/7104852","http://dx.doi.org/10.1155/2023/7104852")</f>
        <v>http://dx.doi.org/10.1155/2023/7104852</v>
      </c>
      <c r="BH393" s="1" t="s">
        <v>1507</v>
      </c>
      <c r="BI393" s="1" t="s">
        <v>1507</v>
      </c>
      <c r="BJ393" s="1">
        <v>32</v>
      </c>
      <c r="BK393" s="1" t="s">
        <v>5286</v>
      </c>
      <c r="BL393" s="1" t="s">
        <v>1529</v>
      </c>
      <c r="BM393" s="1" t="s">
        <v>1615</v>
      </c>
      <c r="BN393" s="1" t="s">
        <v>5287</v>
      </c>
      <c r="BO393" s="1" t="s">
        <v>1507</v>
      </c>
      <c r="BP393" s="1" t="s">
        <v>1531</v>
      </c>
      <c r="BQ393" s="1" t="s">
        <v>1507</v>
      </c>
      <c r="BR393" s="1" t="s">
        <v>1507</v>
      </c>
      <c r="BS393" s="1" t="s">
        <v>13744</v>
      </c>
      <c r="BT393" s="1" t="s">
        <v>5288</v>
      </c>
      <c r="BU393" s="1" t="str">
        <f>HYPERLINK("https%3A%2F%2Fwww.webofscience.com%2Fwos%2Fwoscc%2Ffull-record%2FWOS:000956744300001","View Full Record in Web of Science")</f>
        <v>View Full Record in Web of Science</v>
      </c>
    </row>
    <row r="394" spans="1:73" x14ac:dyDescent="0.25">
      <c r="A394" s="1">
        <v>393</v>
      </c>
      <c r="B394" s="1" t="s">
        <v>5546</v>
      </c>
      <c r="C394" s="1" t="s">
        <v>15243</v>
      </c>
      <c r="D394" s="1" t="s">
        <v>1507</v>
      </c>
      <c r="E394" s="1" t="s">
        <v>1507</v>
      </c>
      <c r="F394" s="1" t="s">
        <v>5628</v>
      </c>
      <c r="G394" s="1" t="s">
        <v>15244</v>
      </c>
      <c r="H394" s="1" t="s">
        <v>1507</v>
      </c>
      <c r="I394" s="1" t="s">
        <v>1507</v>
      </c>
      <c r="J394" s="1" t="s">
        <v>114</v>
      </c>
      <c r="K394" s="1" t="s">
        <v>15245</v>
      </c>
      <c r="L394" s="1" t="s">
        <v>1507</v>
      </c>
      <c r="M394" s="1" t="s">
        <v>1507</v>
      </c>
      <c r="N394" s="1" t="s">
        <v>42</v>
      </c>
      <c r="O394" s="1" t="s">
        <v>5552</v>
      </c>
      <c r="P394" s="1" t="s">
        <v>15246</v>
      </c>
      <c r="Q394" s="1" t="s">
        <v>15247</v>
      </c>
      <c r="R394" s="1" t="s">
        <v>15248</v>
      </c>
      <c r="S394" s="1" t="s">
        <v>15249</v>
      </c>
      <c r="T394" s="1" t="s">
        <v>1507</v>
      </c>
      <c r="U394" s="1" t="s">
        <v>15250</v>
      </c>
      <c r="V394" s="1" t="s">
        <v>1507</v>
      </c>
      <c r="W394" s="1" t="s">
        <v>15251</v>
      </c>
      <c r="X394" s="1" t="s">
        <v>15252</v>
      </c>
      <c r="Y394" s="1" t="s">
        <v>1507</v>
      </c>
      <c r="Z394" s="1" t="s">
        <v>15253</v>
      </c>
      <c r="AA394" s="1" t="s">
        <v>15254</v>
      </c>
      <c r="AB394" s="1" t="s">
        <v>1507</v>
      </c>
      <c r="AC394" s="1" t="s">
        <v>1507</v>
      </c>
      <c r="AD394" s="1" t="s">
        <v>1507</v>
      </c>
      <c r="AE394" s="1" t="s">
        <v>1507</v>
      </c>
      <c r="AF394" s="1" t="s">
        <v>1507</v>
      </c>
      <c r="AG394" s="1" t="s">
        <v>1507</v>
      </c>
      <c r="AH394" s="1">
        <v>12</v>
      </c>
      <c r="AI394" s="1">
        <v>0</v>
      </c>
      <c r="AJ394" s="1">
        <v>0</v>
      </c>
      <c r="AK394" s="1">
        <v>4</v>
      </c>
      <c r="AL394" s="1">
        <v>4</v>
      </c>
      <c r="AM394" s="1" t="s">
        <v>5645</v>
      </c>
      <c r="AN394" s="1" t="s">
        <v>5646</v>
      </c>
      <c r="AO394" s="1" t="s">
        <v>5647</v>
      </c>
      <c r="AP394" s="1" t="s">
        <v>1507</v>
      </c>
      <c r="AQ394" s="1" t="s">
        <v>1507</v>
      </c>
      <c r="AR394" s="1" t="s">
        <v>15255</v>
      </c>
      <c r="AS394" s="1" t="s">
        <v>1507</v>
      </c>
      <c r="AT394" s="1" t="s">
        <v>1507</v>
      </c>
      <c r="AU394" s="1" t="s">
        <v>1507</v>
      </c>
      <c r="AV394" s="1">
        <v>2023</v>
      </c>
      <c r="AW394" s="1" t="s">
        <v>1507</v>
      </c>
      <c r="AX394" s="1" t="s">
        <v>1507</v>
      </c>
      <c r="AY394" s="1" t="s">
        <v>1507</v>
      </c>
      <c r="AZ394" s="1" t="s">
        <v>1507</v>
      </c>
      <c r="BA394" s="1" t="s">
        <v>1507</v>
      </c>
      <c r="BB394" s="1" t="s">
        <v>1507</v>
      </c>
      <c r="BC394" s="1">
        <v>526</v>
      </c>
      <c r="BD394" s="1">
        <v>533</v>
      </c>
      <c r="BE394" s="1" t="s">
        <v>1507</v>
      </c>
      <c r="BF394" s="1" t="s">
        <v>116</v>
      </c>
      <c r="BG394" s="1" t="str">
        <f>HYPERLINK("http://dx.doi.org/10.1109/WI-IAT59888.2023.00088","http://dx.doi.org/10.1109/WI-IAT59888.2023.00088")</f>
        <v>http://dx.doi.org/10.1109/WI-IAT59888.2023.00088</v>
      </c>
      <c r="BH394" s="1" t="s">
        <v>1507</v>
      </c>
      <c r="BI394" s="1" t="s">
        <v>1507</v>
      </c>
      <c r="BJ394" s="1">
        <v>8</v>
      </c>
      <c r="BK394" s="1" t="s">
        <v>6200</v>
      </c>
      <c r="BL394" s="1" t="s">
        <v>5570</v>
      </c>
      <c r="BM394" s="1" t="s">
        <v>1577</v>
      </c>
      <c r="BN394" s="1" t="s">
        <v>15256</v>
      </c>
      <c r="BO394" s="1" t="s">
        <v>1507</v>
      </c>
      <c r="BP394" s="1" t="s">
        <v>1507</v>
      </c>
      <c r="BQ394" s="1" t="s">
        <v>1507</v>
      </c>
      <c r="BR394" s="1" t="s">
        <v>1507</v>
      </c>
      <c r="BS394" s="1" t="s">
        <v>13744</v>
      </c>
      <c r="BT394" s="1" t="s">
        <v>15257</v>
      </c>
      <c r="BU394" s="1" t="str">
        <f>HYPERLINK("https%3A%2F%2Fwww.webofscience.com%2Fwos%2Fwoscc%2Ffull-record%2FWOS:001139644800081","View Full Record in Web of Science")</f>
        <v>View Full Record in Web of Science</v>
      </c>
    </row>
    <row r="395" spans="1:73" x14ac:dyDescent="0.25">
      <c r="A395" s="1">
        <v>394</v>
      </c>
      <c r="B395" s="1" t="s">
        <v>1506</v>
      </c>
      <c r="C395" s="1" t="s">
        <v>10707</v>
      </c>
      <c r="D395" s="1" t="s">
        <v>1507</v>
      </c>
      <c r="E395" s="1" t="s">
        <v>1507</v>
      </c>
      <c r="F395" s="1" t="s">
        <v>1507</v>
      </c>
      <c r="G395" s="1" t="s">
        <v>10708</v>
      </c>
      <c r="H395" s="1" t="s">
        <v>1507</v>
      </c>
      <c r="I395" s="1" t="s">
        <v>1507</v>
      </c>
      <c r="J395" s="1" t="s">
        <v>10709</v>
      </c>
      <c r="K395" s="1" t="s">
        <v>10710</v>
      </c>
      <c r="L395" s="1" t="s">
        <v>1507</v>
      </c>
      <c r="M395" s="1" t="s">
        <v>1507</v>
      </c>
      <c r="N395" s="1" t="s">
        <v>42</v>
      </c>
      <c r="O395" s="1" t="s">
        <v>56</v>
      </c>
      <c r="P395" s="1" t="s">
        <v>1507</v>
      </c>
      <c r="Q395" s="1" t="s">
        <v>1507</v>
      </c>
      <c r="R395" s="1" t="s">
        <v>1507</v>
      </c>
      <c r="S395" s="1" t="s">
        <v>1507</v>
      </c>
      <c r="T395" s="1" t="s">
        <v>1507</v>
      </c>
      <c r="U395" s="1" t="s">
        <v>10711</v>
      </c>
      <c r="V395" s="1" t="s">
        <v>10712</v>
      </c>
      <c r="W395" s="1" t="s">
        <v>10713</v>
      </c>
      <c r="X395" s="1" t="s">
        <v>10714</v>
      </c>
      <c r="Y395" s="1" t="s">
        <v>7062</v>
      </c>
      <c r="Z395" s="1" t="s">
        <v>10715</v>
      </c>
      <c r="AA395" s="1" t="s">
        <v>10716</v>
      </c>
      <c r="AB395" s="1" t="s">
        <v>15895</v>
      </c>
      <c r="AC395" s="1" t="s">
        <v>15896</v>
      </c>
      <c r="AD395" s="1" t="s">
        <v>10717</v>
      </c>
      <c r="AE395" s="1" t="s">
        <v>10718</v>
      </c>
      <c r="AF395" s="1" t="s">
        <v>10719</v>
      </c>
      <c r="AG395" s="1" t="s">
        <v>1507</v>
      </c>
      <c r="AH395" s="1">
        <v>42</v>
      </c>
      <c r="AI395" s="1">
        <v>36</v>
      </c>
      <c r="AJ395" s="1">
        <v>37</v>
      </c>
      <c r="AK395" s="1">
        <v>21</v>
      </c>
      <c r="AL395" s="1">
        <v>154</v>
      </c>
      <c r="AM395" s="1" t="s">
        <v>3385</v>
      </c>
      <c r="AN395" s="1" t="s">
        <v>3386</v>
      </c>
      <c r="AO395" s="1" t="s">
        <v>3387</v>
      </c>
      <c r="AP395" s="1" t="s">
        <v>10720</v>
      </c>
      <c r="AQ395" s="1" t="s">
        <v>10721</v>
      </c>
      <c r="AR395" s="1" t="s">
        <v>1507</v>
      </c>
      <c r="AS395" s="1" t="s">
        <v>10710</v>
      </c>
      <c r="AT395" s="1" t="s">
        <v>10722</v>
      </c>
      <c r="AU395" s="1" t="s">
        <v>5362</v>
      </c>
      <c r="AV395" s="1">
        <v>2020</v>
      </c>
      <c r="AW395" s="1">
        <v>16</v>
      </c>
      <c r="AX395" s="1">
        <v>9</v>
      </c>
      <c r="AY395" s="1" t="s">
        <v>1507</v>
      </c>
      <c r="AZ395" s="1" t="s">
        <v>1507</v>
      </c>
      <c r="BA395" s="1" t="s">
        <v>3506</v>
      </c>
      <c r="BB395" s="1" t="s">
        <v>1507</v>
      </c>
      <c r="BC395" s="1" t="s">
        <v>1507</v>
      </c>
      <c r="BD395" s="1" t="s">
        <v>1507</v>
      </c>
      <c r="BE395" s="1">
        <v>1902889</v>
      </c>
      <c r="BF395" s="1" t="s">
        <v>10723</v>
      </c>
      <c r="BG395" s="1" t="str">
        <f>HYPERLINK("http://dx.doi.org/10.1002/smll.201902889","http://dx.doi.org/10.1002/smll.201902889")</f>
        <v>http://dx.doi.org/10.1002/smll.201902889</v>
      </c>
      <c r="BH395" s="1" t="s">
        <v>1507</v>
      </c>
      <c r="BI395" s="1" t="s">
        <v>10724</v>
      </c>
      <c r="BJ395" s="1">
        <v>11</v>
      </c>
      <c r="BK395" s="1" t="s">
        <v>10725</v>
      </c>
      <c r="BL395" s="1" t="s">
        <v>1573</v>
      </c>
      <c r="BM395" s="1" t="s">
        <v>2536</v>
      </c>
      <c r="BN395" s="1" t="s">
        <v>10726</v>
      </c>
      <c r="BO395" s="1">
        <v>31448532</v>
      </c>
      <c r="BP395" s="1" t="s">
        <v>1507</v>
      </c>
      <c r="BQ395" s="1" t="s">
        <v>1507</v>
      </c>
      <c r="BR395" s="1" t="s">
        <v>1507</v>
      </c>
      <c r="BS395" s="1" t="s">
        <v>13744</v>
      </c>
      <c r="BT395" s="1" t="s">
        <v>10727</v>
      </c>
      <c r="BU395" s="1" t="str">
        <f>HYPERLINK("https%3A%2F%2Fwww.webofscience.com%2Fwos%2Fwoscc%2Ffull-record%2FWOS:000482639800001","View Full Record in Web of Science")</f>
        <v>View Full Record in Web of Science</v>
      </c>
    </row>
    <row r="396" spans="1:73" x14ac:dyDescent="0.25">
      <c r="A396" s="1">
        <v>395</v>
      </c>
      <c r="B396" s="1" t="s">
        <v>1506</v>
      </c>
      <c r="C396" s="1" t="s">
        <v>9836</v>
      </c>
      <c r="D396" s="1" t="s">
        <v>1507</v>
      </c>
      <c r="E396" s="1" t="s">
        <v>1507</v>
      </c>
      <c r="F396" s="1" t="s">
        <v>1507</v>
      </c>
      <c r="G396" s="1" t="s">
        <v>9837</v>
      </c>
      <c r="H396" s="1" t="s">
        <v>1507</v>
      </c>
      <c r="I396" s="1" t="s">
        <v>1507</v>
      </c>
      <c r="J396" s="1" t="s">
        <v>9838</v>
      </c>
      <c r="K396" s="1" t="s">
        <v>9839</v>
      </c>
      <c r="L396" s="1" t="s">
        <v>1507</v>
      </c>
      <c r="M396" s="1" t="s">
        <v>1507</v>
      </c>
      <c r="N396" s="1" t="s">
        <v>42</v>
      </c>
      <c r="O396" s="1" t="s">
        <v>56</v>
      </c>
      <c r="P396" s="1" t="s">
        <v>1507</v>
      </c>
      <c r="Q396" s="1" t="s">
        <v>1507</v>
      </c>
      <c r="R396" s="1" t="s">
        <v>1507</v>
      </c>
      <c r="S396" s="1" t="s">
        <v>1507</v>
      </c>
      <c r="T396" s="1" t="s">
        <v>1507</v>
      </c>
      <c r="U396" s="1" t="s">
        <v>9840</v>
      </c>
      <c r="V396" s="1" t="s">
        <v>9841</v>
      </c>
      <c r="W396" s="1" t="s">
        <v>9842</v>
      </c>
      <c r="X396" s="1" t="s">
        <v>9843</v>
      </c>
      <c r="Y396" s="1" t="s">
        <v>9844</v>
      </c>
      <c r="Z396" s="1" t="s">
        <v>9845</v>
      </c>
      <c r="AA396" s="1" t="s">
        <v>9846</v>
      </c>
      <c r="AB396" s="1" t="s">
        <v>1507</v>
      </c>
      <c r="AC396" s="1" t="s">
        <v>1507</v>
      </c>
      <c r="AD396" s="1" t="s">
        <v>9847</v>
      </c>
      <c r="AE396" s="1" t="s">
        <v>9847</v>
      </c>
      <c r="AF396" s="1" t="s">
        <v>9848</v>
      </c>
      <c r="AG396" s="1" t="s">
        <v>1507</v>
      </c>
      <c r="AH396" s="1">
        <v>57</v>
      </c>
      <c r="AI396" s="1">
        <v>3</v>
      </c>
      <c r="AJ396" s="1">
        <v>3</v>
      </c>
      <c r="AK396" s="1">
        <v>3</v>
      </c>
      <c r="AL396" s="1">
        <v>14</v>
      </c>
      <c r="AM396" s="1" t="s">
        <v>9047</v>
      </c>
      <c r="AN396" s="1" t="s">
        <v>9048</v>
      </c>
      <c r="AO396" s="1" t="s">
        <v>9049</v>
      </c>
      <c r="AP396" s="1" t="s">
        <v>9849</v>
      </c>
      <c r="AQ396" s="1" t="s">
        <v>9850</v>
      </c>
      <c r="AR396" s="1" t="s">
        <v>1507</v>
      </c>
      <c r="AS396" s="1" t="s">
        <v>9851</v>
      </c>
      <c r="AT396" s="1" t="s">
        <v>9852</v>
      </c>
      <c r="AU396" s="1" t="s">
        <v>4721</v>
      </c>
      <c r="AV396" s="1">
        <v>2020</v>
      </c>
      <c r="AW396" s="1">
        <v>45</v>
      </c>
      <c r="AX396" s="1">
        <v>3</v>
      </c>
      <c r="AY396" s="1" t="s">
        <v>1507</v>
      </c>
      <c r="AZ396" s="1" t="s">
        <v>1507</v>
      </c>
      <c r="BA396" s="1" t="s">
        <v>1507</v>
      </c>
      <c r="BB396" s="1" t="s">
        <v>1507</v>
      </c>
      <c r="BC396" s="1">
        <v>285</v>
      </c>
      <c r="BD396" s="1">
        <v>308</v>
      </c>
      <c r="BE396" s="1" t="s">
        <v>1507</v>
      </c>
      <c r="BF396" s="1" t="s">
        <v>1507</v>
      </c>
      <c r="BG396" s="1" t="s">
        <v>1507</v>
      </c>
      <c r="BH396" s="1" t="s">
        <v>1507</v>
      </c>
      <c r="BI396" s="1" t="s">
        <v>1507</v>
      </c>
      <c r="BJ396" s="1">
        <v>24</v>
      </c>
      <c r="BK396" s="1" t="s">
        <v>1535</v>
      </c>
      <c r="BL396" s="1" t="s">
        <v>1529</v>
      </c>
      <c r="BM396" s="1" t="s">
        <v>1536</v>
      </c>
      <c r="BN396" s="1" t="s">
        <v>9853</v>
      </c>
      <c r="BO396" s="1" t="s">
        <v>1507</v>
      </c>
      <c r="BP396" s="1" t="s">
        <v>1507</v>
      </c>
      <c r="BQ396" s="1" t="s">
        <v>1507</v>
      </c>
      <c r="BR396" s="1" t="s">
        <v>1507</v>
      </c>
      <c r="BS396" s="1" t="s">
        <v>13744</v>
      </c>
      <c r="BT396" s="1" t="s">
        <v>9854</v>
      </c>
      <c r="BU396" s="1" t="str">
        <f>HYPERLINK("https%3A%2F%2Fwww.webofscience.com%2Fwos%2Fwoscc%2Ffull-record%2FWOS:000562002700004","View Full Record in Web of Science")</f>
        <v>View Full Record in Web of Science</v>
      </c>
    </row>
    <row r="397" spans="1:73" x14ac:dyDescent="0.25">
      <c r="A397" s="1">
        <v>396</v>
      </c>
      <c r="B397" s="1" t="s">
        <v>1506</v>
      </c>
      <c r="C397" s="1" t="s">
        <v>2917</v>
      </c>
      <c r="D397" s="1" t="s">
        <v>1507</v>
      </c>
      <c r="E397" s="1" t="s">
        <v>1507</v>
      </c>
      <c r="F397" s="1" t="s">
        <v>1507</v>
      </c>
      <c r="G397" s="1" t="s">
        <v>2918</v>
      </c>
      <c r="H397" s="1" t="s">
        <v>1507</v>
      </c>
      <c r="I397" s="1" t="s">
        <v>1507</v>
      </c>
      <c r="J397" s="1" t="s">
        <v>2919</v>
      </c>
      <c r="K397" s="1" t="s">
        <v>2874</v>
      </c>
      <c r="L397" s="1" t="s">
        <v>1507</v>
      </c>
      <c r="M397" s="1" t="s">
        <v>1507</v>
      </c>
      <c r="N397" s="1" t="s">
        <v>42</v>
      </c>
      <c r="O397" s="1" t="s">
        <v>56</v>
      </c>
      <c r="P397" s="1" t="s">
        <v>1507</v>
      </c>
      <c r="Q397" s="1" t="s">
        <v>1507</v>
      </c>
      <c r="R397" s="1" t="s">
        <v>1507</v>
      </c>
      <c r="S397" s="1" t="s">
        <v>1507</v>
      </c>
      <c r="T397" s="1" t="s">
        <v>1507</v>
      </c>
      <c r="U397" s="1" t="s">
        <v>2920</v>
      </c>
      <c r="V397" s="1" t="s">
        <v>1507</v>
      </c>
      <c r="W397" s="1" t="s">
        <v>2921</v>
      </c>
      <c r="X397" s="1" t="s">
        <v>2922</v>
      </c>
      <c r="Y397" s="1" t="s">
        <v>2923</v>
      </c>
      <c r="Z397" s="1" t="s">
        <v>2924</v>
      </c>
      <c r="AA397" s="1" t="s">
        <v>2925</v>
      </c>
      <c r="AB397" s="1" t="s">
        <v>1507</v>
      </c>
      <c r="AC397" s="1" t="s">
        <v>2926</v>
      </c>
      <c r="AD397" s="1" t="s">
        <v>1507</v>
      </c>
      <c r="AE397" s="1" t="s">
        <v>1507</v>
      </c>
      <c r="AF397" s="1" t="s">
        <v>1507</v>
      </c>
      <c r="AG397" s="1" t="s">
        <v>1507</v>
      </c>
      <c r="AH397" s="1">
        <v>15</v>
      </c>
      <c r="AI397" s="1">
        <v>4</v>
      </c>
      <c r="AJ397" s="1">
        <v>4</v>
      </c>
      <c r="AK397" s="1">
        <v>9</v>
      </c>
      <c r="AL397" s="1">
        <v>11</v>
      </c>
      <c r="AM397" s="1" t="s">
        <v>2883</v>
      </c>
      <c r="AN397" s="1" t="s">
        <v>1512</v>
      </c>
      <c r="AO397" s="1" t="s">
        <v>2884</v>
      </c>
      <c r="AP397" s="1" t="s">
        <v>2885</v>
      </c>
      <c r="AQ397" s="1" t="s">
        <v>2886</v>
      </c>
      <c r="AR397" s="1" t="s">
        <v>1507</v>
      </c>
      <c r="AS397" s="1" t="s">
        <v>2887</v>
      </c>
      <c r="AT397" s="1" t="s">
        <v>2888</v>
      </c>
      <c r="AU397" s="1" t="s">
        <v>2889</v>
      </c>
      <c r="AV397" s="1">
        <v>2023</v>
      </c>
      <c r="AW397" s="1">
        <v>20</v>
      </c>
      <c r="AX397" s="1">
        <v>10</v>
      </c>
      <c r="AY397" s="1" t="s">
        <v>1507</v>
      </c>
      <c r="AZ397" s="1" t="s">
        <v>1507</v>
      </c>
      <c r="BA397" s="1" t="s">
        <v>1507</v>
      </c>
      <c r="BB397" s="1" t="s">
        <v>1507</v>
      </c>
      <c r="BC397" s="1">
        <v>1004</v>
      </c>
      <c r="BD397" s="1">
        <v>1009</v>
      </c>
      <c r="BE397" s="1" t="s">
        <v>1507</v>
      </c>
      <c r="BF397" s="1" t="s">
        <v>2927</v>
      </c>
      <c r="BG397" s="1" t="str">
        <f>HYPERLINK("http://dx.doi.org/10.1016/j.jacr.2023.06.008","http://dx.doi.org/10.1016/j.jacr.2023.06.008")</f>
        <v>http://dx.doi.org/10.1016/j.jacr.2023.06.008</v>
      </c>
      <c r="BH397" s="1" t="s">
        <v>1507</v>
      </c>
      <c r="BI397" s="1" t="s">
        <v>2891</v>
      </c>
      <c r="BJ397" s="1">
        <v>6</v>
      </c>
      <c r="BK397" s="1" t="s">
        <v>1653</v>
      </c>
      <c r="BL397" s="1" t="s">
        <v>1573</v>
      </c>
      <c r="BM397" s="1" t="s">
        <v>1653</v>
      </c>
      <c r="BN397" s="1" t="s">
        <v>2928</v>
      </c>
      <c r="BO397" s="1">
        <v>37423349</v>
      </c>
      <c r="BP397" s="1" t="s">
        <v>1507</v>
      </c>
      <c r="BQ397" s="1" t="s">
        <v>1507</v>
      </c>
      <c r="BR397" s="1" t="s">
        <v>1507</v>
      </c>
      <c r="BS397" s="1" t="s">
        <v>13744</v>
      </c>
      <c r="BT397" s="1" t="s">
        <v>2929</v>
      </c>
      <c r="BU397" s="1" t="str">
        <f>HYPERLINK("https%3A%2F%2Fwww.webofscience.com%2Fwos%2Fwoscc%2Ffull-record%2FWOS:001101382800001","View Full Record in Web of Science")</f>
        <v>View Full Record in Web of Science</v>
      </c>
    </row>
    <row r="398" spans="1:73" x14ac:dyDescent="0.25">
      <c r="A398" s="1">
        <v>397</v>
      </c>
      <c r="B398" s="1" t="s">
        <v>1506</v>
      </c>
      <c r="C398" s="1" t="s">
        <v>10027</v>
      </c>
      <c r="D398" s="1" t="s">
        <v>1507</v>
      </c>
      <c r="E398" s="1" t="s">
        <v>1507</v>
      </c>
      <c r="F398" s="1" t="s">
        <v>1507</v>
      </c>
      <c r="G398" s="1" t="s">
        <v>10028</v>
      </c>
      <c r="H398" s="1" t="s">
        <v>1507</v>
      </c>
      <c r="I398" s="1" t="s">
        <v>1507</v>
      </c>
      <c r="J398" s="1" t="s">
        <v>10029</v>
      </c>
      <c r="K398" s="1" t="s">
        <v>10030</v>
      </c>
      <c r="L398" s="1" t="s">
        <v>1507</v>
      </c>
      <c r="M398" s="1" t="s">
        <v>1507</v>
      </c>
      <c r="N398" s="1" t="s">
        <v>42</v>
      </c>
      <c r="O398" s="1" t="s">
        <v>56</v>
      </c>
      <c r="P398" s="1" t="s">
        <v>1507</v>
      </c>
      <c r="Q398" s="1" t="s">
        <v>1507</v>
      </c>
      <c r="R398" s="1" t="s">
        <v>1507</v>
      </c>
      <c r="S398" s="1" t="s">
        <v>1507</v>
      </c>
      <c r="T398" s="1" t="s">
        <v>1507</v>
      </c>
      <c r="U398" s="1" t="s">
        <v>10031</v>
      </c>
      <c r="V398" s="1" t="s">
        <v>1507</v>
      </c>
      <c r="W398" s="1" t="s">
        <v>10032</v>
      </c>
      <c r="X398" s="1" t="s">
        <v>10033</v>
      </c>
      <c r="Y398" s="1" t="s">
        <v>5170</v>
      </c>
      <c r="Z398" s="1" t="s">
        <v>10034</v>
      </c>
      <c r="AA398" s="1" t="s">
        <v>10035</v>
      </c>
      <c r="AB398" s="1" t="s">
        <v>5173</v>
      </c>
      <c r="AC398" s="1" t="s">
        <v>10036</v>
      </c>
      <c r="AD398" s="1" t="s">
        <v>10037</v>
      </c>
      <c r="AE398" s="1" t="s">
        <v>9028</v>
      </c>
      <c r="AF398" s="1" t="s">
        <v>10038</v>
      </c>
      <c r="AG398" s="1" t="s">
        <v>1507</v>
      </c>
      <c r="AH398" s="1">
        <v>60</v>
      </c>
      <c r="AI398" s="1">
        <v>0</v>
      </c>
      <c r="AJ398" s="1">
        <v>0</v>
      </c>
      <c r="AK398" s="1">
        <v>0</v>
      </c>
      <c r="AL398" s="1">
        <v>0</v>
      </c>
      <c r="AM398" s="1" t="s">
        <v>10039</v>
      </c>
      <c r="AN398" s="1" t="s">
        <v>10040</v>
      </c>
      <c r="AO398" s="1" t="s">
        <v>10041</v>
      </c>
      <c r="AP398" s="1" t="s">
        <v>10042</v>
      </c>
      <c r="AQ398" s="1" t="s">
        <v>10043</v>
      </c>
      <c r="AR398" s="1" t="s">
        <v>1507</v>
      </c>
      <c r="AS398" s="1" t="s">
        <v>10044</v>
      </c>
      <c r="AT398" s="1" t="s">
        <v>10045</v>
      </c>
      <c r="AU398" s="1" t="s">
        <v>5362</v>
      </c>
      <c r="AV398" s="1">
        <v>2020</v>
      </c>
      <c r="AW398" s="1">
        <v>10</v>
      </c>
      <c r="AX398" s="1">
        <v>1</v>
      </c>
      <c r="AY398" s="1" t="s">
        <v>1507</v>
      </c>
      <c r="AZ398" s="1" t="s">
        <v>1507</v>
      </c>
      <c r="BA398" s="1" t="s">
        <v>1507</v>
      </c>
      <c r="BB398" s="1" t="s">
        <v>1507</v>
      </c>
      <c r="BC398" s="1">
        <v>130</v>
      </c>
      <c r="BD398" s="1">
        <v>148</v>
      </c>
      <c r="BE398" s="1" t="s">
        <v>1507</v>
      </c>
      <c r="BF398" s="1" t="s">
        <v>1507</v>
      </c>
      <c r="BG398" s="1" t="s">
        <v>1507</v>
      </c>
      <c r="BH398" s="1" t="s">
        <v>1507</v>
      </c>
      <c r="BI398" s="1" t="s">
        <v>1507</v>
      </c>
      <c r="BJ398" s="1">
        <v>19</v>
      </c>
      <c r="BK398" s="1" t="s">
        <v>1535</v>
      </c>
      <c r="BL398" s="1" t="s">
        <v>1529</v>
      </c>
      <c r="BM398" s="1" t="s">
        <v>1536</v>
      </c>
      <c r="BN398" s="1" t="s">
        <v>10046</v>
      </c>
      <c r="BO398" s="1" t="s">
        <v>1507</v>
      </c>
      <c r="BP398" s="1" t="s">
        <v>1507</v>
      </c>
      <c r="BQ398" s="1" t="s">
        <v>1507</v>
      </c>
      <c r="BR398" s="1" t="s">
        <v>1507</v>
      </c>
      <c r="BS398" s="1" t="s">
        <v>13744</v>
      </c>
      <c r="BT398" s="1" t="s">
        <v>10047</v>
      </c>
      <c r="BU398" s="1" t="str">
        <f>HYPERLINK("https%3A%2F%2Fwww.webofscience.com%2Fwos%2Fwoscc%2Ffull-record%2FWOS:000522553500009","View Full Record in Web of Science")</f>
        <v>View Full Record in Web of Science</v>
      </c>
    </row>
    <row r="399" spans="1:73" x14ac:dyDescent="0.25">
      <c r="A399" s="1">
        <v>398</v>
      </c>
      <c r="B399" s="1" t="s">
        <v>1506</v>
      </c>
      <c r="C399" s="1" t="s">
        <v>9489</v>
      </c>
      <c r="D399" s="1" t="s">
        <v>1507</v>
      </c>
      <c r="E399" s="1" t="s">
        <v>1507</v>
      </c>
      <c r="F399" s="1" t="s">
        <v>1507</v>
      </c>
      <c r="G399" s="1" t="s">
        <v>9490</v>
      </c>
      <c r="H399" s="1" t="s">
        <v>1507</v>
      </c>
      <c r="I399" s="1" t="s">
        <v>1507</v>
      </c>
      <c r="J399" s="1" t="s">
        <v>9491</v>
      </c>
      <c r="K399" s="1" t="s">
        <v>9492</v>
      </c>
      <c r="L399" s="1" t="s">
        <v>1507</v>
      </c>
      <c r="M399" s="1" t="s">
        <v>1507</v>
      </c>
      <c r="N399" s="1" t="s">
        <v>42</v>
      </c>
      <c r="O399" s="1" t="s">
        <v>56</v>
      </c>
      <c r="P399" s="1" t="s">
        <v>1507</v>
      </c>
      <c r="Q399" s="1" t="s">
        <v>1507</v>
      </c>
      <c r="R399" s="1" t="s">
        <v>1507</v>
      </c>
      <c r="S399" s="1" t="s">
        <v>1507</v>
      </c>
      <c r="T399" s="1" t="s">
        <v>1507</v>
      </c>
      <c r="U399" s="1" t="s">
        <v>9493</v>
      </c>
      <c r="V399" s="1" t="s">
        <v>9494</v>
      </c>
      <c r="W399" s="1" t="s">
        <v>9495</v>
      </c>
      <c r="X399" s="1" t="s">
        <v>9496</v>
      </c>
      <c r="Y399" s="1" t="s">
        <v>9497</v>
      </c>
      <c r="Z399" s="1" t="s">
        <v>9498</v>
      </c>
      <c r="AA399" s="1" t="s">
        <v>9499</v>
      </c>
      <c r="AB399" s="1" t="s">
        <v>15794</v>
      </c>
      <c r="AC399" s="1" t="s">
        <v>9500</v>
      </c>
      <c r="AD399" s="1" t="s">
        <v>9501</v>
      </c>
      <c r="AE399" s="1" t="s">
        <v>9502</v>
      </c>
      <c r="AF399" s="1" t="s">
        <v>9503</v>
      </c>
      <c r="AG399" s="1" t="s">
        <v>1507</v>
      </c>
      <c r="AH399" s="1">
        <v>45</v>
      </c>
      <c r="AI399" s="1">
        <v>13</v>
      </c>
      <c r="AJ399" s="1">
        <v>13</v>
      </c>
      <c r="AK399" s="1">
        <v>3</v>
      </c>
      <c r="AL399" s="1">
        <v>45</v>
      </c>
      <c r="AM399" s="1" t="s">
        <v>1559</v>
      </c>
      <c r="AN399" s="1" t="s">
        <v>1560</v>
      </c>
      <c r="AO399" s="1" t="s">
        <v>1561</v>
      </c>
      <c r="AP399" s="1" t="s">
        <v>9504</v>
      </c>
      <c r="AQ399" s="1" t="s">
        <v>9505</v>
      </c>
      <c r="AR399" s="1" t="s">
        <v>1507</v>
      </c>
      <c r="AS399" s="1" t="s">
        <v>9506</v>
      </c>
      <c r="AT399" s="1" t="s">
        <v>9507</v>
      </c>
      <c r="AU399" s="1" t="s">
        <v>5201</v>
      </c>
      <c r="AV399" s="1">
        <v>2021</v>
      </c>
      <c r="AW399" s="1">
        <v>56</v>
      </c>
      <c r="AX399" s="1">
        <v>4</v>
      </c>
      <c r="AY399" s="1" t="s">
        <v>1507</v>
      </c>
      <c r="AZ399" s="1" t="s">
        <v>1507</v>
      </c>
      <c r="BA399" s="1" t="s">
        <v>1507</v>
      </c>
      <c r="BB399" s="1" t="s">
        <v>1507</v>
      </c>
      <c r="BC399" s="1">
        <v>2019</v>
      </c>
      <c r="BD399" s="1">
        <v>2029</v>
      </c>
      <c r="BE399" s="1" t="s">
        <v>1507</v>
      </c>
      <c r="BF399" s="1" t="s">
        <v>9508</v>
      </c>
      <c r="BG399" s="1" t="str">
        <f>HYPERLINK("http://dx.doi.org/10.1111/ijfs.14833","http://dx.doi.org/10.1111/ijfs.14833")</f>
        <v>http://dx.doi.org/10.1111/ijfs.14833</v>
      </c>
      <c r="BH399" s="1" t="s">
        <v>1507</v>
      </c>
      <c r="BI399" s="1" t="s">
        <v>9509</v>
      </c>
      <c r="BJ399" s="1">
        <v>11</v>
      </c>
      <c r="BK399" s="1" t="s">
        <v>5332</v>
      </c>
      <c r="BL399" s="1" t="s">
        <v>1573</v>
      </c>
      <c r="BM399" s="1" t="s">
        <v>5332</v>
      </c>
      <c r="BN399" s="1" t="s">
        <v>9510</v>
      </c>
      <c r="BO399" s="1" t="s">
        <v>1507</v>
      </c>
      <c r="BP399" s="1" t="s">
        <v>5071</v>
      </c>
      <c r="BQ399" s="1" t="s">
        <v>1507</v>
      </c>
      <c r="BR399" s="1" t="s">
        <v>1507</v>
      </c>
      <c r="BS399" s="1" t="s">
        <v>13744</v>
      </c>
      <c r="BT399" s="1" t="s">
        <v>9511</v>
      </c>
      <c r="BU399" s="1" t="str">
        <f>HYPERLINK("https%3A%2F%2Fwww.webofscience.com%2Fwos%2Fwoscc%2Ffull-record%2FWOS:000580578900001","View Full Record in Web of Science")</f>
        <v>View Full Record in Web of Science</v>
      </c>
    </row>
    <row r="400" spans="1:73" x14ac:dyDescent="0.25">
      <c r="A400" s="1">
        <v>399</v>
      </c>
      <c r="B400" s="1" t="s">
        <v>5546</v>
      </c>
      <c r="C400" s="1" t="s">
        <v>6186</v>
      </c>
      <c r="D400" s="1" t="s">
        <v>1507</v>
      </c>
      <c r="E400" s="1" t="s">
        <v>1507</v>
      </c>
      <c r="F400" s="1" t="s">
        <v>5628</v>
      </c>
      <c r="G400" s="1" t="s">
        <v>6187</v>
      </c>
      <c r="H400" s="1" t="s">
        <v>1507</v>
      </c>
      <c r="I400" s="1" t="s">
        <v>1507</v>
      </c>
      <c r="J400" s="1" t="s">
        <v>6188</v>
      </c>
      <c r="K400" s="1" t="s">
        <v>6189</v>
      </c>
      <c r="L400" s="1" t="s">
        <v>1507</v>
      </c>
      <c r="M400" s="1" t="s">
        <v>1507</v>
      </c>
      <c r="N400" s="1" t="s">
        <v>42</v>
      </c>
      <c r="O400" s="1" t="s">
        <v>5552</v>
      </c>
      <c r="P400" s="1" t="s">
        <v>6190</v>
      </c>
      <c r="Q400" s="1" t="s">
        <v>6191</v>
      </c>
      <c r="R400" s="1" t="s">
        <v>6192</v>
      </c>
      <c r="S400" s="1" t="s">
        <v>6019</v>
      </c>
      <c r="T400" s="1" t="s">
        <v>1507</v>
      </c>
      <c r="U400" s="1" t="s">
        <v>6193</v>
      </c>
      <c r="V400" s="1" t="s">
        <v>1507</v>
      </c>
      <c r="W400" s="1" t="s">
        <v>6194</v>
      </c>
      <c r="X400" s="1" t="s">
        <v>6195</v>
      </c>
      <c r="Y400" s="1" t="s">
        <v>6196</v>
      </c>
      <c r="Z400" s="1" t="s">
        <v>6197</v>
      </c>
      <c r="AA400" s="1" t="s">
        <v>6198</v>
      </c>
      <c r="AB400" s="1" t="s">
        <v>15258</v>
      </c>
      <c r="AC400" s="1" t="s">
        <v>15259</v>
      </c>
      <c r="AD400" s="1" t="s">
        <v>1507</v>
      </c>
      <c r="AE400" s="1" t="s">
        <v>1507</v>
      </c>
      <c r="AF400" s="1" t="s">
        <v>1507</v>
      </c>
      <c r="AG400" s="1" t="s">
        <v>1507</v>
      </c>
      <c r="AH400" s="1">
        <v>15</v>
      </c>
      <c r="AI400" s="1">
        <v>3</v>
      </c>
      <c r="AJ400" s="1">
        <v>3</v>
      </c>
      <c r="AK400" s="1">
        <v>120</v>
      </c>
      <c r="AL400" s="1">
        <v>167</v>
      </c>
      <c r="AM400" s="1" t="s">
        <v>5645</v>
      </c>
      <c r="AN400" s="1" t="s">
        <v>5646</v>
      </c>
      <c r="AO400" s="1" t="s">
        <v>5647</v>
      </c>
      <c r="AP400" s="1" t="s">
        <v>1507</v>
      </c>
      <c r="AQ400" s="1" t="s">
        <v>1507</v>
      </c>
      <c r="AR400" s="1" t="s">
        <v>6199</v>
      </c>
      <c r="AS400" s="1" t="s">
        <v>1507</v>
      </c>
      <c r="AT400" s="1" t="s">
        <v>1507</v>
      </c>
      <c r="AU400" s="1" t="s">
        <v>1507</v>
      </c>
      <c r="AV400" s="1">
        <v>2023</v>
      </c>
      <c r="AW400" s="1" t="s">
        <v>1507</v>
      </c>
      <c r="AX400" s="1" t="s">
        <v>1507</v>
      </c>
      <c r="AY400" s="1" t="s">
        <v>1507</v>
      </c>
      <c r="AZ400" s="1" t="s">
        <v>1507</v>
      </c>
      <c r="BA400" s="1" t="s">
        <v>1507</v>
      </c>
      <c r="BB400" s="1" t="s">
        <v>1507</v>
      </c>
      <c r="BC400" s="1">
        <v>29</v>
      </c>
      <c r="BD400" s="1">
        <v>32</v>
      </c>
      <c r="BE400" s="1" t="s">
        <v>1507</v>
      </c>
      <c r="BF400" s="1" t="s">
        <v>1420</v>
      </c>
      <c r="BG400" s="1" t="str">
        <f>HYPERLINK("http://dx.doi.org/10.1109/SEENG59157.2023.00010","http://dx.doi.org/10.1109/SEENG59157.2023.00010")</f>
        <v>http://dx.doi.org/10.1109/SEENG59157.2023.00010</v>
      </c>
      <c r="BH400" s="1" t="s">
        <v>1507</v>
      </c>
      <c r="BI400" s="1" t="s">
        <v>1507</v>
      </c>
      <c r="BJ400" s="1">
        <v>4</v>
      </c>
      <c r="BK400" s="1" t="s">
        <v>6200</v>
      </c>
      <c r="BL400" s="1" t="s">
        <v>5570</v>
      </c>
      <c r="BM400" s="1" t="s">
        <v>1577</v>
      </c>
      <c r="BN400" s="1" t="s">
        <v>6201</v>
      </c>
      <c r="BO400" s="1" t="s">
        <v>1507</v>
      </c>
      <c r="BP400" s="1" t="s">
        <v>1600</v>
      </c>
      <c r="BQ400" s="1" t="s">
        <v>1507</v>
      </c>
      <c r="BR400" s="1" t="s">
        <v>1507</v>
      </c>
      <c r="BS400" s="1" t="s">
        <v>13744</v>
      </c>
      <c r="BT400" s="1" t="s">
        <v>6202</v>
      </c>
      <c r="BU400" s="1" t="str">
        <f>HYPERLINK("https%3A%2F%2Fwww.webofscience.com%2Fwos%2Fwoscc%2Ffull-record%2FWOS:001042092500006","View Full Record in Web of Science")</f>
        <v>View Full Record in Web of Science</v>
      </c>
    </row>
    <row r="401" spans="1:73" x14ac:dyDescent="0.25">
      <c r="A401" s="1">
        <v>400</v>
      </c>
      <c r="B401" s="1" t="s">
        <v>1506</v>
      </c>
      <c r="C401" s="1" t="s">
        <v>8388</v>
      </c>
      <c r="D401" s="1" t="s">
        <v>1507</v>
      </c>
      <c r="E401" s="1" t="s">
        <v>1507</v>
      </c>
      <c r="F401" s="1" t="s">
        <v>1507</v>
      </c>
      <c r="G401" s="1" t="s">
        <v>8389</v>
      </c>
      <c r="H401" s="1" t="s">
        <v>1507</v>
      </c>
      <c r="I401" s="1" t="s">
        <v>1507</v>
      </c>
      <c r="J401" s="1" t="s">
        <v>8390</v>
      </c>
      <c r="K401" s="1" t="s">
        <v>8391</v>
      </c>
      <c r="L401" s="1" t="s">
        <v>1507</v>
      </c>
      <c r="M401" s="1" t="s">
        <v>1507</v>
      </c>
      <c r="N401" s="1" t="s">
        <v>42</v>
      </c>
      <c r="O401" s="1" t="s">
        <v>56</v>
      </c>
      <c r="P401" s="1" t="s">
        <v>1507</v>
      </c>
      <c r="Q401" s="1" t="s">
        <v>1507</v>
      </c>
      <c r="R401" s="1" t="s">
        <v>1507</v>
      </c>
      <c r="S401" s="1" t="s">
        <v>1507</v>
      </c>
      <c r="T401" s="1" t="s">
        <v>1507</v>
      </c>
      <c r="U401" s="1" t="s">
        <v>8392</v>
      </c>
      <c r="V401" s="1" t="s">
        <v>1507</v>
      </c>
      <c r="W401" s="1" t="s">
        <v>8393</v>
      </c>
      <c r="X401" s="1" t="s">
        <v>8394</v>
      </c>
      <c r="Y401" s="1" t="s">
        <v>1507</v>
      </c>
      <c r="Z401" s="1" t="s">
        <v>8395</v>
      </c>
      <c r="AA401" s="1" t="s">
        <v>8396</v>
      </c>
      <c r="AB401" s="1" t="s">
        <v>1507</v>
      </c>
      <c r="AC401" s="1" t="s">
        <v>1507</v>
      </c>
      <c r="AD401" s="1" t="s">
        <v>8397</v>
      </c>
      <c r="AE401" s="1" t="s">
        <v>8397</v>
      </c>
      <c r="AF401" s="1" t="s">
        <v>8398</v>
      </c>
      <c r="AG401" s="1" t="s">
        <v>1507</v>
      </c>
      <c r="AH401" s="1">
        <v>53</v>
      </c>
      <c r="AI401" s="1">
        <v>5</v>
      </c>
      <c r="AJ401" s="1">
        <v>5</v>
      </c>
      <c r="AK401" s="1">
        <v>0</v>
      </c>
      <c r="AL401" s="1">
        <v>7</v>
      </c>
      <c r="AM401" s="1" t="s">
        <v>1532</v>
      </c>
      <c r="AN401" s="1" t="s">
        <v>1533</v>
      </c>
      <c r="AO401" s="1" t="s">
        <v>1534</v>
      </c>
      <c r="AP401" s="1" t="s">
        <v>8399</v>
      </c>
      <c r="AQ401" s="1" t="s">
        <v>8400</v>
      </c>
      <c r="AR401" s="1" t="s">
        <v>1507</v>
      </c>
      <c r="AS401" s="1" t="s">
        <v>8401</v>
      </c>
      <c r="AT401" s="1" t="s">
        <v>8402</v>
      </c>
      <c r="AU401" s="1" t="s">
        <v>4556</v>
      </c>
      <c r="AV401" s="1">
        <v>2021</v>
      </c>
      <c r="AW401" s="1">
        <v>11</v>
      </c>
      <c r="AX401" s="1">
        <v>7</v>
      </c>
      <c r="AY401" s="1" t="s">
        <v>1507</v>
      </c>
      <c r="AZ401" s="1" t="s">
        <v>1507</v>
      </c>
      <c r="BA401" s="1" t="s">
        <v>1507</v>
      </c>
      <c r="BB401" s="1" t="s">
        <v>1507</v>
      </c>
      <c r="BC401" s="1" t="s">
        <v>1507</v>
      </c>
      <c r="BD401" s="1" t="s">
        <v>1507</v>
      </c>
      <c r="BE401" s="1">
        <v>113</v>
      </c>
      <c r="BF401" s="1" t="s">
        <v>8403</v>
      </c>
      <c r="BG401" s="1" t="str">
        <f>HYPERLINK("http://dx.doi.org/10.1007/s13201-021-01445-x","http://dx.doi.org/10.1007/s13201-021-01445-x")</f>
        <v>http://dx.doi.org/10.1007/s13201-021-01445-x</v>
      </c>
      <c r="BH401" s="1" t="s">
        <v>1507</v>
      </c>
      <c r="BI401" s="1" t="s">
        <v>1507</v>
      </c>
      <c r="BJ401" s="1">
        <v>16</v>
      </c>
      <c r="BK401" s="1" t="s">
        <v>8404</v>
      </c>
      <c r="BL401" s="1" t="s">
        <v>1573</v>
      </c>
      <c r="BM401" s="1" t="s">
        <v>8404</v>
      </c>
      <c r="BN401" s="1" t="s">
        <v>8405</v>
      </c>
      <c r="BO401" s="1" t="s">
        <v>1507</v>
      </c>
      <c r="BP401" s="1" t="s">
        <v>1531</v>
      </c>
      <c r="BQ401" s="1" t="s">
        <v>1507</v>
      </c>
      <c r="BR401" s="1" t="s">
        <v>1507</v>
      </c>
      <c r="BS401" s="1" t="s">
        <v>13744</v>
      </c>
      <c r="BT401" s="1" t="s">
        <v>8406</v>
      </c>
      <c r="BU401" s="1" t="str">
        <f>HYPERLINK("https%3A%2F%2Fwww.webofscience.com%2Fwos%2Fwoscc%2Ffull-record%2FWOS:000662219600001","View Full Record in Web of Science")</f>
        <v>View Full Record in Web of Science</v>
      </c>
    </row>
    <row r="402" spans="1:73" x14ac:dyDescent="0.25">
      <c r="A402" s="1">
        <v>401</v>
      </c>
      <c r="B402" s="1" t="s">
        <v>1506</v>
      </c>
      <c r="C402" s="1" t="s">
        <v>14507</v>
      </c>
      <c r="D402" s="1" t="s">
        <v>1507</v>
      </c>
      <c r="E402" s="1" t="s">
        <v>1507</v>
      </c>
      <c r="F402" s="1" t="s">
        <v>1507</v>
      </c>
      <c r="G402" s="1" t="s">
        <v>14508</v>
      </c>
      <c r="H402" s="1" t="s">
        <v>1507</v>
      </c>
      <c r="I402" s="1" t="s">
        <v>1507</v>
      </c>
      <c r="J402" s="1" t="s">
        <v>14509</v>
      </c>
      <c r="K402" s="1" t="s">
        <v>14510</v>
      </c>
      <c r="L402" s="1" t="s">
        <v>1507</v>
      </c>
      <c r="M402" s="1" t="s">
        <v>1507</v>
      </c>
      <c r="N402" s="1" t="s">
        <v>42</v>
      </c>
      <c r="O402" s="1" t="s">
        <v>13950</v>
      </c>
      <c r="P402" s="1" t="s">
        <v>1507</v>
      </c>
      <c r="Q402" s="1" t="s">
        <v>1507</v>
      </c>
      <c r="R402" s="1" t="s">
        <v>1507</v>
      </c>
      <c r="S402" s="1" t="s">
        <v>1507</v>
      </c>
      <c r="T402" s="1" t="s">
        <v>1507</v>
      </c>
      <c r="U402" s="1" t="s">
        <v>1507</v>
      </c>
      <c r="V402" s="1" t="s">
        <v>1507</v>
      </c>
      <c r="W402" s="1" t="s">
        <v>1507</v>
      </c>
      <c r="X402" s="1" t="s">
        <v>14511</v>
      </c>
      <c r="Y402" s="1" t="s">
        <v>14512</v>
      </c>
      <c r="Z402" s="1" t="s">
        <v>14513</v>
      </c>
      <c r="AA402" s="1" t="s">
        <v>1507</v>
      </c>
      <c r="AB402" s="1" t="s">
        <v>14514</v>
      </c>
      <c r="AC402" s="1" t="s">
        <v>14515</v>
      </c>
      <c r="AD402" s="1" t="s">
        <v>14516</v>
      </c>
      <c r="AE402" s="1" t="s">
        <v>14516</v>
      </c>
      <c r="AF402" s="1" t="s">
        <v>14517</v>
      </c>
      <c r="AG402" s="1" t="s">
        <v>1507</v>
      </c>
      <c r="AH402" s="1">
        <v>10</v>
      </c>
      <c r="AI402" s="1">
        <v>3</v>
      </c>
      <c r="AJ402" s="1">
        <v>3</v>
      </c>
      <c r="AK402" s="1">
        <v>6</v>
      </c>
      <c r="AL402" s="1">
        <v>8</v>
      </c>
      <c r="AM402" s="1" t="s">
        <v>2053</v>
      </c>
      <c r="AN402" s="1" t="s">
        <v>1556</v>
      </c>
      <c r="AO402" s="1" t="s">
        <v>2054</v>
      </c>
      <c r="AP402" s="1" t="s">
        <v>14518</v>
      </c>
      <c r="AQ402" s="1" t="s">
        <v>14519</v>
      </c>
      <c r="AR402" s="1" t="s">
        <v>1507</v>
      </c>
      <c r="AS402" s="1" t="s">
        <v>14520</v>
      </c>
      <c r="AT402" s="1" t="s">
        <v>14521</v>
      </c>
      <c r="AU402" s="1" t="s">
        <v>2864</v>
      </c>
      <c r="AV402" s="1">
        <v>2023</v>
      </c>
      <c r="AW402" s="1">
        <v>143</v>
      </c>
      <c r="AX402" s="1">
        <v>9</v>
      </c>
      <c r="AY402" s="1" t="s">
        <v>1507</v>
      </c>
      <c r="AZ402" s="1" t="s">
        <v>1507</v>
      </c>
      <c r="BA402" s="1" t="s">
        <v>1507</v>
      </c>
      <c r="BB402" s="1" t="s">
        <v>1507</v>
      </c>
      <c r="BC402" s="1">
        <v>779</v>
      </c>
      <c r="BD402" s="1">
        <v>782</v>
      </c>
      <c r="BE402" s="1">
        <v>2254809</v>
      </c>
      <c r="BF402" s="1" t="s">
        <v>14522</v>
      </c>
      <c r="BG402" s="1" t="str">
        <f>HYPERLINK("http://dx.doi.org/10.1080/00016489.2023.2254809","http://dx.doi.org/10.1080/00016489.2023.2254809")</f>
        <v>http://dx.doi.org/10.1080/00016489.2023.2254809</v>
      </c>
      <c r="BH402" s="1" t="s">
        <v>1507</v>
      </c>
      <c r="BI402" s="1" t="s">
        <v>3689</v>
      </c>
      <c r="BJ402" s="1">
        <v>4</v>
      </c>
      <c r="BK402" s="1" t="s">
        <v>2754</v>
      </c>
      <c r="BL402" s="1" t="s">
        <v>1573</v>
      </c>
      <c r="BM402" s="1" t="s">
        <v>2754</v>
      </c>
      <c r="BN402" s="1" t="s">
        <v>14523</v>
      </c>
      <c r="BO402" s="1">
        <v>37694729</v>
      </c>
      <c r="BP402" s="1" t="s">
        <v>3572</v>
      </c>
      <c r="BQ402" s="1" t="s">
        <v>1507</v>
      </c>
      <c r="BR402" s="1" t="s">
        <v>1507</v>
      </c>
      <c r="BS402" s="1" t="s">
        <v>13744</v>
      </c>
      <c r="BT402" s="1" t="s">
        <v>14524</v>
      </c>
      <c r="BU402" s="1" t="str">
        <f>HYPERLINK("https%3A%2F%2Fwww.webofscience.com%2Fwos%2Fwoscc%2Ffull-record%2FWOS:001066473900001","View Full Record in Web of Science")</f>
        <v>View Full Record in Web of Science</v>
      </c>
    </row>
    <row r="403" spans="1:73" x14ac:dyDescent="0.25">
      <c r="A403" s="1">
        <v>402</v>
      </c>
      <c r="B403" s="1" t="s">
        <v>1506</v>
      </c>
      <c r="C403" s="1" t="s">
        <v>1779</v>
      </c>
      <c r="D403" s="1" t="s">
        <v>1507</v>
      </c>
      <c r="E403" s="1" t="s">
        <v>1507</v>
      </c>
      <c r="F403" s="1" t="s">
        <v>1507</v>
      </c>
      <c r="G403" s="1" t="s">
        <v>1780</v>
      </c>
      <c r="H403" s="1" t="s">
        <v>1507</v>
      </c>
      <c r="I403" s="1" t="s">
        <v>1507</v>
      </c>
      <c r="J403" s="1" t="s">
        <v>1781</v>
      </c>
      <c r="K403" s="1" t="s">
        <v>1782</v>
      </c>
      <c r="L403" s="1" t="s">
        <v>1507</v>
      </c>
      <c r="M403" s="1" t="s">
        <v>1507</v>
      </c>
      <c r="N403" s="1" t="s">
        <v>42</v>
      </c>
      <c r="O403" s="1" t="s">
        <v>56</v>
      </c>
      <c r="P403" s="1" t="s">
        <v>1507</v>
      </c>
      <c r="Q403" s="1" t="s">
        <v>1507</v>
      </c>
      <c r="R403" s="1" t="s">
        <v>1507</v>
      </c>
      <c r="S403" s="1" t="s">
        <v>1507</v>
      </c>
      <c r="T403" s="1" t="s">
        <v>1507</v>
      </c>
      <c r="U403" s="1" t="s">
        <v>1783</v>
      </c>
      <c r="V403" s="1" t="s">
        <v>1784</v>
      </c>
      <c r="W403" s="1" t="s">
        <v>1785</v>
      </c>
      <c r="X403" s="1" t="s">
        <v>1786</v>
      </c>
      <c r="Y403" s="1" t="s">
        <v>1787</v>
      </c>
      <c r="Z403" s="1" t="s">
        <v>1788</v>
      </c>
      <c r="AA403" s="1" t="s">
        <v>1789</v>
      </c>
      <c r="AB403" s="1" t="s">
        <v>13796</v>
      </c>
      <c r="AC403" s="1" t="s">
        <v>13797</v>
      </c>
      <c r="AD403" s="1" t="s">
        <v>1790</v>
      </c>
      <c r="AE403" s="1" t="s">
        <v>1790</v>
      </c>
      <c r="AF403" s="1" t="s">
        <v>1791</v>
      </c>
      <c r="AG403" s="1" t="s">
        <v>1507</v>
      </c>
      <c r="AH403" s="1">
        <v>81</v>
      </c>
      <c r="AI403" s="1">
        <v>0</v>
      </c>
      <c r="AJ403" s="1">
        <v>0</v>
      </c>
      <c r="AK403" s="1">
        <v>90</v>
      </c>
      <c r="AL403" s="1">
        <v>90</v>
      </c>
      <c r="AM403" s="1" t="s">
        <v>1559</v>
      </c>
      <c r="AN403" s="1" t="s">
        <v>1560</v>
      </c>
      <c r="AO403" s="1" t="s">
        <v>1561</v>
      </c>
      <c r="AP403" s="1" t="s">
        <v>1792</v>
      </c>
      <c r="AQ403" s="1" t="s">
        <v>1793</v>
      </c>
      <c r="AR403" s="1" t="s">
        <v>1507</v>
      </c>
      <c r="AS403" s="1" t="s">
        <v>1794</v>
      </c>
      <c r="AT403" s="1" t="s">
        <v>1795</v>
      </c>
      <c r="AU403" s="1" t="s">
        <v>5201</v>
      </c>
      <c r="AV403" s="1">
        <v>2024</v>
      </c>
      <c r="AW403" s="1">
        <v>40</v>
      </c>
      <c r="AX403" s="1">
        <v>2</v>
      </c>
      <c r="AY403" s="1" t="s">
        <v>1507</v>
      </c>
      <c r="AZ403" s="1" t="s">
        <v>1507</v>
      </c>
      <c r="BA403" s="1" t="s">
        <v>1507</v>
      </c>
      <c r="BB403" s="1" t="s">
        <v>1507</v>
      </c>
      <c r="BC403" s="1">
        <v>919</v>
      </c>
      <c r="BD403" s="1">
        <v>930</v>
      </c>
      <c r="BE403" s="1" t="s">
        <v>1507</v>
      </c>
      <c r="BF403" s="1" t="s">
        <v>1796</v>
      </c>
      <c r="BG403" s="1" t="str">
        <f>HYPERLINK("http://dx.doi.org/10.1111/jcal.12929","http://dx.doi.org/10.1111/jcal.12929")</f>
        <v>http://dx.doi.org/10.1111/jcal.12929</v>
      </c>
      <c r="BH403" s="1" t="s">
        <v>1507</v>
      </c>
      <c r="BI403" s="1" t="s">
        <v>1652</v>
      </c>
      <c r="BJ403" s="1">
        <v>12</v>
      </c>
      <c r="BK403" s="1" t="s">
        <v>1558</v>
      </c>
      <c r="BL403" s="1" t="s">
        <v>1518</v>
      </c>
      <c r="BM403" s="1" t="s">
        <v>1558</v>
      </c>
      <c r="BN403" s="1" t="s">
        <v>13798</v>
      </c>
      <c r="BO403" s="1" t="s">
        <v>1507</v>
      </c>
      <c r="BP403" s="1" t="s">
        <v>1507</v>
      </c>
      <c r="BQ403" s="1" t="s">
        <v>1507</v>
      </c>
      <c r="BR403" s="1" t="s">
        <v>1507</v>
      </c>
      <c r="BS403" s="1" t="s">
        <v>13744</v>
      </c>
      <c r="BT403" s="1" t="s">
        <v>1797</v>
      </c>
      <c r="BU403" s="1" t="str">
        <f>HYPERLINK("https%3A%2F%2Fwww.webofscience.com%2Fwos%2Fwoscc%2Ffull-record%2FWOS:001128464800001","View Full Record in Web of Science")</f>
        <v>View Full Record in Web of Science</v>
      </c>
    </row>
    <row r="404" spans="1:73" x14ac:dyDescent="0.25">
      <c r="A404" s="1">
        <v>403</v>
      </c>
      <c r="B404" s="1" t="s">
        <v>1506</v>
      </c>
      <c r="C404" s="1" t="s">
        <v>4082</v>
      </c>
      <c r="D404" s="1" t="s">
        <v>1507</v>
      </c>
      <c r="E404" s="1" t="s">
        <v>1507</v>
      </c>
      <c r="F404" s="1" t="s">
        <v>1507</v>
      </c>
      <c r="G404" s="1" t="s">
        <v>4083</v>
      </c>
      <c r="H404" s="1" t="s">
        <v>1507</v>
      </c>
      <c r="I404" s="1" t="s">
        <v>1507</v>
      </c>
      <c r="J404" s="1" t="s">
        <v>4084</v>
      </c>
      <c r="K404" s="1" t="s">
        <v>3146</v>
      </c>
      <c r="L404" s="1" t="s">
        <v>1507</v>
      </c>
      <c r="M404" s="1" t="s">
        <v>1507</v>
      </c>
      <c r="N404" s="1" t="s">
        <v>42</v>
      </c>
      <c r="O404" s="1" t="s">
        <v>56</v>
      </c>
      <c r="P404" s="1" t="s">
        <v>1507</v>
      </c>
      <c r="Q404" s="1" t="s">
        <v>1507</v>
      </c>
      <c r="R404" s="1" t="s">
        <v>1507</v>
      </c>
      <c r="S404" s="1" t="s">
        <v>1507</v>
      </c>
      <c r="T404" s="1" t="s">
        <v>1507</v>
      </c>
      <c r="U404" s="1" t="s">
        <v>4085</v>
      </c>
      <c r="V404" s="1" t="s">
        <v>4086</v>
      </c>
      <c r="W404" s="1" t="s">
        <v>4087</v>
      </c>
      <c r="X404" s="1" t="s">
        <v>4088</v>
      </c>
      <c r="Y404" s="1" t="s">
        <v>4089</v>
      </c>
      <c r="Z404" s="1" t="s">
        <v>4090</v>
      </c>
      <c r="AA404" s="1" t="s">
        <v>4091</v>
      </c>
      <c r="AB404" s="1" t="s">
        <v>4092</v>
      </c>
      <c r="AC404" s="1" t="s">
        <v>4093</v>
      </c>
      <c r="AD404" s="1" t="s">
        <v>4094</v>
      </c>
      <c r="AE404" s="1" t="s">
        <v>4095</v>
      </c>
      <c r="AF404" s="1" t="s">
        <v>4096</v>
      </c>
      <c r="AG404" s="1" t="s">
        <v>1507</v>
      </c>
      <c r="AH404" s="1">
        <v>31</v>
      </c>
      <c r="AI404" s="1">
        <v>4</v>
      </c>
      <c r="AJ404" s="1">
        <v>4</v>
      </c>
      <c r="AK404" s="1">
        <v>44</v>
      </c>
      <c r="AL404" s="1">
        <v>44</v>
      </c>
      <c r="AM404" s="1" t="s">
        <v>3156</v>
      </c>
      <c r="AN404" s="1" t="s">
        <v>3157</v>
      </c>
      <c r="AO404" s="1" t="s">
        <v>3158</v>
      </c>
      <c r="AP404" s="1" t="s">
        <v>3159</v>
      </c>
      <c r="AQ404" s="1" t="s">
        <v>3160</v>
      </c>
      <c r="AR404" s="1" t="s">
        <v>1507</v>
      </c>
      <c r="AS404" s="1" t="s">
        <v>3161</v>
      </c>
      <c r="AT404" s="1" t="s">
        <v>3162</v>
      </c>
      <c r="AU404" s="1" t="s">
        <v>2191</v>
      </c>
      <c r="AV404" s="1">
        <v>2023</v>
      </c>
      <c r="AW404" s="1">
        <v>58</v>
      </c>
      <c r="AX404" s="1" t="s">
        <v>1507</v>
      </c>
      <c r="AY404" s="1" t="s">
        <v>4097</v>
      </c>
      <c r="AZ404" s="1" t="s">
        <v>1507</v>
      </c>
      <c r="BA404" s="1" t="s">
        <v>1507</v>
      </c>
      <c r="BB404" s="1" t="s">
        <v>1507</v>
      </c>
      <c r="BC404" s="1" t="s">
        <v>1507</v>
      </c>
      <c r="BD404" s="1" t="s">
        <v>1507</v>
      </c>
      <c r="BE404" s="1">
        <v>104333</v>
      </c>
      <c r="BF404" s="1" t="s">
        <v>4098</v>
      </c>
      <c r="BG404" s="1" t="str">
        <f>HYPERLINK("http://dx.doi.org/10.1016/j.frl.2023.104333","http://dx.doi.org/10.1016/j.frl.2023.104333")</f>
        <v>http://dx.doi.org/10.1016/j.frl.2023.104333</v>
      </c>
      <c r="BH404" s="1" t="s">
        <v>1507</v>
      </c>
      <c r="BI404" s="1" t="s">
        <v>4056</v>
      </c>
      <c r="BJ404" s="1">
        <v>7</v>
      </c>
      <c r="BK404" s="1" t="s">
        <v>3165</v>
      </c>
      <c r="BL404" s="1" t="s">
        <v>1518</v>
      </c>
      <c r="BM404" s="1" t="s">
        <v>3118</v>
      </c>
      <c r="BN404" s="1" t="s">
        <v>4099</v>
      </c>
      <c r="BO404" s="1" t="s">
        <v>1507</v>
      </c>
      <c r="BP404" s="1" t="s">
        <v>1600</v>
      </c>
      <c r="BQ404" s="1" t="s">
        <v>1507</v>
      </c>
      <c r="BR404" s="1" t="s">
        <v>1507</v>
      </c>
      <c r="BS404" s="1" t="s">
        <v>13744</v>
      </c>
      <c r="BT404" s="1" t="s">
        <v>4100</v>
      </c>
      <c r="BU404" s="1" t="str">
        <f>HYPERLINK("https%3A%2F%2Fwww.webofscience.com%2Fwos%2Fwoscc%2Ffull-record%2FWOS:001079876600001","View Full Record in Web of Science")</f>
        <v>View Full Record in Web of Science</v>
      </c>
    </row>
    <row r="405" spans="1:73" x14ac:dyDescent="0.25">
      <c r="A405" s="1">
        <v>404</v>
      </c>
      <c r="B405" s="1" t="s">
        <v>1506</v>
      </c>
      <c r="C405" s="1" t="s">
        <v>14144</v>
      </c>
      <c r="D405" s="1" t="s">
        <v>1507</v>
      </c>
      <c r="E405" s="1" t="s">
        <v>1507</v>
      </c>
      <c r="F405" s="1" t="s">
        <v>1507</v>
      </c>
      <c r="G405" s="1" t="s">
        <v>14145</v>
      </c>
      <c r="H405" s="1" t="s">
        <v>1507</v>
      </c>
      <c r="I405" s="1" t="s">
        <v>1507</v>
      </c>
      <c r="J405" s="1" t="s">
        <v>14146</v>
      </c>
      <c r="K405" s="1" t="s">
        <v>14147</v>
      </c>
      <c r="L405" s="1" t="s">
        <v>1507</v>
      </c>
      <c r="M405" s="1" t="s">
        <v>1507</v>
      </c>
      <c r="N405" s="1" t="s">
        <v>14148</v>
      </c>
      <c r="O405" s="1" t="s">
        <v>56</v>
      </c>
      <c r="P405" s="1" t="s">
        <v>1507</v>
      </c>
      <c r="Q405" s="1" t="s">
        <v>1507</v>
      </c>
      <c r="R405" s="1" t="s">
        <v>1507</v>
      </c>
      <c r="S405" s="1" t="s">
        <v>1507</v>
      </c>
      <c r="T405" s="1" t="s">
        <v>1507</v>
      </c>
      <c r="U405" s="1" t="s">
        <v>14149</v>
      </c>
      <c r="V405" s="1" t="s">
        <v>1507</v>
      </c>
      <c r="W405" s="1" t="s">
        <v>14150</v>
      </c>
      <c r="X405" s="1" t="s">
        <v>14151</v>
      </c>
      <c r="Y405" s="1" t="s">
        <v>14152</v>
      </c>
      <c r="Z405" s="1" t="s">
        <v>14153</v>
      </c>
      <c r="AA405" s="1" t="s">
        <v>14154</v>
      </c>
      <c r="AB405" s="1" t="s">
        <v>1507</v>
      </c>
      <c r="AC405" s="1" t="s">
        <v>1507</v>
      </c>
      <c r="AD405" s="1" t="s">
        <v>1507</v>
      </c>
      <c r="AE405" s="1" t="s">
        <v>1507</v>
      </c>
      <c r="AF405" s="1" t="s">
        <v>1507</v>
      </c>
      <c r="AG405" s="1" t="s">
        <v>1507</v>
      </c>
      <c r="AH405" s="1">
        <v>11</v>
      </c>
      <c r="AI405" s="1">
        <v>0</v>
      </c>
      <c r="AJ405" s="1">
        <v>0</v>
      </c>
      <c r="AK405" s="1">
        <v>0</v>
      </c>
      <c r="AL405" s="1">
        <v>0</v>
      </c>
      <c r="AM405" s="1" t="s">
        <v>14155</v>
      </c>
      <c r="AN405" s="1" t="s">
        <v>5784</v>
      </c>
      <c r="AO405" s="1" t="s">
        <v>14156</v>
      </c>
      <c r="AP405" s="1" t="s">
        <v>14157</v>
      </c>
      <c r="AQ405" s="1" t="s">
        <v>1507</v>
      </c>
      <c r="AR405" s="1" t="s">
        <v>1507</v>
      </c>
      <c r="AS405" s="1" t="s">
        <v>14158</v>
      </c>
      <c r="AT405" s="1" t="s">
        <v>14159</v>
      </c>
      <c r="AU405" s="1" t="s">
        <v>2771</v>
      </c>
      <c r="AV405" s="1">
        <v>2023</v>
      </c>
      <c r="AW405" s="1" t="s">
        <v>1507</v>
      </c>
      <c r="AX405" s="1">
        <v>6</v>
      </c>
      <c r="AY405" s="1" t="s">
        <v>1507</v>
      </c>
      <c r="AZ405" s="1" t="s">
        <v>11902</v>
      </c>
      <c r="BA405" s="1" t="s">
        <v>1507</v>
      </c>
      <c r="BB405" s="1" t="s">
        <v>1507</v>
      </c>
      <c r="BC405" s="1">
        <v>3</v>
      </c>
      <c r="BD405" s="1">
        <v>11</v>
      </c>
      <c r="BE405" s="1" t="s">
        <v>1507</v>
      </c>
      <c r="BF405" s="1" t="s">
        <v>14160</v>
      </c>
      <c r="BG405" s="1" t="str">
        <f>HYPERLINK("http://dx.doi.org/10.20339/PhS.6s-23.003","http://dx.doi.org/10.20339/PhS.6s-23.003")</f>
        <v>http://dx.doi.org/10.20339/PhS.6s-23.003</v>
      </c>
      <c r="BH405" s="1" t="s">
        <v>1507</v>
      </c>
      <c r="BI405" s="1" t="s">
        <v>1507</v>
      </c>
      <c r="BJ405" s="1">
        <v>9</v>
      </c>
      <c r="BK405" s="1" t="s">
        <v>14161</v>
      </c>
      <c r="BL405" s="1" t="s">
        <v>1529</v>
      </c>
      <c r="BM405" s="1" t="s">
        <v>6612</v>
      </c>
      <c r="BN405" s="1" t="s">
        <v>14162</v>
      </c>
      <c r="BO405" s="1" t="s">
        <v>1507</v>
      </c>
      <c r="BP405" s="1" t="s">
        <v>1507</v>
      </c>
      <c r="BQ405" s="1" t="s">
        <v>1507</v>
      </c>
      <c r="BR405" s="1" t="s">
        <v>1507</v>
      </c>
      <c r="BS405" s="1" t="s">
        <v>13744</v>
      </c>
      <c r="BT405" s="1" t="s">
        <v>14163</v>
      </c>
      <c r="BU405" s="1" t="str">
        <f>HYPERLINK("https%3A%2F%2Fwww.webofscience.com%2Fwos%2Fwoscc%2Ffull-record%2FWOS:001157275300001","View Full Record in Web of Science")</f>
        <v>View Full Record in Web of Science</v>
      </c>
    </row>
    <row r="406" spans="1:73" x14ac:dyDescent="0.25">
      <c r="A406" s="1">
        <v>405</v>
      </c>
      <c r="B406" s="1" t="s">
        <v>5546</v>
      </c>
      <c r="C406" s="1" t="s">
        <v>6203</v>
      </c>
      <c r="D406" s="1" t="s">
        <v>1507</v>
      </c>
      <c r="E406" s="1" t="s">
        <v>6204</v>
      </c>
      <c r="F406" s="1" t="s">
        <v>1507</v>
      </c>
      <c r="G406" s="1" t="s">
        <v>6205</v>
      </c>
      <c r="H406" s="1" t="s">
        <v>1507</v>
      </c>
      <c r="I406" s="1" t="s">
        <v>1507</v>
      </c>
      <c r="J406" s="1" t="s">
        <v>6206</v>
      </c>
      <c r="K406" s="1" t="s">
        <v>6207</v>
      </c>
      <c r="L406" s="1" t="s">
        <v>6208</v>
      </c>
      <c r="M406" s="1" t="s">
        <v>1507</v>
      </c>
      <c r="N406" s="1" t="s">
        <v>42</v>
      </c>
      <c r="O406" s="1" t="s">
        <v>5552</v>
      </c>
      <c r="P406" s="1" t="s">
        <v>6209</v>
      </c>
      <c r="Q406" s="1" t="s">
        <v>6210</v>
      </c>
      <c r="R406" s="1" t="s">
        <v>6211</v>
      </c>
      <c r="S406" s="1" t="s">
        <v>1507</v>
      </c>
      <c r="T406" s="1" t="s">
        <v>1507</v>
      </c>
      <c r="U406" s="1" t="s">
        <v>6212</v>
      </c>
      <c r="V406" s="1" t="s">
        <v>1507</v>
      </c>
      <c r="W406" s="1" t="s">
        <v>6213</v>
      </c>
      <c r="X406" s="1" t="s">
        <v>6214</v>
      </c>
      <c r="Y406" s="1" t="s">
        <v>6215</v>
      </c>
      <c r="Z406" s="1" t="s">
        <v>6216</v>
      </c>
      <c r="AA406" s="1" t="s">
        <v>6217</v>
      </c>
      <c r="AB406" s="1" t="s">
        <v>1507</v>
      </c>
      <c r="AC406" s="1" t="s">
        <v>1507</v>
      </c>
      <c r="AD406" s="1" t="s">
        <v>6218</v>
      </c>
      <c r="AE406" s="1" t="s">
        <v>6219</v>
      </c>
      <c r="AF406" s="1" t="s">
        <v>6220</v>
      </c>
      <c r="AG406" s="1" t="s">
        <v>1507</v>
      </c>
      <c r="AH406" s="1">
        <v>18</v>
      </c>
      <c r="AI406" s="1">
        <v>0</v>
      </c>
      <c r="AJ406" s="1">
        <v>0</v>
      </c>
      <c r="AK406" s="1">
        <v>3</v>
      </c>
      <c r="AL406" s="1">
        <v>7</v>
      </c>
      <c r="AM406" s="1" t="s">
        <v>6221</v>
      </c>
      <c r="AN406" s="1" t="s">
        <v>6222</v>
      </c>
      <c r="AO406" s="1" t="s">
        <v>6223</v>
      </c>
      <c r="AP406" s="1" t="s">
        <v>6224</v>
      </c>
      <c r="AQ406" s="1" t="s">
        <v>6225</v>
      </c>
      <c r="AR406" s="1" t="s">
        <v>6226</v>
      </c>
      <c r="AS406" s="1" t="s">
        <v>6227</v>
      </c>
      <c r="AT406" s="1" t="s">
        <v>1507</v>
      </c>
      <c r="AU406" s="1" t="s">
        <v>1507</v>
      </c>
      <c r="AV406" s="1">
        <v>2023</v>
      </c>
      <c r="AW406" s="1">
        <v>13988</v>
      </c>
      <c r="AX406" s="1" t="s">
        <v>1507</v>
      </c>
      <c r="AY406" s="1" t="s">
        <v>1507</v>
      </c>
      <c r="AZ406" s="1" t="s">
        <v>1507</v>
      </c>
      <c r="BA406" s="1" t="s">
        <v>1507</v>
      </c>
      <c r="BB406" s="1" t="s">
        <v>1507</v>
      </c>
      <c r="BC406" s="1">
        <v>212</v>
      </c>
      <c r="BD406" s="1">
        <v>227</v>
      </c>
      <c r="BE406" s="1" t="s">
        <v>1507</v>
      </c>
      <c r="BF406" s="1" t="s">
        <v>6228</v>
      </c>
      <c r="BG406" s="1" t="str">
        <f>HYPERLINK("http://dx.doi.org/10.1007/978-3-031-29956-8_14","http://dx.doi.org/10.1007/978-3-031-29956-8_14")</f>
        <v>http://dx.doi.org/10.1007/978-3-031-29956-8_14</v>
      </c>
      <c r="BH406" s="1" t="s">
        <v>1507</v>
      </c>
      <c r="BI406" s="1" t="s">
        <v>1507</v>
      </c>
      <c r="BJ406" s="1">
        <v>16</v>
      </c>
      <c r="BK406" s="1" t="s">
        <v>6229</v>
      </c>
      <c r="BL406" s="1" t="s">
        <v>5570</v>
      </c>
      <c r="BM406" s="1" t="s">
        <v>1577</v>
      </c>
      <c r="BN406" s="1" t="s">
        <v>6230</v>
      </c>
      <c r="BO406" s="1" t="s">
        <v>1507</v>
      </c>
      <c r="BP406" s="1" t="s">
        <v>1507</v>
      </c>
      <c r="BQ406" s="1" t="s">
        <v>1507</v>
      </c>
      <c r="BR406" s="1" t="s">
        <v>1507</v>
      </c>
      <c r="BS406" s="1" t="s">
        <v>13744</v>
      </c>
      <c r="BT406" s="1" t="s">
        <v>6231</v>
      </c>
      <c r="BU406" s="1" t="str">
        <f>HYPERLINK("https%3A%2F%2Fwww.webofscience.com%2Fwos%2Fwoscc%2Ffull-record%2FWOS:000999872400014","View Full Record in Web of Science")</f>
        <v>View Full Record in Web of Science</v>
      </c>
    </row>
    <row r="407" spans="1:73" x14ac:dyDescent="0.25">
      <c r="A407" s="1">
        <v>406</v>
      </c>
      <c r="B407" s="1" t="s">
        <v>1506</v>
      </c>
      <c r="C407" s="1" t="s">
        <v>2359</v>
      </c>
      <c r="D407" s="1" t="s">
        <v>1507</v>
      </c>
      <c r="E407" s="1" t="s">
        <v>1507</v>
      </c>
      <c r="F407" s="1" t="s">
        <v>1507</v>
      </c>
      <c r="G407" s="1" t="s">
        <v>2360</v>
      </c>
      <c r="H407" s="1" t="s">
        <v>1507</v>
      </c>
      <c r="I407" s="1" t="s">
        <v>1507</v>
      </c>
      <c r="J407" s="1" t="s">
        <v>2361</v>
      </c>
      <c r="K407" s="1" t="s">
        <v>2362</v>
      </c>
      <c r="L407" s="1" t="s">
        <v>1507</v>
      </c>
      <c r="M407" s="1" t="s">
        <v>1507</v>
      </c>
      <c r="N407" s="1" t="s">
        <v>42</v>
      </c>
      <c r="O407" s="1" t="s">
        <v>56</v>
      </c>
      <c r="P407" s="1" t="s">
        <v>1507</v>
      </c>
      <c r="Q407" s="1" t="s">
        <v>1507</v>
      </c>
      <c r="R407" s="1" t="s">
        <v>1507</v>
      </c>
      <c r="S407" s="1" t="s">
        <v>1507</v>
      </c>
      <c r="T407" s="1" t="s">
        <v>1507</v>
      </c>
      <c r="U407" s="1" t="s">
        <v>2363</v>
      </c>
      <c r="V407" s="1" t="s">
        <v>2364</v>
      </c>
      <c r="W407" s="1" t="s">
        <v>2365</v>
      </c>
      <c r="X407" s="1" t="s">
        <v>2366</v>
      </c>
      <c r="Y407" s="1" t="s">
        <v>1763</v>
      </c>
      <c r="Z407" s="1" t="s">
        <v>2367</v>
      </c>
      <c r="AA407" s="1" t="s">
        <v>2368</v>
      </c>
      <c r="AB407" s="1" t="s">
        <v>13943</v>
      </c>
      <c r="AC407" s="1" t="s">
        <v>13944</v>
      </c>
      <c r="AD407" s="1" t="s">
        <v>2370</v>
      </c>
      <c r="AE407" s="1" t="s">
        <v>2370</v>
      </c>
      <c r="AF407" s="1" t="s">
        <v>2371</v>
      </c>
      <c r="AG407" s="1" t="s">
        <v>1507</v>
      </c>
      <c r="AH407" s="1">
        <v>56</v>
      </c>
      <c r="AI407" s="1">
        <v>2</v>
      </c>
      <c r="AJ407" s="1">
        <v>2</v>
      </c>
      <c r="AK407" s="1">
        <v>6</v>
      </c>
      <c r="AL407" s="1">
        <v>6</v>
      </c>
      <c r="AM407" s="1" t="s">
        <v>2372</v>
      </c>
      <c r="AN407" s="1" t="s">
        <v>2300</v>
      </c>
      <c r="AO407" s="1" t="s">
        <v>2373</v>
      </c>
      <c r="AP407" s="1" t="s">
        <v>2374</v>
      </c>
      <c r="AQ407" s="1" t="s">
        <v>1507</v>
      </c>
      <c r="AR407" s="1" t="s">
        <v>1507</v>
      </c>
      <c r="AS407" s="1" t="s">
        <v>2375</v>
      </c>
      <c r="AT407" s="1" t="s">
        <v>2376</v>
      </c>
      <c r="AU407" s="1" t="s">
        <v>2377</v>
      </c>
      <c r="AV407" s="1">
        <v>2023</v>
      </c>
      <c r="AW407" s="1">
        <v>13</v>
      </c>
      <c r="AX407" s="1">
        <v>24</v>
      </c>
      <c r="AY407" s="1" t="s">
        <v>1507</v>
      </c>
      <c r="AZ407" s="1" t="s">
        <v>1507</v>
      </c>
      <c r="BA407" s="1" t="s">
        <v>1507</v>
      </c>
      <c r="BB407" s="1" t="s">
        <v>1507</v>
      </c>
      <c r="BC407" s="1">
        <v>16032</v>
      </c>
      <c r="BD407" s="1">
        <v>16044</v>
      </c>
      <c r="BE407" s="1" t="s">
        <v>1507</v>
      </c>
      <c r="BF407" s="1" t="s">
        <v>2378</v>
      </c>
      <c r="BG407" s="1" t="str">
        <f>HYPERLINK("http://dx.doi.org/10.1021/acscatal.3c04956","http://dx.doi.org/10.1021/acscatal.3c04956")</f>
        <v>http://dx.doi.org/10.1021/acscatal.3c04956</v>
      </c>
      <c r="BH407" s="1" t="s">
        <v>1507</v>
      </c>
      <c r="BI407" s="1" t="s">
        <v>1507</v>
      </c>
      <c r="BJ407" s="1">
        <v>13</v>
      </c>
      <c r="BK407" s="1" t="s">
        <v>2379</v>
      </c>
      <c r="BL407" s="1" t="s">
        <v>1573</v>
      </c>
      <c r="BM407" s="1" t="s">
        <v>2380</v>
      </c>
      <c r="BN407" s="1" t="s">
        <v>2381</v>
      </c>
      <c r="BO407" s="1" t="s">
        <v>1507</v>
      </c>
      <c r="BP407" s="1" t="s">
        <v>1537</v>
      </c>
      <c r="BQ407" s="1" t="s">
        <v>1507</v>
      </c>
      <c r="BR407" s="1" t="s">
        <v>1507</v>
      </c>
      <c r="BS407" s="1" t="s">
        <v>13744</v>
      </c>
      <c r="BT407" s="1" t="s">
        <v>2382</v>
      </c>
      <c r="BU407" s="1" t="str">
        <f>HYPERLINK("https%3A%2F%2Fwww.webofscience.com%2Fwos%2Fwoscc%2Ffull-record%2FWOS:001141366800001","View Full Record in Web of Science")</f>
        <v>View Full Record in Web of Science</v>
      </c>
    </row>
    <row r="408" spans="1:73" x14ac:dyDescent="0.25">
      <c r="A408" s="1">
        <v>407</v>
      </c>
      <c r="B408" s="1" t="s">
        <v>1506</v>
      </c>
      <c r="C408" s="1" t="s">
        <v>5335</v>
      </c>
      <c r="D408" s="1" t="s">
        <v>1507</v>
      </c>
      <c r="E408" s="1" t="s">
        <v>1507</v>
      </c>
      <c r="F408" s="1" t="s">
        <v>1507</v>
      </c>
      <c r="G408" s="1" t="s">
        <v>5336</v>
      </c>
      <c r="H408" s="1" t="s">
        <v>1507</v>
      </c>
      <c r="I408" s="1" t="s">
        <v>1507</v>
      </c>
      <c r="J408" s="1" t="s">
        <v>5337</v>
      </c>
      <c r="K408" s="1" t="s">
        <v>3555</v>
      </c>
      <c r="L408" s="1" t="s">
        <v>1507</v>
      </c>
      <c r="M408" s="1" t="s">
        <v>1507</v>
      </c>
      <c r="N408" s="1" t="s">
        <v>42</v>
      </c>
      <c r="O408" s="1" t="s">
        <v>56</v>
      </c>
      <c r="P408" s="1" t="s">
        <v>1507</v>
      </c>
      <c r="Q408" s="1" t="s">
        <v>1507</v>
      </c>
      <c r="R408" s="1" t="s">
        <v>1507</v>
      </c>
      <c r="S408" s="1" t="s">
        <v>1507</v>
      </c>
      <c r="T408" s="1" t="s">
        <v>1507</v>
      </c>
      <c r="U408" s="1" t="s">
        <v>5338</v>
      </c>
      <c r="V408" s="1" t="s">
        <v>1507</v>
      </c>
      <c r="W408" s="1" t="s">
        <v>5339</v>
      </c>
      <c r="X408" s="1" t="s">
        <v>5340</v>
      </c>
      <c r="Y408" s="1" t="s">
        <v>5341</v>
      </c>
      <c r="Z408" s="1" t="s">
        <v>5342</v>
      </c>
      <c r="AA408" s="1" t="s">
        <v>5343</v>
      </c>
      <c r="AB408" s="1" t="s">
        <v>1507</v>
      </c>
      <c r="AC408" s="1" t="s">
        <v>1507</v>
      </c>
      <c r="AD408" s="1" t="s">
        <v>5344</v>
      </c>
      <c r="AE408" s="1" t="s">
        <v>5345</v>
      </c>
      <c r="AF408" s="1" t="s">
        <v>5346</v>
      </c>
      <c r="AG408" s="1" t="s">
        <v>1507</v>
      </c>
      <c r="AH408" s="1">
        <v>41</v>
      </c>
      <c r="AI408" s="1">
        <v>1</v>
      </c>
      <c r="AJ408" s="1">
        <v>1</v>
      </c>
      <c r="AK408" s="1">
        <v>0</v>
      </c>
      <c r="AL408" s="1">
        <v>1</v>
      </c>
      <c r="AM408" s="1" t="s">
        <v>3564</v>
      </c>
      <c r="AN408" s="1" t="s">
        <v>1523</v>
      </c>
      <c r="AO408" s="1" t="s">
        <v>3565</v>
      </c>
      <c r="AP408" s="1" t="s">
        <v>3566</v>
      </c>
      <c r="AQ408" s="1" t="s">
        <v>3567</v>
      </c>
      <c r="AR408" s="1" t="s">
        <v>1507</v>
      </c>
      <c r="AS408" s="1" t="s">
        <v>3568</v>
      </c>
      <c r="AT408" s="1" t="s">
        <v>3569</v>
      </c>
      <c r="AU408" s="1" t="s">
        <v>9054</v>
      </c>
      <c r="AV408" s="1">
        <v>2023</v>
      </c>
      <c r="AW408" s="1">
        <v>67</v>
      </c>
      <c r="AX408" s="1">
        <v>1</v>
      </c>
      <c r="AY408" s="1" t="s">
        <v>1507</v>
      </c>
      <c r="AZ408" s="1" t="s">
        <v>1507</v>
      </c>
      <c r="BA408" s="1" t="s">
        <v>1507</v>
      </c>
      <c r="BB408" s="1" t="s">
        <v>1507</v>
      </c>
      <c r="BC408" s="1">
        <v>1</v>
      </c>
      <c r="BD408" s="1">
        <v>21</v>
      </c>
      <c r="BE408" s="1" t="s">
        <v>5347</v>
      </c>
      <c r="BF408" s="1" t="s">
        <v>5348</v>
      </c>
      <c r="BG408" s="1" t="str">
        <f>HYPERLINK("http://dx.doi.org/10.1017/S0021855323000049","http://dx.doi.org/10.1017/S0021855323000049")</f>
        <v>http://dx.doi.org/10.1017/S0021855323000049</v>
      </c>
      <c r="BH408" s="1" t="s">
        <v>1507</v>
      </c>
      <c r="BI408" s="1" t="s">
        <v>5260</v>
      </c>
      <c r="BJ408" s="1">
        <v>21</v>
      </c>
      <c r="BK408" s="1" t="s">
        <v>1535</v>
      </c>
      <c r="BL408" s="1" t="s">
        <v>1518</v>
      </c>
      <c r="BM408" s="1" t="s">
        <v>1536</v>
      </c>
      <c r="BN408" s="1" t="s">
        <v>5349</v>
      </c>
      <c r="BO408" s="1" t="s">
        <v>1507</v>
      </c>
      <c r="BP408" s="1" t="s">
        <v>1537</v>
      </c>
      <c r="BQ408" s="1" t="s">
        <v>1507</v>
      </c>
      <c r="BR408" s="1" t="s">
        <v>1507</v>
      </c>
      <c r="BS408" s="1" t="s">
        <v>13744</v>
      </c>
      <c r="BT408" s="1" t="s">
        <v>5350</v>
      </c>
      <c r="BU408" s="1" t="str">
        <f>HYPERLINK("https%3A%2F%2Fwww.webofscience.com%2Fwos%2Fwoscc%2Ffull-record%2FWOS:000943272600001","View Full Record in Web of Science")</f>
        <v>View Full Record in Web of Science</v>
      </c>
    </row>
    <row r="409" spans="1:73" x14ac:dyDescent="0.25">
      <c r="A409" s="1">
        <v>408</v>
      </c>
      <c r="B409" s="1" t="s">
        <v>1506</v>
      </c>
      <c r="C409" s="1" t="s">
        <v>11370</v>
      </c>
      <c r="D409" s="1" t="s">
        <v>1507</v>
      </c>
      <c r="E409" s="1" t="s">
        <v>1507</v>
      </c>
      <c r="F409" s="1" t="s">
        <v>1507</v>
      </c>
      <c r="G409" s="1" t="s">
        <v>11371</v>
      </c>
      <c r="H409" s="1" t="s">
        <v>1507</v>
      </c>
      <c r="I409" s="1" t="s">
        <v>1507</v>
      </c>
      <c r="J409" s="1" t="s">
        <v>11372</v>
      </c>
      <c r="K409" s="1" t="s">
        <v>11373</v>
      </c>
      <c r="L409" s="1" t="s">
        <v>1507</v>
      </c>
      <c r="M409" s="1" t="s">
        <v>1507</v>
      </c>
      <c r="N409" s="1" t="s">
        <v>42</v>
      </c>
      <c r="O409" s="1" t="s">
        <v>56</v>
      </c>
      <c r="P409" s="1" t="s">
        <v>1507</v>
      </c>
      <c r="Q409" s="1" t="s">
        <v>1507</v>
      </c>
      <c r="R409" s="1" t="s">
        <v>1507</v>
      </c>
      <c r="S409" s="1" t="s">
        <v>1507</v>
      </c>
      <c r="T409" s="1" t="s">
        <v>1507</v>
      </c>
      <c r="U409" s="1" t="s">
        <v>11374</v>
      </c>
      <c r="V409" s="1" t="s">
        <v>11375</v>
      </c>
      <c r="W409" s="1" t="s">
        <v>11376</v>
      </c>
      <c r="X409" s="1" t="s">
        <v>11377</v>
      </c>
      <c r="Y409" s="1" t="s">
        <v>11378</v>
      </c>
      <c r="Z409" s="1" t="s">
        <v>11379</v>
      </c>
      <c r="AA409" s="1" t="s">
        <v>11380</v>
      </c>
      <c r="AB409" s="1" t="s">
        <v>1507</v>
      </c>
      <c r="AC409" s="1" t="s">
        <v>1507</v>
      </c>
      <c r="AD409" s="1" t="s">
        <v>11381</v>
      </c>
      <c r="AE409" s="1" t="s">
        <v>11382</v>
      </c>
      <c r="AF409" s="1" t="s">
        <v>11383</v>
      </c>
      <c r="AG409" s="1" t="s">
        <v>1507</v>
      </c>
      <c r="AH409" s="1">
        <v>18</v>
      </c>
      <c r="AI409" s="1">
        <v>2</v>
      </c>
      <c r="AJ409" s="1">
        <v>3</v>
      </c>
      <c r="AK409" s="1">
        <v>0</v>
      </c>
      <c r="AL409" s="1">
        <v>2</v>
      </c>
      <c r="AM409" s="1" t="s">
        <v>1555</v>
      </c>
      <c r="AN409" s="1" t="s">
        <v>1556</v>
      </c>
      <c r="AO409" s="1" t="s">
        <v>1557</v>
      </c>
      <c r="AP409" s="1" t="s">
        <v>11384</v>
      </c>
      <c r="AQ409" s="1" t="s">
        <v>11385</v>
      </c>
      <c r="AR409" s="1" t="s">
        <v>1507</v>
      </c>
      <c r="AS409" s="1" t="s">
        <v>11386</v>
      </c>
      <c r="AT409" s="1" t="s">
        <v>11387</v>
      </c>
      <c r="AU409" s="1" t="s">
        <v>1507</v>
      </c>
      <c r="AV409" s="1">
        <v>2019</v>
      </c>
      <c r="AW409" s="1">
        <v>15</v>
      </c>
      <c r="AX409" s="1">
        <v>3</v>
      </c>
      <c r="AY409" s="1" t="s">
        <v>1507</v>
      </c>
      <c r="AZ409" s="1" t="s">
        <v>1507</v>
      </c>
      <c r="BA409" s="1" t="s">
        <v>1507</v>
      </c>
      <c r="BB409" s="1" t="s">
        <v>1507</v>
      </c>
      <c r="BC409" s="1">
        <v>605</v>
      </c>
      <c r="BD409" s="1">
        <v>625</v>
      </c>
      <c r="BE409" s="1" t="s">
        <v>1507</v>
      </c>
      <c r="BF409" s="1" t="s">
        <v>11388</v>
      </c>
      <c r="BG409" s="1" t="str">
        <f>HYPERLINK("http://dx.doi.org/10.1080/17441048.2019.1684917","http://dx.doi.org/10.1080/17441048.2019.1684917")</f>
        <v>http://dx.doi.org/10.1080/17441048.2019.1684917</v>
      </c>
      <c r="BH409" s="1" t="s">
        <v>1507</v>
      </c>
      <c r="BI409" s="1" t="s">
        <v>1507</v>
      </c>
      <c r="BJ409" s="1">
        <v>21</v>
      </c>
      <c r="BK409" s="1" t="s">
        <v>1535</v>
      </c>
      <c r="BL409" s="1" t="s">
        <v>1529</v>
      </c>
      <c r="BM409" s="1" t="s">
        <v>1536</v>
      </c>
      <c r="BN409" s="1" t="s">
        <v>11389</v>
      </c>
      <c r="BO409" s="1" t="s">
        <v>1507</v>
      </c>
      <c r="BP409" s="1" t="s">
        <v>5957</v>
      </c>
      <c r="BQ409" s="1" t="s">
        <v>1507</v>
      </c>
      <c r="BR409" s="1" t="s">
        <v>1507</v>
      </c>
      <c r="BS409" s="1" t="s">
        <v>13744</v>
      </c>
      <c r="BT409" s="1" t="s">
        <v>11390</v>
      </c>
      <c r="BU409" s="1" t="str">
        <f>HYPERLINK("https%3A%2F%2Fwww.webofscience.com%2Fwos%2Fwoscc%2Ffull-record%2FWOS:000511145100006","View Full Record in Web of Science")</f>
        <v>View Full Record in Web of Science</v>
      </c>
    </row>
    <row r="410" spans="1:73" x14ac:dyDescent="0.25">
      <c r="A410" s="1">
        <v>409</v>
      </c>
      <c r="B410" s="1" t="s">
        <v>1506</v>
      </c>
      <c r="C410" s="1" t="s">
        <v>14412</v>
      </c>
      <c r="D410" s="1" t="s">
        <v>1507</v>
      </c>
      <c r="E410" s="1" t="s">
        <v>1507</v>
      </c>
      <c r="F410" s="1" t="s">
        <v>1507</v>
      </c>
      <c r="G410" s="1" t="s">
        <v>14413</v>
      </c>
      <c r="H410" s="1" t="s">
        <v>1507</v>
      </c>
      <c r="I410" s="1" t="s">
        <v>1507</v>
      </c>
      <c r="J410" s="1" t="s">
        <v>13513</v>
      </c>
      <c r="K410" s="1" t="s">
        <v>14414</v>
      </c>
      <c r="L410" s="1" t="s">
        <v>1507</v>
      </c>
      <c r="M410" s="1" t="s">
        <v>1507</v>
      </c>
      <c r="N410" s="1" t="s">
        <v>42</v>
      </c>
      <c r="O410" s="1" t="s">
        <v>13950</v>
      </c>
      <c r="P410" s="1" t="s">
        <v>1507</v>
      </c>
      <c r="Q410" s="1" t="s">
        <v>1507</v>
      </c>
      <c r="R410" s="1" t="s">
        <v>1507</v>
      </c>
      <c r="S410" s="1" t="s">
        <v>1507</v>
      </c>
      <c r="T410" s="1" t="s">
        <v>1507</v>
      </c>
      <c r="U410" s="1" t="s">
        <v>14415</v>
      </c>
      <c r="V410" s="1" t="s">
        <v>4023</v>
      </c>
      <c r="W410" s="1" t="s">
        <v>14416</v>
      </c>
      <c r="X410" s="1" t="s">
        <v>14417</v>
      </c>
      <c r="Y410" s="1" t="s">
        <v>14418</v>
      </c>
      <c r="Z410" s="1" t="s">
        <v>14419</v>
      </c>
      <c r="AA410" s="1" t="s">
        <v>14420</v>
      </c>
      <c r="AB410" s="1" t="s">
        <v>1507</v>
      </c>
      <c r="AC410" s="1" t="s">
        <v>14421</v>
      </c>
      <c r="AD410" s="1" t="s">
        <v>1507</v>
      </c>
      <c r="AE410" s="1" t="s">
        <v>1507</v>
      </c>
      <c r="AF410" s="1" t="s">
        <v>1507</v>
      </c>
      <c r="AG410" s="1" t="s">
        <v>1507</v>
      </c>
      <c r="AH410" s="1">
        <v>15</v>
      </c>
      <c r="AI410" s="1">
        <v>0</v>
      </c>
      <c r="AJ410" s="1">
        <v>0</v>
      </c>
      <c r="AK410" s="1">
        <v>8</v>
      </c>
      <c r="AL410" s="1">
        <v>8</v>
      </c>
      <c r="AM410" s="1" t="s">
        <v>1548</v>
      </c>
      <c r="AN410" s="1" t="s">
        <v>1549</v>
      </c>
      <c r="AO410" s="1" t="s">
        <v>1550</v>
      </c>
      <c r="AP410" s="1" t="s">
        <v>14422</v>
      </c>
      <c r="AQ410" s="1" t="s">
        <v>14423</v>
      </c>
      <c r="AR410" s="1" t="s">
        <v>1507</v>
      </c>
      <c r="AS410" s="1" t="s">
        <v>14424</v>
      </c>
      <c r="AT410" s="1" t="s">
        <v>14425</v>
      </c>
      <c r="AU410" s="1" t="s">
        <v>2889</v>
      </c>
      <c r="AV410" s="1">
        <v>2023</v>
      </c>
      <c r="AW410" s="1">
        <v>30</v>
      </c>
      <c r="AX410" s="1">
        <v>4</v>
      </c>
      <c r="AY410" s="1" t="s">
        <v>1507</v>
      </c>
      <c r="AZ410" s="1" t="s">
        <v>1507</v>
      </c>
      <c r="BA410" s="1" t="s">
        <v>1507</v>
      </c>
      <c r="BB410" s="1" t="s">
        <v>1507</v>
      </c>
      <c r="BC410" s="1">
        <v>228</v>
      </c>
      <c r="BD410" s="1">
        <v>234</v>
      </c>
      <c r="BE410" s="1" t="s">
        <v>1507</v>
      </c>
      <c r="BF410" s="1" t="s">
        <v>13511</v>
      </c>
      <c r="BG410" s="1" t="str">
        <f>HYPERLINK("http://dx.doi.org/10.1002/isaf.1547","http://dx.doi.org/10.1002/isaf.1547")</f>
        <v>http://dx.doi.org/10.1002/isaf.1547</v>
      </c>
      <c r="BH410" s="1" t="s">
        <v>1507</v>
      </c>
      <c r="BI410" s="1" t="s">
        <v>1507</v>
      </c>
      <c r="BJ410" s="1">
        <v>7</v>
      </c>
      <c r="BK410" s="1" t="s">
        <v>3165</v>
      </c>
      <c r="BL410" s="1" t="s">
        <v>1529</v>
      </c>
      <c r="BM410" s="1" t="s">
        <v>3118</v>
      </c>
      <c r="BN410" s="1" t="s">
        <v>14426</v>
      </c>
      <c r="BO410" s="1" t="s">
        <v>1507</v>
      </c>
      <c r="BP410" s="1" t="s">
        <v>1537</v>
      </c>
      <c r="BQ410" s="1" t="s">
        <v>1507</v>
      </c>
      <c r="BR410" s="1" t="s">
        <v>1507</v>
      </c>
      <c r="BS410" s="1" t="s">
        <v>13744</v>
      </c>
      <c r="BT410" s="1" t="s">
        <v>14427</v>
      </c>
      <c r="BU410" s="1" t="str">
        <f>HYPERLINK("https%3A%2F%2Fwww.webofscience.com%2Fwos%2Fwoscc%2Ffull-record%2FWOS:001128343000004","View Full Record in Web of Science")</f>
        <v>View Full Record in Web of Science</v>
      </c>
    </row>
    <row r="411" spans="1:73" x14ac:dyDescent="0.25">
      <c r="A411" s="1">
        <v>410</v>
      </c>
      <c r="B411" s="1" t="s">
        <v>1506</v>
      </c>
      <c r="C411" s="1" t="s">
        <v>3594</v>
      </c>
      <c r="D411" s="1" t="s">
        <v>1507</v>
      </c>
      <c r="E411" s="1" t="s">
        <v>1507</v>
      </c>
      <c r="F411" s="1" t="s">
        <v>1507</v>
      </c>
      <c r="G411" s="1" t="s">
        <v>3595</v>
      </c>
      <c r="H411" s="1" t="s">
        <v>1507</v>
      </c>
      <c r="I411" s="1" t="s">
        <v>1507</v>
      </c>
      <c r="J411" s="1" t="s">
        <v>3596</v>
      </c>
      <c r="K411" s="1" t="s">
        <v>3597</v>
      </c>
      <c r="L411" s="1" t="s">
        <v>1507</v>
      </c>
      <c r="M411" s="1" t="s">
        <v>1507</v>
      </c>
      <c r="N411" s="1" t="s">
        <v>42</v>
      </c>
      <c r="O411" s="1" t="s">
        <v>56</v>
      </c>
      <c r="P411" s="1" t="s">
        <v>1507</v>
      </c>
      <c r="Q411" s="1" t="s">
        <v>1507</v>
      </c>
      <c r="R411" s="1" t="s">
        <v>1507</v>
      </c>
      <c r="S411" s="1" t="s">
        <v>1507</v>
      </c>
      <c r="T411" s="1" t="s">
        <v>1507</v>
      </c>
      <c r="U411" s="1" t="s">
        <v>3598</v>
      </c>
      <c r="V411" s="1" t="s">
        <v>1507</v>
      </c>
      <c r="W411" s="1" t="s">
        <v>3599</v>
      </c>
      <c r="X411" s="1" t="s">
        <v>3600</v>
      </c>
      <c r="Y411" s="1" t="s">
        <v>3601</v>
      </c>
      <c r="Z411" s="1" t="s">
        <v>3602</v>
      </c>
      <c r="AA411" s="1" t="s">
        <v>3603</v>
      </c>
      <c r="AB411" s="1" t="s">
        <v>1507</v>
      </c>
      <c r="AC411" s="1" t="s">
        <v>1507</v>
      </c>
      <c r="AD411" s="1" t="s">
        <v>1507</v>
      </c>
      <c r="AE411" s="1" t="s">
        <v>1507</v>
      </c>
      <c r="AF411" s="1" t="s">
        <v>1507</v>
      </c>
      <c r="AG411" s="1" t="s">
        <v>1507</v>
      </c>
      <c r="AH411" s="1">
        <v>17</v>
      </c>
      <c r="AI411" s="1">
        <v>0</v>
      </c>
      <c r="AJ411" s="1">
        <v>0</v>
      </c>
      <c r="AK411" s="1">
        <v>29</v>
      </c>
      <c r="AL411" s="1">
        <v>29</v>
      </c>
      <c r="AM411" s="1" t="s">
        <v>3604</v>
      </c>
      <c r="AN411" s="1" t="s">
        <v>3605</v>
      </c>
      <c r="AO411" s="1" t="s">
        <v>3606</v>
      </c>
      <c r="AP411" s="1" t="s">
        <v>3607</v>
      </c>
      <c r="AQ411" s="1" t="s">
        <v>3608</v>
      </c>
      <c r="AR411" s="1" t="s">
        <v>1507</v>
      </c>
      <c r="AS411" s="1" t="s">
        <v>3609</v>
      </c>
      <c r="AT411" s="1" t="s">
        <v>3610</v>
      </c>
      <c r="AU411" s="1" t="s">
        <v>2889</v>
      </c>
      <c r="AV411" s="1">
        <v>2023</v>
      </c>
      <c r="AW411" s="1">
        <v>33</v>
      </c>
      <c r="AX411" s="1">
        <v>10</v>
      </c>
      <c r="AY411" s="1" t="s">
        <v>1507</v>
      </c>
      <c r="AZ411" s="1" t="s">
        <v>1507</v>
      </c>
      <c r="BA411" s="1" t="s">
        <v>1507</v>
      </c>
      <c r="BB411" s="1" t="s">
        <v>1507</v>
      </c>
      <c r="BC411" s="1">
        <v>1198</v>
      </c>
      <c r="BD411" s="1">
        <v>1200</v>
      </c>
      <c r="BE411" s="1" t="s">
        <v>1507</v>
      </c>
      <c r="BF411" s="1" t="s">
        <v>3611</v>
      </c>
      <c r="BG411" s="1" t="str">
        <f>HYPERLINK("http://dx.doi.org/10.29271/jcpsp.2023.10.1198","http://dx.doi.org/10.29271/jcpsp.2023.10.1198")</f>
        <v>http://dx.doi.org/10.29271/jcpsp.2023.10.1198</v>
      </c>
      <c r="BH411" s="1" t="s">
        <v>1507</v>
      </c>
      <c r="BI411" s="1" t="s">
        <v>1507</v>
      </c>
      <c r="BJ411" s="1">
        <v>3</v>
      </c>
      <c r="BK411" s="1" t="s">
        <v>1949</v>
      </c>
      <c r="BL411" s="1" t="s">
        <v>1573</v>
      </c>
      <c r="BM411" s="1" t="s">
        <v>1950</v>
      </c>
      <c r="BN411" s="1" t="s">
        <v>3612</v>
      </c>
      <c r="BO411" s="1">
        <v>37804030</v>
      </c>
      <c r="BP411" s="1" t="s">
        <v>1531</v>
      </c>
      <c r="BQ411" s="1" t="s">
        <v>1507</v>
      </c>
      <c r="BR411" s="1" t="s">
        <v>1507</v>
      </c>
      <c r="BS411" s="1" t="s">
        <v>13744</v>
      </c>
      <c r="BT411" s="1" t="s">
        <v>3613</v>
      </c>
      <c r="BU411" s="1" t="str">
        <f>HYPERLINK("https%3A%2F%2Fwww.webofscience.com%2Fwos%2Fwoscc%2Ffull-record%2FWOS:001083466300021","View Full Record in Web of Science")</f>
        <v>View Full Record in Web of Science</v>
      </c>
    </row>
    <row r="412" spans="1:73" x14ac:dyDescent="0.25">
      <c r="A412" s="1">
        <v>411</v>
      </c>
      <c r="B412" s="1" t="s">
        <v>1506</v>
      </c>
      <c r="C412" s="1" t="s">
        <v>10888</v>
      </c>
      <c r="D412" s="1" t="s">
        <v>1507</v>
      </c>
      <c r="E412" s="1" t="s">
        <v>1507</v>
      </c>
      <c r="F412" s="1" t="s">
        <v>1507</v>
      </c>
      <c r="G412" s="1" t="s">
        <v>10889</v>
      </c>
      <c r="H412" s="1" t="s">
        <v>1507</v>
      </c>
      <c r="I412" s="1" t="s">
        <v>1507</v>
      </c>
      <c r="J412" s="1" t="s">
        <v>10890</v>
      </c>
      <c r="K412" s="1" t="s">
        <v>3297</v>
      </c>
      <c r="L412" s="1" t="s">
        <v>1507</v>
      </c>
      <c r="M412" s="1" t="s">
        <v>1507</v>
      </c>
      <c r="N412" s="1" t="s">
        <v>42</v>
      </c>
      <c r="O412" s="1" t="s">
        <v>56</v>
      </c>
      <c r="P412" s="1" t="s">
        <v>1507</v>
      </c>
      <c r="Q412" s="1" t="s">
        <v>1507</v>
      </c>
      <c r="R412" s="1" t="s">
        <v>1507</v>
      </c>
      <c r="S412" s="1" t="s">
        <v>1507</v>
      </c>
      <c r="T412" s="1" t="s">
        <v>1507</v>
      </c>
      <c r="U412" s="1" t="s">
        <v>1507</v>
      </c>
      <c r="V412" s="1" t="s">
        <v>10891</v>
      </c>
      <c r="W412" s="1" t="s">
        <v>10892</v>
      </c>
      <c r="X412" s="1" t="s">
        <v>10893</v>
      </c>
      <c r="Y412" s="1" t="s">
        <v>10894</v>
      </c>
      <c r="Z412" s="1" t="s">
        <v>10895</v>
      </c>
      <c r="AA412" s="1" t="s">
        <v>10896</v>
      </c>
      <c r="AB412" s="1" t="s">
        <v>15925</v>
      </c>
      <c r="AC412" s="1" t="s">
        <v>15926</v>
      </c>
      <c r="AD412" s="1" t="s">
        <v>10897</v>
      </c>
      <c r="AE412" s="1" t="s">
        <v>10898</v>
      </c>
      <c r="AF412" s="1" t="s">
        <v>10899</v>
      </c>
      <c r="AG412" s="1" t="s">
        <v>1507</v>
      </c>
      <c r="AH412" s="1">
        <v>61</v>
      </c>
      <c r="AI412" s="1">
        <v>30</v>
      </c>
      <c r="AJ412" s="1">
        <v>34</v>
      </c>
      <c r="AK412" s="1">
        <v>2</v>
      </c>
      <c r="AL412" s="1">
        <v>19</v>
      </c>
      <c r="AM412" s="1" t="s">
        <v>10462</v>
      </c>
      <c r="AN412" s="1" t="s">
        <v>1592</v>
      </c>
      <c r="AO412" s="1" t="s">
        <v>1593</v>
      </c>
      <c r="AP412" s="1" t="s">
        <v>3307</v>
      </c>
      <c r="AQ412" s="1" t="s">
        <v>1507</v>
      </c>
      <c r="AR412" s="1" t="s">
        <v>1507</v>
      </c>
      <c r="AS412" s="1" t="s">
        <v>3308</v>
      </c>
      <c r="AT412" s="1" t="s">
        <v>3309</v>
      </c>
      <c r="AU412" s="1" t="s">
        <v>10900</v>
      </c>
      <c r="AV412" s="1">
        <v>2019</v>
      </c>
      <c r="AW412" s="1">
        <v>9</v>
      </c>
      <c r="AX412" s="1" t="s">
        <v>1507</v>
      </c>
      <c r="AY412" s="1" t="s">
        <v>1507</v>
      </c>
      <c r="AZ412" s="1" t="s">
        <v>1507</v>
      </c>
      <c r="BA412" s="1" t="s">
        <v>1507</v>
      </c>
      <c r="BB412" s="1" t="s">
        <v>1507</v>
      </c>
      <c r="BC412" s="1" t="s">
        <v>1507</v>
      </c>
      <c r="BD412" s="1" t="s">
        <v>1507</v>
      </c>
      <c r="BE412" s="1">
        <v>8819</v>
      </c>
      <c r="BF412" s="1" t="s">
        <v>10901</v>
      </c>
      <c r="BG412" s="1" t="str">
        <f>HYPERLINK("http://dx.doi.org/10.1038/s41598-019-45364-z","http://dx.doi.org/10.1038/s41598-019-45364-z")</f>
        <v>http://dx.doi.org/10.1038/s41598-019-45364-z</v>
      </c>
      <c r="BH412" s="1" t="s">
        <v>1507</v>
      </c>
      <c r="BI412" s="1" t="s">
        <v>1507</v>
      </c>
      <c r="BJ412" s="1">
        <v>10</v>
      </c>
      <c r="BK412" s="1" t="s">
        <v>1776</v>
      </c>
      <c r="BL412" s="1" t="s">
        <v>1573</v>
      </c>
      <c r="BM412" s="1" t="s">
        <v>1777</v>
      </c>
      <c r="BN412" s="1" t="s">
        <v>10902</v>
      </c>
      <c r="BO412" s="1">
        <v>31217550</v>
      </c>
      <c r="BP412" s="1" t="s">
        <v>1674</v>
      </c>
      <c r="BQ412" s="1" t="s">
        <v>1507</v>
      </c>
      <c r="BR412" s="1" t="s">
        <v>1507</v>
      </c>
      <c r="BS412" s="1" t="s">
        <v>13744</v>
      </c>
      <c r="BT412" s="1" t="s">
        <v>10903</v>
      </c>
      <c r="BU412" s="1" t="str">
        <f>HYPERLINK("https%3A%2F%2Fwww.webofscience.com%2Fwos%2Fwoscc%2Ffull-record%2FWOS:000472030000052","View Full Record in Web of Science")</f>
        <v>View Full Record in Web of Science</v>
      </c>
    </row>
    <row r="413" spans="1:73" x14ac:dyDescent="0.25">
      <c r="A413" s="1">
        <v>412</v>
      </c>
      <c r="B413" s="1" t="s">
        <v>1506</v>
      </c>
      <c r="C413" s="1" t="s">
        <v>8713</v>
      </c>
      <c r="D413" s="1" t="s">
        <v>1507</v>
      </c>
      <c r="E413" s="1" t="s">
        <v>1507</v>
      </c>
      <c r="F413" s="1" t="s">
        <v>1507</v>
      </c>
      <c r="G413" s="1" t="s">
        <v>8714</v>
      </c>
      <c r="H413" s="1" t="s">
        <v>1507</v>
      </c>
      <c r="I413" s="1" t="s">
        <v>1507</v>
      </c>
      <c r="J413" s="1" t="s">
        <v>8715</v>
      </c>
      <c r="K413" s="1" t="s">
        <v>3555</v>
      </c>
      <c r="L413" s="1" t="s">
        <v>1507</v>
      </c>
      <c r="M413" s="1" t="s">
        <v>1507</v>
      </c>
      <c r="N413" s="1" t="s">
        <v>42</v>
      </c>
      <c r="O413" s="1" t="s">
        <v>56</v>
      </c>
      <c r="P413" s="1" t="s">
        <v>1507</v>
      </c>
      <c r="Q413" s="1" t="s">
        <v>1507</v>
      </c>
      <c r="R413" s="1" t="s">
        <v>1507</v>
      </c>
      <c r="S413" s="1" t="s">
        <v>1507</v>
      </c>
      <c r="T413" s="1" t="s">
        <v>1507</v>
      </c>
      <c r="U413" s="1" t="s">
        <v>8716</v>
      </c>
      <c r="V413" s="1" t="s">
        <v>1507</v>
      </c>
      <c r="W413" s="1" t="s">
        <v>8717</v>
      </c>
      <c r="X413" s="1" t="s">
        <v>8718</v>
      </c>
      <c r="Y413" s="1" t="s">
        <v>8719</v>
      </c>
      <c r="Z413" s="1" t="s">
        <v>8720</v>
      </c>
      <c r="AA413" s="1" t="s">
        <v>8721</v>
      </c>
      <c r="AB413" s="1" t="s">
        <v>1507</v>
      </c>
      <c r="AC413" s="1" t="s">
        <v>8722</v>
      </c>
      <c r="AD413" s="1" t="s">
        <v>15746</v>
      </c>
      <c r="AE413" s="1" t="s">
        <v>15747</v>
      </c>
      <c r="AF413" s="1" t="s">
        <v>8723</v>
      </c>
      <c r="AG413" s="1" t="s">
        <v>1507</v>
      </c>
      <c r="AH413" s="1">
        <v>45</v>
      </c>
      <c r="AI413" s="1">
        <v>0</v>
      </c>
      <c r="AJ413" s="1">
        <v>0</v>
      </c>
      <c r="AK413" s="1">
        <v>0</v>
      </c>
      <c r="AL413" s="1">
        <v>2</v>
      </c>
      <c r="AM413" s="1" t="s">
        <v>3564</v>
      </c>
      <c r="AN413" s="1" t="s">
        <v>1523</v>
      </c>
      <c r="AO413" s="1" t="s">
        <v>3565</v>
      </c>
      <c r="AP413" s="1" t="s">
        <v>3566</v>
      </c>
      <c r="AQ413" s="1" t="s">
        <v>3567</v>
      </c>
      <c r="AR413" s="1" t="s">
        <v>1507</v>
      </c>
      <c r="AS413" s="1" t="s">
        <v>3568</v>
      </c>
      <c r="AT413" s="1" t="s">
        <v>3569</v>
      </c>
      <c r="AU413" s="1" t="s">
        <v>5045</v>
      </c>
      <c r="AV413" s="1">
        <v>2021</v>
      </c>
      <c r="AW413" s="1">
        <v>65</v>
      </c>
      <c r="AX413" s="1" t="s">
        <v>1507</v>
      </c>
      <c r="AY413" s="1" t="s">
        <v>1507</v>
      </c>
      <c r="AZ413" s="1">
        <v>1</v>
      </c>
      <c r="BA413" s="1" t="s">
        <v>3506</v>
      </c>
      <c r="BB413" s="1" t="s">
        <v>1507</v>
      </c>
      <c r="BC413" s="1">
        <v>9</v>
      </c>
      <c r="BD413" s="1">
        <v>33</v>
      </c>
      <c r="BE413" s="1" t="s">
        <v>1507</v>
      </c>
      <c r="BF413" s="1" t="s">
        <v>8724</v>
      </c>
      <c r="BG413" s="1" t="str">
        <f>HYPERLINK("http://dx.doi.org/10.1017/S0021855321000036","http://dx.doi.org/10.1017/S0021855321000036")</f>
        <v>http://dx.doi.org/10.1017/S0021855321000036</v>
      </c>
      <c r="BH413" s="1" t="s">
        <v>1507</v>
      </c>
      <c r="BI413" s="1" t="s">
        <v>1507</v>
      </c>
      <c r="BJ413" s="1">
        <v>25</v>
      </c>
      <c r="BK413" s="1" t="s">
        <v>1535</v>
      </c>
      <c r="BL413" s="1" t="s">
        <v>1518</v>
      </c>
      <c r="BM413" s="1" t="s">
        <v>1536</v>
      </c>
      <c r="BN413" s="1" t="s">
        <v>8725</v>
      </c>
      <c r="BO413" s="1" t="s">
        <v>1507</v>
      </c>
      <c r="BP413" s="1" t="s">
        <v>2309</v>
      </c>
      <c r="BQ413" s="1" t="s">
        <v>1507</v>
      </c>
      <c r="BR413" s="1" t="s">
        <v>1507</v>
      </c>
      <c r="BS413" s="1" t="s">
        <v>13744</v>
      </c>
      <c r="BT413" s="1" t="s">
        <v>8726</v>
      </c>
      <c r="BU413" s="1" t="str">
        <f>HYPERLINK("https%3A%2F%2Fwww.webofscience.com%2Fwos%2Fwoscc%2Ffull-record%2FWOS:000649790600004","View Full Record in Web of Science")</f>
        <v>View Full Record in Web of Science</v>
      </c>
    </row>
    <row r="414" spans="1:73" x14ac:dyDescent="0.25">
      <c r="A414" s="1">
        <v>413</v>
      </c>
      <c r="B414" s="1" t="s">
        <v>1506</v>
      </c>
      <c r="C414" s="1" t="s">
        <v>4984</v>
      </c>
      <c r="D414" s="1" t="s">
        <v>1507</v>
      </c>
      <c r="E414" s="1" t="s">
        <v>1507</v>
      </c>
      <c r="F414" s="1" t="s">
        <v>1507</v>
      </c>
      <c r="G414" s="1" t="s">
        <v>4985</v>
      </c>
      <c r="H414" s="1" t="s">
        <v>1507</v>
      </c>
      <c r="I414" s="1" t="s">
        <v>1507</v>
      </c>
      <c r="J414" s="1" t="s">
        <v>4986</v>
      </c>
      <c r="K414" s="1" t="s">
        <v>4987</v>
      </c>
      <c r="L414" s="1" t="s">
        <v>1507</v>
      </c>
      <c r="M414" s="1" t="s">
        <v>1507</v>
      </c>
      <c r="N414" s="1" t="s">
        <v>42</v>
      </c>
      <c r="O414" s="1" t="s">
        <v>56</v>
      </c>
      <c r="P414" s="1" t="s">
        <v>1507</v>
      </c>
      <c r="Q414" s="1" t="s">
        <v>1507</v>
      </c>
      <c r="R414" s="1" t="s">
        <v>1507</v>
      </c>
      <c r="S414" s="1" t="s">
        <v>1507</v>
      </c>
      <c r="T414" s="1" t="s">
        <v>1507</v>
      </c>
      <c r="U414" s="1" t="s">
        <v>4988</v>
      </c>
      <c r="V414" s="1" t="s">
        <v>4989</v>
      </c>
      <c r="W414" s="1" t="s">
        <v>4990</v>
      </c>
      <c r="X414" s="1" t="s">
        <v>4991</v>
      </c>
      <c r="Y414" s="1" t="s">
        <v>4992</v>
      </c>
      <c r="Z414" s="1" t="s">
        <v>4993</v>
      </c>
      <c r="AA414" s="1" t="s">
        <v>4994</v>
      </c>
      <c r="AB414" s="1" t="s">
        <v>4995</v>
      </c>
      <c r="AC414" s="1" t="s">
        <v>4996</v>
      </c>
      <c r="AD414" s="1" t="s">
        <v>4997</v>
      </c>
      <c r="AE414" s="1" t="s">
        <v>4998</v>
      </c>
      <c r="AF414" s="1" t="s">
        <v>4999</v>
      </c>
      <c r="AG414" s="1" t="s">
        <v>1507</v>
      </c>
      <c r="AH414" s="1">
        <v>49</v>
      </c>
      <c r="AI414" s="1">
        <v>2</v>
      </c>
      <c r="AJ414" s="1">
        <v>2</v>
      </c>
      <c r="AK414" s="1">
        <v>4</v>
      </c>
      <c r="AL414" s="1">
        <v>7</v>
      </c>
      <c r="AM414" s="1" t="s">
        <v>5000</v>
      </c>
      <c r="AN414" s="1" t="s">
        <v>1551</v>
      </c>
      <c r="AO414" s="1" t="s">
        <v>5001</v>
      </c>
      <c r="AP414" s="1" t="s">
        <v>1507</v>
      </c>
      <c r="AQ414" s="1" t="s">
        <v>5002</v>
      </c>
      <c r="AR414" s="1" t="s">
        <v>1507</v>
      </c>
      <c r="AS414" s="1" t="s">
        <v>5003</v>
      </c>
      <c r="AT414" s="1" t="s">
        <v>5004</v>
      </c>
      <c r="AU414" s="1" t="s">
        <v>5005</v>
      </c>
      <c r="AV414" s="1">
        <v>2023</v>
      </c>
      <c r="AW414" s="1">
        <v>9</v>
      </c>
      <c r="AX414" s="1" t="s">
        <v>1507</v>
      </c>
      <c r="AY414" s="1" t="s">
        <v>1507</v>
      </c>
      <c r="AZ414" s="1" t="s">
        <v>1507</v>
      </c>
      <c r="BA414" s="1" t="s">
        <v>1507</v>
      </c>
      <c r="BB414" s="1" t="s">
        <v>1507</v>
      </c>
      <c r="BC414" s="1" t="s">
        <v>1507</v>
      </c>
      <c r="BD414" s="1" t="s">
        <v>1507</v>
      </c>
      <c r="BE414" s="1" t="s">
        <v>5006</v>
      </c>
      <c r="BF414" s="1" t="s">
        <v>5007</v>
      </c>
      <c r="BG414" s="1" t="str">
        <f>HYPERLINK("http://dx.doi.org/10.7717/peerj-cs.1377","http://dx.doi.org/10.7717/peerj-cs.1377")</f>
        <v>http://dx.doi.org/10.7717/peerj-cs.1377</v>
      </c>
      <c r="BH414" s="1" t="s">
        <v>1507</v>
      </c>
      <c r="BI414" s="1" t="s">
        <v>1507</v>
      </c>
      <c r="BJ414" s="1">
        <v>33</v>
      </c>
      <c r="BK414" s="1" t="s">
        <v>2230</v>
      </c>
      <c r="BL414" s="1" t="s">
        <v>1573</v>
      </c>
      <c r="BM414" s="1" t="s">
        <v>1577</v>
      </c>
      <c r="BN414" s="1" t="s">
        <v>5008</v>
      </c>
      <c r="BO414" s="1">
        <v>37346571</v>
      </c>
      <c r="BP414" s="1" t="s">
        <v>1952</v>
      </c>
      <c r="BQ414" s="1" t="s">
        <v>1507</v>
      </c>
      <c r="BR414" s="1" t="s">
        <v>1507</v>
      </c>
      <c r="BS414" s="1" t="s">
        <v>13744</v>
      </c>
      <c r="BT414" s="1" t="s">
        <v>5009</v>
      </c>
      <c r="BU414" s="1" t="str">
        <f>HYPERLINK("https%3A%2F%2Fwww.webofscience.com%2Fwos%2Fwoscc%2Ffull-record%2FWOS:000996387100005","View Full Record in Web of Science")</f>
        <v>View Full Record in Web of Science</v>
      </c>
    </row>
    <row r="415" spans="1:73" x14ac:dyDescent="0.25">
      <c r="A415" s="1">
        <v>414</v>
      </c>
      <c r="B415" s="1" t="s">
        <v>1506</v>
      </c>
      <c r="C415" s="1" t="s">
        <v>9855</v>
      </c>
      <c r="D415" s="1" t="s">
        <v>1507</v>
      </c>
      <c r="E415" s="1" t="s">
        <v>1507</v>
      </c>
      <c r="F415" s="1" t="s">
        <v>1507</v>
      </c>
      <c r="G415" s="1" t="s">
        <v>9856</v>
      </c>
      <c r="H415" s="1" t="s">
        <v>1507</v>
      </c>
      <c r="I415" s="1" t="s">
        <v>1507</v>
      </c>
      <c r="J415" s="1" t="s">
        <v>9857</v>
      </c>
      <c r="K415" s="1" t="s">
        <v>4064</v>
      </c>
      <c r="L415" s="1" t="s">
        <v>1507</v>
      </c>
      <c r="M415" s="1" t="s">
        <v>1507</v>
      </c>
      <c r="N415" s="1" t="s">
        <v>42</v>
      </c>
      <c r="O415" s="1" t="s">
        <v>56</v>
      </c>
      <c r="P415" s="1" t="s">
        <v>1507</v>
      </c>
      <c r="Q415" s="1" t="s">
        <v>1507</v>
      </c>
      <c r="R415" s="1" t="s">
        <v>1507</v>
      </c>
      <c r="S415" s="1" t="s">
        <v>1507</v>
      </c>
      <c r="T415" s="1" t="s">
        <v>1507</v>
      </c>
      <c r="U415" s="1" t="s">
        <v>9858</v>
      </c>
      <c r="V415" s="1" t="s">
        <v>9859</v>
      </c>
      <c r="W415" s="1" t="s">
        <v>9860</v>
      </c>
      <c r="X415" s="1" t="s">
        <v>9861</v>
      </c>
      <c r="Y415" s="1" t="s">
        <v>9862</v>
      </c>
      <c r="Z415" s="1" t="s">
        <v>9863</v>
      </c>
      <c r="AA415" s="1" t="s">
        <v>9864</v>
      </c>
      <c r="AB415" s="1" t="s">
        <v>15812</v>
      </c>
      <c r="AC415" s="1" t="s">
        <v>15813</v>
      </c>
      <c r="AD415" s="1" t="s">
        <v>9865</v>
      </c>
      <c r="AE415" s="1" t="s">
        <v>9866</v>
      </c>
      <c r="AF415" s="1" t="s">
        <v>9867</v>
      </c>
      <c r="AG415" s="1" t="s">
        <v>1507</v>
      </c>
      <c r="AH415" s="1">
        <v>53</v>
      </c>
      <c r="AI415" s="1">
        <v>11</v>
      </c>
      <c r="AJ415" s="1">
        <v>11</v>
      </c>
      <c r="AK415" s="1">
        <v>2</v>
      </c>
      <c r="AL415" s="1">
        <v>28</v>
      </c>
      <c r="AM415" s="1" t="s">
        <v>1579</v>
      </c>
      <c r="AN415" s="1" t="s">
        <v>1580</v>
      </c>
      <c r="AO415" s="1" t="s">
        <v>1581</v>
      </c>
      <c r="AP415" s="1" t="s">
        <v>4075</v>
      </c>
      <c r="AQ415" s="1" t="s">
        <v>4076</v>
      </c>
      <c r="AR415" s="1" t="s">
        <v>1507</v>
      </c>
      <c r="AS415" s="1" t="s">
        <v>4077</v>
      </c>
      <c r="AT415" s="1" t="s">
        <v>4078</v>
      </c>
      <c r="AU415" s="1" t="s">
        <v>4721</v>
      </c>
      <c r="AV415" s="1">
        <v>2020</v>
      </c>
      <c r="AW415" s="1">
        <v>114</v>
      </c>
      <c r="AX415" s="1" t="s">
        <v>1507</v>
      </c>
      <c r="AY415" s="1" t="s">
        <v>1507</v>
      </c>
      <c r="AZ415" s="1" t="s">
        <v>1507</v>
      </c>
      <c r="BA415" s="1" t="s">
        <v>1507</v>
      </c>
      <c r="BB415" s="1" t="s">
        <v>1507</v>
      </c>
      <c r="BC415" s="1" t="s">
        <v>1507</v>
      </c>
      <c r="BD415" s="1" t="s">
        <v>1507</v>
      </c>
      <c r="BE415" s="1">
        <v>103163</v>
      </c>
      <c r="BF415" s="1" t="s">
        <v>9868</v>
      </c>
      <c r="BG415" s="1" t="str">
        <f>HYPERLINK("http://dx.doi.org/10.1016/j.autcon.2020.103163","http://dx.doi.org/10.1016/j.autcon.2020.103163")</f>
        <v>http://dx.doi.org/10.1016/j.autcon.2020.103163</v>
      </c>
      <c r="BH415" s="1" t="s">
        <v>1507</v>
      </c>
      <c r="BI415" s="1" t="s">
        <v>1507</v>
      </c>
      <c r="BJ415" s="1">
        <v>19</v>
      </c>
      <c r="BK415" s="1" t="s">
        <v>1815</v>
      </c>
      <c r="BL415" s="1" t="s">
        <v>1573</v>
      </c>
      <c r="BM415" s="1" t="s">
        <v>1816</v>
      </c>
      <c r="BN415" s="1" t="s">
        <v>9869</v>
      </c>
      <c r="BO415" s="1" t="s">
        <v>1507</v>
      </c>
      <c r="BP415" s="1" t="s">
        <v>5071</v>
      </c>
      <c r="BQ415" s="1" t="s">
        <v>1507</v>
      </c>
      <c r="BR415" s="1" t="s">
        <v>1507</v>
      </c>
      <c r="BS415" s="1" t="s">
        <v>13744</v>
      </c>
      <c r="BT415" s="1" t="s">
        <v>9870</v>
      </c>
      <c r="BU415" s="1" t="str">
        <f>HYPERLINK("https%3A%2F%2Fwww.webofscience.com%2Fwos%2Fwoscc%2Ffull-record%2FWOS:000526785800007","View Full Record in Web of Science")</f>
        <v>View Full Record in Web of Science</v>
      </c>
    </row>
    <row r="416" spans="1:73" x14ac:dyDescent="0.25">
      <c r="A416" s="1">
        <v>415</v>
      </c>
      <c r="B416" s="1" t="s">
        <v>5546</v>
      </c>
      <c r="C416" s="1" t="s">
        <v>15260</v>
      </c>
      <c r="D416" s="1" t="s">
        <v>1507</v>
      </c>
      <c r="E416" s="1" t="s">
        <v>1507</v>
      </c>
      <c r="F416" s="1" t="s">
        <v>5628</v>
      </c>
      <c r="G416" s="1" t="s">
        <v>15261</v>
      </c>
      <c r="H416" s="1" t="s">
        <v>1507</v>
      </c>
      <c r="I416" s="1" t="s">
        <v>1507</v>
      </c>
      <c r="J416" s="1" t="s">
        <v>15262</v>
      </c>
      <c r="K416" s="1" t="s">
        <v>15263</v>
      </c>
      <c r="L416" s="1" t="s">
        <v>15264</v>
      </c>
      <c r="M416" s="1" t="s">
        <v>1507</v>
      </c>
      <c r="N416" s="1" t="s">
        <v>42</v>
      </c>
      <c r="O416" s="1" t="s">
        <v>5552</v>
      </c>
      <c r="P416" s="1" t="s">
        <v>15265</v>
      </c>
      <c r="Q416" s="1" t="s">
        <v>15266</v>
      </c>
      <c r="R416" s="1" t="s">
        <v>15267</v>
      </c>
      <c r="S416" s="1" t="s">
        <v>15268</v>
      </c>
      <c r="T416" s="1" t="s">
        <v>1507</v>
      </c>
      <c r="U416" s="1" t="s">
        <v>15269</v>
      </c>
      <c r="V416" s="1" t="s">
        <v>1507</v>
      </c>
      <c r="W416" s="1" t="s">
        <v>15270</v>
      </c>
      <c r="X416" s="1" t="s">
        <v>15271</v>
      </c>
      <c r="Y416" s="1" t="s">
        <v>15272</v>
      </c>
      <c r="Z416" s="1" t="s">
        <v>15273</v>
      </c>
      <c r="AA416" s="1" t="s">
        <v>15274</v>
      </c>
      <c r="AB416" s="1" t="s">
        <v>1507</v>
      </c>
      <c r="AC416" s="1" t="s">
        <v>15275</v>
      </c>
      <c r="AD416" s="1" t="s">
        <v>1619</v>
      </c>
      <c r="AE416" s="1" t="s">
        <v>1619</v>
      </c>
      <c r="AF416" s="1" t="s">
        <v>15276</v>
      </c>
      <c r="AG416" s="1" t="s">
        <v>1507</v>
      </c>
      <c r="AH416" s="1">
        <v>33</v>
      </c>
      <c r="AI416" s="1">
        <v>0</v>
      </c>
      <c r="AJ416" s="1">
        <v>0</v>
      </c>
      <c r="AK416" s="1">
        <v>2</v>
      </c>
      <c r="AL416" s="1">
        <v>2</v>
      </c>
      <c r="AM416" s="1" t="s">
        <v>5645</v>
      </c>
      <c r="AN416" s="1" t="s">
        <v>5646</v>
      </c>
      <c r="AO416" s="1" t="s">
        <v>5647</v>
      </c>
      <c r="AP416" s="1" t="s">
        <v>15277</v>
      </c>
      <c r="AQ416" s="1" t="s">
        <v>1507</v>
      </c>
      <c r="AR416" s="1" t="s">
        <v>15278</v>
      </c>
      <c r="AS416" s="1" t="s">
        <v>15279</v>
      </c>
      <c r="AT416" s="1" t="s">
        <v>1507</v>
      </c>
      <c r="AU416" s="1" t="s">
        <v>1507</v>
      </c>
      <c r="AV416" s="1">
        <v>2023</v>
      </c>
      <c r="AW416" s="1" t="s">
        <v>1507</v>
      </c>
      <c r="AX416" s="1" t="s">
        <v>1507</v>
      </c>
      <c r="AY416" s="1" t="s">
        <v>1507</v>
      </c>
      <c r="AZ416" s="1" t="s">
        <v>1507</v>
      </c>
      <c r="BA416" s="1" t="s">
        <v>1507</v>
      </c>
      <c r="BB416" s="1" t="s">
        <v>1507</v>
      </c>
      <c r="BC416" s="1">
        <v>70</v>
      </c>
      <c r="BD416" s="1">
        <v>77</v>
      </c>
      <c r="BE416" s="1" t="s">
        <v>1507</v>
      </c>
      <c r="BF416" s="1" t="s">
        <v>15280</v>
      </c>
      <c r="BG416" s="1" t="str">
        <f>HYPERLINK("http://dx.doi.org/10.1109/ICTAI59109.2023.00018","http://dx.doi.org/10.1109/ICTAI59109.2023.00018")</f>
        <v>http://dx.doi.org/10.1109/ICTAI59109.2023.00018</v>
      </c>
      <c r="BH416" s="1" t="s">
        <v>1507</v>
      </c>
      <c r="BI416" s="1" t="s">
        <v>1507</v>
      </c>
      <c r="BJ416" s="1">
        <v>8</v>
      </c>
      <c r="BK416" s="1" t="s">
        <v>2994</v>
      </c>
      <c r="BL416" s="1" t="s">
        <v>5570</v>
      </c>
      <c r="BM416" s="1" t="s">
        <v>1577</v>
      </c>
      <c r="BN416" s="1" t="s">
        <v>15281</v>
      </c>
      <c r="BO416" s="1" t="s">
        <v>1507</v>
      </c>
      <c r="BP416" s="1" t="s">
        <v>1507</v>
      </c>
      <c r="BQ416" s="1" t="s">
        <v>1507</v>
      </c>
      <c r="BR416" s="1" t="s">
        <v>1507</v>
      </c>
      <c r="BS416" s="1" t="s">
        <v>13744</v>
      </c>
      <c r="BT416" s="1" t="s">
        <v>15282</v>
      </c>
      <c r="BU416" s="1" t="str">
        <f>HYPERLINK("https%3A%2F%2Fwww.webofscience.com%2Fwos%2Fwoscc%2Ffull-record%2FWOS:001139095400010","View Full Record in Web of Science")</f>
        <v>View Full Record in Web of Science</v>
      </c>
    </row>
    <row r="417" spans="1:73" x14ac:dyDescent="0.25">
      <c r="A417" s="1">
        <v>416</v>
      </c>
      <c r="B417" s="1" t="s">
        <v>1506</v>
      </c>
      <c r="C417" s="1" t="s">
        <v>8537</v>
      </c>
      <c r="D417" s="1" t="s">
        <v>1507</v>
      </c>
      <c r="E417" s="1" t="s">
        <v>1507</v>
      </c>
      <c r="F417" s="1" t="s">
        <v>1507</v>
      </c>
      <c r="G417" s="1" t="s">
        <v>8538</v>
      </c>
      <c r="H417" s="1" t="s">
        <v>1507</v>
      </c>
      <c r="I417" s="1" t="s">
        <v>1507</v>
      </c>
      <c r="J417" s="1" t="s">
        <v>8539</v>
      </c>
      <c r="K417" s="1" t="s">
        <v>8540</v>
      </c>
      <c r="L417" s="1" t="s">
        <v>1507</v>
      </c>
      <c r="M417" s="1" t="s">
        <v>1507</v>
      </c>
      <c r="N417" s="1" t="s">
        <v>42</v>
      </c>
      <c r="O417" s="1" t="s">
        <v>56</v>
      </c>
      <c r="P417" s="1" t="s">
        <v>1507</v>
      </c>
      <c r="Q417" s="1" t="s">
        <v>1507</v>
      </c>
      <c r="R417" s="1" t="s">
        <v>1507</v>
      </c>
      <c r="S417" s="1" t="s">
        <v>1507</v>
      </c>
      <c r="T417" s="1" t="s">
        <v>1507</v>
      </c>
      <c r="U417" s="1" t="s">
        <v>8541</v>
      </c>
      <c r="V417" s="1" t="s">
        <v>8542</v>
      </c>
      <c r="W417" s="1" t="s">
        <v>8543</v>
      </c>
      <c r="X417" s="1" t="s">
        <v>8544</v>
      </c>
      <c r="Y417" s="1" t="s">
        <v>8545</v>
      </c>
      <c r="Z417" s="1" t="s">
        <v>8546</v>
      </c>
      <c r="AA417" s="1" t="s">
        <v>8547</v>
      </c>
      <c r="AB417" s="1" t="s">
        <v>1507</v>
      </c>
      <c r="AC417" s="1" t="s">
        <v>8548</v>
      </c>
      <c r="AD417" s="1" t="s">
        <v>8549</v>
      </c>
      <c r="AE417" s="1" t="s">
        <v>8550</v>
      </c>
      <c r="AF417" s="1" t="s">
        <v>8551</v>
      </c>
      <c r="AG417" s="1" t="s">
        <v>1507</v>
      </c>
      <c r="AH417" s="1">
        <v>68</v>
      </c>
      <c r="AI417" s="1">
        <v>2</v>
      </c>
      <c r="AJ417" s="1">
        <v>4</v>
      </c>
      <c r="AK417" s="1">
        <v>0</v>
      </c>
      <c r="AL417" s="1">
        <v>14</v>
      </c>
      <c r="AM417" s="1" t="s">
        <v>1559</v>
      </c>
      <c r="AN417" s="1" t="s">
        <v>1560</v>
      </c>
      <c r="AO417" s="1" t="s">
        <v>1561</v>
      </c>
      <c r="AP417" s="1" t="s">
        <v>8552</v>
      </c>
      <c r="AQ417" s="1" t="s">
        <v>1507</v>
      </c>
      <c r="AR417" s="1" t="s">
        <v>1507</v>
      </c>
      <c r="AS417" s="1" t="s">
        <v>8540</v>
      </c>
      <c r="AT417" s="1" t="s">
        <v>8553</v>
      </c>
      <c r="AU417" s="1" t="s">
        <v>4721</v>
      </c>
      <c r="AV417" s="1">
        <v>2021</v>
      </c>
      <c r="AW417" s="1">
        <v>12</v>
      </c>
      <c r="AX417" s="1">
        <v>6</v>
      </c>
      <c r="AY417" s="1" t="s">
        <v>1507</v>
      </c>
      <c r="AZ417" s="1" t="s">
        <v>1507</v>
      </c>
      <c r="BA417" s="1" t="s">
        <v>1507</v>
      </c>
      <c r="BB417" s="1" t="s">
        <v>1507</v>
      </c>
      <c r="BC417" s="1" t="s">
        <v>1507</v>
      </c>
      <c r="BD417" s="1" t="s">
        <v>1507</v>
      </c>
      <c r="BE417" s="1" t="s">
        <v>8554</v>
      </c>
      <c r="BF417" s="1" t="s">
        <v>8555</v>
      </c>
      <c r="BG417" s="1" t="str">
        <f>HYPERLINK("http://dx.doi.org/10.1002/ecs2.3552","http://dx.doi.org/10.1002/ecs2.3552")</f>
        <v>http://dx.doi.org/10.1002/ecs2.3552</v>
      </c>
      <c r="BH417" s="1" t="s">
        <v>1507</v>
      </c>
      <c r="BI417" s="1" t="s">
        <v>1507</v>
      </c>
      <c r="BJ417" s="1">
        <v>13</v>
      </c>
      <c r="BK417" s="1" t="s">
        <v>1838</v>
      </c>
      <c r="BL417" s="1" t="s">
        <v>1573</v>
      </c>
      <c r="BM417" s="1" t="s">
        <v>1839</v>
      </c>
      <c r="BN417" s="1" t="s">
        <v>8556</v>
      </c>
      <c r="BO417" s="1" t="s">
        <v>1507</v>
      </c>
      <c r="BP417" s="1" t="s">
        <v>1507</v>
      </c>
      <c r="BQ417" s="1" t="s">
        <v>1507</v>
      </c>
      <c r="BR417" s="1" t="s">
        <v>1507</v>
      </c>
      <c r="BS417" s="1" t="s">
        <v>13744</v>
      </c>
      <c r="BT417" s="1" t="s">
        <v>8557</v>
      </c>
      <c r="BU417" s="1" t="str">
        <f>HYPERLINK("https%3A%2F%2Fwww.webofscience.com%2Fwos%2Fwoscc%2Ffull-record%2FWOS:000667707100041","View Full Record in Web of Science")</f>
        <v>View Full Record in Web of Science</v>
      </c>
    </row>
    <row r="418" spans="1:73" x14ac:dyDescent="0.25">
      <c r="A418" s="1">
        <v>417</v>
      </c>
      <c r="B418" s="1" t="s">
        <v>1506</v>
      </c>
      <c r="C418" s="1" t="s">
        <v>9731</v>
      </c>
      <c r="D418" s="1" t="s">
        <v>1507</v>
      </c>
      <c r="E418" s="1" t="s">
        <v>1507</v>
      </c>
      <c r="F418" s="1" t="s">
        <v>1507</v>
      </c>
      <c r="G418" s="1" t="s">
        <v>9732</v>
      </c>
      <c r="H418" s="1" t="s">
        <v>1507</v>
      </c>
      <c r="I418" s="1" t="s">
        <v>1507</v>
      </c>
      <c r="J418" s="1" t="s">
        <v>9733</v>
      </c>
      <c r="K418" s="1" t="s">
        <v>9734</v>
      </c>
      <c r="L418" s="1" t="s">
        <v>1507</v>
      </c>
      <c r="M418" s="1" t="s">
        <v>1507</v>
      </c>
      <c r="N418" s="1" t="s">
        <v>42</v>
      </c>
      <c r="O418" s="1" t="s">
        <v>56</v>
      </c>
      <c r="P418" s="1" t="s">
        <v>1507</v>
      </c>
      <c r="Q418" s="1" t="s">
        <v>1507</v>
      </c>
      <c r="R418" s="1" t="s">
        <v>1507</v>
      </c>
      <c r="S418" s="1" t="s">
        <v>1507</v>
      </c>
      <c r="T418" s="1" t="s">
        <v>1507</v>
      </c>
      <c r="U418" s="1" t="s">
        <v>1507</v>
      </c>
      <c r="V418" s="1" t="s">
        <v>9735</v>
      </c>
      <c r="W418" s="1" t="s">
        <v>9736</v>
      </c>
      <c r="X418" s="1" t="s">
        <v>9737</v>
      </c>
      <c r="Y418" s="1" t="s">
        <v>9738</v>
      </c>
      <c r="Z418" s="1" t="s">
        <v>9739</v>
      </c>
      <c r="AA418" s="1" t="s">
        <v>9740</v>
      </c>
      <c r="AB418" s="1" t="s">
        <v>15805</v>
      </c>
      <c r="AC418" s="1" t="s">
        <v>15806</v>
      </c>
      <c r="AD418" s="1" t="s">
        <v>9741</v>
      </c>
      <c r="AE418" s="1" t="s">
        <v>9742</v>
      </c>
      <c r="AF418" s="1" t="s">
        <v>9743</v>
      </c>
      <c r="AG418" s="1" t="s">
        <v>1507</v>
      </c>
      <c r="AH418" s="1">
        <v>50</v>
      </c>
      <c r="AI418" s="1">
        <v>20</v>
      </c>
      <c r="AJ418" s="1">
        <v>20</v>
      </c>
      <c r="AK418" s="1">
        <v>0</v>
      </c>
      <c r="AL418" s="1">
        <v>2</v>
      </c>
      <c r="AM418" s="1" t="s">
        <v>1548</v>
      </c>
      <c r="AN418" s="1" t="s">
        <v>1549</v>
      </c>
      <c r="AO418" s="1" t="s">
        <v>1550</v>
      </c>
      <c r="AP418" s="1" t="s">
        <v>1507</v>
      </c>
      <c r="AQ418" s="1" t="s">
        <v>9744</v>
      </c>
      <c r="AR418" s="1" t="s">
        <v>1507</v>
      </c>
      <c r="AS418" s="1" t="s">
        <v>9745</v>
      </c>
      <c r="AT418" s="1" t="s">
        <v>9746</v>
      </c>
      <c r="AU418" s="1" t="s">
        <v>4336</v>
      </c>
      <c r="AV418" s="1">
        <v>2020</v>
      </c>
      <c r="AW418" s="1">
        <v>4</v>
      </c>
      <c r="AX418" s="1">
        <v>8</v>
      </c>
      <c r="AY418" s="1" t="s">
        <v>1507</v>
      </c>
      <c r="AZ418" s="1" t="s">
        <v>1507</v>
      </c>
      <c r="BA418" s="1" t="s">
        <v>1507</v>
      </c>
      <c r="BB418" s="1" t="s">
        <v>1507</v>
      </c>
      <c r="BC418" s="1">
        <v>1112</v>
      </c>
      <c r="BD418" s="1">
        <v>1123</v>
      </c>
      <c r="BE418" s="1" t="s">
        <v>1507</v>
      </c>
      <c r="BF418" s="1" t="s">
        <v>9747</v>
      </c>
      <c r="BG418" s="1" t="str">
        <f>HYPERLINK("http://dx.doi.org/10.1002/hep4.1533","http://dx.doi.org/10.1002/hep4.1533")</f>
        <v>http://dx.doi.org/10.1002/hep4.1533</v>
      </c>
      <c r="BH418" s="1" t="s">
        <v>1507</v>
      </c>
      <c r="BI418" s="1" t="s">
        <v>9748</v>
      </c>
      <c r="BJ418" s="1">
        <v>12</v>
      </c>
      <c r="BK418" s="1" t="s">
        <v>9749</v>
      </c>
      <c r="BL418" s="1" t="s">
        <v>1573</v>
      </c>
      <c r="BM418" s="1" t="s">
        <v>9749</v>
      </c>
      <c r="BN418" s="1" t="s">
        <v>9750</v>
      </c>
      <c r="BO418" s="1">
        <v>32766472</v>
      </c>
      <c r="BP418" s="1" t="s">
        <v>1674</v>
      </c>
      <c r="BQ418" s="1" t="s">
        <v>1507</v>
      </c>
      <c r="BR418" s="1" t="s">
        <v>1507</v>
      </c>
      <c r="BS418" s="1" t="s">
        <v>13744</v>
      </c>
      <c r="BT418" s="1" t="s">
        <v>9751</v>
      </c>
      <c r="BU418" s="1" t="str">
        <f>HYPERLINK("https%3A%2F%2Fwww.webofscience.com%2Fwos%2Fwoscc%2Ffull-record%2FWOS:000544302100001","View Full Record in Web of Science")</f>
        <v>View Full Record in Web of Science</v>
      </c>
    </row>
    <row r="419" spans="1:73" x14ac:dyDescent="0.25">
      <c r="A419" s="1">
        <v>418</v>
      </c>
      <c r="B419" s="1" t="s">
        <v>1506</v>
      </c>
      <c r="C419" s="1" t="s">
        <v>5010</v>
      </c>
      <c r="D419" s="1" t="s">
        <v>1507</v>
      </c>
      <c r="E419" s="1" t="s">
        <v>1507</v>
      </c>
      <c r="F419" s="1" t="s">
        <v>1507</v>
      </c>
      <c r="G419" s="1" t="s">
        <v>5011</v>
      </c>
      <c r="H419" s="1" t="s">
        <v>1507</v>
      </c>
      <c r="I419" s="1" t="s">
        <v>1507</v>
      </c>
      <c r="J419" s="1" t="s">
        <v>5012</v>
      </c>
      <c r="K419" s="1" t="s">
        <v>5013</v>
      </c>
      <c r="L419" s="1" t="s">
        <v>1507</v>
      </c>
      <c r="M419" s="1" t="s">
        <v>1507</v>
      </c>
      <c r="N419" s="1" t="s">
        <v>42</v>
      </c>
      <c r="O419" s="1" t="s">
        <v>56</v>
      </c>
      <c r="P419" s="1" t="s">
        <v>1507</v>
      </c>
      <c r="Q419" s="1" t="s">
        <v>1507</v>
      </c>
      <c r="R419" s="1" t="s">
        <v>1507</v>
      </c>
      <c r="S419" s="1" t="s">
        <v>1507</v>
      </c>
      <c r="T419" s="1" t="s">
        <v>1507</v>
      </c>
      <c r="U419" s="1" t="s">
        <v>5014</v>
      </c>
      <c r="V419" s="1" t="s">
        <v>1507</v>
      </c>
      <c r="W419" s="1" t="s">
        <v>5015</v>
      </c>
      <c r="X419" s="1" t="s">
        <v>5016</v>
      </c>
      <c r="Y419" s="1" t="s">
        <v>5017</v>
      </c>
      <c r="Z419" s="1" t="s">
        <v>5018</v>
      </c>
      <c r="AA419" s="1" t="s">
        <v>5019</v>
      </c>
      <c r="AB419" s="1" t="s">
        <v>1507</v>
      </c>
      <c r="AC419" s="1" t="s">
        <v>5020</v>
      </c>
      <c r="AD419" s="1" t="s">
        <v>5017</v>
      </c>
      <c r="AE419" s="1" t="s">
        <v>5017</v>
      </c>
      <c r="AF419" s="1" t="s">
        <v>5021</v>
      </c>
      <c r="AG419" s="1" t="s">
        <v>1507</v>
      </c>
      <c r="AH419" s="1">
        <v>20</v>
      </c>
      <c r="AI419" s="1">
        <v>0</v>
      </c>
      <c r="AJ419" s="1">
        <v>0</v>
      </c>
      <c r="AK419" s="1">
        <v>2</v>
      </c>
      <c r="AL419" s="1">
        <v>5</v>
      </c>
      <c r="AM419" s="1" t="s">
        <v>1610</v>
      </c>
      <c r="AN419" s="1" t="s">
        <v>1611</v>
      </c>
      <c r="AO419" s="1" t="s">
        <v>1612</v>
      </c>
      <c r="AP419" s="1" t="s">
        <v>1507</v>
      </c>
      <c r="AQ419" s="1" t="s">
        <v>5022</v>
      </c>
      <c r="AR419" s="1" t="s">
        <v>1507</v>
      </c>
      <c r="AS419" s="1" t="s">
        <v>5023</v>
      </c>
      <c r="AT419" s="1" t="s">
        <v>5024</v>
      </c>
      <c r="AU419" s="1" t="s">
        <v>5025</v>
      </c>
      <c r="AV419" s="1">
        <v>2023</v>
      </c>
      <c r="AW419" s="1">
        <v>13</v>
      </c>
      <c r="AX419" s="1">
        <v>9</v>
      </c>
      <c r="AY419" s="1" t="s">
        <v>1507</v>
      </c>
      <c r="AZ419" s="1" t="s">
        <v>1507</v>
      </c>
      <c r="BA419" s="1" t="s">
        <v>1507</v>
      </c>
      <c r="BB419" s="1" t="s">
        <v>1507</v>
      </c>
      <c r="BC419" s="1" t="s">
        <v>1507</v>
      </c>
      <c r="BD419" s="1" t="s">
        <v>1507</v>
      </c>
      <c r="BE419" s="1">
        <v>5771</v>
      </c>
      <c r="BF419" s="1" t="s">
        <v>5026</v>
      </c>
      <c r="BG419" s="1" t="str">
        <f>HYPERLINK("http://dx.doi.org/10.3390/app13095771","http://dx.doi.org/10.3390/app13095771")</f>
        <v>http://dx.doi.org/10.3390/app13095771</v>
      </c>
      <c r="BH419" s="1" t="s">
        <v>1507</v>
      </c>
      <c r="BI419" s="1" t="s">
        <v>1507</v>
      </c>
      <c r="BJ419" s="1">
        <v>11</v>
      </c>
      <c r="BK419" s="1" t="s">
        <v>5027</v>
      </c>
      <c r="BL419" s="1" t="s">
        <v>1573</v>
      </c>
      <c r="BM419" s="1" t="s">
        <v>5028</v>
      </c>
      <c r="BN419" s="1" t="s">
        <v>5029</v>
      </c>
      <c r="BO419" s="1" t="s">
        <v>1507</v>
      </c>
      <c r="BP419" s="1" t="s">
        <v>1531</v>
      </c>
      <c r="BQ419" s="1" t="s">
        <v>1507</v>
      </c>
      <c r="BR419" s="1" t="s">
        <v>1507</v>
      </c>
      <c r="BS419" s="1" t="s">
        <v>13744</v>
      </c>
      <c r="BT419" s="1" t="s">
        <v>5030</v>
      </c>
      <c r="BU419" s="1" t="str">
        <f>HYPERLINK("https%3A%2F%2Fwww.webofscience.com%2Fwos%2Fwoscc%2Ffull-record%2FWOS:000986943100001","View Full Record in Web of Science")</f>
        <v>View Full Record in Web of Science</v>
      </c>
    </row>
    <row r="420" spans="1:73" x14ac:dyDescent="0.25">
      <c r="A420" s="1">
        <v>419</v>
      </c>
      <c r="B420" s="1" t="s">
        <v>1506</v>
      </c>
      <c r="C420" s="1" t="s">
        <v>12049</v>
      </c>
      <c r="D420" s="1" t="s">
        <v>1507</v>
      </c>
      <c r="E420" s="1" t="s">
        <v>1507</v>
      </c>
      <c r="F420" s="1" t="s">
        <v>1507</v>
      </c>
      <c r="G420" s="1" t="s">
        <v>12050</v>
      </c>
      <c r="H420" s="1" t="s">
        <v>1507</v>
      </c>
      <c r="I420" s="1" t="s">
        <v>1507</v>
      </c>
      <c r="J420" s="1" t="s">
        <v>12051</v>
      </c>
      <c r="K420" s="1" t="s">
        <v>11888</v>
      </c>
      <c r="L420" s="1" t="s">
        <v>1507</v>
      </c>
      <c r="M420" s="1" t="s">
        <v>1507</v>
      </c>
      <c r="N420" s="1" t="s">
        <v>42</v>
      </c>
      <c r="O420" s="1" t="s">
        <v>56</v>
      </c>
      <c r="P420" s="1" t="s">
        <v>1507</v>
      </c>
      <c r="Q420" s="1" t="s">
        <v>1507</v>
      </c>
      <c r="R420" s="1" t="s">
        <v>1507</v>
      </c>
      <c r="S420" s="1" t="s">
        <v>1507</v>
      </c>
      <c r="T420" s="1" t="s">
        <v>1507</v>
      </c>
      <c r="U420" s="1" t="s">
        <v>1507</v>
      </c>
      <c r="V420" s="1" t="s">
        <v>1507</v>
      </c>
      <c r="W420" s="1" t="s">
        <v>12052</v>
      </c>
      <c r="X420" s="1" t="s">
        <v>12053</v>
      </c>
      <c r="Y420" s="1" t="s">
        <v>8259</v>
      </c>
      <c r="Z420" s="1" t="s">
        <v>12054</v>
      </c>
      <c r="AA420" s="1" t="s">
        <v>1507</v>
      </c>
      <c r="AB420" s="1" t="s">
        <v>1507</v>
      </c>
      <c r="AC420" s="1" t="s">
        <v>1507</v>
      </c>
      <c r="AD420" s="1" t="s">
        <v>1507</v>
      </c>
      <c r="AE420" s="1" t="s">
        <v>1507</v>
      </c>
      <c r="AF420" s="1" t="s">
        <v>1507</v>
      </c>
      <c r="AG420" s="1" t="s">
        <v>1507</v>
      </c>
      <c r="AH420" s="1">
        <v>107</v>
      </c>
      <c r="AI420" s="1">
        <v>1</v>
      </c>
      <c r="AJ420" s="1">
        <v>1</v>
      </c>
      <c r="AK420" s="1">
        <v>1</v>
      </c>
      <c r="AL420" s="1">
        <v>3</v>
      </c>
      <c r="AM420" s="1" t="s">
        <v>11895</v>
      </c>
      <c r="AN420" s="1" t="s">
        <v>1746</v>
      </c>
      <c r="AO420" s="1" t="s">
        <v>11896</v>
      </c>
      <c r="AP420" s="1" t="s">
        <v>11897</v>
      </c>
      <c r="AQ420" s="1" t="s">
        <v>1507</v>
      </c>
      <c r="AR420" s="1" t="s">
        <v>1507</v>
      </c>
      <c r="AS420" s="1" t="s">
        <v>11898</v>
      </c>
      <c r="AT420" s="1" t="s">
        <v>11899</v>
      </c>
      <c r="AU420" s="1" t="s">
        <v>1507</v>
      </c>
      <c r="AV420" s="1">
        <v>2018</v>
      </c>
      <c r="AW420" s="1">
        <v>39</v>
      </c>
      <c r="AX420" s="1">
        <v>3</v>
      </c>
      <c r="AY420" s="1" t="s">
        <v>1507</v>
      </c>
      <c r="AZ420" s="1" t="s">
        <v>1507</v>
      </c>
      <c r="BA420" s="1" t="s">
        <v>1507</v>
      </c>
      <c r="BB420" s="1" t="s">
        <v>1507</v>
      </c>
      <c r="BC420" s="1">
        <v>825</v>
      </c>
      <c r="BD420" s="1">
        <v>887</v>
      </c>
      <c r="BE420" s="1" t="s">
        <v>1507</v>
      </c>
      <c r="BF420" s="1" t="s">
        <v>1507</v>
      </c>
      <c r="BG420" s="1" t="s">
        <v>1507</v>
      </c>
      <c r="BH420" s="1" t="s">
        <v>1507</v>
      </c>
      <c r="BI420" s="1" t="s">
        <v>1507</v>
      </c>
      <c r="BJ420" s="1">
        <v>63</v>
      </c>
      <c r="BK420" s="1" t="s">
        <v>1535</v>
      </c>
      <c r="BL420" s="1" t="s">
        <v>1518</v>
      </c>
      <c r="BM420" s="1" t="s">
        <v>1536</v>
      </c>
      <c r="BN420" s="1" t="s">
        <v>11900</v>
      </c>
      <c r="BO420" s="1" t="s">
        <v>1507</v>
      </c>
      <c r="BP420" s="1" t="s">
        <v>1507</v>
      </c>
      <c r="BQ420" s="1" t="s">
        <v>1507</v>
      </c>
      <c r="BR420" s="1" t="s">
        <v>1507</v>
      </c>
      <c r="BS420" s="1" t="s">
        <v>13744</v>
      </c>
      <c r="BT420" s="1" t="s">
        <v>12055</v>
      </c>
      <c r="BU420" s="1" t="str">
        <f>HYPERLINK("https%3A%2F%2Fwww.webofscience.com%2Fwos%2Fwoscc%2Ffull-record%2FWOS:000442155800005","View Full Record in Web of Science")</f>
        <v>View Full Record in Web of Science</v>
      </c>
    </row>
    <row r="421" spans="1:73" x14ac:dyDescent="0.25">
      <c r="A421" s="1">
        <v>420</v>
      </c>
      <c r="B421" s="1" t="s">
        <v>1506</v>
      </c>
      <c r="C421" s="1" t="s">
        <v>3614</v>
      </c>
      <c r="D421" s="1" t="s">
        <v>1507</v>
      </c>
      <c r="E421" s="1" t="s">
        <v>1507</v>
      </c>
      <c r="F421" s="1" t="s">
        <v>1507</v>
      </c>
      <c r="G421" s="1" t="s">
        <v>3615</v>
      </c>
      <c r="H421" s="1" t="s">
        <v>1507</v>
      </c>
      <c r="I421" s="1" t="s">
        <v>1507</v>
      </c>
      <c r="J421" s="1" t="s">
        <v>3616</v>
      </c>
      <c r="K421" s="1" t="s">
        <v>1617</v>
      </c>
      <c r="L421" s="1" t="s">
        <v>1507</v>
      </c>
      <c r="M421" s="1" t="s">
        <v>1507</v>
      </c>
      <c r="N421" s="1" t="s">
        <v>42</v>
      </c>
      <c r="O421" s="1" t="s">
        <v>56</v>
      </c>
      <c r="P421" s="1" t="s">
        <v>1507</v>
      </c>
      <c r="Q421" s="1" t="s">
        <v>1507</v>
      </c>
      <c r="R421" s="1" t="s">
        <v>1507</v>
      </c>
      <c r="S421" s="1" t="s">
        <v>1507</v>
      </c>
      <c r="T421" s="1" t="s">
        <v>1507</v>
      </c>
      <c r="U421" s="1" t="s">
        <v>3617</v>
      </c>
      <c r="V421" s="1" t="s">
        <v>3618</v>
      </c>
      <c r="W421" s="1" t="s">
        <v>3619</v>
      </c>
      <c r="X421" s="1" t="s">
        <v>3620</v>
      </c>
      <c r="Y421" s="1" t="s">
        <v>3621</v>
      </c>
      <c r="Z421" s="1" t="s">
        <v>3622</v>
      </c>
      <c r="AA421" s="1" t="s">
        <v>3623</v>
      </c>
      <c r="AB421" s="1" t="s">
        <v>14428</v>
      </c>
      <c r="AC421" s="1" t="s">
        <v>14429</v>
      </c>
      <c r="AD421" s="1" t="s">
        <v>3624</v>
      </c>
      <c r="AE421" s="1" t="s">
        <v>3625</v>
      </c>
      <c r="AF421" s="1" t="s">
        <v>3626</v>
      </c>
      <c r="AG421" s="1" t="s">
        <v>1507</v>
      </c>
      <c r="AH421" s="1">
        <v>38</v>
      </c>
      <c r="AI421" s="1">
        <v>0</v>
      </c>
      <c r="AJ421" s="1">
        <v>0</v>
      </c>
      <c r="AK421" s="1">
        <v>1</v>
      </c>
      <c r="AL421" s="1">
        <v>1</v>
      </c>
      <c r="AM421" s="1" t="s">
        <v>1610</v>
      </c>
      <c r="AN421" s="1" t="s">
        <v>1611</v>
      </c>
      <c r="AO421" s="1" t="s">
        <v>1612</v>
      </c>
      <c r="AP421" s="1" t="s">
        <v>1507</v>
      </c>
      <c r="AQ421" s="1" t="s">
        <v>1620</v>
      </c>
      <c r="AR421" s="1" t="s">
        <v>1507</v>
      </c>
      <c r="AS421" s="1" t="s">
        <v>1621</v>
      </c>
      <c r="AT421" s="1" t="s">
        <v>1622</v>
      </c>
      <c r="AU421" s="1" t="s">
        <v>2889</v>
      </c>
      <c r="AV421" s="1">
        <v>2023</v>
      </c>
      <c r="AW421" s="1">
        <v>12</v>
      </c>
      <c r="AX421" s="1">
        <v>19</v>
      </c>
      <c r="AY421" s="1" t="s">
        <v>1507</v>
      </c>
      <c r="AZ421" s="1" t="s">
        <v>1507</v>
      </c>
      <c r="BA421" s="1" t="s">
        <v>1507</v>
      </c>
      <c r="BB421" s="1" t="s">
        <v>1507</v>
      </c>
      <c r="BC421" s="1" t="s">
        <v>1507</v>
      </c>
      <c r="BD421" s="1" t="s">
        <v>1507</v>
      </c>
      <c r="BE421" s="1">
        <v>3996</v>
      </c>
      <c r="BF421" s="1" t="s">
        <v>3627</v>
      </c>
      <c r="BG421" s="1" t="str">
        <f>HYPERLINK("http://dx.doi.org/10.3390/electronics12193996","http://dx.doi.org/10.3390/electronics12193996")</f>
        <v>http://dx.doi.org/10.3390/electronics12193996</v>
      </c>
      <c r="BH421" s="1" t="s">
        <v>1507</v>
      </c>
      <c r="BI421" s="1" t="s">
        <v>1507</v>
      </c>
      <c r="BJ421" s="1">
        <v>16</v>
      </c>
      <c r="BK421" s="1" t="s">
        <v>1623</v>
      </c>
      <c r="BL421" s="1" t="s">
        <v>1573</v>
      </c>
      <c r="BM421" s="1" t="s">
        <v>1624</v>
      </c>
      <c r="BN421" s="1" t="s">
        <v>3628</v>
      </c>
      <c r="BO421" s="1" t="s">
        <v>1507</v>
      </c>
      <c r="BP421" s="1" t="s">
        <v>1531</v>
      </c>
      <c r="BQ421" s="1" t="s">
        <v>1507</v>
      </c>
      <c r="BR421" s="1" t="s">
        <v>1507</v>
      </c>
      <c r="BS421" s="1" t="s">
        <v>13744</v>
      </c>
      <c r="BT421" s="1" t="s">
        <v>3629</v>
      </c>
      <c r="BU421" s="1" t="str">
        <f>HYPERLINK("https%3A%2F%2Fwww.webofscience.com%2Fwos%2Fwoscc%2Ffull-record%2FWOS:001086772600001","View Full Record in Web of Science")</f>
        <v>View Full Record in Web of Science</v>
      </c>
    </row>
    <row r="422" spans="1:73" x14ac:dyDescent="0.25">
      <c r="A422" s="1">
        <v>421</v>
      </c>
      <c r="B422" s="1" t="s">
        <v>1506</v>
      </c>
      <c r="C422" s="1" t="s">
        <v>10929</v>
      </c>
      <c r="D422" s="1" t="s">
        <v>1507</v>
      </c>
      <c r="E422" s="1" t="s">
        <v>1507</v>
      </c>
      <c r="F422" s="1" t="s">
        <v>1507</v>
      </c>
      <c r="G422" s="1" t="s">
        <v>10930</v>
      </c>
      <c r="H422" s="1" t="s">
        <v>1507</v>
      </c>
      <c r="I422" s="1" t="s">
        <v>1507</v>
      </c>
      <c r="J422" s="1" t="s">
        <v>10931</v>
      </c>
      <c r="K422" s="1" t="s">
        <v>2502</v>
      </c>
      <c r="L422" s="1" t="s">
        <v>1507</v>
      </c>
      <c r="M422" s="1" t="s">
        <v>1507</v>
      </c>
      <c r="N422" s="1" t="s">
        <v>42</v>
      </c>
      <c r="O422" s="1" t="s">
        <v>56</v>
      </c>
      <c r="P422" s="1" t="s">
        <v>1507</v>
      </c>
      <c r="Q422" s="1" t="s">
        <v>1507</v>
      </c>
      <c r="R422" s="1" t="s">
        <v>1507</v>
      </c>
      <c r="S422" s="1" t="s">
        <v>1507</v>
      </c>
      <c r="T422" s="1" t="s">
        <v>1507</v>
      </c>
      <c r="U422" s="1" t="s">
        <v>10932</v>
      </c>
      <c r="V422" s="1" t="s">
        <v>10933</v>
      </c>
      <c r="W422" s="1" t="s">
        <v>10934</v>
      </c>
      <c r="X422" s="1" t="s">
        <v>10935</v>
      </c>
      <c r="Y422" s="1" t="s">
        <v>10936</v>
      </c>
      <c r="Z422" s="1" t="s">
        <v>10937</v>
      </c>
      <c r="AA422" s="1" t="s">
        <v>10938</v>
      </c>
      <c r="AB422" s="1" t="s">
        <v>15927</v>
      </c>
      <c r="AC422" s="1" t="s">
        <v>15928</v>
      </c>
      <c r="AD422" s="1" t="s">
        <v>10939</v>
      </c>
      <c r="AE422" s="1" t="s">
        <v>10939</v>
      </c>
      <c r="AF422" s="1" t="s">
        <v>10940</v>
      </c>
      <c r="AG422" s="1" t="s">
        <v>1507</v>
      </c>
      <c r="AH422" s="1">
        <v>20</v>
      </c>
      <c r="AI422" s="1">
        <v>18</v>
      </c>
      <c r="AJ422" s="1">
        <v>18</v>
      </c>
      <c r="AK422" s="1">
        <v>0</v>
      </c>
      <c r="AL422" s="1">
        <v>13</v>
      </c>
      <c r="AM422" s="1" t="s">
        <v>1725</v>
      </c>
      <c r="AN422" s="1" t="s">
        <v>1551</v>
      </c>
      <c r="AO422" s="1" t="s">
        <v>1726</v>
      </c>
      <c r="AP422" s="1" t="s">
        <v>2511</v>
      </c>
      <c r="AQ422" s="1" t="s">
        <v>1507</v>
      </c>
      <c r="AR422" s="1" t="s">
        <v>1507</v>
      </c>
      <c r="AS422" s="1" t="s">
        <v>2512</v>
      </c>
      <c r="AT422" s="1" t="s">
        <v>2513</v>
      </c>
      <c r="AU422" s="1" t="s">
        <v>10941</v>
      </c>
      <c r="AV422" s="1">
        <v>2019</v>
      </c>
      <c r="AW422" s="1">
        <v>19</v>
      </c>
      <c r="AX422" s="1" t="s">
        <v>1507</v>
      </c>
      <c r="AY422" s="1" t="s">
        <v>1507</v>
      </c>
      <c r="AZ422" s="1" t="s">
        <v>1507</v>
      </c>
      <c r="BA422" s="1" t="s">
        <v>1507</v>
      </c>
      <c r="BB422" s="1" t="s">
        <v>1507</v>
      </c>
      <c r="BC422" s="1" t="s">
        <v>1507</v>
      </c>
      <c r="BD422" s="1" t="s">
        <v>1507</v>
      </c>
      <c r="BE422" s="1">
        <v>193</v>
      </c>
      <c r="BF422" s="1" t="s">
        <v>10942</v>
      </c>
      <c r="BG422" s="1" t="str">
        <f>HYPERLINK("http://dx.doi.org/10.1186/s12909-019-1621-z","http://dx.doi.org/10.1186/s12909-019-1621-z")</f>
        <v>http://dx.doi.org/10.1186/s12909-019-1621-z</v>
      </c>
      <c r="BH422" s="1" t="s">
        <v>1507</v>
      </c>
      <c r="BI422" s="1" t="s">
        <v>1507</v>
      </c>
      <c r="BJ422" s="1">
        <v>5</v>
      </c>
      <c r="BK422" s="1" t="s">
        <v>2516</v>
      </c>
      <c r="BL422" s="1" t="s">
        <v>1598</v>
      </c>
      <c r="BM422" s="1" t="s">
        <v>1558</v>
      </c>
      <c r="BN422" s="1" t="s">
        <v>10943</v>
      </c>
      <c r="BO422" s="1">
        <v>31185960</v>
      </c>
      <c r="BP422" s="1" t="s">
        <v>1674</v>
      </c>
      <c r="BQ422" s="1" t="s">
        <v>1507</v>
      </c>
      <c r="BR422" s="1" t="s">
        <v>1507</v>
      </c>
      <c r="BS422" s="1" t="s">
        <v>13744</v>
      </c>
      <c r="BT422" s="1" t="s">
        <v>10944</v>
      </c>
      <c r="BU422" s="1" t="str">
        <f>HYPERLINK("https%3A%2F%2Fwww.webofscience.com%2Fwos%2Fwoscc%2Ffull-record%2FWOS:000471329000006","View Full Record in Web of Science")</f>
        <v>View Full Record in Web of Science</v>
      </c>
    </row>
    <row r="423" spans="1:73" x14ac:dyDescent="0.25">
      <c r="A423" s="1">
        <v>422</v>
      </c>
      <c r="B423" s="1" t="s">
        <v>1506</v>
      </c>
      <c r="C423" s="1" t="s">
        <v>3472</v>
      </c>
      <c r="D423" s="1" t="s">
        <v>1507</v>
      </c>
      <c r="E423" s="1" t="s">
        <v>1507</v>
      </c>
      <c r="F423" s="1" t="s">
        <v>1507</v>
      </c>
      <c r="G423" s="1" t="s">
        <v>3473</v>
      </c>
      <c r="H423" s="1" t="s">
        <v>1507</v>
      </c>
      <c r="I423" s="1" t="s">
        <v>1507</v>
      </c>
      <c r="J423" s="1" t="s">
        <v>3474</v>
      </c>
      <c r="K423" s="1" t="s">
        <v>3475</v>
      </c>
      <c r="L423" s="1" t="s">
        <v>1507</v>
      </c>
      <c r="M423" s="1" t="s">
        <v>1507</v>
      </c>
      <c r="N423" s="1" t="s">
        <v>42</v>
      </c>
      <c r="O423" s="1" t="s">
        <v>56</v>
      </c>
      <c r="P423" s="1" t="s">
        <v>1507</v>
      </c>
      <c r="Q423" s="1" t="s">
        <v>1507</v>
      </c>
      <c r="R423" s="1" t="s">
        <v>1507</v>
      </c>
      <c r="S423" s="1" t="s">
        <v>1507</v>
      </c>
      <c r="T423" s="1" t="s">
        <v>1507</v>
      </c>
      <c r="U423" s="1" t="s">
        <v>1507</v>
      </c>
      <c r="V423" s="1" t="s">
        <v>3476</v>
      </c>
      <c r="W423" s="1" t="s">
        <v>3477</v>
      </c>
      <c r="X423" s="1" t="s">
        <v>3478</v>
      </c>
      <c r="Y423" s="1" t="s">
        <v>3479</v>
      </c>
      <c r="Z423" s="1" t="s">
        <v>3480</v>
      </c>
      <c r="AA423" s="1" t="s">
        <v>3481</v>
      </c>
      <c r="AB423" s="1" t="s">
        <v>1507</v>
      </c>
      <c r="AC423" s="1" t="s">
        <v>14346</v>
      </c>
      <c r="AD423" s="1" t="s">
        <v>3482</v>
      </c>
      <c r="AE423" s="1" t="s">
        <v>3482</v>
      </c>
      <c r="AF423" s="1" t="s">
        <v>3483</v>
      </c>
      <c r="AG423" s="1" t="s">
        <v>1507</v>
      </c>
      <c r="AH423" s="1">
        <v>95</v>
      </c>
      <c r="AI423" s="1">
        <v>1</v>
      </c>
      <c r="AJ423" s="1">
        <v>1</v>
      </c>
      <c r="AK423" s="1">
        <v>86</v>
      </c>
      <c r="AL423" s="1">
        <v>86</v>
      </c>
      <c r="AM423" s="1" t="s">
        <v>1591</v>
      </c>
      <c r="AN423" s="1" t="s">
        <v>1592</v>
      </c>
      <c r="AO423" s="1" t="s">
        <v>1593</v>
      </c>
      <c r="AP423" s="1" t="s">
        <v>1507</v>
      </c>
      <c r="AQ423" s="1" t="s">
        <v>3484</v>
      </c>
      <c r="AR423" s="1" t="s">
        <v>1507</v>
      </c>
      <c r="AS423" s="1" t="s">
        <v>3485</v>
      </c>
      <c r="AT423" s="1" t="s">
        <v>3486</v>
      </c>
      <c r="AU423" s="1" t="s">
        <v>2889</v>
      </c>
      <c r="AV423" s="1">
        <v>2023</v>
      </c>
      <c r="AW423" s="1">
        <v>5</v>
      </c>
      <c r="AX423" s="1">
        <v>10</v>
      </c>
      <c r="AY423" s="1" t="s">
        <v>1507</v>
      </c>
      <c r="AZ423" s="1" t="s">
        <v>1507</v>
      </c>
      <c r="BA423" s="1" t="s">
        <v>1507</v>
      </c>
      <c r="BB423" s="1" t="s">
        <v>1507</v>
      </c>
      <c r="BC423" s="1">
        <v>1076</v>
      </c>
      <c r="BD423" s="1">
        <v>1086</v>
      </c>
      <c r="BE423" s="1" t="s">
        <v>1507</v>
      </c>
      <c r="BF423" s="1" t="s">
        <v>3487</v>
      </c>
      <c r="BG423" s="1" t="str">
        <f>HYPERLINK("http://dx.doi.org/10.1038/s42256-023-00720-7","http://dx.doi.org/10.1038/s42256-023-00720-7")</f>
        <v>http://dx.doi.org/10.1038/s42256-023-00720-7</v>
      </c>
      <c r="BH423" s="1" t="s">
        <v>1507</v>
      </c>
      <c r="BI423" s="1" t="s">
        <v>2891</v>
      </c>
      <c r="BJ423" s="1">
        <v>11</v>
      </c>
      <c r="BK423" s="1" t="s">
        <v>3488</v>
      </c>
      <c r="BL423" s="1" t="s">
        <v>1573</v>
      </c>
      <c r="BM423" s="1" t="s">
        <v>1577</v>
      </c>
      <c r="BN423" s="1" t="s">
        <v>3489</v>
      </c>
      <c r="BO423" s="1" t="s">
        <v>1507</v>
      </c>
      <c r="BP423" s="1" t="s">
        <v>1507</v>
      </c>
      <c r="BQ423" s="1" t="s">
        <v>1507</v>
      </c>
      <c r="BR423" s="1" t="s">
        <v>1507</v>
      </c>
      <c r="BS423" s="1" t="s">
        <v>13744</v>
      </c>
      <c r="BT423" s="1" t="s">
        <v>3490</v>
      </c>
      <c r="BU423" s="1" t="str">
        <f>HYPERLINK("https%3A%2F%2Fwww.webofscience.com%2Fwos%2Fwoscc%2Ffull-record%2FWOS:001073673100001","View Full Record in Web of Science")</f>
        <v>View Full Record in Web of Science</v>
      </c>
    </row>
    <row r="424" spans="1:73" x14ac:dyDescent="0.25">
      <c r="A424" s="1">
        <v>423</v>
      </c>
      <c r="B424" s="1" t="s">
        <v>1506</v>
      </c>
      <c r="C424" s="1" t="s">
        <v>10151</v>
      </c>
      <c r="D424" s="1" t="s">
        <v>1507</v>
      </c>
      <c r="E424" s="1" t="s">
        <v>1507</v>
      </c>
      <c r="F424" s="1" t="s">
        <v>1507</v>
      </c>
      <c r="G424" s="1" t="s">
        <v>10152</v>
      </c>
      <c r="H424" s="1" t="s">
        <v>1507</v>
      </c>
      <c r="I424" s="1" t="s">
        <v>1507</v>
      </c>
      <c r="J424" s="1" t="s">
        <v>10153</v>
      </c>
      <c r="K424" s="1" t="s">
        <v>9087</v>
      </c>
      <c r="L424" s="1" t="s">
        <v>1507</v>
      </c>
      <c r="M424" s="1" t="s">
        <v>1507</v>
      </c>
      <c r="N424" s="1" t="s">
        <v>42</v>
      </c>
      <c r="O424" s="1" t="s">
        <v>56</v>
      </c>
      <c r="P424" s="1" t="s">
        <v>1507</v>
      </c>
      <c r="Q424" s="1" t="s">
        <v>1507</v>
      </c>
      <c r="R424" s="1" t="s">
        <v>1507</v>
      </c>
      <c r="S424" s="1" t="s">
        <v>1507</v>
      </c>
      <c r="T424" s="1" t="s">
        <v>1507</v>
      </c>
      <c r="U424" s="1" t="s">
        <v>10154</v>
      </c>
      <c r="V424" s="1" t="s">
        <v>10155</v>
      </c>
      <c r="W424" s="1" t="s">
        <v>10156</v>
      </c>
      <c r="X424" s="1" t="s">
        <v>10157</v>
      </c>
      <c r="Y424" s="1" t="s">
        <v>10158</v>
      </c>
      <c r="Z424" s="1" t="s">
        <v>10159</v>
      </c>
      <c r="AA424" s="1" t="s">
        <v>10160</v>
      </c>
      <c r="AB424" s="1" t="s">
        <v>15830</v>
      </c>
      <c r="AC424" s="1" t="s">
        <v>15831</v>
      </c>
      <c r="AD424" s="1" t="s">
        <v>9204</v>
      </c>
      <c r="AE424" s="1" t="s">
        <v>9205</v>
      </c>
      <c r="AF424" s="1" t="s">
        <v>9206</v>
      </c>
      <c r="AG424" s="1" t="s">
        <v>1507</v>
      </c>
      <c r="AH424" s="1">
        <v>67</v>
      </c>
      <c r="AI424" s="1">
        <v>43</v>
      </c>
      <c r="AJ424" s="1">
        <v>49</v>
      </c>
      <c r="AK424" s="1">
        <v>0</v>
      </c>
      <c r="AL424" s="1">
        <v>4</v>
      </c>
      <c r="AM424" s="1" t="s">
        <v>1610</v>
      </c>
      <c r="AN424" s="1" t="s">
        <v>1611</v>
      </c>
      <c r="AO424" s="1" t="s">
        <v>1612</v>
      </c>
      <c r="AP424" s="1" t="s">
        <v>1507</v>
      </c>
      <c r="AQ424" s="1" t="s">
        <v>9100</v>
      </c>
      <c r="AR424" s="1" t="s">
        <v>1507</v>
      </c>
      <c r="AS424" s="1" t="s">
        <v>9101</v>
      </c>
      <c r="AT424" s="1" t="s">
        <v>9102</v>
      </c>
      <c r="AU424" s="1" t="s">
        <v>9054</v>
      </c>
      <c r="AV424" s="1">
        <v>2020</v>
      </c>
      <c r="AW424" s="1">
        <v>21</v>
      </c>
      <c r="AX424" s="1">
        <v>3</v>
      </c>
      <c r="AY424" s="1" t="s">
        <v>1507</v>
      </c>
      <c r="AZ424" s="1" t="s">
        <v>1507</v>
      </c>
      <c r="BA424" s="1" t="s">
        <v>1507</v>
      </c>
      <c r="BB424" s="1" t="s">
        <v>1507</v>
      </c>
      <c r="BC424" s="1" t="s">
        <v>1507</v>
      </c>
      <c r="BD424" s="1" t="s">
        <v>1507</v>
      </c>
      <c r="BE424" s="1">
        <v>977</v>
      </c>
      <c r="BF424" s="1" t="s">
        <v>10161</v>
      </c>
      <c r="BG424" s="1" t="str">
        <f>HYPERLINK("http://dx.doi.org/10.3390/ijms21030977","http://dx.doi.org/10.3390/ijms21030977")</f>
        <v>http://dx.doi.org/10.3390/ijms21030977</v>
      </c>
      <c r="BH424" s="1" t="s">
        <v>1507</v>
      </c>
      <c r="BI424" s="1" t="s">
        <v>1507</v>
      </c>
      <c r="BJ424" s="1">
        <v>18</v>
      </c>
      <c r="BK424" s="1" t="s">
        <v>8127</v>
      </c>
      <c r="BL424" s="1" t="s">
        <v>1573</v>
      </c>
      <c r="BM424" s="1" t="s">
        <v>8128</v>
      </c>
      <c r="BN424" s="1" t="s">
        <v>10162</v>
      </c>
      <c r="BO424" s="1">
        <v>32024151</v>
      </c>
      <c r="BP424" s="1" t="s">
        <v>1952</v>
      </c>
      <c r="BQ424" s="1" t="s">
        <v>1507</v>
      </c>
      <c r="BR424" s="1" t="s">
        <v>1507</v>
      </c>
      <c r="BS424" s="1" t="s">
        <v>13744</v>
      </c>
      <c r="BT424" s="1" t="s">
        <v>10163</v>
      </c>
      <c r="BU424" s="1" t="str">
        <f>HYPERLINK("https%3A%2F%2Fwww.webofscience.com%2Fwos%2Fwoscc%2Ffull-record%2FWOS:000522551605016","View Full Record in Web of Science")</f>
        <v>View Full Record in Web of Science</v>
      </c>
    </row>
    <row r="425" spans="1:73" x14ac:dyDescent="0.25">
      <c r="A425" s="1">
        <v>424</v>
      </c>
      <c r="B425" s="1" t="s">
        <v>1506</v>
      </c>
      <c r="C425" s="1" t="s">
        <v>9679</v>
      </c>
      <c r="D425" s="1" t="s">
        <v>1507</v>
      </c>
      <c r="E425" s="1" t="s">
        <v>1507</v>
      </c>
      <c r="F425" s="1" t="s">
        <v>1507</v>
      </c>
      <c r="G425" s="1" t="s">
        <v>9680</v>
      </c>
      <c r="H425" s="1" t="s">
        <v>1507</v>
      </c>
      <c r="I425" s="1" t="s">
        <v>1507</v>
      </c>
      <c r="J425" s="1" t="s">
        <v>9681</v>
      </c>
      <c r="K425" s="1" t="s">
        <v>9682</v>
      </c>
      <c r="L425" s="1" t="s">
        <v>1507</v>
      </c>
      <c r="M425" s="1" t="s">
        <v>1507</v>
      </c>
      <c r="N425" s="1" t="s">
        <v>42</v>
      </c>
      <c r="O425" s="1" t="s">
        <v>56</v>
      </c>
      <c r="P425" s="1" t="s">
        <v>1507</v>
      </c>
      <c r="Q425" s="1" t="s">
        <v>1507</v>
      </c>
      <c r="R425" s="1" t="s">
        <v>1507</v>
      </c>
      <c r="S425" s="1" t="s">
        <v>1507</v>
      </c>
      <c r="T425" s="1" t="s">
        <v>1507</v>
      </c>
      <c r="U425" s="1" t="s">
        <v>1507</v>
      </c>
      <c r="V425" s="1" t="s">
        <v>1507</v>
      </c>
      <c r="W425" s="1" t="s">
        <v>9683</v>
      </c>
      <c r="X425" s="1" t="s">
        <v>9684</v>
      </c>
      <c r="Y425" s="1" t="s">
        <v>1507</v>
      </c>
      <c r="Z425" s="1" t="s">
        <v>9685</v>
      </c>
      <c r="AA425" s="1" t="s">
        <v>1507</v>
      </c>
      <c r="AB425" s="1" t="s">
        <v>1507</v>
      </c>
      <c r="AC425" s="1" t="s">
        <v>1507</v>
      </c>
      <c r="AD425" s="1" t="s">
        <v>9686</v>
      </c>
      <c r="AE425" s="1" t="s">
        <v>9686</v>
      </c>
      <c r="AF425" s="1" t="s">
        <v>9687</v>
      </c>
      <c r="AG425" s="1" t="s">
        <v>1507</v>
      </c>
      <c r="AH425" s="1">
        <v>17</v>
      </c>
      <c r="AI425" s="1">
        <v>0</v>
      </c>
      <c r="AJ425" s="1">
        <v>0</v>
      </c>
      <c r="AK425" s="1">
        <v>1</v>
      </c>
      <c r="AL425" s="1">
        <v>1</v>
      </c>
      <c r="AM425" s="1" t="s">
        <v>1582</v>
      </c>
      <c r="AN425" s="1" t="s">
        <v>1583</v>
      </c>
      <c r="AO425" s="1" t="s">
        <v>1584</v>
      </c>
      <c r="AP425" s="1" t="s">
        <v>9688</v>
      </c>
      <c r="AQ425" s="1" t="s">
        <v>9689</v>
      </c>
      <c r="AR425" s="1" t="s">
        <v>1507</v>
      </c>
      <c r="AS425" s="1" t="s">
        <v>9690</v>
      </c>
      <c r="AT425" s="1" t="s">
        <v>9691</v>
      </c>
      <c r="AU425" s="1" t="s">
        <v>4336</v>
      </c>
      <c r="AV425" s="1">
        <v>2020</v>
      </c>
      <c r="AW425" s="1">
        <v>13</v>
      </c>
      <c r="AX425" s="1">
        <v>4</v>
      </c>
      <c r="AY425" s="1" t="s">
        <v>1507</v>
      </c>
      <c r="AZ425" s="1" t="s">
        <v>1507</v>
      </c>
      <c r="BA425" s="1" t="s">
        <v>1507</v>
      </c>
      <c r="BB425" s="1" t="s">
        <v>1507</v>
      </c>
      <c r="BC425" s="1">
        <v>312</v>
      </c>
      <c r="BD425" s="1">
        <v>330</v>
      </c>
      <c r="BE425" s="1" t="s">
        <v>1507</v>
      </c>
      <c r="BF425" s="1" t="s">
        <v>9692</v>
      </c>
      <c r="BG425" s="1" t="str">
        <f>HYPERLINK("http://dx.doi.org/10.1093/jwelb/jwaa027","http://dx.doi.org/10.1093/jwelb/jwaa027")</f>
        <v>http://dx.doi.org/10.1093/jwelb/jwaa027</v>
      </c>
      <c r="BH425" s="1" t="s">
        <v>1507</v>
      </c>
      <c r="BI425" s="1" t="s">
        <v>1507</v>
      </c>
      <c r="BJ425" s="1">
        <v>19</v>
      </c>
      <c r="BK425" s="1" t="s">
        <v>9693</v>
      </c>
      <c r="BL425" s="1" t="s">
        <v>1518</v>
      </c>
      <c r="BM425" s="1" t="s">
        <v>8855</v>
      </c>
      <c r="BN425" s="1" t="s">
        <v>9694</v>
      </c>
      <c r="BO425" s="1" t="s">
        <v>1507</v>
      </c>
      <c r="BP425" s="1" t="s">
        <v>1507</v>
      </c>
      <c r="BQ425" s="1" t="s">
        <v>1507</v>
      </c>
      <c r="BR425" s="1" t="s">
        <v>1507</v>
      </c>
      <c r="BS425" s="1" t="s">
        <v>13744</v>
      </c>
      <c r="BT425" s="1" t="s">
        <v>9695</v>
      </c>
      <c r="BU425" s="1" t="str">
        <f>HYPERLINK("https%3A%2F%2Fwww.webofscience.com%2Fwos%2Fwoscc%2Ffull-record%2FWOS:000604489700003","View Full Record in Web of Science")</f>
        <v>View Full Record in Web of Science</v>
      </c>
    </row>
    <row r="426" spans="1:73" x14ac:dyDescent="0.25">
      <c r="A426" s="1">
        <v>425</v>
      </c>
      <c r="B426" s="1" t="s">
        <v>1506</v>
      </c>
      <c r="C426" s="1" t="s">
        <v>9084</v>
      </c>
      <c r="D426" s="1" t="s">
        <v>1507</v>
      </c>
      <c r="E426" s="1" t="s">
        <v>1507</v>
      </c>
      <c r="F426" s="1" t="s">
        <v>1507</v>
      </c>
      <c r="G426" s="1" t="s">
        <v>9085</v>
      </c>
      <c r="H426" s="1" t="s">
        <v>1507</v>
      </c>
      <c r="I426" s="1" t="s">
        <v>1507</v>
      </c>
      <c r="J426" s="1" t="s">
        <v>9086</v>
      </c>
      <c r="K426" s="1" t="s">
        <v>9087</v>
      </c>
      <c r="L426" s="1" t="s">
        <v>1507</v>
      </c>
      <c r="M426" s="1" t="s">
        <v>1507</v>
      </c>
      <c r="N426" s="1" t="s">
        <v>42</v>
      </c>
      <c r="O426" s="1" t="s">
        <v>56</v>
      </c>
      <c r="P426" s="1" t="s">
        <v>1507</v>
      </c>
      <c r="Q426" s="1" t="s">
        <v>1507</v>
      </c>
      <c r="R426" s="1" t="s">
        <v>1507</v>
      </c>
      <c r="S426" s="1" t="s">
        <v>1507</v>
      </c>
      <c r="T426" s="1" t="s">
        <v>1507</v>
      </c>
      <c r="U426" s="1" t="s">
        <v>9088</v>
      </c>
      <c r="V426" s="1" t="s">
        <v>9089</v>
      </c>
      <c r="W426" s="1" t="s">
        <v>9090</v>
      </c>
      <c r="X426" s="1" t="s">
        <v>9091</v>
      </c>
      <c r="Y426" s="1" t="s">
        <v>9092</v>
      </c>
      <c r="Z426" s="1" t="s">
        <v>9093</v>
      </c>
      <c r="AA426" s="1" t="s">
        <v>9094</v>
      </c>
      <c r="AB426" s="1" t="s">
        <v>9095</v>
      </c>
      <c r="AC426" s="1" t="s">
        <v>9096</v>
      </c>
      <c r="AD426" s="1" t="s">
        <v>9097</v>
      </c>
      <c r="AE426" s="1" t="s">
        <v>9098</v>
      </c>
      <c r="AF426" s="1" t="s">
        <v>9099</v>
      </c>
      <c r="AG426" s="1" t="s">
        <v>1507</v>
      </c>
      <c r="AH426" s="1">
        <v>46</v>
      </c>
      <c r="AI426" s="1">
        <v>21</v>
      </c>
      <c r="AJ426" s="1">
        <v>21</v>
      </c>
      <c r="AK426" s="1">
        <v>2</v>
      </c>
      <c r="AL426" s="1">
        <v>41</v>
      </c>
      <c r="AM426" s="1" t="s">
        <v>1610</v>
      </c>
      <c r="AN426" s="1" t="s">
        <v>1611</v>
      </c>
      <c r="AO426" s="1" t="s">
        <v>1612</v>
      </c>
      <c r="AP426" s="1" t="s">
        <v>1507</v>
      </c>
      <c r="AQ426" s="1" t="s">
        <v>9100</v>
      </c>
      <c r="AR426" s="1" t="s">
        <v>1507</v>
      </c>
      <c r="AS426" s="1" t="s">
        <v>9101</v>
      </c>
      <c r="AT426" s="1" t="s">
        <v>9102</v>
      </c>
      <c r="AU426" s="1" t="s">
        <v>9054</v>
      </c>
      <c r="AV426" s="1">
        <v>2021</v>
      </c>
      <c r="AW426" s="1">
        <v>22</v>
      </c>
      <c r="AX426" s="1">
        <v>4</v>
      </c>
      <c r="AY426" s="1" t="s">
        <v>1507</v>
      </c>
      <c r="AZ426" s="1" t="s">
        <v>1507</v>
      </c>
      <c r="BA426" s="1" t="s">
        <v>1507</v>
      </c>
      <c r="BB426" s="1" t="s">
        <v>1507</v>
      </c>
      <c r="BC426" s="1" t="s">
        <v>1507</v>
      </c>
      <c r="BD426" s="1" t="s">
        <v>1507</v>
      </c>
      <c r="BE426" s="1">
        <v>2026</v>
      </c>
      <c r="BF426" s="1" t="s">
        <v>9103</v>
      </c>
      <c r="BG426" s="1" t="str">
        <f>HYPERLINK("http://dx.doi.org/10.3390/ijms22042026","http://dx.doi.org/10.3390/ijms22042026")</f>
        <v>http://dx.doi.org/10.3390/ijms22042026</v>
      </c>
      <c r="BH426" s="1" t="s">
        <v>1507</v>
      </c>
      <c r="BI426" s="1" t="s">
        <v>1507</v>
      </c>
      <c r="BJ426" s="1">
        <v>14</v>
      </c>
      <c r="BK426" s="1" t="s">
        <v>8127</v>
      </c>
      <c r="BL426" s="1" t="s">
        <v>1573</v>
      </c>
      <c r="BM426" s="1" t="s">
        <v>8128</v>
      </c>
      <c r="BN426" s="1" t="s">
        <v>9104</v>
      </c>
      <c r="BO426" s="1">
        <v>33670757</v>
      </c>
      <c r="BP426" s="1" t="s">
        <v>1674</v>
      </c>
      <c r="BQ426" s="1" t="s">
        <v>1507</v>
      </c>
      <c r="BR426" s="1" t="s">
        <v>1507</v>
      </c>
      <c r="BS426" s="1" t="s">
        <v>13744</v>
      </c>
      <c r="BT426" s="1" t="s">
        <v>9105</v>
      </c>
      <c r="BU426" s="1" t="str">
        <f>HYPERLINK("https%3A%2F%2Fwww.webofscience.com%2Fwos%2Fwoscc%2Ffull-record%2FWOS:000623767900001","View Full Record in Web of Science")</f>
        <v>View Full Record in Web of Science</v>
      </c>
    </row>
    <row r="427" spans="1:73" x14ac:dyDescent="0.25">
      <c r="A427" s="1">
        <v>426</v>
      </c>
      <c r="B427" s="1" t="s">
        <v>1506</v>
      </c>
      <c r="C427" s="1" t="s">
        <v>9967</v>
      </c>
      <c r="D427" s="1" t="s">
        <v>1507</v>
      </c>
      <c r="E427" s="1" t="s">
        <v>1507</v>
      </c>
      <c r="F427" s="1" t="s">
        <v>1507</v>
      </c>
      <c r="G427" s="1" t="s">
        <v>9968</v>
      </c>
      <c r="H427" s="1" t="s">
        <v>1507</v>
      </c>
      <c r="I427" s="1" t="s">
        <v>1507</v>
      </c>
      <c r="J427" s="1" t="s">
        <v>9969</v>
      </c>
      <c r="K427" s="1" t="s">
        <v>7217</v>
      </c>
      <c r="L427" s="1" t="s">
        <v>1507</v>
      </c>
      <c r="M427" s="1" t="s">
        <v>1507</v>
      </c>
      <c r="N427" s="1" t="s">
        <v>42</v>
      </c>
      <c r="O427" s="1" t="s">
        <v>56</v>
      </c>
      <c r="P427" s="1" t="s">
        <v>1507</v>
      </c>
      <c r="Q427" s="1" t="s">
        <v>1507</v>
      </c>
      <c r="R427" s="1" t="s">
        <v>1507</v>
      </c>
      <c r="S427" s="1" t="s">
        <v>1507</v>
      </c>
      <c r="T427" s="1" t="s">
        <v>1507</v>
      </c>
      <c r="U427" s="1" t="s">
        <v>1507</v>
      </c>
      <c r="V427" s="1" t="s">
        <v>9970</v>
      </c>
      <c r="W427" s="1" t="s">
        <v>9971</v>
      </c>
      <c r="X427" s="1" t="s">
        <v>9972</v>
      </c>
      <c r="Y427" s="1" t="s">
        <v>9973</v>
      </c>
      <c r="Z427" s="1" t="s">
        <v>9974</v>
      </c>
      <c r="AA427" s="1" t="s">
        <v>2295</v>
      </c>
      <c r="AB427" s="1" t="s">
        <v>15822</v>
      </c>
      <c r="AC427" s="1" t="s">
        <v>15823</v>
      </c>
      <c r="AD427" s="1" t="s">
        <v>9975</v>
      </c>
      <c r="AE427" s="1" t="s">
        <v>9976</v>
      </c>
      <c r="AF427" s="1" t="s">
        <v>9977</v>
      </c>
      <c r="AG427" s="1" t="s">
        <v>1507</v>
      </c>
      <c r="AH427" s="1">
        <v>16</v>
      </c>
      <c r="AI427" s="1">
        <v>238</v>
      </c>
      <c r="AJ427" s="1">
        <v>252</v>
      </c>
      <c r="AK427" s="1">
        <v>1</v>
      </c>
      <c r="AL427" s="1">
        <v>13</v>
      </c>
      <c r="AM427" s="1" t="s">
        <v>7226</v>
      </c>
      <c r="AN427" s="1" t="s">
        <v>7227</v>
      </c>
      <c r="AO427" s="1" t="s">
        <v>7228</v>
      </c>
      <c r="AP427" s="1" t="s">
        <v>7229</v>
      </c>
      <c r="AQ427" s="1" t="s">
        <v>7230</v>
      </c>
      <c r="AR427" s="1" t="s">
        <v>1507</v>
      </c>
      <c r="AS427" s="1" t="s">
        <v>7217</v>
      </c>
      <c r="AT427" s="1" t="s">
        <v>7231</v>
      </c>
      <c r="AU427" s="1" t="s">
        <v>9978</v>
      </c>
      <c r="AV427" s="1">
        <v>2020</v>
      </c>
      <c r="AW427" s="1">
        <v>25</v>
      </c>
      <c r="AX427" s="1">
        <v>16</v>
      </c>
      <c r="AY427" s="1" t="s">
        <v>1507</v>
      </c>
      <c r="AZ427" s="1" t="s">
        <v>1507</v>
      </c>
      <c r="BA427" s="1" t="s">
        <v>1507</v>
      </c>
      <c r="BB427" s="1" t="s">
        <v>1507</v>
      </c>
      <c r="BC427" s="1">
        <v>14</v>
      </c>
      <c r="BD427" s="1">
        <v>22</v>
      </c>
      <c r="BE427" s="1">
        <v>2000421</v>
      </c>
      <c r="BF427" s="1" t="s">
        <v>9979</v>
      </c>
      <c r="BG427" s="1" t="str">
        <f>HYPERLINK("http://dx.doi.org/10.2807/1560-7917.ES.2020.25.16.2000421","http://dx.doi.org/10.2807/1560-7917.ES.2020.25.16.2000421")</f>
        <v>http://dx.doi.org/10.2807/1560-7917.ES.2020.25.16.2000421</v>
      </c>
      <c r="BH427" s="1" t="s">
        <v>1507</v>
      </c>
      <c r="BI427" s="1" t="s">
        <v>1507</v>
      </c>
      <c r="BJ427" s="1">
        <v>9</v>
      </c>
      <c r="BK427" s="1" t="s">
        <v>4015</v>
      </c>
      <c r="BL427" s="1" t="s">
        <v>1573</v>
      </c>
      <c r="BM427" s="1" t="s">
        <v>4015</v>
      </c>
      <c r="BN427" s="1" t="s">
        <v>9980</v>
      </c>
      <c r="BO427" s="1">
        <v>32347204</v>
      </c>
      <c r="BP427" s="1" t="s">
        <v>1674</v>
      </c>
      <c r="BQ427" s="1" t="s">
        <v>1507</v>
      </c>
      <c r="BR427" s="1" t="s">
        <v>1507</v>
      </c>
      <c r="BS427" s="1" t="s">
        <v>13744</v>
      </c>
      <c r="BT427" s="1" t="s">
        <v>9981</v>
      </c>
      <c r="BU427" s="1" t="str">
        <f>HYPERLINK("https%3A%2F%2Fwww.webofscience.com%2Fwos%2Fwoscc%2Ffull-record%2FWOS:000528319500003","View Full Record in Web of Science")</f>
        <v>View Full Record in Web of Science</v>
      </c>
    </row>
    <row r="428" spans="1:73" x14ac:dyDescent="0.25">
      <c r="A428" s="1">
        <v>427</v>
      </c>
      <c r="B428" s="1" t="s">
        <v>1506</v>
      </c>
      <c r="C428" s="1" t="s">
        <v>4216</v>
      </c>
      <c r="D428" s="1" t="s">
        <v>1507</v>
      </c>
      <c r="E428" s="1" t="s">
        <v>1507</v>
      </c>
      <c r="F428" s="1" t="s">
        <v>1507</v>
      </c>
      <c r="G428" s="1" t="s">
        <v>4217</v>
      </c>
      <c r="H428" s="1" t="s">
        <v>1507</v>
      </c>
      <c r="I428" s="1" t="s">
        <v>1507</v>
      </c>
      <c r="J428" s="1" t="s">
        <v>4218</v>
      </c>
      <c r="K428" s="1" t="s">
        <v>4219</v>
      </c>
      <c r="L428" s="1" t="s">
        <v>1507</v>
      </c>
      <c r="M428" s="1" t="s">
        <v>1507</v>
      </c>
      <c r="N428" s="1" t="s">
        <v>42</v>
      </c>
      <c r="O428" s="1" t="s">
        <v>56</v>
      </c>
      <c r="P428" s="1" t="s">
        <v>1507</v>
      </c>
      <c r="Q428" s="1" t="s">
        <v>1507</v>
      </c>
      <c r="R428" s="1" t="s">
        <v>1507</v>
      </c>
      <c r="S428" s="1" t="s">
        <v>1507</v>
      </c>
      <c r="T428" s="1" t="s">
        <v>1507</v>
      </c>
      <c r="U428" s="1" t="s">
        <v>1507</v>
      </c>
      <c r="V428" s="1" t="s">
        <v>4220</v>
      </c>
      <c r="W428" s="1" t="s">
        <v>4221</v>
      </c>
      <c r="X428" s="1" t="s">
        <v>4222</v>
      </c>
      <c r="Y428" s="1" t="s">
        <v>4223</v>
      </c>
      <c r="Z428" s="1" t="s">
        <v>4224</v>
      </c>
      <c r="AA428" s="1" t="s">
        <v>4225</v>
      </c>
      <c r="AB428" s="1" t="s">
        <v>1507</v>
      </c>
      <c r="AC428" s="1" t="s">
        <v>4226</v>
      </c>
      <c r="AD428" s="1" t="s">
        <v>4227</v>
      </c>
      <c r="AE428" s="1" t="s">
        <v>4228</v>
      </c>
      <c r="AF428" s="1" t="s">
        <v>4229</v>
      </c>
      <c r="AG428" s="1" t="s">
        <v>1507</v>
      </c>
      <c r="AH428" s="1">
        <v>44</v>
      </c>
      <c r="AI428" s="1">
        <v>2</v>
      </c>
      <c r="AJ428" s="1">
        <v>2</v>
      </c>
      <c r="AK428" s="1">
        <v>11</v>
      </c>
      <c r="AL428" s="1">
        <v>20</v>
      </c>
      <c r="AM428" s="1" t="s">
        <v>2372</v>
      </c>
      <c r="AN428" s="1" t="s">
        <v>2300</v>
      </c>
      <c r="AO428" s="1" t="s">
        <v>2373</v>
      </c>
      <c r="AP428" s="1" t="s">
        <v>4230</v>
      </c>
      <c r="AQ428" s="1" t="s">
        <v>4231</v>
      </c>
      <c r="AR428" s="1" t="s">
        <v>1507</v>
      </c>
      <c r="AS428" s="1" t="s">
        <v>4232</v>
      </c>
      <c r="AT428" s="1" t="s">
        <v>4233</v>
      </c>
      <c r="AU428" s="1" t="s">
        <v>14563</v>
      </c>
      <c r="AV428" s="1">
        <v>2023</v>
      </c>
      <c r="AW428" s="1">
        <v>63</v>
      </c>
      <c r="AX428" s="1">
        <v>18</v>
      </c>
      <c r="AY428" s="1" t="s">
        <v>1507</v>
      </c>
      <c r="AZ428" s="1" t="s">
        <v>1507</v>
      </c>
      <c r="BA428" s="1" t="s">
        <v>1507</v>
      </c>
      <c r="BB428" s="1" t="s">
        <v>1507</v>
      </c>
      <c r="BC428" s="1">
        <v>5727</v>
      </c>
      <c r="BD428" s="1">
        <v>5733</v>
      </c>
      <c r="BE428" s="1" t="s">
        <v>1507</v>
      </c>
      <c r="BF428" s="1" t="s">
        <v>4234</v>
      </c>
      <c r="BG428" s="1" t="str">
        <f>HYPERLINK("http://dx.doi.org/10.1021/acs.jcim.3c00817","http://dx.doi.org/10.1021/acs.jcim.3c00817")</f>
        <v>http://dx.doi.org/10.1021/acs.jcim.3c00817</v>
      </c>
      <c r="BH428" s="1" t="s">
        <v>1507</v>
      </c>
      <c r="BI428" s="1" t="s">
        <v>4056</v>
      </c>
      <c r="BJ428" s="1">
        <v>7</v>
      </c>
      <c r="BK428" s="1" t="s">
        <v>4235</v>
      </c>
      <c r="BL428" s="1" t="s">
        <v>1573</v>
      </c>
      <c r="BM428" s="1" t="s">
        <v>4236</v>
      </c>
      <c r="BN428" s="1" t="s">
        <v>4237</v>
      </c>
      <c r="BO428" s="1">
        <v>37552230</v>
      </c>
      <c r="BP428" s="1" t="s">
        <v>1507</v>
      </c>
      <c r="BQ428" s="1" t="s">
        <v>1507</v>
      </c>
      <c r="BR428" s="1" t="s">
        <v>1507</v>
      </c>
      <c r="BS428" s="1" t="s">
        <v>13744</v>
      </c>
      <c r="BT428" s="1" t="s">
        <v>4238</v>
      </c>
      <c r="BU428" s="1" t="str">
        <f>HYPERLINK("https%3A%2F%2Fwww.webofscience.com%2Fwos%2Fwoscc%2Ffull-record%2FWOS:001044525600001","View Full Record in Web of Science")</f>
        <v>View Full Record in Web of Science</v>
      </c>
    </row>
    <row r="429" spans="1:73" x14ac:dyDescent="0.25">
      <c r="A429" s="1">
        <v>428</v>
      </c>
      <c r="B429" s="1" t="s">
        <v>1506</v>
      </c>
      <c r="C429" s="1" t="s">
        <v>6232</v>
      </c>
      <c r="D429" s="1" t="s">
        <v>1507</v>
      </c>
      <c r="E429" s="1" t="s">
        <v>1507</v>
      </c>
      <c r="F429" s="1" t="s">
        <v>1507</v>
      </c>
      <c r="G429" s="1" t="s">
        <v>6233</v>
      </c>
      <c r="H429" s="1" t="s">
        <v>1507</v>
      </c>
      <c r="I429" s="1" t="s">
        <v>1507</v>
      </c>
      <c r="J429" s="1" t="s">
        <v>796</v>
      </c>
      <c r="K429" s="1" t="s">
        <v>5740</v>
      </c>
      <c r="L429" s="1" t="s">
        <v>1507</v>
      </c>
      <c r="M429" s="1" t="s">
        <v>1507</v>
      </c>
      <c r="N429" s="1" t="s">
        <v>42</v>
      </c>
      <c r="O429" s="1" t="s">
        <v>56</v>
      </c>
      <c r="P429" s="1" t="s">
        <v>1507</v>
      </c>
      <c r="Q429" s="1" t="s">
        <v>1507</v>
      </c>
      <c r="R429" s="1" t="s">
        <v>1507</v>
      </c>
      <c r="S429" s="1" t="s">
        <v>1507</v>
      </c>
      <c r="T429" s="1" t="s">
        <v>1507</v>
      </c>
      <c r="U429" s="1" t="s">
        <v>6234</v>
      </c>
      <c r="V429" s="1" t="s">
        <v>6235</v>
      </c>
      <c r="W429" s="1" t="s">
        <v>6236</v>
      </c>
      <c r="X429" s="1" t="s">
        <v>6237</v>
      </c>
      <c r="Y429" s="1" t="s">
        <v>1507</v>
      </c>
      <c r="Z429" s="1" t="s">
        <v>6238</v>
      </c>
      <c r="AA429" s="1" t="s">
        <v>6239</v>
      </c>
      <c r="AB429" s="1" t="s">
        <v>1507</v>
      </c>
      <c r="AC429" s="1" t="s">
        <v>1507</v>
      </c>
      <c r="AD429" s="1" t="s">
        <v>1507</v>
      </c>
      <c r="AE429" s="1" t="s">
        <v>1507</v>
      </c>
      <c r="AF429" s="1" t="s">
        <v>1507</v>
      </c>
      <c r="AG429" s="1" t="s">
        <v>1507</v>
      </c>
      <c r="AH429" s="1">
        <v>96</v>
      </c>
      <c r="AI429" s="1">
        <v>82</v>
      </c>
      <c r="AJ429" s="1">
        <v>84</v>
      </c>
      <c r="AK429" s="1">
        <v>112</v>
      </c>
      <c r="AL429" s="1">
        <v>366</v>
      </c>
      <c r="AM429" s="1" t="s">
        <v>5748</v>
      </c>
      <c r="AN429" s="1" t="s">
        <v>5749</v>
      </c>
      <c r="AO429" s="1" t="s">
        <v>5750</v>
      </c>
      <c r="AP429" s="1" t="s">
        <v>5751</v>
      </c>
      <c r="AQ429" s="1" t="s">
        <v>1507</v>
      </c>
      <c r="AR429" s="1" t="s">
        <v>1507</v>
      </c>
      <c r="AS429" s="1" t="s">
        <v>5752</v>
      </c>
      <c r="AT429" s="1" t="s">
        <v>804</v>
      </c>
      <c r="AU429" s="1" t="s">
        <v>1507</v>
      </c>
      <c r="AV429" s="1">
        <v>2023</v>
      </c>
      <c r="AW429" s="1">
        <v>20</v>
      </c>
      <c r="AX429" s="1">
        <v>2</v>
      </c>
      <c r="AY429" s="1" t="s">
        <v>1507</v>
      </c>
      <c r="AZ429" s="1" t="s">
        <v>1507</v>
      </c>
      <c r="BA429" s="1" t="s">
        <v>1507</v>
      </c>
      <c r="BB429" s="1" t="s">
        <v>1507</v>
      </c>
      <c r="BC429" s="1" t="s">
        <v>1507</v>
      </c>
      <c r="BD429" s="1" t="s">
        <v>1507</v>
      </c>
      <c r="BE429" s="1">
        <v>7</v>
      </c>
      <c r="BF429" s="1" t="s">
        <v>798</v>
      </c>
      <c r="BG429" s="1" t="str">
        <f>HYPERLINK("http://dx.doi.org/10.53761/1.20.02.07","http://dx.doi.org/10.53761/1.20.02.07")</f>
        <v>http://dx.doi.org/10.53761/1.20.02.07</v>
      </c>
      <c r="BH429" s="1" t="s">
        <v>1507</v>
      </c>
      <c r="BI429" s="1" t="s">
        <v>1507</v>
      </c>
      <c r="BJ429" s="1">
        <v>26</v>
      </c>
      <c r="BK429" s="1" t="s">
        <v>1558</v>
      </c>
      <c r="BL429" s="1" t="s">
        <v>1529</v>
      </c>
      <c r="BM429" s="1" t="s">
        <v>1558</v>
      </c>
      <c r="BN429" s="1" t="s">
        <v>6240</v>
      </c>
      <c r="BO429" s="1" t="s">
        <v>1507</v>
      </c>
      <c r="BP429" s="1" t="s">
        <v>1531</v>
      </c>
      <c r="BQ429" s="1" t="s">
        <v>1507</v>
      </c>
      <c r="BR429" s="1" t="s">
        <v>1507</v>
      </c>
      <c r="BS429" s="1" t="s">
        <v>13744</v>
      </c>
      <c r="BT429" s="1" t="s">
        <v>6241</v>
      </c>
      <c r="BU429" s="1" t="str">
        <f>HYPERLINK("https%3A%2F%2Fwww.webofscience.com%2Fwos%2Fwoscc%2Ffull-record%2FWOS:000937075200011","View Full Record in Web of Science")</f>
        <v>View Full Record in Web of Science</v>
      </c>
    </row>
    <row r="430" spans="1:73" x14ac:dyDescent="0.25">
      <c r="A430" s="1">
        <v>429</v>
      </c>
      <c r="B430" s="1" t="s">
        <v>1506</v>
      </c>
      <c r="C430" s="1" t="s">
        <v>13901</v>
      </c>
      <c r="D430" s="1" t="s">
        <v>1507</v>
      </c>
      <c r="E430" s="1" t="s">
        <v>1507</v>
      </c>
      <c r="F430" s="1" t="s">
        <v>1507</v>
      </c>
      <c r="G430" s="1" t="s">
        <v>13902</v>
      </c>
      <c r="H430" s="1" t="s">
        <v>1507</v>
      </c>
      <c r="I430" s="1" t="s">
        <v>1507</v>
      </c>
      <c r="J430" s="1" t="s">
        <v>13903</v>
      </c>
      <c r="K430" s="1" t="s">
        <v>1617</v>
      </c>
      <c r="L430" s="1" t="s">
        <v>1507</v>
      </c>
      <c r="M430" s="1" t="s">
        <v>1507</v>
      </c>
      <c r="N430" s="1" t="s">
        <v>42</v>
      </c>
      <c r="O430" s="1" t="s">
        <v>12366</v>
      </c>
      <c r="P430" s="1" t="s">
        <v>1507</v>
      </c>
      <c r="Q430" s="1" t="s">
        <v>1507</v>
      </c>
      <c r="R430" s="1" t="s">
        <v>1507</v>
      </c>
      <c r="S430" s="1" t="s">
        <v>1507</v>
      </c>
      <c r="T430" s="1" t="s">
        <v>1507</v>
      </c>
      <c r="U430" s="1" t="s">
        <v>13904</v>
      </c>
      <c r="V430" s="1" t="s">
        <v>13905</v>
      </c>
      <c r="W430" s="1" t="s">
        <v>13906</v>
      </c>
      <c r="X430" s="1" t="s">
        <v>13907</v>
      </c>
      <c r="Y430" s="1" t="s">
        <v>1507</v>
      </c>
      <c r="Z430" s="1" t="s">
        <v>13908</v>
      </c>
      <c r="AA430" s="1" t="s">
        <v>13909</v>
      </c>
      <c r="AB430" s="1" t="s">
        <v>13910</v>
      </c>
      <c r="AC430" s="1" t="s">
        <v>13911</v>
      </c>
      <c r="AD430" s="1" t="s">
        <v>13912</v>
      </c>
      <c r="AE430" s="1" t="s">
        <v>13912</v>
      </c>
      <c r="AF430" s="1" t="s">
        <v>13913</v>
      </c>
      <c r="AG430" s="1" t="s">
        <v>1507</v>
      </c>
      <c r="AH430" s="1">
        <v>60</v>
      </c>
      <c r="AI430" s="1">
        <v>0</v>
      </c>
      <c r="AJ430" s="1">
        <v>0</v>
      </c>
      <c r="AK430" s="1">
        <v>12</v>
      </c>
      <c r="AL430" s="1">
        <v>12</v>
      </c>
      <c r="AM430" s="1" t="s">
        <v>1610</v>
      </c>
      <c r="AN430" s="1" t="s">
        <v>1611</v>
      </c>
      <c r="AO430" s="1" t="s">
        <v>1612</v>
      </c>
      <c r="AP430" s="1" t="s">
        <v>1507</v>
      </c>
      <c r="AQ430" s="1" t="s">
        <v>1620</v>
      </c>
      <c r="AR430" s="1" t="s">
        <v>1507</v>
      </c>
      <c r="AS430" s="1" t="s">
        <v>1621</v>
      </c>
      <c r="AT430" s="1" t="s">
        <v>1622</v>
      </c>
      <c r="AU430" s="1" t="s">
        <v>2191</v>
      </c>
      <c r="AV430" s="1">
        <v>2023</v>
      </c>
      <c r="AW430" s="1">
        <v>12</v>
      </c>
      <c r="AX430" s="1">
        <v>24</v>
      </c>
      <c r="AY430" s="1" t="s">
        <v>1507</v>
      </c>
      <c r="AZ430" s="1" t="s">
        <v>1507</v>
      </c>
      <c r="BA430" s="1" t="s">
        <v>1507</v>
      </c>
      <c r="BB430" s="1" t="s">
        <v>1507</v>
      </c>
      <c r="BC430" s="1" t="s">
        <v>1507</v>
      </c>
      <c r="BD430" s="1" t="s">
        <v>1507</v>
      </c>
      <c r="BE430" s="1">
        <v>4957</v>
      </c>
      <c r="BF430" s="1" t="s">
        <v>13914</v>
      </c>
      <c r="BG430" s="1" t="str">
        <f>HYPERLINK("http://dx.doi.org/10.3390/electronics12244957","http://dx.doi.org/10.3390/electronics12244957")</f>
        <v>http://dx.doi.org/10.3390/electronics12244957</v>
      </c>
      <c r="BH430" s="1" t="s">
        <v>1507</v>
      </c>
      <c r="BI430" s="1" t="s">
        <v>1507</v>
      </c>
      <c r="BJ430" s="1">
        <v>30</v>
      </c>
      <c r="BK430" s="1" t="s">
        <v>1623</v>
      </c>
      <c r="BL430" s="1" t="s">
        <v>1573</v>
      </c>
      <c r="BM430" s="1" t="s">
        <v>1624</v>
      </c>
      <c r="BN430" s="1" t="s">
        <v>13915</v>
      </c>
      <c r="BO430" s="1" t="s">
        <v>1507</v>
      </c>
      <c r="BP430" s="1" t="s">
        <v>1531</v>
      </c>
      <c r="BQ430" s="1" t="s">
        <v>1507</v>
      </c>
      <c r="BR430" s="1" t="s">
        <v>1507</v>
      </c>
      <c r="BS430" s="1" t="s">
        <v>13744</v>
      </c>
      <c r="BT430" s="1" t="s">
        <v>13916</v>
      </c>
      <c r="BU430" s="1" t="str">
        <f>HYPERLINK("https%3A%2F%2Fwww.webofscience.com%2Fwos%2Fwoscc%2Ffull-record%2FWOS:001131443900001","View Full Record in Web of Science")</f>
        <v>View Full Record in Web of Science</v>
      </c>
    </row>
    <row r="431" spans="1:73" x14ac:dyDescent="0.25">
      <c r="A431" s="1">
        <v>430</v>
      </c>
      <c r="B431" s="1" t="s">
        <v>1506</v>
      </c>
      <c r="C431" s="1" t="s">
        <v>11166</v>
      </c>
      <c r="D431" s="1" t="s">
        <v>1507</v>
      </c>
      <c r="E431" s="1" t="s">
        <v>1507</v>
      </c>
      <c r="F431" s="1" t="s">
        <v>1507</v>
      </c>
      <c r="G431" s="1" t="s">
        <v>11167</v>
      </c>
      <c r="H431" s="1" t="s">
        <v>1507</v>
      </c>
      <c r="I431" s="1" t="s">
        <v>1507</v>
      </c>
      <c r="J431" s="1" t="s">
        <v>11168</v>
      </c>
      <c r="K431" s="1" t="s">
        <v>11110</v>
      </c>
      <c r="L431" s="1" t="s">
        <v>1507</v>
      </c>
      <c r="M431" s="1" t="s">
        <v>1507</v>
      </c>
      <c r="N431" s="1" t="s">
        <v>42</v>
      </c>
      <c r="O431" s="1" t="s">
        <v>56</v>
      </c>
      <c r="P431" s="1" t="s">
        <v>1507</v>
      </c>
      <c r="Q431" s="1" t="s">
        <v>1507</v>
      </c>
      <c r="R431" s="1" t="s">
        <v>1507</v>
      </c>
      <c r="S431" s="1" t="s">
        <v>1507</v>
      </c>
      <c r="T431" s="1" t="s">
        <v>1507</v>
      </c>
      <c r="U431" s="1" t="s">
        <v>1507</v>
      </c>
      <c r="V431" s="1" t="s">
        <v>1507</v>
      </c>
      <c r="W431" s="1" t="s">
        <v>11169</v>
      </c>
      <c r="X431" s="1" t="s">
        <v>11170</v>
      </c>
      <c r="Y431" s="1" t="s">
        <v>11171</v>
      </c>
      <c r="Z431" s="1" t="s">
        <v>11172</v>
      </c>
      <c r="AA431" s="1" t="s">
        <v>1507</v>
      </c>
      <c r="AB431" s="1" t="s">
        <v>11173</v>
      </c>
      <c r="AC431" s="1" t="s">
        <v>11174</v>
      </c>
      <c r="AD431" s="1" t="s">
        <v>11175</v>
      </c>
      <c r="AE431" s="1" t="s">
        <v>11175</v>
      </c>
      <c r="AF431" s="1" t="s">
        <v>11176</v>
      </c>
      <c r="AG431" s="1" t="s">
        <v>1507</v>
      </c>
      <c r="AH431" s="1">
        <v>34</v>
      </c>
      <c r="AI431" s="1">
        <v>0</v>
      </c>
      <c r="AJ431" s="1">
        <v>0</v>
      </c>
      <c r="AK431" s="1">
        <v>0</v>
      </c>
      <c r="AL431" s="1">
        <v>1</v>
      </c>
      <c r="AM431" s="1" t="s">
        <v>11114</v>
      </c>
      <c r="AN431" s="1" t="s">
        <v>11115</v>
      </c>
      <c r="AO431" s="1" t="s">
        <v>11116</v>
      </c>
      <c r="AP431" s="1" t="s">
        <v>11117</v>
      </c>
      <c r="AQ431" s="1" t="s">
        <v>1507</v>
      </c>
      <c r="AR431" s="1" t="s">
        <v>1507</v>
      </c>
      <c r="AS431" s="1" t="s">
        <v>11118</v>
      </c>
      <c r="AT431" s="1" t="s">
        <v>11119</v>
      </c>
      <c r="AU431" s="1" t="s">
        <v>5362</v>
      </c>
      <c r="AV431" s="1">
        <v>2019</v>
      </c>
      <c r="AW431" s="1">
        <v>52</v>
      </c>
      <c r="AX431" s="1">
        <v>1</v>
      </c>
      <c r="AY431" s="1" t="s">
        <v>1507</v>
      </c>
      <c r="AZ431" s="1" t="s">
        <v>1507</v>
      </c>
      <c r="BA431" s="1" t="s">
        <v>1507</v>
      </c>
      <c r="BB431" s="1" t="s">
        <v>1507</v>
      </c>
      <c r="BC431" s="1">
        <v>126</v>
      </c>
      <c r="BD431" s="1">
        <v>142</v>
      </c>
      <c r="BE431" s="1" t="s">
        <v>1507</v>
      </c>
      <c r="BF431" s="1" t="s">
        <v>1507</v>
      </c>
      <c r="BG431" s="1" t="s">
        <v>1507</v>
      </c>
      <c r="BH431" s="1" t="s">
        <v>1507</v>
      </c>
      <c r="BI431" s="1" t="s">
        <v>1507</v>
      </c>
      <c r="BJ431" s="1">
        <v>17</v>
      </c>
      <c r="BK431" s="1" t="s">
        <v>1535</v>
      </c>
      <c r="BL431" s="1" t="s">
        <v>1529</v>
      </c>
      <c r="BM431" s="1" t="s">
        <v>1536</v>
      </c>
      <c r="BN431" s="1" t="s">
        <v>11120</v>
      </c>
      <c r="BO431" s="1" t="s">
        <v>1507</v>
      </c>
      <c r="BP431" s="1" t="s">
        <v>1507</v>
      </c>
      <c r="BQ431" s="1" t="s">
        <v>1507</v>
      </c>
      <c r="BR431" s="1" t="s">
        <v>1507</v>
      </c>
      <c r="BS431" s="1" t="s">
        <v>13744</v>
      </c>
      <c r="BT431" s="1" t="s">
        <v>11177</v>
      </c>
      <c r="BU431" s="1" t="str">
        <f>HYPERLINK("https%3A%2F%2Fwww.webofscience.com%2Fwos%2Fwoscc%2Ffull-record%2FWOS:000632633200006","View Full Record in Web of Science")</f>
        <v>View Full Record in Web of Science</v>
      </c>
    </row>
    <row r="432" spans="1:73" x14ac:dyDescent="0.25">
      <c r="A432" s="1">
        <v>431</v>
      </c>
      <c r="B432" s="1" t="s">
        <v>1506</v>
      </c>
      <c r="C432" s="1" t="s">
        <v>6242</v>
      </c>
      <c r="D432" s="1" t="s">
        <v>1507</v>
      </c>
      <c r="E432" s="1" t="s">
        <v>1507</v>
      </c>
      <c r="F432" s="1" t="s">
        <v>1507</v>
      </c>
      <c r="G432" s="1" t="s">
        <v>6243</v>
      </c>
      <c r="H432" s="1" t="s">
        <v>1507</v>
      </c>
      <c r="I432" s="1" t="s">
        <v>1507</v>
      </c>
      <c r="J432" s="1" t="s">
        <v>6244</v>
      </c>
      <c r="K432" s="1" t="s">
        <v>6245</v>
      </c>
      <c r="L432" s="1" t="s">
        <v>1507</v>
      </c>
      <c r="M432" s="1" t="s">
        <v>1507</v>
      </c>
      <c r="N432" s="1" t="s">
        <v>42</v>
      </c>
      <c r="O432" s="1" t="s">
        <v>56</v>
      </c>
      <c r="P432" s="1" t="s">
        <v>1507</v>
      </c>
      <c r="Q432" s="1" t="s">
        <v>1507</v>
      </c>
      <c r="R432" s="1" t="s">
        <v>1507</v>
      </c>
      <c r="S432" s="1" t="s">
        <v>1507</v>
      </c>
      <c r="T432" s="1" t="s">
        <v>1507</v>
      </c>
      <c r="U432" s="1" t="s">
        <v>6246</v>
      </c>
      <c r="V432" s="1" t="s">
        <v>6247</v>
      </c>
      <c r="W432" s="1" t="s">
        <v>6248</v>
      </c>
      <c r="X432" s="1" t="s">
        <v>6249</v>
      </c>
      <c r="Y432" s="1" t="s">
        <v>6250</v>
      </c>
      <c r="Z432" s="1" t="s">
        <v>6251</v>
      </c>
      <c r="AA432" s="1" t="s">
        <v>6252</v>
      </c>
      <c r="AB432" s="1" t="s">
        <v>1507</v>
      </c>
      <c r="AC432" s="1" t="s">
        <v>1507</v>
      </c>
      <c r="AD432" s="1" t="s">
        <v>6253</v>
      </c>
      <c r="AE432" s="1" t="s">
        <v>6254</v>
      </c>
      <c r="AF432" s="1" t="s">
        <v>6255</v>
      </c>
      <c r="AG432" s="1" t="s">
        <v>1507</v>
      </c>
      <c r="AH432" s="1">
        <v>152</v>
      </c>
      <c r="AI432" s="1">
        <v>0</v>
      </c>
      <c r="AJ432" s="1">
        <v>0</v>
      </c>
      <c r="AK432" s="1">
        <v>1</v>
      </c>
      <c r="AL432" s="1">
        <v>1</v>
      </c>
      <c r="AM432" s="1" t="s">
        <v>6256</v>
      </c>
      <c r="AN432" s="1" t="s">
        <v>6257</v>
      </c>
      <c r="AO432" s="1" t="s">
        <v>6258</v>
      </c>
      <c r="AP432" s="1" t="s">
        <v>6259</v>
      </c>
      <c r="AQ432" s="1" t="s">
        <v>1507</v>
      </c>
      <c r="AR432" s="1" t="s">
        <v>1507</v>
      </c>
      <c r="AS432" s="1" t="s">
        <v>6260</v>
      </c>
      <c r="AT432" s="1" t="s">
        <v>6261</v>
      </c>
      <c r="AU432" s="1" t="s">
        <v>1507</v>
      </c>
      <c r="AV432" s="1">
        <v>2023</v>
      </c>
      <c r="AW432" s="1">
        <v>24</v>
      </c>
      <c r="AX432" s="1" t="s">
        <v>1507</v>
      </c>
      <c r="AY432" s="1" t="s">
        <v>1507</v>
      </c>
      <c r="AZ432" s="1" t="s">
        <v>1507</v>
      </c>
      <c r="BA432" s="1" t="s">
        <v>1507</v>
      </c>
      <c r="BB432" s="1" t="s">
        <v>1507</v>
      </c>
      <c r="BC432" s="1" t="s">
        <v>1507</v>
      </c>
      <c r="BD432" s="1" t="s">
        <v>1507</v>
      </c>
      <c r="BE432" s="1">
        <v>356</v>
      </c>
      <c r="BF432" s="1" t="s">
        <v>1507</v>
      </c>
      <c r="BG432" s="1" t="s">
        <v>1507</v>
      </c>
      <c r="BH432" s="1" t="s">
        <v>1507</v>
      </c>
      <c r="BI432" s="1" t="s">
        <v>1507</v>
      </c>
      <c r="BJ432" s="1">
        <v>92</v>
      </c>
      <c r="BK432" s="1" t="s">
        <v>6262</v>
      </c>
      <c r="BL432" s="1" t="s">
        <v>1573</v>
      </c>
      <c r="BM432" s="1" t="s">
        <v>6035</v>
      </c>
      <c r="BN432" s="1" t="s">
        <v>6263</v>
      </c>
      <c r="BO432" s="1" t="s">
        <v>1507</v>
      </c>
      <c r="BP432" s="1" t="s">
        <v>1507</v>
      </c>
      <c r="BQ432" s="1" t="s">
        <v>1507</v>
      </c>
      <c r="BR432" s="1" t="s">
        <v>1507</v>
      </c>
      <c r="BS432" s="1" t="s">
        <v>13744</v>
      </c>
      <c r="BT432" s="1" t="s">
        <v>6264</v>
      </c>
      <c r="BU432" s="1" t="str">
        <f>HYPERLINK("https%3A%2F%2Fwww.webofscience.com%2Fwos%2Fwoscc%2Ffull-record%2FWOS:001130219900001","View Full Record in Web of Science")</f>
        <v>View Full Record in Web of Science</v>
      </c>
    </row>
    <row r="433" spans="1:73" x14ac:dyDescent="0.25">
      <c r="A433" s="1">
        <v>432</v>
      </c>
      <c r="B433" s="1" t="s">
        <v>1506</v>
      </c>
      <c r="C433" s="1" t="s">
        <v>11391</v>
      </c>
      <c r="D433" s="1" t="s">
        <v>1507</v>
      </c>
      <c r="E433" s="1" t="s">
        <v>1507</v>
      </c>
      <c r="F433" s="1" t="s">
        <v>1507</v>
      </c>
      <c r="G433" s="1" t="s">
        <v>11392</v>
      </c>
      <c r="H433" s="1" t="s">
        <v>1507</v>
      </c>
      <c r="I433" s="1" t="s">
        <v>1507</v>
      </c>
      <c r="J433" s="1" t="s">
        <v>11393</v>
      </c>
      <c r="K433" s="1" t="s">
        <v>11394</v>
      </c>
      <c r="L433" s="1" t="s">
        <v>1507</v>
      </c>
      <c r="M433" s="1" t="s">
        <v>1507</v>
      </c>
      <c r="N433" s="1" t="s">
        <v>11324</v>
      </c>
      <c r="O433" s="1" t="s">
        <v>56</v>
      </c>
      <c r="P433" s="1" t="s">
        <v>1507</v>
      </c>
      <c r="Q433" s="1" t="s">
        <v>1507</v>
      </c>
      <c r="R433" s="1" t="s">
        <v>1507</v>
      </c>
      <c r="S433" s="1" t="s">
        <v>1507</v>
      </c>
      <c r="T433" s="1" t="s">
        <v>1507</v>
      </c>
      <c r="U433" s="1" t="s">
        <v>11395</v>
      </c>
      <c r="V433" s="1" t="s">
        <v>11396</v>
      </c>
      <c r="W433" s="1" t="s">
        <v>11397</v>
      </c>
      <c r="X433" s="1" t="s">
        <v>11398</v>
      </c>
      <c r="Y433" s="1" t="s">
        <v>11399</v>
      </c>
      <c r="Z433" s="1" t="s">
        <v>11400</v>
      </c>
      <c r="AA433" s="1" t="s">
        <v>11401</v>
      </c>
      <c r="AB433" s="1" t="s">
        <v>1507</v>
      </c>
      <c r="AC433" s="1" t="s">
        <v>1507</v>
      </c>
      <c r="AD433" s="1" t="s">
        <v>1507</v>
      </c>
      <c r="AE433" s="1" t="s">
        <v>1507</v>
      </c>
      <c r="AF433" s="1" t="s">
        <v>1507</v>
      </c>
      <c r="AG433" s="1" t="s">
        <v>1507</v>
      </c>
      <c r="AH433" s="1">
        <v>29</v>
      </c>
      <c r="AI433" s="1">
        <v>1</v>
      </c>
      <c r="AJ433" s="1">
        <v>1</v>
      </c>
      <c r="AK433" s="1">
        <v>0</v>
      </c>
      <c r="AL433" s="1">
        <v>2</v>
      </c>
      <c r="AM433" s="1" t="s">
        <v>11402</v>
      </c>
      <c r="AN433" s="1" t="s">
        <v>10806</v>
      </c>
      <c r="AO433" s="1" t="s">
        <v>11403</v>
      </c>
      <c r="AP433" s="1" t="s">
        <v>11404</v>
      </c>
      <c r="AQ433" s="1" t="s">
        <v>1507</v>
      </c>
      <c r="AR433" s="1" t="s">
        <v>1507</v>
      </c>
      <c r="AS433" s="1" t="s">
        <v>11405</v>
      </c>
      <c r="AT433" s="1" t="s">
        <v>11406</v>
      </c>
      <c r="AU433" s="1" t="s">
        <v>11407</v>
      </c>
      <c r="AV433" s="1">
        <v>2019</v>
      </c>
      <c r="AW433" s="1">
        <v>11</v>
      </c>
      <c r="AX433" s="1">
        <v>42</v>
      </c>
      <c r="AY433" s="1" t="s">
        <v>1507</v>
      </c>
      <c r="AZ433" s="1" t="s">
        <v>1507</v>
      </c>
      <c r="BA433" s="1" t="s">
        <v>1507</v>
      </c>
      <c r="BB433" s="1" t="s">
        <v>1507</v>
      </c>
      <c r="BC433" s="1">
        <v>61</v>
      </c>
      <c r="BD433" s="1">
        <v>69</v>
      </c>
      <c r="BE433" s="1" t="s">
        <v>1507</v>
      </c>
      <c r="BF433" s="1" t="s">
        <v>1507</v>
      </c>
      <c r="BG433" s="1" t="s">
        <v>1507</v>
      </c>
      <c r="BH433" s="1" t="s">
        <v>1507</v>
      </c>
      <c r="BI433" s="1" t="s">
        <v>1507</v>
      </c>
      <c r="BJ433" s="1">
        <v>9</v>
      </c>
      <c r="BK433" s="1" t="s">
        <v>6483</v>
      </c>
      <c r="BL433" s="1" t="s">
        <v>1529</v>
      </c>
      <c r="BM433" s="1" t="s">
        <v>6484</v>
      </c>
      <c r="BN433" s="1" t="s">
        <v>11408</v>
      </c>
      <c r="BO433" s="1" t="s">
        <v>1507</v>
      </c>
      <c r="BP433" s="1" t="s">
        <v>1507</v>
      </c>
      <c r="BQ433" s="1" t="s">
        <v>1507</v>
      </c>
      <c r="BR433" s="1" t="s">
        <v>1507</v>
      </c>
      <c r="BS433" s="1" t="s">
        <v>13744</v>
      </c>
      <c r="BT433" s="1" t="s">
        <v>11409</v>
      </c>
      <c r="BU433" s="1" t="str">
        <f>HYPERLINK("https%3A%2F%2Fwww.webofscience.com%2Fwos%2Fwoscc%2Ffull-record%2FWOS:000457852700007","View Full Record in Web of Science")</f>
        <v>View Full Record in Web of Science</v>
      </c>
    </row>
    <row r="434" spans="1:73" x14ac:dyDescent="0.25">
      <c r="A434" s="1">
        <v>433</v>
      </c>
      <c r="B434" s="1" t="s">
        <v>5546</v>
      </c>
      <c r="C434" s="1" t="s">
        <v>15283</v>
      </c>
      <c r="D434" s="1" t="s">
        <v>1507</v>
      </c>
      <c r="E434" s="1" t="s">
        <v>1507</v>
      </c>
      <c r="F434" s="1" t="s">
        <v>5548</v>
      </c>
      <c r="G434" s="1" t="s">
        <v>15284</v>
      </c>
      <c r="H434" s="1" t="s">
        <v>1507</v>
      </c>
      <c r="I434" s="1" t="s">
        <v>1507</v>
      </c>
      <c r="J434" s="1" t="s">
        <v>15285</v>
      </c>
      <c r="K434" s="1" t="s">
        <v>15286</v>
      </c>
      <c r="L434" s="1" t="s">
        <v>1507</v>
      </c>
      <c r="M434" s="1" t="s">
        <v>1507</v>
      </c>
      <c r="N434" s="1" t="s">
        <v>42</v>
      </c>
      <c r="O434" s="1" t="s">
        <v>5552</v>
      </c>
      <c r="P434" s="1" t="s">
        <v>15287</v>
      </c>
      <c r="Q434" s="1" t="s">
        <v>15288</v>
      </c>
      <c r="R434" s="1" t="s">
        <v>15289</v>
      </c>
      <c r="S434" s="1" t="s">
        <v>15290</v>
      </c>
      <c r="T434" s="1" t="s">
        <v>1507</v>
      </c>
      <c r="U434" s="1" t="s">
        <v>15291</v>
      </c>
      <c r="V434" s="1" t="s">
        <v>1507</v>
      </c>
      <c r="W434" s="1" t="s">
        <v>15292</v>
      </c>
      <c r="X434" s="1" t="s">
        <v>15293</v>
      </c>
      <c r="Y434" s="1" t="s">
        <v>15294</v>
      </c>
      <c r="Z434" s="1" t="s">
        <v>15295</v>
      </c>
      <c r="AA434" s="1" t="s">
        <v>15296</v>
      </c>
      <c r="AB434" s="1" t="s">
        <v>15297</v>
      </c>
      <c r="AC434" s="1" t="s">
        <v>15298</v>
      </c>
      <c r="AD434" s="1" t="s">
        <v>15299</v>
      </c>
      <c r="AE434" s="1" t="s">
        <v>15300</v>
      </c>
      <c r="AF434" s="1" t="s">
        <v>15301</v>
      </c>
      <c r="AG434" s="1" t="s">
        <v>1507</v>
      </c>
      <c r="AH434" s="1">
        <v>18</v>
      </c>
      <c r="AI434" s="1">
        <v>0</v>
      </c>
      <c r="AJ434" s="1">
        <v>0</v>
      </c>
      <c r="AK434" s="1">
        <v>0</v>
      </c>
      <c r="AL434" s="1">
        <v>0</v>
      </c>
      <c r="AM434" s="1" t="s">
        <v>5565</v>
      </c>
      <c r="AN434" s="1" t="s">
        <v>1512</v>
      </c>
      <c r="AO434" s="1" t="s">
        <v>5566</v>
      </c>
      <c r="AP434" s="1" t="s">
        <v>1507</v>
      </c>
      <c r="AQ434" s="1" t="s">
        <v>1507</v>
      </c>
      <c r="AR434" s="1" t="s">
        <v>15302</v>
      </c>
      <c r="AS434" s="1" t="s">
        <v>1507</v>
      </c>
      <c r="AT434" s="1" t="s">
        <v>1507</v>
      </c>
      <c r="AU434" s="1" t="s">
        <v>1507</v>
      </c>
      <c r="AV434" s="1">
        <v>2023</v>
      </c>
      <c r="AW434" s="1" t="s">
        <v>1507</v>
      </c>
      <c r="AX434" s="1" t="s">
        <v>1507</v>
      </c>
      <c r="AY434" s="1" t="s">
        <v>1507</v>
      </c>
      <c r="AZ434" s="1" t="s">
        <v>1507</v>
      </c>
      <c r="BA434" s="1" t="s">
        <v>1507</v>
      </c>
      <c r="BB434" s="1" t="s">
        <v>1507</v>
      </c>
      <c r="BC434" s="1">
        <v>1812</v>
      </c>
      <c r="BD434" s="1">
        <v>1820</v>
      </c>
      <c r="BE434" s="1" t="s">
        <v>1507</v>
      </c>
      <c r="BF434" s="1" t="s">
        <v>15303</v>
      </c>
      <c r="BG434" s="1" t="str">
        <f>HYPERLINK("http://dx.doi.org/10.1145/3583133.3596401","http://dx.doi.org/10.1145/3583133.3596401")</f>
        <v>http://dx.doi.org/10.1145/3583133.3596401</v>
      </c>
      <c r="BH434" s="1" t="s">
        <v>1507</v>
      </c>
      <c r="BI434" s="1" t="s">
        <v>1507</v>
      </c>
      <c r="BJ434" s="1">
        <v>9</v>
      </c>
      <c r="BK434" s="1" t="s">
        <v>5650</v>
      </c>
      <c r="BL434" s="1" t="s">
        <v>5570</v>
      </c>
      <c r="BM434" s="1" t="s">
        <v>1577</v>
      </c>
      <c r="BN434" s="1" t="s">
        <v>15304</v>
      </c>
      <c r="BO434" s="1" t="s">
        <v>1507</v>
      </c>
      <c r="BP434" s="1" t="s">
        <v>1507</v>
      </c>
      <c r="BQ434" s="1" t="s">
        <v>1507</v>
      </c>
      <c r="BR434" s="1" t="s">
        <v>1507</v>
      </c>
      <c r="BS434" s="1" t="s">
        <v>13744</v>
      </c>
      <c r="BT434" s="1" t="s">
        <v>15305</v>
      </c>
      <c r="BU434" s="1" t="str">
        <f>HYPERLINK("https%3A%2F%2Fwww.webofscience.com%2Fwos%2Fwoscc%2Ffull-record%2FWOS:001117972600294","View Full Record in Web of Science")</f>
        <v>View Full Record in Web of Science</v>
      </c>
    </row>
    <row r="435" spans="1:73" x14ac:dyDescent="0.25">
      <c r="A435" s="1">
        <v>434</v>
      </c>
      <c r="B435" s="1" t="s">
        <v>1506</v>
      </c>
      <c r="C435" s="1" t="s">
        <v>3630</v>
      </c>
      <c r="D435" s="1" t="s">
        <v>1507</v>
      </c>
      <c r="E435" s="1" t="s">
        <v>1507</v>
      </c>
      <c r="F435" s="1" t="s">
        <v>1507</v>
      </c>
      <c r="G435" s="1" t="s">
        <v>3631</v>
      </c>
      <c r="H435" s="1" t="s">
        <v>1507</v>
      </c>
      <c r="I435" s="1" t="s">
        <v>1507</v>
      </c>
      <c r="J435" s="1" t="s">
        <v>3632</v>
      </c>
      <c r="K435" s="1" t="s">
        <v>3633</v>
      </c>
      <c r="L435" s="1" t="s">
        <v>1507</v>
      </c>
      <c r="M435" s="1" t="s">
        <v>1507</v>
      </c>
      <c r="N435" s="1" t="s">
        <v>42</v>
      </c>
      <c r="O435" s="1" t="s">
        <v>56</v>
      </c>
      <c r="P435" s="1" t="s">
        <v>1507</v>
      </c>
      <c r="Q435" s="1" t="s">
        <v>1507</v>
      </c>
      <c r="R435" s="1" t="s">
        <v>1507</v>
      </c>
      <c r="S435" s="1" t="s">
        <v>1507</v>
      </c>
      <c r="T435" s="1" t="s">
        <v>1507</v>
      </c>
      <c r="U435" s="1" t="s">
        <v>3634</v>
      </c>
      <c r="V435" s="1" t="s">
        <v>1507</v>
      </c>
      <c r="W435" s="1" t="s">
        <v>3635</v>
      </c>
      <c r="X435" s="1" t="s">
        <v>3636</v>
      </c>
      <c r="Y435" s="1" t="s">
        <v>3637</v>
      </c>
      <c r="Z435" s="1" t="s">
        <v>3638</v>
      </c>
      <c r="AA435" s="1" t="s">
        <v>3639</v>
      </c>
      <c r="AB435" s="1" t="s">
        <v>14430</v>
      </c>
      <c r="AC435" s="1" t="s">
        <v>14431</v>
      </c>
      <c r="AD435" s="1" t="s">
        <v>3640</v>
      </c>
      <c r="AE435" s="1" t="s">
        <v>3641</v>
      </c>
      <c r="AF435" s="1" t="s">
        <v>3642</v>
      </c>
      <c r="AG435" s="1" t="s">
        <v>1507</v>
      </c>
      <c r="AH435" s="1">
        <v>16</v>
      </c>
      <c r="AI435" s="1">
        <v>0</v>
      </c>
      <c r="AJ435" s="1">
        <v>1</v>
      </c>
      <c r="AK435" s="1">
        <v>1</v>
      </c>
      <c r="AL435" s="1">
        <v>1</v>
      </c>
      <c r="AM435" s="1" t="s">
        <v>1610</v>
      </c>
      <c r="AN435" s="1" t="s">
        <v>1611</v>
      </c>
      <c r="AO435" s="1" t="s">
        <v>1612</v>
      </c>
      <c r="AP435" s="1" t="s">
        <v>1507</v>
      </c>
      <c r="AQ435" s="1" t="s">
        <v>3643</v>
      </c>
      <c r="AR435" s="1" t="s">
        <v>1507</v>
      </c>
      <c r="AS435" s="1" t="s">
        <v>3644</v>
      </c>
      <c r="AT435" s="1" t="s">
        <v>3645</v>
      </c>
      <c r="AU435" s="1" t="s">
        <v>2889</v>
      </c>
      <c r="AV435" s="1">
        <v>2023</v>
      </c>
      <c r="AW435" s="1">
        <v>12</v>
      </c>
      <c r="AX435" s="1">
        <v>19</v>
      </c>
      <c r="AY435" s="1" t="s">
        <v>1507</v>
      </c>
      <c r="AZ435" s="1" t="s">
        <v>1507</v>
      </c>
      <c r="BA435" s="1" t="s">
        <v>1507</v>
      </c>
      <c r="BB435" s="1" t="s">
        <v>1507</v>
      </c>
      <c r="BC435" s="1" t="s">
        <v>1507</v>
      </c>
      <c r="BD435" s="1" t="s">
        <v>1507</v>
      </c>
      <c r="BE435" s="1">
        <v>6390</v>
      </c>
      <c r="BF435" s="1" t="s">
        <v>3646</v>
      </c>
      <c r="BG435" s="1" t="str">
        <f>HYPERLINK("http://dx.doi.org/10.3390/jcm12196390","http://dx.doi.org/10.3390/jcm12196390")</f>
        <v>http://dx.doi.org/10.3390/jcm12196390</v>
      </c>
      <c r="BH435" s="1" t="s">
        <v>1507</v>
      </c>
      <c r="BI435" s="1" t="s">
        <v>1507</v>
      </c>
      <c r="BJ435" s="1">
        <v>13</v>
      </c>
      <c r="BK435" s="1" t="s">
        <v>1949</v>
      </c>
      <c r="BL435" s="1" t="s">
        <v>1573</v>
      </c>
      <c r="BM435" s="1" t="s">
        <v>1950</v>
      </c>
      <c r="BN435" s="1" t="s">
        <v>3647</v>
      </c>
      <c r="BO435" s="1">
        <v>37835033</v>
      </c>
      <c r="BP435" s="1" t="s">
        <v>1674</v>
      </c>
      <c r="BQ435" s="1" t="s">
        <v>1507</v>
      </c>
      <c r="BR435" s="1" t="s">
        <v>1507</v>
      </c>
      <c r="BS435" s="1" t="s">
        <v>13744</v>
      </c>
      <c r="BT435" s="1" t="s">
        <v>3648</v>
      </c>
      <c r="BU435" s="1" t="str">
        <f>HYPERLINK("https%3A%2F%2Fwww.webofscience.com%2Fwos%2Fwoscc%2Ffull-record%2FWOS:001083004600001","View Full Record in Web of Science")</f>
        <v>View Full Record in Web of Science</v>
      </c>
    </row>
    <row r="436" spans="1:73" x14ac:dyDescent="0.25">
      <c r="A436" s="1">
        <v>435</v>
      </c>
      <c r="B436" s="1" t="s">
        <v>1506</v>
      </c>
      <c r="C436" s="1" t="s">
        <v>5205</v>
      </c>
      <c r="D436" s="1" t="s">
        <v>1507</v>
      </c>
      <c r="E436" s="1" t="s">
        <v>1507</v>
      </c>
      <c r="F436" s="1" t="s">
        <v>1507</v>
      </c>
      <c r="G436" s="1" t="s">
        <v>5206</v>
      </c>
      <c r="H436" s="1" t="s">
        <v>1507</v>
      </c>
      <c r="I436" s="1" t="s">
        <v>1507</v>
      </c>
      <c r="J436" s="1" t="s">
        <v>5207</v>
      </c>
      <c r="K436" s="1" t="s">
        <v>5208</v>
      </c>
      <c r="L436" s="1" t="s">
        <v>1507</v>
      </c>
      <c r="M436" s="1" t="s">
        <v>1507</v>
      </c>
      <c r="N436" s="1" t="s">
        <v>42</v>
      </c>
      <c r="O436" s="1" t="s">
        <v>56</v>
      </c>
      <c r="P436" s="1" t="s">
        <v>1507</v>
      </c>
      <c r="Q436" s="1" t="s">
        <v>1507</v>
      </c>
      <c r="R436" s="1" t="s">
        <v>1507</v>
      </c>
      <c r="S436" s="1" t="s">
        <v>1507</v>
      </c>
      <c r="T436" s="1" t="s">
        <v>1507</v>
      </c>
      <c r="U436" s="1" t="s">
        <v>5209</v>
      </c>
      <c r="V436" s="1" t="s">
        <v>5077</v>
      </c>
      <c r="W436" s="1" t="s">
        <v>5210</v>
      </c>
      <c r="X436" s="1" t="s">
        <v>5211</v>
      </c>
      <c r="Y436" s="1" t="s">
        <v>1507</v>
      </c>
      <c r="Z436" s="1" t="s">
        <v>5212</v>
      </c>
      <c r="AA436" s="1" t="s">
        <v>5213</v>
      </c>
      <c r="AB436" s="1" t="s">
        <v>14787</v>
      </c>
      <c r="AC436" s="1" t="s">
        <v>14788</v>
      </c>
      <c r="AD436" s="1" t="s">
        <v>5214</v>
      </c>
      <c r="AE436" s="1" t="s">
        <v>5215</v>
      </c>
      <c r="AF436" s="1" t="s">
        <v>5216</v>
      </c>
      <c r="AG436" s="1" t="s">
        <v>1507</v>
      </c>
      <c r="AH436" s="1">
        <v>29</v>
      </c>
      <c r="AI436" s="1">
        <v>18</v>
      </c>
      <c r="AJ436" s="1">
        <v>18</v>
      </c>
      <c r="AK436" s="1">
        <v>54</v>
      </c>
      <c r="AL436" s="1">
        <v>118</v>
      </c>
      <c r="AM436" s="1" t="s">
        <v>1610</v>
      </c>
      <c r="AN436" s="1" t="s">
        <v>1611</v>
      </c>
      <c r="AO436" s="1" t="s">
        <v>1612</v>
      </c>
      <c r="AP436" s="1" t="s">
        <v>1507</v>
      </c>
      <c r="AQ436" s="1" t="s">
        <v>5217</v>
      </c>
      <c r="AR436" s="1" t="s">
        <v>1507</v>
      </c>
      <c r="AS436" s="1" t="s">
        <v>5218</v>
      </c>
      <c r="AT436" s="1" t="s">
        <v>5218</v>
      </c>
      <c r="AU436" s="1" t="s">
        <v>5201</v>
      </c>
      <c r="AV436" s="1">
        <v>2023</v>
      </c>
      <c r="AW436" s="1">
        <v>13</v>
      </c>
      <c r="AX436" s="1">
        <v>4</v>
      </c>
      <c r="AY436" s="1" t="s">
        <v>1507</v>
      </c>
      <c r="AZ436" s="1" t="s">
        <v>1507</v>
      </c>
      <c r="BA436" s="1" t="s">
        <v>1507</v>
      </c>
      <c r="BB436" s="1" t="s">
        <v>1507</v>
      </c>
      <c r="BC436" s="1" t="s">
        <v>1507</v>
      </c>
      <c r="BD436" s="1" t="s">
        <v>1507</v>
      </c>
      <c r="BE436" s="1">
        <v>857</v>
      </c>
      <c r="BF436" s="1" t="s">
        <v>5219</v>
      </c>
      <c r="BG436" s="1" t="str">
        <f>HYPERLINK("http://dx.doi.org/10.3390/buildings13040857","http://dx.doi.org/10.3390/buildings13040857")</f>
        <v>http://dx.doi.org/10.3390/buildings13040857</v>
      </c>
      <c r="BH436" s="1" t="s">
        <v>1507</v>
      </c>
      <c r="BI436" s="1" t="s">
        <v>1507</v>
      </c>
      <c r="BJ436" s="1">
        <v>16</v>
      </c>
      <c r="BK436" s="1" t="s">
        <v>1815</v>
      </c>
      <c r="BL436" s="1" t="s">
        <v>1573</v>
      </c>
      <c r="BM436" s="1" t="s">
        <v>1816</v>
      </c>
      <c r="BN436" s="1" t="s">
        <v>5220</v>
      </c>
      <c r="BO436" s="1" t="s">
        <v>1507</v>
      </c>
      <c r="BP436" s="1" t="s">
        <v>1553</v>
      </c>
      <c r="BQ436" s="1" t="s">
        <v>1507</v>
      </c>
      <c r="BR436" s="1" t="s">
        <v>1507</v>
      </c>
      <c r="BS436" s="1" t="s">
        <v>13744</v>
      </c>
      <c r="BT436" s="1" t="s">
        <v>5221</v>
      </c>
      <c r="BU436" s="1" t="str">
        <f>HYPERLINK("https%3A%2F%2Fwww.webofscience.com%2Fwos%2Fwoscc%2Ffull-record%2FWOS:000979233000001","View Full Record in Web of Science")</f>
        <v>View Full Record in Web of Science</v>
      </c>
    </row>
    <row r="437" spans="1:73" x14ac:dyDescent="0.25">
      <c r="A437" s="1">
        <v>436</v>
      </c>
      <c r="B437" s="1" t="s">
        <v>1506</v>
      </c>
      <c r="C437" s="1" t="s">
        <v>13841</v>
      </c>
      <c r="D437" s="1" t="s">
        <v>1507</v>
      </c>
      <c r="E437" s="1" t="s">
        <v>1507</v>
      </c>
      <c r="F437" s="1" t="s">
        <v>1507</v>
      </c>
      <c r="G437" s="1" t="s">
        <v>13842</v>
      </c>
      <c r="H437" s="1" t="s">
        <v>1507</v>
      </c>
      <c r="I437" s="1" t="s">
        <v>1507</v>
      </c>
      <c r="J437" s="1" t="s">
        <v>13843</v>
      </c>
      <c r="K437" s="1" t="s">
        <v>13844</v>
      </c>
      <c r="L437" s="1" t="s">
        <v>1507</v>
      </c>
      <c r="M437" s="1" t="s">
        <v>1507</v>
      </c>
      <c r="N437" s="1" t="s">
        <v>42</v>
      </c>
      <c r="O437" s="1" t="s">
        <v>12366</v>
      </c>
      <c r="P437" s="1" t="s">
        <v>1507</v>
      </c>
      <c r="Q437" s="1" t="s">
        <v>1507</v>
      </c>
      <c r="R437" s="1" t="s">
        <v>1507</v>
      </c>
      <c r="S437" s="1" t="s">
        <v>1507</v>
      </c>
      <c r="T437" s="1" t="s">
        <v>1507</v>
      </c>
      <c r="U437" s="1" t="s">
        <v>13845</v>
      </c>
      <c r="V437" s="1" t="s">
        <v>1507</v>
      </c>
      <c r="W437" s="1" t="s">
        <v>13846</v>
      </c>
      <c r="X437" s="1" t="s">
        <v>13847</v>
      </c>
      <c r="Y437" s="1" t="s">
        <v>13848</v>
      </c>
      <c r="Z437" s="1" t="s">
        <v>13849</v>
      </c>
      <c r="AA437" s="1" t="s">
        <v>13850</v>
      </c>
      <c r="AB437" s="1" t="s">
        <v>13851</v>
      </c>
      <c r="AC437" s="1" t="s">
        <v>13852</v>
      </c>
      <c r="AD437" s="1" t="s">
        <v>13853</v>
      </c>
      <c r="AE437" s="1" t="s">
        <v>13854</v>
      </c>
      <c r="AF437" s="1" t="s">
        <v>13855</v>
      </c>
      <c r="AG437" s="1" t="s">
        <v>1507</v>
      </c>
      <c r="AH437" s="1">
        <v>68</v>
      </c>
      <c r="AI437" s="1">
        <v>7</v>
      </c>
      <c r="AJ437" s="1">
        <v>7</v>
      </c>
      <c r="AK437" s="1">
        <v>10</v>
      </c>
      <c r="AL437" s="1">
        <v>10</v>
      </c>
      <c r="AM437" s="1" t="s">
        <v>9670</v>
      </c>
      <c r="AN437" s="1" t="s">
        <v>3501</v>
      </c>
      <c r="AO437" s="1" t="s">
        <v>9671</v>
      </c>
      <c r="AP437" s="1" t="s">
        <v>13856</v>
      </c>
      <c r="AQ437" s="1" t="s">
        <v>13857</v>
      </c>
      <c r="AR437" s="1" t="s">
        <v>1507</v>
      </c>
      <c r="AS437" s="1" t="s">
        <v>13858</v>
      </c>
      <c r="AT437" s="1" t="s">
        <v>13859</v>
      </c>
      <c r="AU437" s="1" t="s">
        <v>1616</v>
      </c>
      <c r="AV437" s="1">
        <v>2024</v>
      </c>
      <c r="AW437" s="1">
        <v>53</v>
      </c>
      <c r="AX437" s="1">
        <v>1</v>
      </c>
      <c r="AY437" s="1" t="s">
        <v>1507</v>
      </c>
      <c r="AZ437" s="1" t="s">
        <v>1507</v>
      </c>
      <c r="BA437" s="1" t="s">
        <v>1507</v>
      </c>
      <c r="BB437" s="1" t="s">
        <v>1507</v>
      </c>
      <c r="BC437" s="1">
        <v>78</v>
      </c>
      <c r="BD437" s="1">
        <v>88</v>
      </c>
      <c r="BE437" s="1" t="s">
        <v>1507</v>
      </c>
      <c r="BF437" s="1" t="s">
        <v>13860</v>
      </c>
      <c r="BG437" s="1" t="str">
        <f>HYPERLINK("http://dx.doi.org/10.1016/j.ijom.2023.09.005","http://dx.doi.org/10.1016/j.ijom.2023.09.005")</f>
        <v>http://dx.doi.org/10.1016/j.ijom.2023.09.005</v>
      </c>
      <c r="BH437" s="1" t="s">
        <v>1507</v>
      </c>
      <c r="BI437" s="1" t="s">
        <v>1652</v>
      </c>
      <c r="BJ437" s="1">
        <v>11</v>
      </c>
      <c r="BK437" s="1" t="s">
        <v>13861</v>
      </c>
      <c r="BL437" s="1" t="s">
        <v>1573</v>
      </c>
      <c r="BM437" s="1" t="s">
        <v>13861</v>
      </c>
      <c r="BN437" s="1" t="s">
        <v>13862</v>
      </c>
      <c r="BO437" s="1">
        <v>37798200</v>
      </c>
      <c r="BP437" s="1" t="s">
        <v>1537</v>
      </c>
      <c r="BQ437" s="1" t="s">
        <v>1507</v>
      </c>
      <c r="BR437" s="1" t="s">
        <v>1507</v>
      </c>
      <c r="BS437" s="1" t="s">
        <v>13744</v>
      </c>
      <c r="BT437" s="1" t="s">
        <v>13863</v>
      </c>
      <c r="BU437" s="1" t="str">
        <f>HYPERLINK("https%3A%2F%2Fwww.webofscience.com%2Fwos%2Fwoscc%2Ffull-record%2FWOS:001138044500001","View Full Record in Web of Science")</f>
        <v>View Full Record in Web of Science</v>
      </c>
    </row>
    <row r="438" spans="1:73" x14ac:dyDescent="0.25">
      <c r="A438" s="1">
        <v>437</v>
      </c>
      <c r="B438" s="1" t="s">
        <v>5546</v>
      </c>
      <c r="C438" s="1" t="s">
        <v>6265</v>
      </c>
      <c r="D438" s="1" t="s">
        <v>1507</v>
      </c>
      <c r="E438" s="1" t="s">
        <v>1507</v>
      </c>
      <c r="F438" s="1" t="s">
        <v>5628</v>
      </c>
      <c r="G438" s="1" t="s">
        <v>6266</v>
      </c>
      <c r="H438" s="1" t="s">
        <v>1507</v>
      </c>
      <c r="I438" s="1" t="s">
        <v>1507</v>
      </c>
      <c r="J438" s="1" t="s">
        <v>6267</v>
      </c>
      <c r="K438" s="1" t="s">
        <v>6268</v>
      </c>
      <c r="L438" s="1" t="s">
        <v>6269</v>
      </c>
      <c r="M438" s="1" t="s">
        <v>1507</v>
      </c>
      <c r="N438" s="1" t="s">
        <v>42</v>
      </c>
      <c r="O438" s="1" t="s">
        <v>5552</v>
      </c>
      <c r="P438" s="1" t="s">
        <v>6270</v>
      </c>
      <c r="Q438" s="1" t="s">
        <v>6271</v>
      </c>
      <c r="R438" s="1" t="s">
        <v>6272</v>
      </c>
      <c r="S438" s="1" t="s">
        <v>6273</v>
      </c>
      <c r="T438" s="1" t="s">
        <v>1507</v>
      </c>
      <c r="U438" s="1" t="s">
        <v>6274</v>
      </c>
      <c r="V438" s="1" t="s">
        <v>1507</v>
      </c>
      <c r="W438" s="1" t="s">
        <v>6275</v>
      </c>
      <c r="X438" s="1" t="s">
        <v>6276</v>
      </c>
      <c r="Y438" s="1" t="s">
        <v>6277</v>
      </c>
      <c r="Z438" s="1" t="s">
        <v>6278</v>
      </c>
      <c r="AA438" s="1" t="s">
        <v>6279</v>
      </c>
      <c r="AB438" s="1" t="s">
        <v>15306</v>
      </c>
      <c r="AC438" s="1" t="s">
        <v>6280</v>
      </c>
      <c r="AD438" s="1" t="s">
        <v>6281</v>
      </c>
      <c r="AE438" s="1" t="s">
        <v>6281</v>
      </c>
      <c r="AF438" s="1" t="s">
        <v>6282</v>
      </c>
      <c r="AG438" s="1" t="s">
        <v>1507</v>
      </c>
      <c r="AH438" s="1">
        <v>29</v>
      </c>
      <c r="AI438" s="1">
        <v>0</v>
      </c>
      <c r="AJ438" s="1">
        <v>0</v>
      </c>
      <c r="AK438" s="1">
        <v>2</v>
      </c>
      <c r="AL438" s="1">
        <v>2</v>
      </c>
      <c r="AM438" s="1" t="s">
        <v>5645</v>
      </c>
      <c r="AN438" s="1" t="s">
        <v>5646</v>
      </c>
      <c r="AO438" s="1" t="s">
        <v>5647</v>
      </c>
      <c r="AP438" s="1" t="s">
        <v>6283</v>
      </c>
      <c r="AQ438" s="1" t="s">
        <v>6284</v>
      </c>
      <c r="AR438" s="1" t="s">
        <v>6285</v>
      </c>
      <c r="AS438" s="1" t="s">
        <v>6286</v>
      </c>
      <c r="AT438" s="1" t="s">
        <v>1507</v>
      </c>
      <c r="AU438" s="1" t="s">
        <v>1507</v>
      </c>
      <c r="AV438" s="1">
        <v>2023</v>
      </c>
      <c r="AW438" s="1" t="s">
        <v>1507</v>
      </c>
      <c r="AX438" s="1" t="s">
        <v>1507</v>
      </c>
      <c r="AY438" s="1" t="s">
        <v>1507</v>
      </c>
      <c r="AZ438" s="1" t="s">
        <v>1507</v>
      </c>
      <c r="BA438" s="1" t="s">
        <v>1507</v>
      </c>
      <c r="BB438" s="1" t="s">
        <v>1507</v>
      </c>
      <c r="BC438" s="1">
        <v>53</v>
      </c>
      <c r="BD438" s="1">
        <v>60</v>
      </c>
      <c r="BE438" s="1" t="s">
        <v>1507</v>
      </c>
      <c r="BF438" s="1" t="s">
        <v>6287</v>
      </c>
      <c r="BG438" s="1" t="str">
        <f>HYPERLINK("http://dx.doi.org/10.1109/HOTI59126.2023.00022","http://dx.doi.org/10.1109/HOTI59126.2023.00022")</f>
        <v>http://dx.doi.org/10.1109/HOTI59126.2023.00022</v>
      </c>
      <c r="BH438" s="1" t="s">
        <v>1507</v>
      </c>
      <c r="BI438" s="1" t="s">
        <v>1507</v>
      </c>
      <c r="BJ438" s="1">
        <v>8</v>
      </c>
      <c r="BK438" s="1" t="s">
        <v>6288</v>
      </c>
      <c r="BL438" s="1" t="s">
        <v>5570</v>
      </c>
      <c r="BM438" s="1" t="s">
        <v>1578</v>
      </c>
      <c r="BN438" s="1" t="s">
        <v>6289</v>
      </c>
      <c r="BO438" s="1" t="s">
        <v>1507</v>
      </c>
      <c r="BP438" s="1" t="s">
        <v>1507</v>
      </c>
      <c r="BQ438" s="1" t="s">
        <v>1507</v>
      </c>
      <c r="BR438" s="1" t="s">
        <v>1507</v>
      </c>
      <c r="BS438" s="1" t="s">
        <v>13744</v>
      </c>
      <c r="BT438" s="1" t="s">
        <v>6290</v>
      </c>
      <c r="BU438" s="1" t="str">
        <f>HYPERLINK("https%3A%2F%2Fwww.webofscience.com%2Fwos%2Fwoscc%2Ffull-record%2FWOS:001094865000008","View Full Record in Web of Science")</f>
        <v>View Full Record in Web of Science</v>
      </c>
    </row>
    <row r="439" spans="1:73" x14ac:dyDescent="0.25">
      <c r="A439" s="1">
        <v>438</v>
      </c>
      <c r="B439" s="1" t="s">
        <v>1506</v>
      </c>
      <c r="C439" s="1" t="s">
        <v>8188</v>
      </c>
      <c r="D439" s="1" t="s">
        <v>1507</v>
      </c>
      <c r="E439" s="1" t="s">
        <v>1507</v>
      </c>
      <c r="F439" s="1" t="s">
        <v>1507</v>
      </c>
      <c r="G439" s="1" t="s">
        <v>8189</v>
      </c>
      <c r="H439" s="1" t="s">
        <v>1507</v>
      </c>
      <c r="I439" s="1" t="s">
        <v>1507</v>
      </c>
      <c r="J439" s="1" t="s">
        <v>8190</v>
      </c>
      <c r="K439" s="1" t="s">
        <v>8191</v>
      </c>
      <c r="L439" s="1" t="s">
        <v>1507</v>
      </c>
      <c r="M439" s="1" t="s">
        <v>1507</v>
      </c>
      <c r="N439" s="1" t="s">
        <v>42</v>
      </c>
      <c r="O439" s="1" t="s">
        <v>56</v>
      </c>
      <c r="P439" s="1" t="s">
        <v>1507</v>
      </c>
      <c r="Q439" s="1" t="s">
        <v>1507</v>
      </c>
      <c r="R439" s="1" t="s">
        <v>1507</v>
      </c>
      <c r="S439" s="1" t="s">
        <v>1507</v>
      </c>
      <c r="T439" s="1" t="s">
        <v>1507</v>
      </c>
      <c r="U439" s="1" t="s">
        <v>8192</v>
      </c>
      <c r="V439" s="1" t="s">
        <v>8193</v>
      </c>
      <c r="W439" s="1" t="s">
        <v>8194</v>
      </c>
      <c r="X439" s="1" t="s">
        <v>8195</v>
      </c>
      <c r="Y439" s="1" t="s">
        <v>8196</v>
      </c>
      <c r="Z439" s="1" t="s">
        <v>8197</v>
      </c>
      <c r="AA439" s="1" t="s">
        <v>8198</v>
      </c>
      <c r="AB439" s="1" t="s">
        <v>15711</v>
      </c>
      <c r="AC439" s="1" t="s">
        <v>15712</v>
      </c>
      <c r="AD439" s="1" t="s">
        <v>8199</v>
      </c>
      <c r="AE439" s="1" t="s">
        <v>8200</v>
      </c>
      <c r="AF439" s="1" t="s">
        <v>8201</v>
      </c>
      <c r="AG439" s="1" t="s">
        <v>1507</v>
      </c>
      <c r="AH439" s="1">
        <v>41</v>
      </c>
      <c r="AI439" s="1">
        <v>11</v>
      </c>
      <c r="AJ439" s="1">
        <v>11</v>
      </c>
      <c r="AK439" s="1">
        <v>1</v>
      </c>
      <c r="AL439" s="1">
        <v>16</v>
      </c>
      <c r="AM439" s="1" t="s">
        <v>8202</v>
      </c>
      <c r="AN439" s="1" t="s">
        <v>8203</v>
      </c>
      <c r="AO439" s="1" t="s">
        <v>8204</v>
      </c>
      <c r="AP439" s="1" t="s">
        <v>8205</v>
      </c>
      <c r="AQ439" s="1" t="s">
        <v>1507</v>
      </c>
      <c r="AR439" s="1" t="s">
        <v>1507</v>
      </c>
      <c r="AS439" s="1" t="s">
        <v>8191</v>
      </c>
      <c r="AT439" s="1" t="s">
        <v>8206</v>
      </c>
      <c r="AU439" s="1" t="s">
        <v>8207</v>
      </c>
      <c r="AV439" s="1">
        <v>2021</v>
      </c>
      <c r="AW439" s="1">
        <v>13</v>
      </c>
      <c r="AX439" s="1">
        <v>17</v>
      </c>
      <c r="AY439" s="1" t="s">
        <v>1507</v>
      </c>
      <c r="AZ439" s="1" t="s">
        <v>1507</v>
      </c>
      <c r="BA439" s="1" t="s">
        <v>1507</v>
      </c>
      <c r="BB439" s="1" t="s">
        <v>1507</v>
      </c>
      <c r="BC439" s="1">
        <v>21421</v>
      </c>
      <c r="BD439" s="1">
        <v>21434</v>
      </c>
      <c r="BE439" s="1" t="s">
        <v>1507</v>
      </c>
      <c r="BF439" s="1" t="s">
        <v>1507</v>
      </c>
      <c r="BG439" s="1" t="s">
        <v>1507</v>
      </c>
      <c r="BH439" s="1" t="s">
        <v>1507</v>
      </c>
      <c r="BI439" s="1" t="s">
        <v>1507</v>
      </c>
      <c r="BJ439" s="1">
        <v>14</v>
      </c>
      <c r="BK439" s="1" t="s">
        <v>8208</v>
      </c>
      <c r="BL439" s="1" t="s">
        <v>1573</v>
      </c>
      <c r="BM439" s="1" t="s">
        <v>8208</v>
      </c>
      <c r="BN439" s="1" t="s">
        <v>8209</v>
      </c>
      <c r="BO439" s="1">
        <v>34475271</v>
      </c>
      <c r="BP439" s="1" t="s">
        <v>1674</v>
      </c>
      <c r="BQ439" s="1" t="s">
        <v>1507</v>
      </c>
      <c r="BR439" s="1" t="s">
        <v>1507</v>
      </c>
      <c r="BS439" s="1" t="s">
        <v>13744</v>
      </c>
      <c r="BT439" s="1" t="s">
        <v>8210</v>
      </c>
      <c r="BU439" s="1" t="str">
        <f>HYPERLINK("https%3A%2F%2Fwww.webofscience.com%2Fwos%2Fwoscc%2Ffull-record%2FWOS:000704398100013","View Full Record in Web of Science")</f>
        <v>View Full Record in Web of Science</v>
      </c>
    </row>
    <row r="440" spans="1:73" x14ac:dyDescent="0.25">
      <c r="A440" s="1">
        <v>439</v>
      </c>
      <c r="B440" s="1" t="s">
        <v>1506</v>
      </c>
      <c r="C440" s="1" t="s">
        <v>15307</v>
      </c>
      <c r="D440" s="1" t="s">
        <v>1507</v>
      </c>
      <c r="E440" s="1" t="s">
        <v>1507</v>
      </c>
      <c r="F440" s="1" t="s">
        <v>1507</v>
      </c>
      <c r="G440" s="1" t="s">
        <v>15308</v>
      </c>
      <c r="H440" s="1" t="s">
        <v>1507</v>
      </c>
      <c r="I440" s="1" t="s">
        <v>1507</v>
      </c>
      <c r="J440" s="1" t="s">
        <v>15309</v>
      </c>
      <c r="K440" s="1" t="s">
        <v>1625</v>
      </c>
      <c r="L440" s="1" t="s">
        <v>1507</v>
      </c>
      <c r="M440" s="1" t="s">
        <v>1507</v>
      </c>
      <c r="N440" s="1" t="s">
        <v>42</v>
      </c>
      <c r="O440" s="1" t="s">
        <v>12366</v>
      </c>
      <c r="P440" s="1" t="s">
        <v>1507</v>
      </c>
      <c r="Q440" s="1" t="s">
        <v>1507</v>
      </c>
      <c r="R440" s="1" t="s">
        <v>1507</v>
      </c>
      <c r="S440" s="1" t="s">
        <v>1507</v>
      </c>
      <c r="T440" s="1" t="s">
        <v>1507</v>
      </c>
      <c r="U440" s="1" t="s">
        <v>15310</v>
      </c>
      <c r="V440" s="1" t="s">
        <v>15311</v>
      </c>
      <c r="W440" s="1" t="s">
        <v>15312</v>
      </c>
      <c r="X440" s="1" t="s">
        <v>15313</v>
      </c>
      <c r="Y440" s="1" t="s">
        <v>15314</v>
      </c>
      <c r="Z440" s="1" t="s">
        <v>15315</v>
      </c>
      <c r="AA440" s="1" t="s">
        <v>15316</v>
      </c>
      <c r="AB440" s="1" t="s">
        <v>15317</v>
      </c>
      <c r="AC440" s="1" t="s">
        <v>15318</v>
      </c>
      <c r="AD440" s="1" t="s">
        <v>15319</v>
      </c>
      <c r="AE440" s="1" t="s">
        <v>15320</v>
      </c>
      <c r="AF440" s="1" t="s">
        <v>15321</v>
      </c>
      <c r="AG440" s="1" t="s">
        <v>1507</v>
      </c>
      <c r="AH440" s="1">
        <v>156</v>
      </c>
      <c r="AI440" s="1">
        <v>7</v>
      </c>
      <c r="AJ440" s="1">
        <v>7</v>
      </c>
      <c r="AK440" s="1">
        <v>22</v>
      </c>
      <c r="AL440" s="1">
        <v>27</v>
      </c>
      <c r="AM440" s="1" t="s">
        <v>1626</v>
      </c>
      <c r="AN440" s="1" t="s">
        <v>1627</v>
      </c>
      <c r="AO440" s="1" t="s">
        <v>1628</v>
      </c>
      <c r="AP440" s="1" t="s">
        <v>1629</v>
      </c>
      <c r="AQ440" s="1" t="s">
        <v>1507</v>
      </c>
      <c r="AR440" s="1" t="s">
        <v>1507</v>
      </c>
      <c r="AS440" s="1" t="s">
        <v>1625</v>
      </c>
      <c r="AT440" s="1" t="s">
        <v>1630</v>
      </c>
      <c r="AU440" s="1" t="s">
        <v>1507</v>
      </c>
      <c r="AV440" s="1">
        <v>2023</v>
      </c>
      <c r="AW440" s="1">
        <v>11</v>
      </c>
      <c r="AX440" s="1" t="s">
        <v>1507</v>
      </c>
      <c r="AY440" s="1" t="s">
        <v>1507</v>
      </c>
      <c r="AZ440" s="1" t="s">
        <v>1507</v>
      </c>
      <c r="BA440" s="1" t="s">
        <v>1507</v>
      </c>
      <c r="BB440" s="1" t="s">
        <v>1507</v>
      </c>
      <c r="BC440" s="1">
        <v>61600</v>
      </c>
      <c r="BD440" s="1">
        <v>61620</v>
      </c>
      <c r="BE440" s="1" t="s">
        <v>1507</v>
      </c>
      <c r="BF440" s="1" t="s">
        <v>15322</v>
      </c>
      <c r="BG440" s="1" t="str">
        <f>HYPERLINK("http://dx.doi.org/10.1109/ACCESS.2023.3285596","http://dx.doi.org/10.1109/ACCESS.2023.3285596")</f>
        <v>http://dx.doi.org/10.1109/ACCESS.2023.3285596</v>
      </c>
      <c r="BH440" s="1" t="s">
        <v>1507</v>
      </c>
      <c r="BI440" s="1" t="s">
        <v>1507</v>
      </c>
      <c r="BJ440" s="1">
        <v>21</v>
      </c>
      <c r="BK440" s="1" t="s">
        <v>1631</v>
      </c>
      <c r="BL440" s="1" t="s">
        <v>1573</v>
      </c>
      <c r="BM440" s="1" t="s">
        <v>1632</v>
      </c>
      <c r="BN440" s="1" t="s">
        <v>15323</v>
      </c>
      <c r="BO440" s="1" t="s">
        <v>1507</v>
      </c>
      <c r="BP440" s="1" t="s">
        <v>1553</v>
      </c>
      <c r="BQ440" s="1" t="s">
        <v>1507</v>
      </c>
      <c r="BR440" s="1" t="s">
        <v>1507</v>
      </c>
      <c r="BS440" s="1" t="s">
        <v>13744</v>
      </c>
      <c r="BT440" s="1" t="s">
        <v>15324</v>
      </c>
      <c r="BU440" s="1" t="str">
        <f>HYPERLINK("https%3A%2F%2Fwww.webofscience.com%2Fwos%2Fwoscc%2Ffull-record%2FWOS:001020255700001","View Full Record in Web of Science")</f>
        <v>View Full Record in Web of Science</v>
      </c>
    </row>
    <row r="441" spans="1:73" x14ac:dyDescent="0.25">
      <c r="A441" s="1">
        <v>440</v>
      </c>
      <c r="B441" s="1" t="s">
        <v>1506</v>
      </c>
      <c r="C441" s="1" t="s">
        <v>4761</v>
      </c>
      <c r="D441" s="1" t="s">
        <v>1507</v>
      </c>
      <c r="E441" s="1" t="s">
        <v>1507</v>
      </c>
      <c r="F441" s="1" t="s">
        <v>1507</v>
      </c>
      <c r="G441" s="1" t="s">
        <v>4762</v>
      </c>
      <c r="H441" s="1" t="s">
        <v>1507</v>
      </c>
      <c r="I441" s="1" t="s">
        <v>1507</v>
      </c>
      <c r="J441" s="1" t="s">
        <v>4763</v>
      </c>
      <c r="K441" s="1" t="s">
        <v>4595</v>
      </c>
      <c r="L441" s="1" t="s">
        <v>1507</v>
      </c>
      <c r="M441" s="1" t="s">
        <v>1507</v>
      </c>
      <c r="N441" s="1" t="s">
        <v>42</v>
      </c>
      <c r="O441" s="1" t="s">
        <v>56</v>
      </c>
      <c r="P441" s="1" t="s">
        <v>1507</v>
      </c>
      <c r="Q441" s="1" t="s">
        <v>1507</v>
      </c>
      <c r="R441" s="1" t="s">
        <v>1507</v>
      </c>
      <c r="S441" s="1" t="s">
        <v>1507</v>
      </c>
      <c r="T441" s="1" t="s">
        <v>1507</v>
      </c>
      <c r="U441" s="1" t="s">
        <v>1507</v>
      </c>
      <c r="V441" s="1" t="s">
        <v>1507</v>
      </c>
      <c r="W441" s="1" t="s">
        <v>4764</v>
      </c>
      <c r="X441" s="1" t="s">
        <v>4765</v>
      </c>
      <c r="Y441" s="1" t="s">
        <v>4766</v>
      </c>
      <c r="Z441" s="1" t="s">
        <v>4767</v>
      </c>
      <c r="AA441" s="1" t="s">
        <v>4768</v>
      </c>
      <c r="AB441" s="1" t="s">
        <v>1507</v>
      </c>
      <c r="AC441" s="1" t="s">
        <v>14684</v>
      </c>
      <c r="AD441" s="1" t="s">
        <v>1507</v>
      </c>
      <c r="AE441" s="1" t="s">
        <v>1507</v>
      </c>
      <c r="AF441" s="1" t="s">
        <v>1507</v>
      </c>
      <c r="AG441" s="1" t="s">
        <v>1507</v>
      </c>
      <c r="AH441" s="1">
        <v>15</v>
      </c>
      <c r="AI441" s="1">
        <v>33</v>
      </c>
      <c r="AJ441" s="1">
        <v>33</v>
      </c>
      <c r="AK441" s="1">
        <v>11</v>
      </c>
      <c r="AL441" s="1">
        <v>17</v>
      </c>
      <c r="AM441" s="1" t="s">
        <v>4605</v>
      </c>
      <c r="AN441" s="1" t="s">
        <v>4606</v>
      </c>
      <c r="AO441" s="1" t="s">
        <v>4607</v>
      </c>
      <c r="AP441" s="1" t="s">
        <v>4608</v>
      </c>
      <c r="AQ441" s="1" t="s">
        <v>1507</v>
      </c>
      <c r="AR441" s="1" t="s">
        <v>1507</v>
      </c>
      <c r="AS441" s="1" t="s">
        <v>4595</v>
      </c>
      <c r="AT441" s="1" t="s">
        <v>366</v>
      </c>
      <c r="AU441" s="1" t="s">
        <v>4721</v>
      </c>
      <c r="AV441" s="1">
        <v>2023</v>
      </c>
      <c r="AW441" s="1">
        <v>307</v>
      </c>
      <c r="AX441" s="1">
        <v>5</v>
      </c>
      <c r="AY441" s="1" t="s">
        <v>1507</v>
      </c>
      <c r="AZ441" s="1" t="s">
        <v>1507</v>
      </c>
      <c r="BA441" s="1" t="s">
        <v>1507</v>
      </c>
      <c r="BB441" s="1" t="s">
        <v>1507</v>
      </c>
      <c r="BC441" s="1" t="s">
        <v>1507</v>
      </c>
      <c r="BD441" s="1" t="s">
        <v>1507</v>
      </c>
      <c r="BE441" s="1" t="s">
        <v>1507</v>
      </c>
      <c r="BF441" s="1" t="s">
        <v>1507</v>
      </c>
      <c r="BG441" s="1" t="s">
        <v>1507</v>
      </c>
      <c r="BH441" s="1" t="s">
        <v>1507</v>
      </c>
      <c r="BI441" s="1" t="s">
        <v>1507</v>
      </c>
      <c r="BJ441" s="1">
        <v>288</v>
      </c>
      <c r="BK441" s="1" t="s">
        <v>1653</v>
      </c>
      <c r="BL441" s="1" t="s">
        <v>1573</v>
      </c>
      <c r="BM441" s="1" t="s">
        <v>1653</v>
      </c>
      <c r="BN441" s="1" t="s">
        <v>4769</v>
      </c>
      <c r="BO441" s="1">
        <v>37310252</v>
      </c>
      <c r="BP441" s="1" t="s">
        <v>1507</v>
      </c>
      <c r="BQ441" s="1" t="s">
        <v>1507</v>
      </c>
      <c r="BR441" s="1" t="s">
        <v>1507</v>
      </c>
      <c r="BS441" s="1" t="s">
        <v>13744</v>
      </c>
      <c r="BT441" s="1" t="s">
        <v>4770</v>
      </c>
      <c r="BU441" s="1" t="str">
        <f>HYPERLINK("https%3A%2F%2Fwww.webofscience.com%2Fwos%2Fwoscc%2Ffull-record%2FWOS:001022483100018","View Full Record in Web of Science")</f>
        <v>View Full Record in Web of Science</v>
      </c>
    </row>
    <row r="442" spans="1:73" x14ac:dyDescent="0.25">
      <c r="A442" s="1">
        <v>441</v>
      </c>
      <c r="B442" s="1" t="s">
        <v>1506</v>
      </c>
      <c r="C442" s="1" t="s">
        <v>14711</v>
      </c>
      <c r="D442" s="1" t="s">
        <v>1507</v>
      </c>
      <c r="E442" s="1" t="s">
        <v>1507</v>
      </c>
      <c r="F442" s="1" t="s">
        <v>1507</v>
      </c>
      <c r="G442" s="1" t="s">
        <v>14712</v>
      </c>
      <c r="H442" s="1" t="s">
        <v>1507</v>
      </c>
      <c r="I442" s="1" t="s">
        <v>14713</v>
      </c>
      <c r="J442" s="1" t="s">
        <v>13604</v>
      </c>
      <c r="K442" s="1" t="s">
        <v>14714</v>
      </c>
      <c r="L442" s="1" t="s">
        <v>1507</v>
      </c>
      <c r="M442" s="1" t="s">
        <v>1507</v>
      </c>
      <c r="N442" s="1" t="s">
        <v>42</v>
      </c>
      <c r="O442" s="1" t="s">
        <v>13950</v>
      </c>
      <c r="P442" s="1" t="s">
        <v>1507</v>
      </c>
      <c r="Q442" s="1" t="s">
        <v>1507</v>
      </c>
      <c r="R442" s="1" t="s">
        <v>1507</v>
      </c>
      <c r="S442" s="1" t="s">
        <v>1507</v>
      </c>
      <c r="T442" s="1" t="s">
        <v>1507</v>
      </c>
      <c r="U442" s="1" t="s">
        <v>1507</v>
      </c>
      <c r="V442" s="1" t="s">
        <v>1507</v>
      </c>
      <c r="W442" s="1" t="s">
        <v>1507</v>
      </c>
      <c r="X442" s="1" t="s">
        <v>14715</v>
      </c>
      <c r="Y442" s="1" t="s">
        <v>14716</v>
      </c>
      <c r="Z442" s="1" t="s">
        <v>14717</v>
      </c>
      <c r="AA442" s="1" t="s">
        <v>14718</v>
      </c>
      <c r="AB442" s="1" t="s">
        <v>14719</v>
      </c>
      <c r="AC442" s="1" t="s">
        <v>14720</v>
      </c>
      <c r="AD442" s="1" t="s">
        <v>14721</v>
      </c>
      <c r="AE442" s="1" t="s">
        <v>14722</v>
      </c>
      <c r="AF442" s="1" t="s">
        <v>13596</v>
      </c>
      <c r="AG442" s="1" t="s">
        <v>1507</v>
      </c>
      <c r="AH442" s="1">
        <v>12</v>
      </c>
      <c r="AI442" s="1">
        <v>18</v>
      </c>
      <c r="AJ442" s="1">
        <v>18</v>
      </c>
      <c r="AK442" s="1">
        <v>6</v>
      </c>
      <c r="AL442" s="1">
        <v>6</v>
      </c>
      <c r="AM442" s="1" t="s">
        <v>1601</v>
      </c>
      <c r="AN442" s="1" t="s">
        <v>1551</v>
      </c>
      <c r="AO442" s="1" t="s">
        <v>1602</v>
      </c>
      <c r="AP442" s="1" t="s">
        <v>14723</v>
      </c>
      <c r="AQ442" s="1" t="s">
        <v>14724</v>
      </c>
      <c r="AR442" s="1" t="s">
        <v>1507</v>
      </c>
      <c r="AS442" s="1" t="s">
        <v>14714</v>
      </c>
      <c r="AT442" s="1" t="s">
        <v>13590</v>
      </c>
      <c r="AU442" s="1" t="s">
        <v>2191</v>
      </c>
      <c r="AV442" s="1">
        <v>2023</v>
      </c>
      <c r="AW442" s="1">
        <v>37</v>
      </c>
      <c r="AX442" s="1">
        <v>17</v>
      </c>
      <c r="AY442" s="1" t="s">
        <v>1507</v>
      </c>
      <c r="AZ442" s="1" t="s">
        <v>1507</v>
      </c>
      <c r="BA442" s="1" t="s">
        <v>1507</v>
      </c>
      <c r="BB442" s="1" t="s">
        <v>1507</v>
      </c>
      <c r="BC442" s="1">
        <v>3530</v>
      </c>
      <c r="BD442" s="1">
        <v>3533</v>
      </c>
      <c r="BE442" s="1" t="s">
        <v>1507</v>
      </c>
      <c r="BF442" s="1" t="s">
        <v>13602</v>
      </c>
      <c r="BG442" s="1" t="str">
        <f>HYPERLINK("http://dx.doi.org/10.1038/s41433-023-02563-3","http://dx.doi.org/10.1038/s41433-023-02563-3")</f>
        <v>http://dx.doi.org/10.1038/s41433-023-02563-3</v>
      </c>
      <c r="BH442" s="1" t="s">
        <v>1507</v>
      </c>
      <c r="BI442" s="1" t="s">
        <v>4832</v>
      </c>
      <c r="BJ442" s="1">
        <v>4</v>
      </c>
      <c r="BK442" s="1" t="s">
        <v>2739</v>
      </c>
      <c r="BL442" s="1" t="s">
        <v>1573</v>
      </c>
      <c r="BM442" s="1" t="s">
        <v>2739</v>
      </c>
      <c r="BN442" s="1" t="s">
        <v>14725</v>
      </c>
      <c r="BO442" s="1">
        <v>37161074</v>
      </c>
      <c r="BP442" s="1" t="s">
        <v>4214</v>
      </c>
      <c r="BQ442" s="1" t="s">
        <v>1507</v>
      </c>
      <c r="BR442" s="1" t="s">
        <v>1507</v>
      </c>
      <c r="BS442" s="1" t="s">
        <v>13744</v>
      </c>
      <c r="BT442" s="1" t="s">
        <v>14726</v>
      </c>
      <c r="BU442" s="1" t="str">
        <f>HYPERLINK("https%3A%2F%2Fwww.webofscience.com%2Fwos%2Fwoscc%2Ffull-record%2FWOS:000984757500001","View Full Record in Web of Science")</f>
        <v>View Full Record in Web of Science</v>
      </c>
    </row>
    <row r="443" spans="1:73" x14ac:dyDescent="0.25">
      <c r="A443" s="1">
        <v>442</v>
      </c>
      <c r="B443" s="1" t="s">
        <v>1506</v>
      </c>
      <c r="C443" s="1" t="s">
        <v>2930</v>
      </c>
      <c r="D443" s="1" t="s">
        <v>1507</v>
      </c>
      <c r="E443" s="1" t="s">
        <v>1507</v>
      </c>
      <c r="F443" s="1" t="s">
        <v>1507</v>
      </c>
      <c r="G443" s="1" t="s">
        <v>2931</v>
      </c>
      <c r="H443" s="1" t="s">
        <v>1507</v>
      </c>
      <c r="I443" s="1" t="s">
        <v>1507</v>
      </c>
      <c r="J443" s="1" t="s">
        <v>2932</v>
      </c>
      <c r="K443" s="1" t="s">
        <v>2874</v>
      </c>
      <c r="L443" s="1" t="s">
        <v>1507</v>
      </c>
      <c r="M443" s="1" t="s">
        <v>1507</v>
      </c>
      <c r="N443" s="1" t="s">
        <v>42</v>
      </c>
      <c r="O443" s="1" t="s">
        <v>56</v>
      </c>
      <c r="P443" s="1" t="s">
        <v>1507</v>
      </c>
      <c r="Q443" s="1" t="s">
        <v>1507</v>
      </c>
      <c r="R443" s="1" t="s">
        <v>1507</v>
      </c>
      <c r="S443" s="1" t="s">
        <v>1507</v>
      </c>
      <c r="T443" s="1" t="s">
        <v>1507</v>
      </c>
      <c r="U443" s="1" t="s">
        <v>2933</v>
      </c>
      <c r="V443" s="1" t="s">
        <v>2934</v>
      </c>
      <c r="W443" s="1" t="s">
        <v>2935</v>
      </c>
      <c r="X443" s="1" t="s">
        <v>2936</v>
      </c>
      <c r="Y443" s="1" t="s">
        <v>2937</v>
      </c>
      <c r="Z443" s="1" t="s">
        <v>2938</v>
      </c>
      <c r="AA443" s="1" t="s">
        <v>2939</v>
      </c>
      <c r="AB443" s="1" t="s">
        <v>1507</v>
      </c>
      <c r="AC443" s="1" t="s">
        <v>14224</v>
      </c>
      <c r="AD443" s="1" t="s">
        <v>2940</v>
      </c>
      <c r="AE443" s="1" t="s">
        <v>2941</v>
      </c>
      <c r="AF443" s="1" t="s">
        <v>2942</v>
      </c>
      <c r="AG443" s="1" t="s">
        <v>1507</v>
      </c>
      <c r="AH443" s="1">
        <v>34</v>
      </c>
      <c r="AI443" s="1">
        <v>19</v>
      </c>
      <c r="AJ443" s="1">
        <v>19</v>
      </c>
      <c r="AK443" s="1">
        <v>14</v>
      </c>
      <c r="AL443" s="1">
        <v>21</v>
      </c>
      <c r="AM443" s="1" t="s">
        <v>2883</v>
      </c>
      <c r="AN443" s="1" t="s">
        <v>1512</v>
      </c>
      <c r="AO443" s="1" t="s">
        <v>2884</v>
      </c>
      <c r="AP443" s="1" t="s">
        <v>2885</v>
      </c>
      <c r="AQ443" s="1" t="s">
        <v>2886</v>
      </c>
      <c r="AR443" s="1" t="s">
        <v>1507</v>
      </c>
      <c r="AS443" s="1" t="s">
        <v>2887</v>
      </c>
      <c r="AT443" s="1" t="s">
        <v>2888</v>
      </c>
      <c r="AU443" s="1" t="s">
        <v>2889</v>
      </c>
      <c r="AV443" s="1">
        <v>2023</v>
      </c>
      <c r="AW443" s="1">
        <v>20</v>
      </c>
      <c r="AX443" s="1">
        <v>10</v>
      </c>
      <c r="AY443" s="1" t="s">
        <v>1507</v>
      </c>
      <c r="AZ443" s="1" t="s">
        <v>1507</v>
      </c>
      <c r="BA443" s="1" t="s">
        <v>1507</v>
      </c>
      <c r="BB443" s="1" t="s">
        <v>1507</v>
      </c>
      <c r="BC443" s="1">
        <v>990</v>
      </c>
      <c r="BD443" s="1">
        <v>997</v>
      </c>
      <c r="BE443" s="1" t="s">
        <v>1507</v>
      </c>
      <c r="BF443" s="1" t="s">
        <v>2943</v>
      </c>
      <c r="BG443" s="1" t="str">
        <f>HYPERLINK("http://dx.doi.org/10.1016/j.jacr.2023.05.003","http://dx.doi.org/10.1016/j.jacr.2023.05.003")</f>
        <v>http://dx.doi.org/10.1016/j.jacr.2023.05.003</v>
      </c>
      <c r="BH443" s="1" t="s">
        <v>1507</v>
      </c>
      <c r="BI443" s="1" t="s">
        <v>2891</v>
      </c>
      <c r="BJ443" s="1">
        <v>8</v>
      </c>
      <c r="BK443" s="1" t="s">
        <v>1653</v>
      </c>
      <c r="BL443" s="1" t="s">
        <v>1573</v>
      </c>
      <c r="BM443" s="1" t="s">
        <v>1653</v>
      </c>
      <c r="BN443" s="1" t="s">
        <v>2944</v>
      </c>
      <c r="BO443" s="1">
        <v>37356806</v>
      </c>
      <c r="BP443" s="1" t="s">
        <v>5957</v>
      </c>
      <c r="BQ443" s="1" t="s">
        <v>1507</v>
      </c>
      <c r="BR443" s="1" t="s">
        <v>1507</v>
      </c>
      <c r="BS443" s="1" t="s">
        <v>13744</v>
      </c>
      <c r="BT443" s="1" t="s">
        <v>2945</v>
      </c>
      <c r="BU443" s="1" t="str">
        <f>HYPERLINK("https%3A%2F%2Fwww.webofscience.com%2Fwos%2Fwoscc%2Ffull-record%2FWOS:001101364500001","View Full Record in Web of Science")</f>
        <v>View Full Record in Web of Science</v>
      </c>
    </row>
    <row r="444" spans="1:73" x14ac:dyDescent="0.25">
      <c r="A444" s="1">
        <v>443</v>
      </c>
      <c r="B444" s="1" t="s">
        <v>1506</v>
      </c>
      <c r="C444" s="1" t="s">
        <v>4593</v>
      </c>
      <c r="D444" s="1" t="s">
        <v>1507</v>
      </c>
      <c r="E444" s="1" t="s">
        <v>1507</v>
      </c>
      <c r="F444" s="1" t="s">
        <v>1507</v>
      </c>
      <c r="G444" s="1" t="s">
        <v>4594</v>
      </c>
      <c r="H444" s="1" t="s">
        <v>1507</v>
      </c>
      <c r="I444" s="1" t="s">
        <v>1507</v>
      </c>
      <c r="J444" s="1" t="s">
        <v>365</v>
      </c>
      <c r="K444" s="1" t="s">
        <v>4595</v>
      </c>
      <c r="L444" s="1" t="s">
        <v>1507</v>
      </c>
      <c r="M444" s="1" t="s">
        <v>1507</v>
      </c>
      <c r="N444" s="1" t="s">
        <v>42</v>
      </c>
      <c r="O444" s="1" t="s">
        <v>56</v>
      </c>
      <c r="P444" s="1" t="s">
        <v>1507</v>
      </c>
      <c r="Q444" s="1" t="s">
        <v>1507</v>
      </c>
      <c r="R444" s="1" t="s">
        <v>1507</v>
      </c>
      <c r="S444" s="1" t="s">
        <v>1507</v>
      </c>
      <c r="T444" s="1" t="s">
        <v>1507</v>
      </c>
      <c r="U444" s="1" t="s">
        <v>1507</v>
      </c>
      <c r="V444" s="1" t="s">
        <v>4596</v>
      </c>
      <c r="W444" s="1" t="s">
        <v>4597</v>
      </c>
      <c r="X444" s="1" t="s">
        <v>4598</v>
      </c>
      <c r="Y444" s="1" t="s">
        <v>4599</v>
      </c>
      <c r="Z444" s="1" t="s">
        <v>4600</v>
      </c>
      <c r="AA444" s="1" t="s">
        <v>4601</v>
      </c>
      <c r="AB444" s="1" t="s">
        <v>4602</v>
      </c>
      <c r="AC444" s="1" t="s">
        <v>14652</v>
      </c>
      <c r="AD444" s="1" t="s">
        <v>4603</v>
      </c>
      <c r="AE444" s="1" t="s">
        <v>4603</v>
      </c>
      <c r="AF444" s="1" t="s">
        <v>4604</v>
      </c>
      <c r="AG444" s="1" t="s">
        <v>1507</v>
      </c>
      <c r="AH444" s="1">
        <v>23</v>
      </c>
      <c r="AI444" s="1">
        <v>10</v>
      </c>
      <c r="AJ444" s="1">
        <v>10</v>
      </c>
      <c r="AK444" s="1">
        <v>9</v>
      </c>
      <c r="AL444" s="1">
        <v>12</v>
      </c>
      <c r="AM444" s="1" t="s">
        <v>4605</v>
      </c>
      <c r="AN444" s="1" t="s">
        <v>4606</v>
      </c>
      <c r="AO444" s="1" t="s">
        <v>4607</v>
      </c>
      <c r="AP444" s="1" t="s">
        <v>4608</v>
      </c>
      <c r="AQ444" s="1" t="s">
        <v>1507</v>
      </c>
      <c r="AR444" s="1" t="s">
        <v>1507</v>
      </c>
      <c r="AS444" s="1" t="s">
        <v>4595</v>
      </c>
      <c r="AT444" s="1" t="s">
        <v>366</v>
      </c>
      <c r="AU444" s="1" t="s">
        <v>4556</v>
      </c>
      <c r="AV444" s="1">
        <v>2023</v>
      </c>
      <c r="AW444" s="1">
        <v>308</v>
      </c>
      <c r="AX444" s="1">
        <v>1</v>
      </c>
      <c r="AY444" s="1" t="s">
        <v>1507</v>
      </c>
      <c r="AZ444" s="1" t="s">
        <v>1507</v>
      </c>
      <c r="BA444" s="1" t="s">
        <v>1507</v>
      </c>
      <c r="BB444" s="1" t="s">
        <v>1507</v>
      </c>
      <c r="BC444" s="1" t="s">
        <v>1507</v>
      </c>
      <c r="BD444" s="1" t="s">
        <v>1507</v>
      </c>
      <c r="BE444" s="1" t="s">
        <v>367</v>
      </c>
      <c r="BF444" s="1" t="s">
        <v>368</v>
      </c>
      <c r="BG444" s="1" t="str">
        <f>HYPERLINK("http://dx.doi.org/10.1148/radiol.230970","http://dx.doi.org/10.1148/radiol.230970")</f>
        <v>http://dx.doi.org/10.1148/radiol.230970</v>
      </c>
      <c r="BH444" s="1" t="s">
        <v>1507</v>
      </c>
      <c r="BI444" s="1" t="s">
        <v>1507</v>
      </c>
      <c r="BJ444" s="1">
        <v>8</v>
      </c>
      <c r="BK444" s="1" t="s">
        <v>1653</v>
      </c>
      <c r="BL444" s="1" t="s">
        <v>1573</v>
      </c>
      <c r="BM444" s="1" t="s">
        <v>1653</v>
      </c>
      <c r="BN444" s="1" t="s">
        <v>4609</v>
      </c>
      <c r="BO444" s="1">
        <v>37489981</v>
      </c>
      <c r="BP444" s="1" t="s">
        <v>1507</v>
      </c>
      <c r="BQ444" s="1" t="s">
        <v>1507</v>
      </c>
      <c r="BR444" s="1" t="s">
        <v>1507</v>
      </c>
      <c r="BS444" s="1" t="s">
        <v>13744</v>
      </c>
      <c r="BT444" s="1" t="s">
        <v>4610</v>
      </c>
      <c r="BU444" s="1" t="str">
        <f>HYPERLINK("https%3A%2F%2Fwww.webofscience.com%2Fwos%2Fwoscc%2Ffull-record%2FWOS:001068217100029","View Full Record in Web of Science")</f>
        <v>View Full Record in Web of Science</v>
      </c>
    </row>
    <row r="445" spans="1:73" x14ac:dyDescent="0.25">
      <c r="A445" s="1">
        <v>444</v>
      </c>
      <c r="B445" s="1" t="s">
        <v>1506</v>
      </c>
      <c r="C445" s="1" t="s">
        <v>6822</v>
      </c>
      <c r="D445" s="1" t="s">
        <v>1507</v>
      </c>
      <c r="E445" s="1" t="s">
        <v>1507</v>
      </c>
      <c r="F445" s="1" t="s">
        <v>1507</v>
      </c>
      <c r="G445" s="1" t="s">
        <v>6823</v>
      </c>
      <c r="H445" s="1" t="s">
        <v>1507</v>
      </c>
      <c r="I445" s="1" t="s">
        <v>1507</v>
      </c>
      <c r="J445" s="1" t="s">
        <v>6824</v>
      </c>
      <c r="K445" s="1" t="s">
        <v>6825</v>
      </c>
      <c r="L445" s="1" t="s">
        <v>1507</v>
      </c>
      <c r="M445" s="1" t="s">
        <v>1507</v>
      </c>
      <c r="N445" s="1" t="s">
        <v>42</v>
      </c>
      <c r="O445" s="1" t="s">
        <v>56</v>
      </c>
      <c r="P445" s="1" t="s">
        <v>1507</v>
      </c>
      <c r="Q445" s="1" t="s">
        <v>1507</v>
      </c>
      <c r="R445" s="1" t="s">
        <v>1507</v>
      </c>
      <c r="S445" s="1" t="s">
        <v>1507</v>
      </c>
      <c r="T445" s="1" t="s">
        <v>1507</v>
      </c>
      <c r="U445" s="1" t="s">
        <v>6826</v>
      </c>
      <c r="V445" s="1" t="s">
        <v>6827</v>
      </c>
      <c r="W445" s="1" t="s">
        <v>6828</v>
      </c>
      <c r="X445" s="1" t="s">
        <v>6829</v>
      </c>
      <c r="Y445" s="1" t="s">
        <v>6830</v>
      </c>
      <c r="Z445" s="1" t="s">
        <v>6831</v>
      </c>
      <c r="AA445" s="1" t="s">
        <v>6832</v>
      </c>
      <c r="AB445" s="1" t="s">
        <v>15547</v>
      </c>
      <c r="AC445" s="1" t="s">
        <v>6833</v>
      </c>
      <c r="AD445" s="1" t="s">
        <v>6834</v>
      </c>
      <c r="AE445" s="1" t="s">
        <v>6835</v>
      </c>
      <c r="AF445" s="1" t="s">
        <v>6836</v>
      </c>
      <c r="AG445" s="1" t="s">
        <v>1507</v>
      </c>
      <c r="AH445" s="1">
        <v>32</v>
      </c>
      <c r="AI445" s="1">
        <v>0</v>
      </c>
      <c r="AJ445" s="1">
        <v>0</v>
      </c>
      <c r="AK445" s="1">
        <v>4</v>
      </c>
      <c r="AL445" s="1">
        <v>12</v>
      </c>
      <c r="AM445" s="1" t="s">
        <v>1725</v>
      </c>
      <c r="AN445" s="1" t="s">
        <v>1551</v>
      </c>
      <c r="AO445" s="1" t="s">
        <v>1726</v>
      </c>
      <c r="AP445" s="1" t="s">
        <v>1507</v>
      </c>
      <c r="AQ445" s="1" t="s">
        <v>6837</v>
      </c>
      <c r="AR445" s="1" t="s">
        <v>1507</v>
      </c>
      <c r="AS445" s="1" t="s">
        <v>6825</v>
      </c>
      <c r="AT445" s="1" t="s">
        <v>6838</v>
      </c>
      <c r="AU445" s="1" t="s">
        <v>6839</v>
      </c>
      <c r="AV445" s="1">
        <v>2022</v>
      </c>
      <c r="AW445" s="1">
        <v>22</v>
      </c>
      <c r="AX445" s="1">
        <v>1</v>
      </c>
      <c r="AY445" s="1" t="s">
        <v>1507</v>
      </c>
      <c r="AZ445" s="1" t="s">
        <v>1507</v>
      </c>
      <c r="BA445" s="1" t="s">
        <v>1507</v>
      </c>
      <c r="BB445" s="1" t="s">
        <v>1507</v>
      </c>
      <c r="BC445" s="1" t="s">
        <v>1507</v>
      </c>
      <c r="BD445" s="1" t="s">
        <v>1507</v>
      </c>
      <c r="BE445" s="1">
        <v>2036</v>
      </c>
      <c r="BF445" s="1" t="s">
        <v>6840</v>
      </c>
      <c r="BG445" s="1" t="str">
        <f>HYPERLINK("http://dx.doi.org/10.1186/s12889-022-14444-7","http://dx.doi.org/10.1186/s12889-022-14444-7")</f>
        <v>http://dx.doi.org/10.1186/s12889-022-14444-7</v>
      </c>
      <c r="BH445" s="1" t="s">
        <v>1507</v>
      </c>
      <c r="BI445" s="1" t="s">
        <v>1507</v>
      </c>
      <c r="BJ445" s="1">
        <v>8</v>
      </c>
      <c r="BK445" s="1" t="s">
        <v>6841</v>
      </c>
      <c r="BL445" s="1" t="s">
        <v>1573</v>
      </c>
      <c r="BM445" s="1" t="s">
        <v>6841</v>
      </c>
      <c r="BN445" s="1" t="s">
        <v>6842</v>
      </c>
      <c r="BO445" s="1">
        <v>36344975</v>
      </c>
      <c r="BP445" s="1" t="s">
        <v>1674</v>
      </c>
      <c r="BQ445" s="1" t="s">
        <v>1507</v>
      </c>
      <c r="BR445" s="1" t="s">
        <v>1507</v>
      </c>
      <c r="BS445" s="1" t="s">
        <v>13744</v>
      </c>
      <c r="BT445" s="1" t="s">
        <v>6843</v>
      </c>
      <c r="BU445" s="1" t="str">
        <f>HYPERLINK("https%3A%2F%2Fwww.webofscience.com%2Fwos%2Fwoscc%2Ffull-record%2FWOS:000879774000001","View Full Record in Web of Science")</f>
        <v>View Full Record in Web of Science</v>
      </c>
    </row>
    <row r="446" spans="1:73" x14ac:dyDescent="0.25">
      <c r="A446" s="1">
        <v>445</v>
      </c>
      <c r="B446" s="1" t="s">
        <v>1506</v>
      </c>
      <c r="C446" s="1" t="s">
        <v>1935</v>
      </c>
      <c r="D446" s="1" t="s">
        <v>1507</v>
      </c>
      <c r="E446" s="1" t="s">
        <v>1507</v>
      </c>
      <c r="F446" s="1" t="s">
        <v>1507</v>
      </c>
      <c r="G446" s="1" t="s">
        <v>1936</v>
      </c>
      <c r="H446" s="1" t="s">
        <v>1507</v>
      </c>
      <c r="I446" s="1" t="s">
        <v>1507</v>
      </c>
      <c r="J446" s="1" t="s">
        <v>1937</v>
      </c>
      <c r="K446" s="1" t="s">
        <v>1938</v>
      </c>
      <c r="L446" s="1" t="s">
        <v>1507</v>
      </c>
      <c r="M446" s="1" t="s">
        <v>1507</v>
      </c>
      <c r="N446" s="1" t="s">
        <v>42</v>
      </c>
      <c r="O446" s="1" t="s">
        <v>56</v>
      </c>
      <c r="P446" s="1" t="s">
        <v>1507</v>
      </c>
      <c r="Q446" s="1" t="s">
        <v>1507</v>
      </c>
      <c r="R446" s="1" t="s">
        <v>1507</v>
      </c>
      <c r="S446" s="1" t="s">
        <v>1507</v>
      </c>
      <c r="T446" s="1" t="s">
        <v>1507</v>
      </c>
      <c r="U446" s="1" t="s">
        <v>1939</v>
      </c>
      <c r="V446" s="1" t="s">
        <v>1507</v>
      </c>
      <c r="W446" s="1" t="s">
        <v>1940</v>
      </c>
      <c r="X446" s="1" t="s">
        <v>1941</v>
      </c>
      <c r="Y446" s="1" t="s">
        <v>1942</v>
      </c>
      <c r="Z446" s="1" t="s">
        <v>1943</v>
      </c>
      <c r="AA446" s="1" t="s">
        <v>1944</v>
      </c>
      <c r="AB446" s="1" t="s">
        <v>13864</v>
      </c>
      <c r="AC446" s="1" t="s">
        <v>1945</v>
      </c>
      <c r="AD446" s="1" t="s">
        <v>1507</v>
      </c>
      <c r="AE446" s="1" t="s">
        <v>1507</v>
      </c>
      <c r="AF446" s="1" t="s">
        <v>1507</v>
      </c>
      <c r="AG446" s="1" t="s">
        <v>1507</v>
      </c>
      <c r="AH446" s="1">
        <v>52</v>
      </c>
      <c r="AI446" s="1">
        <v>0</v>
      </c>
      <c r="AJ446" s="1">
        <v>0</v>
      </c>
      <c r="AK446" s="1">
        <v>16</v>
      </c>
      <c r="AL446" s="1">
        <v>16</v>
      </c>
      <c r="AM446" s="1" t="s">
        <v>1564</v>
      </c>
      <c r="AN446" s="1" t="s">
        <v>1565</v>
      </c>
      <c r="AO446" s="1" t="s">
        <v>1566</v>
      </c>
      <c r="AP446" s="1" t="s">
        <v>1507</v>
      </c>
      <c r="AQ446" s="1" t="s">
        <v>1946</v>
      </c>
      <c r="AR446" s="1" t="s">
        <v>1507</v>
      </c>
      <c r="AS446" s="1" t="s">
        <v>1947</v>
      </c>
      <c r="AT446" s="1" t="s">
        <v>626</v>
      </c>
      <c r="AU446" s="1" t="s">
        <v>1948</v>
      </c>
      <c r="AV446" s="1">
        <v>2023</v>
      </c>
      <c r="AW446" s="1">
        <v>10</v>
      </c>
      <c r="AX446" s="1" t="s">
        <v>1507</v>
      </c>
      <c r="AY446" s="1" t="s">
        <v>1507</v>
      </c>
      <c r="AZ446" s="1" t="s">
        <v>1507</v>
      </c>
      <c r="BA446" s="1" t="s">
        <v>1507</v>
      </c>
      <c r="BB446" s="1" t="s">
        <v>1507</v>
      </c>
      <c r="BC446" s="1" t="s">
        <v>1507</v>
      </c>
      <c r="BD446" s="1" t="s">
        <v>1507</v>
      </c>
      <c r="BE446" s="1">
        <v>1296615</v>
      </c>
      <c r="BF446" s="1" t="s">
        <v>619</v>
      </c>
      <c r="BG446" s="1" t="str">
        <f>HYPERLINK("http://dx.doi.org/10.3389/fmed.2023.1296615","http://dx.doi.org/10.3389/fmed.2023.1296615")</f>
        <v>http://dx.doi.org/10.3389/fmed.2023.1296615</v>
      </c>
      <c r="BH446" s="1" t="s">
        <v>1507</v>
      </c>
      <c r="BI446" s="1" t="s">
        <v>1507</v>
      </c>
      <c r="BJ446" s="1">
        <v>11</v>
      </c>
      <c r="BK446" s="1" t="s">
        <v>1949</v>
      </c>
      <c r="BL446" s="1" t="s">
        <v>1573</v>
      </c>
      <c r="BM446" s="1" t="s">
        <v>1950</v>
      </c>
      <c r="BN446" s="1" t="s">
        <v>1951</v>
      </c>
      <c r="BO446" s="1">
        <v>38155661</v>
      </c>
      <c r="BP446" s="1" t="s">
        <v>1952</v>
      </c>
      <c r="BQ446" s="1" t="s">
        <v>1507</v>
      </c>
      <c r="BR446" s="1" t="s">
        <v>1507</v>
      </c>
      <c r="BS446" s="1" t="s">
        <v>13744</v>
      </c>
      <c r="BT446" s="1" t="s">
        <v>1953</v>
      </c>
      <c r="BU446" s="1" t="str">
        <f>HYPERLINK("https%3A%2F%2Fwww.webofscience.com%2Fwos%2Fwoscc%2Ffull-record%2FWOS:001130296800001","View Full Record in Web of Science")</f>
        <v>View Full Record in Web of Science</v>
      </c>
    </row>
    <row r="447" spans="1:73" x14ac:dyDescent="0.25">
      <c r="A447" s="1">
        <v>446</v>
      </c>
      <c r="B447" s="1" t="s">
        <v>1506</v>
      </c>
      <c r="C447" s="1" t="s">
        <v>3649</v>
      </c>
      <c r="D447" s="1" t="s">
        <v>1507</v>
      </c>
      <c r="E447" s="1" t="s">
        <v>1507</v>
      </c>
      <c r="F447" s="1" t="s">
        <v>1507</v>
      </c>
      <c r="G447" s="1" t="s">
        <v>3650</v>
      </c>
      <c r="H447" s="1" t="s">
        <v>1507</v>
      </c>
      <c r="I447" s="1" t="s">
        <v>1507</v>
      </c>
      <c r="J447" s="1" t="s">
        <v>3651</v>
      </c>
      <c r="K447" s="1" t="s">
        <v>3652</v>
      </c>
      <c r="L447" s="1" t="s">
        <v>1507</v>
      </c>
      <c r="M447" s="1" t="s">
        <v>1507</v>
      </c>
      <c r="N447" s="1" t="s">
        <v>42</v>
      </c>
      <c r="O447" s="1" t="s">
        <v>56</v>
      </c>
      <c r="P447" s="1" t="s">
        <v>1507</v>
      </c>
      <c r="Q447" s="1" t="s">
        <v>1507</v>
      </c>
      <c r="R447" s="1" t="s">
        <v>1507</v>
      </c>
      <c r="S447" s="1" t="s">
        <v>1507</v>
      </c>
      <c r="T447" s="1" t="s">
        <v>1507</v>
      </c>
      <c r="U447" s="1" t="s">
        <v>3653</v>
      </c>
      <c r="V447" s="1" t="s">
        <v>1507</v>
      </c>
      <c r="W447" s="1" t="s">
        <v>3654</v>
      </c>
      <c r="X447" s="1" t="s">
        <v>3655</v>
      </c>
      <c r="Y447" s="1" t="s">
        <v>3656</v>
      </c>
      <c r="Z447" s="1" t="s">
        <v>3657</v>
      </c>
      <c r="AA447" s="1" t="s">
        <v>3658</v>
      </c>
      <c r="AB447" s="1" t="s">
        <v>14432</v>
      </c>
      <c r="AC447" s="1" t="s">
        <v>3659</v>
      </c>
      <c r="AD447" s="1" t="s">
        <v>3660</v>
      </c>
      <c r="AE447" s="1" t="s">
        <v>3660</v>
      </c>
      <c r="AF447" s="1" t="s">
        <v>3661</v>
      </c>
      <c r="AG447" s="1" t="s">
        <v>1507</v>
      </c>
      <c r="AH447" s="1">
        <v>10</v>
      </c>
      <c r="AI447" s="1">
        <v>0</v>
      </c>
      <c r="AJ447" s="1">
        <v>0</v>
      </c>
      <c r="AK447" s="1">
        <v>7</v>
      </c>
      <c r="AL447" s="1">
        <v>7</v>
      </c>
      <c r="AM447" s="1" t="s">
        <v>2733</v>
      </c>
      <c r="AN447" s="1" t="s">
        <v>1551</v>
      </c>
      <c r="AO447" s="1" t="s">
        <v>2734</v>
      </c>
      <c r="AP447" s="1" t="s">
        <v>1507</v>
      </c>
      <c r="AQ447" s="1" t="s">
        <v>3662</v>
      </c>
      <c r="AR447" s="1" t="s">
        <v>1507</v>
      </c>
      <c r="AS447" s="1" t="s">
        <v>3663</v>
      </c>
      <c r="AT447" s="1" t="s">
        <v>3664</v>
      </c>
      <c r="AU447" s="1" t="s">
        <v>2889</v>
      </c>
      <c r="AV447" s="1">
        <v>2023</v>
      </c>
      <c r="AW447" s="1">
        <v>30</v>
      </c>
      <c r="AX447" s="1">
        <v>1</v>
      </c>
      <c r="AY447" s="1" t="s">
        <v>1507</v>
      </c>
      <c r="AZ447" s="1" t="s">
        <v>1507</v>
      </c>
      <c r="BA447" s="1" t="s">
        <v>1507</v>
      </c>
      <c r="BB447" s="1" t="s">
        <v>1507</v>
      </c>
      <c r="BC447" s="1" t="s">
        <v>1507</v>
      </c>
      <c r="BD447" s="1" t="s">
        <v>1507</v>
      </c>
      <c r="BE447" s="1" t="s">
        <v>3665</v>
      </c>
      <c r="BF447" s="1" t="s">
        <v>3666</v>
      </c>
      <c r="BG447" s="1" t="str">
        <f>HYPERLINK("http://dx.doi.org/10.1136/bmjhci-2023-100830","http://dx.doi.org/10.1136/bmjhci-2023-100830")</f>
        <v>http://dx.doi.org/10.1136/bmjhci-2023-100830</v>
      </c>
      <c r="BH447" s="1" t="s">
        <v>1507</v>
      </c>
      <c r="BI447" s="1" t="s">
        <v>1507</v>
      </c>
      <c r="BJ447" s="1">
        <v>5</v>
      </c>
      <c r="BK447" s="1" t="s">
        <v>1585</v>
      </c>
      <c r="BL447" s="1" t="s">
        <v>1529</v>
      </c>
      <c r="BM447" s="1" t="s">
        <v>1585</v>
      </c>
      <c r="BN447" s="1" t="s">
        <v>3667</v>
      </c>
      <c r="BO447" s="1">
        <v>37827724</v>
      </c>
      <c r="BP447" s="1" t="s">
        <v>1952</v>
      </c>
      <c r="BQ447" s="1" t="s">
        <v>1507</v>
      </c>
      <c r="BR447" s="1" t="s">
        <v>1507</v>
      </c>
      <c r="BS447" s="1" t="s">
        <v>13744</v>
      </c>
      <c r="BT447" s="1" t="s">
        <v>3668</v>
      </c>
      <c r="BU447" s="1" t="str">
        <f>HYPERLINK("https%3A%2F%2Fwww.webofscience.com%2Fwos%2Fwoscc%2Ffull-record%2FWOS:001085193700002","View Full Record in Web of Science")</f>
        <v>View Full Record in Web of Science</v>
      </c>
    </row>
    <row r="448" spans="1:73" x14ac:dyDescent="0.25">
      <c r="A448" s="1">
        <v>447</v>
      </c>
      <c r="B448" s="1" t="s">
        <v>1506</v>
      </c>
      <c r="C448" s="1" t="s">
        <v>4651</v>
      </c>
      <c r="D448" s="1" t="s">
        <v>1507</v>
      </c>
      <c r="E448" s="1" t="s">
        <v>1507</v>
      </c>
      <c r="F448" s="1" t="s">
        <v>1507</v>
      </c>
      <c r="G448" s="1" t="s">
        <v>4652</v>
      </c>
      <c r="H448" s="1" t="s">
        <v>1507</v>
      </c>
      <c r="I448" s="1" t="s">
        <v>1507</v>
      </c>
      <c r="J448" s="1" t="s">
        <v>4653</v>
      </c>
      <c r="K448" s="1" t="s">
        <v>3083</v>
      </c>
      <c r="L448" s="1" t="s">
        <v>1507</v>
      </c>
      <c r="M448" s="1" t="s">
        <v>1507</v>
      </c>
      <c r="N448" s="1" t="s">
        <v>42</v>
      </c>
      <c r="O448" s="1" t="s">
        <v>56</v>
      </c>
      <c r="P448" s="1" t="s">
        <v>1507</v>
      </c>
      <c r="Q448" s="1" t="s">
        <v>1507</v>
      </c>
      <c r="R448" s="1" t="s">
        <v>1507</v>
      </c>
      <c r="S448" s="1" t="s">
        <v>1507</v>
      </c>
      <c r="T448" s="1" t="s">
        <v>1507</v>
      </c>
      <c r="U448" s="1" t="s">
        <v>4654</v>
      </c>
      <c r="V448" s="1" t="s">
        <v>1507</v>
      </c>
      <c r="W448" s="1" t="s">
        <v>4655</v>
      </c>
      <c r="X448" s="1" t="s">
        <v>4656</v>
      </c>
      <c r="Y448" s="1" t="s">
        <v>1507</v>
      </c>
      <c r="Z448" s="1" t="s">
        <v>4657</v>
      </c>
      <c r="AA448" s="1" t="s">
        <v>4658</v>
      </c>
      <c r="AB448" s="1" t="s">
        <v>1507</v>
      </c>
      <c r="AC448" s="1" t="s">
        <v>1507</v>
      </c>
      <c r="AD448" s="1" t="s">
        <v>1507</v>
      </c>
      <c r="AE448" s="1" t="s">
        <v>1507</v>
      </c>
      <c r="AF448" s="1" t="s">
        <v>1507</v>
      </c>
      <c r="AG448" s="1" t="s">
        <v>1507</v>
      </c>
      <c r="AH448" s="1">
        <v>8</v>
      </c>
      <c r="AI448" s="1">
        <v>0</v>
      </c>
      <c r="AJ448" s="1">
        <v>0</v>
      </c>
      <c r="AK448" s="1">
        <v>5</v>
      </c>
      <c r="AL448" s="1">
        <v>8</v>
      </c>
      <c r="AM448" s="1" t="s">
        <v>1601</v>
      </c>
      <c r="AN448" s="1" t="s">
        <v>1551</v>
      </c>
      <c r="AO448" s="1" t="s">
        <v>1602</v>
      </c>
      <c r="AP448" s="1" t="s">
        <v>1507</v>
      </c>
      <c r="AQ448" s="1" t="s">
        <v>3091</v>
      </c>
      <c r="AR448" s="1" t="s">
        <v>1507</v>
      </c>
      <c r="AS448" s="1" t="s">
        <v>3092</v>
      </c>
      <c r="AT448" s="1" t="s">
        <v>3093</v>
      </c>
      <c r="AU448" s="1" t="s">
        <v>4659</v>
      </c>
      <c r="AV448" s="1">
        <v>2023</v>
      </c>
      <c r="AW448" s="1">
        <v>15</v>
      </c>
      <c r="AX448" s="1">
        <v>6</v>
      </c>
      <c r="AY448" s="1" t="s">
        <v>1507</v>
      </c>
      <c r="AZ448" s="1" t="s">
        <v>1507</v>
      </c>
      <c r="BA448" s="1" t="s">
        <v>1507</v>
      </c>
      <c r="BB448" s="1" t="s">
        <v>1507</v>
      </c>
      <c r="BC448" s="1" t="s">
        <v>1507</v>
      </c>
      <c r="BD448" s="1" t="s">
        <v>1507</v>
      </c>
      <c r="BE448" s="1" t="s">
        <v>1507</v>
      </c>
      <c r="BF448" s="1" t="s">
        <v>4660</v>
      </c>
      <c r="BG448" s="1" t="str">
        <f>HYPERLINK("http://dx.doi.org/10.7759/cureus.40546","http://dx.doi.org/10.7759/cureus.40546")</f>
        <v>http://dx.doi.org/10.7759/cureus.40546</v>
      </c>
      <c r="BH448" s="1" t="s">
        <v>1507</v>
      </c>
      <c r="BI448" s="1" t="s">
        <v>1507</v>
      </c>
      <c r="BJ448" s="1">
        <v>8</v>
      </c>
      <c r="BK448" s="1" t="s">
        <v>1949</v>
      </c>
      <c r="BL448" s="1" t="s">
        <v>1529</v>
      </c>
      <c r="BM448" s="1" t="s">
        <v>1950</v>
      </c>
      <c r="BN448" s="1" t="s">
        <v>4661</v>
      </c>
      <c r="BO448" s="1">
        <v>37465809</v>
      </c>
      <c r="BP448" s="1" t="s">
        <v>1952</v>
      </c>
      <c r="BQ448" s="1" t="s">
        <v>1507</v>
      </c>
      <c r="BR448" s="1" t="s">
        <v>1507</v>
      </c>
      <c r="BS448" s="1" t="s">
        <v>13744</v>
      </c>
      <c r="BT448" s="1" t="s">
        <v>4662</v>
      </c>
      <c r="BU448" s="1" t="str">
        <f>HYPERLINK("https%3A%2F%2Fwww.webofscience.com%2Fwos%2Fwoscc%2Ffull-record%2FWOS:001035807800015","View Full Record in Web of Science")</f>
        <v>View Full Record in Web of Science</v>
      </c>
    </row>
    <row r="449" spans="1:73" x14ac:dyDescent="0.25">
      <c r="A449" s="1">
        <v>448</v>
      </c>
      <c r="B449" s="1" t="s">
        <v>1506</v>
      </c>
      <c r="C449" s="1" t="s">
        <v>3168</v>
      </c>
      <c r="D449" s="1" t="s">
        <v>1507</v>
      </c>
      <c r="E449" s="1" t="s">
        <v>1507</v>
      </c>
      <c r="F449" s="1" t="s">
        <v>1507</v>
      </c>
      <c r="G449" s="1" t="s">
        <v>3169</v>
      </c>
      <c r="H449" s="1" t="s">
        <v>1507</v>
      </c>
      <c r="I449" s="1" t="s">
        <v>1507</v>
      </c>
      <c r="J449" s="1" t="s">
        <v>3170</v>
      </c>
      <c r="K449" s="1" t="s">
        <v>3171</v>
      </c>
      <c r="L449" s="1" t="s">
        <v>1507</v>
      </c>
      <c r="M449" s="1" t="s">
        <v>1507</v>
      </c>
      <c r="N449" s="1" t="s">
        <v>42</v>
      </c>
      <c r="O449" s="1" t="s">
        <v>1509</v>
      </c>
      <c r="P449" s="1" t="s">
        <v>1507</v>
      </c>
      <c r="Q449" s="1" t="s">
        <v>1507</v>
      </c>
      <c r="R449" s="1" t="s">
        <v>1507</v>
      </c>
      <c r="S449" s="1" t="s">
        <v>1507</v>
      </c>
      <c r="T449" s="1" t="s">
        <v>1507</v>
      </c>
      <c r="U449" s="1" t="s">
        <v>3172</v>
      </c>
      <c r="V449" s="1" t="s">
        <v>3173</v>
      </c>
      <c r="W449" s="1" t="s">
        <v>3174</v>
      </c>
      <c r="X449" s="1" t="s">
        <v>3175</v>
      </c>
      <c r="Y449" s="1" t="s">
        <v>3176</v>
      </c>
      <c r="Z449" s="1" t="s">
        <v>3177</v>
      </c>
      <c r="AA449" s="1" t="s">
        <v>3178</v>
      </c>
      <c r="AB449" s="1" t="s">
        <v>1507</v>
      </c>
      <c r="AC449" s="1" t="s">
        <v>1507</v>
      </c>
      <c r="AD449" s="1" t="s">
        <v>3179</v>
      </c>
      <c r="AE449" s="1" t="s">
        <v>3179</v>
      </c>
      <c r="AF449" s="1" t="s">
        <v>3180</v>
      </c>
      <c r="AG449" s="1" t="s">
        <v>1507</v>
      </c>
      <c r="AH449" s="1">
        <v>53</v>
      </c>
      <c r="AI449" s="1">
        <v>2</v>
      </c>
      <c r="AJ449" s="1">
        <v>2</v>
      </c>
      <c r="AK449" s="1">
        <v>6</v>
      </c>
      <c r="AL449" s="1">
        <v>6</v>
      </c>
      <c r="AM449" s="1" t="s">
        <v>2073</v>
      </c>
      <c r="AN449" s="1" t="s">
        <v>2074</v>
      </c>
      <c r="AO449" s="1" t="s">
        <v>2075</v>
      </c>
      <c r="AP449" s="1" t="s">
        <v>3181</v>
      </c>
      <c r="AQ449" s="1" t="s">
        <v>3182</v>
      </c>
      <c r="AR449" s="1" t="s">
        <v>1507</v>
      </c>
      <c r="AS449" s="1" t="s">
        <v>3183</v>
      </c>
      <c r="AT449" s="1" t="s">
        <v>3184</v>
      </c>
      <c r="AU449" s="1" t="s">
        <v>3185</v>
      </c>
      <c r="AV449" s="1">
        <v>2023</v>
      </c>
      <c r="AW449" s="1" t="s">
        <v>1507</v>
      </c>
      <c r="AX449" s="1" t="s">
        <v>1507</v>
      </c>
      <c r="AY449" s="1" t="s">
        <v>1507</v>
      </c>
      <c r="AZ449" s="1" t="s">
        <v>1507</v>
      </c>
      <c r="BA449" s="1" t="s">
        <v>1507</v>
      </c>
      <c r="BB449" s="1" t="s">
        <v>1507</v>
      </c>
      <c r="BC449" s="1" t="s">
        <v>1507</v>
      </c>
      <c r="BD449" s="1" t="s">
        <v>1507</v>
      </c>
      <c r="BE449" s="1" t="s">
        <v>1507</v>
      </c>
      <c r="BF449" s="1" t="s">
        <v>3186</v>
      </c>
      <c r="BG449" s="1" t="str">
        <f>HYPERLINK("http://dx.doi.org/10.1177/00905917231200826","http://dx.doi.org/10.1177/00905917231200826")</f>
        <v>http://dx.doi.org/10.1177/00905917231200826</v>
      </c>
      <c r="BH449" s="1" t="s">
        <v>1507</v>
      </c>
      <c r="BI449" s="1" t="s">
        <v>2891</v>
      </c>
      <c r="BJ449" s="1">
        <v>33</v>
      </c>
      <c r="BK449" s="1" t="s">
        <v>3187</v>
      </c>
      <c r="BL449" s="1" t="s">
        <v>1518</v>
      </c>
      <c r="BM449" s="1" t="s">
        <v>1536</v>
      </c>
      <c r="BN449" s="1" t="s">
        <v>3188</v>
      </c>
      <c r="BO449" s="1" t="s">
        <v>1507</v>
      </c>
      <c r="BP449" s="1" t="s">
        <v>4214</v>
      </c>
      <c r="BQ449" s="1" t="s">
        <v>1507</v>
      </c>
      <c r="BR449" s="1" t="s">
        <v>1507</v>
      </c>
      <c r="BS449" s="1" t="s">
        <v>13744</v>
      </c>
      <c r="BT449" s="1" t="s">
        <v>3189</v>
      </c>
      <c r="BU449" s="1" t="str">
        <f>HYPERLINK("https%3A%2F%2Fwww.webofscience.com%2Fwos%2Fwoscc%2Ffull-record%2FWOS:001087029700001","View Full Record in Web of Science")</f>
        <v>View Full Record in Web of Science</v>
      </c>
    </row>
    <row r="450" spans="1:73" x14ac:dyDescent="0.25">
      <c r="A450" s="1">
        <v>449</v>
      </c>
      <c r="B450" s="1" t="s">
        <v>1506</v>
      </c>
      <c r="C450" s="1" t="s">
        <v>5412</v>
      </c>
      <c r="D450" s="1" t="s">
        <v>1507</v>
      </c>
      <c r="E450" s="1" t="s">
        <v>1507</v>
      </c>
      <c r="F450" s="1" t="s">
        <v>1507</v>
      </c>
      <c r="G450" s="1" t="s">
        <v>5413</v>
      </c>
      <c r="H450" s="1" t="s">
        <v>1507</v>
      </c>
      <c r="I450" s="1" t="s">
        <v>1507</v>
      </c>
      <c r="J450" s="1" t="s">
        <v>5414</v>
      </c>
      <c r="K450" s="1" t="s">
        <v>1999</v>
      </c>
      <c r="L450" s="1" t="s">
        <v>1507</v>
      </c>
      <c r="M450" s="1" t="s">
        <v>1507</v>
      </c>
      <c r="N450" s="1" t="s">
        <v>42</v>
      </c>
      <c r="O450" s="1" t="s">
        <v>56</v>
      </c>
      <c r="P450" s="1" t="s">
        <v>1507</v>
      </c>
      <c r="Q450" s="1" t="s">
        <v>1507</v>
      </c>
      <c r="R450" s="1" t="s">
        <v>1507</v>
      </c>
      <c r="S450" s="1" t="s">
        <v>1507</v>
      </c>
      <c r="T450" s="1" t="s">
        <v>1507</v>
      </c>
      <c r="U450" s="1" t="s">
        <v>1507</v>
      </c>
      <c r="V450" s="1" t="s">
        <v>1618</v>
      </c>
      <c r="W450" s="1" t="s">
        <v>5415</v>
      </c>
      <c r="X450" s="1" t="s">
        <v>5416</v>
      </c>
      <c r="Y450" s="1" t="s">
        <v>5417</v>
      </c>
      <c r="Z450" s="1" t="s">
        <v>5418</v>
      </c>
      <c r="AA450" s="1" t="s">
        <v>5419</v>
      </c>
      <c r="AB450" s="1" t="s">
        <v>5420</v>
      </c>
      <c r="AC450" s="1" t="s">
        <v>14807</v>
      </c>
      <c r="AD450" s="1" t="s">
        <v>5421</v>
      </c>
      <c r="AE450" s="1" t="s">
        <v>5422</v>
      </c>
      <c r="AF450" s="1" t="s">
        <v>5423</v>
      </c>
      <c r="AG450" s="1" t="s">
        <v>1507</v>
      </c>
      <c r="AH450" s="1">
        <v>55</v>
      </c>
      <c r="AI450" s="1">
        <v>2</v>
      </c>
      <c r="AJ450" s="1">
        <v>2</v>
      </c>
      <c r="AK450" s="1">
        <v>0</v>
      </c>
      <c r="AL450" s="1">
        <v>0</v>
      </c>
      <c r="AM450" s="1" t="s">
        <v>2009</v>
      </c>
      <c r="AN450" s="1" t="s">
        <v>2010</v>
      </c>
      <c r="AO450" s="1" t="s">
        <v>2011</v>
      </c>
      <c r="AP450" s="1" t="s">
        <v>2012</v>
      </c>
      <c r="AQ450" s="1" t="s">
        <v>1507</v>
      </c>
      <c r="AR450" s="1" t="s">
        <v>1507</v>
      </c>
      <c r="AS450" s="1" t="s">
        <v>1999</v>
      </c>
      <c r="AT450" s="1" t="s">
        <v>2013</v>
      </c>
      <c r="AU450" s="1" t="s">
        <v>5424</v>
      </c>
      <c r="AV450" s="1">
        <v>2023</v>
      </c>
      <c r="AW450" s="1">
        <v>18</v>
      </c>
      <c r="AX450" s="1">
        <v>2</v>
      </c>
      <c r="AY450" s="1" t="s">
        <v>1507</v>
      </c>
      <c r="AZ450" s="1" t="s">
        <v>1507</v>
      </c>
      <c r="BA450" s="1" t="s">
        <v>1507</v>
      </c>
      <c r="BB450" s="1" t="s">
        <v>1507</v>
      </c>
      <c r="BC450" s="1" t="s">
        <v>1507</v>
      </c>
      <c r="BD450" s="1" t="s">
        <v>1507</v>
      </c>
      <c r="BE450" s="1" t="s">
        <v>5425</v>
      </c>
      <c r="BF450" s="1" t="s">
        <v>5426</v>
      </c>
      <c r="BG450" s="1" t="str">
        <f>HYPERLINK("http://dx.doi.org/10.1371/journal.pone.0281581","http://dx.doi.org/10.1371/journal.pone.0281581")</f>
        <v>http://dx.doi.org/10.1371/journal.pone.0281581</v>
      </c>
      <c r="BH450" s="1" t="s">
        <v>1507</v>
      </c>
      <c r="BI450" s="1" t="s">
        <v>1507</v>
      </c>
      <c r="BJ450" s="1">
        <v>19</v>
      </c>
      <c r="BK450" s="1" t="s">
        <v>1776</v>
      </c>
      <c r="BL450" s="1" t="s">
        <v>1573</v>
      </c>
      <c r="BM450" s="1" t="s">
        <v>1777</v>
      </c>
      <c r="BN450" s="1" t="s">
        <v>5427</v>
      </c>
      <c r="BO450" s="1">
        <v>36787329</v>
      </c>
      <c r="BP450" s="1" t="s">
        <v>14808</v>
      </c>
      <c r="BQ450" s="1" t="s">
        <v>1507</v>
      </c>
      <c r="BR450" s="1" t="s">
        <v>1507</v>
      </c>
      <c r="BS450" s="1" t="s">
        <v>13744</v>
      </c>
      <c r="BT450" s="1" t="s">
        <v>5428</v>
      </c>
      <c r="BU450" s="1" t="str">
        <f>HYPERLINK("https%3A%2F%2Fwww.webofscience.com%2Fwos%2Fwoscc%2Ffull-record%2FWOS:000960719800001","View Full Record in Web of Science")</f>
        <v>View Full Record in Web of Science</v>
      </c>
    </row>
    <row r="451" spans="1:73" x14ac:dyDescent="0.25">
      <c r="A451" s="1">
        <v>450</v>
      </c>
      <c r="B451" s="1" t="s">
        <v>1506</v>
      </c>
      <c r="C451" s="1" t="s">
        <v>10571</v>
      </c>
      <c r="D451" s="1" t="s">
        <v>1507</v>
      </c>
      <c r="E451" s="1" t="s">
        <v>1507</v>
      </c>
      <c r="F451" s="1" t="s">
        <v>1507</v>
      </c>
      <c r="G451" s="1" t="s">
        <v>10572</v>
      </c>
      <c r="H451" s="1" t="s">
        <v>1507</v>
      </c>
      <c r="I451" s="1" t="s">
        <v>1507</v>
      </c>
      <c r="J451" s="1" t="s">
        <v>10573</v>
      </c>
      <c r="K451" s="1" t="s">
        <v>10574</v>
      </c>
      <c r="L451" s="1" t="s">
        <v>1507</v>
      </c>
      <c r="M451" s="1" t="s">
        <v>1507</v>
      </c>
      <c r="N451" s="1" t="s">
        <v>42</v>
      </c>
      <c r="O451" s="1" t="s">
        <v>56</v>
      </c>
      <c r="P451" s="1" t="s">
        <v>1507</v>
      </c>
      <c r="Q451" s="1" t="s">
        <v>1507</v>
      </c>
      <c r="R451" s="1" t="s">
        <v>1507</v>
      </c>
      <c r="S451" s="1" t="s">
        <v>1507</v>
      </c>
      <c r="T451" s="1" t="s">
        <v>1507</v>
      </c>
      <c r="U451" s="1" t="s">
        <v>10575</v>
      </c>
      <c r="V451" s="1" t="s">
        <v>10576</v>
      </c>
      <c r="W451" s="1" t="s">
        <v>10577</v>
      </c>
      <c r="X451" s="1" t="s">
        <v>10578</v>
      </c>
      <c r="Y451" s="1" t="s">
        <v>10579</v>
      </c>
      <c r="Z451" s="1" t="s">
        <v>10580</v>
      </c>
      <c r="AA451" s="1" t="s">
        <v>4822</v>
      </c>
      <c r="AB451" s="1" t="s">
        <v>15868</v>
      </c>
      <c r="AC451" s="1" t="s">
        <v>15869</v>
      </c>
      <c r="AD451" s="1" t="s">
        <v>10581</v>
      </c>
      <c r="AE451" s="1" t="s">
        <v>10582</v>
      </c>
      <c r="AF451" s="1" t="s">
        <v>10583</v>
      </c>
      <c r="AG451" s="1" t="s">
        <v>1507</v>
      </c>
      <c r="AH451" s="1">
        <v>29</v>
      </c>
      <c r="AI451" s="1">
        <v>4</v>
      </c>
      <c r="AJ451" s="1">
        <v>4</v>
      </c>
      <c r="AK451" s="1">
        <v>0</v>
      </c>
      <c r="AL451" s="1">
        <v>10</v>
      </c>
      <c r="AM451" s="1" t="s">
        <v>1511</v>
      </c>
      <c r="AN451" s="1" t="s">
        <v>1512</v>
      </c>
      <c r="AO451" s="1" t="s">
        <v>1513</v>
      </c>
      <c r="AP451" s="1" t="s">
        <v>10584</v>
      </c>
      <c r="AQ451" s="1" t="s">
        <v>10585</v>
      </c>
      <c r="AR451" s="1" t="s">
        <v>1507</v>
      </c>
      <c r="AS451" s="1" t="s">
        <v>10586</v>
      </c>
      <c r="AT451" s="1" t="s">
        <v>10587</v>
      </c>
      <c r="AU451" s="1" t="s">
        <v>2771</v>
      </c>
      <c r="AV451" s="1">
        <v>2019</v>
      </c>
      <c r="AW451" s="1">
        <v>101</v>
      </c>
      <c r="AX451" s="1">
        <v>4</v>
      </c>
      <c r="AY451" s="1" t="s">
        <v>1507</v>
      </c>
      <c r="AZ451" s="1" t="s">
        <v>1507</v>
      </c>
      <c r="BA451" s="1" t="s">
        <v>1507</v>
      </c>
      <c r="BB451" s="1" t="s">
        <v>1507</v>
      </c>
      <c r="BC451" s="1">
        <v>897</v>
      </c>
      <c r="BD451" s="1">
        <v>906</v>
      </c>
      <c r="BE451" s="1" t="s">
        <v>1507</v>
      </c>
      <c r="BF451" s="1" t="s">
        <v>10588</v>
      </c>
      <c r="BG451" s="1" t="str">
        <f>HYPERLINK("http://dx.doi.org/10.1007/s42161-019-00281-y","http://dx.doi.org/10.1007/s42161-019-00281-y")</f>
        <v>http://dx.doi.org/10.1007/s42161-019-00281-y</v>
      </c>
      <c r="BH451" s="1" t="s">
        <v>1507</v>
      </c>
      <c r="BI451" s="1" t="s">
        <v>1507</v>
      </c>
      <c r="BJ451" s="1">
        <v>10</v>
      </c>
      <c r="BK451" s="1" t="s">
        <v>2914</v>
      </c>
      <c r="BL451" s="1" t="s">
        <v>1573</v>
      </c>
      <c r="BM451" s="1" t="s">
        <v>2914</v>
      </c>
      <c r="BN451" s="1" t="s">
        <v>10589</v>
      </c>
      <c r="BO451" s="1" t="s">
        <v>1507</v>
      </c>
      <c r="BP451" s="1" t="s">
        <v>1507</v>
      </c>
      <c r="BQ451" s="1" t="s">
        <v>1507</v>
      </c>
      <c r="BR451" s="1" t="s">
        <v>1507</v>
      </c>
      <c r="BS451" s="1" t="s">
        <v>13744</v>
      </c>
      <c r="BT451" s="1" t="s">
        <v>10590</v>
      </c>
      <c r="BU451" s="1" t="str">
        <f>HYPERLINK("https%3A%2F%2Fwww.webofscience.com%2Fwos%2Fwoscc%2Ffull-record%2FWOS:000494894500004","View Full Record in Web of Science")</f>
        <v>View Full Record in Web of Science</v>
      </c>
    </row>
    <row r="452" spans="1:73" x14ac:dyDescent="0.25">
      <c r="A452" s="1">
        <v>451</v>
      </c>
      <c r="B452" s="1" t="s">
        <v>5546</v>
      </c>
      <c r="C452" s="1" t="s">
        <v>9265</v>
      </c>
      <c r="D452" s="1" t="s">
        <v>1507</v>
      </c>
      <c r="E452" s="1" t="s">
        <v>9266</v>
      </c>
      <c r="F452" s="1" t="s">
        <v>1507</v>
      </c>
      <c r="G452" s="1" t="s">
        <v>9267</v>
      </c>
      <c r="H452" s="1" t="s">
        <v>1507</v>
      </c>
      <c r="I452" s="1" t="s">
        <v>1507</v>
      </c>
      <c r="J452" s="1" t="s">
        <v>9268</v>
      </c>
      <c r="K452" s="1" t="s">
        <v>9269</v>
      </c>
      <c r="L452" s="1" t="s">
        <v>9270</v>
      </c>
      <c r="M452" s="1" t="s">
        <v>1507</v>
      </c>
      <c r="N452" s="1" t="s">
        <v>42</v>
      </c>
      <c r="O452" s="1" t="s">
        <v>5552</v>
      </c>
      <c r="P452" s="1" t="s">
        <v>9271</v>
      </c>
      <c r="Q452" s="1" t="s">
        <v>9272</v>
      </c>
      <c r="R452" s="1" t="s">
        <v>6272</v>
      </c>
      <c r="S452" s="1" t="s">
        <v>9273</v>
      </c>
      <c r="T452" s="1" t="s">
        <v>1507</v>
      </c>
      <c r="U452" s="1" t="s">
        <v>9274</v>
      </c>
      <c r="V452" s="1" t="s">
        <v>1507</v>
      </c>
      <c r="W452" s="1" t="s">
        <v>9275</v>
      </c>
      <c r="X452" s="1" t="s">
        <v>9276</v>
      </c>
      <c r="Y452" s="1" t="s">
        <v>9277</v>
      </c>
      <c r="Z452" s="1" t="s">
        <v>9278</v>
      </c>
      <c r="AA452" s="1" t="s">
        <v>9279</v>
      </c>
      <c r="AB452" s="1" t="s">
        <v>9280</v>
      </c>
      <c r="AC452" s="1" t="s">
        <v>9281</v>
      </c>
      <c r="AD452" s="1" t="s">
        <v>9282</v>
      </c>
      <c r="AE452" s="1" t="s">
        <v>9282</v>
      </c>
      <c r="AF452" s="1" t="s">
        <v>9283</v>
      </c>
      <c r="AG452" s="1" t="s">
        <v>1507</v>
      </c>
      <c r="AH452" s="1">
        <v>17</v>
      </c>
      <c r="AI452" s="1">
        <v>0</v>
      </c>
      <c r="AJ452" s="1">
        <v>0</v>
      </c>
      <c r="AK452" s="1">
        <v>1</v>
      </c>
      <c r="AL452" s="1">
        <v>2</v>
      </c>
      <c r="AM452" s="1" t="s">
        <v>9284</v>
      </c>
      <c r="AN452" s="1" t="s">
        <v>1580</v>
      </c>
      <c r="AO452" s="1" t="s">
        <v>9285</v>
      </c>
      <c r="AP452" s="1" t="s">
        <v>9286</v>
      </c>
      <c r="AQ452" s="1" t="s">
        <v>9287</v>
      </c>
      <c r="AR452" s="1" t="s">
        <v>9288</v>
      </c>
      <c r="AS452" s="1" t="s">
        <v>9289</v>
      </c>
      <c r="AT452" s="1" t="s">
        <v>1507</v>
      </c>
      <c r="AU452" s="1" t="s">
        <v>1507</v>
      </c>
      <c r="AV452" s="1">
        <v>2021</v>
      </c>
      <c r="AW452" s="1">
        <v>281</v>
      </c>
      <c r="AX452" s="1" t="s">
        <v>1507</v>
      </c>
      <c r="AY452" s="1" t="s">
        <v>1507</v>
      </c>
      <c r="AZ452" s="1" t="s">
        <v>1507</v>
      </c>
      <c r="BA452" s="1" t="s">
        <v>1507</v>
      </c>
      <c r="BB452" s="1" t="s">
        <v>1507</v>
      </c>
      <c r="BC452" s="1">
        <v>694</v>
      </c>
      <c r="BD452" s="1">
        <v>698</v>
      </c>
      <c r="BE452" s="1" t="s">
        <v>1507</v>
      </c>
      <c r="BF452" s="1" t="s">
        <v>9290</v>
      </c>
      <c r="BG452" s="1" t="str">
        <f>HYPERLINK("http://dx.doi.org/10.3233/SHTI210261","http://dx.doi.org/10.3233/SHTI210261")</f>
        <v>http://dx.doi.org/10.3233/SHTI210261</v>
      </c>
      <c r="BH452" s="1" t="s">
        <v>1507</v>
      </c>
      <c r="BI452" s="1" t="s">
        <v>1507</v>
      </c>
      <c r="BJ452" s="1">
        <v>5</v>
      </c>
      <c r="BK452" s="1" t="s">
        <v>9291</v>
      </c>
      <c r="BL452" s="1" t="s">
        <v>5570</v>
      </c>
      <c r="BM452" s="1" t="s">
        <v>9292</v>
      </c>
      <c r="BN452" s="1" t="s">
        <v>9293</v>
      </c>
      <c r="BO452" s="1">
        <v>34042665</v>
      </c>
      <c r="BP452" s="1" t="s">
        <v>1537</v>
      </c>
      <c r="BQ452" s="1" t="s">
        <v>1507</v>
      </c>
      <c r="BR452" s="1" t="s">
        <v>1507</v>
      </c>
      <c r="BS452" s="1" t="s">
        <v>13744</v>
      </c>
      <c r="BT452" s="1" t="s">
        <v>9294</v>
      </c>
      <c r="BU452" s="1" t="str">
        <f>HYPERLINK("https%3A%2F%2Fwww.webofscience.com%2Fwos%2Fwoscc%2Ffull-record%2FWOS:001066457700149","View Full Record in Web of Science")</f>
        <v>View Full Record in Web of Science</v>
      </c>
    </row>
    <row r="453" spans="1:73" x14ac:dyDescent="0.25">
      <c r="A453" s="1">
        <v>452</v>
      </c>
      <c r="B453" s="1" t="s">
        <v>1506</v>
      </c>
      <c r="C453" s="1" t="s">
        <v>6968</v>
      </c>
      <c r="D453" s="1" t="s">
        <v>1507</v>
      </c>
      <c r="E453" s="1" t="s">
        <v>1507</v>
      </c>
      <c r="F453" s="1" t="s">
        <v>1507</v>
      </c>
      <c r="G453" s="1" t="s">
        <v>6969</v>
      </c>
      <c r="H453" s="1" t="s">
        <v>1507</v>
      </c>
      <c r="I453" s="1" t="s">
        <v>1507</v>
      </c>
      <c r="J453" s="1" t="s">
        <v>6970</v>
      </c>
      <c r="K453" s="1" t="s">
        <v>6971</v>
      </c>
      <c r="L453" s="1" t="s">
        <v>1507</v>
      </c>
      <c r="M453" s="1" t="s">
        <v>1507</v>
      </c>
      <c r="N453" s="1" t="s">
        <v>42</v>
      </c>
      <c r="O453" s="1" t="s">
        <v>56</v>
      </c>
      <c r="P453" s="1" t="s">
        <v>1507</v>
      </c>
      <c r="Q453" s="1" t="s">
        <v>1507</v>
      </c>
      <c r="R453" s="1" t="s">
        <v>1507</v>
      </c>
      <c r="S453" s="1" t="s">
        <v>1507</v>
      </c>
      <c r="T453" s="1" t="s">
        <v>1507</v>
      </c>
      <c r="U453" s="1" t="s">
        <v>1507</v>
      </c>
      <c r="V453" s="1" t="s">
        <v>6972</v>
      </c>
      <c r="W453" s="1" t="s">
        <v>6973</v>
      </c>
      <c r="X453" s="1" t="s">
        <v>6974</v>
      </c>
      <c r="Y453" s="1" t="s">
        <v>6975</v>
      </c>
      <c r="Z453" s="1" t="s">
        <v>6976</v>
      </c>
      <c r="AA453" s="1" t="s">
        <v>6977</v>
      </c>
      <c r="AB453" s="1" t="s">
        <v>15592</v>
      </c>
      <c r="AC453" s="1" t="s">
        <v>15593</v>
      </c>
      <c r="AD453" s="1" t="s">
        <v>6978</v>
      </c>
      <c r="AE453" s="1" t="s">
        <v>6979</v>
      </c>
      <c r="AF453" s="1" t="s">
        <v>6980</v>
      </c>
      <c r="AG453" s="1" t="s">
        <v>1507</v>
      </c>
      <c r="AH453" s="1">
        <v>75</v>
      </c>
      <c r="AI453" s="1">
        <v>2</v>
      </c>
      <c r="AJ453" s="1">
        <v>2</v>
      </c>
      <c r="AK453" s="1">
        <v>4</v>
      </c>
      <c r="AL453" s="1">
        <v>23</v>
      </c>
      <c r="AM453" s="1" t="s">
        <v>6981</v>
      </c>
      <c r="AN453" s="1" t="s">
        <v>6982</v>
      </c>
      <c r="AO453" s="1" t="s">
        <v>6983</v>
      </c>
      <c r="AP453" s="1" t="s">
        <v>6984</v>
      </c>
      <c r="AQ453" s="1" t="s">
        <v>6985</v>
      </c>
      <c r="AR453" s="1" t="s">
        <v>1507</v>
      </c>
      <c r="AS453" s="1" t="s">
        <v>6986</v>
      </c>
      <c r="AT453" s="1" t="s">
        <v>6987</v>
      </c>
      <c r="AU453" s="1" t="s">
        <v>6988</v>
      </c>
      <c r="AV453" s="1">
        <v>2022</v>
      </c>
      <c r="AW453" s="1">
        <v>106</v>
      </c>
      <c r="AX453" s="1">
        <v>11</v>
      </c>
      <c r="AY453" s="1" t="s">
        <v>1507</v>
      </c>
      <c r="AZ453" s="1" t="s">
        <v>1507</v>
      </c>
      <c r="BA453" s="1" t="s">
        <v>1507</v>
      </c>
      <c r="BB453" s="1" t="s">
        <v>1507</v>
      </c>
      <c r="BC453" s="1" t="s">
        <v>1507</v>
      </c>
      <c r="BD453" s="1" t="s">
        <v>1507</v>
      </c>
      <c r="BE453" s="1">
        <v>115301</v>
      </c>
      <c r="BF453" s="1" t="s">
        <v>6989</v>
      </c>
      <c r="BG453" s="1" t="str">
        <f>HYPERLINK("http://dx.doi.org/10.1103/PhysRevB.106.115301","http://dx.doi.org/10.1103/PhysRevB.106.115301")</f>
        <v>http://dx.doi.org/10.1103/PhysRevB.106.115301</v>
      </c>
      <c r="BH453" s="1" t="s">
        <v>1507</v>
      </c>
      <c r="BI453" s="1" t="s">
        <v>1507</v>
      </c>
      <c r="BJ453" s="1">
        <v>11</v>
      </c>
      <c r="BK453" s="1" t="s">
        <v>6990</v>
      </c>
      <c r="BL453" s="1" t="s">
        <v>1573</v>
      </c>
      <c r="BM453" s="1" t="s">
        <v>6991</v>
      </c>
      <c r="BN453" s="1" t="s">
        <v>6992</v>
      </c>
      <c r="BO453" s="1" t="s">
        <v>1507</v>
      </c>
      <c r="BP453" s="1" t="s">
        <v>1507</v>
      </c>
      <c r="BQ453" s="1" t="s">
        <v>1507</v>
      </c>
      <c r="BR453" s="1" t="s">
        <v>1507</v>
      </c>
      <c r="BS453" s="1" t="s">
        <v>13744</v>
      </c>
      <c r="BT453" s="1" t="s">
        <v>6993</v>
      </c>
      <c r="BU453" s="1" t="str">
        <f>HYPERLINK("https%3A%2F%2Fwww.webofscience.com%2Fwos%2Fwoscc%2Ffull-record%2FWOS:000851415500001","View Full Record in Web of Science")</f>
        <v>View Full Record in Web of Science</v>
      </c>
    </row>
    <row r="454" spans="1:73" x14ac:dyDescent="0.25">
      <c r="A454" s="1">
        <v>453</v>
      </c>
      <c r="B454" s="1" t="s">
        <v>1506</v>
      </c>
      <c r="C454" s="1" t="s">
        <v>13917</v>
      </c>
      <c r="D454" s="1" t="s">
        <v>1507</v>
      </c>
      <c r="E454" s="1" t="s">
        <v>1507</v>
      </c>
      <c r="F454" s="1" t="s">
        <v>1507</v>
      </c>
      <c r="G454" s="1" t="s">
        <v>13918</v>
      </c>
      <c r="H454" s="1" t="s">
        <v>1507</v>
      </c>
      <c r="I454" s="1" t="s">
        <v>1507</v>
      </c>
      <c r="J454" s="1" t="s">
        <v>13651</v>
      </c>
      <c r="K454" s="1" t="s">
        <v>13919</v>
      </c>
      <c r="L454" s="1" t="s">
        <v>1507</v>
      </c>
      <c r="M454" s="1" t="s">
        <v>1507</v>
      </c>
      <c r="N454" s="1" t="s">
        <v>42</v>
      </c>
      <c r="O454" s="1" t="s">
        <v>56</v>
      </c>
      <c r="P454" s="1" t="s">
        <v>1507</v>
      </c>
      <c r="Q454" s="1" t="s">
        <v>1507</v>
      </c>
      <c r="R454" s="1" t="s">
        <v>1507</v>
      </c>
      <c r="S454" s="1" t="s">
        <v>1507</v>
      </c>
      <c r="T454" s="1" t="s">
        <v>1507</v>
      </c>
      <c r="U454" s="1" t="s">
        <v>13644</v>
      </c>
      <c r="V454" s="1" t="s">
        <v>1507</v>
      </c>
      <c r="W454" s="1" t="s">
        <v>13920</v>
      </c>
      <c r="X454" s="1" t="s">
        <v>13921</v>
      </c>
      <c r="Y454" s="1" t="s">
        <v>13922</v>
      </c>
      <c r="Z454" s="1" t="s">
        <v>13923</v>
      </c>
      <c r="AA454" s="1" t="s">
        <v>13924</v>
      </c>
      <c r="AB454" s="1" t="s">
        <v>13925</v>
      </c>
      <c r="AC454" s="1" t="s">
        <v>13926</v>
      </c>
      <c r="AD454" s="1" t="s">
        <v>1507</v>
      </c>
      <c r="AE454" s="1" t="s">
        <v>1507</v>
      </c>
      <c r="AF454" s="1" t="s">
        <v>1507</v>
      </c>
      <c r="AG454" s="1" t="s">
        <v>1507</v>
      </c>
      <c r="AH454" s="1">
        <v>10</v>
      </c>
      <c r="AI454" s="1">
        <v>1</v>
      </c>
      <c r="AJ454" s="1">
        <v>1</v>
      </c>
      <c r="AK454" s="1">
        <v>8</v>
      </c>
      <c r="AL454" s="1">
        <v>10</v>
      </c>
      <c r="AM454" s="1" t="s">
        <v>13927</v>
      </c>
      <c r="AN454" s="1" t="s">
        <v>13928</v>
      </c>
      <c r="AO454" s="1" t="s">
        <v>13929</v>
      </c>
      <c r="AP454" s="1" t="s">
        <v>13930</v>
      </c>
      <c r="AQ454" s="1" t="s">
        <v>13931</v>
      </c>
      <c r="AR454" s="1" t="s">
        <v>1507</v>
      </c>
      <c r="AS454" s="1" t="s">
        <v>13932</v>
      </c>
      <c r="AT454" s="1" t="s">
        <v>13637</v>
      </c>
      <c r="AU454" s="1" t="s">
        <v>2191</v>
      </c>
      <c r="AV454" s="1">
        <v>2023</v>
      </c>
      <c r="AW454" s="1">
        <v>53</v>
      </c>
      <c r="AX454" s="1">
        <v>12</v>
      </c>
      <c r="AY454" s="1" t="s">
        <v>1507</v>
      </c>
      <c r="AZ454" s="1" t="s">
        <v>1507</v>
      </c>
      <c r="BA454" s="1" t="s">
        <v>1507</v>
      </c>
      <c r="BB454" s="1" t="s">
        <v>1507</v>
      </c>
      <c r="BC454" s="1">
        <v>728</v>
      </c>
      <c r="BD454" s="1">
        <v>734</v>
      </c>
      <c r="BE454" s="1" t="s">
        <v>1507</v>
      </c>
      <c r="BF454" s="1" t="s">
        <v>13649</v>
      </c>
      <c r="BG454" s="1" t="str">
        <f>HYPERLINK("http://dx.doi.org/10.2519/jospt.2023.12000","http://dx.doi.org/10.2519/jospt.2023.12000")</f>
        <v>http://dx.doi.org/10.2519/jospt.2023.12000</v>
      </c>
      <c r="BH454" s="1" t="s">
        <v>1507</v>
      </c>
      <c r="BI454" s="1" t="s">
        <v>1507</v>
      </c>
      <c r="BJ454" s="1">
        <v>7</v>
      </c>
      <c r="BK454" s="1" t="s">
        <v>13933</v>
      </c>
      <c r="BL454" s="1" t="s">
        <v>1573</v>
      </c>
      <c r="BM454" s="1" t="s">
        <v>13933</v>
      </c>
      <c r="BN454" s="1" t="s">
        <v>13934</v>
      </c>
      <c r="BO454" s="1">
        <v>37707390</v>
      </c>
      <c r="BP454" s="1" t="s">
        <v>1507</v>
      </c>
      <c r="BQ454" s="1" t="s">
        <v>1507</v>
      </c>
      <c r="BR454" s="1" t="s">
        <v>1507</v>
      </c>
      <c r="BS454" s="1" t="s">
        <v>13744</v>
      </c>
      <c r="BT454" s="1" t="s">
        <v>13935</v>
      </c>
      <c r="BU454" s="1" t="str">
        <f>HYPERLINK("https%3A%2F%2Fwww.webofscience.com%2Fwos%2Fwoscc%2Ffull-record%2FWOS:001166882300002","View Full Record in Web of Science")</f>
        <v>View Full Record in Web of Science</v>
      </c>
    </row>
    <row r="455" spans="1:73" x14ac:dyDescent="0.25">
      <c r="A455" s="1">
        <v>454</v>
      </c>
      <c r="B455" s="1" t="s">
        <v>1506</v>
      </c>
      <c r="C455" s="1" t="s">
        <v>9556</v>
      </c>
      <c r="D455" s="1" t="s">
        <v>1507</v>
      </c>
      <c r="E455" s="1" t="s">
        <v>1507</v>
      </c>
      <c r="F455" s="1" t="s">
        <v>1507</v>
      </c>
      <c r="G455" s="1" t="s">
        <v>9557</v>
      </c>
      <c r="H455" s="1" t="s">
        <v>1507</v>
      </c>
      <c r="I455" s="1" t="s">
        <v>1507</v>
      </c>
      <c r="J455" s="1" t="s">
        <v>9558</v>
      </c>
      <c r="K455" s="1" t="s">
        <v>9559</v>
      </c>
      <c r="L455" s="1" t="s">
        <v>1507</v>
      </c>
      <c r="M455" s="1" t="s">
        <v>1507</v>
      </c>
      <c r="N455" s="1" t="s">
        <v>42</v>
      </c>
      <c r="O455" s="1" t="s">
        <v>56</v>
      </c>
      <c r="P455" s="1" t="s">
        <v>1507</v>
      </c>
      <c r="Q455" s="1" t="s">
        <v>1507</v>
      </c>
      <c r="R455" s="1" t="s">
        <v>1507</v>
      </c>
      <c r="S455" s="1" t="s">
        <v>1507</v>
      </c>
      <c r="T455" s="1" t="s">
        <v>1507</v>
      </c>
      <c r="U455" s="1" t="s">
        <v>1507</v>
      </c>
      <c r="V455" s="1" t="s">
        <v>9560</v>
      </c>
      <c r="W455" s="1" t="s">
        <v>9561</v>
      </c>
      <c r="X455" s="1" t="s">
        <v>9562</v>
      </c>
      <c r="Y455" s="1" t="s">
        <v>9563</v>
      </c>
      <c r="Z455" s="1" t="s">
        <v>9564</v>
      </c>
      <c r="AA455" s="1" t="s">
        <v>9565</v>
      </c>
      <c r="AB455" s="1" t="s">
        <v>1507</v>
      </c>
      <c r="AC455" s="1" t="s">
        <v>1507</v>
      </c>
      <c r="AD455" s="1" t="s">
        <v>9566</v>
      </c>
      <c r="AE455" s="1" t="s">
        <v>9566</v>
      </c>
      <c r="AF455" s="1" t="s">
        <v>9567</v>
      </c>
      <c r="AG455" s="1" t="s">
        <v>1507</v>
      </c>
      <c r="AH455" s="1">
        <v>44</v>
      </c>
      <c r="AI455" s="1">
        <v>2</v>
      </c>
      <c r="AJ455" s="1">
        <v>2</v>
      </c>
      <c r="AK455" s="1">
        <v>0</v>
      </c>
      <c r="AL455" s="1">
        <v>4</v>
      </c>
      <c r="AM455" s="1" t="s">
        <v>9568</v>
      </c>
      <c r="AN455" s="1" t="s">
        <v>9569</v>
      </c>
      <c r="AO455" s="1" t="s">
        <v>9570</v>
      </c>
      <c r="AP455" s="1" t="s">
        <v>9571</v>
      </c>
      <c r="AQ455" s="1" t="s">
        <v>9572</v>
      </c>
      <c r="AR455" s="1" t="s">
        <v>1507</v>
      </c>
      <c r="AS455" s="1" t="s">
        <v>9573</v>
      </c>
      <c r="AT455" s="1" t="s">
        <v>9574</v>
      </c>
      <c r="AU455" s="1" t="s">
        <v>9575</v>
      </c>
      <c r="AV455" s="1">
        <v>2020</v>
      </c>
      <c r="AW455" s="1">
        <v>133</v>
      </c>
      <c r="AX455" s="1">
        <v>1522</v>
      </c>
      <c r="AY455" s="1" t="s">
        <v>1507</v>
      </c>
      <c r="AZ455" s="1" t="s">
        <v>1507</v>
      </c>
      <c r="BA455" s="1" t="s">
        <v>1507</v>
      </c>
      <c r="BB455" s="1" t="s">
        <v>1507</v>
      </c>
      <c r="BC455" s="1">
        <v>52</v>
      </c>
      <c r="BD455" s="1">
        <v>62</v>
      </c>
      <c r="BE455" s="1" t="s">
        <v>1507</v>
      </c>
      <c r="BF455" s="1" t="s">
        <v>1507</v>
      </c>
      <c r="BG455" s="1" t="s">
        <v>1507</v>
      </c>
      <c r="BH455" s="1" t="s">
        <v>1507</v>
      </c>
      <c r="BI455" s="1" t="s">
        <v>1507</v>
      </c>
      <c r="BJ455" s="1">
        <v>11</v>
      </c>
      <c r="BK455" s="1" t="s">
        <v>1949</v>
      </c>
      <c r="BL455" s="1" t="s">
        <v>1529</v>
      </c>
      <c r="BM455" s="1" t="s">
        <v>1950</v>
      </c>
      <c r="BN455" s="1" t="s">
        <v>9576</v>
      </c>
      <c r="BO455" s="1">
        <v>32994616</v>
      </c>
      <c r="BP455" s="1" t="s">
        <v>1507</v>
      </c>
      <c r="BQ455" s="1" t="s">
        <v>1507</v>
      </c>
      <c r="BR455" s="1" t="s">
        <v>1507</v>
      </c>
      <c r="BS455" s="1" t="s">
        <v>13744</v>
      </c>
      <c r="BT455" s="1" t="s">
        <v>9577</v>
      </c>
      <c r="BU455" s="1" t="str">
        <f>HYPERLINK("https%3A%2F%2Fwww.webofscience.com%2Fwos%2Fwoscc%2Ffull-record%2FWOS:000592190800006","View Full Record in Web of Science")</f>
        <v>View Full Record in Web of Science</v>
      </c>
    </row>
    <row r="456" spans="1:73" x14ac:dyDescent="0.25">
      <c r="A456" s="1">
        <v>455</v>
      </c>
      <c r="B456" s="1" t="s">
        <v>1506</v>
      </c>
      <c r="C456" s="1" t="s">
        <v>7041</v>
      </c>
      <c r="D456" s="1" t="s">
        <v>1507</v>
      </c>
      <c r="E456" s="1" t="s">
        <v>1507</v>
      </c>
      <c r="F456" s="1" t="s">
        <v>1507</v>
      </c>
      <c r="G456" s="1" t="s">
        <v>7042</v>
      </c>
      <c r="H456" s="1" t="s">
        <v>1507</v>
      </c>
      <c r="I456" s="1" t="s">
        <v>1507</v>
      </c>
      <c r="J456" s="1" t="s">
        <v>7043</v>
      </c>
      <c r="K456" s="1" t="s">
        <v>5244</v>
      </c>
      <c r="L456" s="1" t="s">
        <v>1507</v>
      </c>
      <c r="M456" s="1" t="s">
        <v>1507</v>
      </c>
      <c r="N456" s="1" t="s">
        <v>42</v>
      </c>
      <c r="O456" s="1" t="s">
        <v>56</v>
      </c>
      <c r="P456" s="1" t="s">
        <v>1507</v>
      </c>
      <c r="Q456" s="1" t="s">
        <v>1507</v>
      </c>
      <c r="R456" s="1" t="s">
        <v>1507</v>
      </c>
      <c r="S456" s="1" t="s">
        <v>1507</v>
      </c>
      <c r="T456" s="1" t="s">
        <v>1507</v>
      </c>
      <c r="U456" s="1" t="s">
        <v>1507</v>
      </c>
      <c r="V456" s="1" t="s">
        <v>7044</v>
      </c>
      <c r="W456" s="1" t="s">
        <v>7045</v>
      </c>
      <c r="X456" s="1" t="s">
        <v>7046</v>
      </c>
      <c r="Y456" s="1" t="s">
        <v>7047</v>
      </c>
      <c r="Z456" s="1" t="s">
        <v>7048</v>
      </c>
      <c r="AA456" s="1" t="s">
        <v>6852</v>
      </c>
      <c r="AB456" s="1" t="s">
        <v>15597</v>
      </c>
      <c r="AC456" s="1" t="s">
        <v>15598</v>
      </c>
      <c r="AD456" s="1" t="s">
        <v>7049</v>
      </c>
      <c r="AE456" s="1" t="s">
        <v>7050</v>
      </c>
      <c r="AF456" s="1" t="s">
        <v>7051</v>
      </c>
      <c r="AG456" s="1" t="s">
        <v>1507</v>
      </c>
      <c r="AH456" s="1">
        <v>67</v>
      </c>
      <c r="AI456" s="1">
        <v>3</v>
      </c>
      <c r="AJ456" s="1">
        <v>3</v>
      </c>
      <c r="AK456" s="1">
        <v>4</v>
      </c>
      <c r="AL456" s="1">
        <v>11</v>
      </c>
      <c r="AM456" s="1" t="s">
        <v>2372</v>
      </c>
      <c r="AN456" s="1" t="s">
        <v>2300</v>
      </c>
      <c r="AO456" s="1" t="s">
        <v>2373</v>
      </c>
      <c r="AP456" s="1" t="s">
        <v>5255</v>
      </c>
      <c r="AQ456" s="1" t="s">
        <v>5256</v>
      </c>
      <c r="AR456" s="1" t="s">
        <v>1507</v>
      </c>
      <c r="AS456" s="1" t="s">
        <v>5257</v>
      </c>
      <c r="AT456" s="1" t="s">
        <v>5258</v>
      </c>
      <c r="AU456" s="1" t="s">
        <v>6988</v>
      </c>
      <c r="AV456" s="1">
        <v>2022</v>
      </c>
      <c r="AW456" s="1">
        <v>36</v>
      </c>
      <c r="AX456" s="1">
        <v>17</v>
      </c>
      <c r="AY456" s="1" t="s">
        <v>1507</v>
      </c>
      <c r="AZ456" s="1" t="s">
        <v>1507</v>
      </c>
      <c r="BA456" s="1" t="s">
        <v>1507</v>
      </c>
      <c r="BB456" s="1" t="s">
        <v>1507</v>
      </c>
      <c r="BC456" s="1">
        <v>10177</v>
      </c>
      <c r="BD456" s="1">
        <v>10190</v>
      </c>
      <c r="BE456" s="1" t="s">
        <v>1507</v>
      </c>
      <c r="BF456" s="1" t="s">
        <v>7052</v>
      </c>
      <c r="BG456" s="1" t="str">
        <f>HYPERLINK("http://dx.doi.org/10.1021/acs.energyfuels.2c02122","http://dx.doi.org/10.1021/acs.energyfuels.2c02122")</f>
        <v>http://dx.doi.org/10.1021/acs.energyfuels.2c02122</v>
      </c>
      <c r="BH456" s="1" t="s">
        <v>1507</v>
      </c>
      <c r="BI456" s="1" t="s">
        <v>7037</v>
      </c>
      <c r="BJ456" s="1">
        <v>14</v>
      </c>
      <c r="BK456" s="1" t="s">
        <v>5261</v>
      </c>
      <c r="BL456" s="1" t="s">
        <v>1573</v>
      </c>
      <c r="BM456" s="1" t="s">
        <v>5262</v>
      </c>
      <c r="BN456" s="1" t="s">
        <v>7053</v>
      </c>
      <c r="BO456" s="1" t="s">
        <v>1507</v>
      </c>
      <c r="BP456" s="1" t="s">
        <v>1507</v>
      </c>
      <c r="BQ456" s="1" t="s">
        <v>1507</v>
      </c>
      <c r="BR456" s="1" t="s">
        <v>1507</v>
      </c>
      <c r="BS456" s="1" t="s">
        <v>13744</v>
      </c>
      <c r="BT456" s="1" t="s">
        <v>7054</v>
      </c>
      <c r="BU456" s="1" t="str">
        <f>HYPERLINK("https%3A%2F%2Fwww.webofscience.com%2Fwos%2Fwoscc%2Ffull-record%2FWOS:000844868300001","View Full Record in Web of Science")</f>
        <v>View Full Record in Web of Science</v>
      </c>
    </row>
    <row r="457" spans="1:73" x14ac:dyDescent="0.25">
      <c r="A457" s="1">
        <v>456</v>
      </c>
      <c r="B457" s="1" t="s">
        <v>1506</v>
      </c>
      <c r="C457" s="1" t="s">
        <v>1887</v>
      </c>
      <c r="D457" s="1" t="s">
        <v>1507</v>
      </c>
      <c r="E457" s="1" t="s">
        <v>1507</v>
      </c>
      <c r="F457" s="1" t="s">
        <v>1507</v>
      </c>
      <c r="G457" s="1" t="s">
        <v>1888</v>
      </c>
      <c r="H457" s="1" t="s">
        <v>1507</v>
      </c>
      <c r="I457" s="1" t="s">
        <v>1507</v>
      </c>
      <c r="J457" s="1" t="s">
        <v>1889</v>
      </c>
      <c r="K457" s="1" t="s">
        <v>1890</v>
      </c>
      <c r="L457" s="1" t="s">
        <v>1507</v>
      </c>
      <c r="M457" s="1" t="s">
        <v>1507</v>
      </c>
      <c r="N457" s="1" t="s">
        <v>42</v>
      </c>
      <c r="O457" s="1" t="s">
        <v>56</v>
      </c>
      <c r="P457" s="1" t="s">
        <v>1507</v>
      </c>
      <c r="Q457" s="1" t="s">
        <v>1507</v>
      </c>
      <c r="R457" s="1" t="s">
        <v>1507</v>
      </c>
      <c r="S457" s="1" t="s">
        <v>1507</v>
      </c>
      <c r="T457" s="1" t="s">
        <v>1507</v>
      </c>
      <c r="U457" s="1" t="s">
        <v>1891</v>
      </c>
      <c r="V457" s="1" t="s">
        <v>1892</v>
      </c>
      <c r="W457" s="1" t="s">
        <v>1893</v>
      </c>
      <c r="X457" s="1" t="s">
        <v>1894</v>
      </c>
      <c r="Y457" s="1" t="s">
        <v>1895</v>
      </c>
      <c r="Z457" s="1" t="s">
        <v>1896</v>
      </c>
      <c r="AA457" s="1" t="s">
        <v>1897</v>
      </c>
      <c r="AB457" s="1" t="s">
        <v>1507</v>
      </c>
      <c r="AC457" s="1" t="s">
        <v>13840</v>
      </c>
      <c r="AD457" s="1" t="s">
        <v>1898</v>
      </c>
      <c r="AE457" s="1" t="s">
        <v>1895</v>
      </c>
      <c r="AF457" s="1" t="s">
        <v>1899</v>
      </c>
      <c r="AG457" s="1" t="s">
        <v>1507</v>
      </c>
      <c r="AH457" s="1">
        <v>91</v>
      </c>
      <c r="AI457" s="1">
        <v>0</v>
      </c>
      <c r="AJ457" s="1">
        <v>0</v>
      </c>
      <c r="AK457" s="1">
        <v>24</v>
      </c>
      <c r="AL457" s="1">
        <v>24</v>
      </c>
      <c r="AM457" s="1" t="s">
        <v>1900</v>
      </c>
      <c r="AN457" s="1" t="s">
        <v>1583</v>
      </c>
      <c r="AO457" s="1" t="s">
        <v>1901</v>
      </c>
      <c r="AP457" s="1" t="s">
        <v>1902</v>
      </c>
      <c r="AQ457" s="1" t="s">
        <v>1903</v>
      </c>
      <c r="AR457" s="1" t="s">
        <v>1507</v>
      </c>
      <c r="AS457" s="1" t="s">
        <v>1904</v>
      </c>
      <c r="AT457" s="1" t="s">
        <v>1905</v>
      </c>
      <c r="AU457" s="1" t="s">
        <v>5362</v>
      </c>
      <c r="AV457" s="1">
        <v>2024</v>
      </c>
      <c r="AW457" s="1">
        <v>129</v>
      </c>
      <c r="AX457" s="1" t="s">
        <v>1507</v>
      </c>
      <c r="AY457" s="1" t="s">
        <v>1507</v>
      </c>
      <c r="AZ457" s="1" t="s">
        <v>1507</v>
      </c>
      <c r="BA457" s="1" t="s">
        <v>1507</v>
      </c>
      <c r="BB457" s="1" t="s">
        <v>1507</v>
      </c>
      <c r="BC457" s="1" t="s">
        <v>1507</v>
      </c>
      <c r="BD457" s="1" t="s">
        <v>1507</v>
      </c>
      <c r="BE457" s="1">
        <v>107666</v>
      </c>
      <c r="BF457" s="1" t="s">
        <v>1906</v>
      </c>
      <c r="BG457" s="1" t="str">
        <f>HYPERLINK("http://dx.doi.org/10.1016/j.engappai.2023.107666","http://dx.doi.org/10.1016/j.engappai.2023.107666")</f>
        <v>http://dx.doi.org/10.1016/j.engappai.2023.107666</v>
      </c>
      <c r="BH457" s="1" t="s">
        <v>1507</v>
      </c>
      <c r="BI457" s="1" t="s">
        <v>1652</v>
      </c>
      <c r="BJ457" s="1">
        <v>25</v>
      </c>
      <c r="BK457" s="1" t="s">
        <v>1907</v>
      </c>
      <c r="BL457" s="1" t="s">
        <v>1573</v>
      </c>
      <c r="BM457" s="1" t="s">
        <v>1908</v>
      </c>
      <c r="BN457" s="1" t="s">
        <v>1909</v>
      </c>
      <c r="BO457" s="1" t="s">
        <v>1507</v>
      </c>
      <c r="BP457" s="1" t="s">
        <v>1507</v>
      </c>
      <c r="BQ457" s="1" t="s">
        <v>1507</v>
      </c>
      <c r="BR457" s="1" t="s">
        <v>1507</v>
      </c>
      <c r="BS457" s="1" t="s">
        <v>13744</v>
      </c>
      <c r="BT457" s="1" t="s">
        <v>1910</v>
      </c>
      <c r="BU457" s="1" t="str">
        <f>HYPERLINK("https%3A%2F%2Fwww.webofscience.com%2Fwos%2Fwoscc%2Ffull-record%2FWOS:001136038900001","View Full Record in Web of Science")</f>
        <v>View Full Record in Web of Science</v>
      </c>
    </row>
    <row r="458" spans="1:73" x14ac:dyDescent="0.25">
      <c r="A458" s="1">
        <v>457</v>
      </c>
      <c r="B458" s="1" t="s">
        <v>1506</v>
      </c>
      <c r="C458" s="1" t="s">
        <v>15826</v>
      </c>
      <c r="D458" s="1" t="s">
        <v>1507</v>
      </c>
      <c r="E458" s="1" t="s">
        <v>1507</v>
      </c>
      <c r="F458" s="1" t="s">
        <v>1507</v>
      </c>
      <c r="G458" s="1" t="s">
        <v>10048</v>
      </c>
      <c r="H458" s="1" t="s">
        <v>1507</v>
      </c>
      <c r="I458" s="1" t="s">
        <v>1507</v>
      </c>
      <c r="J458" s="1" t="s">
        <v>10049</v>
      </c>
      <c r="K458" s="1" t="s">
        <v>10050</v>
      </c>
      <c r="L458" s="1" t="s">
        <v>1507</v>
      </c>
      <c r="M458" s="1" t="s">
        <v>1507</v>
      </c>
      <c r="N458" s="1" t="s">
        <v>42</v>
      </c>
      <c r="O458" s="1" t="s">
        <v>10051</v>
      </c>
      <c r="P458" s="1" t="s">
        <v>1507</v>
      </c>
      <c r="Q458" s="1" t="s">
        <v>1507</v>
      </c>
      <c r="R458" s="1" t="s">
        <v>1507</v>
      </c>
      <c r="S458" s="1" t="s">
        <v>1507</v>
      </c>
      <c r="T458" s="1" t="s">
        <v>1507</v>
      </c>
      <c r="U458" s="1" t="s">
        <v>1507</v>
      </c>
      <c r="V458" s="1" t="s">
        <v>1507</v>
      </c>
      <c r="W458" s="1" t="s">
        <v>10052</v>
      </c>
      <c r="X458" s="1" t="s">
        <v>10053</v>
      </c>
      <c r="Y458" s="1" t="s">
        <v>10054</v>
      </c>
      <c r="Z458" s="1" t="s">
        <v>10055</v>
      </c>
      <c r="AA458" s="1" t="s">
        <v>10056</v>
      </c>
      <c r="AB458" s="1" t="s">
        <v>15827</v>
      </c>
      <c r="AC458" s="1" t="s">
        <v>15828</v>
      </c>
      <c r="AD458" s="1" t="s">
        <v>10057</v>
      </c>
      <c r="AE458" s="1" t="s">
        <v>10058</v>
      </c>
      <c r="AF458" s="1" t="s">
        <v>10059</v>
      </c>
      <c r="AG458" s="1" t="s">
        <v>1507</v>
      </c>
      <c r="AH458" s="1">
        <v>7</v>
      </c>
      <c r="AI458" s="1">
        <v>96</v>
      </c>
      <c r="AJ458" s="1">
        <v>130</v>
      </c>
      <c r="AK458" s="1">
        <v>0</v>
      </c>
      <c r="AL458" s="1">
        <v>21</v>
      </c>
      <c r="AM458" s="1" t="s">
        <v>2299</v>
      </c>
      <c r="AN458" s="1" t="s">
        <v>2300</v>
      </c>
      <c r="AO458" s="1" t="s">
        <v>2301</v>
      </c>
      <c r="AP458" s="1" t="s">
        <v>10060</v>
      </c>
      <c r="AQ458" s="1" t="s">
        <v>1507</v>
      </c>
      <c r="AR458" s="1" t="s">
        <v>1507</v>
      </c>
      <c r="AS458" s="1" t="s">
        <v>10061</v>
      </c>
      <c r="AT458" s="1" t="s">
        <v>10062</v>
      </c>
      <c r="AU458" s="1" t="s">
        <v>5362</v>
      </c>
      <c r="AV458" s="1">
        <v>2020</v>
      </c>
      <c r="AW458" s="1">
        <v>9</v>
      </c>
      <c r="AX458" s="1">
        <v>11</v>
      </c>
      <c r="AY458" s="1" t="s">
        <v>1507</v>
      </c>
      <c r="AZ458" s="1" t="s">
        <v>1507</v>
      </c>
      <c r="BA458" s="1" t="s">
        <v>1507</v>
      </c>
      <c r="BB458" s="1" t="s">
        <v>1507</v>
      </c>
      <c r="BC458" s="1" t="s">
        <v>1507</v>
      </c>
      <c r="BD458" s="1" t="s">
        <v>1507</v>
      </c>
      <c r="BE458" s="1" t="s">
        <v>10063</v>
      </c>
      <c r="BF458" s="1" t="s">
        <v>10064</v>
      </c>
      <c r="BG458" s="1" t="str">
        <f>HYPERLINK("http://dx.doi.org/10.1128/MRA.00169-20","http://dx.doi.org/10.1128/MRA.00169-20")</f>
        <v>http://dx.doi.org/10.1128/MRA.00169-20</v>
      </c>
      <c r="BH458" s="1" t="s">
        <v>1507</v>
      </c>
      <c r="BI458" s="1" t="s">
        <v>1507</v>
      </c>
      <c r="BJ458" s="1">
        <v>3</v>
      </c>
      <c r="BK458" s="1" t="s">
        <v>4485</v>
      </c>
      <c r="BL458" s="1" t="s">
        <v>1529</v>
      </c>
      <c r="BM458" s="1" t="s">
        <v>4485</v>
      </c>
      <c r="BN458" s="1" t="s">
        <v>10065</v>
      </c>
      <c r="BO458" s="1">
        <v>32165386</v>
      </c>
      <c r="BP458" s="1" t="s">
        <v>1674</v>
      </c>
      <c r="BQ458" s="1" t="s">
        <v>1507</v>
      </c>
      <c r="BR458" s="1" t="s">
        <v>1507</v>
      </c>
      <c r="BS458" s="1" t="s">
        <v>13744</v>
      </c>
      <c r="BT458" s="1" t="s">
        <v>10066</v>
      </c>
      <c r="BU458" s="1" t="str">
        <f>HYPERLINK("https%3A%2F%2Fwww.webofscience.com%2Fwos%2Fwoscc%2Ffull-record%2FWOS:000520001100014","View Full Record in Web of Science")</f>
        <v>View Full Record in Web of Science</v>
      </c>
    </row>
    <row r="459" spans="1:73" x14ac:dyDescent="0.25">
      <c r="A459" s="1">
        <v>458</v>
      </c>
      <c r="B459" s="1" t="s">
        <v>5546</v>
      </c>
      <c r="C459" s="1" t="s">
        <v>15325</v>
      </c>
      <c r="D459" s="1" t="s">
        <v>1507</v>
      </c>
      <c r="E459" s="1" t="s">
        <v>1507</v>
      </c>
      <c r="F459" s="1" t="s">
        <v>5548</v>
      </c>
      <c r="G459" s="1" t="s">
        <v>15326</v>
      </c>
      <c r="H459" s="1" t="s">
        <v>1507</v>
      </c>
      <c r="I459" s="1" t="s">
        <v>1507</v>
      </c>
      <c r="J459" s="1" t="s">
        <v>15327</v>
      </c>
      <c r="K459" s="1" t="s">
        <v>15092</v>
      </c>
      <c r="L459" s="1" t="s">
        <v>1507</v>
      </c>
      <c r="M459" s="1" t="s">
        <v>1507</v>
      </c>
      <c r="N459" s="1" t="s">
        <v>42</v>
      </c>
      <c r="O459" s="1" t="s">
        <v>5552</v>
      </c>
      <c r="P459" s="1" t="s">
        <v>15093</v>
      </c>
      <c r="Q459" s="1" t="s">
        <v>15094</v>
      </c>
      <c r="R459" s="1" t="s">
        <v>15095</v>
      </c>
      <c r="S459" s="1" t="s">
        <v>15096</v>
      </c>
      <c r="T459" s="1" t="s">
        <v>1507</v>
      </c>
      <c r="U459" s="1" t="s">
        <v>15328</v>
      </c>
      <c r="V459" s="1" t="s">
        <v>1507</v>
      </c>
      <c r="W459" s="1" t="s">
        <v>15329</v>
      </c>
      <c r="X459" s="1" t="s">
        <v>15330</v>
      </c>
      <c r="Y459" s="1" t="s">
        <v>15331</v>
      </c>
      <c r="Z459" s="1" t="s">
        <v>15332</v>
      </c>
      <c r="AA459" s="1" t="s">
        <v>15333</v>
      </c>
      <c r="AB459" s="1" t="s">
        <v>1507</v>
      </c>
      <c r="AC459" s="1" t="s">
        <v>15334</v>
      </c>
      <c r="AD459" s="1" t="s">
        <v>1507</v>
      </c>
      <c r="AE459" s="1" t="s">
        <v>1507</v>
      </c>
      <c r="AF459" s="1" t="s">
        <v>1507</v>
      </c>
      <c r="AG459" s="1" t="s">
        <v>1507</v>
      </c>
      <c r="AH459" s="1">
        <v>25</v>
      </c>
      <c r="AI459" s="1">
        <v>1</v>
      </c>
      <c r="AJ459" s="1">
        <v>1</v>
      </c>
      <c r="AK459" s="1">
        <v>1</v>
      </c>
      <c r="AL459" s="1">
        <v>1</v>
      </c>
      <c r="AM459" s="1" t="s">
        <v>5565</v>
      </c>
      <c r="AN459" s="1" t="s">
        <v>1512</v>
      </c>
      <c r="AO459" s="1" t="s">
        <v>5566</v>
      </c>
      <c r="AP459" s="1" t="s">
        <v>1507</v>
      </c>
      <c r="AQ459" s="1" t="s">
        <v>1507</v>
      </c>
      <c r="AR459" s="1" t="s">
        <v>15107</v>
      </c>
      <c r="AS459" s="1" t="s">
        <v>1507</v>
      </c>
      <c r="AT459" s="1" t="s">
        <v>1507</v>
      </c>
      <c r="AU459" s="1" t="s">
        <v>1507</v>
      </c>
      <c r="AV459" s="1">
        <v>2023</v>
      </c>
      <c r="AW459" s="1" t="s">
        <v>1507</v>
      </c>
      <c r="AX459" s="1" t="s">
        <v>1507</v>
      </c>
      <c r="AY459" s="1" t="s">
        <v>1507</v>
      </c>
      <c r="AZ459" s="1" t="s">
        <v>1507</v>
      </c>
      <c r="BA459" s="1" t="s">
        <v>1507</v>
      </c>
      <c r="BB459" s="1" t="s">
        <v>1507</v>
      </c>
      <c r="BC459" s="1">
        <v>5290</v>
      </c>
      <c r="BD459" s="1">
        <v>5293</v>
      </c>
      <c r="BE459" s="1" t="s">
        <v>1507</v>
      </c>
      <c r="BF459" s="1" t="s">
        <v>15335</v>
      </c>
      <c r="BG459" s="1" t="str">
        <f>HYPERLINK("http://dx.doi.org/10.1145/3583780.3615311","http://dx.doi.org/10.1145/3583780.3615311")</f>
        <v>http://dx.doi.org/10.1145/3583780.3615311</v>
      </c>
      <c r="BH459" s="1" t="s">
        <v>1507</v>
      </c>
      <c r="BI459" s="1" t="s">
        <v>1507</v>
      </c>
      <c r="BJ459" s="1">
        <v>4</v>
      </c>
      <c r="BK459" s="1" t="s">
        <v>5650</v>
      </c>
      <c r="BL459" s="1" t="s">
        <v>5570</v>
      </c>
      <c r="BM459" s="1" t="s">
        <v>1577</v>
      </c>
      <c r="BN459" s="1" t="s">
        <v>15109</v>
      </c>
      <c r="BO459" s="1" t="s">
        <v>1507</v>
      </c>
      <c r="BP459" s="1" t="s">
        <v>1507</v>
      </c>
      <c r="BQ459" s="1" t="s">
        <v>1507</v>
      </c>
      <c r="BR459" s="1" t="s">
        <v>1507</v>
      </c>
      <c r="BS459" s="1" t="s">
        <v>13744</v>
      </c>
      <c r="BT459" s="1" t="s">
        <v>15336</v>
      </c>
      <c r="BU459" s="1" t="str">
        <f>HYPERLINK("https%3A%2F%2Fwww.webofscience.com%2Fwos%2Fwoscc%2Ffull-record%2FWOS:001161549505073","View Full Record in Web of Science")</f>
        <v>View Full Record in Web of Science</v>
      </c>
    </row>
    <row r="460" spans="1:73" x14ac:dyDescent="0.25">
      <c r="A460" s="1">
        <v>459</v>
      </c>
      <c r="B460" s="1" t="s">
        <v>1506</v>
      </c>
      <c r="C460" s="1" t="s">
        <v>11084</v>
      </c>
      <c r="D460" s="1" t="s">
        <v>1507</v>
      </c>
      <c r="E460" s="1" t="s">
        <v>1507</v>
      </c>
      <c r="F460" s="1" t="s">
        <v>1507</v>
      </c>
      <c r="G460" s="1" t="s">
        <v>11085</v>
      </c>
      <c r="H460" s="1" t="s">
        <v>1507</v>
      </c>
      <c r="I460" s="1" t="s">
        <v>1507</v>
      </c>
      <c r="J460" s="1" t="s">
        <v>11086</v>
      </c>
      <c r="K460" s="1" t="s">
        <v>11087</v>
      </c>
      <c r="L460" s="1" t="s">
        <v>1507</v>
      </c>
      <c r="M460" s="1" t="s">
        <v>1507</v>
      </c>
      <c r="N460" s="1" t="s">
        <v>42</v>
      </c>
      <c r="O460" s="1" t="s">
        <v>56</v>
      </c>
      <c r="P460" s="1" t="s">
        <v>1507</v>
      </c>
      <c r="Q460" s="1" t="s">
        <v>1507</v>
      </c>
      <c r="R460" s="1" t="s">
        <v>1507</v>
      </c>
      <c r="S460" s="1" t="s">
        <v>1507</v>
      </c>
      <c r="T460" s="1" t="s">
        <v>1507</v>
      </c>
      <c r="U460" s="1" t="s">
        <v>11088</v>
      </c>
      <c r="V460" s="1" t="s">
        <v>11089</v>
      </c>
      <c r="W460" s="1" t="s">
        <v>11090</v>
      </c>
      <c r="X460" s="1" t="s">
        <v>11091</v>
      </c>
      <c r="Y460" s="1" t="s">
        <v>11092</v>
      </c>
      <c r="Z460" s="1" t="s">
        <v>11093</v>
      </c>
      <c r="AA460" s="1" t="s">
        <v>11094</v>
      </c>
      <c r="AB460" s="1" t="s">
        <v>15934</v>
      </c>
      <c r="AC460" s="1" t="s">
        <v>15935</v>
      </c>
      <c r="AD460" s="1" t="s">
        <v>11095</v>
      </c>
      <c r="AE460" s="1" t="s">
        <v>11096</v>
      </c>
      <c r="AF460" s="1" t="s">
        <v>11097</v>
      </c>
      <c r="AG460" s="1" t="s">
        <v>1507</v>
      </c>
      <c r="AH460" s="1">
        <v>44</v>
      </c>
      <c r="AI460" s="1">
        <v>4</v>
      </c>
      <c r="AJ460" s="1">
        <v>5</v>
      </c>
      <c r="AK460" s="1">
        <v>4</v>
      </c>
      <c r="AL460" s="1">
        <v>27</v>
      </c>
      <c r="AM460" s="1" t="s">
        <v>11098</v>
      </c>
      <c r="AN460" s="1" t="s">
        <v>11099</v>
      </c>
      <c r="AO460" s="1" t="s">
        <v>11100</v>
      </c>
      <c r="AP460" s="1" t="s">
        <v>11101</v>
      </c>
      <c r="AQ460" s="1" t="s">
        <v>11102</v>
      </c>
      <c r="AR460" s="1" t="s">
        <v>1507</v>
      </c>
      <c r="AS460" s="1" t="s">
        <v>11103</v>
      </c>
      <c r="AT460" s="1" t="s">
        <v>11104</v>
      </c>
      <c r="AU460" s="1" t="s">
        <v>5201</v>
      </c>
      <c r="AV460" s="1">
        <v>2019</v>
      </c>
      <c r="AW460" s="1">
        <v>44</v>
      </c>
      <c r="AX460" s="1">
        <v>4</v>
      </c>
      <c r="AY460" s="1" t="s">
        <v>1507</v>
      </c>
      <c r="AZ460" s="1" t="s">
        <v>1507</v>
      </c>
      <c r="BA460" s="1" t="s">
        <v>1507</v>
      </c>
      <c r="BB460" s="1" t="s">
        <v>1507</v>
      </c>
      <c r="BC460" s="1" t="s">
        <v>1507</v>
      </c>
      <c r="BD460" s="1" t="s">
        <v>1507</v>
      </c>
      <c r="BE460" s="1">
        <v>87</v>
      </c>
      <c r="BF460" s="1" t="s">
        <v>11105</v>
      </c>
      <c r="BG460" s="1" t="str">
        <f>HYPERLINK("http://dx.doi.org/10.1007/s12046-019-1058-4","http://dx.doi.org/10.1007/s12046-019-1058-4")</f>
        <v>http://dx.doi.org/10.1007/s12046-019-1058-4</v>
      </c>
      <c r="BH460" s="1" t="s">
        <v>1507</v>
      </c>
      <c r="BI460" s="1" t="s">
        <v>1507</v>
      </c>
      <c r="BJ460" s="1">
        <v>12</v>
      </c>
      <c r="BK460" s="1" t="s">
        <v>11106</v>
      </c>
      <c r="BL460" s="1" t="s">
        <v>1573</v>
      </c>
      <c r="BM460" s="1" t="s">
        <v>3691</v>
      </c>
      <c r="BN460" s="1" t="s">
        <v>11107</v>
      </c>
      <c r="BO460" s="1" t="s">
        <v>1507</v>
      </c>
      <c r="BP460" s="1" t="s">
        <v>3572</v>
      </c>
      <c r="BQ460" s="1" t="s">
        <v>1507</v>
      </c>
      <c r="BR460" s="1" t="s">
        <v>1507</v>
      </c>
      <c r="BS460" s="1" t="s">
        <v>13744</v>
      </c>
      <c r="BT460" s="1" t="s">
        <v>11108</v>
      </c>
      <c r="BU460" s="1" t="str">
        <f>HYPERLINK("https%3A%2F%2Fwww.webofscience.com%2Fwos%2Fwoscc%2Ffull-record%2FWOS:000462233500001","View Full Record in Web of Science")</f>
        <v>View Full Record in Web of Science</v>
      </c>
    </row>
    <row r="461" spans="1:73" x14ac:dyDescent="0.25">
      <c r="A461" s="1">
        <v>460</v>
      </c>
      <c r="B461" s="1" t="s">
        <v>1506</v>
      </c>
      <c r="C461" s="1" t="s">
        <v>5095</v>
      </c>
      <c r="D461" s="1" t="s">
        <v>1507</v>
      </c>
      <c r="E461" s="1" t="s">
        <v>1507</v>
      </c>
      <c r="F461" s="1" t="s">
        <v>1507</v>
      </c>
      <c r="G461" s="1" t="s">
        <v>5096</v>
      </c>
      <c r="H461" s="1" t="s">
        <v>1507</v>
      </c>
      <c r="I461" s="1" t="s">
        <v>1507</v>
      </c>
      <c r="J461" s="1" t="s">
        <v>5097</v>
      </c>
      <c r="K461" s="1" t="s">
        <v>5098</v>
      </c>
      <c r="L461" s="1" t="s">
        <v>1507</v>
      </c>
      <c r="M461" s="1" t="s">
        <v>1507</v>
      </c>
      <c r="N461" s="1" t="s">
        <v>42</v>
      </c>
      <c r="O461" s="1" t="s">
        <v>56</v>
      </c>
      <c r="P461" s="1" t="s">
        <v>1507</v>
      </c>
      <c r="Q461" s="1" t="s">
        <v>1507</v>
      </c>
      <c r="R461" s="1" t="s">
        <v>1507</v>
      </c>
      <c r="S461" s="1" t="s">
        <v>1507</v>
      </c>
      <c r="T461" s="1" t="s">
        <v>1507</v>
      </c>
      <c r="U461" s="1" t="s">
        <v>5099</v>
      </c>
      <c r="V461" s="1" t="s">
        <v>5100</v>
      </c>
      <c r="W461" s="1" t="s">
        <v>5101</v>
      </c>
      <c r="X461" s="1" t="s">
        <v>5102</v>
      </c>
      <c r="Y461" s="1" t="s">
        <v>5103</v>
      </c>
      <c r="Z461" s="1" t="s">
        <v>5104</v>
      </c>
      <c r="AA461" s="1" t="s">
        <v>5105</v>
      </c>
      <c r="AB461" s="1" t="s">
        <v>1507</v>
      </c>
      <c r="AC461" s="1" t="s">
        <v>1507</v>
      </c>
      <c r="AD461" s="1" t="s">
        <v>5106</v>
      </c>
      <c r="AE461" s="1" t="s">
        <v>5106</v>
      </c>
      <c r="AF461" s="1" t="s">
        <v>5107</v>
      </c>
      <c r="AG461" s="1" t="s">
        <v>1507</v>
      </c>
      <c r="AH461" s="1">
        <v>56</v>
      </c>
      <c r="AI461" s="1">
        <v>0</v>
      </c>
      <c r="AJ461" s="1">
        <v>0</v>
      </c>
      <c r="AK461" s="1">
        <v>4</v>
      </c>
      <c r="AL461" s="1">
        <v>8</v>
      </c>
      <c r="AM461" s="1" t="s">
        <v>1900</v>
      </c>
      <c r="AN461" s="1" t="s">
        <v>1583</v>
      </c>
      <c r="AO461" s="1" t="s">
        <v>1901</v>
      </c>
      <c r="AP461" s="1" t="s">
        <v>5108</v>
      </c>
      <c r="AQ461" s="1" t="s">
        <v>5109</v>
      </c>
      <c r="AR461" s="1" t="s">
        <v>1507</v>
      </c>
      <c r="AS461" s="1" t="s">
        <v>5110</v>
      </c>
      <c r="AT461" s="1" t="s">
        <v>5111</v>
      </c>
      <c r="AU461" s="1" t="s">
        <v>14783</v>
      </c>
      <c r="AV461" s="1">
        <v>2023</v>
      </c>
      <c r="AW461" s="1">
        <v>259</v>
      </c>
      <c r="AX461" s="1" t="s">
        <v>1507</v>
      </c>
      <c r="AY461" s="1" t="s">
        <v>1507</v>
      </c>
      <c r="AZ461" s="1" t="s">
        <v>1507</v>
      </c>
      <c r="BA461" s="1" t="s">
        <v>1507</v>
      </c>
      <c r="BB461" s="1" t="s">
        <v>1507</v>
      </c>
      <c r="BC461" s="1" t="s">
        <v>1507</v>
      </c>
      <c r="BD461" s="1" t="s">
        <v>1507</v>
      </c>
      <c r="BE461" s="1">
        <v>105896</v>
      </c>
      <c r="BF461" s="1" t="s">
        <v>5112</v>
      </c>
      <c r="BG461" s="1" t="str">
        <f>HYPERLINK("http://dx.doi.org/10.1016/j.compfluid.2023.105896","http://dx.doi.org/10.1016/j.compfluid.2023.105896")</f>
        <v>http://dx.doi.org/10.1016/j.compfluid.2023.105896</v>
      </c>
      <c r="BH461" s="1" t="s">
        <v>1507</v>
      </c>
      <c r="BI461" s="1" t="s">
        <v>5090</v>
      </c>
      <c r="BJ461" s="1">
        <v>20</v>
      </c>
      <c r="BK461" s="1" t="s">
        <v>5113</v>
      </c>
      <c r="BL461" s="1" t="s">
        <v>1573</v>
      </c>
      <c r="BM461" s="1" t="s">
        <v>5114</v>
      </c>
      <c r="BN461" s="1" t="s">
        <v>5115</v>
      </c>
      <c r="BO461" s="1" t="s">
        <v>1507</v>
      </c>
      <c r="BP461" s="1" t="s">
        <v>1507</v>
      </c>
      <c r="BQ461" s="1" t="s">
        <v>1507</v>
      </c>
      <c r="BR461" s="1" t="s">
        <v>1507</v>
      </c>
      <c r="BS461" s="1" t="s">
        <v>13744</v>
      </c>
      <c r="BT461" s="1" t="s">
        <v>5116</v>
      </c>
      <c r="BU461" s="1" t="str">
        <f>HYPERLINK("https%3A%2F%2Fwww.webofscience.com%2Fwos%2Fwoscc%2Ffull-record%2FWOS:000989361900001","View Full Record in Web of Science")</f>
        <v>View Full Record in Web of Science</v>
      </c>
    </row>
    <row r="462" spans="1:73" x14ac:dyDescent="0.25">
      <c r="A462" s="1">
        <v>461</v>
      </c>
      <c r="B462" s="1" t="s">
        <v>1506</v>
      </c>
      <c r="C462" s="1" t="s">
        <v>1798</v>
      </c>
      <c r="D462" s="1" t="s">
        <v>1507</v>
      </c>
      <c r="E462" s="1" t="s">
        <v>1507</v>
      </c>
      <c r="F462" s="1" t="s">
        <v>1507</v>
      </c>
      <c r="G462" s="1" t="s">
        <v>1799</v>
      </c>
      <c r="H462" s="1" t="s">
        <v>1507</v>
      </c>
      <c r="I462" s="1" t="s">
        <v>1507</v>
      </c>
      <c r="J462" s="1" t="s">
        <v>1800</v>
      </c>
      <c r="K462" s="1" t="s">
        <v>1801</v>
      </c>
      <c r="L462" s="1" t="s">
        <v>1507</v>
      </c>
      <c r="M462" s="1" t="s">
        <v>1507</v>
      </c>
      <c r="N462" s="1" t="s">
        <v>42</v>
      </c>
      <c r="O462" s="1" t="s">
        <v>56</v>
      </c>
      <c r="P462" s="1" t="s">
        <v>1507</v>
      </c>
      <c r="Q462" s="1" t="s">
        <v>1507</v>
      </c>
      <c r="R462" s="1" t="s">
        <v>1507</v>
      </c>
      <c r="S462" s="1" t="s">
        <v>1507</v>
      </c>
      <c r="T462" s="1" t="s">
        <v>1507</v>
      </c>
      <c r="U462" s="1" t="s">
        <v>1802</v>
      </c>
      <c r="V462" s="1" t="s">
        <v>1803</v>
      </c>
      <c r="W462" s="1" t="s">
        <v>1804</v>
      </c>
      <c r="X462" s="1" t="s">
        <v>1805</v>
      </c>
      <c r="Y462" s="1" t="s">
        <v>1806</v>
      </c>
      <c r="Z462" s="1" t="s">
        <v>1807</v>
      </c>
      <c r="AA462" s="1" t="s">
        <v>1808</v>
      </c>
      <c r="AB462" s="1" t="s">
        <v>13799</v>
      </c>
      <c r="AC462" s="1" t="s">
        <v>13800</v>
      </c>
      <c r="AD462" s="1" t="s">
        <v>1809</v>
      </c>
      <c r="AE462" s="1" t="s">
        <v>1809</v>
      </c>
      <c r="AF462" s="1" t="s">
        <v>1810</v>
      </c>
      <c r="AG462" s="1" t="s">
        <v>1507</v>
      </c>
      <c r="AH462" s="1">
        <v>139</v>
      </c>
      <c r="AI462" s="1">
        <v>2</v>
      </c>
      <c r="AJ462" s="1">
        <v>2</v>
      </c>
      <c r="AK462" s="1">
        <v>19</v>
      </c>
      <c r="AL462" s="1">
        <v>19</v>
      </c>
      <c r="AM462" s="1" t="s">
        <v>1579</v>
      </c>
      <c r="AN462" s="1" t="s">
        <v>1580</v>
      </c>
      <c r="AO462" s="1" t="s">
        <v>1581</v>
      </c>
      <c r="AP462" s="1" t="s">
        <v>1507</v>
      </c>
      <c r="AQ462" s="1" t="s">
        <v>1811</v>
      </c>
      <c r="AR462" s="1" t="s">
        <v>1507</v>
      </c>
      <c r="AS462" s="1" t="s">
        <v>1812</v>
      </c>
      <c r="AT462" s="1" t="s">
        <v>1813</v>
      </c>
      <c r="AU462" s="1" t="s">
        <v>5362</v>
      </c>
      <c r="AV462" s="1">
        <v>2024</v>
      </c>
      <c r="AW462" s="1">
        <v>17</v>
      </c>
      <c r="AX462" s="1" t="s">
        <v>1507</v>
      </c>
      <c r="AY462" s="1" t="s">
        <v>1507</v>
      </c>
      <c r="AZ462" s="1" t="s">
        <v>1507</v>
      </c>
      <c r="BA462" s="1" t="s">
        <v>1507</v>
      </c>
      <c r="BB462" s="1" t="s">
        <v>1507</v>
      </c>
      <c r="BC462" s="1" t="s">
        <v>1507</v>
      </c>
      <c r="BD462" s="1" t="s">
        <v>1507</v>
      </c>
      <c r="BE462" s="1">
        <v>100300</v>
      </c>
      <c r="BF462" s="1" t="s">
        <v>1814</v>
      </c>
      <c r="BG462" s="1" t="str">
        <f>HYPERLINK("http://dx.doi.org/10.1016/j.dibe.2023.100300","http://dx.doi.org/10.1016/j.dibe.2023.100300")</f>
        <v>http://dx.doi.org/10.1016/j.dibe.2023.100300</v>
      </c>
      <c r="BH462" s="1" t="s">
        <v>1507</v>
      </c>
      <c r="BI462" s="1" t="s">
        <v>1652</v>
      </c>
      <c r="BJ462" s="1">
        <v>29</v>
      </c>
      <c r="BK462" s="1" t="s">
        <v>1815</v>
      </c>
      <c r="BL462" s="1" t="s">
        <v>1573</v>
      </c>
      <c r="BM462" s="1" t="s">
        <v>1816</v>
      </c>
      <c r="BN462" s="1" t="s">
        <v>1817</v>
      </c>
      <c r="BO462" s="1" t="s">
        <v>1507</v>
      </c>
      <c r="BP462" s="1" t="s">
        <v>1553</v>
      </c>
      <c r="BQ462" s="1" t="s">
        <v>1507</v>
      </c>
      <c r="BR462" s="1" t="s">
        <v>1507</v>
      </c>
      <c r="BS462" s="1" t="s">
        <v>13744</v>
      </c>
      <c r="BT462" s="1" t="s">
        <v>1818</v>
      </c>
      <c r="BU462" s="1" t="str">
        <f>HYPERLINK("https%3A%2F%2Fwww.webofscience.com%2Fwos%2Fwoscc%2Ffull-record%2FWOS:001147477500001","View Full Record in Web of Science")</f>
        <v>View Full Record in Web of Science</v>
      </c>
    </row>
    <row r="463" spans="1:73" x14ac:dyDescent="0.25">
      <c r="A463" s="1">
        <v>462</v>
      </c>
      <c r="B463" s="1" t="s">
        <v>5546</v>
      </c>
      <c r="C463" s="1" t="s">
        <v>6291</v>
      </c>
      <c r="D463" s="1" t="s">
        <v>1507</v>
      </c>
      <c r="E463" s="1" t="s">
        <v>1507</v>
      </c>
      <c r="F463" s="1" t="s">
        <v>5548</v>
      </c>
      <c r="G463" s="1" t="s">
        <v>6292</v>
      </c>
      <c r="H463" s="1" t="s">
        <v>1507</v>
      </c>
      <c r="I463" s="1" t="s">
        <v>1507</v>
      </c>
      <c r="J463" s="1" t="s">
        <v>6293</v>
      </c>
      <c r="K463" s="1" t="s">
        <v>6294</v>
      </c>
      <c r="L463" s="1" t="s">
        <v>1507</v>
      </c>
      <c r="M463" s="1" t="s">
        <v>1507</v>
      </c>
      <c r="N463" s="1" t="s">
        <v>42</v>
      </c>
      <c r="O463" s="1" t="s">
        <v>5552</v>
      </c>
      <c r="P463" s="1" t="s">
        <v>6295</v>
      </c>
      <c r="Q463" s="1" t="s">
        <v>6296</v>
      </c>
      <c r="R463" s="1" t="s">
        <v>5579</v>
      </c>
      <c r="S463" s="1" t="s">
        <v>5580</v>
      </c>
      <c r="T463" s="1" t="s">
        <v>1507</v>
      </c>
      <c r="U463" s="1" t="s">
        <v>6297</v>
      </c>
      <c r="V463" s="1" t="s">
        <v>1507</v>
      </c>
      <c r="W463" s="1" t="s">
        <v>6298</v>
      </c>
      <c r="X463" s="1" t="s">
        <v>6299</v>
      </c>
      <c r="Y463" s="1" t="s">
        <v>6300</v>
      </c>
      <c r="Z463" s="1" t="s">
        <v>6301</v>
      </c>
      <c r="AA463" s="1" t="s">
        <v>6302</v>
      </c>
      <c r="AB463" s="1" t="s">
        <v>1507</v>
      </c>
      <c r="AC463" s="1" t="s">
        <v>15337</v>
      </c>
      <c r="AD463" s="1" t="s">
        <v>1507</v>
      </c>
      <c r="AE463" s="1" t="s">
        <v>1507</v>
      </c>
      <c r="AF463" s="1" t="s">
        <v>1507</v>
      </c>
      <c r="AG463" s="1" t="s">
        <v>1507</v>
      </c>
      <c r="AH463" s="1">
        <v>2</v>
      </c>
      <c r="AI463" s="1">
        <v>0</v>
      </c>
      <c r="AJ463" s="1">
        <v>0</v>
      </c>
      <c r="AK463" s="1">
        <v>1</v>
      </c>
      <c r="AL463" s="1">
        <v>1</v>
      </c>
      <c r="AM463" s="1" t="s">
        <v>5565</v>
      </c>
      <c r="AN463" s="1" t="s">
        <v>1512</v>
      </c>
      <c r="AO463" s="1" t="s">
        <v>5566</v>
      </c>
      <c r="AP463" s="1" t="s">
        <v>1507</v>
      </c>
      <c r="AQ463" s="1" t="s">
        <v>1507</v>
      </c>
      <c r="AR463" s="1" t="s">
        <v>6303</v>
      </c>
      <c r="AS463" s="1" t="s">
        <v>1507</v>
      </c>
      <c r="AT463" s="1" t="s">
        <v>1507</v>
      </c>
      <c r="AU463" s="1" t="s">
        <v>1507</v>
      </c>
      <c r="AV463" s="1">
        <v>2023</v>
      </c>
      <c r="AW463" s="1" t="s">
        <v>1507</v>
      </c>
      <c r="AX463" s="1" t="s">
        <v>1507</v>
      </c>
      <c r="AY463" s="1" t="s">
        <v>1507</v>
      </c>
      <c r="AZ463" s="1" t="s">
        <v>1507</v>
      </c>
      <c r="BA463" s="1" t="s">
        <v>1507</v>
      </c>
      <c r="BB463" s="1" t="s">
        <v>1507</v>
      </c>
      <c r="BC463" s="1">
        <v>1</v>
      </c>
      <c r="BD463" s="1">
        <v>1</v>
      </c>
      <c r="BE463" s="1" t="s">
        <v>1507</v>
      </c>
      <c r="BF463" s="1" t="s">
        <v>6304</v>
      </c>
      <c r="BG463" s="1" t="str">
        <f>HYPERLINK("http://dx.doi.org/10.1145/3578337.3605144","http://dx.doi.org/10.1145/3578337.3605144")</f>
        <v>http://dx.doi.org/10.1145/3578337.3605144</v>
      </c>
      <c r="BH463" s="1" t="s">
        <v>1507</v>
      </c>
      <c r="BI463" s="1" t="s">
        <v>1507</v>
      </c>
      <c r="BJ463" s="1">
        <v>1</v>
      </c>
      <c r="BK463" s="1" t="s">
        <v>2230</v>
      </c>
      <c r="BL463" s="1" t="s">
        <v>5570</v>
      </c>
      <c r="BM463" s="1" t="s">
        <v>1577</v>
      </c>
      <c r="BN463" s="1" t="s">
        <v>6305</v>
      </c>
      <c r="BO463" s="1" t="s">
        <v>1507</v>
      </c>
      <c r="BP463" s="1" t="s">
        <v>1507</v>
      </c>
      <c r="BQ463" s="1" t="s">
        <v>1507</v>
      </c>
      <c r="BR463" s="1" t="s">
        <v>1507</v>
      </c>
      <c r="BS463" s="1" t="s">
        <v>13744</v>
      </c>
      <c r="BT463" s="1" t="s">
        <v>6306</v>
      </c>
      <c r="BU463" s="1" t="str">
        <f>HYPERLINK("https%3A%2F%2Fwww.webofscience.com%2Fwos%2Fwoscc%2Ffull-record%2FWOS:001118823000001","View Full Record in Web of Science")</f>
        <v>View Full Record in Web of Science</v>
      </c>
    </row>
    <row r="464" spans="1:73" x14ac:dyDescent="0.25">
      <c r="A464" s="1">
        <v>463</v>
      </c>
      <c r="B464" s="1" t="s">
        <v>1506</v>
      </c>
      <c r="C464" s="1" t="s">
        <v>6307</v>
      </c>
      <c r="D464" s="1" t="s">
        <v>1507</v>
      </c>
      <c r="E464" s="1" t="s">
        <v>1507</v>
      </c>
      <c r="F464" s="1" t="s">
        <v>1507</v>
      </c>
      <c r="G464" s="1" t="s">
        <v>6308</v>
      </c>
      <c r="H464" s="1" t="s">
        <v>1507</v>
      </c>
      <c r="I464" s="1" t="s">
        <v>1507</v>
      </c>
      <c r="J464" s="1" t="s">
        <v>1057</v>
      </c>
      <c r="K464" s="1" t="s">
        <v>5976</v>
      </c>
      <c r="L464" s="1" t="s">
        <v>1507</v>
      </c>
      <c r="M464" s="1" t="s">
        <v>1507</v>
      </c>
      <c r="N464" s="1" t="s">
        <v>42</v>
      </c>
      <c r="O464" s="1" t="s">
        <v>56</v>
      </c>
      <c r="P464" s="1" t="s">
        <v>1507</v>
      </c>
      <c r="Q464" s="1" t="s">
        <v>1507</v>
      </c>
      <c r="R464" s="1" t="s">
        <v>1507</v>
      </c>
      <c r="S464" s="1" t="s">
        <v>1507</v>
      </c>
      <c r="T464" s="1" t="s">
        <v>1507</v>
      </c>
      <c r="U464" s="1" t="s">
        <v>6309</v>
      </c>
      <c r="V464" s="1" t="s">
        <v>6310</v>
      </c>
      <c r="W464" s="1" t="s">
        <v>6311</v>
      </c>
      <c r="X464" s="1" t="s">
        <v>6312</v>
      </c>
      <c r="Y464" s="1" t="s">
        <v>6313</v>
      </c>
      <c r="Z464" s="1" t="s">
        <v>6314</v>
      </c>
      <c r="AA464" s="1" t="s">
        <v>6315</v>
      </c>
      <c r="AB464" s="1" t="s">
        <v>15338</v>
      </c>
      <c r="AC464" s="1" t="s">
        <v>15339</v>
      </c>
      <c r="AD464" s="1" t="s">
        <v>1507</v>
      </c>
      <c r="AE464" s="1" t="s">
        <v>1507</v>
      </c>
      <c r="AF464" s="1" t="s">
        <v>1507</v>
      </c>
      <c r="AG464" s="1" t="s">
        <v>1507</v>
      </c>
      <c r="AH464" s="1">
        <v>97</v>
      </c>
      <c r="AI464" s="1">
        <v>11</v>
      </c>
      <c r="AJ464" s="1">
        <v>11</v>
      </c>
      <c r="AK464" s="1">
        <v>83</v>
      </c>
      <c r="AL464" s="1">
        <v>94</v>
      </c>
      <c r="AM464" s="1" t="s">
        <v>1667</v>
      </c>
      <c r="AN464" s="1" t="s">
        <v>1668</v>
      </c>
      <c r="AO464" s="1" t="s">
        <v>1669</v>
      </c>
      <c r="AP464" s="1" t="s">
        <v>5983</v>
      </c>
      <c r="AQ464" s="1" t="s">
        <v>1507</v>
      </c>
      <c r="AR464" s="1" t="s">
        <v>1507</v>
      </c>
      <c r="AS464" s="1" t="s">
        <v>5984</v>
      </c>
      <c r="AT464" s="1" t="s">
        <v>1003</v>
      </c>
      <c r="AU464" s="1" t="s">
        <v>1507</v>
      </c>
      <c r="AV464" s="1">
        <v>2023</v>
      </c>
      <c r="AW464" s="1">
        <v>9</v>
      </c>
      <c r="AX464" s="1" t="s">
        <v>1507</v>
      </c>
      <c r="AY464" s="1" t="s">
        <v>1507</v>
      </c>
      <c r="AZ464" s="1" t="s">
        <v>1507</v>
      </c>
      <c r="BA464" s="1" t="s">
        <v>1507</v>
      </c>
      <c r="BB464" s="1" t="s">
        <v>1507</v>
      </c>
      <c r="BC464" s="1" t="s">
        <v>1507</v>
      </c>
      <c r="BD464" s="1" t="s">
        <v>1507</v>
      </c>
      <c r="BE464" s="1" t="s">
        <v>1058</v>
      </c>
      <c r="BF464" s="1" t="s">
        <v>1059</v>
      </c>
      <c r="BG464" s="1" t="str">
        <f>HYPERLINK("http://dx.doi.org/10.2196/48254","http://dx.doi.org/10.2196/48254")</f>
        <v>http://dx.doi.org/10.2196/48254</v>
      </c>
      <c r="BH464" s="1" t="s">
        <v>1507</v>
      </c>
      <c r="BI464" s="1" t="s">
        <v>1507</v>
      </c>
      <c r="BJ464" s="1">
        <v>15</v>
      </c>
      <c r="BK464" s="1" t="s">
        <v>2721</v>
      </c>
      <c r="BL464" s="1" t="s">
        <v>1529</v>
      </c>
      <c r="BM464" s="1" t="s">
        <v>1558</v>
      </c>
      <c r="BN464" s="1" t="s">
        <v>6316</v>
      </c>
      <c r="BO464" s="1">
        <v>37578934</v>
      </c>
      <c r="BP464" s="1" t="s">
        <v>1952</v>
      </c>
      <c r="BQ464" s="1" t="s">
        <v>1507</v>
      </c>
      <c r="BR464" s="1" t="s">
        <v>1507</v>
      </c>
      <c r="BS464" s="1" t="s">
        <v>13744</v>
      </c>
      <c r="BT464" s="1" t="s">
        <v>6317</v>
      </c>
      <c r="BU464" s="1" t="str">
        <f>HYPERLINK("https%3A%2F%2Fwww.webofscience.com%2Fwos%2Fwoscc%2Ffull-record%2FWOS:001086142700001","View Full Record in Web of Science")</f>
        <v>View Full Record in Web of Science</v>
      </c>
    </row>
    <row r="465" spans="1:73" x14ac:dyDescent="0.25">
      <c r="A465" s="1">
        <v>464</v>
      </c>
      <c r="B465" s="1" t="s">
        <v>1506</v>
      </c>
      <c r="C465" s="1" t="s">
        <v>2420</v>
      </c>
      <c r="D465" s="1" t="s">
        <v>1507</v>
      </c>
      <c r="E465" s="1" t="s">
        <v>1507</v>
      </c>
      <c r="F465" s="1" t="s">
        <v>1507</v>
      </c>
      <c r="G465" s="1" t="s">
        <v>2421</v>
      </c>
      <c r="H465" s="1" t="s">
        <v>1507</v>
      </c>
      <c r="I465" s="1" t="s">
        <v>1507</v>
      </c>
      <c r="J465" s="1" t="s">
        <v>2422</v>
      </c>
      <c r="K465" s="1" t="s">
        <v>2423</v>
      </c>
      <c r="L465" s="1" t="s">
        <v>1507</v>
      </c>
      <c r="M465" s="1" t="s">
        <v>1507</v>
      </c>
      <c r="N465" s="1" t="s">
        <v>42</v>
      </c>
      <c r="O465" s="1" t="s">
        <v>56</v>
      </c>
      <c r="P465" s="1" t="s">
        <v>1507</v>
      </c>
      <c r="Q465" s="1" t="s">
        <v>1507</v>
      </c>
      <c r="R465" s="1" t="s">
        <v>1507</v>
      </c>
      <c r="S465" s="1" t="s">
        <v>1507</v>
      </c>
      <c r="T465" s="1" t="s">
        <v>1507</v>
      </c>
      <c r="U465" s="1" t="s">
        <v>2424</v>
      </c>
      <c r="V465" s="1" t="s">
        <v>1507</v>
      </c>
      <c r="W465" s="1" t="s">
        <v>2425</v>
      </c>
      <c r="X465" s="1" t="s">
        <v>2426</v>
      </c>
      <c r="Y465" s="1" t="s">
        <v>2427</v>
      </c>
      <c r="Z465" s="1" t="s">
        <v>2428</v>
      </c>
      <c r="AA465" s="1" t="s">
        <v>2429</v>
      </c>
      <c r="AB465" s="1" t="s">
        <v>1507</v>
      </c>
      <c r="AC465" s="1" t="s">
        <v>2430</v>
      </c>
      <c r="AD465" s="1" t="s">
        <v>1507</v>
      </c>
      <c r="AE465" s="1" t="s">
        <v>1507</v>
      </c>
      <c r="AF465" s="1" t="s">
        <v>1507</v>
      </c>
      <c r="AG465" s="1" t="s">
        <v>1507</v>
      </c>
      <c r="AH465" s="1">
        <v>21</v>
      </c>
      <c r="AI465" s="1">
        <v>0</v>
      </c>
      <c r="AJ465" s="1">
        <v>0</v>
      </c>
      <c r="AK465" s="1">
        <v>30</v>
      </c>
      <c r="AL465" s="1">
        <v>30</v>
      </c>
      <c r="AM465" s="1" t="s">
        <v>1511</v>
      </c>
      <c r="AN465" s="1" t="s">
        <v>1570</v>
      </c>
      <c r="AO465" s="1" t="s">
        <v>1571</v>
      </c>
      <c r="AP465" s="1" t="s">
        <v>2431</v>
      </c>
      <c r="AQ465" s="1" t="s">
        <v>2432</v>
      </c>
      <c r="AR465" s="1" t="s">
        <v>1507</v>
      </c>
      <c r="AS465" s="1" t="s">
        <v>2423</v>
      </c>
      <c r="AT465" s="1" t="s">
        <v>2433</v>
      </c>
      <c r="AU465" s="1" t="s">
        <v>1616</v>
      </c>
      <c r="AV465" s="1">
        <v>2024</v>
      </c>
      <c r="AW465" s="1">
        <v>129</v>
      </c>
      <c r="AX465" s="1">
        <v>1</v>
      </c>
      <c r="AY465" s="1" t="s">
        <v>1507</v>
      </c>
      <c r="AZ465" s="1" t="s">
        <v>1507</v>
      </c>
      <c r="BA465" s="1" t="s">
        <v>1507</v>
      </c>
      <c r="BB465" s="1" t="s">
        <v>1507</v>
      </c>
      <c r="BC465" s="1">
        <v>713</v>
      </c>
      <c r="BD465" s="1">
        <v>718</v>
      </c>
      <c r="BE465" s="1" t="s">
        <v>1507</v>
      </c>
      <c r="BF465" s="1" t="s">
        <v>2434</v>
      </c>
      <c r="BG465" s="1" t="str">
        <f>HYPERLINK("http://dx.doi.org/10.1007/s11192-023-04882-4","http://dx.doi.org/10.1007/s11192-023-04882-4")</f>
        <v>http://dx.doi.org/10.1007/s11192-023-04882-4</v>
      </c>
      <c r="BH465" s="1" t="s">
        <v>1507</v>
      </c>
      <c r="BI465" s="1" t="s">
        <v>2396</v>
      </c>
      <c r="BJ465" s="1">
        <v>6</v>
      </c>
      <c r="BK465" s="1" t="s">
        <v>2435</v>
      </c>
      <c r="BL465" s="1" t="s">
        <v>1598</v>
      </c>
      <c r="BM465" s="1" t="s">
        <v>2436</v>
      </c>
      <c r="BN465" s="1" t="s">
        <v>2437</v>
      </c>
      <c r="BO465" s="1" t="s">
        <v>1507</v>
      </c>
      <c r="BP465" s="1" t="s">
        <v>1507</v>
      </c>
      <c r="BQ465" s="1" t="s">
        <v>1507</v>
      </c>
      <c r="BR465" s="1" t="s">
        <v>1507</v>
      </c>
      <c r="BS465" s="1" t="s">
        <v>13744</v>
      </c>
      <c r="BT465" s="1" t="s">
        <v>2438</v>
      </c>
      <c r="BU465" s="1" t="str">
        <f>HYPERLINK("https%3A%2F%2Fwww.webofscience.com%2Fwos%2Fwoscc%2Ffull-record%2FWOS:001107757700001","View Full Record in Web of Science")</f>
        <v>View Full Record in Web of Science</v>
      </c>
    </row>
    <row r="466" spans="1:73" x14ac:dyDescent="0.25">
      <c r="A466" s="1">
        <v>465</v>
      </c>
      <c r="B466" s="1" t="s">
        <v>1506</v>
      </c>
      <c r="C466" s="1" t="s">
        <v>6803</v>
      </c>
      <c r="D466" s="1" t="s">
        <v>1507</v>
      </c>
      <c r="E466" s="1" t="s">
        <v>1507</v>
      </c>
      <c r="F466" s="1" t="s">
        <v>1507</v>
      </c>
      <c r="G466" s="1" t="s">
        <v>6804</v>
      </c>
      <c r="H466" s="1" t="s">
        <v>1507</v>
      </c>
      <c r="I466" s="1" t="s">
        <v>1507</v>
      </c>
      <c r="J466" s="1" t="s">
        <v>6805</v>
      </c>
      <c r="K466" s="1" t="s">
        <v>3251</v>
      </c>
      <c r="L466" s="1" t="s">
        <v>1507</v>
      </c>
      <c r="M466" s="1" t="s">
        <v>1507</v>
      </c>
      <c r="N466" s="1" t="s">
        <v>42</v>
      </c>
      <c r="O466" s="1" t="s">
        <v>56</v>
      </c>
      <c r="P466" s="1" t="s">
        <v>1507</v>
      </c>
      <c r="Q466" s="1" t="s">
        <v>1507</v>
      </c>
      <c r="R466" s="1" t="s">
        <v>1507</v>
      </c>
      <c r="S466" s="1" t="s">
        <v>1507</v>
      </c>
      <c r="T466" s="1" t="s">
        <v>1507</v>
      </c>
      <c r="U466" s="1" t="s">
        <v>6806</v>
      </c>
      <c r="V466" s="1" t="s">
        <v>6807</v>
      </c>
      <c r="W466" s="1" t="s">
        <v>6808</v>
      </c>
      <c r="X466" s="1" t="s">
        <v>6809</v>
      </c>
      <c r="Y466" s="1" t="s">
        <v>6810</v>
      </c>
      <c r="Z466" s="1" t="s">
        <v>6811</v>
      </c>
      <c r="AA466" s="1" t="s">
        <v>6812</v>
      </c>
      <c r="AB466" s="1" t="s">
        <v>15546</v>
      </c>
      <c r="AC466" s="1" t="s">
        <v>6813</v>
      </c>
      <c r="AD466" s="1" t="s">
        <v>6814</v>
      </c>
      <c r="AE466" s="1" t="s">
        <v>6815</v>
      </c>
      <c r="AF466" s="1" t="s">
        <v>6816</v>
      </c>
      <c r="AG466" s="1" t="s">
        <v>1507</v>
      </c>
      <c r="AH466" s="1">
        <v>55</v>
      </c>
      <c r="AI466" s="1">
        <v>4</v>
      </c>
      <c r="AJ466" s="1">
        <v>4</v>
      </c>
      <c r="AK466" s="1">
        <v>7</v>
      </c>
      <c r="AL466" s="1">
        <v>22</v>
      </c>
      <c r="AM466" s="1" t="s">
        <v>3263</v>
      </c>
      <c r="AN466" s="1" t="s">
        <v>2300</v>
      </c>
      <c r="AO466" s="1" t="s">
        <v>3264</v>
      </c>
      <c r="AP466" s="1" t="s">
        <v>3265</v>
      </c>
      <c r="AQ466" s="1" t="s">
        <v>3266</v>
      </c>
      <c r="AR466" s="1" t="s">
        <v>1507</v>
      </c>
      <c r="AS466" s="1" t="s">
        <v>3267</v>
      </c>
      <c r="AT466" s="1" t="s">
        <v>3268</v>
      </c>
      <c r="AU466" s="1" t="s">
        <v>6817</v>
      </c>
      <c r="AV466" s="1">
        <v>2022</v>
      </c>
      <c r="AW466" s="1">
        <v>119</v>
      </c>
      <c r="AX466" s="1">
        <v>45</v>
      </c>
      <c r="AY466" s="1" t="s">
        <v>1507</v>
      </c>
      <c r="AZ466" s="1" t="s">
        <v>1507</v>
      </c>
      <c r="BA466" s="1" t="s">
        <v>1507</v>
      </c>
      <c r="BB466" s="1" t="s">
        <v>1507</v>
      </c>
      <c r="BC466" s="1" t="s">
        <v>1507</v>
      </c>
      <c r="BD466" s="1" t="s">
        <v>1507</v>
      </c>
      <c r="BE466" s="1" t="s">
        <v>6818</v>
      </c>
      <c r="BF466" s="1" t="s">
        <v>6819</v>
      </c>
      <c r="BG466" s="1" t="str">
        <f>HYPERLINK("http://dx.doi.org/10.1073/pnas.2211715119","http://dx.doi.org/10.1073/pnas.2211715119")</f>
        <v>http://dx.doi.org/10.1073/pnas.2211715119</v>
      </c>
      <c r="BH466" s="1" t="s">
        <v>1507</v>
      </c>
      <c r="BI466" s="1" t="s">
        <v>1507</v>
      </c>
      <c r="BJ466" s="1">
        <v>8</v>
      </c>
      <c r="BK466" s="1" t="s">
        <v>1776</v>
      </c>
      <c r="BL466" s="1" t="s">
        <v>1573</v>
      </c>
      <c r="BM466" s="1" t="s">
        <v>1777</v>
      </c>
      <c r="BN466" s="1" t="s">
        <v>6820</v>
      </c>
      <c r="BO466" s="1">
        <v>36322749</v>
      </c>
      <c r="BP466" s="1" t="s">
        <v>2309</v>
      </c>
      <c r="BQ466" s="1" t="s">
        <v>1507</v>
      </c>
      <c r="BR466" s="1" t="s">
        <v>1507</v>
      </c>
      <c r="BS466" s="1" t="s">
        <v>13744</v>
      </c>
      <c r="BT466" s="1" t="s">
        <v>6821</v>
      </c>
      <c r="BU466" s="1" t="str">
        <f>HYPERLINK("https%3A%2F%2Fwww.webofscience.com%2Fwos%2Fwoscc%2Ffull-record%2FWOS:000907643500053","View Full Record in Web of Science")</f>
        <v>View Full Record in Web of Science</v>
      </c>
    </row>
    <row r="467" spans="1:73" x14ac:dyDescent="0.25">
      <c r="A467" s="1">
        <v>466</v>
      </c>
      <c r="B467" s="1" t="s">
        <v>1506</v>
      </c>
      <c r="C467" s="1" t="s">
        <v>10428</v>
      </c>
      <c r="D467" s="1" t="s">
        <v>1507</v>
      </c>
      <c r="E467" s="1" t="s">
        <v>1507</v>
      </c>
      <c r="F467" s="1" t="s">
        <v>1507</v>
      </c>
      <c r="G467" s="1" t="s">
        <v>10429</v>
      </c>
      <c r="H467" s="1" t="s">
        <v>1507</v>
      </c>
      <c r="I467" s="1" t="s">
        <v>1507</v>
      </c>
      <c r="J467" s="1" t="s">
        <v>10430</v>
      </c>
      <c r="K467" s="1" t="s">
        <v>10431</v>
      </c>
      <c r="L467" s="1" t="s">
        <v>1507</v>
      </c>
      <c r="M467" s="1" t="s">
        <v>1507</v>
      </c>
      <c r="N467" s="1" t="s">
        <v>42</v>
      </c>
      <c r="O467" s="1" t="s">
        <v>56</v>
      </c>
      <c r="P467" s="1" t="s">
        <v>1507</v>
      </c>
      <c r="Q467" s="1" t="s">
        <v>1507</v>
      </c>
      <c r="R467" s="1" t="s">
        <v>1507</v>
      </c>
      <c r="S467" s="1" t="s">
        <v>1507</v>
      </c>
      <c r="T467" s="1" t="s">
        <v>1507</v>
      </c>
      <c r="U467" s="1" t="s">
        <v>10432</v>
      </c>
      <c r="V467" s="1" t="s">
        <v>10433</v>
      </c>
      <c r="W467" s="1" t="s">
        <v>10434</v>
      </c>
      <c r="X467" s="1" t="s">
        <v>10435</v>
      </c>
      <c r="Y467" s="1" t="s">
        <v>10436</v>
      </c>
      <c r="Z467" s="1" t="s">
        <v>10437</v>
      </c>
      <c r="AA467" s="1" t="s">
        <v>10438</v>
      </c>
      <c r="AB467" s="1" t="s">
        <v>15854</v>
      </c>
      <c r="AC467" s="1" t="s">
        <v>15855</v>
      </c>
      <c r="AD467" s="1" t="s">
        <v>10439</v>
      </c>
      <c r="AE467" s="1" t="s">
        <v>10440</v>
      </c>
      <c r="AF467" s="1" t="s">
        <v>10441</v>
      </c>
      <c r="AG467" s="1" t="s">
        <v>1507</v>
      </c>
      <c r="AH467" s="1">
        <v>26</v>
      </c>
      <c r="AI467" s="1">
        <v>6</v>
      </c>
      <c r="AJ467" s="1">
        <v>9</v>
      </c>
      <c r="AK467" s="1">
        <v>0</v>
      </c>
      <c r="AL467" s="1">
        <v>4</v>
      </c>
      <c r="AM467" s="1" t="s">
        <v>1725</v>
      </c>
      <c r="AN467" s="1" t="s">
        <v>1551</v>
      </c>
      <c r="AO467" s="1" t="s">
        <v>1726</v>
      </c>
      <c r="AP467" s="1" t="s">
        <v>1507</v>
      </c>
      <c r="AQ467" s="1" t="s">
        <v>10442</v>
      </c>
      <c r="AR467" s="1" t="s">
        <v>1507</v>
      </c>
      <c r="AS467" s="1" t="s">
        <v>10443</v>
      </c>
      <c r="AT467" s="1" t="s">
        <v>10444</v>
      </c>
      <c r="AU467" s="1" t="s">
        <v>10445</v>
      </c>
      <c r="AV467" s="1">
        <v>2019</v>
      </c>
      <c r="AW467" s="1">
        <v>19</v>
      </c>
      <c r="AX467" s="1">
        <v>1</v>
      </c>
      <c r="AY467" s="1" t="s">
        <v>1507</v>
      </c>
      <c r="AZ467" s="1" t="s">
        <v>1507</v>
      </c>
      <c r="BA467" s="1" t="s">
        <v>1507</v>
      </c>
      <c r="BB467" s="1" t="s">
        <v>1507</v>
      </c>
      <c r="BC467" s="1" t="s">
        <v>1507</v>
      </c>
      <c r="BD467" s="1" t="s">
        <v>1507</v>
      </c>
      <c r="BE467" s="1">
        <v>493</v>
      </c>
      <c r="BF467" s="1" t="s">
        <v>10446</v>
      </c>
      <c r="BG467" s="1" t="str">
        <f>HYPERLINK("http://dx.doi.org/10.1186/s12884-019-2602-2","http://dx.doi.org/10.1186/s12884-019-2602-2")</f>
        <v>http://dx.doi.org/10.1186/s12884-019-2602-2</v>
      </c>
      <c r="BH467" s="1" t="s">
        <v>1507</v>
      </c>
      <c r="BI467" s="1" t="s">
        <v>1507</v>
      </c>
      <c r="BJ467" s="1">
        <v>8</v>
      </c>
      <c r="BK467" s="1" t="s">
        <v>10447</v>
      </c>
      <c r="BL467" s="1" t="s">
        <v>1573</v>
      </c>
      <c r="BM467" s="1" t="s">
        <v>10447</v>
      </c>
      <c r="BN467" s="1" t="s">
        <v>10448</v>
      </c>
      <c r="BO467" s="1">
        <v>31829138</v>
      </c>
      <c r="BP467" s="1" t="s">
        <v>1952</v>
      </c>
      <c r="BQ467" s="1" t="s">
        <v>1507</v>
      </c>
      <c r="BR467" s="1" t="s">
        <v>1507</v>
      </c>
      <c r="BS467" s="1" t="s">
        <v>13744</v>
      </c>
      <c r="BT467" s="1" t="s">
        <v>10449</v>
      </c>
      <c r="BU467" s="1" t="str">
        <f>HYPERLINK("https%3A%2F%2Fwww.webofscience.com%2Fwos%2Fwoscc%2Ffull-record%2FWOS:000511436400003","View Full Record in Web of Science")</f>
        <v>View Full Record in Web of Science</v>
      </c>
    </row>
    <row r="468" spans="1:73" x14ac:dyDescent="0.25">
      <c r="A468" s="1">
        <v>467</v>
      </c>
      <c r="B468" s="1" t="s">
        <v>5546</v>
      </c>
      <c r="C468" s="1" t="s">
        <v>15340</v>
      </c>
      <c r="D468" s="1" t="s">
        <v>1507</v>
      </c>
      <c r="E468" s="1" t="s">
        <v>15341</v>
      </c>
      <c r="F468" s="1" t="s">
        <v>1507</v>
      </c>
      <c r="G468" s="1" t="s">
        <v>15342</v>
      </c>
      <c r="H468" s="1" t="s">
        <v>1507</v>
      </c>
      <c r="I468" s="1" t="s">
        <v>1507</v>
      </c>
      <c r="J468" s="1" t="s">
        <v>15343</v>
      </c>
      <c r="K468" s="1" t="s">
        <v>15344</v>
      </c>
      <c r="L468" s="1" t="s">
        <v>6208</v>
      </c>
      <c r="M468" s="1" t="s">
        <v>1507</v>
      </c>
      <c r="N468" s="1" t="s">
        <v>42</v>
      </c>
      <c r="O468" s="1" t="s">
        <v>5552</v>
      </c>
      <c r="P468" s="1" t="s">
        <v>15345</v>
      </c>
      <c r="Q468" s="1" t="s">
        <v>6370</v>
      </c>
      <c r="R468" s="1" t="s">
        <v>15346</v>
      </c>
      <c r="S468" s="1" t="s">
        <v>1507</v>
      </c>
      <c r="T468" s="1" t="s">
        <v>1507</v>
      </c>
      <c r="U468" s="1" t="s">
        <v>15347</v>
      </c>
      <c r="V468" s="1" t="s">
        <v>1507</v>
      </c>
      <c r="W468" s="1" t="s">
        <v>15348</v>
      </c>
      <c r="X468" s="1" t="s">
        <v>15349</v>
      </c>
      <c r="Y468" s="1" t="s">
        <v>15350</v>
      </c>
      <c r="Z468" s="1" t="s">
        <v>15351</v>
      </c>
      <c r="AA468" s="1" t="s">
        <v>15352</v>
      </c>
      <c r="AB468" s="1" t="s">
        <v>15353</v>
      </c>
      <c r="AC468" s="1" t="s">
        <v>15354</v>
      </c>
      <c r="AD468" s="1" t="s">
        <v>15355</v>
      </c>
      <c r="AE468" s="1" t="s">
        <v>15356</v>
      </c>
      <c r="AF468" s="1" t="s">
        <v>15357</v>
      </c>
      <c r="AG468" s="1" t="s">
        <v>1507</v>
      </c>
      <c r="AH468" s="1">
        <v>41</v>
      </c>
      <c r="AI468" s="1">
        <v>0</v>
      </c>
      <c r="AJ468" s="1">
        <v>0</v>
      </c>
      <c r="AK468" s="1">
        <v>0</v>
      </c>
      <c r="AL468" s="1">
        <v>0</v>
      </c>
      <c r="AM468" s="1" t="s">
        <v>6221</v>
      </c>
      <c r="AN468" s="1" t="s">
        <v>6222</v>
      </c>
      <c r="AO468" s="1" t="s">
        <v>6223</v>
      </c>
      <c r="AP468" s="1" t="s">
        <v>6224</v>
      </c>
      <c r="AQ468" s="1" t="s">
        <v>6225</v>
      </c>
      <c r="AR468" s="1" t="s">
        <v>15358</v>
      </c>
      <c r="AS468" s="1" t="s">
        <v>6227</v>
      </c>
      <c r="AT468" s="1" t="s">
        <v>1507</v>
      </c>
      <c r="AU468" s="1" t="s">
        <v>1507</v>
      </c>
      <c r="AV468" s="1">
        <v>2023</v>
      </c>
      <c r="AW468" s="1">
        <v>14261</v>
      </c>
      <c r="AX468" s="1" t="s">
        <v>1507</v>
      </c>
      <c r="AY468" s="1" t="s">
        <v>1507</v>
      </c>
      <c r="AZ468" s="1" t="s">
        <v>1507</v>
      </c>
      <c r="BA468" s="1" t="s">
        <v>1507</v>
      </c>
      <c r="BB468" s="1" t="s">
        <v>1507</v>
      </c>
      <c r="BC468" s="1">
        <v>407</v>
      </c>
      <c r="BD468" s="1">
        <v>418</v>
      </c>
      <c r="BE468" s="1" t="s">
        <v>1507</v>
      </c>
      <c r="BF468" s="1" t="s">
        <v>15359</v>
      </c>
      <c r="BG468" s="1" t="str">
        <f>HYPERLINK("http://dx.doi.org/10.1007/978-3-031-44198-1_34","http://dx.doi.org/10.1007/978-3-031-44198-1_34")</f>
        <v>http://dx.doi.org/10.1007/978-3-031-44198-1_34</v>
      </c>
      <c r="BH468" s="1" t="s">
        <v>1507</v>
      </c>
      <c r="BI468" s="1" t="s">
        <v>1507</v>
      </c>
      <c r="BJ468" s="1">
        <v>12</v>
      </c>
      <c r="BK468" s="1" t="s">
        <v>2678</v>
      </c>
      <c r="BL468" s="1" t="s">
        <v>5570</v>
      </c>
      <c r="BM468" s="1" t="s">
        <v>1577</v>
      </c>
      <c r="BN468" s="1" t="s">
        <v>15360</v>
      </c>
      <c r="BO468" s="1" t="s">
        <v>1507</v>
      </c>
      <c r="BP468" s="1" t="s">
        <v>1507</v>
      </c>
      <c r="BQ468" s="1" t="s">
        <v>1507</v>
      </c>
      <c r="BR468" s="1" t="s">
        <v>1507</v>
      </c>
      <c r="BS468" s="1" t="s">
        <v>13744</v>
      </c>
      <c r="BT468" s="1" t="s">
        <v>15361</v>
      </c>
      <c r="BU468" s="1" t="str">
        <f>HYPERLINK("https%3A%2F%2Fwww.webofscience.com%2Fwos%2Fwoscc%2Ffull-record%2FWOS:001157297600034","View Full Record in Web of Science")</f>
        <v>View Full Record in Web of Science</v>
      </c>
    </row>
    <row r="469" spans="1:73" x14ac:dyDescent="0.25">
      <c r="A469" s="1">
        <v>468</v>
      </c>
      <c r="B469" s="1" t="s">
        <v>5546</v>
      </c>
      <c r="C469" s="1" t="s">
        <v>6318</v>
      </c>
      <c r="D469" s="1" t="s">
        <v>1507</v>
      </c>
      <c r="E469" s="1" t="s">
        <v>1507</v>
      </c>
      <c r="F469" s="1" t="s">
        <v>5548</v>
      </c>
      <c r="G469" s="1" t="s">
        <v>6319</v>
      </c>
      <c r="H469" s="1" t="s">
        <v>1507</v>
      </c>
      <c r="I469" s="1" t="s">
        <v>1507</v>
      </c>
      <c r="J469" s="1" t="s">
        <v>33</v>
      </c>
      <c r="K469" s="1" t="s">
        <v>6114</v>
      </c>
      <c r="L469" s="1" t="s">
        <v>1507</v>
      </c>
      <c r="M469" s="1" t="s">
        <v>1507</v>
      </c>
      <c r="N469" s="1" t="s">
        <v>42</v>
      </c>
      <c r="O469" s="1" t="s">
        <v>5552</v>
      </c>
      <c r="P469" s="1" t="s">
        <v>6115</v>
      </c>
      <c r="Q469" s="1" t="s">
        <v>6116</v>
      </c>
      <c r="R469" s="1" t="s">
        <v>5942</v>
      </c>
      <c r="S469" s="1" t="s">
        <v>6117</v>
      </c>
      <c r="T469" s="1" t="s">
        <v>1507</v>
      </c>
      <c r="U469" s="1" t="s">
        <v>6320</v>
      </c>
      <c r="V469" s="1" t="s">
        <v>1507</v>
      </c>
      <c r="W469" s="1" t="s">
        <v>6321</v>
      </c>
      <c r="X469" s="1" t="s">
        <v>6322</v>
      </c>
      <c r="Y469" s="1" t="s">
        <v>6323</v>
      </c>
      <c r="Z469" s="1" t="s">
        <v>6324</v>
      </c>
      <c r="AA469" s="1" t="s">
        <v>6325</v>
      </c>
      <c r="AB469" s="1" t="s">
        <v>15362</v>
      </c>
      <c r="AC469" s="1" t="s">
        <v>15363</v>
      </c>
      <c r="AD469" s="1" t="s">
        <v>1507</v>
      </c>
      <c r="AE469" s="1" t="s">
        <v>1507</v>
      </c>
      <c r="AF469" s="1" t="s">
        <v>1507</v>
      </c>
      <c r="AG469" s="1" t="s">
        <v>1507</v>
      </c>
      <c r="AH469" s="1">
        <v>52</v>
      </c>
      <c r="AI469" s="1">
        <v>4</v>
      </c>
      <c r="AJ469" s="1">
        <v>4</v>
      </c>
      <c r="AK469" s="1">
        <v>5</v>
      </c>
      <c r="AL469" s="1">
        <v>5</v>
      </c>
      <c r="AM469" s="1" t="s">
        <v>5565</v>
      </c>
      <c r="AN469" s="1" t="s">
        <v>1512</v>
      </c>
      <c r="AO469" s="1" t="s">
        <v>5566</v>
      </c>
      <c r="AP469" s="1" t="s">
        <v>1507</v>
      </c>
      <c r="AQ469" s="1" t="s">
        <v>1507</v>
      </c>
      <c r="AR469" s="1" t="s">
        <v>6127</v>
      </c>
      <c r="AS469" s="1" t="s">
        <v>1507</v>
      </c>
      <c r="AT469" s="1" t="s">
        <v>1507</v>
      </c>
      <c r="AU469" s="1" t="s">
        <v>1507</v>
      </c>
      <c r="AV469" s="1">
        <v>2023</v>
      </c>
      <c r="AW469" s="1" t="s">
        <v>1507</v>
      </c>
      <c r="AX469" s="1" t="s">
        <v>1507</v>
      </c>
      <c r="AY469" s="1" t="s">
        <v>1507</v>
      </c>
      <c r="AZ469" s="1" t="s">
        <v>1507</v>
      </c>
      <c r="BA469" s="1" t="s">
        <v>1507</v>
      </c>
      <c r="BB469" s="1" t="s">
        <v>1507</v>
      </c>
      <c r="BC469" s="1">
        <v>78</v>
      </c>
      <c r="BD469" s="1">
        <v>92</v>
      </c>
      <c r="BE469" s="1" t="s">
        <v>1507</v>
      </c>
      <c r="BF469" s="1" t="s">
        <v>35</v>
      </c>
      <c r="BG469" s="1" t="str">
        <f>HYPERLINK("http://dx.doi.org/10.1145/3568813.3600142","http://dx.doi.org/10.1145/3568813.3600142")</f>
        <v>http://dx.doi.org/10.1145/3568813.3600142</v>
      </c>
      <c r="BH469" s="1" t="s">
        <v>1507</v>
      </c>
      <c r="BI469" s="1" t="s">
        <v>1507</v>
      </c>
      <c r="BJ469" s="1">
        <v>15</v>
      </c>
      <c r="BK469" s="1" t="s">
        <v>6128</v>
      </c>
      <c r="BL469" s="1" t="s">
        <v>5695</v>
      </c>
      <c r="BM469" s="1" t="s">
        <v>6108</v>
      </c>
      <c r="BN469" s="1" t="s">
        <v>6129</v>
      </c>
      <c r="BO469" s="1" t="s">
        <v>1507</v>
      </c>
      <c r="BP469" s="1" t="s">
        <v>2574</v>
      </c>
      <c r="BQ469" s="1" t="s">
        <v>1507</v>
      </c>
      <c r="BR469" s="1" t="s">
        <v>1507</v>
      </c>
      <c r="BS469" s="1" t="s">
        <v>13744</v>
      </c>
      <c r="BT469" s="1" t="s">
        <v>6326</v>
      </c>
      <c r="BU469" s="1" t="str">
        <f>HYPERLINK("https%3A%2F%2Fwww.webofscience.com%2Fwos%2Fwoscc%2Ffull-record%2FWOS:001141973500006","View Full Record in Web of Science")</f>
        <v>View Full Record in Web of Science</v>
      </c>
    </row>
    <row r="470" spans="1:73" x14ac:dyDescent="0.25">
      <c r="A470" s="1">
        <v>469</v>
      </c>
      <c r="B470" s="1" t="s">
        <v>1506</v>
      </c>
      <c r="C470" s="1" t="s">
        <v>10815</v>
      </c>
      <c r="D470" s="1" t="s">
        <v>1507</v>
      </c>
      <c r="E470" s="1" t="s">
        <v>1507</v>
      </c>
      <c r="F470" s="1" t="s">
        <v>1507</v>
      </c>
      <c r="G470" s="1" t="s">
        <v>10816</v>
      </c>
      <c r="H470" s="1" t="s">
        <v>1507</v>
      </c>
      <c r="I470" s="1" t="s">
        <v>1507</v>
      </c>
      <c r="J470" s="1" t="s">
        <v>10817</v>
      </c>
      <c r="K470" s="1" t="s">
        <v>8666</v>
      </c>
      <c r="L470" s="1" t="s">
        <v>1507</v>
      </c>
      <c r="M470" s="1" t="s">
        <v>1507</v>
      </c>
      <c r="N470" s="1" t="s">
        <v>42</v>
      </c>
      <c r="O470" s="1" t="s">
        <v>56</v>
      </c>
      <c r="P470" s="1" t="s">
        <v>1507</v>
      </c>
      <c r="Q470" s="1" t="s">
        <v>1507</v>
      </c>
      <c r="R470" s="1" t="s">
        <v>1507</v>
      </c>
      <c r="S470" s="1" t="s">
        <v>1507</v>
      </c>
      <c r="T470" s="1" t="s">
        <v>1507</v>
      </c>
      <c r="U470" s="1" t="s">
        <v>1507</v>
      </c>
      <c r="V470" s="1" t="s">
        <v>10818</v>
      </c>
      <c r="W470" s="1" t="s">
        <v>10819</v>
      </c>
      <c r="X470" s="1" t="s">
        <v>10820</v>
      </c>
      <c r="Y470" s="1" t="s">
        <v>15917</v>
      </c>
      <c r="Z470" s="1" t="s">
        <v>10821</v>
      </c>
      <c r="AA470" s="1" t="s">
        <v>10822</v>
      </c>
      <c r="AB470" s="1" t="s">
        <v>15918</v>
      </c>
      <c r="AC470" s="1" t="s">
        <v>15919</v>
      </c>
      <c r="AD470" s="1" t="s">
        <v>10823</v>
      </c>
      <c r="AE470" s="1" t="s">
        <v>10824</v>
      </c>
      <c r="AF470" s="1" t="s">
        <v>10825</v>
      </c>
      <c r="AG470" s="1" t="s">
        <v>1507</v>
      </c>
      <c r="AH470" s="1">
        <v>74</v>
      </c>
      <c r="AI470" s="1">
        <v>54</v>
      </c>
      <c r="AJ470" s="1">
        <v>57</v>
      </c>
      <c r="AK470" s="1">
        <v>0</v>
      </c>
      <c r="AL470" s="1">
        <v>10</v>
      </c>
      <c r="AM470" s="1" t="s">
        <v>8675</v>
      </c>
      <c r="AN470" s="1" t="s">
        <v>8676</v>
      </c>
      <c r="AO470" s="1" t="s">
        <v>8677</v>
      </c>
      <c r="AP470" s="1" t="s">
        <v>1507</v>
      </c>
      <c r="AQ470" s="1" t="s">
        <v>8678</v>
      </c>
      <c r="AR470" s="1" t="s">
        <v>1507</v>
      </c>
      <c r="AS470" s="1" t="s">
        <v>8666</v>
      </c>
      <c r="AT470" s="1" t="s">
        <v>8679</v>
      </c>
      <c r="AU470" s="1" t="s">
        <v>10826</v>
      </c>
      <c r="AV470" s="1">
        <v>2019</v>
      </c>
      <c r="AW470" s="1">
        <v>4</v>
      </c>
      <c r="AX470" s="1">
        <v>13</v>
      </c>
      <c r="AY470" s="1" t="s">
        <v>1507</v>
      </c>
      <c r="AZ470" s="1" t="s">
        <v>1507</v>
      </c>
      <c r="BA470" s="1" t="s">
        <v>1507</v>
      </c>
      <c r="BB470" s="1" t="s">
        <v>1507</v>
      </c>
      <c r="BC470" s="1" t="s">
        <v>1507</v>
      </c>
      <c r="BD470" s="1" t="s">
        <v>1507</v>
      </c>
      <c r="BE470" s="1" t="s">
        <v>10827</v>
      </c>
      <c r="BF470" s="1" t="s">
        <v>10828</v>
      </c>
      <c r="BG470" s="1" t="str">
        <f>HYPERLINK("http://dx.doi.org/10.1172/jci.insight.122998","http://dx.doi.org/10.1172/jci.insight.122998")</f>
        <v>http://dx.doi.org/10.1172/jci.insight.122998</v>
      </c>
      <c r="BH470" s="1" t="s">
        <v>1507</v>
      </c>
      <c r="BI470" s="1" t="s">
        <v>1507</v>
      </c>
      <c r="BJ470" s="1">
        <v>19</v>
      </c>
      <c r="BK470" s="1" t="s">
        <v>3858</v>
      </c>
      <c r="BL470" s="1" t="s">
        <v>1573</v>
      </c>
      <c r="BM470" s="1" t="s">
        <v>3859</v>
      </c>
      <c r="BN470" s="1" t="s">
        <v>10829</v>
      </c>
      <c r="BO470" s="1">
        <v>31145099</v>
      </c>
      <c r="BP470" s="1" t="s">
        <v>2040</v>
      </c>
      <c r="BQ470" s="1" t="s">
        <v>1507</v>
      </c>
      <c r="BR470" s="1" t="s">
        <v>1507</v>
      </c>
      <c r="BS470" s="1" t="s">
        <v>13744</v>
      </c>
      <c r="BT470" s="1" t="s">
        <v>10830</v>
      </c>
      <c r="BU470" s="1" t="str">
        <f>HYPERLINK("https%3A%2F%2Fwww.webofscience.com%2Fwos%2Fwoscc%2Ffull-record%2FWOS:000474918000001","View Full Record in Web of Science")</f>
        <v>View Full Record in Web of Science</v>
      </c>
    </row>
    <row r="471" spans="1:73" x14ac:dyDescent="0.25">
      <c r="A471" s="1">
        <v>470</v>
      </c>
      <c r="B471" s="1" t="s">
        <v>1506</v>
      </c>
      <c r="C471" s="1" t="s">
        <v>7278</v>
      </c>
      <c r="D471" s="1" t="s">
        <v>1507</v>
      </c>
      <c r="E471" s="1" t="s">
        <v>1507</v>
      </c>
      <c r="F471" s="1" t="s">
        <v>1507</v>
      </c>
      <c r="G471" s="1" t="s">
        <v>7279</v>
      </c>
      <c r="H471" s="1" t="s">
        <v>1507</v>
      </c>
      <c r="I471" s="1" t="s">
        <v>1507</v>
      </c>
      <c r="J471" s="1" t="s">
        <v>7280</v>
      </c>
      <c r="K471" s="1" t="s">
        <v>7281</v>
      </c>
      <c r="L471" s="1" t="s">
        <v>1507</v>
      </c>
      <c r="M471" s="1" t="s">
        <v>1507</v>
      </c>
      <c r="N471" s="1" t="s">
        <v>42</v>
      </c>
      <c r="O471" s="1" t="s">
        <v>56</v>
      </c>
      <c r="P471" s="1" t="s">
        <v>1507</v>
      </c>
      <c r="Q471" s="1" t="s">
        <v>1507</v>
      </c>
      <c r="R471" s="1" t="s">
        <v>1507</v>
      </c>
      <c r="S471" s="1" t="s">
        <v>1507</v>
      </c>
      <c r="T471" s="1" t="s">
        <v>1507</v>
      </c>
      <c r="U471" s="1" t="s">
        <v>7282</v>
      </c>
      <c r="V471" s="1" t="s">
        <v>7283</v>
      </c>
      <c r="W471" s="1" t="s">
        <v>7284</v>
      </c>
      <c r="X471" s="1" t="s">
        <v>7285</v>
      </c>
      <c r="Y471" s="1" t="s">
        <v>7286</v>
      </c>
      <c r="Z471" s="1" t="s">
        <v>7287</v>
      </c>
      <c r="AA471" s="1" t="s">
        <v>7288</v>
      </c>
      <c r="AB471" s="1" t="s">
        <v>5251</v>
      </c>
      <c r="AC471" s="1" t="s">
        <v>15619</v>
      </c>
      <c r="AD471" s="1" t="s">
        <v>7289</v>
      </c>
      <c r="AE471" s="1" t="s">
        <v>7290</v>
      </c>
      <c r="AF471" s="1" t="s">
        <v>7291</v>
      </c>
      <c r="AG471" s="1" t="s">
        <v>1507</v>
      </c>
      <c r="AH471" s="1">
        <v>88</v>
      </c>
      <c r="AI471" s="1">
        <v>12</v>
      </c>
      <c r="AJ471" s="1">
        <v>13</v>
      </c>
      <c r="AK471" s="1">
        <v>11</v>
      </c>
      <c r="AL471" s="1">
        <v>60</v>
      </c>
      <c r="AM471" s="1" t="s">
        <v>2372</v>
      </c>
      <c r="AN471" s="1" t="s">
        <v>2300</v>
      </c>
      <c r="AO471" s="1" t="s">
        <v>2373</v>
      </c>
      <c r="AP471" s="1" t="s">
        <v>7292</v>
      </c>
      <c r="AQ471" s="1" t="s">
        <v>1507</v>
      </c>
      <c r="AR471" s="1" t="s">
        <v>1507</v>
      </c>
      <c r="AS471" s="1" t="s">
        <v>7293</v>
      </c>
      <c r="AT471" s="1" t="s">
        <v>7294</v>
      </c>
      <c r="AU471" s="1" t="s">
        <v>7295</v>
      </c>
      <c r="AV471" s="1">
        <v>2022</v>
      </c>
      <c r="AW471" s="1">
        <v>6</v>
      </c>
      <c r="AX471" s="1">
        <v>4</v>
      </c>
      <c r="AY471" s="1" t="s">
        <v>1507</v>
      </c>
      <c r="AZ471" s="1" t="s">
        <v>1507</v>
      </c>
      <c r="BA471" s="1" t="s">
        <v>1507</v>
      </c>
      <c r="BB471" s="1" t="s">
        <v>1507</v>
      </c>
      <c r="BC471" s="1">
        <v>1095</v>
      </c>
      <c r="BD471" s="1">
        <v>1107</v>
      </c>
      <c r="BE471" s="1" t="s">
        <v>1507</v>
      </c>
      <c r="BF471" s="1" t="s">
        <v>7296</v>
      </c>
      <c r="BG471" s="1" t="str">
        <f>HYPERLINK("http://dx.doi.org/10.1021/acsearthspacechem.2c00017","http://dx.doi.org/10.1021/acsearthspacechem.2c00017")</f>
        <v>http://dx.doi.org/10.1021/acsearthspacechem.2c00017</v>
      </c>
      <c r="BH471" s="1" t="s">
        <v>1507</v>
      </c>
      <c r="BI471" s="1" t="s">
        <v>1507</v>
      </c>
      <c r="BJ471" s="1">
        <v>13</v>
      </c>
      <c r="BK471" s="1" t="s">
        <v>7297</v>
      </c>
      <c r="BL471" s="1" t="s">
        <v>1573</v>
      </c>
      <c r="BM471" s="1" t="s">
        <v>7298</v>
      </c>
      <c r="BN471" s="1" t="s">
        <v>7299</v>
      </c>
      <c r="BO471" s="1" t="s">
        <v>1507</v>
      </c>
      <c r="BP471" s="1" t="s">
        <v>1507</v>
      </c>
      <c r="BQ471" s="1" t="s">
        <v>1507</v>
      </c>
      <c r="BR471" s="1" t="s">
        <v>1507</v>
      </c>
      <c r="BS471" s="1" t="s">
        <v>13744</v>
      </c>
      <c r="BT471" s="1" t="s">
        <v>7300</v>
      </c>
      <c r="BU471" s="1" t="str">
        <f>HYPERLINK("https%3A%2F%2Fwww.webofscience.com%2Fwos%2Fwoscc%2Ffull-record%2FWOS:000794564400023","View Full Record in Web of Science")</f>
        <v>View Full Record in Web of Science</v>
      </c>
    </row>
    <row r="472" spans="1:73" x14ac:dyDescent="0.25">
      <c r="A472" s="1">
        <v>471</v>
      </c>
      <c r="B472" s="1" t="s">
        <v>1506</v>
      </c>
      <c r="C472" s="1" t="s">
        <v>5139</v>
      </c>
      <c r="D472" s="1" t="s">
        <v>1507</v>
      </c>
      <c r="E472" s="1" t="s">
        <v>1507</v>
      </c>
      <c r="F472" s="1" t="s">
        <v>1507</v>
      </c>
      <c r="G472" s="1" t="s">
        <v>5140</v>
      </c>
      <c r="H472" s="1" t="s">
        <v>1507</v>
      </c>
      <c r="I472" s="1" t="s">
        <v>1507</v>
      </c>
      <c r="J472" s="1" t="s">
        <v>5141</v>
      </c>
      <c r="K472" s="1" t="s">
        <v>5142</v>
      </c>
      <c r="L472" s="1" t="s">
        <v>1507</v>
      </c>
      <c r="M472" s="1" t="s">
        <v>1507</v>
      </c>
      <c r="N472" s="1" t="s">
        <v>42</v>
      </c>
      <c r="O472" s="1" t="s">
        <v>1509</v>
      </c>
      <c r="P472" s="1" t="s">
        <v>1507</v>
      </c>
      <c r="Q472" s="1" t="s">
        <v>1507</v>
      </c>
      <c r="R472" s="1" t="s">
        <v>1507</v>
      </c>
      <c r="S472" s="1" t="s">
        <v>1507</v>
      </c>
      <c r="T472" s="1" t="s">
        <v>1507</v>
      </c>
      <c r="U472" s="1" t="s">
        <v>5143</v>
      </c>
      <c r="V472" s="1" t="s">
        <v>5144</v>
      </c>
      <c r="W472" s="1" t="s">
        <v>5145</v>
      </c>
      <c r="X472" s="1" t="s">
        <v>5146</v>
      </c>
      <c r="Y472" s="1" t="s">
        <v>5147</v>
      </c>
      <c r="Z472" s="1" t="s">
        <v>5148</v>
      </c>
      <c r="AA472" s="1" t="s">
        <v>5149</v>
      </c>
      <c r="AB472" s="1" t="s">
        <v>5150</v>
      </c>
      <c r="AC472" s="1" t="s">
        <v>14785</v>
      </c>
      <c r="AD472" s="1" t="s">
        <v>5151</v>
      </c>
      <c r="AE472" s="1" t="s">
        <v>5152</v>
      </c>
      <c r="AF472" s="1" t="s">
        <v>5153</v>
      </c>
      <c r="AG472" s="1" t="s">
        <v>1507</v>
      </c>
      <c r="AH472" s="1">
        <v>96</v>
      </c>
      <c r="AI472" s="1">
        <v>10</v>
      </c>
      <c r="AJ472" s="1">
        <v>10</v>
      </c>
      <c r="AK472" s="1">
        <v>30</v>
      </c>
      <c r="AL472" s="1">
        <v>65</v>
      </c>
      <c r="AM472" s="1" t="s">
        <v>1511</v>
      </c>
      <c r="AN472" s="1" t="s">
        <v>1570</v>
      </c>
      <c r="AO472" s="1" t="s">
        <v>1571</v>
      </c>
      <c r="AP472" s="1" t="s">
        <v>5154</v>
      </c>
      <c r="AQ472" s="1" t="s">
        <v>5155</v>
      </c>
      <c r="AR472" s="1" t="s">
        <v>1507</v>
      </c>
      <c r="AS472" s="1" t="s">
        <v>5156</v>
      </c>
      <c r="AT472" s="1" t="s">
        <v>5157</v>
      </c>
      <c r="AU472" s="1" t="s">
        <v>5158</v>
      </c>
      <c r="AV472" s="1">
        <v>2023</v>
      </c>
      <c r="AW472" s="1" t="s">
        <v>1507</v>
      </c>
      <c r="AX472" s="1" t="s">
        <v>1507</v>
      </c>
      <c r="AY472" s="1" t="s">
        <v>1507</v>
      </c>
      <c r="AZ472" s="1" t="s">
        <v>1507</v>
      </c>
      <c r="BA472" s="1" t="s">
        <v>1507</v>
      </c>
      <c r="BB472" s="1" t="s">
        <v>1507</v>
      </c>
      <c r="BC472" s="1" t="s">
        <v>1507</v>
      </c>
      <c r="BD472" s="1" t="s">
        <v>1507</v>
      </c>
      <c r="BE472" s="1" t="s">
        <v>1507</v>
      </c>
      <c r="BF472" s="1" t="s">
        <v>5159</v>
      </c>
      <c r="BG472" s="1" t="str">
        <f>HYPERLINK("http://dx.doi.org/10.1007/s10796-023-10375-9","http://dx.doi.org/10.1007/s10796-023-10375-9")</f>
        <v>http://dx.doi.org/10.1007/s10796-023-10375-9</v>
      </c>
      <c r="BH472" s="1" t="s">
        <v>1507</v>
      </c>
      <c r="BI472" s="1" t="s">
        <v>5090</v>
      </c>
      <c r="BJ472" s="1">
        <v>26</v>
      </c>
      <c r="BK472" s="1" t="s">
        <v>5160</v>
      </c>
      <c r="BL472" s="1" t="s">
        <v>1573</v>
      </c>
      <c r="BM472" s="1" t="s">
        <v>1577</v>
      </c>
      <c r="BN472" s="1" t="s">
        <v>5161</v>
      </c>
      <c r="BO472" s="1" t="s">
        <v>1507</v>
      </c>
      <c r="BP472" s="1" t="s">
        <v>4924</v>
      </c>
      <c r="BQ472" s="1" t="s">
        <v>1507</v>
      </c>
      <c r="BR472" s="1" t="s">
        <v>1507</v>
      </c>
      <c r="BS472" s="1" t="s">
        <v>13744</v>
      </c>
      <c r="BT472" s="1" t="s">
        <v>5162</v>
      </c>
      <c r="BU472" s="1" t="str">
        <f>HYPERLINK("https%3A%2F%2Fwww.webofscience.com%2Fwos%2Fwoscc%2Ffull-record%2FWOS:000972807600001","View Full Record in Web of Science")</f>
        <v>View Full Record in Web of Science</v>
      </c>
    </row>
    <row r="473" spans="1:73" x14ac:dyDescent="0.25">
      <c r="A473" s="1">
        <v>472</v>
      </c>
      <c r="B473" s="1" t="s">
        <v>1506</v>
      </c>
      <c r="C473" s="1" t="s">
        <v>7459</v>
      </c>
      <c r="D473" s="1" t="s">
        <v>1507</v>
      </c>
      <c r="E473" s="1" t="s">
        <v>1507</v>
      </c>
      <c r="F473" s="1" t="s">
        <v>1507</v>
      </c>
      <c r="G473" s="1" t="s">
        <v>7460</v>
      </c>
      <c r="H473" s="1" t="s">
        <v>1507</v>
      </c>
      <c r="I473" s="1" t="s">
        <v>1507</v>
      </c>
      <c r="J473" s="1" t="s">
        <v>7461</v>
      </c>
      <c r="K473" s="1" t="s">
        <v>3475</v>
      </c>
      <c r="L473" s="1" t="s">
        <v>1507</v>
      </c>
      <c r="M473" s="1" t="s">
        <v>1507</v>
      </c>
      <c r="N473" s="1" t="s">
        <v>42</v>
      </c>
      <c r="O473" s="1" t="s">
        <v>56</v>
      </c>
      <c r="P473" s="1" t="s">
        <v>1507</v>
      </c>
      <c r="Q473" s="1" t="s">
        <v>1507</v>
      </c>
      <c r="R473" s="1" t="s">
        <v>1507</v>
      </c>
      <c r="S473" s="1" t="s">
        <v>1507</v>
      </c>
      <c r="T473" s="1" t="s">
        <v>1507</v>
      </c>
      <c r="U473" s="1" t="s">
        <v>1507</v>
      </c>
      <c r="V473" s="1" t="s">
        <v>1507</v>
      </c>
      <c r="W473" s="1" t="s">
        <v>7462</v>
      </c>
      <c r="X473" s="1" t="s">
        <v>7463</v>
      </c>
      <c r="Y473" s="1" t="s">
        <v>7464</v>
      </c>
      <c r="Z473" s="1" t="s">
        <v>7465</v>
      </c>
      <c r="AA473" s="1" t="s">
        <v>7466</v>
      </c>
      <c r="AB473" s="1" t="s">
        <v>1507</v>
      </c>
      <c r="AC473" s="1" t="s">
        <v>15630</v>
      </c>
      <c r="AD473" s="1" t="s">
        <v>7467</v>
      </c>
      <c r="AE473" s="1" t="s">
        <v>7468</v>
      </c>
      <c r="AF473" s="1" t="s">
        <v>7469</v>
      </c>
      <c r="AG473" s="1" t="s">
        <v>1507</v>
      </c>
      <c r="AH473" s="1">
        <v>58</v>
      </c>
      <c r="AI473" s="1">
        <v>41</v>
      </c>
      <c r="AJ473" s="1">
        <v>43</v>
      </c>
      <c r="AK473" s="1">
        <v>14</v>
      </c>
      <c r="AL473" s="1">
        <v>37</v>
      </c>
      <c r="AM473" s="1" t="s">
        <v>1591</v>
      </c>
      <c r="AN473" s="1" t="s">
        <v>1592</v>
      </c>
      <c r="AO473" s="1" t="s">
        <v>1593</v>
      </c>
      <c r="AP473" s="1" t="s">
        <v>1507</v>
      </c>
      <c r="AQ473" s="1" t="s">
        <v>3484</v>
      </c>
      <c r="AR473" s="1" t="s">
        <v>1507</v>
      </c>
      <c r="AS473" s="1" t="s">
        <v>3485</v>
      </c>
      <c r="AT473" s="1" t="s">
        <v>3486</v>
      </c>
      <c r="AU473" s="1" t="s">
        <v>5362</v>
      </c>
      <c r="AV473" s="1">
        <v>2022</v>
      </c>
      <c r="AW473" s="1">
        <v>4</v>
      </c>
      <c r="AX473" s="1">
        <v>3</v>
      </c>
      <c r="AY473" s="1" t="s">
        <v>1507</v>
      </c>
      <c r="AZ473" s="1" t="s">
        <v>1507</v>
      </c>
      <c r="BA473" s="1" t="s">
        <v>1507</v>
      </c>
      <c r="BB473" s="1" t="s">
        <v>1507</v>
      </c>
      <c r="BC473" s="1">
        <v>258</v>
      </c>
      <c r="BD473" s="1" t="s">
        <v>1774</v>
      </c>
      <c r="BE473" s="1" t="s">
        <v>1507</v>
      </c>
      <c r="BF473" s="1" t="s">
        <v>7470</v>
      </c>
      <c r="BG473" s="1" t="str">
        <f>HYPERLINK("http://dx.doi.org/10.1038/s42256-022-00458-8","http://dx.doi.org/10.1038/s42256-022-00458-8")</f>
        <v>http://dx.doi.org/10.1038/s42256-022-00458-8</v>
      </c>
      <c r="BH473" s="1" t="s">
        <v>1507</v>
      </c>
      <c r="BI473" s="1" t="s">
        <v>1507</v>
      </c>
      <c r="BJ473" s="1">
        <v>17</v>
      </c>
      <c r="BK473" s="1" t="s">
        <v>3488</v>
      </c>
      <c r="BL473" s="1" t="s">
        <v>1573</v>
      </c>
      <c r="BM473" s="1" t="s">
        <v>1577</v>
      </c>
      <c r="BN473" s="1" t="s">
        <v>7471</v>
      </c>
      <c r="BO473" s="1" t="s">
        <v>1507</v>
      </c>
      <c r="BP473" s="1" t="s">
        <v>1600</v>
      </c>
      <c r="BQ473" s="1" t="s">
        <v>1507</v>
      </c>
      <c r="BR473" s="1" t="s">
        <v>1507</v>
      </c>
      <c r="BS473" s="1" t="s">
        <v>13744</v>
      </c>
      <c r="BT473" s="1" t="s">
        <v>7472</v>
      </c>
      <c r="BU473" s="1" t="str">
        <f>HYPERLINK("https%3A%2F%2Fwww.webofscience.com%2Fwos%2Fwoscc%2Ffull-record%2FWOS:000772442700005","View Full Record in Web of Science")</f>
        <v>View Full Record in Web of Science</v>
      </c>
    </row>
    <row r="474" spans="1:73" x14ac:dyDescent="0.25">
      <c r="A474" s="1">
        <v>473</v>
      </c>
      <c r="B474" s="1" t="s">
        <v>5546</v>
      </c>
      <c r="C474" s="1" t="s">
        <v>6327</v>
      </c>
      <c r="D474" s="1" t="s">
        <v>1507</v>
      </c>
      <c r="E474" s="1" t="s">
        <v>6328</v>
      </c>
      <c r="F474" s="1" t="s">
        <v>1507</v>
      </c>
      <c r="G474" s="1" t="s">
        <v>6329</v>
      </c>
      <c r="H474" s="1" t="s">
        <v>1507</v>
      </c>
      <c r="I474" s="1" t="s">
        <v>1507</v>
      </c>
      <c r="J474" s="1" t="s">
        <v>6330</v>
      </c>
      <c r="K474" s="1" t="s">
        <v>6331</v>
      </c>
      <c r="L474" s="1" t="s">
        <v>6208</v>
      </c>
      <c r="M474" s="1" t="s">
        <v>1507</v>
      </c>
      <c r="N474" s="1" t="s">
        <v>42</v>
      </c>
      <c r="O474" s="1" t="s">
        <v>5552</v>
      </c>
      <c r="P474" s="1" t="s">
        <v>6332</v>
      </c>
      <c r="Q474" s="1" t="s">
        <v>6333</v>
      </c>
      <c r="R474" s="1" t="s">
        <v>5909</v>
      </c>
      <c r="S474" s="1" t="s">
        <v>1507</v>
      </c>
      <c r="T474" s="1" t="s">
        <v>1507</v>
      </c>
      <c r="U474" s="1" t="s">
        <v>1507</v>
      </c>
      <c r="V474" s="1" t="s">
        <v>6334</v>
      </c>
      <c r="W474" s="1" t="s">
        <v>6335</v>
      </c>
      <c r="X474" s="1" t="s">
        <v>6336</v>
      </c>
      <c r="Y474" s="1" t="s">
        <v>6337</v>
      </c>
      <c r="Z474" s="1" t="s">
        <v>6338</v>
      </c>
      <c r="AA474" s="1" t="s">
        <v>6339</v>
      </c>
      <c r="AB474" s="1" t="s">
        <v>6340</v>
      </c>
      <c r="AC474" s="1" t="s">
        <v>15364</v>
      </c>
      <c r="AD474" s="1" t="s">
        <v>6341</v>
      </c>
      <c r="AE474" s="1" t="s">
        <v>6342</v>
      </c>
      <c r="AF474" s="1" t="s">
        <v>6343</v>
      </c>
      <c r="AG474" s="1" t="s">
        <v>1507</v>
      </c>
      <c r="AH474" s="1">
        <v>25</v>
      </c>
      <c r="AI474" s="1">
        <v>0</v>
      </c>
      <c r="AJ474" s="1">
        <v>0</v>
      </c>
      <c r="AK474" s="1">
        <v>1</v>
      </c>
      <c r="AL474" s="1">
        <v>1</v>
      </c>
      <c r="AM474" s="1" t="s">
        <v>6221</v>
      </c>
      <c r="AN474" s="1" t="s">
        <v>6222</v>
      </c>
      <c r="AO474" s="1" t="s">
        <v>6223</v>
      </c>
      <c r="AP474" s="1" t="s">
        <v>6224</v>
      </c>
      <c r="AQ474" s="1" t="s">
        <v>6225</v>
      </c>
      <c r="AR474" s="1" t="s">
        <v>6344</v>
      </c>
      <c r="AS474" s="1" t="s">
        <v>6227</v>
      </c>
      <c r="AT474" s="1" t="s">
        <v>1507</v>
      </c>
      <c r="AU474" s="1" t="s">
        <v>1507</v>
      </c>
      <c r="AV474" s="1">
        <v>2023</v>
      </c>
      <c r="AW474" s="1">
        <v>14228</v>
      </c>
      <c r="AX474" s="1" t="s">
        <v>1507</v>
      </c>
      <c r="AY474" s="1" t="s">
        <v>1507</v>
      </c>
      <c r="AZ474" s="1" t="s">
        <v>1507</v>
      </c>
      <c r="BA474" s="1" t="s">
        <v>1507</v>
      </c>
      <c r="BB474" s="1" t="s">
        <v>1507</v>
      </c>
      <c r="BC474" s="1">
        <v>281</v>
      </c>
      <c r="BD474" s="1">
        <v>290</v>
      </c>
      <c r="BE474" s="1" t="s">
        <v>1507</v>
      </c>
      <c r="BF474" s="1" t="s">
        <v>6345</v>
      </c>
      <c r="BG474" s="1" t="str">
        <f>HYPERLINK("http://dx.doi.org/10.1007/978-3-031-43996-4_27","http://dx.doi.org/10.1007/978-3-031-43996-4_27")</f>
        <v>http://dx.doi.org/10.1007/978-3-031-43996-4_27</v>
      </c>
      <c r="BH474" s="1" t="s">
        <v>1507</v>
      </c>
      <c r="BI474" s="1" t="s">
        <v>1507</v>
      </c>
      <c r="BJ474" s="1">
        <v>10</v>
      </c>
      <c r="BK474" s="1" t="s">
        <v>6346</v>
      </c>
      <c r="BL474" s="1" t="s">
        <v>5570</v>
      </c>
      <c r="BM474" s="1" t="s">
        <v>1578</v>
      </c>
      <c r="BN474" s="1" t="s">
        <v>6347</v>
      </c>
      <c r="BO474" s="1" t="s">
        <v>1507</v>
      </c>
      <c r="BP474" s="1" t="s">
        <v>1600</v>
      </c>
      <c r="BQ474" s="1" t="s">
        <v>1507</v>
      </c>
      <c r="BR474" s="1" t="s">
        <v>1507</v>
      </c>
      <c r="BS474" s="1" t="s">
        <v>13744</v>
      </c>
      <c r="BT474" s="1" t="s">
        <v>6348</v>
      </c>
      <c r="BU474" s="1" t="str">
        <f>HYPERLINK("https%3A%2F%2Fwww.webofscience.com%2Fwos%2Fwoscc%2Ffull-record%2FWOS:001109638800027","View Full Record in Web of Science")</f>
        <v>View Full Record in Web of Science</v>
      </c>
    </row>
    <row r="475" spans="1:73" x14ac:dyDescent="0.25">
      <c r="A475" s="1">
        <v>474</v>
      </c>
      <c r="B475" s="1" t="s">
        <v>1506</v>
      </c>
      <c r="C475" s="1" t="s">
        <v>2439</v>
      </c>
      <c r="D475" s="1" t="s">
        <v>1507</v>
      </c>
      <c r="E475" s="1" t="s">
        <v>1507</v>
      </c>
      <c r="F475" s="1" t="s">
        <v>1507</v>
      </c>
      <c r="G475" s="1" t="s">
        <v>2440</v>
      </c>
      <c r="H475" s="1" t="s">
        <v>1507</v>
      </c>
      <c r="I475" s="1" t="s">
        <v>1507</v>
      </c>
      <c r="J475" s="1" t="s">
        <v>2441</v>
      </c>
      <c r="K475" s="1" t="s">
        <v>2442</v>
      </c>
      <c r="L475" s="1" t="s">
        <v>1507</v>
      </c>
      <c r="M475" s="1" t="s">
        <v>1507</v>
      </c>
      <c r="N475" s="1" t="s">
        <v>42</v>
      </c>
      <c r="O475" s="1" t="s">
        <v>56</v>
      </c>
      <c r="P475" s="1" t="s">
        <v>1507</v>
      </c>
      <c r="Q475" s="1" t="s">
        <v>1507</v>
      </c>
      <c r="R475" s="1" t="s">
        <v>1507</v>
      </c>
      <c r="S475" s="1" t="s">
        <v>1507</v>
      </c>
      <c r="T475" s="1" t="s">
        <v>1507</v>
      </c>
      <c r="U475" s="1" t="s">
        <v>1507</v>
      </c>
      <c r="V475" s="1" t="s">
        <v>1507</v>
      </c>
      <c r="W475" s="1" t="s">
        <v>2443</v>
      </c>
      <c r="X475" s="1" t="s">
        <v>2444</v>
      </c>
      <c r="Y475" s="1" t="s">
        <v>2445</v>
      </c>
      <c r="Z475" s="1" t="s">
        <v>2446</v>
      </c>
      <c r="AA475" s="1" t="s">
        <v>2447</v>
      </c>
      <c r="AB475" s="1" t="s">
        <v>1507</v>
      </c>
      <c r="AC475" s="1" t="s">
        <v>1507</v>
      </c>
      <c r="AD475" s="1" t="s">
        <v>2448</v>
      </c>
      <c r="AE475" s="1" t="s">
        <v>2449</v>
      </c>
      <c r="AF475" s="1" t="s">
        <v>2450</v>
      </c>
      <c r="AG475" s="1" t="s">
        <v>1507</v>
      </c>
      <c r="AH475" s="1">
        <v>26</v>
      </c>
      <c r="AI475" s="1">
        <v>0</v>
      </c>
      <c r="AJ475" s="1">
        <v>0</v>
      </c>
      <c r="AK475" s="1">
        <v>5</v>
      </c>
      <c r="AL475" s="1">
        <v>5</v>
      </c>
      <c r="AM475" s="1" t="s">
        <v>2033</v>
      </c>
      <c r="AN475" s="1" t="s">
        <v>1523</v>
      </c>
      <c r="AO475" s="1" t="s">
        <v>2034</v>
      </c>
      <c r="AP475" s="1" t="s">
        <v>1507</v>
      </c>
      <c r="AQ475" s="1" t="s">
        <v>2451</v>
      </c>
      <c r="AR475" s="1" t="s">
        <v>1507</v>
      </c>
      <c r="AS475" s="1" t="s">
        <v>2442</v>
      </c>
      <c r="AT475" s="1" t="s">
        <v>2452</v>
      </c>
      <c r="AU475" s="1" t="s">
        <v>2191</v>
      </c>
      <c r="AV475" s="1">
        <v>2023</v>
      </c>
      <c r="AW475" s="1">
        <v>9</v>
      </c>
      <c r="AX475" s="1">
        <v>12</v>
      </c>
      <c r="AY475" s="1" t="s">
        <v>1507</v>
      </c>
      <c r="AZ475" s="1" t="s">
        <v>1507</v>
      </c>
      <c r="BA475" s="1" t="s">
        <v>1507</v>
      </c>
      <c r="BB475" s="1" t="s">
        <v>1507</v>
      </c>
      <c r="BC475" s="1" t="s">
        <v>1507</v>
      </c>
      <c r="BD475" s="1" t="s">
        <v>1507</v>
      </c>
      <c r="BE475" s="1" t="s">
        <v>2453</v>
      </c>
      <c r="BF475" s="1" t="s">
        <v>2454</v>
      </c>
      <c r="BG475" s="1" t="str">
        <f>HYPERLINK("http://dx.doi.org/10.1016/j.heliyon.2023.e22457","http://dx.doi.org/10.1016/j.heliyon.2023.e22457")</f>
        <v>http://dx.doi.org/10.1016/j.heliyon.2023.e22457</v>
      </c>
      <c r="BH475" s="1" t="s">
        <v>1507</v>
      </c>
      <c r="BI475" s="1" t="s">
        <v>2396</v>
      </c>
      <c r="BJ475" s="1">
        <v>13</v>
      </c>
      <c r="BK475" s="1" t="s">
        <v>1776</v>
      </c>
      <c r="BL475" s="1" t="s">
        <v>1573</v>
      </c>
      <c r="BM475" s="1" t="s">
        <v>1777</v>
      </c>
      <c r="BN475" s="1" t="s">
        <v>2455</v>
      </c>
      <c r="BO475" s="1">
        <v>38076147</v>
      </c>
      <c r="BP475" s="1" t="s">
        <v>1952</v>
      </c>
      <c r="BQ475" s="1" t="s">
        <v>1507</v>
      </c>
      <c r="BR475" s="1" t="s">
        <v>1507</v>
      </c>
      <c r="BS475" s="1" t="s">
        <v>13744</v>
      </c>
      <c r="BT475" s="1" t="s">
        <v>2456</v>
      </c>
      <c r="BU475" s="1" t="str">
        <f>HYPERLINK("https%3A%2F%2Fwww.webofscience.com%2Fwos%2Fwoscc%2Ffull-record%2FWOS:001127852800001","View Full Record in Web of Science")</f>
        <v>View Full Record in Web of Science</v>
      </c>
    </row>
    <row r="476" spans="1:73" x14ac:dyDescent="0.25">
      <c r="A476" s="1">
        <v>475</v>
      </c>
      <c r="B476" s="1" t="s">
        <v>1506</v>
      </c>
      <c r="C476" s="1" t="s">
        <v>7961</v>
      </c>
      <c r="D476" s="1" t="s">
        <v>1507</v>
      </c>
      <c r="E476" s="1" t="s">
        <v>1507</v>
      </c>
      <c r="F476" s="1" t="s">
        <v>1507</v>
      </c>
      <c r="G476" s="1" t="s">
        <v>7962</v>
      </c>
      <c r="H476" s="1" t="s">
        <v>1507</v>
      </c>
      <c r="I476" s="1" t="s">
        <v>1507</v>
      </c>
      <c r="J476" s="1" t="s">
        <v>7963</v>
      </c>
      <c r="K476" s="1" t="s">
        <v>7964</v>
      </c>
      <c r="L476" s="1" t="s">
        <v>1507</v>
      </c>
      <c r="M476" s="1" t="s">
        <v>1507</v>
      </c>
      <c r="N476" s="1" t="s">
        <v>42</v>
      </c>
      <c r="O476" s="1" t="s">
        <v>56</v>
      </c>
      <c r="P476" s="1" t="s">
        <v>1507</v>
      </c>
      <c r="Q476" s="1" t="s">
        <v>1507</v>
      </c>
      <c r="R476" s="1" t="s">
        <v>1507</v>
      </c>
      <c r="S476" s="1" t="s">
        <v>1507</v>
      </c>
      <c r="T476" s="1" t="s">
        <v>1507</v>
      </c>
      <c r="U476" s="1" t="s">
        <v>7965</v>
      </c>
      <c r="V476" s="1" t="s">
        <v>7966</v>
      </c>
      <c r="W476" s="1" t="s">
        <v>7967</v>
      </c>
      <c r="X476" s="1" t="s">
        <v>7968</v>
      </c>
      <c r="Y476" s="1" t="s">
        <v>15678</v>
      </c>
      <c r="Z476" s="1" t="s">
        <v>7969</v>
      </c>
      <c r="AA476" s="1" t="s">
        <v>7970</v>
      </c>
      <c r="AB476" s="1" t="s">
        <v>15679</v>
      </c>
      <c r="AC476" s="1" t="s">
        <v>15680</v>
      </c>
      <c r="AD476" s="1" t="s">
        <v>7971</v>
      </c>
      <c r="AE476" s="1" t="s">
        <v>5617</v>
      </c>
      <c r="AF476" s="1" t="s">
        <v>7972</v>
      </c>
      <c r="AG476" s="1" t="s">
        <v>1507</v>
      </c>
      <c r="AH476" s="1">
        <v>66</v>
      </c>
      <c r="AI476" s="1">
        <v>13</v>
      </c>
      <c r="AJ476" s="1">
        <v>14</v>
      </c>
      <c r="AK476" s="1">
        <v>10</v>
      </c>
      <c r="AL476" s="1">
        <v>43</v>
      </c>
      <c r="AM476" s="1" t="s">
        <v>1900</v>
      </c>
      <c r="AN476" s="1" t="s">
        <v>1583</v>
      </c>
      <c r="AO476" s="1" t="s">
        <v>1901</v>
      </c>
      <c r="AP476" s="1" t="s">
        <v>7973</v>
      </c>
      <c r="AQ476" s="1" t="s">
        <v>7974</v>
      </c>
      <c r="AR476" s="1" t="s">
        <v>1507</v>
      </c>
      <c r="AS476" s="1" t="s">
        <v>7964</v>
      </c>
      <c r="AT476" s="1" t="s">
        <v>7975</v>
      </c>
      <c r="AU476" s="1" t="s">
        <v>9054</v>
      </c>
      <c r="AV476" s="1">
        <v>2022</v>
      </c>
      <c r="AW476" s="1">
        <v>288</v>
      </c>
      <c r="AX476" s="1" t="s">
        <v>1507</v>
      </c>
      <c r="AY476" s="1">
        <v>3</v>
      </c>
      <c r="AZ476" s="1" t="s">
        <v>1507</v>
      </c>
      <c r="BA476" s="1" t="s">
        <v>1507</v>
      </c>
      <c r="BB476" s="1" t="s">
        <v>1507</v>
      </c>
      <c r="BC476" s="1" t="s">
        <v>1507</v>
      </c>
      <c r="BD476" s="1" t="s">
        <v>1507</v>
      </c>
      <c r="BE476" s="1">
        <v>132652</v>
      </c>
      <c r="BF476" s="1" t="s">
        <v>7976</v>
      </c>
      <c r="BG476" s="1" t="str">
        <f>HYPERLINK("http://dx.doi.org/10.1016/j.chemosphere.2021.132652","http://dx.doi.org/10.1016/j.chemosphere.2021.132652")</f>
        <v>http://dx.doi.org/10.1016/j.chemosphere.2021.132652</v>
      </c>
      <c r="BH476" s="1" t="s">
        <v>1507</v>
      </c>
      <c r="BI476" s="1" t="s">
        <v>7958</v>
      </c>
      <c r="BJ476" s="1">
        <v>9</v>
      </c>
      <c r="BK476" s="1" t="s">
        <v>7038</v>
      </c>
      <c r="BL476" s="1" t="s">
        <v>1573</v>
      </c>
      <c r="BM476" s="1" t="s">
        <v>1839</v>
      </c>
      <c r="BN476" s="1" t="s">
        <v>7977</v>
      </c>
      <c r="BO476" s="1">
        <v>34695481</v>
      </c>
      <c r="BP476" s="1" t="s">
        <v>1507</v>
      </c>
      <c r="BQ476" s="1" t="s">
        <v>1507</v>
      </c>
      <c r="BR476" s="1" t="s">
        <v>1507</v>
      </c>
      <c r="BS476" s="1" t="s">
        <v>13744</v>
      </c>
      <c r="BT476" s="1" t="s">
        <v>7978</v>
      </c>
      <c r="BU476" s="1" t="str">
        <f>HYPERLINK("https%3A%2F%2Fwww.webofscience.com%2Fwos%2Fwoscc%2Ffull-record%2FWOS:000734153600007","View Full Record in Web of Science")</f>
        <v>View Full Record in Web of Science</v>
      </c>
    </row>
    <row r="477" spans="1:73" x14ac:dyDescent="0.25">
      <c r="A477" s="1">
        <v>476</v>
      </c>
      <c r="B477" s="1" t="s">
        <v>1506</v>
      </c>
      <c r="C477" s="1" t="s">
        <v>8990</v>
      </c>
      <c r="D477" s="1" t="s">
        <v>1507</v>
      </c>
      <c r="E477" s="1" t="s">
        <v>1507</v>
      </c>
      <c r="F477" s="1" t="s">
        <v>1507</v>
      </c>
      <c r="G477" s="1" t="s">
        <v>8991</v>
      </c>
      <c r="H477" s="1" t="s">
        <v>1507</v>
      </c>
      <c r="I477" s="1" t="s">
        <v>1507</v>
      </c>
      <c r="J477" s="1" t="s">
        <v>8992</v>
      </c>
      <c r="K477" s="1" t="s">
        <v>7964</v>
      </c>
      <c r="L477" s="1" t="s">
        <v>1507</v>
      </c>
      <c r="M477" s="1" t="s">
        <v>1507</v>
      </c>
      <c r="N477" s="1" t="s">
        <v>42</v>
      </c>
      <c r="O477" s="1" t="s">
        <v>56</v>
      </c>
      <c r="P477" s="1" t="s">
        <v>1507</v>
      </c>
      <c r="Q477" s="1" t="s">
        <v>1507</v>
      </c>
      <c r="R477" s="1" t="s">
        <v>1507</v>
      </c>
      <c r="S477" s="1" t="s">
        <v>1507</v>
      </c>
      <c r="T477" s="1" t="s">
        <v>1507</v>
      </c>
      <c r="U477" s="1" t="s">
        <v>8993</v>
      </c>
      <c r="V477" s="1" t="s">
        <v>8994</v>
      </c>
      <c r="W477" s="1" t="s">
        <v>8995</v>
      </c>
      <c r="X477" s="1" t="s">
        <v>8996</v>
      </c>
      <c r="Y477" s="1" t="s">
        <v>15758</v>
      </c>
      <c r="Z477" s="1" t="s">
        <v>7027</v>
      </c>
      <c r="AA477" s="1" t="s">
        <v>7970</v>
      </c>
      <c r="AB477" s="1" t="s">
        <v>15759</v>
      </c>
      <c r="AC477" s="1" t="s">
        <v>15760</v>
      </c>
      <c r="AD477" s="1" t="s">
        <v>7971</v>
      </c>
      <c r="AE477" s="1" t="s">
        <v>5617</v>
      </c>
      <c r="AF477" s="1" t="s">
        <v>8997</v>
      </c>
      <c r="AG477" s="1" t="s">
        <v>1507</v>
      </c>
      <c r="AH477" s="1">
        <v>38</v>
      </c>
      <c r="AI477" s="1">
        <v>15</v>
      </c>
      <c r="AJ477" s="1">
        <v>15</v>
      </c>
      <c r="AK477" s="1">
        <v>8</v>
      </c>
      <c r="AL477" s="1">
        <v>64</v>
      </c>
      <c r="AM477" s="1" t="s">
        <v>1900</v>
      </c>
      <c r="AN477" s="1" t="s">
        <v>1583</v>
      </c>
      <c r="AO477" s="1" t="s">
        <v>1901</v>
      </c>
      <c r="AP477" s="1" t="s">
        <v>7973</v>
      </c>
      <c r="AQ477" s="1" t="s">
        <v>7974</v>
      </c>
      <c r="AR477" s="1" t="s">
        <v>1507</v>
      </c>
      <c r="AS477" s="1" t="s">
        <v>7964</v>
      </c>
      <c r="AT477" s="1" t="s">
        <v>7975</v>
      </c>
      <c r="AU477" s="1" t="s">
        <v>4556</v>
      </c>
      <c r="AV477" s="1">
        <v>2021</v>
      </c>
      <c r="AW477" s="1">
        <v>275</v>
      </c>
      <c r="AX477" s="1" t="s">
        <v>1507</v>
      </c>
      <c r="AY477" s="1" t="s">
        <v>1507</v>
      </c>
      <c r="AZ477" s="1" t="s">
        <v>1507</v>
      </c>
      <c r="BA477" s="1" t="s">
        <v>1507</v>
      </c>
      <c r="BB477" s="1" t="s">
        <v>1507</v>
      </c>
      <c r="BC477" s="1" t="s">
        <v>1507</v>
      </c>
      <c r="BD477" s="1" t="s">
        <v>1507</v>
      </c>
      <c r="BE477" s="1">
        <v>129928</v>
      </c>
      <c r="BF477" s="1" t="s">
        <v>8998</v>
      </c>
      <c r="BG477" s="1" t="str">
        <f>HYPERLINK("http://dx.doi.org/10.1016/j.chemosphere.2021.129928","http://dx.doi.org/10.1016/j.chemosphere.2021.129928")</f>
        <v>http://dx.doi.org/10.1016/j.chemosphere.2021.129928</v>
      </c>
      <c r="BH477" s="1" t="s">
        <v>1507</v>
      </c>
      <c r="BI477" s="1" t="s">
        <v>8999</v>
      </c>
      <c r="BJ477" s="1">
        <v>8</v>
      </c>
      <c r="BK477" s="1" t="s">
        <v>7038</v>
      </c>
      <c r="BL477" s="1" t="s">
        <v>1573</v>
      </c>
      <c r="BM477" s="1" t="s">
        <v>1839</v>
      </c>
      <c r="BN477" s="1" t="s">
        <v>9000</v>
      </c>
      <c r="BO477" s="1">
        <v>33640743</v>
      </c>
      <c r="BP477" s="1" t="s">
        <v>1507</v>
      </c>
      <c r="BQ477" s="1" t="s">
        <v>1507</v>
      </c>
      <c r="BR477" s="1" t="s">
        <v>1507</v>
      </c>
      <c r="BS477" s="1" t="s">
        <v>13744</v>
      </c>
      <c r="BT477" s="1" t="s">
        <v>9001</v>
      </c>
      <c r="BU477" s="1" t="str">
        <f>HYPERLINK("https%3A%2F%2Fwww.webofscience.com%2Fwos%2Fwoscc%2Ffull-record%2FWOS:000647817200010","View Full Record in Web of Science")</f>
        <v>View Full Record in Web of Science</v>
      </c>
    </row>
    <row r="478" spans="1:73" x14ac:dyDescent="0.25">
      <c r="A478" s="1">
        <v>477</v>
      </c>
      <c r="B478" s="1" t="s">
        <v>1506</v>
      </c>
      <c r="C478" s="1" t="s">
        <v>4431</v>
      </c>
      <c r="D478" s="1" t="s">
        <v>1507</v>
      </c>
      <c r="E478" s="1" t="s">
        <v>1507</v>
      </c>
      <c r="F478" s="1" t="s">
        <v>1507</v>
      </c>
      <c r="G478" s="1" t="s">
        <v>4432</v>
      </c>
      <c r="H478" s="1" t="s">
        <v>1507</v>
      </c>
      <c r="I478" s="1" t="s">
        <v>3192</v>
      </c>
      <c r="J478" s="1" t="s">
        <v>4433</v>
      </c>
      <c r="K478" s="1" t="s">
        <v>1999</v>
      </c>
      <c r="L478" s="1" t="s">
        <v>1507</v>
      </c>
      <c r="M478" s="1" t="s">
        <v>1507</v>
      </c>
      <c r="N478" s="1" t="s">
        <v>42</v>
      </c>
      <c r="O478" s="1" t="s">
        <v>56</v>
      </c>
      <c r="P478" s="1" t="s">
        <v>1507</v>
      </c>
      <c r="Q478" s="1" t="s">
        <v>1507</v>
      </c>
      <c r="R478" s="1" t="s">
        <v>1507</v>
      </c>
      <c r="S478" s="1" t="s">
        <v>1507</v>
      </c>
      <c r="T478" s="1" t="s">
        <v>1507</v>
      </c>
      <c r="U478" s="1" t="s">
        <v>1507</v>
      </c>
      <c r="V478" s="1" t="s">
        <v>4434</v>
      </c>
      <c r="W478" s="1" t="s">
        <v>4435</v>
      </c>
      <c r="X478" s="1" t="s">
        <v>4436</v>
      </c>
      <c r="Y478" s="1" t="s">
        <v>4437</v>
      </c>
      <c r="Z478" s="1" t="s">
        <v>4438</v>
      </c>
      <c r="AA478" s="1" t="s">
        <v>4439</v>
      </c>
      <c r="AB478" s="1" t="s">
        <v>4440</v>
      </c>
      <c r="AC478" s="1" t="s">
        <v>14601</v>
      </c>
      <c r="AD478" s="1" t="s">
        <v>4441</v>
      </c>
      <c r="AE478" s="1" t="s">
        <v>4442</v>
      </c>
      <c r="AF478" s="1" t="s">
        <v>4443</v>
      </c>
      <c r="AG478" s="1" t="s">
        <v>1507</v>
      </c>
      <c r="AH478" s="1">
        <v>42</v>
      </c>
      <c r="AI478" s="1">
        <v>0</v>
      </c>
      <c r="AJ478" s="1">
        <v>0</v>
      </c>
      <c r="AK478" s="1">
        <v>1</v>
      </c>
      <c r="AL478" s="1">
        <v>1</v>
      </c>
      <c r="AM478" s="1" t="s">
        <v>2009</v>
      </c>
      <c r="AN478" s="1" t="s">
        <v>2010</v>
      </c>
      <c r="AO478" s="1" t="s">
        <v>2011</v>
      </c>
      <c r="AP478" s="1" t="s">
        <v>2012</v>
      </c>
      <c r="AQ478" s="1" t="s">
        <v>1507</v>
      </c>
      <c r="AR478" s="1" t="s">
        <v>1507</v>
      </c>
      <c r="AS478" s="1" t="s">
        <v>1999</v>
      </c>
      <c r="AT478" s="1" t="s">
        <v>2013</v>
      </c>
      <c r="AU478" s="1" t="s">
        <v>4444</v>
      </c>
      <c r="AV478" s="1">
        <v>2023</v>
      </c>
      <c r="AW478" s="1">
        <v>18</v>
      </c>
      <c r="AX478" s="1">
        <v>7</v>
      </c>
      <c r="AY478" s="1" t="s">
        <v>1507</v>
      </c>
      <c r="AZ478" s="1" t="s">
        <v>1507</v>
      </c>
      <c r="BA478" s="1" t="s">
        <v>1507</v>
      </c>
      <c r="BB478" s="1" t="s">
        <v>1507</v>
      </c>
      <c r="BC478" s="1" t="s">
        <v>1507</v>
      </c>
      <c r="BD478" s="1" t="s">
        <v>1507</v>
      </c>
      <c r="BE478" s="1" t="s">
        <v>4445</v>
      </c>
      <c r="BF478" s="1" t="s">
        <v>4446</v>
      </c>
      <c r="BG478" s="1" t="str">
        <f>HYPERLINK("http://dx.doi.org/10.1371/journal.pone.0288768","http://dx.doi.org/10.1371/journal.pone.0288768")</f>
        <v>http://dx.doi.org/10.1371/journal.pone.0288768</v>
      </c>
      <c r="BH478" s="1" t="s">
        <v>1507</v>
      </c>
      <c r="BI478" s="1" t="s">
        <v>1507</v>
      </c>
      <c r="BJ478" s="1">
        <v>13</v>
      </c>
      <c r="BK478" s="1" t="s">
        <v>1776</v>
      </c>
      <c r="BL478" s="1" t="s">
        <v>1573</v>
      </c>
      <c r="BM478" s="1" t="s">
        <v>1777</v>
      </c>
      <c r="BN478" s="1" t="s">
        <v>4447</v>
      </c>
      <c r="BO478" s="1">
        <v>37471316</v>
      </c>
      <c r="BP478" s="1" t="s">
        <v>1674</v>
      </c>
      <c r="BQ478" s="1" t="s">
        <v>1507</v>
      </c>
      <c r="BR478" s="1" t="s">
        <v>1507</v>
      </c>
      <c r="BS478" s="1" t="s">
        <v>13744</v>
      </c>
      <c r="BT478" s="1" t="s">
        <v>4448</v>
      </c>
      <c r="BU478" s="1" t="str">
        <f>HYPERLINK("https%3A%2F%2Fwww.webofscience.com%2Fwos%2Fwoscc%2Ffull-record%2FWOS:001035045000059","View Full Record in Web of Science")</f>
        <v>View Full Record in Web of Science</v>
      </c>
    </row>
    <row r="479" spans="1:73" x14ac:dyDescent="0.25">
      <c r="A479" s="1">
        <v>478</v>
      </c>
      <c r="B479" s="1" t="s">
        <v>1506</v>
      </c>
      <c r="C479" s="1" t="s">
        <v>6349</v>
      </c>
      <c r="D479" s="1" t="s">
        <v>1507</v>
      </c>
      <c r="E479" s="1" t="s">
        <v>1507</v>
      </c>
      <c r="F479" s="1" t="s">
        <v>1507</v>
      </c>
      <c r="G479" s="1" t="s">
        <v>6350</v>
      </c>
      <c r="H479" s="1" t="s">
        <v>1507</v>
      </c>
      <c r="I479" s="1" t="s">
        <v>1507</v>
      </c>
      <c r="J479" s="1" t="s">
        <v>6351</v>
      </c>
      <c r="K479" s="1" t="s">
        <v>5976</v>
      </c>
      <c r="L479" s="1" t="s">
        <v>1507</v>
      </c>
      <c r="M479" s="1" t="s">
        <v>1507</v>
      </c>
      <c r="N479" s="1" t="s">
        <v>42</v>
      </c>
      <c r="O479" s="1" t="s">
        <v>56</v>
      </c>
      <c r="P479" s="1" t="s">
        <v>1507</v>
      </c>
      <c r="Q479" s="1" t="s">
        <v>1507</v>
      </c>
      <c r="R479" s="1" t="s">
        <v>1507</v>
      </c>
      <c r="S479" s="1" t="s">
        <v>1507</v>
      </c>
      <c r="T479" s="1" t="s">
        <v>1507</v>
      </c>
      <c r="U479" s="1" t="s">
        <v>6352</v>
      </c>
      <c r="V479" s="1" t="s">
        <v>6353</v>
      </c>
      <c r="W479" s="1" t="s">
        <v>6354</v>
      </c>
      <c r="X479" s="1" t="s">
        <v>6355</v>
      </c>
      <c r="Y479" s="1" t="s">
        <v>6356</v>
      </c>
      <c r="Z479" s="1" t="s">
        <v>6357</v>
      </c>
      <c r="AA479" s="1" t="s">
        <v>6358</v>
      </c>
      <c r="AB479" s="1" t="s">
        <v>1507</v>
      </c>
      <c r="AC479" s="1" t="s">
        <v>15365</v>
      </c>
      <c r="AD479" s="1" t="s">
        <v>1507</v>
      </c>
      <c r="AE479" s="1" t="s">
        <v>1507</v>
      </c>
      <c r="AF479" s="1" t="s">
        <v>1507</v>
      </c>
      <c r="AG479" s="1" t="s">
        <v>1507</v>
      </c>
      <c r="AH479" s="1">
        <v>46</v>
      </c>
      <c r="AI479" s="1">
        <v>2</v>
      </c>
      <c r="AJ479" s="1">
        <v>2</v>
      </c>
      <c r="AK479" s="1">
        <v>33</v>
      </c>
      <c r="AL479" s="1">
        <v>33</v>
      </c>
      <c r="AM479" s="1" t="s">
        <v>1667</v>
      </c>
      <c r="AN479" s="1" t="s">
        <v>1668</v>
      </c>
      <c r="AO479" s="1" t="s">
        <v>1669</v>
      </c>
      <c r="AP479" s="1" t="s">
        <v>5983</v>
      </c>
      <c r="AQ479" s="1" t="s">
        <v>1507</v>
      </c>
      <c r="AR479" s="1" t="s">
        <v>1507</v>
      </c>
      <c r="AS479" s="1" t="s">
        <v>5984</v>
      </c>
      <c r="AT479" s="1" t="s">
        <v>1003</v>
      </c>
      <c r="AU479" s="1" t="s">
        <v>1507</v>
      </c>
      <c r="AV479" s="1">
        <v>2023</v>
      </c>
      <c r="AW479" s="1">
        <v>9</v>
      </c>
      <c r="AX479" s="1" t="s">
        <v>1507</v>
      </c>
      <c r="AY479" s="1" t="s">
        <v>1507</v>
      </c>
      <c r="AZ479" s="1" t="s">
        <v>1507</v>
      </c>
      <c r="BA479" s="1" t="s">
        <v>1507</v>
      </c>
      <c r="BB479" s="1" t="s">
        <v>1507</v>
      </c>
      <c r="BC479" s="1" t="s">
        <v>1507</v>
      </c>
      <c r="BD479" s="1" t="s">
        <v>1507</v>
      </c>
      <c r="BE479" s="1" t="s">
        <v>6359</v>
      </c>
      <c r="BF479" s="1" t="s">
        <v>6360</v>
      </c>
      <c r="BG479" s="1" t="str">
        <f>HYPERLINK("http://dx.doi.org/10.2196/53466","http://dx.doi.org/10.2196/53466")</f>
        <v>http://dx.doi.org/10.2196/53466</v>
      </c>
      <c r="BH479" s="1" t="s">
        <v>1507</v>
      </c>
      <c r="BI479" s="1" t="s">
        <v>1507</v>
      </c>
      <c r="BJ479" s="1">
        <v>11</v>
      </c>
      <c r="BK479" s="1" t="s">
        <v>2721</v>
      </c>
      <c r="BL479" s="1" t="s">
        <v>1529</v>
      </c>
      <c r="BM479" s="1" t="s">
        <v>1558</v>
      </c>
      <c r="BN479" s="1" t="s">
        <v>6361</v>
      </c>
      <c r="BO479" s="1">
        <v>38032695</v>
      </c>
      <c r="BP479" s="1" t="s">
        <v>1952</v>
      </c>
      <c r="BQ479" s="1" t="s">
        <v>1507</v>
      </c>
      <c r="BR479" s="1" t="s">
        <v>1507</v>
      </c>
      <c r="BS479" s="1" t="s">
        <v>13744</v>
      </c>
      <c r="BT479" s="1" t="s">
        <v>6362</v>
      </c>
      <c r="BU479" s="1" t="str">
        <f>HYPERLINK("https%3A%2F%2Fwww.webofscience.com%2Fwos%2Fwoscc%2Ffull-record%2FWOS:001114957800002","View Full Record in Web of Science")</f>
        <v>View Full Record in Web of Science</v>
      </c>
    </row>
    <row r="480" spans="1:73" x14ac:dyDescent="0.25">
      <c r="A480" s="1">
        <v>479</v>
      </c>
      <c r="B480" s="1" t="s">
        <v>1506</v>
      </c>
      <c r="C480" s="1" t="s">
        <v>5351</v>
      </c>
      <c r="D480" s="1" t="s">
        <v>1507</v>
      </c>
      <c r="E480" s="1" t="s">
        <v>1507</v>
      </c>
      <c r="F480" s="1" t="s">
        <v>1507</v>
      </c>
      <c r="G480" s="1" t="s">
        <v>5352</v>
      </c>
      <c r="H480" s="1" t="s">
        <v>1507</v>
      </c>
      <c r="I480" s="1" t="s">
        <v>1507</v>
      </c>
      <c r="J480" s="1" t="s">
        <v>5353</v>
      </c>
      <c r="K480" s="1" t="s">
        <v>5013</v>
      </c>
      <c r="L480" s="1" t="s">
        <v>1507</v>
      </c>
      <c r="M480" s="1" t="s">
        <v>1507</v>
      </c>
      <c r="N480" s="1" t="s">
        <v>42</v>
      </c>
      <c r="O480" s="1" t="s">
        <v>56</v>
      </c>
      <c r="P480" s="1" t="s">
        <v>1507</v>
      </c>
      <c r="Q480" s="1" t="s">
        <v>1507</v>
      </c>
      <c r="R480" s="1" t="s">
        <v>1507</v>
      </c>
      <c r="S480" s="1" t="s">
        <v>1507</v>
      </c>
      <c r="T480" s="1" t="s">
        <v>1507</v>
      </c>
      <c r="U480" s="1" t="s">
        <v>5354</v>
      </c>
      <c r="V480" s="1" t="s">
        <v>1507</v>
      </c>
      <c r="W480" s="1" t="s">
        <v>5355</v>
      </c>
      <c r="X480" s="1" t="s">
        <v>5356</v>
      </c>
      <c r="Y480" s="1" t="s">
        <v>2506</v>
      </c>
      <c r="Z480" s="1" t="s">
        <v>5357</v>
      </c>
      <c r="AA480" s="1" t="s">
        <v>5358</v>
      </c>
      <c r="AB480" s="1" t="s">
        <v>1507</v>
      </c>
      <c r="AC480" s="1" t="s">
        <v>1507</v>
      </c>
      <c r="AD480" s="1" t="s">
        <v>5359</v>
      </c>
      <c r="AE480" s="1" t="s">
        <v>5360</v>
      </c>
      <c r="AF480" s="1" t="s">
        <v>5361</v>
      </c>
      <c r="AG480" s="1" t="s">
        <v>1507</v>
      </c>
      <c r="AH480" s="1">
        <v>46</v>
      </c>
      <c r="AI480" s="1">
        <v>1</v>
      </c>
      <c r="AJ480" s="1">
        <v>1</v>
      </c>
      <c r="AK480" s="1">
        <v>1</v>
      </c>
      <c r="AL480" s="1">
        <v>1</v>
      </c>
      <c r="AM480" s="1" t="s">
        <v>1610</v>
      </c>
      <c r="AN480" s="1" t="s">
        <v>1611</v>
      </c>
      <c r="AO480" s="1" t="s">
        <v>1612</v>
      </c>
      <c r="AP480" s="1" t="s">
        <v>1507</v>
      </c>
      <c r="AQ480" s="1" t="s">
        <v>5022</v>
      </c>
      <c r="AR480" s="1" t="s">
        <v>1507</v>
      </c>
      <c r="AS480" s="1" t="s">
        <v>5023</v>
      </c>
      <c r="AT480" s="1" t="s">
        <v>5024</v>
      </c>
      <c r="AU480" s="1" t="s">
        <v>5362</v>
      </c>
      <c r="AV480" s="1">
        <v>2023</v>
      </c>
      <c r="AW480" s="1">
        <v>13</v>
      </c>
      <c r="AX480" s="1">
        <v>5</v>
      </c>
      <c r="AY480" s="1" t="s">
        <v>1507</v>
      </c>
      <c r="AZ480" s="1" t="s">
        <v>1507</v>
      </c>
      <c r="BA480" s="1" t="s">
        <v>1507</v>
      </c>
      <c r="BB480" s="1" t="s">
        <v>1507</v>
      </c>
      <c r="BC480" s="1" t="s">
        <v>1507</v>
      </c>
      <c r="BD480" s="1" t="s">
        <v>1507</v>
      </c>
      <c r="BE480" s="1">
        <v>2892</v>
      </c>
      <c r="BF480" s="1" t="s">
        <v>5363</v>
      </c>
      <c r="BG480" s="1" t="str">
        <f>HYPERLINK("http://dx.doi.org/10.3390/app13052892","http://dx.doi.org/10.3390/app13052892")</f>
        <v>http://dx.doi.org/10.3390/app13052892</v>
      </c>
      <c r="BH480" s="1" t="s">
        <v>1507</v>
      </c>
      <c r="BI480" s="1" t="s">
        <v>1507</v>
      </c>
      <c r="BJ480" s="1">
        <v>13</v>
      </c>
      <c r="BK480" s="1" t="s">
        <v>5027</v>
      </c>
      <c r="BL480" s="1" t="s">
        <v>1573</v>
      </c>
      <c r="BM480" s="1" t="s">
        <v>5028</v>
      </c>
      <c r="BN480" s="1" t="s">
        <v>5364</v>
      </c>
      <c r="BO480" s="1" t="s">
        <v>1507</v>
      </c>
      <c r="BP480" s="1" t="s">
        <v>1952</v>
      </c>
      <c r="BQ480" s="1" t="s">
        <v>1507</v>
      </c>
      <c r="BR480" s="1" t="s">
        <v>1507</v>
      </c>
      <c r="BS480" s="1" t="s">
        <v>13744</v>
      </c>
      <c r="BT480" s="1" t="s">
        <v>5365</v>
      </c>
      <c r="BU480" s="1" t="str">
        <f>HYPERLINK("https%3A%2F%2Fwww.webofscience.com%2Fwos%2Fwoscc%2Ffull-record%2FWOS:000947995900001","View Full Record in Web of Science")</f>
        <v>View Full Record in Web of Science</v>
      </c>
    </row>
    <row r="481" spans="1:73" x14ac:dyDescent="0.25">
      <c r="A481" s="1">
        <v>480</v>
      </c>
      <c r="B481" s="1" t="s">
        <v>1506</v>
      </c>
      <c r="C481" s="1" t="s">
        <v>9598</v>
      </c>
      <c r="D481" s="1" t="s">
        <v>1507</v>
      </c>
      <c r="E481" s="1" t="s">
        <v>1507</v>
      </c>
      <c r="F481" s="1" t="s">
        <v>1507</v>
      </c>
      <c r="G481" s="1" t="s">
        <v>9599</v>
      </c>
      <c r="H481" s="1" t="s">
        <v>1507</v>
      </c>
      <c r="I481" s="1" t="s">
        <v>1507</v>
      </c>
      <c r="J481" s="1" t="s">
        <v>9600</v>
      </c>
      <c r="K481" s="1" t="s">
        <v>8155</v>
      </c>
      <c r="L481" s="1" t="s">
        <v>1507</v>
      </c>
      <c r="M481" s="1" t="s">
        <v>1507</v>
      </c>
      <c r="N481" s="1" t="s">
        <v>42</v>
      </c>
      <c r="O481" s="1" t="s">
        <v>56</v>
      </c>
      <c r="P481" s="1" t="s">
        <v>1507</v>
      </c>
      <c r="Q481" s="1" t="s">
        <v>1507</v>
      </c>
      <c r="R481" s="1" t="s">
        <v>1507</v>
      </c>
      <c r="S481" s="1" t="s">
        <v>1507</v>
      </c>
      <c r="T481" s="1" t="s">
        <v>1507</v>
      </c>
      <c r="U481" s="1" t="s">
        <v>9601</v>
      </c>
      <c r="V481" s="1" t="s">
        <v>9602</v>
      </c>
      <c r="W481" s="1" t="s">
        <v>9603</v>
      </c>
      <c r="X481" s="1" t="s">
        <v>9604</v>
      </c>
      <c r="Y481" s="1" t="s">
        <v>9605</v>
      </c>
      <c r="Z481" s="1" t="s">
        <v>8160</v>
      </c>
      <c r="AA481" s="1" t="s">
        <v>7496</v>
      </c>
      <c r="AB481" s="1" t="s">
        <v>7497</v>
      </c>
      <c r="AC481" s="1" t="s">
        <v>8161</v>
      </c>
      <c r="AD481" s="1" t="s">
        <v>9606</v>
      </c>
      <c r="AE481" s="1" t="s">
        <v>9607</v>
      </c>
      <c r="AF481" s="1" t="s">
        <v>9608</v>
      </c>
      <c r="AG481" s="1" t="s">
        <v>1507</v>
      </c>
      <c r="AH481" s="1">
        <v>108</v>
      </c>
      <c r="AI481" s="1">
        <v>6</v>
      </c>
      <c r="AJ481" s="1">
        <v>6</v>
      </c>
      <c r="AK481" s="1">
        <v>0</v>
      </c>
      <c r="AL481" s="1">
        <v>6</v>
      </c>
      <c r="AM481" s="1" t="s">
        <v>1900</v>
      </c>
      <c r="AN481" s="1" t="s">
        <v>1583</v>
      </c>
      <c r="AO481" s="1" t="s">
        <v>1901</v>
      </c>
      <c r="AP481" s="1" t="s">
        <v>8165</v>
      </c>
      <c r="AQ481" s="1" t="s">
        <v>8166</v>
      </c>
      <c r="AR481" s="1" t="s">
        <v>1507</v>
      </c>
      <c r="AS481" s="1" t="s">
        <v>8167</v>
      </c>
      <c r="AT481" s="1" t="s">
        <v>8168</v>
      </c>
      <c r="AU481" s="1" t="s">
        <v>3992</v>
      </c>
      <c r="AV481" s="1">
        <v>2020</v>
      </c>
      <c r="AW481" s="1">
        <v>119</v>
      </c>
      <c r="AX481" s="1" t="s">
        <v>1507</v>
      </c>
      <c r="AY481" s="1" t="s">
        <v>1507</v>
      </c>
      <c r="AZ481" s="1" t="s">
        <v>1507</v>
      </c>
      <c r="BA481" s="1" t="s">
        <v>1507</v>
      </c>
      <c r="BB481" s="1" t="s">
        <v>1507</v>
      </c>
      <c r="BC481" s="1" t="s">
        <v>1507</v>
      </c>
      <c r="BD481" s="1" t="s">
        <v>1507</v>
      </c>
      <c r="BE481" s="1">
        <v>104733</v>
      </c>
      <c r="BF481" s="1" t="s">
        <v>9609</v>
      </c>
      <c r="BG481" s="1" t="str">
        <f>HYPERLINK("http://dx.doi.org/10.1016/j.psyneuen.2020.104733","http://dx.doi.org/10.1016/j.psyneuen.2020.104733")</f>
        <v>http://dx.doi.org/10.1016/j.psyneuen.2020.104733</v>
      </c>
      <c r="BH481" s="1" t="s">
        <v>1507</v>
      </c>
      <c r="BI481" s="1" t="s">
        <v>1507</v>
      </c>
      <c r="BJ481" s="1">
        <v>11</v>
      </c>
      <c r="BK481" s="1" t="s">
        <v>8171</v>
      </c>
      <c r="BL481" s="1" t="s">
        <v>1598</v>
      </c>
      <c r="BM481" s="1" t="s">
        <v>8172</v>
      </c>
      <c r="BN481" s="1" t="s">
        <v>9610</v>
      </c>
      <c r="BO481" s="1">
        <v>32563936</v>
      </c>
      <c r="BP481" s="1" t="s">
        <v>9611</v>
      </c>
      <c r="BQ481" s="1" t="s">
        <v>1507</v>
      </c>
      <c r="BR481" s="1" t="s">
        <v>1507</v>
      </c>
      <c r="BS481" s="1" t="s">
        <v>13744</v>
      </c>
      <c r="BT481" s="1" t="s">
        <v>9612</v>
      </c>
      <c r="BU481" s="1" t="str">
        <f>HYPERLINK("https%3A%2F%2Fwww.webofscience.com%2Fwos%2Fwoscc%2Ffull-record%2FWOS:000558090500011","View Full Record in Web of Science")</f>
        <v>View Full Record in Web of Science</v>
      </c>
    </row>
    <row r="482" spans="1:73" x14ac:dyDescent="0.25">
      <c r="A482" s="1">
        <v>481</v>
      </c>
      <c r="B482" s="1" t="s">
        <v>1506</v>
      </c>
      <c r="C482" s="1" t="s">
        <v>8152</v>
      </c>
      <c r="D482" s="1" t="s">
        <v>1507</v>
      </c>
      <c r="E482" s="1" t="s">
        <v>1507</v>
      </c>
      <c r="F482" s="1" t="s">
        <v>1507</v>
      </c>
      <c r="G482" s="1" t="s">
        <v>8153</v>
      </c>
      <c r="H482" s="1" t="s">
        <v>1507</v>
      </c>
      <c r="I482" s="1" t="s">
        <v>1507</v>
      </c>
      <c r="J482" s="1" t="s">
        <v>8154</v>
      </c>
      <c r="K482" s="1" t="s">
        <v>8155</v>
      </c>
      <c r="L482" s="1" t="s">
        <v>1507</v>
      </c>
      <c r="M482" s="1" t="s">
        <v>1507</v>
      </c>
      <c r="N482" s="1" t="s">
        <v>42</v>
      </c>
      <c r="O482" s="1" t="s">
        <v>56</v>
      </c>
      <c r="P482" s="1" t="s">
        <v>1507</v>
      </c>
      <c r="Q482" s="1" t="s">
        <v>1507</v>
      </c>
      <c r="R482" s="1" t="s">
        <v>1507</v>
      </c>
      <c r="S482" s="1" t="s">
        <v>1507</v>
      </c>
      <c r="T482" s="1" t="s">
        <v>1507</v>
      </c>
      <c r="U482" s="1" t="s">
        <v>8156</v>
      </c>
      <c r="V482" s="1" t="s">
        <v>8157</v>
      </c>
      <c r="W482" s="1" t="s">
        <v>8158</v>
      </c>
      <c r="X482" s="1" t="s">
        <v>8159</v>
      </c>
      <c r="Y482" s="1" t="s">
        <v>7494</v>
      </c>
      <c r="Z482" s="1" t="s">
        <v>8160</v>
      </c>
      <c r="AA482" s="1" t="s">
        <v>7496</v>
      </c>
      <c r="AB482" s="1" t="s">
        <v>7497</v>
      </c>
      <c r="AC482" s="1" t="s">
        <v>8161</v>
      </c>
      <c r="AD482" s="1" t="s">
        <v>8162</v>
      </c>
      <c r="AE482" s="1" t="s">
        <v>8163</v>
      </c>
      <c r="AF482" s="1" t="s">
        <v>8164</v>
      </c>
      <c r="AG482" s="1" t="s">
        <v>1507</v>
      </c>
      <c r="AH482" s="1">
        <v>62</v>
      </c>
      <c r="AI482" s="1">
        <v>3</v>
      </c>
      <c r="AJ482" s="1">
        <v>3</v>
      </c>
      <c r="AK482" s="1">
        <v>2</v>
      </c>
      <c r="AL482" s="1">
        <v>12</v>
      </c>
      <c r="AM482" s="1" t="s">
        <v>1900</v>
      </c>
      <c r="AN482" s="1" t="s">
        <v>1583</v>
      </c>
      <c r="AO482" s="1" t="s">
        <v>1901</v>
      </c>
      <c r="AP482" s="1" t="s">
        <v>8165</v>
      </c>
      <c r="AQ482" s="1" t="s">
        <v>8166</v>
      </c>
      <c r="AR482" s="1" t="s">
        <v>1507</v>
      </c>
      <c r="AS482" s="1" t="s">
        <v>8167</v>
      </c>
      <c r="AT482" s="1" t="s">
        <v>8168</v>
      </c>
      <c r="AU482" s="1" t="s">
        <v>2191</v>
      </c>
      <c r="AV482" s="1">
        <v>2021</v>
      </c>
      <c r="AW482" s="1">
        <v>134</v>
      </c>
      <c r="AX482" s="1" t="s">
        <v>1507</v>
      </c>
      <c r="AY482" s="1" t="s">
        <v>1507</v>
      </c>
      <c r="AZ482" s="1" t="s">
        <v>1507</v>
      </c>
      <c r="BA482" s="1" t="s">
        <v>1507</v>
      </c>
      <c r="BB482" s="1" t="s">
        <v>1507</v>
      </c>
      <c r="BC482" s="1" t="s">
        <v>1507</v>
      </c>
      <c r="BD482" s="1" t="s">
        <v>1507</v>
      </c>
      <c r="BE482" s="1">
        <v>105431</v>
      </c>
      <c r="BF482" s="1" t="s">
        <v>8169</v>
      </c>
      <c r="BG482" s="1" t="str">
        <f>HYPERLINK("http://dx.doi.org/10.1016/j.psyneuen.2021.105431","http://dx.doi.org/10.1016/j.psyneuen.2021.105431")</f>
        <v>http://dx.doi.org/10.1016/j.psyneuen.2021.105431</v>
      </c>
      <c r="BH482" s="1" t="s">
        <v>1507</v>
      </c>
      <c r="BI482" s="1" t="s">
        <v>8170</v>
      </c>
      <c r="BJ482" s="1">
        <v>7</v>
      </c>
      <c r="BK482" s="1" t="s">
        <v>8171</v>
      </c>
      <c r="BL482" s="1" t="s">
        <v>1598</v>
      </c>
      <c r="BM482" s="1" t="s">
        <v>8172</v>
      </c>
      <c r="BN482" s="1" t="s">
        <v>8173</v>
      </c>
      <c r="BO482" s="1">
        <v>34601343</v>
      </c>
      <c r="BP482" s="1" t="s">
        <v>15710</v>
      </c>
      <c r="BQ482" s="1" t="s">
        <v>1507</v>
      </c>
      <c r="BR482" s="1" t="s">
        <v>1507</v>
      </c>
      <c r="BS482" s="1" t="s">
        <v>13744</v>
      </c>
      <c r="BT482" s="1" t="s">
        <v>8175</v>
      </c>
      <c r="BU482" s="1" t="str">
        <f>HYPERLINK("https%3A%2F%2Fwww.webofscience.com%2Fwos%2Fwoscc%2Ffull-record%2FWOS:000704984200005","View Full Record in Web of Science")</f>
        <v>View Full Record in Web of Science</v>
      </c>
    </row>
    <row r="483" spans="1:73" x14ac:dyDescent="0.25">
      <c r="A483" s="1">
        <v>482</v>
      </c>
      <c r="B483" s="1" t="s">
        <v>1506</v>
      </c>
      <c r="C483" s="1" t="s">
        <v>7486</v>
      </c>
      <c r="D483" s="1" t="s">
        <v>1507</v>
      </c>
      <c r="E483" s="1" t="s">
        <v>1507</v>
      </c>
      <c r="F483" s="1" t="s">
        <v>1507</v>
      </c>
      <c r="G483" s="1" t="s">
        <v>7487</v>
      </c>
      <c r="H483" s="1" t="s">
        <v>1507</v>
      </c>
      <c r="I483" s="1" t="s">
        <v>1507</v>
      </c>
      <c r="J483" s="1" t="s">
        <v>7488</v>
      </c>
      <c r="K483" s="1" t="s">
        <v>7489</v>
      </c>
      <c r="L483" s="1" t="s">
        <v>1507</v>
      </c>
      <c r="M483" s="1" t="s">
        <v>1507</v>
      </c>
      <c r="N483" s="1" t="s">
        <v>42</v>
      </c>
      <c r="O483" s="1" t="s">
        <v>56</v>
      </c>
      <c r="P483" s="1" t="s">
        <v>1507</v>
      </c>
      <c r="Q483" s="1" t="s">
        <v>1507</v>
      </c>
      <c r="R483" s="1" t="s">
        <v>1507</v>
      </c>
      <c r="S483" s="1" t="s">
        <v>1507</v>
      </c>
      <c r="T483" s="1" t="s">
        <v>1507</v>
      </c>
      <c r="U483" s="1" t="s">
        <v>7490</v>
      </c>
      <c r="V483" s="1" t="s">
        <v>7491</v>
      </c>
      <c r="W483" s="1" t="s">
        <v>7492</v>
      </c>
      <c r="X483" s="1" t="s">
        <v>7493</v>
      </c>
      <c r="Y483" s="1" t="s">
        <v>7494</v>
      </c>
      <c r="Z483" s="1" t="s">
        <v>7495</v>
      </c>
      <c r="AA483" s="1" t="s">
        <v>7496</v>
      </c>
      <c r="AB483" s="1" t="s">
        <v>7497</v>
      </c>
      <c r="AC483" s="1" t="s">
        <v>7498</v>
      </c>
      <c r="AD483" s="1" t="s">
        <v>7499</v>
      </c>
      <c r="AE483" s="1" t="s">
        <v>7500</v>
      </c>
      <c r="AF483" s="1" t="s">
        <v>7501</v>
      </c>
      <c r="AG483" s="1" t="s">
        <v>1507</v>
      </c>
      <c r="AH483" s="1">
        <v>56</v>
      </c>
      <c r="AI483" s="1">
        <v>2</v>
      </c>
      <c r="AJ483" s="1">
        <v>2</v>
      </c>
      <c r="AK483" s="1">
        <v>1</v>
      </c>
      <c r="AL483" s="1">
        <v>7</v>
      </c>
      <c r="AM483" s="1" t="s">
        <v>2073</v>
      </c>
      <c r="AN483" s="1" t="s">
        <v>2074</v>
      </c>
      <c r="AO483" s="1" t="s">
        <v>2075</v>
      </c>
      <c r="AP483" s="1" t="s">
        <v>7502</v>
      </c>
      <c r="AQ483" s="1" t="s">
        <v>7503</v>
      </c>
      <c r="AR483" s="1" t="s">
        <v>1507</v>
      </c>
      <c r="AS483" s="1" t="s">
        <v>7504</v>
      </c>
      <c r="AT483" s="1" t="s">
        <v>7505</v>
      </c>
      <c r="AU483" s="1" t="s">
        <v>5362</v>
      </c>
      <c r="AV483" s="1">
        <v>2022</v>
      </c>
      <c r="AW483" s="1">
        <v>33</v>
      </c>
      <c r="AX483" s="1">
        <v>3</v>
      </c>
      <c r="AY483" s="1" t="s">
        <v>1507</v>
      </c>
      <c r="AZ483" s="1" t="s">
        <v>1507</v>
      </c>
      <c r="BA483" s="1" t="s">
        <v>1507</v>
      </c>
      <c r="BB483" s="1" t="s">
        <v>1507</v>
      </c>
      <c r="BC483" s="1">
        <v>343</v>
      </c>
      <c r="BD483" s="1">
        <v>353</v>
      </c>
      <c r="BE483" s="1">
        <v>9567976211036076</v>
      </c>
      <c r="BF483" s="1" t="s">
        <v>7506</v>
      </c>
      <c r="BG483" s="1" t="str">
        <f>HYPERLINK("http://dx.doi.org/10.1177/09567976211036075","http://dx.doi.org/10.1177/09567976211036075")</f>
        <v>http://dx.doi.org/10.1177/09567976211036075</v>
      </c>
      <c r="BH483" s="1" t="s">
        <v>1507</v>
      </c>
      <c r="BI483" s="1" t="s">
        <v>7483</v>
      </c>
      <c r="BJ483" s="1">
        <v>11</v>
      </c>
      <c r="BK483" s="1" t="s">
        <v>1517</v>
      </c>
      <c r="BL483" s="1" t="s">
        <v>1518</v>
      </c>
      <c r="BM483" s="1" t="s">
        <v>1519</v>
      </c>
      <c r="BN483" s="1" t="s">
        <v>7507</v>
      </c>
      <c r="BO483" s="1">
        <v>35191784</v>
      </c>
      <c r="BP483" s="1" t="s">
        <v>7508</v>
      </c>
      <c r="BQ483" s="1" t="s">
        <v>1507</v>
      </c>
      <c r="BR483" s="1" t="s">
        <v>1507</v>
      </c>
      <c r="BS483" s="1" t="s">
        <v>13744</v>
      </c>
      <c r="BT483" s="1" t="s">
        <v>7509</v>
      </c>
      <c r="BU483" s="1" t="str">
        <f>HYPERLINK("https%3A%2F%2Fwww.webofscience.com%2Fwos%2Fwoscc%2Ffull-record%2FWOS:000762693800001","View Full Record in Web of Science")</f>
        <v>View Full Record in Web of Science</v>
      </c>
    </row>
    <row r="484" spans="1:73" x14ac:dyDescent="0.25">
      <c r="A484" s="1">
        <v>483</v>
      </c>
      <c r="B484" s="1" t="s">
        <v>1506</v>
      </c>
      <c r="C484" s="1" t="s">
        <v>1954</v>
      </c>
      <c r="D484" s="1" t="s">
        <v>1507</v>
      </c>
      <c r="E484" s="1" t="s">
        <v>1507</v>
      </c>
      <c r="F484" s="1" t="s">
        <v>1507</v>
      </c>
      <c r="G484" s="1" t="s">
        <v>1955</v>
      </c>
      <c r="H484" s="1" t="s">
        <v>1507</v>
      </c>
      <c r="I484" s="1" t="s">
        <v>1507</v>
      </c>
      <c r="J484" s="1" t="s">
        <v>1956</v>
      </c>
      <c r="K484" s="1" t="s">
        <v>1957</v>
      </c>
      <c r="L484" s="1" t="s">
        <v>1507</v>
      </c>
      <c r="M484" s="1" t="s">
        <v>1507</v>
      </c>
      <c r="N484" s="1" t="s">
        <v>42</v>
      </c>
      <c r="O484" s="1" t="s">
        <v>1509</v>
      </c>
      <c r="P484" s="1" t="s">
        <v>1507</v>
      </c>
      <c r="Q484" s="1" t="s">
        <v>1507</v>
      </c>
      <c r="R484" s="1" t="s">
        <v>1507</v>
      </c>
      <c r="S484" s="1" t="s">
        <v>1507</v>
      </c>
      <c r="T484" s="1" t="s">
        <v>1507</v>
      </c>
      <c r="U484" s="1" t="s">
        <v>1507</v>
      </c>
      <c r="V484" s="1" t="s">
        <v>1507</v>
      </c>
      <c r="W484" s="1" t="s">
        <v>1507</v>
      </c>
      <c r="X484" s="1" t="s">
        <v>1958</v>
      </c>
      <c r="Y484" s="1" t="s">
        <v>1959</v>
      </c>
      <c r="Z484" s="1" t="s">
        <v>1960</v>
      </c>
      <c r="AA484" s="1" t="s">
        <v>1961</v>
      </c>
      <c r="AB484" s="1" t="s">
        <v>1507</v>
      </c>
      <c r="AC484" s="1" t="s">
        <v>13865</v>
      </c>
      <c r="AD484" s="1" t="s">
        <v>1962</v>
      </c>
      <c r="AE484" s="1" t="s">
        <v>1963</v>
      </c>
      <c r="AF484" s="1" t="s">
        <v>1964</v>
      </c>
      <c r="AG484" s="1" t="s">
        <v>1507</v>
      </c>
      <c r="AH484" s="1">
        <v>6</v>
      </c>
      <c r="AI484" s="1">
        <v>1</v>
      </c>
      <c r="AJ484" s="1">
        <v>1</v>
      </c>
      <c r="AK484" s="1">
        <v>3</v>
      </c>
      <c r="AL484" s="1">
        <v>3</v>
      </c>
      <c r="AM484" s="1" t="s">
        <v>1559</v>
      </c>
      <c r="AN484" s="1" t="s">
        <v>1560</v>
      </c>
      <c r="AO484" s="1" t="s">
        <v>1561</v>
      </c>
      <c r="AP484" s="1" t="s">
        <v>1965</v>
      </c>
      <c r="AQ484" s="1" t="s">
        <v>1966</v>
      </c>
      <c r="AR484" s="1" t="s">
        <v>1507</v>
      </c>
      <c r="AS484" s="1" t="s">
        <v>1957</v>
      </c>
      <c r="AT484" s="1" t="s">
        <v>1967</v>
      </c>
      <c r="AU484" s="1" t="s">
        <v>1968</v>
      </c>
      <c r="AV484" s="1">
        <v>2023</v>
      </c>
      <c r="AW484" s="1" t="s">
        <v>1507</v>
      </c>
      <c r="AX484" s="1" t="s">
        <v>1507</v>
      </c>
      <c r="AY484" s="1" t="s">
        <v>1507</v>
      </c>
      <c r="AZ484" s="1" t="s">
        <v>1507</v>
      </c>
      <c r="BA484" s="1" t="s">
        <v>1507</v>
      </c>
      <c r="BB484" s="1" t="s">
        <v>1507</v>
      </c>
      <c r="BC484" s="1" t="s">
        <v>1507</v>
      </c>
      <c r="BD484" s="1" t="s">
        <v>1507</v>
      </c>
      <c r="BE484" s="1" t="s">
        <v>1507</v>
      </c>
      <c r="BF484" s="1" t="s">
        <v>1969</v>
      </c>
      <c r="BG484" s="1" t="str">
        <f>HYPERLINK("http://dx.doi.org/10.1111/all.15976","http://dx.doi.org/10.1111/all.15976")</f>
        <v>http://dx.doi.org/10.1111/all.15976</v>
      </c>
      <c r="BH484" s="1" t="s">
        <v>1507</v>
      </c>
      <c r="BI484" s="1" t="s">
        <v>1652</v>
      </c>
      <c r="BJ484" s="1">
        <v>4</v>
      </c>
      <c r="BK484" s="1" t="s">
        <v>1970</v>
      </c>
      <c r="BL484" s="1" t="s">
        <v>1573</v>
      </c>
      <c r="BM484" s="1" t="s">
        <v>1970</v>
      </c>
      <c r="BN484" s="1" t="s">
        <v>1971</v>
      </c>
      <c r="BO484" s="1">
        <v>38078613</v>
      </c>
      <c r="BP484" s="1" t="s">
        <v>1507</v>
      </c>
      <c r="BQ484" s="1" t="s">
        <v>1507</v>
      </c>
      <c r="BR484" s="1" t="s">
        <v>1507</v>
      </c>
      <c r="BS484" s="1" t="s">
        <v>13744</v>
      </c>
      <c r="BT484" s="1" t="s">
        <v>1972</v>
      </c>
      <c r="BU484" s="1" t="str">
        <f>HYPERLINK("https%3A%2F%2Fwww.webofscience.com%2Fwos%2Fwoscc%2Ffull-record%2FWOS:001122225300001","View Full Record in Web of Science")</f>
        <v>View Full Record in Web of Science</v>
      </c>
    </row>
    <row r="485" spans="1:73" x14ac:dyDescent="0.25">
      <c r="A485" s="1">
        <v>484</v>
      </c>
      <c r="B485" s="1" t="s">
        <v>1506</v>
      </c>
      <c r="C485" s="1" t="s">
        <v>9918</v>
      </c>
      <c r="D485" s="1" t="s">
        <v>1507</v>
      </c>
      <c r="E485" s="1" t="s">
        <v>1507</v>
      </c>
      <c r="F485" s="1" t="s">
        <v>1507</v>
      </c>
      <c r="G485" s="1" t="s">
        <v>9919</v>
      </c>
      <c r="H485" s="1" t="s">
        <v>1507</v>
      </c>
      <c r="I485" s="1" t="s">
        <v>1507</v>
      </c>
      <c r="J485" s="1" t="s">
        <v>9920</v>
      </c>
      <c r="K485" s="1" t="s">
        <v>1760</v>
      </c>
      <c r="L485" s="1" t="s">
        <v>1507</v>
      </c>
      <c r="M485" s="1" t="s">
        <v>1507</v>
      </c>
      <c r="N485" s="1" t="s">
        <v>42</v>
      </c>
      <c r="O485" s="1" t="s">
        <v>56</v>
      </c>
      <c r="P485" s="1" t="s">
        <v>1507</v>
      </c>
      <c r="Q485" s="1" t="s">
        <v>1507</v>
      </c>
      <c r="R485" s="1" t="s">
        <v>1507</v>
      </c>
      <c r="S485" s="1" t="s">
        <v>1507</v>
      </c>
      <c r="T485" s="1" t="s">
        <v>1507</v>
      </c>
      <c r="U485" s="1" t="s">
        <v>1507</v>
      </c>
      <c r="V485" s="1" t="s">
        <v>9921</v>
      </c>
      <c r="W485" s="1" t="s">
        <v>9922</v>
      </c>
      <c r="X485" s="1" t="s">
        <v>9923</v>
      </c>
      <c r="Y485" s="1" t="s">
        <v>7146</v>
      </c>
      <c r="Z485" s="1" t="s">
        <v>9924</v>
      </c>
      <c r="AA485" s="1" t="s">
        <v>9925</v>
      </c>
      <c r="AB485" s="1" t="s">
        <v>15816</v>
      </c>
      <c r="AC485" s="1" t="s">
        <v>15817</v>
      </c>
      <c r="AD485" s="1" t="s">
        <v>9926</v>
      </c>
      <c r="AE485" s="1" t="s">
        <v>9927</v>
      </c>
      <c r="AF485" s="1" t="s">
        <v>9928</v>
      </c>
      <c r="AG485" s="1" t="s">
        <v>1507</v>
      </c>
      <c r="AH485" s="1">
        <v>37</v>
      </c>
      <c r="AI485" s="1">
        <v>860</v>
      </c>
      <c r="AJ485" s="1">
        <v>933</v>
      </c>
      <c r="AK485" s="1">
        <v>14</v>
      </c>
      <c r="AL485" s="1">
        <v>107</v>
      </c>
      <c r="AM485" s="1" t="s">
        <v>1591</v>
      </c>
      <c r="AN485" s="1" t="s">
        <v>1592</v>
      </c>
      <c r="AO485" s="1" t="s">
        <v>1593</v>
      </c>
      <c r="AP485" s="1" t="s">
        <v>1770</v>
      </c>
      <c r="AQ485" s="1" t="s">
        <v>1771</v>
      </c>
      <c r="AR485" s="1" t="s">
        <v>1507</v>
      </c>
      <c r="AS485" s="1" t="s">
        <v>1760</v>
      </c>
      <c r="AT485" s="1" t="s">
        <v>1772</v>
      </c>
      <c r="AU485" s="1" t="s">
        <v>15606</v>
      </c>
      <c r="AV485" s="1">
        <v>2020</v>
      </c>
      <c r="AW485" s="1">
        <v>583</v>
      </c>
      <c r="AX485" s="1">
        <v>7818</v>
      </c>
      <c r="AY485" s="1" t="s">
        <v>1507</v>
      </c>
      <c r="AZ485" s="1" t="s">
        <v>1507</v>
      </c>
      <c r="BA485" s="1" t="s">
        <v>1507</v>
      </c>
      <c r="BB485" s="1" t="s">
        <v>1507</v>
      </c>
      <c r="BC485" s="1">
        <v>834</v>
      </c>
      <c r="BD485" s="1" t="s">
        <v>1774</v>
      </c>
      <c r="BE485" s="1" t="s">
        <v>1507</v>
      </c>
      <c r="BF485" s="1" t="s">
        <v>9929</v>
      </c>
      <c r="BG485" s="1" t="str">
        <f>HYPERLINK("http://dx.doi.org/10.1038/s41586-020-2342-5","http://dx.doi.org/10.1038/s41586-020-2342-5")</f>
        <v>http://dx.doi.org/10.1038/s41586-020-2342-5</v>
      </c>
      <c r="BH485" s="1" t="s">
        <v>1507</v>
      </c>
      <c r="BI485" s="1" t="s">
        <v>9890</v>
      </c>
      <c r="BJ485" s="1">
        <v>11</v>
      </c>
      <c r="BK485" s="1" t="s">
        <v>1776</v>
      </c>
      <c r="BL485" s="1" t="s">
        <v>1573</v>
      </c>
      <c r="BM485" s="1" t="s">
        <v>1777</v>
      </c>
      <c r="BN485" s="1" t="s">
        <v>9930</v>
      </c>
      <c r="BO485" s="1">
        <v>32408338</v>
      </c>
      <c r="BP485" s="1" t="s">
        <v>9931</v>
      </c>
      <c r="BQ485" s="1" t="s">
        <v>1507</v>
      </c>
      <c r="BR485" s="1" t="s">
        <v>1507</v>
      </c>
      <c r="BS485" s="1" t="s">
        <v>13744</v>
      </c>
      <c r="BT485" s="1" t="s">
        <v>9932</v>
      </c>
      <c r="BU485" s="1" t="str">
        <f>HYPERLINK("https%3A%2F%2Fwww.webofscience.com%2Fwos%2Fwoscc%2Ffull-record%2FWOS:000551400700001","View Full Record in Web of Science")</f>
        <v>View Full Record in Web of Science</v>
      </c>
    </row>
    <row r="486" spans="1:73" x14ac:dyDescent="0.25">
      <c r="A486" s="1">
        <v>485</v>
      </c>
      <c r="B486" s="1" t="s">
        <v>1506</v>
      </c>
      <c r="C486" s="1" t="s">
        <v>14433</v>
      </c>
      <c r="D486" s="1" t="s">
        <v>1507</v>
      </c>
      <c r="E486" s="1" t="s">
        <v>1507</v>
      </c>
      <c r="F486" s="1" t="s">
        <v>1507</v>
      </c>
      <c r="G486" s="1" t="s">
        <v>14434</v>
      </c>
      <c r="H486" s="1" t="s">
        <v>1507</v>
      </c>
      <c r="I486" s="1" t="s">
        <v>1507</v>
      </c>
      <c r="J486" s="1" t="s">
        <v>14435</v>
      </c>
      <c r="K486" s="1" t="s">
        <v>14368</v>
      </c>
      <c r="L486" s="1" t="s">
        <v>1507</v>
      </c>
      <c r="M486" s="1" t="s">
        <v>1507</v>
      </c>
      <c r="N486" s="1" t="s">
        <v>42</v>
      </c>
      <c r="O486" s="1" t="s">
        <v>1487</v>
      </c>
      <c r="P486" s="1" t="s">
        <v>14369</v>
      </c>
      <c r="Q486" s="1" t="s">
        <v>14370</v>
      </c>
      <c r="R486" s="1" t="s">
        <v>5909</v>
      </c>
      <c r="S486" s="1" t="s">
        <v>1507</v>
      </c>
      <c r="T486" s="1" t="s">
        <v>1507</v>
      </c>
      <c r="U486" s="1" t="s">
        <v>1507</v>
      </c>
      <c r="V486" s="1" t="s">
        <v>1507</v>
      </c>
      <c r="W486" s="1" t="s">
        <v>1507</v>
      </c>
      <c r="X486" s="1" t="s">
        <v>14436</v>
      </c>
      <c r="Y486" s="1" t="s">
        <v>14437</v>
      </c>
      <c r="Z486" s="1" t="s">
        <v>1507</v>
      </c>
      <c r="AA486" s="1" t="s">
        <v>1507</v>
      </c>
      <c r="AB486" s="1" t="s">
        <v>14438</v>
      </c>
      <c r="AC486" s="1" t="s">
        <v>14439</v>
      </c>
      <c r="AD486" s="1" t="s">
        <v>1507</v>
      </c>
      <c r="AE486" s="1" t="s">
        <v>1507</v>
      </c>
      <c r="AF486" s="1" t="s">
        <v>1507</v>
      </c>
      <c r="AG486" s="1" t="s">
        <v>1507</v>
      </c>
      <c r="AH486" s="1">
        <v>0</v>
      </c>
      <c r="AI486" s="1">
        <v>0</v>
      </c>
      <c r="AJ486" s="1">
        <v>0</v>
      </c>
      <c r="AK486" s="1">
        <v>1</v>
      </c>
      <c r="AL486" s="1">
        <v>1</v>
      </c>
      <c r="AM486" s="1" t="s">
        <v>4330</v>
      </c>
      <c r="AN486" s="1" t="s">
        <v>1746</v>
      </c>
      <c r="AO486" s="1" t="s">
        <v>4331</v>
      </c>
      <c r="AP486" s="1" t="s">
        <v>14372</v>
      </c>
      <c r="AQ486" s="1" t="s">
        <v>14373</v>
      </c>
      <c r="AR486" s="1" t="s">
        <v>1507</v>
      </c>
      <c r="AS486" s="1" t="s">
        <v>14374</v>
      </c>
      <c r="AT486" s="1" t="s">
        <v>14375</v>
      </c>
      <c r="AU486" s="1" t="s">
        <v>2889</v>
      </c>
      <c r="AV486" s="1">
        <v>2023</v>
      </c>
      <c r="AW486" s="1">
        <v>118</v>
      </c>
      <c r="AX486" s="1">
        <v>10</v>
      </c>
      <c r="AY486" s="1" t="s">
        <v>1507</v>
      </c>
      <c r="AZ486" s="1" t="s">
        <v>11902</v>
      </c>
      <c r="BA486" s="1" t="s">
        <v>1507</v>
      </c>
      <c r="BB486" s="1" t="s">
        <v>14440</v>
      </c>
      <c r="BC486" s="1" t="s">
        <v>14441</v>
      </c>
      <c r="BD486" s="1" t="s">
        <v>14441</v>
      </c>
      <c r="BE486" s="1" t="s">
        <v>1507</v>
      </c>
      <c r="BF486" s="1" t="s">
        <v>1507</v>
      </c>
      <c r="BG486" s="1" t="s">
        <v>1507</v>
      </c>
      <c r="BH486" s="1" t="s">
        <v>1507</v>
      </c>
      <c r="BI486" s="1" t="s">
        <v>1507</v>
      </c>
      <c r="BJ486" s="1">
        <v>1</v>
      </c>
      <c r="BK486" s="1" t="s">
        <v>9749</v>
      </c>
      <c r="BL486" s="1" t="s">
        <v>11691</v>
      </c>
      <c r="BM486" s="1" t="s">
        <v>9749</v>
      </c>
      <c r="BN486" s="1" t="s">
        <v>14378</v>
      </c>
      <c r="BO486" s="1" t="s">
        <v>1507</v>
      </c>
      <c r="BP486" s="1" t="s">
        <v>1507</v>
      </c>
      <c r="BQ486" s="1" t="s">
        <v>1507</v>
      </c>
      <c r="BR486" s="1" t="s">
        <v>1507</v>
      </c>
      <c r="BS486" s="1" t="s">
        <v>13744</v>
      </c>
      <c r="BT486" s="1" t="s">
        <v>14442</v>
      </c>
      <c r="BU486" s="1" t="str">
        <f>HYPERLINK("https%3A%2F%2Fwww.webofscience.com%2Fwos%2Fwoscc%2Ffull-record%2FWOS:001091849302129","View Full Record in Web of Science")</f>
        <v>View Full Record in Web of Science</v>
      </c>
    </row>
    <row r="487" spans="1:73" x14ac:dyDescent="0.25">
      <c r="A487" s="1">
        <v>486</v>
      </c>
      <c r="B487" s="1" t="s">
        <v>1506</v>
      </c>
      <c r="C487" s="1" t="s">
        <v>2399</v>
      </c>
      <c r="D487" s="1" t="s">
        <v>1507</v>
      </c>
      <c r="E487" s="1" t="s">
        <v>1507</v>
      </c>
      <c r="F487" s="1" t="s">
        <v>1507</v>
      </c>
      <c r="G487" s="1" t="s">
        <v>2400</v>
      </c>
      <c r="H487" s="1" t="s">
        <v>1507</v>
      </c>
      <c r="I487" s="1" t="s">
        <v>1507</v>
      </c>
      <c r="J487" s="1" t="s">
        <v>2401</v>
      </c>
      <c r="K487" s="1" t="s">
        <v>2402</v>
      </c>
      <c r="L487" s="1" t="s">
        <v>1507</v>
      </c>
      <c r="M487" s="1" t="s">
        <v>1507</v>
      </c>
      <c r="N487" s="1" t="s">
        <v>42</v>
      </c>
      <c r="O487" s="1" t="s">
        <v>56</v>
      </c>
      <c r="P487" s="1" t="s">
        <v>1507</v>
      </c>
      <c r="Q487" s="1" t="s">
        <v>1507</v>
      </c>
      <c r="R487" s="1" t="s">
        <v>1507</v>
      </c>
      <c r="S487" s="1" t="s">
        <v>1507</v>
      </c>
      <c r="T487" s="1" t="s">
        <v>1507</v>
      </c>
      <c r="U487" s="1" t="s">
        <v>2403</v>
      </c>
      <c r="V487" s="1" t="s">
        <v>2404</v>
      </c>
      <c r="W487" s="1" t="s">
        <v>2405</v>
      </c>
      <c r="X487" s="1" t="s">
        <v>2406</v>
      </c>
      <c r="Y487" s="1" t="s">
        <v>2407</v>
      </c>
      <c r="Z487" s="1" t="s">
        <v>2408</v>
      </c>
      <c r="AA487" s="1" t="s">
        <v>2409</v>
      </c>
      <c r="AB487" s="1" t="s">
        <v>1507</v>
      </c>
      <c r="AC487" s="1" t="s">
        <v>1507</v>
      </c>
      <c r="AD487" s="1" t="s">
        <v>2410</v>
      </c>
      <c r="AE487" s="1" t="s">
        <v>2411</v>
      </c>
      <c r="AF487" s="1" t="s">
        <v>2412</v>
      </c>
      <c r="AG487" s="1" t="s">
        <v>1507</v>
      </c>
      <c r="AH487" s="1">
        <v>42</v>
      </c>
      <c r="AI487" s="1">
        <v>2</v>
      </c>
      <c r="AJ487" s="1">
        <v>2</v>
      </c>
      <c r="AK487" s="1">
        <v>19</v>
      </c>
      <c r="AL487" s="1">
        <v>19</v>
      </c>
      <c r="AM487" s="1" t="s">
        <v>1555</v>
      </c>
      <c r="AN487" s="1" t="s">
        <v>1556</v>
      </c>
      <c r="AO487" s="1" t="s">
        <v>1557</v>
      </c>
      <c r="AP487" s="1" t="s">
        <v>2413</v>
      </c>
      <c r="AQ487" s="1" t="s">
        <v>2414</v>
      </c>
      <c r="AR487" s="1" t="s">
        <v>1507</v>
      </c>
      <c r="AS487" s="1" t="s">
        <v>2415</v>
      </c>
      <c r="AT487" s="1" t="s">
        <v>2416</v>
      </c>
      <c r="AU487" s="1" t="s">
        <v>13945</v>
      </c>
      <c r="AV487" s="1">
        <v>2024</v>
      </c>
      <c r="AW487" s="1">
        <v>12</v>
      </c>
      <c r="AX487" s="1">
        <v>2</v>
      </c>
      <c r="AY487" s="1" t="s">
        <v>1507</v>
      </c>
      <c r="AZ487" s="1" t="s">
        <v>1507</v>
      </c>
      <c r="BA487" s="1" t="s">
        <v>3506</v>
      </c>
      <c r="BB487" s="1" t="s">
        <v>1507</v>
      </c>
      <c r="BC487" s="1">
        <v>149</v>
      </c>
      <c r="BD487" s="1">
        <v>170</v>
      </c>
      <c r="BE487" s="1" t="s">
        <v>1507</v>
      </c>
      <c r="BF487" s="1" t="s">
        <v>2417</v>
      </c>
      <c r="BG487" s="1" t="str">
        <f>HYPERLINK("http://dx.doi.org/10.1080/21670811.2023.2287464","http://dx.doi.org/10.1080/21670811.2023.2287464")</f>
        <v>http://dx.doi.org/10.1080/21670811.2023.2287464</v>
      </c>
      <c r="BH487" s="1" t="s">
        <v>1507</v>
      </c>
      <c r="BI487" s="1" t="s">
        <v>2396</v>
      </c>
      <c r="BJ487" s="1">
        <v>22</v>
      </c>
      <c r="BK487" s="1" t="s">
        <v>2418</v>
      </c>
      <c r="BL487" s="1" t="s">
        <v>1518</v>
      </c>
      <c r="BM487" s="1" t="s">
        <v>2418</v>
      </c>
      <c r="BN487" s="1" t="s">
        <v>13946</v>
      </c>
      <c r="BO487" s="1" t="s">
        <v>1507</v>
      </c>
      <c r="BP487" s="1" t="s">
        <v>1537</v>
      </c>
      <c r="BQ487" s="1" t="s">
        <v>1507</v>
      </c>
      <c r="BR487" s="1" t="s">
        <v>1507</v>
      </c>
      <c r="BS487" s="1" t="s">
        <v>13744</v>
      </c>
      <c r="BT487" s="1" t="s">
        <v>2419</v>
      </c>
      <c r="BU487" s="1" t="str">
        <f>HYPERLINK("https%3A%2F%2Fwww.webofscience.com%2Fwos%2Fwoscc%2Ffull-record%2FWOS:001151613600001","View Full Record in Web of Science")</f>
        <v>View Full Record in Web of Science</v>
      </c>
    </row>
    <row r="488" spans="1:73" x14ac:dyDescent="0.25">
      <c r="A488" s="1">
        <v>487</v>
      </c>
      <c r="B488" s="1" t="s">
        <v>1506</v>
      </c>
      <c r="C488" s="1" t="s">
        <v>11677</v>
      </c>
      <c r="D488" s="1" t="s">
        <v>1507</v>
      </c>
      <c r="E488" s="1" t="s">
        <v>1507</v>
      </c>
      <c r="F488" s="1" t="s">
        <v>1507</v>
      </c>
      <c r="G488" s="1" t="s">
        <v>11678</v>
      </c>
      <c r="H488" s="1" t="s">
        <v>1507</v>
      </c>
      <c r="I488" s="1" t="s">
        <v>1507</v>
      </c>
      <c r="J488" s="1" t="s">
        <v>11679</v>
      </c>
      <c r="K488" s="1" t="s">
        <v>11413</v>
      </c>
      <c r="L488" s="1" t="s">
        <v>1507</v>
      </c>
      <c r="M488" s="1" t="s">
        <v>1507</v>
      </c>
      <c r="N488" s="1" t="s">
        <v>42</v>
      </c>
      <c r="O488" s="1" t="s">
        <v>11680</v>
      </c>
      <c r="P488" s="1" t="s">
        <v>11681</v>
      </c>
      <c r="Q488" s="1" t="s">
        <v>11682</v>
      </c>
      <c r="R488" s="1" t="s">
        <v>11683</v>
      </c>
      <c r="S488" s="1" t="s">
        <v>11684</v>
      </c>
      <c r="T488" s="1" t="s">
        <v>1507</v>
      </c>
      <c r="U488" s="1" t="s">
        <v>1507</v>
      </c>
      <c r="V488" s="1" t="s">
        <v>11685</v>
      </c>
      <c r="W488" s="1" t="s">
        <v>11686</v>
      </c>
      <c r="X488" s="1" t="s">
        <v>11687</v>
      </c>
      <c r="Y488" s="1" t="s">
        <v>11688</v>
      </c>
      <c r="Z488" s="1" t="s">
        <v>11418</v>
      </c>
      <c r="AA488" s="1" t="s">
        <v>11689</v>
      </c>
      <c r="AB488" s="1" t="s">
        <v>16003</v>
      </c>
      <c r="AC488" s="1" t="s">
        <v>16004</v>
      </c>
      <c r="AD488" s="1" t="s">
        <v>1507</v>
      </c>
      <c r="AE488" s="1" t="s">
        <v>1507</v>
      </c>
      <c r="AF488" s="1" t="s">
        <v>1507</v>
      </c>
      <c r="AG488" s="1" t="s">
        <v>1507</v>
      </c>
      <c r="AH488" s="1">
        <v>41</v>
      </c>
      <c r="AI488" s="1">
        <v>17</v>
      </c>
      <c r="AJ488" s="1">
        <v>19</v>
      </c>
      <c r="AK488" s="1">
        <v>0</v>
      </c>
      <c r="AL488" s="1">
        <v>5</v>
      </c>
      <c r="AM488" s="1" t="s">
        <v>11424</v>
      </c>
      <c r="AN488" s="1" t="s">
        <v>11425</v>
      </c>
      <c r="AO488" s="1" t="s">
        <v>11426</v>
      </c>
      <c r="AP488" s="1" t="s">
        <v>11427</v>
      </c>
      <c r="AQ488" s="1" t="s">
        <v>11428</v>
      </c>
      <c r="AR488" s="1" t="s">
        <v>1507</v>
      </c>
      <c r="AS488" s="1" t="s">
        <v>11429</v>
      </c>
      <c r="AT488" s="1" t="s">
        <v>11430</v>
      </c>
      <c r="AU488" s="1" t="s">
        <v>4556</v>
      </c>
      <c r="AV488" s="1">
        <v>2018</v>
      </c>
      <c r="AW488" s="1">
        <v>55</v>
      </c>
      <c r="AX488" s="1">
        <v>4</v>
      </c>
      <c r="AY488" s="1" t="s">
        <v>1507</v>
      </c>
      <c r="AZ488" s="1" t="s">
        <v>1507</v>
      </c>
      <c r="BA488" s="1" t="s">
        <v>1507</v>
      </c>
      <c r="BB488" s="1" t="s">
        <v>1507</v>
      </c>
      <c r="BC488" s="1">
        <v>1605</v>
      </c>
      <c r="BD488" s="1">
        <v>1618</v>
      </c>
      <c r="BE488" s="1" t="s">
        <v>1507</v>
      </c>
      <c r="BF488" s="1" t="s">
        <v>11690</v>
      </c>
      <c r="BG488" s="1" t="str">
        <f>HYPERLINK("http://dx.doi.org/10.2514/1.C034696","http://dx.doi.org/10.2514/1.C034696")</f>
        <v>http://dx.doi.org/10.2514/1.C034696</v>
      </c>
      <c r="BH488" s="1" t="s">
        <v>1507</v>
      </c>
      <c r="BI488" s="1" t="s">
        <v>1507</v>
      </c>
      <c r="BJ488" s="1">
        <v>14</v>
      </c>
      <c r="BK488" s="1" t="s">
        <v>11432</v>
      </c>
      <c r="BL488" s="1" t="s">
        <v>11691</v>
      </c>
      <c r="BM488" s="1" t="s">
        <v>3691</v>
      </c>
      <c r="BN488" s="1" t="s">
        <v>11692</v>
      </c>
      <c r="BO488" s="1" t="s">
        <v>1507</v>
      </c>
      <c r="BP488" s="1" t="s">
        <v>1507</v>
      </c>
      <c r="BQ488" s="1" t="s">
        <v>1507</v>
      </c>
      <c r="BR488" s="1" t="s">
        <v>1507</v>
      </c>
      <c r="BS488" s="1" t="s">
        <v>13744</v>
      </c>
      <c r="BT488" s="1" t="s">
        <v>11693</v>
      </c>
      <c r="BU488" s="1" t="str">
        <f>HYPERLINK("https%3A%2F%2Fwww.webofscience.com%2Fwos%2Fwoscc%2Ffull-record%2FWOS:000449304100023","View Full Record in Web of Science")</f>
        <v>View Full Record in Web of Science</v>
      </c>
    </row>
    <row r="489" spans="1:73" x14ac:dyDescent="0.25">
      <c r="A489" s="1">
        <v>488</v>
      </c>
      <c r="B489" s="1" t="s">
        <v>1506</v>
      </c>
      <c r="C489" s="1" t="s">
        <v>11410</v>
      </c>
      <c r="D489" s="1" t="s">
        <v>1507</v>
      </c>
      <c r="E489" s="1" t="s">
        <v>1507</v>
      </c>
      <c r="F489" s="1" t="s">
        <v>1507</v>
      </c>
      <c r="G489" s="1" t="s">
        <v>11411</v>
      </c>
      <c r="H489" s="1" t="s">
        <v>1507</v>
      </c>
      <c r="I489" s="1" t="s">
        <v>1507</v>
      </c>
      <c r="J489" s="1" t="s">
        <v>11412</v>
      </c>
      <c r="K489" s="1" t="s">
        <v>11413</v>
      </c>
      <c r="L489" s="1" t="s">
        <v>1507</v>
      </c>
      <c r="M489" s="1" t="s">
        <v>1507</v>
      </c>
      <c r="N489" s="1" t="s">
        <v>42</v>
      </c>
      <c r="O489" s="1" t="s">
        <v>56</v>
      </c>
      <c r="P489" s="1" t="s">
        <v>1507</v>
      </c>
      <c r="Q489" s="1" t="s">
        <v>1507</v>
      </c>
      <c r="R489" s="1" t="s">
        <v>1507</v>
      </c>
      <c r="S489" s="1" t="s">
        <v>1507</v>
      </c>
      <c r="T489" s="1" t="s">
        <v>1507</v>
      </c>
      <c r="U489" s="1" t="s">
        <v>1507</v>
      </c>
      <c r="V489" s="1" t="s">
        <v>11414</v>
      </c>
      <c r="W489" s="1" t="s">
        <v>11415</v>
      </c>
      <c r="X489" s="1" t="s">
        <v>11416</v>
      </c>
      <c r="Y489" s="1" t="s">
        <v>11417</v>
      </c>
      <c r="Z489" s="1" t="s">
        <v>11418</v>
      </c>
      <c r="AA489" s="1" t="s">
        <v>1507</v>
      </c>
      <c r="AB489" s="1" t="s">
        <v>11419</v>
      </c>
      <c r="AC489" s="1" t="s">
        <v>11420</v>
      </c>
      <c r="AD489" s="1" t="s">
        <v>11421</v>
      </c>
      <c r="AE489" s="1" t="s">
        <v>11422</v>
      </c>
      <c r="AF489" s="1" t="s">
        <v>11423</v>
      </c>
      <c r="AG489" s="1" t="s">
        <v>1507</v>
      </c>
      <c r="AH489" s="1">
        <v>23</v>
      </c>
      <c r="AI489" s="1">
        <v>39</v>
      </c>
      <c r="AJ489" s="1">
        <v>43</v>
      </c>
      <c r="AK489" s="1">
        <v>3</v>
      </c>
      <c r="AL489" s="1">
        <v>22</v>
      </c>
      <c r="AM489" s="1" t="s">
        <v>11424</v>
      </c>
      <c r="AN489" s="1" t="s">
        <v>11425</v>
      </c>
      <c r="AO489" s="1" t="s">
        <v>11426</v>
      </c>
      <c r="AP489" s="1" t="s">
        <v>11427</v>
      </c>
      <c r="AQ489" s="1" t="s">
        <v>11428</v>
      </c>
      <c r="AR489" s="1" t="s">
        <v>1507</v>
      </c>
      <c r="AS489" s="1" t="s">
        <v>11429</v>
      </c>
      <c r="AT489" s="1" t="s">
        <v>11430</v>
      </c>
      <c r="AU489" s="1" t="s">
        <v>1616</v>
      </c>
      <c r="AV489" s="1">
        <v>2019</v>
      </c>
      <c r="AW489" s="1">
        <v>56</v>
      </c>
      <c r="AX489" s="1">
        <v>1</v>
      </c>
      <c r="AY489" s="1" t="s">
        <v>1507</v>
      </c>
      <c r="AZ489" s="1" t="s">
        <v>1507</v>
      </c>
      <c r="BA489" s="1" t="s">
        <v>1507</v>
      </c>
      <c r="BB489" s="1" t="s">
        <v>1507</v>
      </c>
      <c r="BC489" s="1">
        <v>295</v>
      </c>
      <c r="BD489" s="1">
        <v>312</v>
      </c>
      <c r="BE489" s="1" t="s">
        <v>1507</v>
      </c>
      <c r="BF489" s="1" t="s">
        <v>11431</v>
      </c>
      <c r="BG489" s="1" t="str">
        <f>HYPERLINK("http://dx.doi.org/10.2514/1.C034978","http://dx.doi.org/10.2514/1.C034978")</f>
        <v>http://dx.doi.org/10.2514/1.C034978</v>
      </c>
      <c r="BH489" s="1" t="s">
        <v>1507</v>
      </c>
      <c r="BI489" s="1" t="s">
        <v>1507</v>
      </c>
      <c r="BJ489" s="1">
        <v>18</v>
      </c>
      <c r="BK489" s="1" t="s">
        <v>11432</v>
      </c>
      <c r="BL489" s="1" t="s">
        <v>1573</v>
      </c>
      <c r="BM489" s="1" t="s">
        <v>3691</v>
      </c>
      <c r="BN489" s="1" t="s">
        <v>11433</v>
      </c>
      <c r="BO489" s="1" t="s">
        <v>1507</v>
      </c>
      <c r="BP489" s="1" t="s">
        <v>1507</v>
      </c>
      <c r="BQ489" s="1" t="s">
        <v>1507</v>
      </c>
      <c r="BR489" s="1" t="s">
        <v>1507</v>
      </c>
      <c r="BS489" s="1" t="s">
        <v>13744</v>
      </c>
      <c r="BT489" s="1" t="s">
        <v>11434</v>
      </c>
      <c r="BU489" s="1" t="str">
        <f>HYPERLINK("https%3A%2F%2Fwww.webofscience.com%2Fwos%2Fwoscc%2Ffull-record%2FWOS:000459623700024","View Full Record in Web of Science")</f>
        <v>View Full Record in Web of Science</v>
      </c>
    </row>
    <row r="490" spans="1:73" x14ac:dyDescent="0.25">
      <c r="A490" s="1">
        <v>489</v>
      </c>
      <c r="B490" s="1" t="s">
        <v>1506</v>
      </c>
      <c r="C490" s="1" t="s">
        <v>9933</v>
      </c>
      <c r="D490" s="1" t="s">
        <v>1507</v>
      </c>
      <c r="E490" s="1" t="s">
        <v>1507</v>
      </c>
      <c r="F490" s="1" t="s">
        <v>1507</v>
      </c>
      <c r="G490" s="1" t="s">
        <v>9934</v>
      </c>
      <c r="H490" s="1" t="s">
        <v>1507</v>
      </c>
      <c r="I490" s="1" t="s">
        <v>1507</v>
      </c>
      <c r="J490" s="1" t="s">
        <v>9935</v>
      </c>
      <c r="K490" s="1" t="s">
        <v>1760</v>
      </c>
      <c r="L490" s="1" t="s">
        <v>1507</v>
      </c>
      <c r="M490" s="1" t="s">
        <v>1507</v>
      </c>
      <c r="N490" s="1" t="s">
        <v>42</v>
      </c>
      <c r="O490" s="1" t="s">
        <v>56</v>
      </c>
      <c r="P490" s="1" t="s">
        <v>1507</v>
      </c>
      <c r="Q490" s="1" t="s">
        <v>1507</v>
      </c>
      <c r="R490" s="1" t="s">
        <v>1507</v>
      </c>
      <c r="S490" s="1" t="s">
        <v>1507</v>
      </c>
      <c r="T490" s="1" t="s">
        <v>1507</v>
      </c>
      <c r="U490" s="1" t="s">
        <v>1507</v>
      </c>
      <c r="V490" s="1" t="s">
        <v>1507</v>
      </c>
      <c r="W490" s="1" t="s">
        <v>9936</v>
      </c>
      <c r="X490" s="1" t="s">
        <v>9937</v>
      </c>
      <c r="Y490" s="1" t="s">
        <v>15818</v>
      </c>
      <c r="Z490" s="1" t="s">
        <v>9938</v>
      </c>
      <c r="AA490" s="1" t="s">
        <v>9939</v>
      </c>
      <c r="AB490" s="1" t="s">
        <v>15819</v>
      </c>
      <c r="AC490" s="1" t="s">
        <v>15820</v>
      </c>
      <c r="AD490" s="1" t="s">
        <v>9940</v>
      </c>
      <c r="AE490" s="1" t="s">
        <v>9941</v>
      </c>
      <c r="AF490" s="1" t="s">
        <v>9942</v>
      </c>
      <c r="AG490" s="1" t="s">
        <v>1507</v>
      </c>
      <c r="AH490" s="1">
        <v>14</v>
      </c>
      <c r="AI490" s="1">
        <v>480</v>
      </c>
      <c r="AJ490" s="1">
        <v>507</v>
      </c>
      <c r="AK490" s="1">
        <v>5</v>
      </c>
      <c r="AL490" s="1">
        <v>72</v>
      </c>
      <c r="AM490" s="1" t="s">
        <v>1591</v>
      </c>
      <c r="AN490" s="1" t="s">
        <v>1592</v>
      </c>
      <c r="AO490" s="1" t="s">
        <v>1593</v>
      </c>
      <c r="AP490" s="1" t="s">
        <v>1770</v>
      </c>
      <c r="AQ490" s="1" t="s">
        <v>1771</v>
      </c>
      <c r="AR490" s="1" t="s">
        <v>1507</v>
      </c>
      <c r="AS490" s="1" t="s">
        <v>1760</v>
      </c>
      <c r="AT490" s="1" t="s">
        <v>1772</v>
      </c>
      <c r="AU490" s="1" t="s">
        <v>15821</v>
      </c>
      <c r="AV490" s="1">
        <v>2020</v>
      </c>
      <c r="AW490" s="1">
        <v>586</v>
      </c>
      <c r="AX490" s="1">
        <v>7831</v>
      </c>
      <c r="AY490" s="1" t="s">
        <v>1507</v>
      </c>
      <c r="AZ490" s="1" t="s">
        <v>1507</v>
      </c>
      <c r="BA490" s="1" t="s">
        <v>1507</v>
      </c>
      <c r="BB490" s="1" t="s">
        <v>1507</v>
      </c>
      <c r="BC490" s="1">
        <v>776</v>
      </c>
      <c r="BD490" s="1" t="s">
        <v>1774</v>
      </c>
      <c r="BE490" s="1" t="s">
        <v>1507</v>
      </c>
      <c r="BF490" s="1" t="s">
        <v>9943</v>
      </c>
      <c r="BG490" s="1" t="str">
        <f>HYPERLINK("http://dx.doi.org/10.1038/s41586-020-2334-5","http://dx.doi.org/10.1038/s41586-020-2334-5")</f>
        <v>http://dx.doi.org/10.1038/s41586-020-2334-5</v>
      </c>
      <c r="BH490" s="1" t="s">
        <v>1507</v>
      </c>
      <c r="BI490" s="1" t="s">
        <v>9890</v>
      </c>
      <c r="BJ490" s="1">
        <v>9</v>
      </c>
      <c r="BK490" s="1" t="s">
        <v>1776</v>
      </c>
      <c r="BL490" s="1" t="s">
        <v>1573</v>
      </c>
      <c r="BM490" s="1" t="s">
        <v>1777</v>
      </c>
      <c r="BN490" s="1" t="s">
        <v>9944</v>
      </c>
      <c r="BO490" s="1">
        <v>32408337</v>
      </c>
      <c r="BP490" s="1" t="s">
        <v>7558</v>
      </c>
      <c r="BQ490" s="1" t="s">
        <v>1507</v>
      </c>
      <c r="BR490" s="1" t="s">
        <v>1507</v>
      </c>
      <c r="BS490" s="1" t="s">
        <v>13744</v>
      </c>
      <c r="BT490" s="1" t="s">
        <v>9946</v>
      </c>
      <c r="BU490" s="1" t="str">
        <f>HYPERLINK("https%3A%2F%2Fwww.webofscience.com%2Fwos%2Fwoscc%2Ffull-record%2FWOS:000554511200001","View Full Record in Web of Science")</f>
        <v>View Full Record in Web of Science</v>
      </c>
    </row>
    <row r="491" spans="1:73" x14ac:dyDescent="0.25">
      <c r="A491" s="1">
        <v>490</v>
      </c>
      <c r="B491" s="1" t="s">
        <v>1506</v>
      </c>
      <c r="C491" s="1" t="s">
        <v>9474</v>
      </c>
      <c r="D491" s="1" t="s">
        <v>1507</v>
      </c>
      <c r="E491" s="1" t="s">
        <v>1507</v>
      </c>
      <c r="F491" s="1" t="s">
        <v>1507</v>
      </c>
      <c r="G491" s="1" t="s">
        <v>9475</v>
      </c>
      <c r="H491" s="1" t="s">
        <v>1507</v>
      </c>
      <c r="I491" s="1" t="s">
        <v>1507</v>
      </c>
      <c r="J491" s="1" t="s">
        <v>9476</v>
      </c>
      <c r="K491" s="1" t="s">
        <v>8043</v>
      </c>
      <c r="L491" s="1" t="s">
        <v>1507</v>
      </c>
      <c r="M491" s="1" t="s">
        <v>1507</v>
      </c>
      <c r="N491" s="1" t="s">
        <v>42</v>
      </c>
      <c r="O491" s="1" t="s">
        <v>56</v>
      </c>
      <c r="P491" s="1" t="s">
        <v>1507</v>
      </c>
      <c r="Q491" s="1" t="s">
        <v>1507</v>
      </c>
      <c r="R491" s="1" t="s">
        <v>1507</v>
      </c>
      <c r="S491" s="1" t="s">
        <v>1507</v>
      </c>
      <c r="T491" s="1" t="s">
        <v>1507</v>
      </c>
      <c r="U491" s="1" t="s">
        <v>9477</v>
      </c>
      <c r="V491" s="1" t="s">
        <v>9478</v>
      </c>
      <c r="W491" s="1" t="s">
        <v>9479</v>
      </c>
      <c r="X491" s="1" t="s">
        <v>9480</v>
      </c>
      <c r="Y491" s="1" t="s">
        <v>9481</v>
      </c>
      <c r="Z491" s="1" t="s">
        <v>9482</v>
      </c>
      <c r="AA491" s="1" t="s">
        <v>5402</v>
      </c>
      <c r="AB491" s="1" t="s">
        <v>1507</v>
      </c>
      <c r="AC491" s="1" t="s">
        <v>9483</v>
      </c>
      <c r="AD491" s="1" t="s">
        <v>8051</v>
      </c>
      <c r="AE491" s="1" t="s">
        <v>8052</v>
      </c>
      <c r="AF491" s="1" t="s">
        <v>9484</v>
      </c>
      <c r="AG491" s="1" t="s">
        <v>1507</v>
      </c>
      <c r="AH491" s="1">
        <v>50</v>
      </c>
      <c r="AI491" s="1">
        <v>9</v>
      </c>
      <c r="AJ491" s="1">
        <v>10</v>
      </c>
      <c r="AK491" s="1">
        <v>0</v>
      </c>
      <c r="AL491" s="1">
        <v>4</v>
      </c>
      <c r="AM491" s="1" t="s">
        <v>1511</v>
      </c>
      <c r="AN491" s="1" t="s">
        <v>1512</v>
      </c>
      <c r="AO491" s="1" t="s">
        <v>1513</v>
      </c>
      <c r="AP491" s="1" t="s">
        <v>8054</v>
      </c>
      <c r="AQ491" s="1" t="s">
        <v>8055</v>
      </c>
      <c r="AR491" s="1" t="s">
        <v>1507</v>
      </c>
      <c r="AS491" s="1" t="s">
        <v>8056</v>
      </c>
      <c r="AT491" s="1" t="s">
        <v>8057</v>
      </c>
      <c r="AU491" s="1" t="s">
        <v>9485</v>
      </c>
      <c r="AV491" s="1">
        <v>2020</v>
      </c>
      <c r="AW491" s="1">
        <v>26</v>
      </c>
      <c r="AX491" s="1">
        <v>1</v>
      </c>
      <c r="AY491" s="1" t="s">
        <v>1507</v>
      </c>
      <c r="AZ491" s="1" t="s">
        <v>1507</v>
      </c>
      <c r="BA491" s="1" t="s">
        <v>1507</v>
      </c>
      <c r="BB491" s="1" t="s">
        <v>1507</v>
      </c>
      <c r="BC491" s="1" t="s">
        <v>1507</v>
      </c>
      <c r="BD491" s="1" t="s">
        <v>1507</v>
      </c>
      <c r="BE491" s="1">
        <v>98</v>
      </c>
      <c r="BF491" s="1" t="s">
        <v>9486</v>
      </c>
      <c r="BG491" s="1" t="str">
        <f>HYPERLINK("http://dx.doi.org/10.1186/s10020-020-00224-9","http://dx.doi.org/10.1186/s10020-020-00224-9")</f>
        <v>http://dx.doi.org/10.1186/s10020-020-00224-9</v>
      </c>
      <c r="BH491" s="1" t="s">
        <v>1507</v>
      </c>
      <c r="BI491" s="1" t="s">
        <v>1507</v>
      </c>
      <c r="BJ491" s="1">
        <v>13</v>
      </c>
      <c r="BK491" s="1" t="s">
        <v>8059</v>
      </c>
      <c r="BL491" s="1" t="s">
        <v>1573</v>
      </c>
      <c r="BM491" s="1" t="s">
        <v>8060</v>
      </c>
      <c r="BN491" s="1" t="s">
        <v>9487</v>
      </c>
      <c r="BO491" s="1">
        <v>33126860</v>
      </c>
      <c r="BP491" s="1" t="s">
        <v>1952</v>
      </c>
      <c r="BQ491" s="1" t="s">
        <v>1507</v>
      </c>
      <c r="BR491" s="1" t="s">
        <v>1507</v>
      </c>
      <c r="BS491" s="1" t="s">
        <v>13744</v>
      </c>
      <c r="BT491" s="1" t="s">
        <v>9488</v>
      </c>
      <c r="BU491" s="1" t="str">
        <f>HYPERLINK("https%3A%2F%2Fwww.webofscience.com%2Fwos%2Fwoscc%2Ffull-record%2FWOS:000583022600001","View Full Record in Web of Science")</f>
        <v>View Full Record in Web of Science</v>
      </c>
    </row>
    <row r="492" spans="1:73" x14ac:dyDescent="0.25">
      <c r="A492" s="1">
        <v>491</v>
      </c>
      <c r="B492" s="1" t="s">
        <v>1506</v>
      </c>
      <c r="C492" s="1" t="s">
        <v>9715</v>
      </c>
      <c r="D492" s="1" t="s">
        <v>1507</v>
      </c>
      <c r="E492" s="1" t="s">
        <v>1507</v>
      </c>
      <c r="F492" s="1" t="s">
        <v>1507</v>
      </c>
      <c r="G492" s="1" t="s">
        <v>9716</v>
      </c>
      <c r="H492" s="1" t="s">
        <v>1507</v>
      </c>
      <c r="I492" s="1" t="s">
        <v>1507</v>
      </c>
      <c r="J492" s="1" t="s">
        <v>9717</v>
      </c>
      <c r="K492" s="1" t="s">
        <v>8043</v>
      </c>
      <c r="L492" s="1" t="s">
        <v>1507</v>
      </c>
      <c r="M492" s="1" t="s">
        <v>1507</v>
      </c>
      <c r="N492" s="1" t="s">
        <v>42</v>
      </c>
      <c r="O492" s="1" t="s">
        <v>56</v>
      </c>
      <c r="P492" s="1" t="s">
        <v>1507</v>
      </c>
      <c r="Q492" s="1" t="s">
        <v>1507</v>
      </c>
      <c r="R492" s="1" t="s">
        <v>1507</v>
      </c>
      <c r="S492" s="1" t="s">
        <v>1507</v>
      </c>
      <c r="T492" s="1" t="s">
        <v>1507</v>
      </c>
      <c r="U492" s="1" t="s">
        <v>9718</v>
      </c>
      <c r="V492" s="1" t="s">
        <v>9719</v>
      </c>
      <c r="W492" s="1" t="s">
        <v>9720</v>
      </c>
      <c r="X492" s="1" t="s">
        <v>9721</v>
      </c>
      <c r="Y492" s="1" t="s">
        <v>9481</v>
      </c>
      <c r="Z492" s="1" t="s">
        <v>9722</v>
      </c>
      <c r="AA492" s="1" t="s">
        <v>9723</v>
      </c>
      <c r="AB492" s="1" t="s">
        <v>9724</v>
      </c>
      <c r="AC492" s="1" t="s">
        <v>9725</v>
      </c>
      <c r="AD492" s="1" t="s">
        <v>8051</v>
      </c>
      <c r="AE492" s="1" t="s">
        <v>8052</v>
      </c>
      <c r="AF492" s="1" t="s">
        <v>9726</v>
      </c>
      <c r="AG492" s="1" t="s">
        <v>1507</v>
      </c>
      <c r="AH492" s="1">
        <v>78</v>
      </c>
      <c r="AI492" s="1">
        <v>26</v>
      </c>
      <c r="AJ492" s="1">
        <v>27</v>
      </c>
      <c r="AK492" s="1">
        <v>0</v>
      </c>
      <c r="AL492" s="1">
        <v>4</v>
      </c>
      <c r="AM492" s="1" t="s">
        <v>1511</v>
      </c>
      <c r="AN492" s="1" t="s">
        <v>1512</v>
      </c>
      <c r="AO492" s="1" t="s">
        <v>1513</v>
      </c>
      <c r="AP492" s="1" t="s">
        <v>8054</v>
      </c>
      <c r="AQ492" s="1" t="s">
        <v>8055</v>
      </c>
      <c r="AR492" s="1" t="s">
        <v>1507</v>
      </c>
      <c r="AS492" s="1" t="s">
        <v>8056</v>
      </c>
      <c r="AT492" s="1" t="s">
        <v>8057</v>
      </c>
      <c r="AU492" s="1" t="s">
        <v>9727</v>
      </c>
      <c r="AV492" s="1">
        <v>2020</v>
      </c>
      <c r="AW492" s="1">
        <v>26</v>
      </c>
      <c r="AX492" s="1">
        <v>1</v>
      </c>
      <c r="AY492" s="1" t="s">
        <v>1507</v>
      </c>
      <c r="AZ492" s="1" t="s">
        <v>1507</v>
      </c>
      <c r="BA492" s="1" t="s">
        <v>1507</v>
      </c>
      <c r="BB492" s="1" t="s">
        <v>1507</v>
      </c>
      <c r="BC492" s="1" t="s">
        <v>1507</v>
      </c>
      <c r="BD492" s="1" t="s">
        <v>1507</v>
      </c>
      <c r="BE492" s="1">
        <v>63</v>
      </c>
      <c r="BF492" s="1" t="s">
        <v>9728</v>
      </c>
      <c r="BG492" s="1" t="str">
        <f>HYPERLINK("http://dx.doi.org/10.1186/s10020-020-00177-z","http://dx.doi.org/10.1186/s10020-020-00177-z")</f>
        <v>http://dx.doi.org/10.1186/s10020-020-00177-z</v>
      </c>
      <c r="BH492" s="1" t="s">
        <v>1507</v>
      </c>
      <c r="BI492" s="1" t="s">
        <v>1507</v>
      </c>
      <c r="BJ492" s="1">
        <v>12</v>
      </c>
      <c r="BK492" s="1" t="s">
        <v>8059</v>
      </c>
      <c r="BL492" s="1" t="s">
        <v>1573</v>
      </c>
      <c r="BM492" s="1" t="s">
        <v>8060</v>
      </c>
      <c r="BN492" s="1" t="s">
        <v>9729</v>
      </c>
      <c r="BO492" s="1">
        <v>32600307</v>
      </c>
      <c r="BP492" s="1" t="s">
        <v>1674</v>
      </c>
      <c r="BQ492" s="1" t="s">
        <v>1507</v>
      </c>
      <c r="BR492" s="1" t="s">
        <v>1507</v>
      </c>
      <c r="BS492" s="1" t="s">
        <v>13744</v>
      </c>
      <c r="BT492" s="1" t="s">
        <v>9730</v>
      </c>
      <c r="BU492" s="1" t="str">
        <f>HYPERLINK("https%3A%2F%2Fwww.webofscience.com%2Fwos%2Fwoscc%2Ffull-record%2FWOS:000546152100001","View Full Record in Web of Science")</f>
        <v>View Full Record in Web of Science</v>
      </c>
    </row>
    <row r="493" spans="1:73" x14ac:dyDescent="0.25">
      <c r="A493" s="1">
        <v>492</v>
      </c>
      <c r="B493" s="1" t="s">
        <v>1506</v>
      </c>
      <c r="C493" s="1" t="s">
        <v>4771</v>
      </c>
      <c r="D493" s="1" t="s">
        <v>1507</v>
      </c>
      <c r="E493" s="1" t="s">
        <v>1507</v>
      </c>
      <c r="F493" s="1" t="s">
        <v>1507</v>
      </c>
      <c r="G493" s="1" t="s">
        <v>4772</v>
      </c>
      <c r="H493" s="1" t="s">
        <v>1507</v>
      </c>
      <c r="I493" s="1" t="s">
        <v>1507</v>
      </c>
      <c r="J493" s="1" t="s">
        <v>522</v>
      </c>
      <c r="K493" s="1" t="s">
        <v>4773</v>
      </c>
      <c r="L493" s="1" t="s">
        <v>1507</v>
      </c>
      <c r="M493" s="1" t="s">
        <v>1507</v>
      </c>
      <c r="N493" s="1" t="s">
        <v>42</v>
      </c>
      <c r="O493" s="1" t="s">
        <v>56</v>
      </c>
      <c r="P493" s="1" t="s">
        <v>1507</v>
      </c>
      <c r="Q493" s="1" t="s">
        <v>1507</v>
      </c>
      <c r="R493" s="1" t="s">
        <v>1507</v>
      </c>
      <c r="S493" s="1" t="s">
        <v>1507</v>
      </c>
      <c r="T493" s="1" t="s">
        <v>1507</v>
      </c>
      <c r="U493" s="1" t="s">
        <v>4774</v>
      </c>
      <c r="V493" s="1" t="s">
        <v>1507</v>
      </c>
      <c r="W493" s="1" t="s">
        <v>4775</v>
      </c>
      <c r="X493" s="1" t="s">
        <v>4776</v>
      </c>
      <c r="Y493" s="1" t="s">
        <v>4777</v>
      </c>
      <c r="Z493" s="1" t="s">
        <v>4778</v>
      </c>
      <c r="AA493" s="1" t="s">
        <v>1507</v>
      </c>
      <c r="AB493" s="1" t="s">
        <v>1507</v>
      </c>
      <c r="AC493" s="1" t="s">
        <v>1507</v>
      </c>
      <c r="AD493" s="1" t="s">
        <v>1507</v>
      </c>
      <c r="AE493" s="1" t="s">
        <v>1507</v>
      </c>
      <c r="AF493" s="1" t="s">
        <v>1507</v>
      </c>
      <c r="AG493" s="1" t="s">
        <v>1507</v>
      </c>
      <c r="AH493" s="1">
        <v>48</v>
      </c>
      <c r="AI493" s="1">
        <v>0</v>
      </c>
      <c r="AJ493" s="1">
        <v>0</v>
      </c>
      <c r="AK493" s="1">
        <v>3</v>
      </c>
      <c r="AL493" s="1">
        <v>3</v>
      </c>
      <c r="AM493" s="1" t="s">
        <v>4779</v>
      </c>
      <c r="AN493" s="1" t="s">
        <v>4780</v>
      </c>
      <c r="AO493" s="1" t="s">
        <v>4781</v>
      </c>
      <c r="AP493" s="1" t="s">
        <v>4782</v>
      </c>
      <c r="AQ493" s="1" t="s">
        <v>4783</v>
      </c>
      <c r="AR493" s="1" t="s">
        <v>1507</v>
      </c>
      <c r="AS493" s="1" t="s">
        <v>4784</v>
      </c>
      <c r="AT493" s="1" t="s">
        <v>529</v>
      </c>
      <c r="AU493" s="1" t="s">
        <v>4785</v>
      </c>
      <c r="AV493" s="1">
        <v>2023</v>
      </c>
      <c r="AW493" s="1">
        <v>95</v>
      </c>
      <c r="AX493" s="1">
        <v>2</v>
      </c>
      <c r="AY493" s="1" t="s">
        <v>1507</v>
      </c>
      <c r="AZ493" s="1" t="s">
        <v>1507</v>
      </c>
      <c r="BA493" s="1" t="s">
        <v>1507</v>
      </c>
      <c r="BB493" s="1" t="s">
        <v>1507</v>
      </c>
      <c r="BC493" s="1">
        <v>205</v>
      </c>
      <c r="BD493" s="1">
        <v>227</v>
      </c>
      <c r="BE493" s="1" t="s">
        <v>1507</v>
      </c>
      <c r="BF493" s="1" t="s">
        <v>524</v>
      </c>
      <c r="BG493" s="1" t="str">
        <f>HYPERLINK("http://dx.doi.org/10.1215/00029831-10575035","http://dx.doi.org/10.1215/00029831-10575035")</f>
        <v>http://dx.doi.org/10.1215/00029831-10575035</v>
      </c>
      <c r="BH493" s="1" t="s">
        <v>1507</v>
      </c>
      <c r="BI493" s="1" t="s">
        <v>1507</v>
      </c>
      <c r="BJ493" s="1">
        <v>23</v>
      </c>
      <c r="BK493" s="1" t="s">
        <v>4786</v>
      </c>
      <c r="BL493" s="1" t="s">
        <v>3140</v>
      </c>
      <c r="BM493" s="1" t="s">
        <v>4787</v>
      </c>
      <c r="BN493" s="1" t="s">
        <v>4788</v>
      </c>
      <c r="BO493" s="1" t="s">
        <v>1507</v>
      </c>
      <c r="BP493" s="1" t="s">
        <v>1507</v>
      </c>
      <c r="BQ493" s="1" t="s">
        <v>1507</v>
      </c>
      <c r="BR493" s="1" t="s">
        <v>1507</v>
      </c>
      <c r="BS493" s="1" t="s">
        <v>13744</v>
      </c>
      <c r="BT493" s="1" t="s">
        <v>4789</v>
      </c>
      <c r="BU493" s="1" t="str">
        <f>HYPERLINK("https%3A%2F%2Fwww.webofscience.com%2Fwos%2Fwoscc%2Ffull-record%2FWOS:001054394400002","View Full Record in Web of Science")</f>
        <v>View Full Record in Web of Science</v>
      </c>
    </row>
    <row r="494" spans="1:73" x14ac:dyDescent="0.25">
      <c r="A494" s="1">
        <v>493</v>
      </c>
      <c r="B494" s="1" t="s">
        <v>5546</v>
      </c>
      <c r="C494" s="1" t="s">
        <v>10365</v>
      </c>
      <c r="D494" s="1" t="s">
        <v>1507</v>
      </c>
      <c r="E494" s="1" t="s">
        <v>10366</v>
      </c>
      <c r="F494" s="1" t="s">
        <v>1507</v>
      </c>
      <c r="G494" s="1" t="s">
        <v>10367</v>
      </c>
      <c r="H494" s="1" t="s">
        <v>1507</v>
      </c>
      <c r="I494" s="1" t="s">
        <v>1507</v>
      </c>
      <c r="J494" s="1" t="s">
        <v>10368</v>
      </c>
      <c r="K494" s="1" t="s">
        <v>10369</v>
      </c>
      <c r="L494" s="1" t="s">
        <v>1507</v>
      </c>
      <c r="M494" s="1" t="s">
        <v>1507</v>
      </c>
      <c r="N494" s="1" t="s">
        <v>42</v>
      </c>
      <c r="O494" s="1" t="s">
        <v>5552</v>
      </c>
      <c r="P494" s="1" t="s">
        <v>10370</v>
      </c>
      <c r="Q494" s="1" t="s">
        <v>10371</v>
      </c>
      <c r="R494" s="1" t="s">
        <v>10372</v>
      </c>
      <c r="S494" s="1" t="s">
        <v>1507</v>
      </c>
      <c r="T494" s="1" t="s">
        <v>1507</v>
      </c>
      <c r="U494" s="1" t="s">
        <v>10373</v>
      </c>
      <c r="V494" s="1" t="s">
        <v>1507</v>
      </c>
      <c r="W494" s="1" t="s">
        <v>10374</v>
      </c>
      <c r="X494" s="1" t="s">
        <v>10375</v>
      </c>
      <c r="Y494" s="1" t="s">
        <v>10376</v>
      </c>
      <c r="Z494" s="1" t="s">
        <v>10377</v>
      </c>
      <c r="AA494" s="1" t="s">
        <v>10378</v>
      </c>
      <c r="AB494" s="1" t="s">
        <v>1507</v>
      </c>
      <c r="AC494" s="1" t="s">
        <v>1507</v>
      </c>
      <c r="AD494" s="1" t="s">
        <v>10376</v>
      </c>
      <c r="AE494" s="1" t="s">
        <v>10376</v>
      </c>
      <c r="AF494" s="1" t="s">
        <v>10379</v>
      </c>
      <c r="AG494" s="1" t="s">
        <v>1507</v>
      </c>
      <c r="AH494" s="1">
        <v>38</v>
      </c>
      <c r="AI494" s="1">
        <v>16</v>
      </c>
      <c r="AJ494" s="1">
        <v>17</v>
      </c>
      <c r="AK494" s="1">
        <v>0</v>
      </c>
      <c r="AL494" s="1">
        <v>1</v>
      </c>
      <c r="AM494" s="1" t="s">
        <v>10380</v>
      </c>
      <c r="AN494" s="1" t="s">
        <v>10381</v>
      </c>
      <c r="AO494" s="1" t="s">
        <v>10382</v>
      </c>
      <c r="AP494" s="1" t="s">
        <v>1507</v>
      </c>
      <c r="AQ494" s="1" t="s">
        <v>1507</v>
      </c>
      <c r="AR494" s="1" t="s">
        <v>10383</v>
      </c>
      <c r="AS494" s="1" t="s">
        <v>1507</v>
      </c>
      <c r="AT494" s="1" t="s">
        <v>1507</v>
      </c>
      <c r="AU494" s="1" t="s">
        <v>1507</v>
      </c>
      <c r="AV494" s="1">
        <v>2020</v>
      </c>
      <c r="AW494" s="1" t="s">
        <v>1507</v>
      </c>
      <c r="AX494" s="1" t="s">
        <v>1507</v>
      </c>
      <c r="AY494" s="1" t="s">
        <v>1507</v>
      </c>
      <c r="AZ494" s="1" t="s">
        <v>1507</v>
      </c>
      <c r="BA494" s="1" t="s">
        <v>1507</v>
      </c>
      <c r="BB494" s="1" t="s">
        <v>1507</v>
      </c>
      <c r="BC494" s="1">
        <v>1211</v>
      </c>
      <c r="BD494" s="1">
        <v>1218</v>
      </c>
      <c r="BE494" s="1" t="s">
        <v>1507</v>
      </c>
      <c r="BF494" s="1" t="s">
        <v>1507</v>
      </c>
      <c r="BG494" s="1" t="s">
        <v>1507</v>
      </c>
      <c r="BH494" s="1" t="s">
        <v>1507</v>
      </c>
      <c r="BI494" s="1" t="s">
        <v>1507</v>
      </c>
      <c r="BJ494" s="1">
        <v>8</v>
      </c>
      <c r="BK494" s="1" t="s">
        <v>10384</v>
      </c>
      <c r="BL494" s="1" t="s">
        <v>5695</v>
      </c>
      <c r="BM494" s="1" t="s">
        <v>1546</v>
      </c>
      <c r="BN494" s="1" t="s">
        <v>10385</v>
      </c>
      <c r="BO494" s="1" t="s">
        <v>1507</v>
      </c>
      <c r="BP494" s="1" t="s">
        <v>1507</v>
      </c>
      <c r="BQ494" s="1" t="s">
        <v>1507</v>
      </c>
      <c r="BR494" s="1" t="s">
        <v>1507</v>
      </c>
      <c r="BS494" s="1" t="s">
        <v>13744</v>
      </c>
      <c r="BT494" s="1" t="s">
        <v>10386</v>
      </c>
      <c r="BU494" s="1" t="str">
        <f>HYPERLINK("https%3A%2F%2Fwww.webofscience.com%2Fwos%2Fwoscc%2Ffull-record%2FWOS:000724697201036","View Full Record in Web of Science")</f>
        <v>View Full Record in Web of Science</v>
      </c>
    </row>
    <row r="495" spans="1:73" x14ac:dyDescent="0.25">
      <c r="A495" s="1">
        <v>494</v>
      </c>
      <c r="B495" s="1" t="s">
        <v>1506</v>
      </c>
      <c r="C495" s="1" t="s">
        <v>2285</v>
      </c>
      <c r="D495" s="1" t="s">
        <v>1507</v>
      </c>
      <c r="E495" s="1" t="s">
        <v>1507</v>
      </c>
      <c r="F495" s="1" t="s">
        <v>1507</v>
      </c>
      <c r="G495" s="1" t="s">
        <v>2286</v>
      </c>
      <c r="H495" s="1" t="s">
        <v>1507</v>
      </c>
      <c r="I495" s="1" t="s">
        <v>1507</v>
      </c>
      <c r="J495" s="1" t="s">
        <v>2287</v>
      </c>
      <c r="K495" s="1" t="s">
        <v>2288</v>
      </c>
      <c r="L495" s="1" t="s">
        <v>1507</v>
      </c>
      <c r="M495" s="1" t="s">
        <v>1507</v>
      </c>
      <c r="N495" s="1" t="s">
        <v>42</v>
      </c>
      <c r="O495" s="1" t="s">
        <v>56</v>
      </c>
      <c r="P495" s="1" t="s">
        <v>1507</v>
      </c>
      <c r="Q495" s="1" t="s">
        <v>1507</v>
      </c>
      <c r="R495" s="1" t="s">
        <v>1507</v>
      </c>
      <c r="S495" s="1" t="s">
        <v>1507</v>
      </c>
      <c r="T495" s="1" t="s">
        <v>1507</v>
      </c>
      <c r="U495" s="1" t="s">
        <v>2289</v>
      </c>
      <c r="V495" s="1" t="s">
        <v>2290</v>
      </c>
      <c r="W495" s="1" t="s">
        <v>2291</v>
      </c>
      <c r="X495" s="1" t="s">
        <v>2292</v>
      </c>
      <c r="Y495" s="1" t="s">
        <v>2293</v>
      </c>
      <c r="Z495" s="1" t="s">
        <v>2294</v>
      </c>
      <c r="AA495" s="1" t="s">
        <v>2295</v>
      </c>
      <c r="AB495" s="1" t="s">
        <v>13936</v>
      </c>
      <c r="AC495" s="1" t="s">
        <v>13937</v>
      </c>
      <c r="AD495" s="1" t="s">
        <v>2296</v>
      </c>
      <c r="AE495" s="1" t="s">
        <v>2297</v>
      </c>
      <c r="AF495" s="1" t="s">
        <v>2298</v>
      </c>
      <c r="AG495" s="1" t="s">
        <v>1507</v>
      </c>
      <c r="AH495" s="1">
        <v>39</v>
      </c>
      <c r="AI495" s="1">
        <v>0</v>
      </c>
      <c r="AJ495" s="1">
        <v>0</v>
      </c>
      <c r="AK495" s="1">
        <v>1</v>
      </c>
      <c r="AL495" s="1">
        <v>1</v>
      </c>
      <c r="AM495" s="1" t="s">
        <v>2299</v>
      </c>
      <c r="AN495" s="1" t="s">
        <v>2300</v>
      </c>
      <c r="AO495" s="1" t="s">
        <v>2301</v>
      </c>
      <c r="AP495" s="1" t="s">
        <v>2302</v>
      </c>
      <c r="AQ495" s="1" t="s">
        <v>2303</v>
      </c>
      <c r="AR495" s="1" t="s">
        <v>1507</v>
      </c>
      <c r="AS495" s="1" t="s">
        <v>2304</v>
      </c>
      <c r="AT495" s="1" t="s">
        <v>2305</v>
      </c>
      <c r="AU495" s="1" t="s">
        <v>1773</v>
      </c>
      <c r="AV495" s="1">
        <v>2023</v>
      </c>
      <c r="AW495" s="1">
        <v>97</v>
      </c>
      <c r="AX495" s="1">
        <v>12</v>
      </c>
      <c r="AY495" s="1" t="s">
        <v>1507</v>
      </c>
      <c r="AZ495" s="1" t="s">
        <v>1507</v>
      </c>
      <c r="BA495" s="1" t="s">
        <v>1507</v>
      </c>
      <c r="BB495" s="1" t="s">
        <v>1507</v>
      </c>
      <c r="BC495" s="1" t="s">
        <v>1507</v>
      </c>
      <c r="BD495" s="1" t="s">
        <v>1507</v>
      </c>
      <c r="BE495" s="1" t="s">
        <v>1507</v>
      </c>
      <c r="BF495" s="1" t="s">
        <v>2306</v>
      </c>
      <c r="BG495" s="1" t="str">
        <f>HYPERLINK("http://dx.doi.org/10.1128/jvi.01369-23","http://dx.doi.org/10.1128/jvi.01369-23")</f>
        <v>http://dx.doi.org/10.1128/jvi.01369-23</v>
      </c>
      <c r="BH495" s="1" t="s">
        <v>1507</v>
      </c>
      <c r="BI495" s="1" t="s">
        <v>1652</v>
      </c>
      <c r="BJ495" s="1">
        <v>19</v>
      </c>
      <c r="BK495" s="1" t="s">
        <v>2307</v>
      </c>
      <c r="BL495" s="1" t="s">
        <v>1573</v>
      </c>
      <c r="BM495" s="1" t="s">
        <v>2307</v>
      </c>
      <c r="BN495" s="1" t="s">
        <v>2308</v>
      </c>
      <c r="BO495" s="1">
        <v>38038429</v>
      </c>
      <c r="BP495" s="1" t="s">
        <v>2309</v>
      </c>
      <c r="BQ495" s="1" t="s">
        <v>1507</v>
      </c>
      <c r="BR495" s="1" t="s">
        <v>1507</v>
      </c>
      <c r="BS495" s="1" t="s">
        <v>13744</v>
      </c>
      <c r="BT495" s="1" t="s">
        <v>2310</v>
      </c>
      <c r="BU495" s="1" t="str">
        <f>HYPERLINK("https%3A%2F%2Fwww.webofscience.com%2Fwos%2Fwoscc%2Ffull-record%2FWOS:001112203200004","View Full Record in Web of Science")</f>
        <v>View Full Record in Web of Science</v>
      </c>
    </row>
    <row r="496" spans="1:73" x14ac:dyDescent="0.25">
      <c r="A496" s="1">
        <v>495</v>
      </c>
      <c r="B496" s="1" t="s">
        <v>1506</v>
      </c>
      <c r="C496" s="1" t="s">
        <v>10477</v>
      </c>
      <c r="D496" s="1" t="s">
        <v>1507</v>
      </c>
      <c r="E496" s="1" t="s">
        <v>1507</v>
      </c>
      <c r="F496" s="1" t="s">
        <v>1507</v>
      </c>
      <c r="G496" s="1" t="s">
        <v>10478</v>
      </c>
      <c r="H496" s="1" t="s">
        <v>1507</v>
      </c>
      <c r="I496" s="1" t="s">
        <v>1507</v>
      </c>
      <c r="J496" s="1" t="s">
        <v>10479</v>
      </c>
      <c r="K496" s="1" t="s">
        <v>2288</v>
      </c>
      <c r="L496" s="1" t="s">
        <v>1507</v>
      </c>
      <c r="M496" s="1" t="s">
        <v>1507</v>
      </c>
      <c r="N496" s="1" t="s">
        <v>42</v>
      </c>
      <c r="O496" s="1" t="s">
        <v>56</v>
      </c>
      <c r="P496" s="1" t="s">
        <v>1507</v>
      </c>
      <c r="Q496" s="1" t="s">
        <v>1507</v>
      </c>
      <c r="R496" s="1" t="s">
        <v>1507</v>
      </c>
      <c r="S496" s="1" t="s">
        <v>1507</v>
      </c>
      <c r="T496" s="1" t="s">
        <v>1507</v>
      </c>
      <c r="U496" s="1" t="s">
        <v>10480</v>
      </c>
      <c r="V496" s="1" t="s">
        <v>10481</v>
      </c>
      <c r="W496" s="1" t="s">
        <v>10482</v>
      </c>
      <c r="X496" s="1" t="s">
        <v>10483</v>
      </c>
      <c r="Y496" s="1" t="s">
        <v>15858</v>
      </c>
      <c r="Z496" s="1" t="s">
        <v>10484</v>
      </c>
      <c r="AA496" s="1" t="s">
        <v>2295</v>
      </c>
      <c r="AB496" s="1" t="s">
        <v>15859</v>
      </c>
      <c r="AC496" s="1" t="s">
        <v>15860</v>
      </c>
      <c r="AD496" s="1" t="s">
        <v>10485</v>
      </c>
      <c r="AE496" s="1" t="s">
        <v>10486</v>
      </c>
      <c r="AF496" s="1" t="s">
        <v>10487</v>
      </c>
      <c r="AG496" s="1" t="s">
        <v>1507</v>
      </c>
      <c r="AH496" s="1">
        <v>49</v>
      </c>
      <c r="AI496" s="1">
        <v>21</v>
      </c>
      <c r="AJ496" s="1">
        <v>23</v>
      </c>
      <c r="AK496" s="1">
        <v>0</v>
      </c>
      <c r="AL496" s="1">
        <v>10</v>
      </c>
      <c r="AM496" s="1" t="s">
        <v>2299</v>
      </c>
      <c r="AN496" s="1" t="s">
        <v>2300</v>
      </c>
      <c r="AO496" s="1" t="s">
        <v>2301</v>
      </c>
      <c r="AP496" s="1" t="s">
        <v>2302</v>
      </c>
      <c r="AQ496" s="1" t="s">
        <v>2303</v>
      </c>
      <c r="AR496" s="1" t="s">
        <v>1507</v>
      </c>
      <c r="AS496" s="1" t="s">
        <v>2304</v>
      </c>
      <c r="AT496" s="1" t="s">
        <v>2305</v>
      </c>
      <c r="AU496" s="1" t="s">
        <v>2191</v>
      </c>
      <c r="AV496" s="1">
        <v>2019</v>
      </c>
      <c r="AW496" s="1">
        <v>93</v>
      </c>
      <c r="AX496" s="1">
        <v>23</v>
      </c>
      <c r="AY496" s="1" t="s">
        <v>1507</v>
      </c>
      <c r="AZ496" s="1" t="s">
        <v>1507</v>
      </c>
      <c r="BA496" s="1" t="s">
        <v>1507</v>
      </c>
      <c r="BB496" s="1" t="s">
        <v>1507</v>
      </c>
      <c r="BC496" s="1" t="s">
        <v>1507</v>
      </c>
      <c r="BD496" s="1" t="s">
        <v>1507</v>
      </c>
      <c r="BE496" s="1" t="s">
        <v>10488</v>
      </c>
      <c r="BF496" s="1" t="s">
        <v>10489</v>
      </c>
      <c r="BG496" s="1" t="str">
        <f>HYPERLINK("http://dx.doi.org/10.1128/JVI.01236-19","http://dx.doi.org/10.1128/JVI.01236-19")</f>
        <v>http://dx.doi.org/10.1128/JVI.01236-19</v>
      </c>
      <c r="BH496" s="1" t="s">
        <v>1507</v>
      </c>
      <c r="BI496" s="1" t="s">
        <v>1507</v>
      </c>
      <c r="BJ496" s="1">
        <v>18</v>
      </c>
      <c r="BK496" s="1" t="s">
        <v>2307</v>
      </c>
      <c r="BL496" s="1" t="s">
        <v>1573</v>
      </c>
      <c r="BM496" s="1" t="s">
        <v>2307</v>
      </c>
      <c r="BN496" s="1" t="s">
        <v>10490</v>
      </c>
      <c r="BO496" s="1">
        <v>31534035</v>
      </c>
      <c r="BP496" s="1" t="s">
        <v>5071</v>
      </c>
      <c r="BQ496" s="1" t="s">
        <v>1507</v>
      </c>
      <c r="BR496" s="1" t="s">
        <v>1507</v>
      </c>
      <c r="BS496" s="1" t="s">
        <v>13744</v>
      </c>
      <c r="BT496" s="1" t="s">
        <v>10491</v>
      </c>
      <c r="BU496" s="1" t="str">
        <f>HYPERLINK("https%3A%2F%2Fwww.webofscience.com%2Fwos%2Fwoscc%2Ffull-record%2FWOS:000496916400021","View Full Record in Web of Science")</f>
        <v>View Full Record in Web of Science</v>
      </c>
    </row>
    <row r="497" spans="1:73" x14ac:dyDescent="0.25">
      <c r="A497" s="1">
        <v>496</v>
      </c>
      <c r="B497" s="1" t="s">
        <v>1506</v>
      </c>
      <c r="C497" s="1" t="s">
        <v>9895</v>
      </c>
      <c r="D497" s="1" t="s">
        <v>1507</v>
      </c>
      <c r="E497" s="1" t="s">
        <v>1507</v>
      </c>
      <c r="F497" s="1" t="s">
        <v>1507</v>
      </c>
      <c r="G497" s="1" t="s">
        <v>9896</v>
      </c>
      <c r="H497" s="1" t="s">
        <v>1507</v>
      </c>
      <c r="I497" s="1" t="s">
        <v>1507</v>
      </c>
      <c r="J497" s="1" t="s">
        <v>9897</v>
      </c>
      <c r="K497" s="1" t="s">
        <v>9898</v>
      </c>
      <c r="L497" s="1" t="s">
        <v>1507</v>
      </c>
      <c r="M497" s="1" t="s">
        <v>1507</v>
      </c>
      <c r="N497" s="1" t="s">
        <v>42</v>
      </c>
      <c r="O497" s="1" t="s">
        <v>56</v>
      </c>
      <c r="P497" s="1" t="s">
        <v>1507</v>
      </c>
      <c r="Q497" s="1" t="s">
        <v>1507</v>
      </c>
      <c r="R497" s="1" t="s">
        <v>1507</v>
      </c>
      <c r="S497" s="1" t="s">
        <v>1507</v>
      </c>
      <c r="T497" s="1" t="s">
        <v>1507</v>
      </c>
      <c r="U497" s="1" t="s">
        <v>9899</v>
      </c>
      <c r="V497" s="1" t="s">
        <v>9900</v>
      </c>
      <c r="W497" s="1" t="s">
        <v>9901</v>
      </c>
      <c r="X497" s="1" t="s">
        <v>9902</v>
      </c>
      <c r="Y497" s="1" t="s">
        <v>15815</v>
      </c>
      <c r="Z497" s="1" t="s">
        <v>9903</v>
      </c>
      <c r="AA497" s="1" t="s">
        <v>9904</v>
      </c>
      <c r="AB497" s="1" t="s">
        <v>9905</v>
      </c>
      <c r="AC497" s="1" t="s">
        <v>1507</v>
      </c>
      <c r="AD497" s="1" t="s">
        <v>9906</v>
      </c>
      <c r="AE497" s="1" t="s">
        <v>9907</v>
      </c>
      <c r="AF497" s="1" t="s">
        <v>9908</v>
      </c>
      <c r="AG497" s="1" t="s">
        <v>1507</v>
      </c>
      <c r="AH497" s="1">
        <v>26</v>
      </c>
      <c r="AI497" s="1">
        <v>5</v>
      </c>
      <c r="AJ497" s="1">
        <v>6</v>
      </c>
      <c r="AK497" s="1">
        <v>0</v>
      </c>
      <c r="AL497" s="1">
        <v>3</v>
      </c>
      <c r="AM497" s="1" t="s">
        <v>1579</v>
      </c>
      <c r="AN497" s="1" t="s">
        <v>1580</v>
      </c>
      <c r="AO497" s="1" t="s">
        <v>8485</v>
      </c>
      <c r="AP497" s="1" t="s">
        <v>9909</v>
      </c>
      <c r="AQ497" s="1" t="s">
        <v>9910</v>
      </c>
      <c r="AR497" s="1" t="s">
        <v>1507</v>
      </c>
      <c r="AS497" s="1" t="s">
        <v>9911</v>
      </c>
      <c r="AT497" s="1" t="s">
        <v>9912</v>
      </c>
      <c r="AU497" s="1" t="s">
        <v>9913</v>
      </c>
      <c r="AV497" s="1">
        <v>2020</v>
      </c>
      <c r="AW497" s="1">
        <v>502</v>
      </c>
      <c r="AX497" s="1" t="s">
        <v>1507</v>
      </c>
      <c r="AY497" s="1" t="s">
        <v>1507</v>
      </c>
      <c r="AZ497" s="1" t="s">
        <v>1507</v>
      </c>
      <c r="BA497" s="1" t="s">
        <v>1507</v>
      </c>
      <c r="BB497" s="1" t="s">
        <v>1507</v>
      </c>
      <c r="BC497" s="1" t="s">
        <v>1507</v>
      </c>
      <c r="BD497" s="1" t="s">
        <v>1507</v>
      </c>
      <c r="BE497" s="1">
        <v>166532</v>
      </c>
      <c r="BF497" s="1" t="s">
        <v>9914</v>
      </c>
      <c r="BG497" s="1" t="str">
        <f>HYPERLINK("http://dx.doi.org/10.1016/j.jmmm.2020.166532","http://dx.doi.org/10.1016/j.jmmm.2020.166532")</f>
        <v>http://dx.doi.org/10.1016/j.jmmm.2020.166532</v>
      </c>
      <c r="BH497" s="1" t="s">
        <v>1507</v>
      </c>
      <c r="BI497" s="1" t="s">
        <v>1507</v>
      </c>
      <c r="BJ497" s="1">
        <v>4</v>
      </c>
      <c r="BK497" s="1" t="s">
        <v>9915</v>
      </c>
      <c r="BL497" s="1" t="s">
        <v>1573</v>
      </c>
      <c r="BM497" s="1" t="s">
        <v>6991</v>
      </c>
      <c r="BN497" s="1" t="s">
        <v>9916</v>
      </c>
      <c r="BO497" s="1" t="s">
        <v>1507</v>
      </c>
      <c r="BP497" s="1" t="s">
        <v>1507</v>
      </c>
      <c r="BQ497" s="1" t="s">
        <v>1507</v>
      </c>
      <c r="BR497" s="1" t="s">
        <v>1507</v>
      </c>
      <c r="BS497" s="1" t="s">
        <v>13744</v>
      </c>
      <c r="BT497" s="1" t="s">
        <v>9917</v>
      </c>
      <c r="BU497" s="1" t="str">
        <f>HYPERLINK("https%3A%2F%2Fwww.webofscience.com%2Fwos%2Fwoscc%2Ffull-record%2FWOS:000521826900054","View Full Record in Web of Science")</f>
        <v>View Full Record in Web of Science</v>
      </c>
    </row>
    <row r="498" spans="1:73" x14ac:dyDescent="0.25">
      <c r="A498" s="1">
        <v>497</v>
      </c>
      <c r="B498" s="1" t="s">
        <v>1506</v>
      </c>
      <c r="C498" s="1" t="s">
        <v>4018</v>
      </c>
      <c r="D498" s="1" t="s">
        <v>1507</v>
      </c>
      <c r="E498" s="1" t="s">
        <v>1507</v>
      </c>
      <c r="F498" s="1" t="s">
        <v>1507</v>
      </c>
      <c r="G498" s="1" t="s">
        <v>4019</v>
      </c>
      <c r="H498" s="1" t="s">
        <v>1507</v>
      </c>
      <c r="I498" s="1" t="s">
        <v>1507</v>
      </c>
      <c r="J498" s="1" t="s">
        <v>4020</v>
      </c>
      <c r="K498" s="1" t="s">
        <v>4021</v>
      </c>
      <c r="L498" s="1" t="s">
        <v>1507</v>
      </c>
      <c r="M498" s="1" t="s">
        <v>1507</v>
      </c>
      <c r="N498" s="1" t="s">
        <v>42</v>
      </c>
      <c r="O498" s="1" t="s">
        <v>56</v>
      </c>
      <c r="P498" s="1" t="s">
        <v>1507</v>
      </c>
      <c r="Q498" s="1" t="s">
        <v>1507</v>
      </c>
      <c r="R498" s="1" t="s">
        <v>1507</v>
      </c>
      <c r="S498" s="1" t="s">
        <v>1507</v>
      </c>
      <c r="T498" s="1" t="s">
        <v>1507</v>
      </c>
      <c r="U498" s="1" t="s">
        <v>4022</v>
      </c>
      <c r="V498" s="1" t="s">
        <v>4023</v>
      </c>
      <c r="W498" s="1" t="s">
        <v>4024</v>
      </c>
      <c r="X498" s="1" t="s">
        <v>4025</v>
      </c>
      <c r="Y498" s="1" t="s">
        <v>4026</v>
      </c>
      <c r="Z498" s="1" t="s">
        <v>4027</v>
      </c>
      <c r="AA498" s="1" t="s">
        <v>4028</v>
      </c>
      <c r="AB498" s="1" t="s">
        <v>14564</v>
      </c>
      <c r="AC498" s="1" t="s">
        <v>14565</v>
      </c>
      <c r="AD498" s="1" t="s">
        <v>1507</v>
      </c>
      <c r="AE498" s="1" t="s">
        <v>1507</v>
      </c>
      <c r="AF498" s="1" t="s">
        <v>1507</v>
      </c>
      <c r="AG498" s="1" t="s">
        <v>1507</v>
      </c>
      <c r="AH498" s="1">
        <v>227</v>
      </c>
      <c r="AI498" s="1">
        <v>10</v>
      </c>
      <c r="AJ498" s="1">
        <v>10</v>
      </c>
      <c r="AK498" s="1">
        <v>77</v>
      </c>
      <c r="AL498" s="1">
        <v>77</v>
      </c>
      <c r="AM498" s="1" t="s">
        <v>1579</v>
      </c>
      <c r="AN498" s="1" t="s">
        <v>1580</v>
      </c>
      <c r="AO498" s="1" t="s">
        <v>1581</v>
      </c>
      <c r="AP498" s="1" t="s">
        <v>4029</v>
      </c>
      <c r="AQ498" s="1" t="s">
        <v>4030</v>
      </c>
      <c r="AR498" s="1" t="s">
        <v>1507</v>
      </c>
      <c r="AS498" s="1" t="s">
        <v>4031</v>
      </c>
      <c r="AT498" s="1" t="s">
        <v>4032</v>
      </c>
      <c r="AU498" s="1" t="s">
        <v>3992</v>
      </c>
      <c r="AV498" s="1">
        <v>2023</v>
      </c>
      <c r="AW498" s="1">
        <v>35</v>
      </c>
      <c r="AX498" s="1">
        <v>8</v>
      </c>
      <c r="AY498" s="1" t="s">
        <v>1507</v>
      </c>
      <c r="AZ498" s="1" t="s">
        <v>1507</v>
      </c>
      <c r="BA498" s="1" t="s">
        <v>1507</v>
      </c>
      <c r="BB498" s="1" t="s">
        <v>1507</v>
      </c>
      <c r="BC498" s="1" t="s">
        <v>1507</v>
      </c>
      <c r="BD498" s="1" t="s">
        <v>1507</v>
      </c>
      <c r="BE498" s="1">
        <v>101675</v>
      </c>
      <c r="BF498" s="1" t="s">
        <v>4033</v>
      </c>
      <c r="BG498" s="1" t="str">
        <f>HYPERLINK("http://dx.doi.org/10.1016/j.jksuci.2023.101675","http://dx.doi.org/10.1016/j.jksuci.2023.101675")</f>
        <v>http://dx.doi.org/10.1016/j.jksuci.2023.101675</v>
      </c>
      <c r="BH498" s="1" t="s">
        <v>1507</v>
      </c>
      <c r="BI498" s="1" t="s">
        <v>4056</v>
      </c>
      <c r="BJ498" s="1">
        <v>23</v>
      </c>
      <c r="BK498" s="1" t="s">
        <v>1576</v>
      </c>
      <c r="BL498" s="1" t="s">
        <v>1573</v>
      </c>
      <c r="BM498" s="1" t="s">
        <v>1577</v>
      </c>
      <c r="BN498" s="1" t="s">
        <v>4034</v>
      </c>
      <c r="BO498" s="1" t="s">
        <v>1507</v>
      </c>
      <c r="BP498" s="1" t="s">
        <v>1547</v>
      </c>
      <c r="BQ498" s="1" t="s">
        <v>1507</v>
      </c>
      <c r="BR498" s="1" t="s">
        <v>1507</v>
      </c>
      <c r="BS498" s="1" t="s">
        <v>13744</v>
      </c>
      <c r="BT498" s="1" t="s">
        <v>4035</v>
      </c>
      <c r="BU498" s="1" t="str">
        <f>HYPERLINK("https%3A%2F%2Fwww.webofscience.com%2Fwos%2Fwoscc%2Ffull-record%2FWOS:001150035400001","View Full Record in Web of Science")</f>
        <v>View Full Record in Web of Science</v>
      </c>
    </row>
    <row r="499" spans="1:73" x14ac:dyDescent="0.25">
      <c r="A499" s="1">
        <v>498</v>
      </c>
      <c r="B499" s="1" t="s">
        <v>5546</v>
      </c>
      <c r="C499" s="1" t="s">
        <v>6363</v>
      </c>
      <c r="D499" s="1" t="s">
        <v>1507</v>
      </c>
      <c r="E499" s="1" t="s">
        <v>6364</v>
      </c>
      <c r="F499" s="1" t="s">
        <v>1507</v>
      </c>
      <c r="G499" s="1" t="s">
        <v>6365</v>
      </c>
      <c r="H499" s="1" t="s">
        <v>1507</v>
      </c>
      <c r="I499" s="1" t="s">
        <v>1507</v>
      </c>
      <c r="J499" s="1" t="s">
        <v>6366</v>
      </c>
      <c r="K499" s="1" t="s">
        <v>6367</v>
      </c>
      <c r="L499" s="1" t="s">
        <v>6368</v>
      </c>
      <c r="M499" s="1" t="s">
        <v>1507</v>
      </c>
      <c r="N499" s="1" t="s">
        <v>42</v>
      </c>
      <c r="O499" s="1" t="s">
        <v>5552</v>
      </c>
      <c r="P499" s="1" t="s">
        <v>6369</v>
      </c>
      <c r="Q499" s="1" t="s">
        <v>6370</v>
      </c>
      <c r="R499" s="1" t="s">
        <v>6371</v>
      </c>
      <c r="S499" s="1" t="s">
        <v>6372</v>
      </c>
      <c r="T499" s="1" t="s">
        <v>1507</v>
      </c>
      <c r="U499" s="1" t="s">
        <v>1253</v>
      </c>
      <c r="V499" s="1" t="s">
        <v>1507</v>
      </c>
      <c r="W499" s="1" t="s">
        <v>6373</v>
      </c>
      <c r="X499" s="1" t="s">
        <v>6374</v>
      </c>
      <c r="Y499" s="1" t="s">
        <v>6375</v>
      </c>
      <c r="Z499" s="1" t="s">
        <v>6376</v>
      </c>
      <c r="AA499" s="1" t="s">
        <v>6377</v>
      </c>
      <c r="AB499" s="1" t="s">
        <v>15366</v>
      </c>
      <c r="AC499" s="1" t="s">
        <v>15367</v>
      </c>
      <c r="AD499" s="1" t="s">
        <v>1507</v>
      </c>
      <c r="AE499" s="1" t="s">
        <v>1507</v>
      </c>
      <c r="AF499" s="1" t="s">
        <v>1507</v>
      </c>
      <c r="AG499" s="1" t="s">
        <v>1507</v>
      </c>
      <c r="AH499" s="1">
        <v>38</v>
      </c>
      <c r="AI499" s="1">
        <v>1</v>
      </c>
      <c r="AJ499" s="1">
        <v>1</v>
      </c>
      <c r="AK499" s="1">
        <v>2</v>
      </c>
      <c r="AL499" s="1">
        <v>2</v>
      </c>
      <c r="AM499" s="1" t="s">
        <v>6221</v>
      </c>
      <c r="AN499" s="1" t="s">
        <v>6222</v>
      </c>
      <c r="AO499" s="1" t="s">
        <v>6223</v>
      </c>
      <c r="AP499" s="1" t="s">
        <v>6378</v>
      </c>
      <c r="AQ499" s="1" t="s">
        <v>6225</v>
      </c>
      <c r="AR499" s="1" t="s">
        <v>6379</v>
      </c>
      <c r="AS499" s="1" t="s">
        <v>6380</v>
      </c>
      <c r="AT499" s="1" t="s">
        <v>1507</v>
      </c>
      <c r="AU499" s="1" t="s">
        <v>1507</v>
      </c>
      <c r="AV499" s="1">
        <v>2023</v>
      </c>
      <c r="AW499" s="1">
        <v>14236</v>
      </c>
      <c r="AX499" s="1" t="s">
        <v>1507</v>
      </c>
      <c r="AY499" s="1" t="s">
        <v>1507</v>
      </c>
      <c r="AZ499" s="1" t="s">
        <v>1507</v>
      </c>
      <c r="BA499" s="1" t="s">
        <v>1507</v>
      </c>
      <c r="BB499" s="1" t="s">
        <v>1507</v>
      </c>
      <c r="BC499" s="1">
        <v>198</v>
      </c>
      <c r="BD499" s="1">
        <v>206</v>
      </c>
      <c r="BE499" s="1" t="s">
        <v>1507</v>
      </c>
      <c r="BF499" s="1" t="s">
        <v>1249</v>
      </c>
      <c r="BG499" s="1" t="str">
        <f>HYPERLINK("http://dx.doi.org/10.1007/978-3-031-42608-7_16","http://dx.doi.org/10.1007/978-3-031-42608-7_16")</f>
        <v>http://dx.doi.org/10.1007/978-3-031-42608-7_16</v>
      </c>
      <c r="BH499" s="1" t="s">
        <v>1507</v>
      </c>
      <c r="BI499" s="1" t="s">
        <v>1507</v>
      </c>
      <c r="BJ499" s="1">
        <v>9</v>
      </c>
      <c r="BK499" s="1" t="s">
        <v>2678</v>
      </c>
      <c r="BL499" s="1" t="s">
        <v>5570</v>
      </c>
      <c r="BM499" s="1" t="s">
        <v>1577</v>
      </c>
      <c r="BN499" s="1" t="s">
        <v>6381</v>
      </c>
      <c r="BO499" s="1" t="s">
        <v>1507</v>
      </c>
      <c r="BP499" s="1" t="s">
        <v>1600</v>
      </c>
      <c r="BQ499" s="1" t="s">
        <v>1507</v>
      </c>
      <c r="BR499" s="1" t="s">
        <v>1507</v>
      </c>
      <c r="BS499" s="1" t="s">
        <v>13744</v>
      </c>
      <c r="BT499" s="1" t="s">
        <v>6382</v>
      </c>
      <c r="BU499" s="1" t="str">
        <f>HYPERLINK("https%3A%2F%2Fwww.webofscience.com%2Fwos%2Fwoscc%2Ffull-record%2FWOS:001155305700016","View Full Record in Web of Science")</f>
        <v>View Full Record in Web of Science</v>
      </c>
    </row>
    <row r="500" spans="1:73" x14ac:dyDescent="0.25">
      <c r="A500" s="1">
        <v>499</v>
      </c>
      <c r="B500" s="1" t="s">
        <v>1506</v>
      </c>
      <c r="C500" s="1" t="s">
        <v>12056</v>
      </c>
      <c r="D500" s="1" t="s">
        <v>1507</v>
      </c>
      <c r="E500" s="1" t="s">
        <v>1507</v>
      </c>
      <c r="F500" s="1" t="s">
        <v>1507</v>
      </c>
      <c r="G500" s="1" t="s">
        <v>12057</v>
      </c>
      <c r="H500" s="1" t="s">
        <v>1507</v>
      </c>
      <c r="I500" s="1" t="s">
        <v>1507</v>
      </c>
      <c r="J500" s="1" t="s">
        <v>12058</v>
      </c>
      <c r="K500" s="1" t="s">
        <v>12059</v>
      </c>
      <c r="L500" s="1" t="s">
        <v>1507</v>
      </c>
      <c r="M500" s="1" t="s">
        <v>1507</v>
      </c>
      <c r="N500" s="1" t="s">
        <v>42</v>
      </c>
      <c r="O500" s="1" t="s">
        <v>56</v>
      </c>
      <c r="P500" s="1" t="s">
        <v>1507</v>
      </c>
      <c r="Q500" s="1" t="s">
        <v>1507</v>
      </c>
      <c r="R500" s="1" t="s">
        <v>1507</v>
      </c>
      <c r="S500" s="1" t="s">
        <v>1507</v>
      </c>
      <c r="T500" s="1" t="s">
        <v>1507</v>
      </c>
      <c r="U500" s="1" t="s">
        <v>12060</v>
      </c>
      <c r="V500" s="1" t="s">
        <v>12061</v>
      </c>
      <c r="W500" s="1" t="s">
        <v>12062</v>
      </c>
      <c r="X500" s="1" t="s">
        <v>12063</v>
      </c>
      <c r="Y500" s="1" t="s">
        <v>16036</v>
      </c>
      <c r="Z500" s="1" t="s">
        <v>12064</v>
      </c>
      <c r="AA500" s="1" t="s">
        <v>8028</v>
      </c>
      <c r="AB500" s="1" t="s">
        <v>16037</v>
      </c>
      <c r="AC500" s="1" t="s">
        <v>16038</v>
      </c>
      <c r="AD500" s="1" t="s">
        <v>12065</v>
      </c>
      <c r="AE500" s="1" t="s">
        <v>12066</v>
      </c>
      <c r="AF500" s="1" t="s">
        <v>12067</v>
      </c>
      <c r="AG500" s="1" t="s">
        <v>1507</v>
      </c>
      <c r="AH500" s="1">
        <v>58</v>
      </c>
      <c r="AI500" s="1">
        <v>5</v>
      </c>
      <c r="AJ500" s="1">
        <v>5</v>
      </c>
      <c r="AK500" s="1">
        <v>0</v>
      </c>
      <c r="AL500" s="1">
        <v>6</v>
      </c>
      <c r="AM500" s="1" t="s">
        <v>1745</v>
      </c>
      <c r="AN500" s="1" t="s">
        <v>1746</v>
      </c>
      <c r="AO500" s="1" t="s">
        <v>1747</v>
      </c>
      <c r="AP500" s="1" t="s">
        <v>12068</v>
      </c>
      <c r="AQ500" s="1" t="s">
        <v>12069</v>
      </c>
      <c r="AR500" s="1" t="s">
        <v>1507</v>
      </c>
      <c r="AS500" s="1" t="s">
        <v>12070</v>
      </c>
      <c r="AT500" s="1" t="s">
        <v>12071</v>
      </c>
      <c r="AU500" s="1" t="s">
        <v>1507</v>
      </c>
      <c r="AV500" s="1">
        <v>2018</v>
      </c>
      <c r="AW500" s="1">
        <v>13</v>
      </c>
      <c r="AX500" s="1">
        <v>8</v>
      </c>
      <c r="AY500" s="1" t="s">
        <v>1507</v>
      </c>
      <c r="AZ500" s="1" t="s">
        <v>1507</v>
      </c>
      <c r="BA500" s="1" t="s">
        <v>1507</v>
      </c>
      <c r="BB500" s="1" t="s">
        <v>1507</v>
      </c>
      <c r="BC500" s="1">
        <v>858</v>
      </c>
      <c r="BD500" s="1">
        <v>865</v>
      </c>
      <c r="BE500" s="1" t="s">
        <v>1507</v>
      </c>
      <c r="BF500" s="1" t="s">
        <v>12072</v>
      </c>
      <c r="BG500" s="1" t="str">
        <f>HYPERLINK("http://dx.doi.org/10.1080/15592294.2018.1518100","http://dx.doi.org/10.1080/15592294.2018.1518100")</f>
        <v>http://dx.doi.org/10.1080/15592294.2018.1518100</v>
      </c>
      <c r="BH500" s="1" t="s">
        <v>1507</v>
      </c>
      <c r="BI500" s="1" t="s">
        <v>1507</v>
      </c>
      <c r="BJ500" s="1">
        <v>8</v>
      </c>
      <c r="BK500" s="1" t="s">
        <v>12073</v>
      </c>
      <c r="BL500" s="1" t="s">
        <v>1573</v>
      </c>
      <c r="BM500" s="1" t="s">
        <v>12073</v>
      </c>
      <c r="BN500" s="1" t="s">
        <v>12074</v>
      </c>
      <c r="BO500" s="1">
        <v>30277114</v>
      </c>
      <c r="BP500" s="1" t="s">
        <v>8488</v>
      </c>
      <c r="BQ500" s="1" t="s">
        <v>1507</v>
      </c>
      <c r="BR500" s="1" t="s">
        <v>1507</v>
      </c>
      <c r="BS500" s="1" t="s">
        <v>13744</v>
      </c>
      <c r="BT500" s="1" t="s">
        <v>12075</v>
      </c>
      <c r="BU500" s="1" t="str">
        <f>HYPERLINK("https%3A%2F%2Fwww.webofscience.com%2Fwos%2Fwoscc%2Ffull-record%2FWOS:000448764500006","View Full Record in Web of Science")</f>
        <v>View Full Record in Web of Science</v>
      </c>
    </row>
    <row r="501" spans="1:73" x14ac:dyDescent="0.25">
      <c r="A501" s="1">
        <v>500</v>
      </c>
      <c r="B501" s="1" t="s">
        <v>1506</v>
      </c>
      <c r="C501" s="1" t="s">
        <v>8019</v>
      </c>
      <c r="D501" s="1" t="s">
        <v>1507</v>
      </c>
      <c r="E501" s="1" t="s">
        <v>1507</v>
      </c>
      <c r="F501" s="1" t="s">
        <v>1507</v>
      </c>
      <c r="G501" s="1" t="s">
        <v>8020</v>
      </c>
      <c r="H501" s="1" t="s">
        <v>1507</v>
      </c>
      <c r="I501" s="1" t="s">
        <v>1507</v>
      </c>
      <c r="J501" s="1" t="s">
        <v>8021</v>
      </c>
      <c r="K501" s="1" t="s">
        <v>8022</v>
      </c>
      <c r="L501" s="1" t="s">
        <v>1507</v>
      </c>
      <c r="M501" s="1" t="s">
        <v>1507</v>
      </c>
      <c r="N501" s="1" t="s">
        <v>42</v>
      </c>
      <c r="O501" s="1" t="s">
        <v>56</v>
      </c>
      <c r="P501" s="1" t="s">
        <v>1507</v>
      </c>
      <c r="Q501" s="1" t="s">
        <v>1507</v>
      </c>
      <c r="R501" s="1" t="s">
        <v>1507</v>
      </c>
      <c r="S501" s="1" t="s">
        <v>1507</v>
      </c>
      <c r="T501" s="1" t="s">
        <v>1507</v>
      </c>
      <c r="U501" s="1" t="s">
        <v>1507</v>
      </c>
      <c r="V501" s="1" t="s">
        <v>8023</v>
      </c>
      <c r="W501" s="1" t="s">
        <v>8024</v>
      </c>
      <c r="X501" s="1" t="s">
        <v>8025</v>
      </c>
      <c r="Y501" s="1" t="s">
        <v>8026</v>
      </c>
      <c r="Z501" s="1" t="s">
        <v>8027</v>
      </c>
      <c r="AA501" s="1" t="s">
        <v>8028</v>
      </c>
      <c r="AB501" s="1" t="s">
        <v>15684</v>
      </c>
      <c r="AC501" s="1" t="s">
        <v>15685</v>
      </c>
      <c r="AD501" s="1" t="s">
        <v>8029</v>
      </c>
      <c r="AE501" s="1" t="s">
        <v>8030</v>
      </c>
      <c r="AF501" s="1" t="s">
        <v>8031</v>
      </c>
      <c r="AG501" s="1" t="s">
        <v>1507</v>
      </c>
      <c r="AH501" s="1">
        <v>65</v>
      </c>
      <c r="AI501" s="1">
        <v>7</v>
      </c>
      <c r="AJ501" s="1">
        <v>7</v>
      </c>
      <c r="AK501" s="1">
        <v>0</v>
      </c>
      <c r="AL501" s="1">
        <v>1</v>
      </c>
      <c r="AM501" s="1" t="s">
        <v>1725</v>
      </c>
      <c r="AN501" s="1" t="s">
        <v>1551</v>
      </c>
      <c r="AO501" s="1" t="s">
        <v>1726</v>
      </c>
      <c r="AP501" s="1" t="s">
        <v>8032</v>
      </c>
      <c r="AQ501" s="1" t="s">
        <v>8033</v>
      </c>
      <c r="AR501" s="1" t="s">
        <v>1507</v>
      </c>
      <c r="AS501" s="1" t="s">
        <v>8034</v>
      </c>
      <c r="AT501" s="1" t="s">
        <v>8035</v>
      </c>
      <c r="AU501" s="1" t="s">
        <v>2191</v>
      </c>
      <c r="AV501" s="1">
        <v>2021</v>
      </c>
      <c r="AW501" s="1">
        <v>13</v>
      </c>
      <c r="AX501" s="1">
        <v>1</v>
      </c>
      <c r="AY501" s="1" t="s">
        <v>1507</v>
      </c>
      <c r="AZ501" s="1" t="s">
        <v>1507</v>
      </c>
      <c r="BA501" s="1" t="s">
        <v>1507</v>
      </c>
      <c r="BB501" s="1" t="s">
        <v>1507</v>
      </c>
      <c r="BC501" s="1" t="s">
        <v>1507</v>
      </c>
      <c r="BD501" s="1" t="s">
        <v>1507</v>
      </c>
      <c r="BE501" s="1">
        <v>188</v>
      </c>
      <c r="BF501" s="1" t="s">
        <v>8036</v>
      </c>
      <c r="BG501" s="1" t="str">
        <f>HYPERLINK("http://dx.doi.org/10.1186/s13148-021-01171-w","http://dx.doi.org/10.1186/s13148-021-01171-w")</f>
        <v>http://dx.doi.org/10.1186/s13148-021-01171-w</v>
      </c>
      <c r="BH501" s="1" t="s">
        <v>1507</v>
      </c>
      <c r="BI501" s="1" t="s">
        <v>1507</v>
      </c>
      <c r="BJ501" s="1">
        <v>13</v>
      </c>
      <c r="BK501" s="1" t="s">
        <v>8037</v>
      </c>
      <c r="BL501" s="1" t="s">
        <v>1573</v>
      </c>
      <c r="BM501" s="1" t="s">
        <v>8037</v>
      </c>
      <c r="BN501" s="1" t="s">
        <v>8038</v>
      </c>
      <c r="BO501" s="1">
        <v>34635168</v>
      </c>
      <c r="BP501" s="1" t="s">
        <v>1952</v>
      </c>
      <c r="BQ501" s="1" t="s">
        <v>1507</v>
      </c>
      <c r="BR501" s="1" t="s">
        <v>1507</v>
      </c>
      <c r="BS501" s="1" t="s">
        <v>13744</v>
      </c>
      <c r="BT501" s="1" t="s">
        <v>8039</v>
      </c>
      <c r="BU501" s="1" t="str">
        <f>HYPERLINK("https%3A%2F%2Fwww.webofscience.com%2Fwos%2Fwoscc%2Ffull-record%2FWOS:000706128700002","View Full Record in Web of Science")</f>
        <v>View Full Record in Web of Science</v>
      </c>
    </row>
    <row r="502" spans="1:73" x14ac:dyDescent="0.25">
      <c r="A502" s="1">
        <v>501</v>
      </c>
      <c r="B502" s="1" t="s">
        <v>1506</v>
      </c>
      <c r="C502" s="1" t="s">
        <v>11435</v>
      </c>
      <c r="D502" s="1" t="s">
        <v>1507</v>
      </c>
      <c r="E502" s="1" t="s">
        <v>1507</v>
      </c>
      <c r="F502" s="1" t="s">
        <v>1507</v>
      </c>
      <c r="G502" s="1" t="s">
        <v>11436</v>
      </c>
      <c r="H502" s="1" t="s">
        <v>1507</v>
      </c>
      <c r="I502" s="1" t="s">
        <v>1507</v>
      </c>
      <c r="J502" s="1" t="s">
        <v>11437</v>
      </c>
      <c r="K502" s="1" t="s">
        <v>11438</v>
      </c>
      <c r="L502" s="1" t="s">
        <v>1507</v>
      </c>
      <c r="M502" s="1" t="s">
        <v>1507</v>
      </c>
      <c r="N502" s="1" t="s">
        <v>42</v>
      </c>
      <c r="O502" s="1" t="s">
        <v>56</v>
      </c>
      <c r="P502" s="1" t="s">
        <v>1507</v>
      </c>
      <c r="Q502" s="1" t="s">
        <v>1507</v>
      </c>
      <c r="R502" s="1" t="s">
        <v>1507</v>
      </c>
      <c r="S502" s="1" t="s">
        <v>1507</v>
      </c>
      <c r="T502" s="1" t="s">
        <v>1507</v>
      </c>
      <c r="U502" s="1" t="s">
        <v>1507</v>
      </c>
      <c r="V502" s="1" t="s">
        <v>11439</v>
      </c>
      <c r="W502" s="1" t="s">
        <v>11440</v>
      </c>
      <c r="X502" s="1" t="s">
        <v>11441</v>
      </c>
      <c r="Y502" s="1" t="s">
        <v>11442</v>
      </c>
      <c r="Z502" s="1" t="s">
        <v>11443</v>
      </c>
      <c r="AA502" s="1" t="s">
        <v>11444</v>
      </c>
      <c r="AB502" s="1" t="s">
        <v>11445</v>
      </c>
      <c r="AC502" s="1" t="s">
        <v>11446</v>
      </c>
      <c r="AD502" s="1" t="s">
        <v>11447</v>
      </c>
      <c r="AE502" s="1" t="s">
        <v>11448</v>
      </c>
      <c r="AF502" s="1" t="s">
        <v>11449</v>
      </c>
      <c r="AG502" s="1" t="s">
        <v>1507</v>
      </c>
      <c r="AH502" s="1">
        <v>117</v>
      </c>
      <c r="AI502" s="1">
        <v>26</v>
      </c>
      <c r="AJ502" s="1">
        <v>28</v>
      </c>
      <c r="AK502" s="1">
        <v>3</v>
      </c>
      <c r="AL502" s="1">
        <v>160</v>
      </c>
      <c r="AM502" s="1" t="s">
        <v>1532</v>
      </c>
      <c r="AN502" s="1" t="s">
        <v>1533</v>
      </c>
      <c r="AO502" s="1" t="s">
        <v>1534</v>
      </c>
      <c r="AP502" s="1" t="s">
        <v>11450</v>
      </c>
      <c r="AQ502" s="1" t="s">
        <v>11451</v>
      </c>
      <c r="AR502" s="1" t="s">
        <v>1507</v>
      </c>
      <c r="AS502" s="1" t="s">
        <v>11452</v>
      </c>
      <c r="AT502" s="1" t="s">
        <v>11453</v>
      </c>
      <c r="AU502" s="1" t="s">
        <v>1616</v>
      </c>
      <c r="AV502" s="1">
        <v>2019</v>
      </c>
      <c r="AW502" s="1">
        <v>166</v>
      </c>
      <c r="AX502" s="1">
        <v>1</v>
      </c>
      <c r="AY502" s="1" t="s">
        <v>1507</v>
      </c>
      <c r="AZ502" s="1" t="s">
        <v>1507</v>
      </c>
      <c r="BA502" s="1" t="s">
        <v>1507</v>
      </c>
      <c r="BB502" s="1" t="s">
        <v>1507</v>
      </c>
      <c r="BC502" s="1" t="s">
        <v>1507</v>
      </c>
      <c r="BD502" s="1" t="s">
        <v>1507</v>
      </c>
      <c r="BE502" s="1">
        <v>6</v>
      </c>
      <c r="BF502" s="1" t="s">
        <v>11454</v>
      </c>
      <c r="BG502" s="1" t="str">
        <f>HYPERLINK("http://dx.doi.org/10.1007/s00227-018-3452-6","http://dx.doi.org/10.1007/s00227-018-3452-6")</f>
        <v>http://dx.doi.org/10.1007/s00227-018-3452-6</v>
      </c>
      <c r="BH502" s="1" t="s">
        <v>1507</v>
      </c>
      <c r="BI502" s="1" t="s">
        <v>1507</v>
      </c>
      <c r="BJ502" s="1">
        <v>13</v>
      </c>
      <c r="BK502" s="1" t="s">
        <v>4507</v>
      </c>
      <c r="BL502" s="1" t="s">
        <v>1573</v>
      </c>
      <c r="BM502" s="1" t="s">
        <v>4507</v>
      </c>
      <c r="BN502" s="1" t="s">
        <v>11455</v>
      </c>
      <c r="BO502" s="1" t="s">
        <v>1507</v>
      </c>
      <c r="BP502" s="1" t="s">
        <v>1507</v>
      </c>
      <c r="BQ502" s="1" t="s">
        <v>1507</v>
      </c>
      <c r="BR502" s="1" t="s">
        <v>1507</v>
      </c>
      <c r="BS502" s="1" t="s">
        <v>13744</v>
      </c>
      <c r="BT502" s="1" t="s">
        <v>11456</v>
      </c>
      <c r="BU502" s="1" t="str">
        <f>HYPERLINK("https%3A%2F%2Fwww.webofscience.com%2Fwos%2Fwoscc%2Ffull-record%2FWOS:000452728500002","View Full Record in Web of Science")</f>
        <v>View Full Record in Web of Science</v>
      </c>
    </row>
    <row r="503" spans="1:73" x14ac:dyDescent="0.25">
      <c r="A503" s="1">
        <v>502</v>
      </c>
      <c r="B503" s="1" t="s">
        <v>1506</v>
      </c>
      <c r="C503" s="1" t="s">
        <v>12076</v>
      </c>
      <c r="D503" s="1" t="s">
        <v>1507</v>
      </c>
      <c r="E503" s="1" t="s">
        <v>1507</v>
      </c>
      <c r="F503" s="1" t="s">
        <v>1507</v>
      </c>
      <c r="G503" s="1" t="s">
        <v>12077</v>
      </c>
      <c r="H503" s="1" t="s">
        <v>1507</v>
      </c>
      <c r="I503" s="1" t="s">
        <v>1507</v>
      </c>
      <c r="J503" s="1" t="s">
        <v>12078</v>
      </c>
      <c r="K503" s="1" t="s">
        <v>11438</v>
      </c>
      <c r="L503" s="1" t="s">
        <v>1507</v>
      </c>
      <c r="M503" s="1" t="s">
        <v>1507</v>
      </c>
      <c r="N503" s="1" t="s">
        <v>42</v>
      </c>
      <c r="O503" s="1" t="s">
        <v>56</v>
      </c>
      <c r="P503" s="1" t="s">
        <v>1507</v>
      </c>
      <c r="Q503" s="1" t="s">
        <v>1507</v>
      </c>
      <c r="R503" s="1" t="s">
        <v>1507</v>
      </c>
      <c r="S503" s="1" t="s">
        <v>1507</v>
      </c>
      <c r="T503" s="1" t="s">
        <v>1507</v>
      </c>
      <c r="U503" s="1" t="s">
        <v>1507</v>
      </c>
      <c r="V503" s="1" t="s">
        <v>12079</v>
      </c>
      <c r="W503" s="1" t="s">
        <v>12080</v>
      </c>
      <c r="X503" s="1" t="s">
        <v>12081</v>
      </c>
      <c r="Y503" s="1" t="s">
        <v>12082</v>
      </c>
      <c r="Z503" s="1" t="s">
        <v>12083</v>
      </c>
      <c r="AA503" s="1" t="s">
        <v>11444</v>
      </c>
      <c r="AB503" s="1" t="s">
        <v>1507</v>
      </c>
      <c r="AC503" s="1" t="s">
        <v>16039</v>
      </c>
      <c r="AD503" s="1" t="s">
        <v>12084</v>
      </c>
      <c r="AE503" s="1" t="s">
        <v>12084</v>
      </c>
      <c r="AF503" s="1" t="s">
        <v>12085</v>
      </c>
      <c r="AG503" s="1" t="s">
        <v>1507</v>
      </c>
      <c r="AH503" s="1">
        <v>105</v>
      </c>
      <c r="AI503" s="1">
        <v>16</v>
      </c>
      <c r="AJ503" s="1">
        <v>19</v>
      </c>
      <c r="AK503" s="1">
        <v>0</v>
      </c>
      <c r="AL503" s="1">
        <v>38</v>
      </c>
      <c r="AM503" s="1" t="s">
        <v>1532</v>
      </c>
      <c r="AN503" s="1" t="s">
        <v>1533</v>
      </c>
      <c r="AO503" s="1" t="s">
        <v>1534</v>
      </c>
      <c r="AP503" s="1" t="s">
        <v>11450</v>
      </c>
      <c r="AQ503" s="1" t="s">
        <v>11451</v>
      </c>
      <c r="AR503" s="1" t="s">
        <v>1507</v>
      </c>
      <c r="AS503" s="1" t="s">
        <v>11452</v>
      </c>
      <c r="AT503" s="1" t="s">
        <v>11453</v>
      </c>
      <c r="AU503" s="1" t="s">
        <v>1616</v>
      </c>
      <c r="AV503" s="1">
        <v>2018</v>
      </c>
      <c r="AW503" s="1">
        <v>165</v>
      </c>
      <c r="AX503" s="1">
        <v>1</v>
      </c>
      <c r="AY503" s="1" t="s">
        <v>1507</v>
      </c>
      <c r="AZ503" s="1" t="s">
        <v>1507</v>
      </c>
      <c r="BA503" s="1" t="s">
        <v>1507</v>
      </c>
      <c r="BB503" s="1" t="s">
        <v>1507</v>
      </c>
      <c r="BC503" s="1" t="s">
        <v>1507</v>
      </c>
      <c r="BD503" s="1" t="s">
        <v>1507</v>
      </c>
      <c r="BE503" s="1" t="s">
        <v>1507</v>
      </c>
      <c r="BF503" s="1" t="s">
        <v>12086</v>
      </c>
      <c r="BG503" s="1" t="str">
        <f>HYPERLINK("http://dx.doi.org/10.1007/s00227-017-3269-8","http://dx.doi.org/10.1007/s00227-017-3269-8")</f>
        <v>http://dx.doi.org/10.1007/s00227-017-3269-8</v>
      </c>
      <c r="BH503" s="1" t="s">
        <v>1507</v>
      </c>
      <c r="BI503" s="1" t="s">
        <v>1507</v>
      </c>
      <c r="BJ503" s="1">
        <v>12</v>
      </c>
      <c r="BK503" s="1" t="s">
        <v>4507</v>
      </c>
      <c r="BL503" s="1" t="s">
        <v>1573</v>
      </c>
      <c r="BM503" s="1" t="s">
        <v>4507</v>
      </c>
      <c r="BN503" s="1" t="s">
        <v>12087</v>
      </c>
      <c r="BO503" s="1" t="s">
        <v>1507</v>
      </c>
      <c r="BP503" s="1" t="s">
        <v>1507</v>
      </c>
      <c r="BQ503" s="1" t="s">
        <v>1507</v>
      </c>
      <c r="BR503" s="1" t="s">
        <v>1507</v>
      </c>
      <c r="BS503" s="1" t="s">
        <v>13744</v>
      </c>
      <c r="BT503" s="1" t="s">
        <v>12088</v>
      </c>
      <c r="BU503" s="1" t="str">
        <f>HYPERLINK("https%3A%2F%2Fwww.webofscience.com%2Fwos%2Fwoscc%2Ffull-record%2FWOS:000424325900013","View Full Record in Web of Science")</f>
        <v>View Full Record in Web of Science</v>
      </c>
    </row>
    <row r="504" spans="1:73" x14ac:dyDescent="0.25">
      <c r="A504" s="1">
        <v>503</v>
      </c>
      <c r="B504" s="1" t="s">
        <v>1506</v>
      </c>
      <c r="C504" s="1" t="s">
        <v>7359</v>
      </c>
      <c r="D504" s="1" t="s">
        <v>1507</v>
      </c>
      <c r="E504" s="1" t="s">
        <v>1507</v>
      </c>
      <c r="F504" s="1" t="s">
        <v>1507</v>
      </c>
      <c r="G504" s="1" t="s">
        <v>7360</v>
      </c>
      <c r="H504" s="1" t="s">
        <v>1507</v>
      </c>
      <c r="I504" s="1" t="s">
        <v>1507</v>
      </c>
      <c r="J504" s="1" t="s">
        <v>7361</v>
      </c>
      <c r="K504" s="1" t="s">
        <v>7362</v>
      </c>
      <c r="L504" s="1" t="s">
        <v>1507</v>
      </c>
      <c r="M504" s="1" t="s">
        <v>1507</v>
      </c>
      <c r="N504" s="1" t="s">
        <v>42</v>
      </c>
      <c r="O504" s="1" t="s">
        <v>56</v>
      </c>
      <c r="P504" s="1" t="s">
        <v>1507</v>
      </c>
      <c r="Q504" s="1" t="s">
        <v>1507</v>
      </c>
      <c r="R504" s="1" t="s">
        <v>1507</v>
      </c>
      <c r="S504" s="1" t="s">
        <v>1507</v>
      </c>
      <c r="T504" s="1" t="s">
        <v>1507</v>
      </c>
      <c r="U504" s="1" t="s">
        <v>7363</v>
      </c>
      <c r="V504" s="1" t="s">
        <v>7364</v>
      </c>
      <c r="W504" s="1" t="s">
        <v>7365</v>
      </c>
      <c r="X504" s="1" t="s">
        <v>7366</v>
      </c>
      <c r="Y504" s="1" t="s">
        <v>7367</v>
      </c>
      <c r="Z504" s="1" t="s">
        <v>7368</v>
      </c>
      <c r="AA504" s="1" t="s">
        <v>7369</v>
      </c>
      <c r="AB504" s="1" t="s">
        <v>7370</v>
      </c>
      <c r="AC504" s="1" t="s">
        <v>7371</v>
      </c>
      <c r="AD504" s="1" t="s">
        <v>7372</v>
      </c>
      <c r="AE504" s="1" t="s">
        <v>7373</v>
      </c>
      <c r="AF504" s="1" t="s">
        <v>7374</v>
      </c>
      <c r="AG504" s="1" t="s">
        <v>1507</v>
      </c>
      <c r="AH504" s="1">
        <v>44</v>
      </c>
      <c r="AI504" s="1">
        <v>2</v>
      </c>
      <c r="AJ504" s="1">
        <v>2</v>
      </c>
      <c r="AK504" s="1">
        <v>3</v>
      </c>
      <c r="AL504" s="1">
        <v>10</v>
      </c>
      <c r="AM504" s="1" t="s">
        <v>1511</v>
      </c>
      <c r="AN504" s="1" t="s">
        <v>1570</v>
      </c>
      <c r="AO504" s="1" t="s">
        <v>1571</v>
      </c>
      <c r="AP504" s="1" t="s">
        <v>7375</v>
      </c>
      <c r="AQ504" s="1" t="s">
        <v>7376</v>
      </c>
      <c r="AR504" s="1" t="s">
        <v>1507</v>
      </c>
      <c r="AS504" s="1" t="s">
        <v>7377</v>
      </c>
      <c r="AT504" s="1" t="s">
        <v>7378</v>
      </c>
      <c r="AU504" s="1" t="s">
        <v>4336</v>
      </c>
      <c r="AV504" s="1">
        <v>2022</v>
      </c>
      <c r="AW504" s="1">
        <v>54</v>
      </c>
      <c r="AX504" s="1">
        <v>4</v>
      </c>
      <c r="AY504" s="1" t="s">
        <v>1507</v>
      </c>
      <c r="AZ504" s="1" t="s">
        <v>1507</v>
      </c>
      <c r="BA504" s="1" t="s">
        <v>3506</v>
      </c>
      <c r="BB504" s="1" t="s">
        <v>1507</v>
      </c>
      <c r="BC504" s="1">
        <v>3375</v>
      </c>
      <c r="BD504" s="1">
        <v>3400</v>
      </c>
      <c r="BE504" s="1" t="s">
        <v>1507</v>
      </c>
      <c r="BF504" s="1" t="s">
        <v>7379</v>
      </c>
      <c r="BG504" s="1" t="str">
        <f>HYPERLINK("http://dx.doi.org/10.1007/s11063-022-10772-2","http://dx.doi.org/10.1007/s11063-022-10772-2")</f>
        <v>http://dx.doi.org/10.1007/s11063-022-10772-2</v>
      </c>
      <c r="BH504" s="1" t="s">
        <v>1507</v>
      </c>
      <c r="BI504" s="1" t="s">
        <v>7380</v>
      </c>
      <c r="BJ504" s="1">
        <v>26</v>
      </c>
      <c r="BK504" s="1" t="s">
        <v>2994</v>
      </c>
      <c r="BL504" s="1" t="s">
        <v>1573</v>
      </c>
      <c r="BM504" s="1" t="s">
        <v>1577</v>
      </c>
      <c r="BN504" s="1" t="s">
        <v>7381</v>
      </c>
      <c r="BO504" s="1" t="s">
        <v>1507</v>
      </c>
      <c r="BP504" s="1" t="s">
        <v>1507</v>
      </c>
      <c r="BQ504" s="1" t="s">
        <v>1507</v>
      </c>
      <c r="BR504" s="1" t="s">
        <v>1507</v>
      </c>
      <c r="BS504" s="1" t="s">
        <v>13744</v>
      </c>
      <c r="BT504" s="1" t="s">
        <v>7382</v>
      </c>
      <c r="BU504" s="1" t="str">
        <f>HYPERLINK("https%3A%2F%2Fwww.webofscience.com%2Fwos%2Fwoscc%2Ffull-record%2FWOS:000771913500001","View Full Record in Web of Science")</f>
        <v>View Full Record in Web of Science</v>
      </c>
    </row>
    <row r="505" spans="1:73" x14ac:dyDescent="0.25">
      <c r="A505" s="1">
        <v>504</v>
      </c>
      <c r="B505" s="1" t="s">
        <v>1506</v>
      </c>
      <c r="C505" s="1" t="s">
        <v>5117</v>
      </c>
      <c r="D505" s="1" t="s">
        <v>1507</v>
      </c>
      <c r="E505" s="1" t="s">
        <v>1507</v>
      </c>
      <c r="F505" s="1" t="s">
        <v>1507</v>
      </c>
      <c r="G505" s="1" t="s">
        <v>5118</v>
      </c>
      <c r="H505" s="1" t="s">
        <v>1507</v>
      </c>
      <c r="I505" s="1" t="s">
        <v>1507</v>
      </c>
      <c r="J505" s="1" t="s">
        <v>5119</v>
      </c>
      <c r="K505" s="1" t="s">
        <v>5120</v>
      </c>
      <c r="L505" s="1" t="s">
        <v>1507</v>
      </c>
      <c r="M505" s="1" t="s">
        <v>1507</v>
      </c>
      <c r="N505" s="1" t="s">
        <v>42</v>
      </c>
      <c r="O505" s="1" t="s">
        <v>56</v>
      </c>
      <c r="P505" s="1" t="s">
        <v>1507</v>
      </c>
      <c r="Q505" s="1" t="s">
        <v>1507</v>
      </c>
      <c r="R505" s="1" t="s">
        <v>1507</v>
      </c>
      <c r="S505" s="1" t="s">
        <v>1507</v>
      </c>
      <c r="T505" s="1" t="s">
        <v>1507</v>
      </c>
      <c r="U505" s="1" t="s">
        <v>5121</v>
      </c>
      <c r="V505" s="1" t="s">
        <v>5122</v>
      </c>
      <c r="W505" s="1" t="s">
        <v>5123</v>
      </c>
      <c r="X505" s="1" t="s">
        <v>5124</v>
      </c>
      <c r="Y505" s="1" t="s">
        <v>5125</v>
      </c>
      <c r="Z505" s="1" t="s">
        <v>5126</v>
      </c>
      <c r="AA505" s="1" t="s">
        <v>5127</v>
      </c>
      <c r="AB505" s="1" t="s">
        <v>1507</v>
      </c>
      <c r="AC505" s="1" t="s">
        <v>1507</v>
      </c>
      <c r="AD505" s="1" t="s">
        <v>5128</v>
      </c>
      <c r="AE505" s="1" t="s">
        <v>5129</v>
      </c>
      <c r="AF505" s="1" t="s">
        <v>5130</v>
      </c>
      <c r="AG505" s="1" t="s">
        <v>1507</v>
      </c>
      <c r="AH505" s="1">
        <v>136</v>
      </c>
      <c r="AI505" s="1">
        <v>0</v>
      </c>
      <c r="AJ505" s="1">
        <v>0</v>
      </c>
      <c r="AK505" s="1">
        <v>0</v>
      </c>
      <c r="AL505" s="1">
        <v>0</v>
      </c>
      <c r="AM505" s="1" t="s">
        <v>1555</v>
      </c>
      <c r="AN505" s="1" t="s">
        <v>1556</v>
      </c>
      <c r="AO505" s="1" t="s">
        <v>1557</v>
      </c>
      <c r="AP505" s="1" t="s">
        <v>5131</v>
      </c>
      <c r="AQ505" s="1" t="s">
        <v>5132</v>
      </c>
      <c r="AR505" s="1" t="s">
        <v>1507</v>
      </c>
      <c r="AS505" s="1" t="s">
        <v>5133</v>
      </c>
      <c r="AT505" s="1" t="s">
        <v>5134</v>
      </c>
      <c r="AU505" s="1" t="s">
        <v>14784</v>
      </c>
      <c r="AV505" s="1">
        <v>2022</v>
      </c>
      <c r="AW505" s="1">
        <v>25</v>
      </c>
      <c r="AX505" s="1" t="s">
        <v>5135</v>
      </c>
      <c r="AY505" s="1" t="s">
        <v>1507</v>
      </c>
      <c r="AZ505" s="1" t="s">
        <v>1507</v>
      </c>
      <c r="BA505" s="1" t="s">
        <v>1507</v>
      </c>
      <c r="BB505" s="1" t="s">
        <v>1507</v>
      </c>
      <c r="BC505" s="1">
        <v>4</v>
      </c>
      <c r="BD505" s="1">
        <v>25</v>
      </c>
      <c r="BE505" s="1" t="s">
        <v>1507</v>
      </c>
      <c r="BF505" s="1" t="s">
        <v>5136</v>
      </c>
      <c r="BG505" s="1" t="str">
        <f>HYPERLINK("http://dx.doi.org/10.1080/1460728x.2023.2206291","http://dx.doi.org/10.1080/1460728x.2023.2206291")</f>
        <v>http://dx.doi.org/10.1080/1460728x.2023.2206291</v>
      </c>
      <c r="BH505" s="1" t="s">
        <v>1507</v>
      </c>
      <c r="BI505" s="1" t="s">
        <v>5090</v>
      </c>
      <c r="BJ505" s="1">
        <v>22</v>
      </c>
      <c r="BK505" s="1" t="s">
        <v>1535</v>
      </c>
      <c r="BL505" s="1" t="s">
        <v>1529</v>
      </c>
      <c r="BM505" s="1" t="s">
        <v>1536</v>
      </c>
      <c r="BN505" s="1" t="s">
        <v>5137</v>
      </c>
      <c r="BO505" s="1" t="s">
        <v>1507</v>
      </c>
      <c r="BP505" s="1" t="s">
        <v>1507</v>
      </c>
      <c r="BQ505" s="1" t="s">
        <v>1507</v>
      </c>
      <c r="BR505" s="1" t="s">
        <v>1507</v>
      </c>
      <c r="BS505" s="1" t="s">
        <v>13744</v>
      </c>
      <c r="BT505" s="1" t="s">
        <v>5138</v>
      </c>
      <c r="BU505" s="1" t="str">
        <f>HYPERLINK("https%3A%2F%2Fwww.webofscience.com%2Fwos%2Fwoscc%2Ffull-record%2FWOS:000979878400001","View Full Record in Web of Science")</f>
        <v>View Full Record in Web of Science</v>
      </c>
    </row>
    <row r="506" spans="1:73" x14ac:dyDescent="0.25">
      <c r="A506" s="1">
        <v>505</v>
      </c>
      <c r="B506" s="1" t="s">
        <v>1506</v>
      </c>
      <c r="C506" s="1" t="s">
        <v>14272</v>
      </c>
      <c r="D506" s="1" t="s">
        <v>1507</v>
      </c>
      <c r="E506" s="1" t="s">
        <v>1507</v>
      </c>
      <c r="F506" s="1" t="s">
        <v>1507</v>
      </c>
      <c r="G506" s="1" t="s">
        <v>14273</v>
      </c>
      <c r="H506" s="1" t="s">
        <v>1507</v>
      </c>
      <c r="I506" s="1" t="s">
        <v>1507</v>
      </c>
      <c r="J506" s="1" t="s">
        <v>14274</v>
      </c>
      <c r="K506" s="1" t="s">
        <v>14275</v>
      </c>
      <c r="L506" s="1" t="s">
        <v>1507</v>
      </c>
      <c r="M506" s="1" t="s">
        <v>1507</v>
      </c>
      <c r="N506" s="1" t="s">
        <v>42</v>
      </c>
      <c r="O506" s="1" t="s">
        <v>13985</v>
      </c>
      <c r="P506" s="1" t="s">
        <v>1507</v>
      </c>
      <c r="Q506" s="1" t="s">
        <v>1507</v>
      </c>
      <c r="R506" s="1" t="s">
        <v>1507</v>
      </c>
      <c r="S506" s="1" t="s">
        <v>1507</v>
      </c>
      <c r="T506" s="1" t="s">
        <v>1507</v>
      </c>
      <c r="U506" s="1" t="s">
        <v>1507</v>
      </c>
      <c r="V506" s="1" t="s">
        <v>1507</v>
      </c>
      <c r="W506" s="1" t="s">
        <v>14276</v>
      </c>
      <c r="X506" s="1" t="s">
        <v>14277</v>
      </c>
      <c r="Y506" s="1" t="s">
        <v>14278</v>
      </c>
      <c r="Z506" s="1" t="s">
        <v>14279</v>
      </c>
      <c r="AA506" s="1" t="s">
        <v>1507</v>
      </c>
      <c r="AB506" s="1" t="s">
        <v>14280</v>
      </c>
      <c r="AC506" s="1" t="s">
        <v>14281</v>
      </c>
      <c r="AD506" s="1" t="s">
        <v>14282</v>
      </c>
      <c r="AE506" s="1" t="s">
        <v>14282</v>
      </c>
      <c r="AF506" s="1" t="s">
        <v>14283</v>
      </c>
      <c r="AG506" s="1" t="s">
        <v>1507</v>
      </c>
      <c r="AH506" s="1">
        <v>15</v>
      </c>
      <c r="AI506" s="1">
        <v>0</v>
      </c>
      <c r="AJ506" s="1">
        <v>0</v>
      </c>
      <c r="AK506" s="1">
        <v>17</v>
      </c>
      <c r="AL506" s="1">
        <v>17</v>
      </c>
      <c r="AM506" s="1" t="s">
        <v>1582</v>
      </c>
      <c r="AN506" s="1" t="s">
        <v>1583</v>
      </c>
      <c r="AO506" s="1" t="s">
        <v>1584</v>
      </c>
      <c r="AP506" s="1" t="s">
        <v>14284</v>
      </c>
      <c r="AQ506" s="1" t="s">
        <v>14285</v>
      </c>
      <c r="AR506" s="1" t="s">
        <v>1507</v>
      </c>
      <c r="AS506" s="1" t="s">
        <v>14286</v>
      </c>
      <c r="AT506" s="1" t="s">
        <v>14287</v>
      </c>
      <c r="AU506" s="1" t="s">
        <v>14288</v>
      </c>
      <c r="AV506" s="1">
        <v>2023</v>
      </c>
      <c r="AW506" s="1" t="s">
        <v>1507</v>
      </c>
      <c r="AX506" s="1" t="s">
        <v>1507</v>
      </c>
      <c r="AY506" s="1" t="s">
        <v>1507</v>
      </c>
      <c r="AZ506" s="1" t="s">
        <v>1507</v>
      </c>
      <c r="BA506" s="1" t="s">
        <v>1507</v>
      </c>
      <c r="BB506" s="1" t="s">
        <v>1507</v>
      </c>
      <c r="BC506" s="1" t="s">
        <v>1507</v>
      </c>
      <c r="BD506" s="1" t="s">
        <v>1507</v>
      </c>
      <c r="BE506" s="1" t="s">
        <v>1507</v>
      </c>
      <c r="BF506" s="1" t="s">
        <v>14289</v>
      </c>
      <c r="BG506" s="1" t="str">
        <f>HYPERLINK("http://dx.doi.org/10.1093/milmed/usad412","http://dx.doi.org/10.1093/milmed/usad412")</f>
        <v>http://dx.doi.org/10.1093/milmed/usad412</v>
      </c>
      <c r="BH506" s="1" t="s">
        <v>1507</v>
      </c>
      <c r="BI506" s="1" t="s">
        <v>2891</v>
      </c>
      <c r="BJ506" s="1">
        <v>5</v>
      </c>
      <c r="BK506" s="1" t="s">
        <v>1949</v>
      </c>
      <c r="BL506" s="1" t="s">
        <v>1573</v>
      </c>
      <c r="BM506" s="1" t="s">
        <v>1950</v>
      </c>
      <c r="BN506" s="1" t="s">
        <v>14290</v>
      </c>
      <c r="BO506" s="1">
        <v>37864817</v>
      </c>
      <c r="BP506" s="1" t="s">
        <v>1537</v>
      </c>
      <c r="BQ506" s="1" t="s">
        <v>1507</v>
      </c>
      <c r="BR506" s="1" t="s">
        <v>1507</v>
      </c>
      <c r="BS506" s="1" t="s">
        <v>13744</v>
      </c>
      <c r="BT506" s="1" t="s">
        <v>14291</v>
      </c>
      <c r="BU506" s="1" t="str">
        <f>HYPERLINK("https%3A%2F%2Fwww.webofscience.com%2Fwos%2Fwoscc%2Ffull-record%2FWOS:001089478800001","View Full Record in Web of Science")</f>
        <v>View Full Record in Web of Science</v>
      </c>
    </row>
    <row r="507" spans="1:73" x14ac:dyDescent="0.25">
      <c r="A507" s="1">
        <v>506</v>
      </c>
      <c r="B507" s="1" t="s">
        <v>1506</v>
      </c>
      <c r="C507" s="1" t="s">
        <v>9295</v>
      </c>
      <c r="D507" s="1" t="s">
        <v>1507</v>
      </c>
      <c r="E507" s="1" t="s">
        <v>1507</v>
      </c>
      <c r="F507" s="1" t="s">
        <v>1507</v>
      </c>
      <c r="G507" s="1" t="s">
        <v>9296</v>
      </c>
      <c r="H507" s="1" t="s">
        <v>1507</v>
      </c>
      <c r="I507" s="1" t="s">
        <v>1507</v>
      </c>
      <c r="J507" s="1" t="s">
        <v>9297</v>
      </c>
      <c r="K507" s="1" t="s">
        <v>9298</v>
      </c>
      <c r="L507" s="1" t="s">
        <v>1507</v>
      </c>
      <c r="M507" s="1" t="s">
        <v>1507</v>
      </c>
      <c r="N507" s="1" t="s">
        <v>42</v>
      </c>
      <c r="O507" s="1" t="s">
        <v>56</v>
      </c>
      <c r="P507" s="1" t="s">
        <v>1507</v>
      </c>
      <c r="Q507" s="1" t="s">
        <v>1507</v>
      </c>
      <c r="R507" s="1" t="s">
        <v>1507</v>
      </c>
      <c r="S507" s="1" t="s">
        <v>1507</v>
      </c>
      <c r="T507" s="1" t="s">
        <v>1507</v>
      </c>
      <c r="U507" s="1" t="s">
        <v>1507</v>
      </c>
      <c r="V507" s="1" t="s">
        <v>9299</v>
      </c>
      <c r="W507" s="1" t="s">
        <v>9300</v>
      </c>
      <c r="X507" s="1" t="s">
        <v>9301</v>
      </c>
      <c r="Y507" s="1" t="s">
        <v>9302</v>
      </c>
      <c r="Z507" s="1" t="s">
        <v>9303</v>
      </c>
      <c r="AA507" s="1" t="s">
        <v>9304</v>
      </c>
      <c r="AB507" s="1" t="s">
        <v>15779</v>
      </c>
      <c r="AC507" s="1" t="s">
        <v>15780</v>
      </c>
      <c r="AD507" s="1" t="s">
        <v>9305</v>
      </c>
      <c r="AE507" s="1" t="s">
        <v>9306</v>
      </c>
      <c r="AF507" s="1" t="s">
        <v>9307</v>
      </c>
      <c r="AG507" s="1" t="s">
        <v>1507</v>
      </c>
      <c r="AH507" s="1">
        <v>44</v>
      </c>
      <c r="AI507" s="1">
        <v>23</v>
      </c>
      <c r="AJ507" s="1">
        <v>27</v>
      </c>
      <c r="AK507" s="1">
        <v>1</v>
      </c>
      <c r="AL507" s="1">
        <v>53</v>
      </c>
      <c r="AM507" s="1" t="s">
        <v>1900</v>
      </c>
      <c r="AN507" s="1" t="s">
        <v>1583</v>
      </c>
      <c r="AO507" s="1" t="s">
        <v>1901</v>
      </c>
      <c r="AP507" s="1" t="s">
        <v>9308</v>
      </c>
      <c r="AQ507" s="1" t="s">
        <v>9309</v>
      </c>
      <c r="AR507" s="1" t="s">
        <v>1507</v>
      </c>
      <c r="AS507" s="1" t="s">
        <v>9310</v>
      </c>
      <c r="AT507" s="1" t="s">
        <v>9311</v>
      </c>
      <c r="AU507" s="1" t="s">
        <v>1616</v>
      </c>
      <c r="AV507" s="1">
        <v>2021</v>
      </c>
      <c r="AW507" s="1">
        <v>114</v>
      </c>
      <c r="AX507" s="1" t="s">
        <v>1507</v>
      </c>
      <c r="AY507" s="1" t="s">
        <v>1507</v>
      </c>
      <c r="AZ507" s="1" t="s">
        <v>1507</v>
      </c>
      <c r="BA507" s="1" t="s">
        <v>1507</v>
      </c>
      <c r="BB507" s="1" t="s">
        <v>1507</v>
      </c>
      <c r="BC507" s="1" t="s">
        <v>1507</v>
      </c>
      <c r="BD507" s="1" t="s">
        <v>1507</v>
      </c>
      <c r="BE507" s="1">
        <v>106486</v>
      </c>
      <c r="BF507" s="1" t="s">
        <v>9312</v>
      </c>
      <c r="BG507" s="1" t="str">
        <f>HYPERLINK("http://dx.doi.org/10.1016/j.chb.2020.106486","http://dx.doi.org/10.1016/j.chb.2020.106486")</f>
        <v>http://dx.doi.org/10.1016/j.chb.2020.106486</v>
      </c>
      <c r="BH507" s="1" t="s">
        <v>1507</v>
      </c>
      <c r="BI507" s="1" t="s">
        <v>1507</v>
      </c>
      <c r="BJ507" s="1">
        <v>9</v>
      </c>
      <c r="BK507" s="1" t="s">
        <v>9313</v>
      </c>
      <c r="BL507" s="1" t="s">
        <v>1518</v>
      </c>
      <c r="BM507" s="1" t="s">
        <v>1519</v>
      </c>
      <c r="BN507" s="1" t="s">
        <v>9314</v>
      </c>
      <c r="BO507" s="1" t="s">
        <v>1507</v>
      </c>
      <c r="BP507" s="1" t="s">
        <v>1507</v>
      </c>
      <c r="BQ507" s="1" t="s">
        <v>1507</v>
      </c>
      <c r="BR507" s="1" t="s">
        <v>1507</v>
      </c>
      <c r="BS507" s="1" t="s">
        <v>13744</v>
      </c>
      <c r="BT507" s="1" t="s">
        <v>9315</v>
      </c>
      <c r="BU507" s="1" t="str">
        <f>HYPERLINK("https%3A%2F%2Fwww.webofscience.com%2Fwos%2Fwoscc%2Ffull-record%2FWOS:000580937800002","View Full Record in Web of Science")</f>
        <v>View Full Record in Web of Science</v>
      </c>
    </row>
    <row r="508" spans="1:73" x14ac:dyDescent="0.25">
      <c r="A508" s="1">
        <v>507</v>
      </c>
      <c r="B508" s="1" t="s">
        <v>1506</v>
      </c>
      <c r="C508" s="1" t="s">
        <v>7074</v>
      </c>
      <c r="D508" s="1" t="s">
        <v>1507</v>
      </c>
      <c r="E508" s="1" t="s">
        <v>1507</v>
      </c>
      <c r="F508" s="1" t="s">
        <v>1507</v>
      </c>
      <c r="G508" s="1" t="s">
        <v>7075</v>
      </c>
      <c r="H508" s="1" t="s">
        <v>1507</v>
      </c>
      <c r="I508" s="1" t="s">
        <v>1507</v>
      </c>
      <c r="J508" s="1" t="s">
        <v>7076</v>
      </c>
      <c r="K508" s="1" t="s">
        <v>7077</v>
      </c>
      <c r="L508" s="1" t="s">
        <v>1507</v>
      </c>
      <c r="M508" s="1" t="s">
        <v>1507</v>
      </c>
      <c r="N508" s="1" t="s">
        <v>42</v>
      </c>
      <c r="O508" s="1" t="s">
        <v>56</v>
      </c>
      <c r="P508" s="1" t="s">
        <v>1507</v>
      </c>
      <c r="Q508" s="1" t="s">
        <v>1507</v>
      </c>
      <c r="R508" s="1" t="s">
        <v>1507</v>
      </c>
      <c r="S508" s="1" t="s">
        <v>1507</v>
      </c>
      <c r="T508" s="1" t="s">
        <v>1507</v>
      </c>
      <c r="U508" s="1" t="s">
        <v>1507</v>
      </c>
      <c r="V508" s="1" t="s">
        <v>7078</v>
      </c>
      <c r="W508" s="1" t="s">
        <v>7079</v>
      </c>
      <c r="X508" s="1" t="s">
        <v>7080</v>
      </c>
      <c r="Y508" s="1" t="s">
        <v>7081</v>
      </c>
      <c r="Z508" s="1" t="s">
        <v>7082</v>
      </c>
      <c r="AA508" s="1" t="s">
        <v>7083</v>
      </c>
      <c r="AB508" s="1" t="s">
        <v>15600</v>
      </c>
      <c r="AC508" s="1" t="s">
        <v>15601</v>
      </c>
      <c r="AD508" s="1" t="s">
        <v>7084</v>
      </c>
      <c r="AE508" s="1" t="s">
        <v>7085</v>
      </c>
      <c r="AF508" s="1" t="s">
        <v>7086</v>
      </c>
      <c r="AG508" s="1" t="s">
        <v>1507</v>
      </c>
      <c r="AH508" s="1">
        <v>76</v>
      </c>
      <c r="AI508" s="1">
        <v>3</v>
      </c>
      <c r="AJ508" s="1">
        <v>3</v>
      </c>
      <c r="AK508" s="1">
        <v>3</v>
      </c>
      <c r="AL508" s="1">
        <v>9</v>
      </c>
      <c r="AM508" s="1" t="s">
        <v>2372</v>
      </c>
      <c r="AN508" s="1" t="s">
        <v>2300</v>
      </c>
      <c r="AO508" s="1" t="s">
        <v>2373</v>
      </c>
      <c r="AP508" s="1" t="s">
        <v>7087</v>
      </c>
      <c r="AQ508" s="1" t="s">
        <v>7088</v>
      </c>
      <c r="AR508" s="1" t="s">
        <v>1507</v>
      </c>
      <c r="AS508" s="1" t="s">
        <v>7089</v>
      </c>
      <c r="AT508" s="1" t="s">
        <v>7090</v>
      </c>
      <c r="AU508" s="1" t="s">
        <v>7091</v>
      </c>
      <c r="AV508" s="1">
        <v>2022</v>
      </c>
      <c r="AW508" s="1">
        <v>18</v>
      </c>
      <c r="AX508" s="1">
        <v>8</v>
      </c>
      <c r="AY508" s="1" t="s">
        <v>1507</v>
      </c>
      <c r="AZ508" s="1" t="s">
        <v>1507</v>
      </c>
      <c r="BA508" s="1" t="s">
        <v>1507</v>
      </c>
      <c r="BB508" s="1" t="s">
        <v>1507</v>
      </c>
      <c r="BC508" s="1">
        <v>4708</v>
      </c>
      <c r="BD508" s="1">
        <v>4718</v>
      </c>
      <c r="BE508" s="1" t="s">
        <v>1507</v>
      </c>
      <c r="BF508" s="1" t="s">
        <v>7092</v>
      </c>
      <c r="BG508" s="1" t="str">
        <f>HYPERLINK("http://dx.doi.org/10.1021/acs.jctc.2c00256","http://dx.doi.org/10.1021/acs.jctc.2c00256")</f>
        <v>http://dx.doi.org/10.1021/acs.jctc.2c00256</v>
      </c>
      <c r="BH508" s="1" t="s">
        <v>1507</v>
      </c>
      <c r="BI508" s="1" t="s">
        <v>1507</v>
      </c>
      <c r="BJ508" s="1">
        <v>11</v>
      </c>
      <c r="BK508" s="1" t="s">
        <v>7093</v>
      </c>
      <c r="BL508" s="1" t="s">
        <v>1573</v>
      </c>
      <c r="BM508" s="1" t="s">
        <v>7094</v>
      </c>
      <c r="BN508" s="1" t="s">
        <v>7095</v>
      </c>
      <c r="BO508" s="1">
        <v>35797603</v>
      </c>
      <c r="BP508" s="1" t="s">
        <v>1507</v>
      </c>
      <c r="BQ508" s="1" t="s">
        <v>1507</v>
      </c>
      <c r="BR508" s="1" t="s">
        <v>1507</v>
      </c>
      <c r="BS508" s="1" t="s">
        <v>13744</v>
      </c>
      <c r="BT508" s="1" t="s">
        <v>7096</v>
      </c>
      <c r="BU508" s="1" t="str">
        <f>HYPERLINK("https%3A%2F%2Fwww.webofscience.com%2Fwos%2Fwoscc%2Ffull-record%2FWOS:000897008200001","View Full Record in Web of Science")</f>
        <v>View Full Record in Web of Science</v>
      </c>
    </row>
    <row r="509" spans="1:73" x14ac:dyDescent="0.25">
      <c r="A509" s="1">
        <v>508</v>
      </c>
      <c r="B509" s="1" t="s">
        <v>1506</v>
      </c>
      <c r="C509" s="1" t="s">
        <v>15897</v>
      </c>
      <c r="D509" s="1" t="s">
        <v>1507</v>
      </c>
      <c r="E509" s="1" t="s">
        <v>1507</v>
      </c>
      <c r="F509" s="1" t="s">
        <v>1507</v>
      </c>
      <c r="G509" s="1" t="s">
        <v>15898</v>
      </c>
      <c r="H509" s="1" t="s">
        <v>1507</v>
      </c>
      <c r="I509" s="1" t="s">
        <v>1507</v>
      </c>
      <c r="J509" s="1" t="s">
        <v>15899</v>
      </c>
      <c r="K509" s="1" t="s">
        <v>15900</v>
      </c>
      <c r="L509" s="1" t="s">
        <v>1507</v>
      </c>
      <c r="M509" s="1" t="s">
        <v>1507</v>
      </c>
      <c r="N509" s="1" t="s">
        <v>42</v>
      </c>
      <c r="O509" s="1" t="s">
        <v>12366</v>
      </c>
      <c r="P509" s="1" t="s">
        <v>1507</v>
      </c>
      <c r="Q509" s="1" t="s">
        <v>1507</v>
      </c>
      <c r="R509" s="1" t="s">
        <v>1507</v>
      </c>
      <c r="S509" s="1" t="s">
        <v>1507</v>
      </c>
      <c r="T509" s="1" t="s">
        <v>1507</v>
      </c>
      <c r="U509" s="1" t="s">
        <v>1507</v>
      </c>
      <c r="V509" s="1" t="s">
        <v>1507</v>
      </c>
      <c r="W509" s="1" t="s">
        <v>1507</v>
      </c>
      <c r="X509" s="1" t="s">
        <v>15901</v>
      </c>
      <c r="Y509" s="1" t="s">
        <v>15902</v>
      </c>
      <c r="Z509" s="1" t="s">
        <v>15903</v>
      </c>
      <c r="AA509" s="1" t="s">
        <v>1507</v>
      </c>
      <c r="AB509" s="1" t="s">
        <v>1507</v>
      </c>
      <c r="AC509" s="1" t="s">
        <v>1507</v>
      </c>
      <c r="AD509" s="1" t="s">
        <v>15904</v>
      </c>
      <c r="AE509" s="1" t="s">
        <v>15904</v>
      </c>
      <c r="AF509" s="1" t="s">
        <v>15905</v>
      </c>
      <c r="AG509" s="1" t="s">
        <v>1507</v>
      </c>
      <c r="AH509" s="1">
        <v>16</v>
      </c>
      <c r="AI509" s="1">
        <v>0</v>
      </c>
      <c r="AJ509" s="1">
        <v>0</v>
      </c>
      <c r="AK509" s="1">
        <v>0</v>
      </c>
      <c r="AL509" s="1">
        <v>4</v>
      </c>
      <c r="AM509" s="1" t="s">
        <v>1559</v>
      </c>
      <c r="AN509" s="1" t="s">
        <v>1560</v>
      </c>
      <c r="AO509" s="1" t="s">
        <v>1561</v>
      </c>
      <c r="AP509" s="1" t="s">
        <v>15906</v>
      </c>
      <c r="AQ509" s="1" t="s">
        <v>15907</v>
      </c>
      <c r="AR509" s="1" t="s">
        <v>1507</v>
      </c>
      <c r="AS509" s="1" t="s">
        <v>15908</v>
      </c>
      <c r="AT509" s="1" t="s">
        <v>15909</v>
      </c>
      <c r="AU509" s="1" t="s">
        <v>3992</v>
      </c>
      <c r="AV509" s="1">
        <v>2019</v>
      </c>
      <c r="AW509" s="1">
        <v>10</v>
      </c>
      <c r="AX509" s="1">
        <v>3</v>
      </c>
      <c r="AY509" s="1" t="s">
        <v>1507</v>
      </c>
      <c r="AZ509" s="1" t="s">
        <v>1507</v>
      </c>
      <c r="BA509" s="1" t="s">
        <v>1507</v>
      </c>
      <c r="BB509" s="1" t="s">
        <v>1507</v>
      </c>
      <c r="BC509" s="1">
        <v>445</v>
      </c>
      <c r="BD509" s="1">
        <v>448</v>
      </c>
      <c r="BE509" s="1" t="s">
        <v>1507</v>
      </c>
      <c r="BF509" s="1" t="s">
        <v>15910</v>
      </c>
      <c r="BG509" s="1" t="str">
        <f>HYPERLINK("http://dx.doi.org/10.1111/1758-5899.12727","http://dx.doi.org/10.1111/1758-5899.12727")</f>
        <v>http://dx.doi.org/10.1111/1758-5899.12727</v>
      </c>
      <c r="BH509" s="1" t="s">
        <v>1507</v>
      </c>
      <c r="BI509" s="1" t="s">
        <v>10724</v>
      </c>
      <c r="BJ509" s="1">
        <v>4</v>
      </c>
      <c r="BK509" s="1" t="s">
        <v>15911</v>
      </c>
      <c r="BL509" s="1" t="s">
        <v>1518</v>
      </c>
      <c r="BM509" s="1" t="s">
        <v>9964</v>
      </c>
      <c r="BN509" s="1" t="s">
        <v>15912</v>
      </c>
      <c r="BO509" s="1" t="s">
        <v>1507</v>
      </c>
      <c r="BP509" s="1" t="s">
        <v>1507</v>
      </c>
      <c r="BQ509" s="1" t="s">
        <v>1507</v>
      </c>
      <c r="BR509" s="1" t="s">
        <v>1507</v>
      </c>
      <c r="BS509" s="1" t="s">
        <v>13744</v>
      </c>
      <c r="BT509" s="1" t="s">
        <v>15913</v>
      </c>
      <c r="BU509" s="1" t="str">
        <f>HYPERLINK("https%3A%2F%2Fwww.webofscience.com%2Fwos%2Fwoscc%2Ffull-record%2FWOS:000482859900001","View Full Record in Web of Science")</f>
        <v>View Full Record in Web of Science</v>
      </c>
    </row>
    <row r="510" spans="1:73" x14ac:dyDescent="0.25">
      <c r="A510" s="1">
        <v>509</v>
      </c>
      <c r="B510" s="1" t="s">
        <v>1506</v>
      </c>
      <c r="C510" s="1" t="s">
        <v>8000</v>
      </c>
      <c r="D510" s="1" t="s">
        <v>1507</v>
      </c>
      <c r="E510" s="1" t="s">
        <v>1507</v>
      </c>
      <c r="F510" s="1" t="s">
        <v>1507</v>
      </c>
      <c r="G510" s="1" t="s">
        <v>8001</v>
      </c>
      <c r="H510" s="1" t="s">
        <v>1507</v>
      </c>
      <c r="I510" s="1" t="s">
        <v>1507</v>
      </c>
      <c r="J510" s="1" t="s">
        <v>8002</v>
      </c>
      <c r="K510" s="1" t="s">
        <v>8003</v>
      </c>
      <c r="L510" s="1" t="s">
        <v>1507</v>
      </c>
      <c r="M510" s="1" t="s">
        <v>1507</v>
      </c>
      <c r="N510" s="1" t="s">
        <v>42</v>
      </c>
      <c r="O510" s="1" t="s">
        <v>56</v>
      </c>
      <c r="P510" s="1" t="s">
        <v>1507</v>
      </c>
      <c r="Q510" s="1" t="s">
        <v>1507</v>
      </c>
      <c r="R510" s="1" t="s">
        <v>1507</v>
      </c>
      <c r="S510" s="1" t="s">
        <v>1507</v>
      </c>
      <c r="T510" s="1" t="s">
        <v>1507</v>
      </c>
      <c r="U510" s="1" t="s">
        <v>1507</v>
      </c>
      <c r="V510" s="1" t="s">
        <v>8004</v>
      </c>
      <c r="W510" s="1" t="s">
        <v>1507</v>
      </c>
      <c r="X510" s="1" t="s">
        <v>8005</v>
      </c>
      <c r="Y510" s="1" t="s">
        <v>8006</v>
      </c>
      <c r="Z510" s="1" t="s">
        <v>8007</v>
      </c>
      <c r="AA510" s="1" t="s">
        <v>8008</v>
      </c>
      <c r="AB510" s="1" t="s">
        <v>1507</v>
      </c>
      <c r="AC510" s="1" t="s">
        <v>1507</v>
      </c>
      <c r="AD510" s="1" t="s">
        <v>8009</v>
      </c>
      <c r="AE510" s="1" t="s">
        <v>8010</v>
      </c>
      <c r="AF510" s="1" t="s">
        <v>8011</v>
      </c>
      <c r="AG510" s="1" t="s">
        <v>1507</v>
      </c>
      <c r="AH510" s="1">
        <v>73</v>
      </c>
      <c r="AI510" s="1">
        <v>0</v>
      </c>
      <c r="AJ510" s="1">
        <v>0</v>
      </c>
      <c r="AK510" s="1">
        <v>0</v>
      </c>
      <c r="AL510" s="1">
        <v>1</v>
      </c>
      <c r="AM510" s="1" t="s">
        <v>1582</v>
      </c>
      <c r="AN510" s="1" t="s">
        <v>1583</v>
      </c>
      <c r="AO510" s="1" t="s">
        <v>1584</v>
      </c>
      <c r="AP510" s="1" t="s">
        <v>8012</v>
      </c>
      <c r="AQ510" s="1" t="s">
        <v>8013</v>
      </c>
      <c r="AR510" s="1" t="s">
        <v>1507</v>
      </c>
      <c r="AS510" s="1" t="s">
        <v>8014</v>
      </c>
      <c r="AT510" s="1" t="s">
        <v>8015</v>
      </c>
      <c r="AU510" s="1" t="s">
        <v>2771</v>
      </c>
      <c r="AV510" s="1">
        <v>2021</v>
      </c>
      <c r="AW510" s="1">
        <v>16</v>
      </c>
      <c r="AX510" s="1">
        <v>11</v>
      </c>
      <c r="AY510" s="1" t="s">
        <v>1507</v>
      </c>
      <c r="AZ510" s="1" t="s">
        <v>1507</v>
      </c>
      <c r="BA510" s="1" t="s">
        <v>1507</v>
      </c>
      <c r="BB510" s="1" t="s">
        <v>1507</v>
      </c>
      <c r="BC510" s="1">
        <v>1229</v>
      </c>
      <c r="BD510" s="1">
        <v>1241</v>
      </c>
      <c r="BE510" s="1" t="s">
        <v>1507</v>
      </c>
      <c r="BF510" s="1" t="s">
        <v>8016</v>
      </c>
      <c r="BG510" s="1" t="str">
        <f>HYPERLINK("http://dx.doi.org/10.1093/jiplp/jpab128","http://dx.doi.org/10.1093/jiplp/jpab128")</f>
        <v>http://dx.doi.org/10.1093/jiplp/jpab128</v>
      </c>
      <c r="BH510" s="1" t="s">
        <v>1507</v>
      </c>
      <c r="BI510" s="1" t="s">
        <v>7958</v>
      </c>
      <c r="BJ510" s="1">
        <v>13</v>
      </c>
      <c r="BK510" s="1" t="s">
        <v>1535</v>
      </c>
      <c r="BL510" s="1" t="s">
        <v>1529</v>
      </c>
      <c r="BM510" s="1" t="s">
        <v>1536</v>
      </c>
      <c r="BN510" s="1" t="s">
        <v>8017</v>
      </c>
      <c r="BO510" s="1" t="s">
        <v>1507</v>
      </c>
      <c r="BP510" s="1" t="s">
        <v>1507</v>
      </c>
      <c r="BQ510" s="1" t="s">
        <v>1507</v>
      </c>
      <c r="BR510" s="1" t="s">
        <v>1507</v>
      </c>
      <c r="BS510" s="1" t="s">
        <v>13744</v>
      </c>
      <c r="BT510" s="1" t="s">
        <v>8018</v>
      </c>
      <c r="BU510" s="1" t="str">
        <f>HYPERLINK("https%3A%2F%2Fwww.webofscience.com%2Fwos%2Fwoscc%2Ffull-record%2FWOS:000743607200011","View Full Record in Web of Science")</f>
        <v>View Full Record in Web of Science</v>
      </c>
    </row>
    <row r="511" spans="1:73" x14ac:dyDescent="0.25">
      <c r="A511" s="1">
        <v>510</v>
      </c>
      <c r="B511" s="1" t="s">
        <v>5546</v>
      </c>
      <c r="C511" s="1" t="s">
        <v>6383</v>
      </c>
      <c r="D511" s="1" t="s">
        <v>1507</v>
      </c>
      <c r="E511" s="1" t="s">
        <v>1507</v>
      </c>
      <c r="F511" s="1" t="s">
        <v>5548</v>
      </c>
      <c r="G511" s="1" t="s">
        <v>6384</v>
      </c>
      <c r="H511" s="1" t="s">
        <v>1507</v>
      </c>
      <c r="I511" s="1" t="s">
        <v>1507</v>
      </c>
      <c r="J511" s="1" t="s">
        <v>6385</v>
      </c>
      <c r="K511" s="1" t="s">
        <v>6386</v>
      </c>
      <c r="L511" s="1" t="s">
        <v>1507</v>
      </c>
      <c r="M511" s="1" t="s">
        <v>1507</v>
      </c>
      <c r="N511" s="1" t="s">
        <v>42</v>
      </c>
      <c r="O511" s="1" t="s">
        <v>5552</v>
      </c>
      <c r="P511" s="1" t="s">
        <v>6387</v>
      </c>
      <c r="Q511" s="1" t="s">
        <v>6388</v>
      </c>
      <c r="R511" s="1" t="s">
        <v>6389</v>
      </c>
      <c r="S511" s="1" t="s">
        <v>6390</v>
      </c>
      <c r="T511" s="1" t="s">
        <v>6391</v>
      </c>
      <c r="U511" s="1" t="s">
        <v>6392</v>
      </c>
      <c r="V511" s="1" t="s">
        <v>1507</v>
      </c>
      <c r="W511" s="1" t="s">
        <v>6393</v>
      </c>
      <c r="X511" s="1" t="s">
        <v>1507</v>
      </c>
      <c r="Y511" s="1" t="s">
        <v>1507</v>
      </c>
      <c r="Z511" s="1" t="s">
        <v>1507</v>
      </c>
      <c r="AA511" s="1" t="s">
        <v>6394</v>
      </c>
      <c r="AB511" s="1" t="s">
        <v>1507</v>
      </c>
      <c r="AC511" s="1" t="s">
        <v>1507</v>
      </c>
      <c r="AD511" s="1" t="s">
        <v>6395</v>
      </c>
      <c r="AE511" s="1" t="s">
        <v>6396</v>
      </c>
      <c r="AF511" s="1" t="s">
        <v>6397</v>
      </c>
      <c r="AG511" s="1" t="s">
        <v>1507</v>
      </c>
      <c r="AH511" s="1">
        <v>24</v>
      </c>
      <c r="AI511" s="1">
        <v>0</v>
      </c>
      <c r="AJ511" s="1">
        <v>0</v>
      </c>
      <c r="AK511" s="1">
        <v>7</v>
      </c>
      <c r="AL511" s="1">
        <v>7</v>
      </c>
      <c r="AM511" s="1" t="s">
        <v>5565</v>
      </c>
      <c r="AN511" s="1" t="s">
        <v>1512</v>
      </c>
      <c r="AO511" s="1" t="s">
        <v>5566</v>
      </c>
      <c r="AP511" s="1" t="s">
        <v>1507</v>
      </c>
      <c r="AQ511" s="1" t="s">
        <v>1507</v>
      </c>
      <c r="AR511" s="1" t="s">
        <v>6398</v>
      </c>
      <c r="AS511" s="1" t="s">
        <v>1507</v>
      </c>
      <c r="AT511" s="1" t="s">
        <v>1507</v>
      </c>
      <c r="AU511" s="1" t="s">
        <v>1507</v>
      </c>
      <c r="AV511" s="1">
        <v>2023</v>
      </c>
      <c r="AW511" s="1" t="s">
        <v>1507</v>
      </c>
      <c r="AX511" s="1" t="s">
        <v>1507</v>
      </c>
      <c r="AY511" s="1" t="s">
        <v>1507</v>
      </c>
      <c r="AZ511" s="1" t="s">
        <v>1507</v>
      </c>
      <c r="BA511" s="1" t="s">
        <v>1507</v>
      </c>
      <c r="BB511" s="1" t="s">
        <v>1507</v>
      </c>
      <c r="BC511" s="1">
        <v>87</v>
      </c>
      <c r="BD511" s="1">
        <v>93</v>
      </c>
      <c r="BE511" s="1" t="s">
        <v>1507</v>
      </c>
      <c r="BF511" s="1" t="s">
        <v>6399</v>
      </c>
      <c r="BG511" s="1" t="str">
        <f>HYPERLINK("http://dx.doi.org/10.1145/3593856.3595910","http://dx.doi.org/10.1145/3593856.3595910")</f>
        <v>http://dx.doi.org/10.1145/3593856.3595910</v>
      </c>
      <c r="BH511" s="1" t="s">
        <v>1507</v>
      </c>
      <c r="BI511" s="1" t="s">
        <v>1507</v>
      </c>
      <c r="BJ511" s="1">
        <v>7</v>
      </c>
      <c r="BK511" s="1" t="s">
        <v>6400</v>
      </c>
      <c r="BL511" s="1" t="s">
        <v>5570</v>
      </c>
      <c r="BM511" s="1" t="s">
        <v>1577</v>
      </c>
      <c r="BN511" s="1" t="s">
        <v>6401</v>
      </c>
      <c r="BO511" s="1" t="s">
        <v>1507</v>
      </c>
      <c r="BP511" s="1" t="s">
        <v>1507</v>
      </c>
      <c r="BQ511" s="1" t="s">
        <v>1507</v>
      </c>
      <c r="BR511" s="1" t="s">
        <v>1507</v>
      </c>
      <c r="BS511" s="1" t="s">
        <v>13744</v>
      </c>
      <c r="BT511" s="1" t="s">
        <v>6402</v>
      </c>
      <c r="BU511" s="1" t="str">
        <f>HYPERLINK("https%3A%2F%2Fwww.webofscience.com%2Fwos%2Fwoscc%2Ffull-record%2FWOS:001119203300011","View Full Record in Web of Science")</f>
        <v>View Full Record in Web of Science</v>
      </c>
    </row>
    <row r="512" spans="1:73" x14ac:dyDescent="0.25">
      <c r="A512" s="1">
        <v>511</v>
      </c>
      <c r="B512" s="1" t="s">
        <v>1506</v>
      </c>
      <c r="C512" s="1" t="s">
        <v>8407</v>
      </c>
      <c r="D512" s="1" t="s">
        <v>1507</v>
      </c>
      <c r="E512" s="1" t="s">
        <v>1507</v>
      </c>
      <c r="F512" s="1" t="s">
        <v>1507</v>
      </c>
      <c r="G512" s="1" t="s">
        <v>8408</v>
      </c>
      <c r="H512" s="1" t="s">
        <v>1507</v>
      </c>
      <c r="I512" s="1" t="s">
        <v>1507</v>
      </c>
      <c r="J512" s="1" t="s">
        <v>8409</v>
      </c>
      <c r="K512" s="1" t="s">
        <v>8410</v>
      </c>
      <c r="L512" s="1" t="s">
        <v>1507</v>
      </c>
      <c r="M512" s="1" t="s">
        <v>1507</v>
      </c>
      <c r="N512" s="1" t="s">
        <v>42</v>
      </c>
      <c r="O512" s="1" t="s">
        <v>56</v>
      </c>
      <c r="P512" s="1" t="s">
        <v>1507</v>
      </c>
      <c r="Q512" s="1" t="s">
        <v>1507</v>
      </c>
      <c r="R512" s="1" t="s">
        <v>1507</v>
      </c>
      <c r="S512" s="1" t="s">
        <v>1507</v>
      </c>
      <c r="T512" s="1" t="s">
        <v>1507</v>
      </c>
      <c r="U512" s="1" t="s">
        <v>1507</v>
      </c>
      <c r="V512" s="1" t="s">
        <v>8411</v>
      </c>
      <c r="W512" s="1" t="s">
        <v>8412</v>
      </c>
      <c r="X512" s="1" t="s">
        <v>8413</v>
      </c>
      <c r="Y512" s="1" t="s">
        <v>8414</v>
      </c>
      <c r="Z512" s="1" t="s">
        <v>8415</v>
      </c>
      <c r="AA512" s="1" t="s">
        <v>8416</v>
      </c>
      <c r="AB512" s="1" t="s">
        <v>8417</v>
      </c>
      <c r="AC512" s="1" t="s">
        <v>8418</v>
      </c>
      <c r="AD512" s="1" t="s">
        <v>8419</v>
      </c>
      <c r="AE512" s="1" t="s">
        <v>8420</v>
      </c>
      <c r="AF512" s="1" t="s">
        <v>8421</v>
      </c>
      <c r="AG512" s="1" t="s">
        <v>1507</v>
      </c>
      <c r="AH512" s="1">
        <v>53</v>
      </c>
      <c r="AI512" s="1">
        <v>4</v>
      </c>
      <c r="AJ512" s="1">
        <v>5</v>
      </c>
      <c r="AK512" s="1">
        <v>1</v>
      </c>
      <c r="AL512" s="1">
        <v>3</v>
      </c>
      <c r="AM512" s="1" t="s">
        <v>8422</v>
      </c>
      <c r="AN512" s="1" t="s">
        <v>7525</v>
      </c>
      <c r="AO512" s="1" t="s">
        <v>7526</v>
      </c>
      <c r="AP512" s="1" t="s">
        <v>1507</v>
      </c>
      <c r="AQ512" s="1" t="s">
        <v>8423</v>
      </c>
      <c r="AR512" s="1" t="s">
        <v>1507</v>
      </c>
      <c r="AS512" s="1" t="s">
        <v>8424</v>
      </c>
      <c r="AT512" s="1" t="s">
        <v>8425</v>
      </c>
      <c r="AU512" s="1" t="s">
        <v>4556</v>
      </c>
      <c r="AV512" s="1">
        <v>2021</v>
      </c>
      <c r="AW512" s="1">
        <v>8</v>
      </c>
      <c r="AX512" s="1">
        <v>4</v>
      </c>
      <c r="AY512" s="1" t="s">
        <v>1507</v>
      </c>
      <c r="AZ512" s="1" t="s">
        <v>1507</v>
      </c>
      <c r="BA512" s="1" t="s">
        <v>1507</v>
      </c>
      <c r="BB512" s="1" t="s">
        <v>1507</v>
      </c>
      <c r="BC512" s="1" t="s">
        <v>1507</v>
      </c>
      <c r="BD512" s="1" t="s">
        <v>1507</v>
      </c>
      <c r="BE512" s="1">
        <v>44701</v>
      </c>
      <c r="BF512" s="1" t="s">
        <v>8426</v>
      </c>
      <c r="BG512" s="1" t="str">
        <f>HYPERLINK("http://dx.doi.org/10.1063/4.0000087","http://dx.doi.org/10.1063/4.0000087")</f>
        <v>http://dx.doi.org/10.1063/4.0000087</v>
      </c>
      <c r="BH512" s="1" t="s">
        <v>1507</v>
      </c>
      <c r="BI512" s="1" t="s">
        <v>1507</v>
      </c>
      <c r="BJ512" s="1">
        <v>18</v>
      </c>
      <c r="BK512" s="1" t="s">
        <v>7093</v>
      </c>
      <c r="BL512" s="1" t="s">
        <v>1573</v>
      </c>
      <c r="BM512" s="1" t="s">
        <v>7094</v>
      </c>
      <c r="BN512" s="1" t="s">
        <v>8427</v>
      </c>
      <c r="BO512" s="1">
        <v>34258328</v>
      </c>
      <c r="BP512" s="1" t="s">
        <v>15727</v>
      </c>
      <c r="BQ512" s="1" t="s">
        <v>1507</v>
      </c>
      <c r="BR512" s="1" t="s">
        <v>1507</v>
      </c>
      <c r="BS512" s="1" t="s">
        <v>13744</v>
      </c>
      <c r="BT512" s="1" t="s">
        <v>8428</v>
      </c>
      <c r="BU512" s="1" t="str">
        <f>HYPERLINK("https%3A%2F%2Fwww.webofscience.com%2Fwos%2Fwoscc%2Ffull-record%2FWOS:000670778600003","View Full Record in Web of Science")</f>
        <v>View Full Record in Web of Science</v>
      </c>
    </row>
    <row r="513" spans="1:73" x14ac:dyDescent="0.25">
      <c r="A513" s="1">
        <v>512</v>
      </c>
      <c r="B513" s="1" t="s">
        <v>5546</v>
      </c>
      <c r="C513" s="1" t="s">
        <v>6403</v>
      </c>
      <c r="D513" s="1" t="s">
        <v>1507</v>
      </c>
      <c r="E513" s="1" t="s">
        <v>6404</v>
      </c>
      <c r="F513" s="1" t="s">
        <v>1507</v>
      </c>
      <c r="G513" s="1" t="s">
        <v>6405</v>
      </c>
      <c r="H513" s="1" t="s">
        <v>1507</v>
      </c>
      <c r="I513" s="1" t="s">
        <v>1507</v>
      </c>
      <c r="J513" s="1" t="s">
        <v>6406</v>
      </c>
      <c r="K513" s="1" t="s">
        <v>6407</v>
      </c>
      <c r="L513" s="1" t="s">
        <v>1507</v>
      </c>
      <c r="M513" s="1" t="s">
        <v>1507</v>
      </c>
      <c r="N513" s="1" t="s">
        <v>42</v>
      </c>
      <c r="O513" s="1" t="s">
        <v>5552</v>
      </c>
      <c r="P513" s="1" t="s">
        <v>6408</v>
      </c>
      <c r="Q513" s="1" t="s">
        <v>6409</v>
      </c>
      <c r="R513" s="1" t="s">
        <v>6410</v>
      </c>
      <c r="S513" s="1" t="s">
        <v>6411</v>
      </c>
      <c r="T513" s="1" t="s">
        <v>1507</v>
      </c>
      <c r="U513" s="1" t="s">
        <v>6412</v>
      </c>
      <c r="V513" s="1" t="s">
        <v>6413</v>
      </c>
      <c r="W513" s="1" t="s">
        <v>6414</v>
      </c>
      <c r="X513" s="1" t="s">
        <v>6415</v>
      </c>
      <c r="Y513" s="1" t="s">
        <v>6416</v>
      </c>
      <c r="Z513" s="1" t="s">
        <v>6417</v>
      </c>
      <c r="AA513" s="1" t="s">
        <v>6418</v>
      </c>
      <c r="AB513" s="1" t="s">
        <v>15368</v>
      </c>
      <c r="AC513" s="1" t="s">
        <v>1507</v>
      </c>
      <c r="AD513" s="1" t="s">
        <v>6419</v>
      </c>
      <c r="AE513" s="1" t="s">
        <v>6420</v>
      </c>
      <c r="AF513" s="1" t="s">
        <v>6421</v>
      </c>
      <c r="AG513" s="1" t="s">
        <v>1507</v>
      </c>
      <c r="AH513" s="1">
        <v>54</v>
      </c>
      <c r="AI513" s="1">
        <v>0</v>
      </c>
      <c r="AJ513" s="1">
        <v>0</v>
      </c>
      <c r="AK513" s="1">
        <v>1</v>
      </c>
      <c r="AL513" s="1">
        <v>1</v>
      </c>
      <c r="AM513" s="1" t="s">
        <v>5565</v>
      </c>
      <c r="AN513" s="1" t="s">
        <v>1512</v>
      </c>
      <c r="AO513" s="1" t="s">
        <v>5566</v>
      </c>
      <c r="AP513" s="1" t="s">
        <v>1507</v>
      </c>
      <c r="AQ513" s="1" t="s">
        <v>1507</v>
      </c>
      <c r="AR513" s="1" t="s">
        <v>6422</v>
      </c>
      <c r="AS513" s="1" t="s">
        <v>1507</v>
      </c>
      <c r="AT513" s="1" t="s">
        <v>1507</v>
      </c>
      <c r="AU513" s="1" t="s">
        <v>1507</v>
      </c>
      <c r="AV513" s="1">
        <v>2023</v>
      </c>
      <c r="AW513" s="1" t="s">
        <v>1507</v>
      </c>
      <c r="AX513" s="1" t="s">
        <v>1507</v>
      </c>
      <c r="AY513" s="1" t="s">
        <v>1507</v>
      </c>
      <c r="AZ513" s="1" t="s">
        <v>1507</v>
      </c>
      <c r="BA513" s="1" t="s">
        <v>1507</v>
      </c>
      <c r="BB513" s="1" t="s">
        <v>1507</v>
      </c>
      <c r="BC513" s="1" t="s">
        <v>1507</v>
      </c>
      <c r="BD513" s="1" t="s">
        <v>1507</v>
      </c>
      <c r="BE513" s="1">
        <v>79</v>
      </c>
      <c r="BF513" s="1" t="s">
        <v>6423</v>
      </c>
      <c r="BG513" s="1" t="str">
        <f>HYPERLINK("http://dx.doi.org/10.1145/3588432.3591558","http://dx.doi.org/10.1145/3588432.3591558")</f>
        <v>http://dx.doi.org/10.1145/3588432.3591558</v>
      </c>
      <c r="BH513" s="1" t="s">
        <v>1507</v>
      </c>
      <c r="BI513" s="1" t="s">
        <v>1507</v>
      </c>
      <c r="BJ513" s="1">
        <v>10</v>
      </c>
      <c r="BK513" s="1" t="s">
        <v>2678</v>
      </c>
      <c r="BL513" s="1" t="s">
        <v>5570</v>
      </c>
      <c r="BM513" s="1" t="s">
        <v>1577</v>
      </c>
      <c r="BN513" s="1" t="s">
        <v>6424</v>
      </c>
      <c r="BO513" s="1" t="s">
        <v>1507</v>
      </c>
      <c r="BP513" s="1" t="s">
        <v>1537</v>
      </c>
      <c r="BQ513" s="1" t="s">
        <v>1507</v>
      </c>
      <c r="BR513" s="1" t="s">
        <v>1507</v>
      </c>
      <c r="BS513" s="1" t="s">
        <v>13744</v>
      </c>
      <c r="BT513" s="1" t="s">
        <v>6425</v>
      </c>
      <c r="BU513" s="1" t="str">
        <f>HYPERLINK("https%3A%2F%2Fwww.webofscience.com%2Fwos%2Fwoscc%2Ffull-record%2FWOS:001117690500079","View Full Record in Web of Science")</f>
        <v>View Full Record in Web of Science</v>
      </c>
    </row>
    <row r="514" spans="1:73" x14ac:dyDescent="0.25">
      <c r="A514" s="1">
        <v>513</v>
      </c>
      <c r="B514" s="1" t="s">
        <v>1506</v>
      </c>
      <c r="C514" s="1" t="s">
        <v>6844</v>
      </c>
      <c r="D514" s="1" t="s">
        <v>1507</v>
      </c>
      <c r="E514" s="1" t="s">
        <v>1507</v>
      </c>
      <c r="F514" s="1" t="s">
        <v>1507</v>
      </c>
      <c r="G514" s="1" t="s">
        <v>6845</v>
      </c>
      <c r="H514" s="1" t="s">
        <v>1507</v>
      </c>
      <c r="I514" s="1" t="s">
        <v>1507</v>
      </c>
      <c r="J514" s="1" t="s">
        <v>6846</v>
      </c>
      <c r="K514" s="1" t="s">
        <v>6847</v>
      </c>
      <c r="L514" s="1" t="s">
        <v>1507</v>
      </c>
      <c r="M514" s="1" t="s">
        <v>1507</v>
      </c>
      <c r="N514" s="1" t="s">
        <v>42</v>
      </c>
      <c r="O514" s="1" t="s">
        <v>56</v>
      </c>
      <c r="P514" s="1" t="s">
        <v>1507</v>
      </c>
      <c r="Q514" s="1" t="s">
        <v>1507</v>
      </c>
      <c r="R514" s="1" t="s">
        <v>1507</v>
      </c>
      <c r="S514" s="1" t="s">
        <v>1507</v>
      </c>
      <c r="T514" s="1" t="s">
        <v>1507</v>
      </c>
      <c r="U514" s="1" t="s">
        <v>6848</v>
      </c>
      <c r="V514" s="1" t="s">
        <v>6849</v>
      </c>
      <c r="W514" s="1" t="s">
        <v>6850</v>
      </c>
      <c r="X514" s="1" t="s">
        <v>6851</v>
      </c>
      <c r="Y514" s="1" t="s">
        <v>15548</v>
      </c>
      <c r="Z514" s="1" t="s">
        <v>2604</v>
      </c>
      <c r="AA514" s="1" t="s">
        <v>6852</v>
      </c>
      <c r="AB514" s="1" t="s">
        <v>6853</v>
      </c>
      <c r="AC514" s="1" t="s">
        <v>15549</v>
      </c>
      <c r="AD514" s="1" t="s">
        <v>6854</v>
      </c>
      <c r="AE514" s="1" t="s">
        <v>6855</v>
      </c>
      <c r="AF514" s="1" t="s">
        <v>6856</v>
      </c>
      <c r="AG514" s="1" t="s">
        <v>1507</v>
      </c>
      <c r="AH514" s="1">
        <v>52</v>
      </c>
      <c r="AI514" s="1">
        <v>5</v>
      </c>
      <c r="AJ514" s="1">
        <v>5</v>
      </c>
      <c r="AK514" s="1">
        <v>1</v>
      </c>
      <c r="AL514" s="1">
        <v>18</v>
      </c>
      <c r="AM514" s="1" t="s">
        <v>1586</v>
      </c>
      <c r="AN514" s="1" t="s">
        <v>1583</v>
      </c>
      <c r="AO514" s="1" t="s">
        <v>3684</v>
      </c>
      <c r="AP514" s="1" t="s">
        <v>6857</v>
      </c>
      <c r="AQ514" s="1" t="s">
        <v>6858</v>
      </c>
      <c r="AR514" s="1" t="s">
        <v>1507</v>
      </c>
      <c r="AS514" s="1" t="s">
        <v>6847</v>
      </c>
      <c r="AT514" s="1" t="s">
        <v>6859</v>
      </c>
      <c r="AU514" s="1" t="s">
        <v>12095</v>
      </c>
      <c r="AV514" s="1">
        <v>2023</v>
      </c>
      <c r="AW514" s="1">
        <v>332</v>
      </c>
      <c r="AX514" s="1" t="s">
        <v>1507</v>
      </c>
      <c r="AY514" s="1">
        <v>2</v>
      </c>
      <c r="AZ514" s="1" t="s">
        <v>1507</v>
      </c>
      <c r="BA514" s="1" t="s">
        <v>1507</v>
      </c>
      <c r="BB514" s="1" t="s">
        <v>1507</v>
      </c>
      <c r="BC514" s="1" t="s">
        <v>1507</v>
      </c>
      <c r="BD514" s="1" t="s">
        <v>1507</v>
      </c>
      <c r="BE514" s="1">
        <v>126283</v>
      </c>
      <c r="BF514" s="1" t="s">
        <v>6860</v>
      </c>
      <c r="BG514" s="1" t="str">
        <f>HYPERLINK("http://dx.doi.org/10.1016/j.fuel.2022.126283","http://dx.doi.org/10.1016/j.fuel.2022.126283")</f>
        <v>http://dx.doi.org/10.1016/j.fuel.2022.126283</v>
      </c>
      <c r="BH514" s="1" t="s">
        <v>1507</v>
      </c>
      <c r="BI514" s="1" t="s">
        <v>6861</v>
      </c>
      <c r="BJ514" s="1">
        <v>10</v>
      </c>
      <c r="BK514" s="1" t="s">
        <v>5261</v>
      </c>
      <c r="BL514" s="1" t="s">
        <v>1573</v>
      </c>
      <c r="BM514" s="1" t="s">
        <v>5262</v>
      </c>
      <c r="BN514" s="1" t="s">
        <v>6862</v>
      </c>
      <c r="BO514" s="1" t="s">
        <v>1507</v>
      </c>
      <c r="BP514" s="1" t="s">
        <v>1507</v>
      </c>
      <c r="BQ514" s="1" t="s">
        <v>1507</v>
      </c>
      <c r="BR514" s="1" t="s">
        <v>1507</v>
      </c>
      <c r="BS514" s="1" t="s">
        <v>13744</v>
      </c>
      <c r="BT514" s="1" t="s">
        <v>6863</v>
      </c>
      <c r="BU514" s="1" t="str">
        <f>HYPERLINK("https%3A%2F%2Fwww.webofscience.com%2Fwos%2Fwoscc%2Ffull-record%2FWOS:000874615700007","View Full Record in Web of Science")</f>
        <v>View Full Record in Web of Science</v>
      </c>
    </row>
    <row r="515" spans="1:73" x14ac:dyDescent="0.25">
      <c r="A515" s="1">
        <v>514</v>
      </c>
      <c r="B515" s="1" t="s">
        <v>5546</v>
      </c>
      <c r="C515" s="1" t="s">
        <v>11457</v>
      </c>
      <c r="D515" s="1" t="s">
        <v>1507</v>
      </c>
      <c r="E515" s="1" t="s">
        <v>1507</v>
      </c>
      <c r="F515" s="1" t="s">
        <v>11458</v>
      </c>
      <c r="G515" s="1" t="s">
        <v>11459</v>
      </c>
      <c r="H515" s="1" t="s">
        <v>1507</v>
      </c>
      <c r="I515" s="1" t="s">
        <v>1507</v>
      </c>
      <c r="J515" s="1" t="s">
        <v>913</v>
      </c>
      <c r="K515" s="1" t="s">
        <v>11460</v>
      </c>
      <c r="L515" s="1" t="s">
        <v>11461</v>
      </c>
      <c r="M515" s="1" t="s">
        <v>1507</v>
      </c>
      <c r="N515" s="1" t="s">
        <v>42</v>
      </c>
      <c r="O515" s="1" t="s">
        <v>5552</v>
      </c>
      <c r="P515" s="1" t="s">
        <v>11462</v>
      </c>
      <c r="Q515" s="1" t="s">
        <v>11463</v>
      </c>
      <c r="R515" s="1" t="s">
        <v>11464</v>
      </c>
      <c r="S515" s="1" t="s">
        <v>1507</v>
      </c>
      <c r="T515" s="1" t="s">
        <v>11465</v>
      </c>
      <c r="U515" s="1" t="s">
        <v>1507</v>
      </c>
      <c r="V515" s="1" t="s">
        <v>1507</v>
      </c>
      <c r="W515" s="1" t="s">
        <v>11466</v>
      </c>
      <c r="X515" s="1" t="s">
        <v>11467</v>
      </c>
      <c r="Y515" s="1" t="s">
        <v>11468</v>
      </c>
      <c r="Z515" s="1" t="s">
        <v>11469</v>
      </c>
      <c r="AA515" s="1" t="s">
        <v>11470</v>
      </c>
      <c r="AB515" s="1" t="s">
        <v>1507</v>
      </c>
      <c r="AC515" s="1" t="s">
        <v>1507</v>
      </c>
      <c r="AD515" s="1" t="s">
        <v>11471</v>
      </c>
      <c r="AE515" s="1" t="s">
        <v>11472</v>
      </c>
      <c r="AF515" s="1" t="s">
        <v>11473</v>
      </c>
      <c r="AG515" s="1" t="s">
        <v>1507</v>
      </c>
      <c r="AH515" s="1">
        <v>22</v>
      </c>
      <c r="AI515" s="1">
        <v>1</v>
      </c>
      <c r="AJ515" s="1">
        <v>1</v>
      </c>
      <c r="AK515" s="1">
        <v>1</v>
      </c>
      <c r="AL515" s="1">
        <v>4</v>
      </c>
      <c r="AM515" s="1" t="s">
        <v>11474</v>
      </c>
      <c r="AN515" s="1" t="s">
        <v>1605</v>
      </c>
      <c r="AO515" s="1" t="s">
        <v>11475</v>
      </c>
      <c r="AP515" s="1" t="s">
        <v>11476</v>
      </c>
      <c r="AQ515" s="1" t="s">
        <v>11477</v>
      </c>
      <c r="AR515" s="1" t="s">
        <v>1507</v>
      </c>
      <c r="AS515" s="1" t="s">
        <v>11478</v>
      </c>
      <c r="AT515" s="1" t="s">
        <v>1507</v>
      </c>
      <c r="AU515" s="1" t="s">
        <v>1507</v>
      </c>
      <c r="AV515" s="1">
        <v>2019</v>
      </c>
      <c r="AW515" s="1">
        <v>1171</v>
      </c>
      <c r="AX515" s="1" t="s">
        <v>1507</v>
      </c>
      <c r="AY515" s="1" t="s">
        <v>1507</v>
      </c>
      <c r="AZ515" s="1" t="s">
        <v>1507</v>
      </c>
      <c r="BA515" s="1" t="s">
        <v>1507</v>
      </c>
      <c r="BB515" s="1" t="s">
        <v>1507</v>
      </c>
      <c r="BC515" s="1" t="s">
        <v>1507</v>
      </c>
      <c r="BD515" s="1" t="s">
        <v>1507</v>
      </c>
      <c r="BE515" s="1">
        <v>12004</v>
      </c>
      <c r="BF515" s="1" t="s">
        <v>915</v>
      </c>
      <c r="BG515" s="1" t="str">
        <f>HYPERLINK("http://dx.doi.org/10.1088/1742-6596/1171/1/012004","http://dx.doi.org/10.1088/1742-6596/1171/1/012004")</f>
        <v>http://dx.doi.org/10.1088/1742-6596/1171/1/012004</v>
      </c>
      <c r="BH515" s="1" t="s">
        <v>1507</v>
      </c>
      <c r="BI515" s="1" t="s">
        <v>1507</v>
      </c>
      <c r="BJ515" s="1">
        <v>8</v>
      </c>
      <c r="BK515" s="1" t="s">
        <v>11479</v>
      </c>
      <c r="BL515" s="1" t="s">
        <v>5570</v>
      </c>
      <c r="BM515" s="1" t="s">
        <v>11480</v>
      </c>
      <c r="BN515" s="1" t="s">
        <v>11481</v>
      </c>
      <c r="BO515" s="1" t="s">
        <v>1507</v>
      </c>
      <c r="BP515" s="1" t="s">
        <v>1531</v>
      </c>
      <c r="BQ515" s="1" t="s">
        <v>1507</v>
      </c>
      <c r="BR515" s="1" t="s">
        <v>1507</v>
      </c>
      <c r="BS515" s="1" t="s">
        <v>13744</v>
      </c>
      <c r="BT515" s="1" t="s">
        <v>11482</v>
      </c>
      <c r="BU515" s="1" t="str">
        <f>HYPERLINK("https%3A%2F%2Fwww.webofscience.com%2Fwos%2Fwoscc%2Ffull-record%2FWOS:000471118800004","View Full Record in Web of Science")</f>
        <v>View Full Record in Web of Science</v>
      </c>
    </row>
    <row r="516" spans="1:73" x14ac:dyDescent="0.25">
      <c r="A516" s="1">
        <v>515</v>
      </c>
      <c r="B516" s="1" t="s">
        <v>1506</v>
      </c>
      <c r="C516" s="1" t="s">
        <v>8278</v>
      </c>
      <c r="D516" s="1" t="s">
        <v>1507</v>
      </c>
      <c r="E516" s="1" t="s">
        <v>1507</v>
      </c>
      <c r="F516" s="1" t="s">
        <v>1507</v>
      </c>
      <c r="G516" s="1" t="s">
        <v>8279</v>
      </c>
      <c r="H516" s="1" t="s">
        <v>1507</v>
      </c>
      <c r="I516" s="1" t="s">
        <v>1507</v>
      </c>
      <c r="J516" s="1" t="s">
        <v>8280</v>
      </c>
      <c r="K516" s="1" t="s">
        <v>8281</v>
      </c>
      <c r="L516" s="1" t="s">
        <v>1507</v>
      </c>
      <c r="M516" s="1" t="s">
        <v>1507</v>
      </c>
      <c r="N516" s="1" t="s">
        <v>42</v>
      </c>
      <c r="O516" s="1" t="s">
        <v>56</v>
      </c>
      <c r="P516" s="1" t="s">
        <v>1507</v>
      </c>
      <c r="Q516" s="1" t="s">
        <v>1507</v>
      </c>
      <c r="R516" s="1" t="s">
        <v>1507</v>
      </c>
      <c r="S516" s="1" t="s">
        <v>1507</v>
      </c>
      <c r="T516" s="1" t="s">
        <v>1507</v>
      </c>
      <c r="U516" s="1" t="s">
        <v>8282</v>
      </c>
      <c r="V516" s="1" t="s">
        <v>8283</v>
      </c>
      <c r="W516" s="1" t="s">
        <v>8284</v>
      </c>
      <c r="X516" s="1" t="s">
        <v>8285</v>
      </c>
      <c r="Y516" s="1" t="s">
        <v>8286</v>
      </c>
      <c r="Z516" s="1" t="s">
        <v>8287</v>
      </c>
      <c r="AA516" s="1" t="s">
        <v>8288</v>
      </c>
      <c r="AB516" s="1" t="s">
        <v>1507</v>
      </c>
      <c r="AC516" s="1" t="s">
        <v>8289</v>
      </c>
      <c r="AD516" s="1" t="s">
        <v>8290</v>
      </c>
      <c r="AE516" s="1" t="s">
        <v>8290</v>
      </c>
      <c r="AF516" s="1" t="s">
        <v>8291</v>
      </c>
      <c r="AG516" s="1" t="s">
        <v>1507</v>
      </c>
      <c r="AH516" s="1">
        <v>78</v>
      </c>
      <c r="AI516" s="1">
        <v>10</v>
      </c>
      <c r="AJ516" s="1">
        <v>10</v>
      </c>
      <c r="AK516" s="1">
        <v>2</v>
      </c>
      <c r="AL516" s="1">
        <v>12</v>
      </c>
      <c r="AM516" s="1" t="s">
        <v>1586</v>
      </c>
      <c r="AN516" s="1" t="s">
        <v>1583</v>
      </c>
      <c r="AO516" s="1" t="s">
        <v>3684</v>
      </c>
      <c r="AP516" s="1" t="s">
        <v>8292</v>
      </c>
      <c r="AQ516" s="1" t="s">
        <v>8293</v>
      </c>
      <c r="AR516" s="1" t="s">
        <v>1507</v>
      </c>
      <c r="AS516" s="1" t="s">
        <v>8294</v>
      </c>
      <c r="AT516" s="1" t="s">
        <v>8295</v>
      </c>
      <c r="AU516" s="1" t="s">
        <v>12091</v>
      </c>
      <c r="AV516" s="1">
        <v>2021</v>
      </c>
      <c r="AW516" s="1">
        <v>68</v>
      </c>
      <c r="AX516" s="1">
        <v>8</v>
      </c>
      <c r="AY516" s="1" t="s">
        <v>1507</v>
      </c>
      <c r="AZ516" s="1" t="s">
        <v>1507</v>
      </c>
      <c r="BA516" s="1" t="s">
        <v>1507</v>
      </c>
      <c r="BB516" s="1" t="s">
        <v>1507</v>
      </c>
      <c r="BC516" s="1">
        <v>3342</v>
      </c>
      <c r="BD516" s="1">
        <v>3364</v>
      </c>
      <c r="BE516" s="1" t="s">
        <v>1507</v>
      </c>
      <c r="BF516" s="1" t="s">
        <v>8296</v>
      </c>
      <c r="BG516" s="1" t="str">
        <f>HYPERLINK("http://dx.doi.org/10.1016/j.asr.2021.06.034","http://dx.doi.org/10.1016/j.asr.2021.06.034")</f>
        <v>http://dx.doi.org/10.1016/j.asr.2021.06.034</v>
      </c>
      <c r="BH516" s="1" t="s">
        <v>1507</v>
      </c>
      <c r="BI516" s="1" t="s">
        <v>8271</v>
      </c>
      <c r="BJ516" s="1">
        <v>23</v>
      </c>
      <c r="BK516" s="1" t="s">
        <v>8297</v>
      </c>
      <c r="BL516" s="1" t="s">
        <v>1573</v>
      </c>
      <c r="BM516" s="1" t="s">
        <v>8298</v>
      </c>
      <c r="BN516" s="1" t="s">
        <v>8299</v>
      </c>
      <c r="BO516" s="1" t="s">
        <v>1507</v>
      </c>
      <c r="BP516" s="1" t="s">
        <v>1507</v>
      </c>
      <c r="BQ516" s="1" t="s">
        <v>1507</v>
      </c>
      <c r="BR516" s="1" t="s">
        <v>1507</v>
      </c>
      <c r="BS516" s="1" t="s">
        <v>13744</v>
      </c>
      <c r="BT516" s="1" t="s">
        <v>8300</v>
      </c>
      <c r="BU516" s="1" t="str">
        <f>HYPERLINK("https%3A%2F%2Fwww.webofscience.com%2Fwos%2Fwoscc%2Ffull-record%2FWOS:000688385400005","View Full Record in Web of Science")</f>
        <v>View Full Record in Web of Science</v>
      </c>
    </row>
    <row r="517" spans="1:73" x14ac:dyDescent="0.25">
      <c r="A517" s="1">
        <v>516</v>
      </c>
      <c r="B517" s="1" t="s">
        <v>5546</v>
      </c>
      <c r="C517" s="1" t="s">
        <v>7865</v>
      </c>
      <c r="D517" s="1" t="s">
        <v>1507</v>
      </c>
      <c r="E517" s="1" t="s">
        <v>1507</v>
      </c>
      <c r="F517" s="1" t="s">
        <v>7647</v>
      </c>
      <c r="G517" s="1" t="s">
        <v>7866</v>
      </c>
      <c r="H517" s="1" t="s">
        <v>1507</v>
      </c>
      <c r="I517" s="1" t="s">
        <v>1507</v>
      </c>
      <c r="J517" s="1" t="s">
        <v>7867</v>
      </c>
      <c r="K517" s="1" t="s">
        <v>7650</v>
      </c>
      <c r="L517" s="1" t="s">
        <v>1507</v>
      </c>
      <c r="M517" s="1" t="s">
        <v>1507</v>
      </c>
      <c r="N517" s="1" t="s">
        <v>42</v>
      </c>
      <c r="O517" s="1" t="s">
        <v>5552</v>
      </c>
      <c r="P517" s="1" t="s">
        <v>7651</v>
      </c>
      <c r="Q517" s="1" t="s">
        <v>7652</v>
      </c>
      <c r="R517" s="1" t="s">
        <v>7653</v>
      </c>
      <c r="S517" s="1" t="s">
        <v>7654</v>
      </c>
      <c r="T517" s="1" t="s">
        <v>1507</v>
      </c>
      <c r="U517" s="1" t="s">
        <v>1507</v>
      </c>
      <c r="V517" s="1" t="s">
        <v>1507</v>
      </c>
      <c r="W517" s="1" t="s">
        <v>7868</v>
      </c>
      <c r="X517" s="1" t="s">
        <v>7869</v>
      </c>
      <c r="Y517" s="1" t="s">
        <v>7870</v>
      </c>
      <c r="Z517" s="1" t="s">
        <v>7871</v>
      </c>
      <c r="AA517" s="1" t="s">
        <v>1507</v>
      </c>
      <c r="AB517" s="1" t="s">
        <v>15673</v>
      </c>
      <c r="AC517" s="1" t="s">
        <v>15674</v>
      </c>
      <c r="AD517" s="1" t="s">
        <v>7872</v>
      </c>
      <c r="AE517" s="1" t="s">
        <v>7873</v>
      </c>
      <c r="AF517" s="1" t="s">
        <v>7874</v>
      </c>
      <c r="AG517" s="1" t="s">
        <v>1507</v>
      </c>
      <c r="AH517" s="1">
        <v>19</v>
      </c>
      <c r="AI517" s="1">
        <v>0</v>
      </c>
      <c r="AJ517" s="1">
        <v>0</v>
      </c>
      <c r="AK517" s="1">
        <v>0</v>
      </c>
      <c r="AL517" s="1">
        <v>0</v>
      </c>
      <c r="AM517" s="1" t="s">
        <v>7663</v>
      </c>
      <c r="AN517" s="1" t="s">
        <v>7664</v>
      </c>
      <c r="AO517" s="1" t="s">
        <v>7665</v>
      </c>
      <c r="AP517" s="1" t="s">
        <v>1507</v>
      </c>
      <c r="AQ517" s="1" t="s">
        <v>1507</v>
      </c>
      <c r="AR517" s="1" t="s">
        <v>7666</v>
      </c>
      <c r="AS517" s="1" t="s">
        <v>1507</v>
      </c>
      <c r="AT517" s="1" t="s">
        <v>1507</v>
      </c>
      <c r="AU517" s="1" t="s">
        <v>1507</v>
      </c>
      <c r="AV517" s="1">
        <v>2022</v>
      </c>
      <c r="AW517" s="1" t="s">
        <v>1507</v>
      </c>
      <c r="AX517" s="1" t="s">
        <v>1507</v>
      </c>
      <c r="AY517" s="1" t="s">
        <v>1507</v>
      </c>
      <c r="AZ517" s="1" t="s">
        <v>1507</v>
      </c>
      <c r="BA517" s="1" t="s">
        <v>1507</v>
      </c>
      <c r="BB517" s="1" t="s">
        <v>1507</v>
      </c>
      <c r="BC517" s="1">
        <v>119</v>
      </c>
      <c r="BD517" s="1">
        <v>128</v>
      </c>
      <c r="BE517" s="1" t="s">
        <v>1507</v>
      </c>
      <c r="BF517" s="1" t="s">
        <v>1507</v>
      </c>
      <c r="BG517" s="1" t="s">
        <v>1507</v>
      </c>
      <c r="BH517" s="1" t="s">
        <v>1507</v>
      </c>
      <c r="BI517" s="1" t="s">
        <v>1507</v>
      </c>
      <c r="BJ517" s="1">
        <v>10</v>
      </c>
      <c r="BK517" s="1" t="s">
        <v>7667</v>
      </c>
      <c r="BL517" s="1" t="s">
        <v>5695</v>
      </c>
      <c r="BM517" s="1" t="s">
        <v>7668</v>
      </c>
      <c r="BN517" s="1" t="s">
        <v>7669</v>
      </c>
      <c r="BO517" s="1" t="s">
        <v>1507</v>
      </c>
      <c r="BP517" s="1" t="s">
        <v>1507</v>
      </c>
      <c r="BQ517" s="1" t="s">
        <v>1507</v>
      </c>
      <c r="BR517" s="1" t="s">
        <v>1507</v>
      </c>
      <c r="BS517" s="1" t="s">
        <v>13744</v>
      </c>
      <c r="BT517" s="1" t="s">
        <v>7875</v>
      </c>
      <c r="BU517" s="1" t="str">
        <f>HYPERLINK("https%3A%2F%2Fwww.webofscience.com%2Fwos%2Fwoscc%2Ffull-record%2FWOS:000846896600016","View Full Record in Web of Science")</f>
        <v>View Full Record in Web of Science</v>
      </c>
    </row>
    <row r="518" spans="1:73" x14ac:dyDescent="0.25">
      <c r="A518" s="1">
        <v>517</v>
      </c>
      <c r="B518" s="1" t="s">
        <v>1506</v>
      </c>
      <c r="C518" s="1" t="s">
        <v>11773</v>
      </c>
      <c r="D518" s="1" t="s">
        <v>1507</v>
      </c>
      <c r="E518" s="1" t="s">
        <v>1507</v>
      </c>
      <c r="F518" s="1" t="s">
        <v>1507</v>
      </c>
      <c r="G518" s="1" t="s">
        <v>11774</v>
      </c>
      <c r="H518" s="1" t="s">
        <v>1507</v>
      </c>
      <c r="I518" s="1" t="s">
        <v>1507</v>
      </c>
      <c r="J518" s="1" t="s">
        <v>11775</v>
      </c>
      <c r="K518" s="1" t="s">
        <v>11776</v>
      </c>
      <c r="L518" s="1" t="s">
        <v>1507</v>
      </c>
      <c r="M518" s="1" t="s">
        <v>1507</v>
      </c>
      <c r="N518" s="1" t="s">
        <v>42</v>
      </c>
      <c r="O518" s="1" t="s">
        <v>56</v>
      </c>
      <c r="P518" s="1" t="s">
        <v>1507</v>
      </c>
      <c r="Q518" s="1" t="s">
        <v>1507</v>
      </c>
      <c r="R518" s="1" t="s">
        <v>1507</v>
      </c>
      <c r="S518" s="1" t="s">
        <v>1507</v>
      </c>
      <c r="T518" s="1" t="s">
        <v>1507</v>
      </c>
      <c r="U518" s="1" t="s">
        <v>1507</v>
      </c>
      <c r="V518" s="1" t="s">
        <v>11777</v>
      </c>
      <c r="W518" s="1" t="s">
        <v>11778</v>
      </c>
      <c r="X518" s="1" t="s">
        <v>11779</v>
      </c>
      <c r="Y518" s="1" t="s">
        <v>16008</v>
      </c>
      <c r="Z518" s="1" t="s">
        <v>11780</v>
      </c>
      <c r="AA518" s="1" t="s">
        <v>11781</v>
      </c>
      <c r="AB518" s="1" t="s">
        <v>16009</v>
      </c>
      <c r="AC518" s="1" t="s">
        <v>16010</v>
      </c>
      <c r="AD518" s="1" t="s">
        <v>11782</v>
      </c>
      <c r="AE518" s="1" t="s">
        <v>11783</v>
      </c>
      <c r="AF518" s="1" t="s">
        <v>11784</v>
      </c>
      <c r="AG518" s="1" t="s">
        <v>1507</v>
      </c>
      <c r="AH518" s="1">
        <v>61</v>
      </c>
      <c r="AI518" s="1">
        <v>8</v>
      </c>
      <c r="AJ518" s="1">
        <v>8</v>
      </c>
      <c r="AK518" s="1">
        <v>1</v>
      </c>
      <c r="AL518" s="1">
        <v>22</v>
      </c>
      <c r="AM518" s="1" t="s">
        <v>11785</v>
      </c>
      <c r="AN518" s="1" t="s">
        <v>11786</v>
      </c>
      <c r="AO518" s="1" t="s">
        <v>11787</v>
      </c>
      <c r="AP518" s="1" t="s">
        <v>11788</v>
      </c>
      <c r="AQ518" s="1" t="s">
        <v>11789</v>
      </c>
      <c r="AR518" s="1" t="s">
        <v>1507</v>
      </c>
      <c r="AS518" s="1" t="s">
        <v>11790</v>
      </c>
      <c r="AT518" s="1" t="s">
        <v>11791</v>
      </c>
      <c r="AU518" s="1" t="s">
        <v>5045</v>
      </c>
      <c r="AV518" s="1">
        <v>2018</v>
      </c>
      <c r="AW518" s="1">
        <v>62</v>
      </c>
      <c r="AX518" s="1">
        <v>3</v>
      </c>
      <c r="AY518" s="1" t="s">
        <v>1507</v>
      </c>
      <c r="AZ518" s="1" t="s">
        <v>1507</v>
      </c>
      <c r="BA518" s="1" t="s">
        <v>1507</v>
      </c>
      <c r="BB518" s="1" t="s">
        <v>1507</v>
      </c>
      <c r="BC518" s="1">
        <v>739</v>
      </c>
      <c r="BD518" s="1">
        <v>752</v>
      </c>
      <c r="BE518" s="1" t="s">
        <v>1507</v>
      </c>
      <c r="BF518" s="1" t="s">
        <v>11792</v>
      </c>
      <c r="BG518" s="1" t="str">
        <f>HYPERLINK("http://dx.doi.org/10.1122/1.5017674","http://dx.doi.org/10.1122/1.5017674")</f>
        <v>http://dx.doi.org/10.1122/1.5017674</v>
      </c>
      <c r="BH518" s="1" t="s">
        <v>1507</v>
      </c>
      <c r="BI518" s="1" t="s">
        <v>1507</v>
      </c>
      <c r="BJ518" s="1">
        <v>14</v>
      </c>
      <c r="BK518" s="1" t="s">
        <v>1572</v>
      </c>
      <c r="BL518" s="1" t="s">
        <v>1573</v>
      </c>
      <c r="BM518" s="1" t="s">
        <v>1572</v>
      </c>
      <c r="BN518" s="1" t="s">
        <v>11793</v>
      </c>
      <c r="BO518" s="1" t="s">
        <v>1507</v>
      </c>
      <c r="BP518" s="1" t="s">
        <v>1507</v>
      </c>
      <c r="BQ518" s="1" t="s">
        <v>1507</v>
      </c>
      <c r="BR518" s="1" t="s">
        <v>1507</v>
      </c>
      <c r="BS518" s="1" t="s">
        <v>13744</v>
      </c>
      <c r="BT518" s="1" t="s">
        <v>11794</v>
      </c>
      <c r="BU518" s="1" t="str">
        <f>HYPERLINK("https%3A%2F%2Fwww.webofscience.com%2Fwos%2Fwoscc%2Ffull-record%2FWOS:000431351700006","View Full Record in Web of Science")</f>
        <v>View Full Record in Web of Science</v>
      </c>
    </row>
    <row r="519" spans="1:73" x14ac:dyDescent="0.25">
      <c r="A519" s="1">
        <v>518</v>
      </c>
      <c r="B519" s="1" t="s">
        <v>1506</v>
      </c>
      <c r="C519" s="1" t="s">
        <v>10164</v>
      </c>
      <c r="D519" s="1" t="s">
        <v>1507</v>
      </c>
      <c r="E519" s="1" t="s">
        <v>1507</v>
      </c>
      <c r="F519" s="1" t="s">
        <v>1507</v>
      </c>
      <c r="G519" s="1" t="s">
        <v>10165</v>
      </c>
      <c r="H519" s="1" t="s">
        <v>1507</v>
      </c>
      <c r="I519" s="1" t="s">
        <v>1507</v>
      </c>
      <c r="J519" s="1" t="s">
        <v>10166</v>
      </c>
      <c r="K519" s="1" t="s">
        <v>10167</v>
      </c>
      <c r="L519" s="1" t="s">
        <v>1507</v>
      </c>
      <c r="M519" s="1" t="s">
        <v>1507</v>
      </c>
      <c r="N519" s="1" t="s">
        <v>42</v>
      </c>
      <c r="O519" s="1" t="s">
        <v>56</v>
      </c>
      <c r="P519" s="1" t="s">
        <v>1507</v>
      </c>
      <c r="Q519" s="1" t="s">
        <v>1507</v>
      </c>
      <c r="R519" s="1" t="s">
        <v>1507</v>
      </c>
      <c r="S519" s="1" t="s">
        <v>1507</v>
      </c>
      <c r="T519" s="1" t="s">
        <v>1507</v>
      </c>
      <c r="U519" s="1" t="s">
        <v>1507</v>
      </c>
      <c r="V519" s="1" t="s">
        <v>10168</v>
      </c>
      <c r="W519" s="1" t="s">
        <v>10169</v>
      </c>
      <c r="X519" s="1" t="s">
        <v>10170</v>
      </c>
      <c r="Y519" s="1" t="s">
        <v>10171</v>
      </c>
      <c r="Z519" s="1" t="s">
        <v>10172</v>
      </c>
      <c r="AA519" s="1" t="s">
        <v>10173</v>
      </c>
      <c r="AB519" s="1" t="s">
        <v>10174</v>
      </c>
      <c r="AC519" s="1" t="s">
        <v>10175</v>
      </c>
      <c r="AD519" s="1" t="s">
        <v>1507</v>
      </c>
      <c r="AE519" s="1" t="s">
        <v>1507</v>
      </c>
      <c r="AF519" s="1" t="s">
        <v>1507</v>
      </c>
      <c r="AG519" s="1" t="s">
        <v>1507</v>
      </c>
      <c r="AH519" s="1">
        <v>33</v>
      </c>
      <c r="AI519" s="1">
        <v>7</v>
      </c>
      <c r="AJ519" s="1">
        <v>7</v>
      </c>
      <c r="AK519" s="1">
        <v>0</v>
      </c>
      <c r="AL519" s="1">
        <v>8</v>
      </c>
      <c r="AM519" s="1" t="s">
        <v>3156</v>
      </c>
      <c r="AN519" s="1" t="s">
        <v>3157</v>
      </c>
      <c r="AO519" s="1" t="s">
        <v>3158</v>
      </c>
      <c r="AP519" s="1" t="s">
        <v>10176</v>
      </c>
      <c r="AQ519" s="1" t="s">
        <v>10177</v>
      </c>
      <c r="AR519" s="1" t="s">
        <v>1507</v>
      </c>
      <c r="AS519" s="1" t="s">
        <v>10178</v>
      </c>
      <c r="AT519" s="1" t="s">
        <v>10179</v>
      </c>
      <c r="AU519" s="1" t="s">
        <v>9054</v>
      </c>
      <c r="AV519" s="1">
        <v>2020</v>
      </c>
      <c r="AW519" s="1">
        <v>46</v>
      </c>
      <c r="AX519" s="1">
        <v>2</v>
      </c>
      <c r="AY519" s="1" t="s">
        <v>1507</v>
      </c>
      <c r="AZ519" s="1" t="s">
        <v>1507</v>
      </c>
      <c r="BA519" s="1" t="s">
        <v>1507</v>
      </c>
      <c r="BB519" s="1" t="s">
        <v>1507</v>
      </c>
      <c r="BC519" s="1">
        <v>64</v>
      </c>
      <c r="BD519" s="1">
        <v>71</v>
      </c>
      <c r="BE519" s="1" t="s">
        <v>1507</v>
      </c>
      <c r="BF519" s="1" t="s">
        <v>10180</v>
      </c>
      <c r="BG519" s="1" t="str">
        <f>HYPERLINK("http://dx.doi.org/10.1016/j.jcjq.2019.11.004","http://dx.doi.org/10.1016/j.jcjq.2019.11.004")</f>
        <v>http://dx.doi.org/10.1016/j.jcjq.2019.11.004</v>
      </c>
      <c r="BH519" s="1" t="s">
        <v>1507</v>
      </c>
      <c r="BI519" s="1" t="s">
        <v>1507</v>
      </c>
      <c r="BJ519" s="1">
        <v>8</v>
      </c>
      <c r="BK519" s="1" t="s">
        <v>10181</v>
      </c>
      <c r="BL519" s="1" t="s">
        <v>1529</v>
      </c>
      <c r="BM519" s="1" t="s">
        <v>10181</v>
      </c>
      <c r="BN519" s="1" t="s">
        <v>10182</v>
      </c>
      <c r="BO519" s="1">
        <v>31899153</v>
      </c>
      <c r="BP519" s="1" t="s">
        <v>1507</v>
      </c>
      <c r="BQ519" s="1" t="s">
        <v>1507</v>
      </c>
      <c r="BR519" s="1" t="s">
        <v>1507</v>
      </c>
      <c r="BS519" s="1" t="s">
        <v>13744</v>
      </c>
      <c r="BT519" s="1" t="s">
        <v>10183</v>
      </c>
      <c r="BU519" s="1" t="str">
        <f>HYPERLINK("https%3A%2F%2Fwww.webofscience.com%2Fwos%2Fwoscc%2Ffull-record%2FWOS:000509577100002","View Full Record in Web of Science")</f>
        <v>View Full Record in Web of Science</v>
      </c>
    </row>
    <row r="520" spans="1:73" x14ac:dyDescent="0.25">
      <c r="A520" s="1">
        <v>519</v>
      </c>
      <c r="B520" s="1" t="s">
        <v>1506</v>
      </c>
      <c r="C520" s="1" t="s">
        <v>11795</v>
      </c>
      <c r="D520" s="1" t="s">
        <v>1507</v>
      </c>
      <c r="E520" s="1" t="s">
        <v>1507</v>
      </c>
      <c r="F520" s="1" t="s">
        <v>1507</v>
      </c>
      <c r="G520" s="1" t="s">
        <v>11796</v>
      </c>
      <c r="H520" s="1" t="s">
        <v>1507</v>
      </c>
      <c r="I520" s="1" t="s">
        <v>1507</v>
      </c>
      <c r="J520" s="1" t="s">
        <v>11797</v>
      </c>
      <c r="K520" s="1" t="s">
        <v>11798</v>
      </c>
      <c r="L520" s="1" t="s">
        <v>1507</v>
      </c>
      <c r="M520" s="1" t="s">
        <v>1507</v>
      </c>
      <c r="N520" s="1" t="s">
        <v>42</v>
      </c>
      <c r="O520" s="1" t="s">
        <v>56</v>
      </c>
      <c r="P520" s="1" t="s">
        <v>1507</v>
      </c>
      <c r="Q520" s="1" t="s">
        <v>1507</v>
      </c>
      <c r="R520" s="1" t="s">
        <v>1507</v>
      </c>
      <c r="S520" s="1" t="s">
        <v>1507</v>
      </c>
      <c r="T520" s="1" t="s">
        <v>1507</v>
      </c>
      <c r="U520" s="1" t="s">
        <v>11799</v>
      </c>
      <c r="V520" s="1" t="s">
        <v>11800</v>
      </c>
      <c r="W520" s="1" t="s">
        <v>11801</v>
      </c>
      <c r="X520" s="1" t="s">
        <v>11802</v>
      </c>
      <c r="Y520" s="1" t="s">
        <v>16011</v>
      </c>
      <c r="Z520" s="1" t="s">
        <v>11803</v>
      </c>
      <c r="AA520" s="1" t="s">
        <v>11804</v>
      </c>
      <c r="AB520" s="1" t="s">
        <v>16012</v>
      </c>
      <c r="AC520" s="1" t="s">
        <v>16013</v>
      </c>
      <c r="AD520" s="1" t="s">
        <v>11805</v>
      </c>
      <c r="AE520" s="1" t="s">
        <v>11806</v>
      </c>
      <c r="AF520" s="1" t="s">
        <v>11807</v>
      </c>
      <c r="AG520" s="1" t="s">
        <v>1507</v>
      </c>
      <c r="AH520" s="1">
        <v>36</v>
      </c>
      <c r="AI520" s="1">
        <v>17</v>
      </c>
      <c r="AJ520" s="1">
        <v>17</v>
      </c>
      <c r="AK520" s="1">
        <v>0</v>
      </c>
      <c r="AL520" s="1">
        <v>6</v>
      </c>
      <c r="AM520" s="1" t="s">
        <v>4284</v>
      </c>
      <c r="AN520" s="1" t="s">
        <v>4285</v>
      </c>
      <c r="AO520" s="1" t="s">
        <v>4286</v>
      </c>
      <c r="AP520" s="1" t="s">
        <v>11808</v>
      </c>
      <c r="AQ520" s="1" t="s">
        <v>11809</v>
      </c>
      <c r="AR520" s="1" t="s">
        <v>1507</v>
      </c>
      <c r="AS520" s="1" t="s">
        <v>11810</v>
      </c>
      <c r="AT520" s="1" t="s">
        <v>11811</v>
      </c>
      <c r="AU520" s="1" t="s">
        <v>5284</v>
      </c>
      <c r="AV520" s="1">
        <v>2018</v>
      </c>
      <c r="AW520" s="1">
        <v>66</v>
      </c>
      <c r="AX520" s="1">
        <v>6</v>
      </c>
      <c r="AY520" s="1" t="s">
        <v>1507</v>
      </c>
      <c r="AZ520" s="1" t="s">
        <v>1507</v>
      </c>
      <c r="BA520" s="1" t="s">
        <v>1507</v>
      </c>
      <c r="BB520" s="1" t="s">
        <v>1507</v>
      </c>
      <c r="BC520" s="1">
        <v>904</v>
      </c>
      <c r="BD520" s="1">
        <v>912</v>
      </c>
      <c r="BE520" s="1" t="s">
        <v>1507</v>
      </c>
      <c r="BF520" s="1" t="s">
        <v>11812</v>
      </c>
      <c r="BG520" s="1" t="str">
        <f>HYPERLINK("http://dx.doi.org/10.1093/cid/cix900","http://dx.doi.org/10.1093/cid/cix900")</f>
        <v>http://dx.doi.org/10.1093/cid/cix900</v>
      </c>
      <c r="BH520" s="1" t="s">
        <v>1507</v>
      </c>
      <c r="BI520" s="1" t="s">
        <v>1507</v>
      </c>
      <c r="BJ520" s="1">
        <v>9</v>
      </c>
      <c r="BK520" s="1" t="s">
        <v>11813</v>
      </c>
      <c r="BL520" s="1" t="s">
        <v>1573</v>
      </c>
      <c r="BM520" s="1" t="s">
        <v>11813</v>
      </c>
      <c r="BN520" s="1" t="s">
        <v>11814</v>
      </c>
      <c r="BO520" s="1">
        <v>29069368</v>
      </c>
      <c r="BP520" s="1" t="s">
        <v>3572</v>
      </c>
      <c r="BQ520" s="1" t="s">
        <v>1507</v>
      </c>
      <c r="BR520" s="1" t="s">
        <v>1507</v>
      </c>
      <c r="BS520" s="1" t="s">
        <v>13744</v>
      </c>
      <c r="BT520" s="1" t="s">
        <v>11815</v>
      </c>
      <c r="BU520" s="1" t="str">
        <f>HYPERLINK("https%3A%2F%2Fwww.webofscience.com%2Fwos%2Fwoscc%2Ffull-record%2FWOS:000426819800012","View Full Record in Web of Science")</f>
        <v>View Full Record in Web of Science</v>
      </c>
    </row>
    <row r="521" spans="1:73" x14ac:dyDescent="0.25">
      <c r="A521" s="1">
        <v>520</v>
      </c>
      <c r="B521" s="1" t="s">
        <v>5546</v>
      </c>
      <c r="C521" s="1" t="s">
        <v>6426</v>
      </c>
      <c r="D521" s="1" t="s">
        <v>1507</v>
      </c>
      <c r="E521" s="1" t="s">
        <v>6427</v>
      </c>
      <c r="F521" s="1" t="s">
        <v>1507</v>
      </c>
      <c r="G521" s="1" t="s">
        <v>6428</v>
      </c>
      <c r="H521" s="1" t="s">
        <v>1507</v>
      </c>
      <c r="I521" s="1" t="s">
        <v>1507</v>
      </c>
      <c r="J521" s="1" t="s">
        <v>6429</v>
      </c>
      <c r="K521" s="1" t="s">
        <v>6430</v>
      </c>
      <c r="L521" s="1" t="s">
        <v>6368</v>
      </c>
      <c r="M521" s="1" t="s">
        <v>1507</v>
      </c>
      <c r="N521" s="1" t="s">
        <v>42</v>
      </c>
      <c r="O521" s="1" t="s">
        <v>5552</v>
      </c>
      <c r="P521" s="1" t="s">
        <v>6431</v>
      </c>
      <c r="Q521" s="1" t="s">
        <v>6432</v>
      </c>
      <c r="R521" s="1" t="s">
        <v>6433</v>
      </c>
      <c r="S521" s="1" t="s">
        <v>6434</v>
      </c>
      <c r="T521" s="1" t="s">
        <v>6435</v>
      </c>
      <c r="U521" s="1" t="s">
        <v>1507</v>
      </c>
      <c r="V521" s="1" t="s">
        <v>1507</v>
      </c>
      <c r="W521" s="1" t="s">
        <v>6436</v>
      </c>
      <c r="X521" s="1" t="s">
        <v>6437</v>
      </c>
      <c r="Y521" s="1" t="s">
        <v>6438</v>
      </c>
      <c r="Z521" s="1" t="s">
        <v>6439</v>
      </c>
      <c r="AA521" s="1" t="s">
        <v>6440</v>
      </c>
      <c r="AB521" s="1" t="s">
        <v>1507</v>
      </c>
      <c r="AC521" s="1" t="s">
        <v>15369</v>
      </c>
      <c r="AD521" s="1" t="s">
        <v>1507</v>
      </c>
      <c r="AE521" s="1" t="s">
        <v>1507</v>
      </c>
      <c r="AF521" s="1" t="s">
        <v>1507</v>
      </c>
      <c r="AG521" s="1" t="s">
        <v>1507</v>
      </c>
      <c r="AH521" s="1">
        <v>34</v>
      </c>
      <c r="AI521" s="1">
        <v>0</v>
      </c>
      <c r="AJ521" s="1">
        <v>0</v>
      </c>
      <c r="AK521" s="1">
        <v>0</v>
      </c>
      <c r="AL521" s="1">
        <v>0</v>
      </c>
      <c r="AM521" s="1" t="s">
        <v>6221</v>
      </c>
      <c r="AN521" s="1" t="s">
        <v>6222</v>
      </c>
      <c r="AO521" s="1" t="s">
        <v>6223</v>
      </c>
      <c r="AP521" s="1" t="s">
        <v>6378</v>
      </c>
      <c r="AQ521" s="1" t="s">
        <v>6225</v>
      </c>
      <c r="AR521" s="1" t="s">
        <v>6441</v>
      </c>
      <c r="AS521" s="1" t="s">
        <v>6380</v>
      </c>
      <c r="AT521" s="1" t="s">
        <v>1507</v>
      </c>
      <c r="AU521" s="1" t="s">
        <v>1507</v>
      </c>
      <c r="AV521" s="1">
        <v>2023</v>
      </c>
      <c r="AW521" s="1">
        <v>14132</v>
      </c>
      <c r="AX521" s="1" t="s">
        <v>1507</v>
      </c>
      <c r="AY521" s="1" t="s">
        <v>1507</v>
      </c>
      <c r="AZ521" s="1" t="s">
        <v>1507</v>
      </c>
      <c r="BA521" s="1" t="s">
        <v>1507</v>
      </c>
      <c r="BB521" s="1" t="s">
        <v>1507</v>
      </c>
      <c r="BC521" s="1">
        <v>509</v>
      </c>
      <c r="BD521" s="1">
        <v>521</v>
      </c>
      <c r="BE521" s="1" t="s">
        <v>1507</v>
      </c>
      <c r="BF521" s="1" t="s">
        <v>6442</v>
      </c>
      <c r="BG521" s="1" t="str">
        <f>HYPERLINK("http://dx.doi.org/10.1007/978-3-031-38499-8_29","http://dx.doi.org/10.1007/978-3-031-38499-8_29")</f>
        <v>http://dx.doi.org/10.1007/978-3-031-38499-8_29</v>
      </c>
      <c r="BH521" s="1" t="s">
        <v>1507</v>
      </c>
      <c r="BI521" s="1" t="s">
        <v>1507</v>
      </c>
      <c r="BJ521" s="1">
        <v>13</v>
      </c>
      <c r="BK521" s="1" t="s">
        <v>6443</v>
      </c>
      <c r="BL521" s="1" t="s">
        <v>5570</v>
      </c>
      <c r="BM521" s="1" t="s">
        <v>3292</v>
      </c>
      <c r="BN521" s="1" t="s">
        <v>6444</v>
      </c>
      <c r="BO521" s="1" t="s">
        <v>1507</v>
      </c>
      <c r="BP521" s="1" t="s">
        <v>1537</v>
      </c>
      <c r="BQ521" s="1" t="s">
        <v>1507</v>
      </c>
      <c r="BR521" s="1" t="s">
        <v>1507</v>
      </c>
      <c r="BS521" s="1" t="s">
        <v>13744</v>
      </c>
      <c r="BT521" s="1" t="s">
        <v>6445</v>
      </c>
      <c r="BU521" s="1" t="str">
        <f>HYPERLINK("https%3A%2F%2Fwww.webofscience.com%2Fwos%2Fwoscc%2Ffull-record%2FWOS:001156342400027","View Full Record in Web of Science")</f>
        <v>View Full Record in Web of Science</v>
      </c>
    </row>
    <row r="522" spans="1:73" x14ac:dyDescent="0.25">
      <c r="A522" s="1">
        <v>521</v>
      </c>
      <c r="B522" s="1" t="s">
        <v>5546</v>
      </c>
      <c r="C522" s="1" t="s">
        <v>6446</v>
      </c>
      <c r="D522" s="1" t="s">
        <v>1507</v>
      </c>
      <c r="E522" s="1" t="s">
        <v>1507</v>
      </c>
      <c r="F522" s="1" t="s">
        <v>5628</v>
      </c>
      <c r="G522" s="1" t="s">
        <v>6447</v>
      </c>
      <c r="H522" s="1" t="s">
        <v>1507</v>
      </c>
      <c r="I522" s="1" t="s">
        <v>1507</v>
      </c>
      <c r="J522" s="1" t="s">
        <v>81</v>
      </c>
      <c r="K522" s="1" t="s">
        <v>6448</v>
      </c>
      <c r="L522" s="1" t="s">
        <v>6449</v>
      </c>
      <c r="M522" s="1" t="s">
        <v>1507</v>
      </c>
      <c r="N522" s="1" t="s">
        <v>42</v>
      </c>
      <c r="O522" s="1" t="s">
        <v>5552</v>
      </c>
      <c r="P522" s="1" t="s">
        <v>6450</v>
      </c>
      <c r="Q522" s="1" t="s">
        <v>6451</v>
      </c>
      <c r="R522" s="1" t="s">
        <v>5579</v>
      </c>
      <c r="S522" s="1" t="s">
        <v>6452</v>
      </c>
      <c r="T522" s="1" t="s">
        <v>1507</v>
      </c>
      <c r="U522" s="1" t="s">
        <v>1507</v>
      </c>
      <c r="V522" s="1" t="s">
        <v>1507</v>
      </c>
      <c r="W522" s="1" t="s">
        <v>6453</v>
      </c>
      <c r="X522" s="1" t="s">
        <v>6454</v>
      </c>
      <c r="Y522" s="1" t="s">
        <v>1507</v>
      </c>
      <c r="Z522" s="1" t="s">
        <v>6455</v>
      </c>
      <c r="AA522" s="1" t="s">
        <v>6456</v>
      </c>
      <c r="AB522" s="1" t="s">
        <v>15370</v>
      </c>
      <c r="AC522" s="1" t="s">
        <v>15371</v>
      </c>
      <c r="AD522" s="1" t="s">
        <v>1507</v>
      </c>
      <c r="AE522" s="1" t="s">
        <v>1507</v>
      </c>
      <c r="AF522" s="1" t="s">
        <v>1507</v>
      </c>
      <c r="AG522" s="1" t="s">
        <v>1507</v>
      </c>
      <c r="AH522" s="1">
        <v>22</v>
      </c>
      <c r="AI522" s="1">
        <v>0</v>
      </c>
      <c r="AJ522" s="1">
        <v>0</v>
      </c>
      <c r="AK522" s="1">
        <v>6</v>
      </c>
      <c r="AL522" s="1">
        <v>6</v>
      </c>
      <c r="AM522" s="1" t="s">
        <v>5628</v>
      </c>
      <c r="AN522" s="1" t="s">
        <v>1512</v>
      </c>
      <c r="AO522" s="1" t="s">
        <v>6457</v>
      </c>
      <c r="AP522" s="1" t="s">
        <v>6458</v>
      </c>
      <c r="AQ522" s="1" t="s">
        <v>1507</v>
      </c>
      <c r="AR522" s="1" t="s">
        <v>6459</v>
      </c>
      <c r="AS522" s="1" t="s">
        <v>6460</v>
      </c>
      <c r="AT522" s="1" t="s">
        <v>1507</v>
      </c>
      <c r="AU522" s="1" t="s">
        <v>1507</v>
      </c>
      <c r="AV522" s="1">
        <v>2023</v>
      </c>
      <c r="AW522" s="1" t="s">
        <v>1507</v>
      </c>
      <c r="AX522" s="1" t="s">
        <v>1507</v>
      </c>
      <c r="AY522" s="1" t="s">
        <v>1507</v>
      </c>
      <c r="AZ522" s="1" t="s">
        <v>1507</v>
      </c>
      <c r="BA522" s="1" t="s">
        <v>1507</v>
      </c>
      <c r="BB522" s="1" t="s">
        <v>1507</v>
      </c>
      <c r="BC522" s="1">
        <v>1357</v>
      </c>
      <c r="BD522" s="1">
        <v>1364</v>
      </c>
      <c r="BE522" s="1" t="s">
        <v>1507</v>
      </c>
      <c r="BF522" s="1" t="s">
        <v>83</v>
      </c>
      <c r="BG522" s="1" t="str">
        <f>HYPERLINK("http://dx.doi.org/10.1109/APSIPAASC58517.2023.10317226","http://dx.doi.org/10.1109/APSIPAASC58517.2023.10317226")</f>
        <v>http://dx.doi.org/10.1109/APSIPAASC58517.2023.10317226</v>
      </c>
      <c r="BH522" s="1" t="s">
        <v>1507</v>
      </c>
      <c r="BI522" s="1" t="s">
        <v>1507</v>
      </c>
      <c r="BJ522" s="1">
        <v>8</v>
      </c>
      <c r="BK522" s="1" t="s">
        <v>2230</v>
      </c>
      <c r="BL522" s="1" t="s">
        <v>5570</v>
      </c>
      <c r="BM522" s="1" t="s">
        <v>1577</v>
      </c>
      <c r="BN522" s="1" t="s">
        <v>6461</v>
      </c>
      <c r="BO522" s="1" t="s">
        <v>1507</v>
      </c>
      <c r="BP522" s="1" t="s">
        <v>1507</v>
      </c>
      <c r="BQ522" s="1" t="s">
        <v>1507</v>
      </c>
      <c r="BR522" s="1" t="s">
        <v>1507</v>
      </c>
      <c r="BS522" s="1" t="s">
        <v>13744</v>
      </c>
      <c r="BT522" s="1" t="s">
        <v>6462</v>
      </c>
      <c r="BU522" s="1" t="str">
        <f>HYPERLINK("https%3A%2F%2Fwww.webofscience.com%2Fwos%2Fwoscc%2Ffull-record%2FWOS:001108741800213","View Full Record in Web of Science")</f>
        <v>View Full Record in Web of Science</v>
      </c>
    </row>
    <row r="523" spans="1:73" x14ac:dyDescent="0.25">
      <c r="A523" s="1">
        <v>522</v>
      </c>
      <c r="B523" s="1" t="s">
        <v>1506</v>
      </c>
      <c r="C523" s="1" t="s">
        <v>3019</v>
      </c>
      <c r="D523" s="1" t="s">
        <v>1507</v>
      </c>
      <c r="E523" s="1" t="s">
        <v>1507</v>
      </c>
      <c r="F523" s="1" t="s">
        <v>1507</v>
      </c>
      <c r="G523" s="1" t="s">
        <v>3020</v>
      </c>
      <c r="H523" s="1" t="s">
        <v>1507</v>
      </c>
      <c r="I523" s="1" t="s">
        <v>1507</v>
      </c>
      <c r="J523" s="1" t="s">
        <v>3021</v>
      </c>
      <c r="K523" s="1" t="s">
        <v>3022</v>
      </c>
      <c r="L523" s="1" t="s">
        <v>1507</v>
      </c>
      <c r="M523" s="1" t="s">
        <v>1507</v>
      </c>
      <c r="N523" s="1" t="s">
        <v>42</v>
      </c>
      <c r="O523" s="1" t="s">
        <v>56</v>
      </c>
      <c r="P523" s="1" t="s">
        <v>1507</v>
      </c>
      <c r="Q523" s="1" t="s">
        <v>1507</v>
      </c>
      <c r="R523" s="1" t="s">
        <v>1507</v>
      </c>
      <c r="S523" s="1" t="s">
        <v>1507</v>
      </c>
      <c r="T523" s="1" t="s">
        <v>1507</v>
      </c>
      <c r="U523" s="1" t="s">
        <v>1507</v>
      </c>
      <c r="V523" s="1" t="s">
        <v>1507</v>
      </c>
      <c r="W523" s="1" t="s">
        <v>3023</v>
      </c>
      <c r="X523" s="1" t="s">
        <v>3024</v>
      </c>
      <c r="Y523" s="1" t="s">
        <v>14246</v>
      </c>
      <c r="Z523" s="1" t="s">
        <v>3025</v>
      </c>
      <c r="AA523" s="1" t="s">
        <v>3026</v>
      </c>
      <c r="AB523" s="1" t="s">
        <v>14247</v>
      </c>
      <c r="AC523" s="1" t="s">
        <v>14248</v>
      </c>
      <c r="AD523" s="1" t="s">
        <v>3027</v>
      </c>
      <c r="AE523" s="1" t="s">
        <v>3028</v>
      </c>
      <c r="AF523" s="1" t="s">
        <v>3029</v>
      </c>
      <c r="AG523" s="1" t="s">
        <v>1507</v>
      </c>
      <c r="AH523" s="1">
        <v>85</v>
      </c>
      <c r="AI523" s="1">
        <v>5</v>
      </c>
      <c r="AJ523" s="1">
        <v>5</v>
      </c>
      <c r="AK523" s="1">
        <v>32</v>
      </c>
      <c r="AL523" s="1">
        <v>32</v>
      </c>
      <c r="AM523" s="1" t="s">
        <v>1579</v>
      </c>
      <c r="AN523" s="1" t="s">
        <v>1580</v>
      </c>
      <c r="AO523" s="1" t="s">
        <v>1581</v>
      </c>
      <c r="AP523" s="1" t="s">
        <v>3030</v>
      </c>
      <c r="AQ523" s="1" t="s">
        <v>1507</v>
      </c>
      <c r="AR523" s="1" t="s">
        <v>1507</v>
      </c>
      <c r="AS523" s="1" t="s">
        <v>3031</v>
      </c>
      <c r="AT523" s="1" t="s">
        <v>3032</v>
      </c>
      <c r="AU523" s="1" t="s">
        <v>2191</v>
      </c>
      <c r="AV523" s="1">
        <v>2023</v>
      </c>
      <c r="AW523" s="1">
        <v>3</v>
      </c>
      <c r="AX523" s="1">
        <v>4</v>
      </c>
      <c r="AY523" s="1" t="s">
        <v>1507</v>
      </c>
      <c r="AZ523" s="1" t="s">
        <v>1507</v>
      </c>
      <c r="BA523" s="1" t="s">
        <v>1507</v>
      </c>
      <c r="BB523" s="1" t="s">
        <v>1507</v>
      </c>
      <c r="BC523" s="1" t="s">
        <v>1507</v>
      </c>
      <c r="BD523" s="1" t="s">
        <v>1507</v>
      </c>
      <c r="BE523" s="1">
        <v>100394</v>
      </c>
      <c r="BF523" s="1" t="s">
        <v>3033</v>
      </c>
      <c r="BG523" s="1" t="str">
        <f>HYPERLINK("http://dx.doi.org/10.1016/j.xops.2023.100394","http://dx.doi.org/10.1016/j.xops.2023.100394")</f>
        <v>http://dx.doi.org/10.1016/j.xops.2023.100394</v>
      </c>
      <c r="BH523" s="1" t="s">
        <v>1507</v>
      </c>
      <c r="BI523" s="1" t="s">
        <v>2891</v>
      </c>
      <c r="BJ523" s="1">
        <v>9</v>
      </c>
      <c r="BK523" s="1" t="s">
        <v>2739</v>
      </c>
      <c r="BL523" s="1" t="s">
        <v>1529</v>
      </c>
      <c r="BM523" s="1" t="s">
        <v>2739</v>
      </c>
      <c r="BN523" s="1" t="s">
        <v>3034</v>
      </c>
      <c r="BO523" s="1">
        <v>37885755</v>
      </c>
      <c r="BP523" s="1" t="s">
        <v>1952</v>
      </c>
      <c r="BQ523" s="1" t="s">
        <v>1507</v>
      </c>
      <c r="BR523" s="1" t="s">
        <v>1507</v>
      </c>
      <c r="BS523" s="1" t="s">
        <v>13744</v>
      </c>
      <c r="BT523" s="1" t="s">
        <v>3035</v>
      </c>
      <c r="BU523" s="1" t="str">
        <f>HYPERLINK("https%3A%2F%2Fwww.webofscience.com%2Fwos%2Fwoscc%2Ffull-record%2FWOS:001101673900001","View Full Record in Web of Science")</f>
        <v>View Full Record in Web of Science</v>
      </c>
    </row>
    <row r="524" spans="1:73" x14ac:dyDescent="0.25">
      <c r="A524" s="1">
        <v>523</v>
      </c>
      <c r="B524" s="1" t="s">
        <v>5546</v>
      </c>
      <c r="C524" s="1" t="s">
        <v>15372</v>
      </c>
      <c r="D524" s="1" t="s">
        <v>1507</v>
      </c>
      <c r="E524" s="1" t="s">
        <v>15373</v>
      </c>
      <c r="F524" s="1" t="s">
        <v>1507</v>
      </c>
      <c r="G524" s="1" t="s">
        <v>15374</v>
      </c>
      <c r="H524" s="1" t="s">
        <v>1507</v>
      </c>
      <c r="I524" s="1" t="s">
        <v>1507</v>
      </c>
      <c r="J524" s="1" t="s">
        <v>15375</v>
      </c>
      <c r="K524" s="1" t="s">
        <v>15376</v>
      </c>
      <c r="L524" s="1" t="s">
        <v>6208</v>
      </c>
      <c r="M524" s="1" t="s">
        <v>1507</v>
      </c>
      <c r="N524" s="1" t="s">
        <v>42</v>
      </c>
      <c r="O524" s="1" t="s">
        <v>5552</v>
      </c>
      <c r="P524" s="1" t="s">
        <v>15377</v>
      </c>
      <c r="Q524" s="1" t="s">
        <v>15378</v>
      </c>
      <c r="R524" s="1" t="s">
        <v>7763</v>
      </c>
      <c r="S524" s="1" t="s">
        <v>15379</v>
      </c>
      <c r="T524" s="1" t="s">
        <v>1507</v>
      </c>
      <c r="U524" s="1" t="s">
        <v>15380</v>
      </c>
      <c r="V524" s="1" t="s">
        <v>1507</v>
      </c>
      <c r="W524" s="1" t="s">
        <v>15381</v>
      </c>
      <c r="X524" s="1" t="s">
        <v>15382</v>
      </c>
      <c r="Y524" s="1" t="s">
        <v>15383</v>
      </c>
      <c r="Z524" s="1" t="s">
        <v>15384</v>
      </c>
      <c r="AA524" s="1" t="s">
        <v>15385</v>
      </c>
      <c r="AB524" s="1" t="s">
        <v>15386</v>
      </c>
      <c r="AC524" s="1" t="s">
        <v>15387</v>
      </c>
      <c r="AD524" s="1" t="s">
        <v>15388</v>
      </c>
      <c r="AE524" s="1" t="s">
        <v>15389</v>
      </c>
      <c r="AF524" s="1" t="s">
        <v>15390</v>
      </c>
      <c r="AG524" s="1" t="s">
        <v>1507</v>
      </c>
      <c r="AH524" s="1">
        <v>54</v>
      </c>
      <c r="AI524" s="1">
        <v>0</v>
      </c>
      <c r="AJ524" s="1">
        <v>0</v>
      </c>
      <c r="AK524" s="1">
        <v>4</v>
      </c>
      <c r="AL524" s="1">
        <v>4</v>
      </c>
      <c r="AM524" s="1" t="s">
        <v>6221</v>
      </c>
      <c r="AN524" s="1" t="s">
        <v>6222</v>
      </c>
      <c r="AO524" s="1" t="s">
        <v>6223</v>
      </c>
      <c r="AP524" s="1" t="s">
        <v>6224</v>
      </c>
      <c r="AQ524" s="1" t="s">
        <v>6225</v>
      </c>
      <c r="AR524" s="1" t="s">
        <v>15391</v>
      </c>
      <c r="AS524" s="1" t="s">
        <v>6227</v>
      </c>
      <c r="AT524" s="1" t="s">
        <v>1507</v>
      </c>
      <c r="AU524" s="1" t="s">
        <v>1507</v>
      </c>
      <c r="AV524" s="1">
        <v>2023</v>
      </c>
      <c r="AW524" s="1">
        <v>14265</v>
      </c>
      <c r="AX524" s="1" t="s">
        <v>1507</v>
      </c>
      <c r="AY524" s="1" t="s">
        <v>1507</v>
      </c>
      <c r="AZ524" s="1" t="s">
        <v>1507</v>
      </c>
      <c r="BA524" s="1" t="s">
        <v>1507</v>
      </c>
      <c r="BB524" s="1" t="s">
        <v>1507</v>
      </c>
      <c r="BC524" s="1">
        <v>348</v>
      </c>
      <c r="BD524" s="1">
        <v>367</v>
      </c>
      <c r="BE524" s="1" t="s">
        <v>1507</v>
      </c>
      <c r="BF524" s="1" t="s">
        <v>15392</v>
      </c>
      <c r="BG524" s="1" t="str">
        <f>HYPERLINK("http://dx.doi.org/10.1007/978-3-031-47240-4_19","http://dx.doi.org/10.1007/978-3-031-47240-4_19")</f>
        <v>http://dx.doi.org/10.1007/978-3-031-47240-4_19</v>
      </c>
      <c r="BH524" s="1" t="s">
        <v>1507</v>
      </c>
      <c r="BI524" s="1" t="s">
        <v>1507</v>
      </c>
      <c r="BJ524" s="1">
        <v>20</v>
      </c>
      <c r="BK524" s="1" t="s">
        <v>2230</v>
      </c>
      <c r="BL524" s="1" t="s">
        <v>5570</v>
      </c>
      <c r="BM524" s="1" t="s">
        <v>1577</v>
      </c>
      <c r="BN524" s="1" t="s">
        <v>15393</v>
      </c>
      <c r="BO524" s="1" t="s">
        <v>1507</v>
      </c>
      <c r="BP524" s="1" t="s">
        <v>1600</v>
      </c>
      <c r="BQ524" s="1" t="s">
        <v>1507</v>
      </c>
      <c r="BR524" s="1" t="s">
        <v>1507</v>
      </c>
      <c r="BS524" s="1" t="s">
        <v>13744</v>
      </c>
      <c r="BT524" s="1" t="s">
        <v>15394</v>
      </c>
      <c r="BU524" s="1" t="str">
        <f>HYPERLINK("https%3A%2F%2Fwww.webofscience.com%2Fwos%2Fwoscc%2Ffull-record%2FWOS:001160736700019","View Full Record in Web of Science")</f>
        <v>View Full Record in Web of Science</v>
      </c>
    </row>
    <row r="525" spans="1:73" x14ac:dyDescent="0.25">
      <c r="A525" s="1">
        <v>524</v>
      </c>
      <c r="B525" s="1" t="s">
        <v>5546</v>
      </c>
      <c r="C525" s="1" t="s">
        <v>15395</v>
      </c>
      <c r="D525" s="1" t="s">
        <v>1507</v>
      </c>
      <c r="E525" s="1" t="s">
        <v>1507</v>
      </c>
      <c r="F525" s="1" t="s">
        <v>5628</v>
      </c>
      <c r="G525" s="1" t="s">
        <v>15396</v>
      </c>
      <c r="H525" s="1" t="s">
        <v>1507</v>
      </c>
      <c r="I525" s="1" t="s">
        <v>1507</v>
      </c>
      <c r="J525" s="1" t="s">
        <v>15397</v>
      </c>
      <c r="K525" s="1" t="s">
        <v>15398</v>
      </c>
      <c r="L525" s="1" t="s">
        <v>15399</v>
      </c>
      <c r="M525" s="1" t="s">
        <v>1507</v>
      </c>
      <c r="N525" s="1" t="s">
        <v>42</v>
      </c>
      <c r="O525" s="1" t="s">
        <v>5552</v>
      </c>
      <c r="P525" s="1" t="s">
        <v>15400</v>
      </c>
      <c r="Q525" s="1" t="s">
        <v>15401</v>
      </c>
      <c r="R525" s="1" t="s">
        <v>15402</v>
      </c>
      <c r="S525" s="1" t="s">
        <v>15403</v>
      </c>
      <c r="T525" s="1" t="s">
        <v>1507</v>
      </c>
      <c r="U525" s="1" t="s">
        <v>1507</v>
      </c>
      <c r="V525" s="1" t="s">
        <v>2202</v>
      </c>
      <c r="W525" s="1" t="s">
        <v>15404</v>
      </c>
      <c r="X525" s="1" t="s">
        <v>15405</v>
      </c>
      <c r="Y525" s="1" t="s">
        <v>15406</v>
      </c>
      <c r="Z525" s="1" t="s">
        <v>15407</v>
      </c>
      <c r="AA525" s="1" t="s">
        <v>15408</v>
      </c>
      <c r="AB525" s="1" t="s">
        <v>1507</v>
      </c>
      <c r="AC525" s="1" t="s">
        <v>1507</v>
      </c>
      <c r="AD525" s="1" t="s">
        <v>15409</v>
      </c>
      <c r="AE525" s="1" t="s">
        <v>15410</v>
      </c>
      <c r="AF525" s="1" t="s">
        <v>15411</v>
      </c>
      <c r="AG525" s="1" t="s">
        <v>1507</v>
      </c>
      <c r="AH525" s="1">
        <v>65</v>
      </c>
      <c r="AI525" s="1">
        <v>0</v>
      </c>
      <c r="AJ525" s="1">
        <v>0</v>
      </c>
      <c r="AK525" s="1">
        <v>0</v>
      </c>
      <c r="AL525" s="1">
        <v>0</v>
      </c>
      <c r="AM525" s="1" t="s">
        <v>5645</v>
      </c>
      <c r="AN525" s="1" t="s">
        <v>5646</v>
      </c>
      <c r="AO525" s="1" t="s">
        <v>5647</v>
      </c>
      <c r="AP525" s="1" t="s">
        <v>15412</v>
      </c>
      <c r="AQ525" s="1" t="s">
        <v>1507</v>
      </c>
      <c r="AR525" s="1" t="s">
        <v>15413</v>
      </c>
      <c r="AS525" s="1" t="s">
        <v>15414</v>
      </c>
      <c r="AT525" s="1" t="s">
        <v>1507</v>
      </c>
      <c r="AU525" s="1" t="s">
        <v>1507</v>
      </c>
      <c r="AV525" s="1">
        <v>2023</v>
      </c>
      <c r="AW525" s="1" t="s">
        <v>1507</v>
      </c>
      <c r="AX525" s="1" t="s">
        <v>1507</v>
      </c>
      <c r="AY525" s="1" t="s">
        <v>1507</v>
      </c>
      <c r="AZ525" s="1" t="s">
        <v>1507</v>
      </c>
      <c r="BA525" s="1" t="s">
        <v>1507</v>
      </c>
      <c r="BB525" s="1" t="s">
        <v>1507</v>
      </c>
      <c r="BC525" s="1">
        <v>3045</v>
      </c>
      <c r="BD525" s="1">
        <v>3055</v>
      </c>
      <c r="BE525" s="1" t="s">
        <v>1507</v>
      </c>
      <c r="BF525" s="1" t="s">
        <v>15415</v>
      </c>
      <c r="BG525" s="1" t="str">
        <f>HYPERLINK("http://dx.doi.org/10.1109/ICCV51070.2023.00285","http://dx.doi.org/10.1109/ICCV51070.2023.00285")</f>
        <v>http://dx.doi.org/10.1109/ICCV51070.2023.00285</v>
      </c>
      <c r="BH525" s="1" t="s">
        <v>1507</v>
      </c>
      <c r="BI525" s="1" t="s">
        <v>1507</v>
      </c>
      <c r="BJ525" s="1">
        <v>11</v>
      </c>
      <c r="BK525" s="1" t="s">
        <v>15416</v>
      </c>
      <c r="BL525" s="1" t="s">
        <v>5570</v>
      </c>
      <c r="BM525" s="1" t="s">
        <v>7841</v>
      </c>
      <c r="BN525" s="1" t="s">
        <v>15417</v>
      </c>
      <c r="BO525" s="1" t="s">
        <v>1507</v>
      </c>
      <c r="BP525" s="1" t="s">
        <v>1600</v>
      </c>
      <c r="BQ525" s="1" t="s">
        <v>1507</v>
      </c>
      <c r="BR525" s="1" t="s">
        <v>1507</v>
      </c>
      <c r="BS525" s="1" t="s">
        <v>13744</v>
      </c>
      <c r="BT525" s="1" t="s">
        <v>15418</v>
      </c>
      <c r="BU525" s="1" t="str">
        <f>HYPERLINK("https%3A%2F%2Fwww.webofscience.com%2Fwos%2Fwoscc%2Ffull-record%2FWOS:001159644303028","View Full Record in Web of Science")</f>
        <v>View Full Record in Web of Science</v>
      </c>
    </row>
    <row r="526" spans="1:73" x14ac:dyDescent="0.25">
      <c r="A526" s="1">
        <v>525</v>
      </c>
      <c r="B526" s="1" t="s">
        <v>1506</v>
      </c>
      <c r="C526" s="1" t="s">
        <v>6889</v>
      </c>
      <c r="D526" s="1" t="s">
        <v>1507</v>
      </c>
      <c r="E526" s="1" t="s">
        <v>1507</v>
      </c>
      <c r="F526" s="1" t="s">
        <v>1507</v>
      </c>
      <c r="G526" s="1" t="s">
        <v>6890</v>
      </c>
      <c r="H526" s="1" t="s">
        <v>1507</v>
      </c>
      <c r="I526" s="1" t="s">
        <v>1507</v>
      </c>
      <c r="J526" s="1" t="s">
        <v>6891</v>
      </c>
      <c r="K526" s="1" t="s">
        <v>6892</v>
      </c>
      <c r="L526" s="1" t="s">
        <v>1507</v>
      </c>
      <c r="M526" s="1" t="s">
        <v>1507</v>
      </c>
      <c r="N526" s="1" t="s">
        <v>42</v>
      </c>
      <c r="O526" s="1" t="s">
        <v>56</v>
      </c>
      <c r="P526" s="1" t="s">
        <v>1507</v>
      </c>
      <c r="Q526" s="1" t="s">
        <v>1507</v>
      </c>
      <c r="R526" s="1" t="s">
        <v>1507</v>
      </c>
      <c r="S526" s="1" t="s">
        <v>1507</v>
      </c>
      <c r="T526" s="1" t="s">
        <v>1507</v>
      </c>
      <c r="U526" s="1" t="s">
        <v>6893</v>
      </c>
      <c r="V526" s="1" t="s">
        <v>6894</v>
      </c>
      <c r="W526" s="1" t="s">
        <v>6895</v>
      </c>
      <c r="X526" s="1" t="s">
        <v>6896</v>
      </c>
      <c r="Y526" s="1" t="s">
        <v>6897</v>
      </c>
      <c r="Z526" s="1" t="s">
        <v>6898</v>
      </c>
      <c r="AA526" s="1" t="s">
        <v>6899</v>
      </c>
      <c r="AB526" s="1" t="s">
        <v>6900</v>
      </c>
      <c r="AC526" s="1" t="s">
        <v>6901</v>
      </c>
      <c r="AD526" s="1" t="s">
        <v>6902</v>
      </c>
      <c r="AE526" s="1" t="s">
        <v>6903</v>
      </c>
      <c r="AF526" s="1" t="s">
        <v>6904</v>
      </c>
      <c r="AG526" s="1" t="s">
        <v>1507</v>
      </c>
      <c r="AH526" s="1">
        <v>79</v>
      </c>
      <c r="AI526" s="1">
        <v>8</v>
      </c>
      <c r="AJ526" s="1">
        <v>8</v>
      </c>
      <c r="AK526" s="1">
        <v>19</v>
      </c>
      <c r="AL526" s="1">
        <v>86</v>
      </c>
      <c r="AM526" s="1" t="s">
        <v>2372</v>
      </c>
      <c r="AN526" s="1" t="s">
        <v>2300</v>
      </c>
      <c r="AO526" s="1" t="s">
        <v>2373</v>
      </c>
      <c r="AP526" s="1" t="s">
        <v>6905</v>
      </c>
      <c r="AQ526" s="1" t="s">
        <v>6906</v>
      </c>
      <c r="AR526" s="1" t="s">
        <v>1507</v>
      </c>
      <c r="AS526" s="1" t="s">
        <v>6907</v>
      </c>
      <c r="AT526" s="1" t="s">
        <v>6908</v>
      </c>
      <c r="AU526" s="1" t="s">
        <v>15563</v>
      </c>
      <c r="AV526" s="1">
        <v>2022</v>
      </c>
      <c r="AW526" s="1">
        <v>56</v>
      </c>
      <c r="AX526" s="1">
        <v>19</v>
      </c>
      <c r="AY526" s="1" t="s">
        <v>1507</v>
      </c>
      <c r="AZ526" s="1" t="s">
        <v>1507</v>
      </c>
      <c r="BA526" s="1" t="s">
        <v>1507</v>
      </c>
      <c r="BB526" s="1" t="s">
        <v>1507</v>
      </c>
      <c r="BC526" s="1">
        <v>14133</v>
      </c>
      <c r="BD526" s="1">
        <v>14145</v>
      </c>
      <c r="BE526" s="1" t="s">
        <v>1507</v>
      </c>
      <c r="BF526" s="1" t="s">
        <v>6909</v>
      </c>
      <c r="BG526" s="1" t="str">
        <f>HYPERLINK("http://dx.doi.org/10.1021/acs.est.2c01973","http://dx.doi.org/10.1021/acs.est.2c01973")</f>
        <v>http://dx.doi.org/10.1021/acs.est.2c01973</v>
      </c>
      <c r="BH526" s="1" t="s">
        <v>1507</v>
      </c>
      <c r="BI526" s="1" t="s">
        <v>6910</v>
      </c>
      <c r="BJ526" s="1">
        <v>13</v>
      </c>
      <c r="BK526" s="1" t="s">
        <v>2613</v>
      </c>
      <c r="BL526" s="1" t="s">
        <v>1573</v>
      </c>
      <c r="BM526" s="1" t="s">
        <v>2614</v>
      </c>
      <c r="BN526" s="1" t="s">
        <v>6911</v>
      </c>
      <c r="BO526" s="1">
        <v>36108131</v>
      </c>
      <c r="BP526" s="1" t="s">
        <v>1507</v>
      </c>
      <c r="BQ526" s="1" t="s">
        <v>1507</v>
      </c>
      <c r="BR526" s="1" t="s">
        <v>1507</v>
      </c>
      <c r="BS526" s="1" t="s">
        <v>13744</v>
      </c>
      <c r="BT526" s="1" t="s">
        <v>6912</v>
      </c>
      <c r="BU526" s="1" t="str">
        <f>HYPERLINK("https%3A%2F%2Fwww.webofscience.com%2Fwos%2Fwoscc%2Ffull-record%2FWOS:000861929900001","View Full Record in Web of Science")</f>
        <v>View Full Record in Web of Science</v>
      </c>
    </row>
    <row r="527" spans="1:73" x14ac:dyDescent="0.25">
      <c r="A527" s="1">
        <v>526</v>
      </c>
      <c r="B527" s="1" t="s">
        <v>1506</v>
      </c>
      <c r="C527" s="1" t="s">
        <v>9368</v>
      </c>
      <c r="D527" s="1" t="s">
        <v>1507</v>
      </c>
      <c r="E527" s="1" t="s">
        <v>1507</v>
      </c>
      <c r="F527" s="1" t="s">
        <v>1507</v>
      </c>
      <c r="G527" s="1" t="s">
        <v>9369</v>
      </c>
      <c r="H527" s="1" t="s">
        <v>1507</v>
      </c>
      <c r="I527" s="1" t="s">
        <v>1507</v>
      </c>
      <c r="J527" s="1" t="s">
        <v>9370</v>
      </c>
      <c r="K527" s="1" t="s">
        <v>9371</v>
      </c>
      <c r="L527" s="1" t="s">
        <v>1507</v>
      </c>
      <c r="M527" s="1" t="s">
        <v>1507</v>
      </c>
      <c r="N527" s="1" t="s">
        <v>42</v>
      </c>
      <c r="O527" s="1" t="s">
        <v>56</v>
      </c>
      <c r="P527" s="1" t="s">
        <v>1507</v>
      </c>
      <c r="Q527" s="1" t="s">
        <v>1507</v>
      </c>
      <c r="R527" s="1" t="s">
        <v>1507</v>
      </c>
      <c r="S527" s="1" t="s">
        <v>1507</v>
      </c>
      <c r="T527" s="1" t="s">
        <v>1507</v>
      </c>
      <c r="U527" s="1" t="s">
        <v>1507</v>
      </c>
      <c r="V527" s="1" t="s">
        <v>9372</v>
      </c>
      <c r="W527" s="1" t="s">
        <v>9373</v>
      </c>
      <c r="X527" s="1" t="s">
        <v>9374</v>
      </c>
      <c r="Y527" s="1" t="s">
        <v>9375</v>
      </c>
      <c r="Z527" s="1" t="s">
        <v>9376</v>
      </c>
      <c r="AA527" s="1" t="s">
        <v>9377</v>
      </c>
      <c r="AB527" s="1" t="s">
        <v>9378</v>
      </c>
      <c r="AC527" s="1" t="s">
        <v>15786</v>
      </c>
      <c r="AD527" s="1" t="s">
        <v>9379</v>
      </c>
      <c r="AE527" s="1" t="s">
        <v>9380</v>
      </c>
      <c r="AF527" s="1" t="s">
        <v>9381</v>
      </c>
      <c r="AG527" s="1" t="s">
        <v>1507</v>
      </c>
      <c r="AH527" s="1">
        <v>36</v>
      </c>
      <c r="AI527" s="1">
        <v>31</v>
      </c>
      <c r="AJ527" s="1">
        <v>32</v>
      </c>
      <c r="AK527" s="1">
        <v>5</v>
      </c>
      <c r="AL527" s="1">
        <v>57</v>
      </c>
      <c r="AM527" s="1" t="s">
        <v>2372</v>
      </c>
      <c r="AN527" s="1" t="s">
        <v>2300</v>
      </c>
      <c r="AO527" s="1" t="s">
        <v>2373</v>
      </c>
      <c r="AP527" s="1" t="s">
        <v>9382</v>
      </c>
      <c r="AQ527" s="1" t="s">
        <v>9383</v>
      </c>
      <c r="AR527" s="1" t="s">
        <v>1507</v>
      </c>
      <c r="AS527" s="1" t="s">
        <v>9384</v>
      </c>
      <c r="AT527" s="1" t="s">
        <v>9385</v>
      </c>
      <c r="AU527" s="1" t="s">
        <v>2101</v>
      </c>
      <c r="AV527" s="1">
        <v>2020</v>
      </c>
      <c r="AW527" s="1">
        <v>59</v>
      </c>
      <c r="AX527" s="1">
        <v>23</v>
      </c>
      <c r="AY527" s="1" t="s">
        <v>1507</v>
      </c>
      <c r="AZ527" s="1" t="s">
        <v>1507</v>
      </c>
      <c r="BA527" s="1" t="s">
        <v>1507</v>
      </c>
      <c r="BB527" s="1" t="s">
        <v>1507</v>
      </c>
      <c r="BC527" s="1">
        <v>17766</v>
      </c>
      <c r="BD527" s="1">
        <v>17774</v>
      </c>
      <c r="BE527" s="1" t="s">
        <v>1507</v>
      </c>
      <c r="BF527" s="1" t="s">
        <v>9386</v>
      </c>
      <c r="BG527" s="1" t="str">
        <f>HYPERLINK("http://dx.doi.org/10.1021/acs.inorgchem.0c03014","http://dx.doi.org/10.1021/acs.inorgchem.0c03014")</f>
        <v>http://dx.doi.org/10.1021/acs.inorgchem.0c03014</v>
      </c>
      <c r="BH527" s="1" t="s">
        <v>1507</v>
      </c>
      <c r="BI527" s="1" t="s">
        <v>1507</v>
      </c>
      <c r="BJ527" s="1">
        <v>9</v>
      </c>
      <c r="BK527" s="1" t="s">
        <v>9387</v>
      </c>
      <c r="BL527" s="1" t="s">
        <v>1573</v>
      </c>
      <c r="BM527" s="1" t="s">
        <v>2380</v>
      </c>
      <c r="BN527" s="1" t="s">
        <v>9388</v>
      </c>
      <c r="BO527" s="1">
        <v>33198458</v>
      </c>
      <c r="BP527" s="1" t="s">
        <v>1507</v>
      </c>
      <c r="BQ527" s="1" t="s">
        <v>1507</v>
      </c>
      <c r="BR527" s="1" t="s">
        <v>1507</v>
      </c>
      <c r="BS527" s="1" t="s">
        <v>13744</v>
      </c>
      <c r="BT527" s="1" t="s">
        <v>9389</v>
      </c>
      <c r="BU527" s="1" t="str">
        <f>HYPERLINK("https%3A%2F%2Fwww.webofscience.com%2Fwos%2Fwoscc%2Ffull-record%2FWOS:000599190300105","View Full Record in Web of Science")</f>
        <v>View Full Record in Web of Science</v>
      </c>
    </row>
    <row r="528" spans="1:73" x14ac:dyDescent="0.25">
      <c r="A528" s="1">
        <v>527</v>
      </c>
      <c r="B528" s="1" t="s">
        <v>1506</v>
      </c>
      <c r="C528" s="1" t="s">
        <v>2311</v>
      </c>
      <c r="D528" s="1" t="s">
        <v>1507</v>
      </c>
      <c r="E528" s="1" t="s">
        <v>1507</v>
      </c>
      <c r="F528" s="1" t="s">
        <v>1507</v>
      </c>
      <c r="G528" s="1" t="s">
        <v>2312</v>
      </c>
      <c r="H528" s="1" t="s">
        <v>1507</v>
      </c>
      <c r="I528" s="1" t="s">
        <v>1507</v>
      </c>
      <c r="J528" s="1" t="s">
        <v>243</v>
      </c>
      <c r="K528" s="1" t="s">
        <v>2200</v>
      </c>
      <c r="L528" s="1" t="s">
        <v>1507</v>
      </c>
      <c r="M528" s="1" t="s">
        <v>1507</v>
      </c>
      <c r="N528" s="1" t="s">
        <v>42</v>
      </c>
      <c r="O528" s="1" t="s">
        <v>56</v>
      </c>
      <c r="P528" s="1" t="s">
        <v>1507</v>
      </c>
      <c r="Q528" s="1" t="s">
        <v>1507</v>
      </c>
      <c r="R528" s="1" t="s">
        <v>1507</v>
      </c>
      <c r="S528" s="1" t="s">
        <v>1507</v>
      </c>
      <c r="T528" s="1" t="s">
        <v>1507</v>
      </c>
      <c r="U528" s="1" t="s">
        <v>2313</v>
      </c>
      <c r="V528" s="1" t="s">
        <v>1507</v>
      </c>
      <c r="W528" s="1" t="s">
        <v>2314</v>
      </c>
      <c r="X528" s="1" t="s">
        <v>2315</v>
      </c>
      <c r="Y528" s="1" t="s">
        <v>13938</v>
      </c>
      <c r="Z528" s="1" t="s">
        <v>2316</v>
      </c>
      <c r="AA528" s="1" t="s">
        <v>2317</v>
      </c>
      <c r="AB528" s="1" t="s">
        <v>13939</v>
      </c>
      <c r="AC528" s="1" t="s">
        <v>13940</v>
      </c>
      <c r="AD528" s="1" t="s">
        <v>2318</v>
      </c>
      <c r="AE528" s="1" t="s">
        <v>2318</v>
      </c>
      <c r="AF528" s="1" t="s">
        <v>1510</v>
      </c>
      <c r="AG528" s="1" t="s">
        <v>1507</v>
      </c>
      <c r="AH528" s="1">
        <v>22</v>
      </c>
      <c r="AI528" s="1">
        <v>1</v>
      </c>
      <c r="AJ528" s="1">
        <v>1</v>
      </c>
      <c r="AK528" s="1">
        <v>3</v>
      </c>
      <c r="AL528" s="1">
        <v>3</v>
      </c>
      <c r="AM528" s="1" t="s">
        <v>1610</v>
      </c>
      <c r="AN528" s="1" t="s">
        <v>1611</v>
      </c>
      <c r="AO528" s="1" t="s">
        <v>1612</v>
      </c>
      <c r="AP528" s="1" t="s">
        <v>1507</v>
      </c>
      <c r="AQ528" s="1" t="s">
        <v>2211</v>
      </c>
      <c r="AR528" s="1" t="s">
        <v>1507</v>
      </c>
      <c r="AS528" s="1" t="s">
        <v>2200</v>
      </c>
      <c r="AT528" s="1" t="s">
        <v>2212</v>
      </c>
      <c r="AU528" s="1" t="s">
        <v>2191</v>
      </c>
      <c r="AV528" s="1">
        <v>2023</v>
      </c>
      <c r="AW528" s="1">
        <v>10</v>
      </c>
      <c r="AX528" s="1">
        <v>4</v>
      </c>
      <c r="AY528" s="1" t="s">
        <v>1507</v>
      </c>
      <c r="AZ528" s="1" t="s">
        <v>1507</v>
      </c>
      <c r="BA528" s="1" t="s">
        <v>1507</v>
      </c>
      <c r="BB528" s="1" t="s">
        <v>1507</v>
      </c>
      <c r="BC528" s="1" t="s">
        <v>1507</v>
      </c>
      <c r="BD528" s="1" t="s">
        <v>1507</v>
      </c>
      <c r="BE528" s="1">
        <v>81</v>
      </c>
      <c r="BF528" s="1" t="s">
        <v>245</v>
      </c>
      <c r="BG528" s="1" t="str">
        <f>HYPERLINK("http://dx.doi.org/10.3390/informatics10040081","http://dx.doi.org/10.3390/informatics10040081")</f>
        <v>http://dx.doi.org/10.3390/informatics10040081</v>
      </c>
      <c r="BH528" s="1" t="s">
        <v>1507</v>
      </c>
      <c r="BI528" s="1" t="s">
        <v>1507</v>
      </c>
      <c r="BJ528" s="1">
        <v>21</v>
      </c>
      <c r="BK528" s="1" t="s">
        <v>2214</v>
      </c>
      <c r="BL528" s="1" t="s">
        <v>1529</v>
      </c>
      <c r="BM528" s="1" t="s">
        <v>1577</v>
      </c>
      <c r="BN528" s="1" t="s">
        <v>2319</v>
      </c>
      <c r="BO528" s="1" t="s">
        <v>1507</v>
      </c>
      <c r="BP528" s="1" t="s">
        <v>1553</v>
      </c>
      <c r="BQ528" s="1" t="s">
        <v>1507</v>
      </c>
      <c r="BR528" s="1" t="s">
        <v>1507</v>
      </c>
      <c r="BS528" s="1" t="s">
        <v>13744</v>
      </c>
      <c r="BT528" s="1" t="s">
        <v>2320</v>
      </c>
      <c r="BU528" s="1" t="str">
        <f>HYPERLINK("https%3A%2F%2Fwww.webofscience.com%2Fwos%2Fwoscc%2Ffull-record%2FWOS:001130992000001","View Full Record in Web of Science")</f>
        <v>View Full Record in Web of Science</v>
      </c>
    </row>
    <row r="529" spans="1:73" x14ac:dyDescent="0.25">
      <c r="A529" s="1">
        <v>528</v>
      </c>
      <c r="B529" s="1" t="s">
        <v>1506</v>
      </c>
      <c r="C529" s="1" t="s">
        <v>11554</v>
      </c>
      <c r="D529" s="1" t="s">
        <v>1507</v>
      </c>
      <c r="E529" s="1" t="s">
        <v>1507</v>
      </c>
      <c r="F529" s="1" t="s">
        <v>1507</v>
      </c>
      <c r="G529" s="1" t="s">
        <v>11555</v>
      </c>
      <c r="H529" s="1" t="s">
        <v>1507</v>
      </c>
      <c r="I529" s="1" t="s">
        <v>1507</v>
      </c>
      <c r="J529" s="1" t="s">
        <v>11556</v>
      </c>
      <c r="K529" s="1" t="s">
        <v>11557</v>
      </c>
      <c r="L529" s="1" t="s">
        <v>1507</v>
      </c>
      <c r="M529" s="1" t="s">
        <v>1507</v>
      </c>
      <c r="N529" s="1" t="s">
        <v>42</v>
      </c>
      <c r="O529" s="1" t="s">
        <v>56</v>
      </c>
      <c r="P529" s="1" t="s">
        <v>1507</v>
      </c>
      <c r="Q529" s="1" t="s">
        <v>1507</v>
      </c>
      <c r="R529" s="1" t="s">
        <v>1507</v>
      </c>
      <c r="S529" s="1" t="s">
        <v>1507</v>
      </c>
      <c r="T529" s="1" t="s">
        <v>1507</v>
      </c>
      <c r="U529" s="1" t="s">
        <v>1507</v>
      </c>
      <c r="V529" s="1" t="s">
        <v>11558</v>
      </c>
      <c r="W529" s="1" t="s">
        <v>11559</v>
      </c>
      <c r="X529" s="1" t="s">
        <v>11560</v>
      </c>
      <c r="Y529" s="1" t="s">
        <v>15948</v>
      </c>
      <c r="Z529" s="1" t="s">
        <v>11561</v>
      </c>
      <c r="AA529" s="1" t="s">
        <v>11562</v>
      </c>
      <c r="AB529" s="1" t="s">
        <v>15949</v>
      </c>
      <c r="AC529" s="1" t="s">
        <v>15950</v>
      </c>
      <c r="AD529" s="1" t="s">
        <v>15951</v>
      </c>
      <c r="AE529" s="1" t="s">
        <v>15952</v>
      </c>
      <c r="AF529" s="1" t="s">
        <v>11563</v>
      </c>
      <c r="AG529" s="1" t="s">
        <v>1507</v>
      </c>
      <c r="AH529" s="1">
        <v>50</v>
      </c>
      <c r="AI529" s="1">
        <v>72</v>
      </c>
      <c r="AJ529" s="1">
        <v>86</v>
      </c>
      <c r="AK529" s="1">
        <v>0</v>
      </c>
      <c r="AL529" s="1">
        <v>13</v>
      </c>
      <c r="AM529" s="1" t="s">
        <v>1591</v>
      </c>
      <c r="AN529" s="1" t="s">
        <v>1592</v>
      </c>
      <c r="AO529" s="1" t="s">
        <v>1593</v>
      </c>
      <c r="AP529" s="1" t="s">
        <v>11564</v>
      </c>
      <c r="AQ529" s="1" t="s">
        <v>1507</v>
      </c>
      <c r="AR529" s="1" t="s">
        <v>1507</v>
      </c>
      <c r="AS529" s="1" t="s">
        <v>11565</v>
      </c>
      <c r="AT529" s="1" t="s">
        <v>11566</v>
      </c>
      <c r="AU529" s="1" t="s">
        <v>2771</v>
      </c>
      <c r="AV529" s="1">
        <v>2018</v>
      </c>
      <c r="AW529" s="1">
        <v>3</v>
      </c>
      <c r="AX529" s="1">
        <v>11</v>
      </c>
      <c r="AY529" s="1" t="s">
        <v>1507</v>
      </c>
      <c r="AZ529" s="1" t="s">
        <v>1507</v>
      </c>
      <c r="BA529" s="1" t="s">
        <v>1507</v>
      </c>
      <c r="BB529" s="1" t="s">
        <v>1507</v>
      </c>
      <c r="BC529" s="1">
        <v>1234</v>
      </c>
      <c r="BD529" s="1">
        <v>1242</v>
      </c>
      <c r="BE529" s="1" t="s">
        <v>1507</v>
      </c>
      <c r="BF529" s="1" t="s">
        <v>11567</v>
      </c>
      <c r="BG529" s="1" t="str">
        <f>HYPERLINK("http://dx.doi.org/10.1038/s41564-018-0240-5","http://dx.doi.org/10.1038/s41564-018-0240-5")</f>
        <v>http://dx.doi.org/10.1038/s41564-018-0240-5</v>
      </c>
      <c r="BH529" s="1" t="s">
        <v>1507</v>
      </c>
      <c r="BI529" s="1" t="s">
        <v>1507</v>
      </c>
      <c r="BJ529" s="1">
        <v>9</v>
      </c>
      <c r="BK529" s="1" t="s">
        <v>4485</v>
      </c>
      <c r="BL529" s="1" t="s">
        <v>1573</v>
      </c>
      <c r="BM529" s="1" t="s">
        <v>4485</v>
      </c>
      <c r="BN529" s="1" t="s">
        <v>11568</v>
      </c>
      <c r="BO529" s="1">
        <v>30224800</v>
      </c>
      <c r="BP529" s="1" t="s">
        <v>15953</v>
      </c>
      <c r="BQ529" s="1" t="s">
        <v>1507</v>
      </c>
      <c r="BR529" s="1" t="s">
        <v>1507</v>
      </c>
      <c r="BS529" s="1" t="s">
        <v>13744</v>
      </c>
      <c r="BT529" s="1" t="s">
        <v>11569</v>
      </c>
      <c r="BU529" s="1" t="str">
        <f>HYPERLINK("https%3A%2F%2Fwww.webofscience.com%2Fwos%2Fwoscc%2Ffull-record%2FWOS:000448229100010","View Full Record in Web of Science")</f>
        <v>View Full Record in Web of Science</v>
      </c>
    </row>
    <row r="530" spans="1:73" x14ac:dyDescent="0.25">
      <c r="A530" s="1">
        <v>529</v>
      </c>
      <c r="B530" s="1" t="s">
        <v>5546</v>
      </c>
      <c r="C530" s="1" t="s">
        <v>7876</v>
      </c>
      <c r="D530" s="1" t="s">
        <v>1507</v>
      </c>
      <c r="E530" s="1" t="s">
        <v>1507</v>
      </c>
      <c r="F530" s="1" t="s">
        <v>7877</v>
      </c>
      <c r="G530" s="1" t="s">
        <v>7878</v>
      </c>
      <c r="H530" s="1" t="s">
        <v>1507</v>
      </c>
      <c r="I530" s="1" t="s">
        <v>1507</v>
      </c>
      <c r="J530" s="1" t="s">
        <v>7879</v>
      </c>
      <c r="K530" s="1" t="s">
        <v>7880</v>
      </c>
      <c r="L530" s="1" t="s">
        <v>5906</v>
      </c>
      <c r="M530" s="1" t="s">
        <v>1507</v>
      </c>
      <c r="N530" s="1" t="s">
        <v>42</v>
      </c>
      <c r="O530" s="1" t="s">
        <v>5552</v>
      </c>
      <c r="P530" s="1" t="s">
        <v>5907</v>
      </c>
      <c r="Q530" s="1" t="s">
        <v>7881</v>
      </c>
      <c r="R530" s="1" t="s">
        <v>7882</v>
      </c>
      <c r="S530" s="1" t="s">
        <v>5910</v>
      </c>
      <c r="T530" s="1" t="s">
        <v>1507</v>
      </c>
      <c r="U530" s="1" t="s">
        <v>1507</v>
      </c>
      <c r="V530" s="1" t="s">
        <v>1507</v>
      </c>
      <c r="W530" s="1" t="s">
        <v>7883</v>
      </c>
      <c r="X530" s="1" t="s">
        <v>7884</v>
      </c>
      <c r="Y530" s="1" t="s">
        <v>7885</v>
      </c>
      <c r="Z530" s="1" t="s">
        <v>7886</v>
      </c>
      <c r="AA530" s="1" t="s">
        <v>1507</v>
      </c>
      <c r="AB530" s="1" t="s">
        <v>1507</v>
      </c>
      <c r="AC530" s="1" t="s">
        <v>1507</v>
      </c>
      <c r="AD530" s="1" t="s">
        <v>7887</v>
      </c>
      <c r="AE530" s="1" t="s">
        <v>7888</v>
      </c>
      <c r="AF530" s="1" t="s">
        <v>7889</v>
      </c>
      <c r="AG530" s="1" t="s">
        <v>1507</v>
      </c>
      <c r="AH530" s="1">
        <v>77</v>
      </c>
      <c r="AI530" s="1">
        <v>14</v>
      </c>
      <c r="AJ530" s="1">
        <v>14</v>
      </c>
      <c r="AK530" s="1">
        <v>2</v>
      </c>
      <c r="AL530" s="1">
        <v>7</v>
      </c>
      <c r="AM530" s="1" t="s">
        <v>5645</v>
      </c>
      <c r="AN530" s="1" t="s">
        <v>5646</v>
      </c>
      <c r="AO530" s="1" t="s">
        <v>5647</v>
      </c>
      <c r="AP530" s="1" t="s">
        <v>5919</v>
      </c>
      <c r="AQ530" s="1" t="s">
        <v>1507</v>
      </c>
      <c r="AR530" s="1" t="s">
        <v>7890</v>
      </c>
      <c r="AS530" s="1" t="s">
        <v>5921</v>
      </c>
      <c r="AT530" s="1" t="s">
        <v>1507</v>
      </c>
      <c r="AU530" s="1" t="s">
        <v>1507</v>
      </c>
      <c r="AV530" s="1">
        <v>2022</v>
      </c>
      <c r="AW530" s="1" t="s">
        <v>1507</v>
      </c>
      <c r="AX530" s="1" t="s">
        <v>1507</v>
      </c>
      <c r="AY530" s="1" t="s">
        <v>1507</v>
      </c>
      <c r="AZ530" s="1" t="s">
        <v>1507</v>
      </c>
      <c r="BA530" s="1" t="s">
        <v>1507</v>
      </c>
      <c r="BB530" s="1" t="s">
        <v>1507</v>
      </c>
      <c r="BC530" s="1">
        <v>17897</v>
      </c>
      <c r="BD530" s="1">
        <v>17907</v>
      </c>
      <c r="BE530" s="1" t="s">
        <v>1507</v>
      </c>
      <c r="BF530" s="1" t="s">
        <v>7891</v>
      </c>
      <c r="BG530" s="1" t="str">
        <f>HYPERLINK("http://dx.doi.org/10.1109/CVPR52688.2022.01739","http://dx.doi.org/10.1109/CVPR52688.2022.01739")</f>
        <v>http://dx.doi.org/10.1109/CVPR52688.2022.01739</v>
      </c>
      <c r="BH530" s="1" t="s">
        <v>1507</v>
      </c>
      <c r="BI530" s="1" t="s">
        <v>1507</v>
      </c>
      <c r="BJ530" s="1">
        <v>11</v>
      </c>
      <c r="BK530" s="1" t="s">
        <v>7840</v>
      </c>
      <c r="BL530" s="1" t="s">
        <v>5570</v>
      </c>
      <c r="BM530" s="1" t="s">
        <v>7841</v>
      </c>
      <c r="BN530" s="1" t="s">
        <v>7892</v>
      </c>
      <c r="BO530" s="1" t="s">
        <v>1507</v>
      </c>
      <c r="BP530" s="1" t="s">
        <v>1600</v>
      </c>
      <c r="BQ530" s="1" t="s">
        <v>1507</v>
      </c>
      <c r="BR530" s="1" t="s">
        <v>1507</v>
      </c>
      <c r="BS530" s="1" t="s">
        <v>13744</v>
      </c>
      <c r="BT530" s="1" t="s">
        <v>7893</v>
      </c>
      <c r="BU530" s="1" t="str">
        <f>HYPERLINK("https%3A%2F%2Fwww.webofscience.com%2Fwos%2Fwoscc%2Ffull-record%2FWOS:000870783003071","View Full Record in Web of Science")</f>
        <v>View Full Record in Web of Science</v>
      </c>
    </row>
    <row r="531" spans="1:73" x14ac:dyDescent="0.25">
      <c r="A531" s="1">
        <v>530</v>
      </c>
      <c r="B531" s="1" t="s">
        <v>1506</v>
      </c>
      <c r="C531" s="1" t="s">
        <v>4359</v>
      </c>
      <c r="D531" s="1" t="s">
        <v>1507</v>
      </c>
      <c r="E531" s="1" t="s">
        <v>1507</v>
      </c>
      <c r="F531" s="1" t="s">
        <v>1507</v>
      </c>
      <c r="G531" s="1" t="s">
        <v>4360</v>
      </c>
      <c r="H531" s="1" t="s">
        <v>1507</v>
      </c>
      <c r="I531" s="1" t="s">
        <v>1507</v>
      </c>
      <c r="J531" s="1" t="s">
        <v>904</v>
      </c>
      <c r="K531" s="1" t="s">
        <v>3577</v>
      </c>
      <c r="L531" s="1" t="s">
        <v>1507</v>
      </c>
      <c r="M531" s="1" t="s">
        <v>1507</v>
      </c>
      <c r="N531" s="1" t="s">
        <v>42</v>
      </c>
      <c r="O531" s="1" t="s">
        <v>56</v>
      </c>
      <c r="P531" s="1" t="s">
        <v>1507</v>
      </c>
      <c r="Q531" s="1" t="s">
        <v>1507</v>
      </c>
      <c r="R531" s="1" t="s">
        <v>1507</v>
      </c>
      <c r="S531" s="1" t="s">
        <v>1507</v>
      </c>
      <c r="T531" s="1" t="s">
        <v>1507</v>
      </c>
      <c r="U531" s="1" t="s">
        <v>4361</v>
      </c>
      <c r="V531" s="1" t="s">
        <v>1507</v>
      </c>
      <c r="W531" s="1" t="s">
        <v>4362</v>
      </c>
      <c r="X531" s="1" t="s">
        <v>4363</v>
      </c>
      <c r="Y531" s="1" t="s">
        <v>4364</v>
      </c>
      <c r="Z531" s="1" t="s">
        <v>4365</v>
      </c>
      <c r="AA531" s="1" t="s">
        <v>1507</v>
      </c>
      <c r="AB531" s="1" t="s">
        <v>14574</v>
      </c>
      <c r="AC531" s="1" t="s">
        <v>1507</v>
      </c>
      <c r="AD531" s="1" t="s">
        <v>1507</v>
      </c>
      <c r="AE531" s="1" t="s">
        <v>1507</v>
      </c>
      <c r="AF531" s="1" t="s">
        <v>1507</v>
      </c>
      <c r="AG531" s="1" t="s">
        <v>1507</v>
      </c>
      <c r="AH531" s="1">
        <v>18</v>
      </c>
      <c r="AI531" s="1">
        <v>0</v>
      </c>
      <c r="AJ531" s="1">
        <v>0</v>
      </c>
      <c r="AK531" s="1">
        <v>5</v>
      </c>
      <c r="AL531" s="1">
        <v>8</v>
      </c>
      <c r="AM531" s="1" t="s">
        <v>3585</v>
      </c>
      <c r="AN531" s="1" t="s">
        <v>3586</v>
      </c>
      <c r="AO531" s="1" t="s">
        <v>3587</v>
      </c>
      <c r="AP531" s="1" t="s">
        <v>3588</v>
      </c>
      <c r="AQ531" s="1" t="s">
        <v>3589</v>
      </c>
      <c r="AR531" s="1" t="s">
        <v>1507</v>
      </c>
      <c r="AS531" s="1" t="s">
        <v>3590</v>
      </c>
      <c r="AT531" s="1" t="s">
        <v>3591</v>
      </c>
      <c r="AU531" s="1" t="s">
        <v>4336</v>
      </c>
      <c r="AV531" s="1">
        <v>2023</v>
      </c>
      <c r="AW531" s="1">
        <v>14</v>
      </c>
      <c r="AX531" s="1">
        <v>8</v>
      </c>
      <c r="AY531" s="1" t="s">
        <v>1507</v>
      </c>
      <c r="AZ531" s="1" t="s">
        <v>1507</v>
      </c>
      <c r="BA531" s="1" t="s">
        <v>1507</v>
      </c>
      <c r="BB531" s="1" t="s">
        <v>1507</v>
      </c>
      <c r="BC531" s="1">
        <v>937</v>
      </c>
      <c r="BD531" s="1">
        <v>946</v>
      </c>
      <c r="BE531" s="1" t="s">
        <v>1507</v>
      </c>
      <c r="BF531" s="1" t="s">
        <v>1507</v>
      </c>
      <c r="BG531" s="1" t="s">
        <v>1507</v>
      </c>
      <c r="BH531" s="1" t="s">
        <v>1507</v>
      </c>
      <c r="BI531" s="1" t="s">
        <v>1507</v>
      </c>
      <c r="BJ531" s="1">
        <v>10</v>
      </c>
      <c r="BK531" s="1" t="s">
        <v>1603</v>
      </c>
      <c r="BL531" s="1" t="s">
        <v>1529</v>
      </c>
      <c r="BM531" s="1" t="s">
        <v>1577</v>
      </c>
      <c r="BN531" s="1" t="s">
        <v>4366</v>
      </c>
      <c r="BO531" s="1" t="s">
        <v>1507</v>
      </c>
      <c r="BP531" s="1" t="s">
        <v>1507</v>
      </c>
      <c r="BQ531" s="1" t="s">
        <v>1507</v>
      </c>
      <c r="BR531" s="1" t="s">
        <v>1507</v>
      </c>
      <c r="BS531" s="1" t="s">
        <v>13744</v>
      </c>
      <c r="BT531" s="1" t="s">
        <v>4367</v>
      </c>
      <c r="BU531" s="1" t="str">
        <f>HYPERLINK("https%3A%2F%2Fwww.webofscience.com%2Fwos%2Fwoscc%2Ffull-record%2FWOS:001064929600001","View Full Record in Web of Science")</f>
        <v>View Full Record in Web of Science</v>
      </c>
    </row>
    <row r="532" spans="1:73" x14ac:dyDescent="0.25">
      <c r="A532" s="1">
        <v>531</v>
      </c>
      <c r="B532" s="1" t="s">
        <v>1506</v>
      </c>
      <c r="C532" s="1" t="s">
        <v>3213</v>
      </c>
      <c r="D532" s="1" t="s">
        <v>1507</v>
      </c>
      <c r="E532" s="1" t="s">
        <v>1507</v>
      </c>
      <c r="F532" s="1" t="s">
        <v>1507</v>
      </c>
      <c r="G532" s="1" t="s">
        <v>3214</v>
      </c>
      <c r="H532" s="1" t="s">
        <v>1507</v>
      </c>
      <c r="I532" s="1" t="s">
        <v>1507</v>
      </c>
      <c r="J532" s="1" t="s">
        <v>3215</v>
      </c>
      <c r="K532" s="1" t="s">
        <v>1657</v>
      </c>
      <c r="L532" s="1" t="s">
        <v>1507</v>
      </c>
      <c r="M532" s="1" t="s">
        <v>1507</v>
      </c>
      <c r="N532" s="1" t="s">
        <v>42</v>
      </c>
      <c r="O532" s="1" t="s">
        <v>56</v>
      </c>
      <c r="P532" s="1" t="s">
        <v>1507</v>
      </c>
      <c r="Q532" s="1" t="s">
        <v>1507</v>
      </c>
      <c r="R532" s="1" t="s">
        <v>1507</v>
      </c>
      <c r="S532" s="1" t="s">
        <v>1507</v>
      </c>
      <c r="T532" s="1" t="s">
        <v>1507</v>
      </c>
      <c r="U532" s="1" t="s">
        <v>3216</v>
      </c>
      <c r="V532" s="1" t="s">
        <v>3217</v>
      </c>
      <c r="W532" s="1" t="s">
        <v>3218</v>
      </c>
      <c r="X532" s="1" t="s">
        <v>3219</v>
      </c>
      <c r="Y532" s="1" t="s">
        <v>3220</v>
      </c>
      <c r="Z532" s="1" t="s">
        <v>3221</v>
      </c>
      <c r="AA532" s="1" t="s">
        <v>3222</v>
      </c>
      <c r="AB532" s="1" t="s">
        <v>14247</v>
      </c>
      <c r="AC532" s="1" t="s">
        <v>14295</v>
      </c>
      <c r="AD532" s="1" t="s">
        <v>3223</v>
      </c>
      <c r="AE532" s="1" t="s">
        <v>3224</v>
      </c>
      <c r="AF532" s="1" t="s">
        <v>3225</v>
      </c>
      <c r="AG532" s="1" t="s">
        <v>1507</v>
      </c>
      <c r="AH532" s="1">
        <v>47</v>
      </c>
      <c r="AI532" s="1">
        <v>1</v>
      </c>
      <c r="AJ532" s="1">
        <v>1</v>
      </c>
      <c r="AK532" s="1">
        <v>3</v>
      </c>
      <c r="AL532" s="1">
        <v>3</v>
      </c>
      <c r="AM532" s="1" t="s">
        <v>1667</v>
      </c>
      <c r="AN532" s="1" t="s">
        <v>1668</v>
      </c>
      <c r="AO532" s="1" t="s">
        <v>1669</v>
      </c>
      <c r="AP532" s="1" t="s">
        <v>1670</v>
      </c>
      <c r="AQ532" s="1" t="s">
        <v>1507</v>
      </c>
      <c r="AR532" s="1" t="s">
        <v>1507</v>
      </c>
      <c r="AS532" s="1" t="s">
        <v>1671</v>
      </c>
      <c r="AT532" s="1" t="s">
        <v>567</v>
      </c>
      <c r="AU532" s="1" t="s">
        <v>3226</v>
      </c>
      <c r="AV532" s="1">
        <v>2023</v>
      </c>
      <c r="AW532" s="1">
        <v>25</v>
      </c>
      <c r="AX532" s="1" t="s">
        <v>1507</v>
      </c>
      <c r="AY532" s="1" t="s">
        <v>1507</v>
      </c>
      <c r="AZ532" s="1" t="s">
        <v>1507</v>
      </c>
      <c r="BA532" s="1" t="s">
        <v>1507</v>
      </c>
      <c r="BB532" s="1" t="s">
        <v>1507</v>
      </c>
      <c r="BC532" s="1" t="s">
        <v>1507</v>
      </c>
      <c r="BD532" s="1" t="s">
        <v>1507</v>
      </c>
      <c r="BE532" s="1" t="s">
        <v>3227</v>
      </c>
      <c r="BF532" s="1" t="s">
        <v>3228</v>
      </c>
      <c r="BG532" s="1" t="str">
        <f>HYPERLINK("http://dx.doi.org/10.2196/49949","http://dx.doi.org/10.2196/49949")</f>
        <v>http://dx.doi.org/10.2196/49949</v>
      </c>
      <c r="BH532" s="1" t="s">
        <v>1507</v>
      </c>
      <c r="BI532" s="1" t="s">
        <v>1507</v>
      </c>
      <c r="BJ532" s="1">
        <v>11</v>
      </c>
      <c r="BK532" s="1" t="s">
        <v>1585</v>
      </c>
      <c r="BL532" s="1" t="s">
        <v>1573</v>
      </c>
      <c r="BM532" s="1" t="s">
        <v>1585</v>
      </c>
      <c r="BN532" s="1" t="s">
        <v>3229</v>
      </c>
      <c r="BO532" s="1">
        <v>37824185</v>
      </c>
      <c r="BP532" s="1" t="s">
        <v>2518</v>
      </c>
      <c r="BQ532" s="1" t="s">
        <v>1507</v>
      </c>
      <c r="BR532" s="1" t="s">
        <v>1507</v>
      </c>
      <c r="BS532" s="1" t="s">
        <v>13744</v>
      </c>
      <c r="BT532" s="1" t="s">
        <v>3230</v>
      </c>
      <c r="BU532" s="1" t="str">
        <f>HYPERLINK("https%3A%2F%2Fwww.webofscience.com%2Fwos%2Fwoscc%2Ffull-record%2FWOS:001092176300007","View Full Record in Web of Science")</f>
        <v>View Full Record in Web of Science</v>
      </c>
    </row>
    <row r="533" spans="1:73" x14ac:dyDescent="0.25">
      <c r="A533" s="1">
        <v>532</v>
      </c>
      <c r="B533" s="1" t="s">
        <v>1506</v>
      </c>
      <c r="C533" s="1" t="s">
        <v>5049</v>
      </c>
      <c r="D533" s="1" t="s">
        <v>1507</v>
      </c>
      <c r="E533" s="1" t="s">
        <v>1507</v>
      </c>
      <c r="F533" s="1" t="s">
        <v>1507</v>
      </c>
      <c r="G533" s="1" t="s">
        <v>5050</v>
      </c>
      <c r="H533" s="1" t="s">
        <v>1507</v>
      </c>
      <c r="I533" s="1" t="s">
        <v>1507</v>
      </c>
      <c r="J533" s="1" t="s">
        <v>5051</v>
      </c>
      <c r="K533" s="1" t="s">
        <v>5052</v>
      </c>
      <c r="L533" s="1" t="s">
        <v>1507</v>
      </c>
      <c r="M533" s="1" t="s">
        <v>1507</v>
      </c>
      <c r="N533" s="1" t="s">
        <v>42</v>
      </c>
      <c r="O533" s="1" t="s">
        <v>56</v>
      </c>
      <c r="P533" s="1" t="s">
        <v>1507</v>
      </c>
      <c r="Q533" s="1" t="s">
        <v>1507</v>
      </c>
      <c r="R533" s="1" t="s">
        <v>1507</v>
      </c>
      <c r="S533" s="1" t="s">
        <v>1507</v>
      </c>
      <c r="T533" s="1" t="s">
        <v>1507</v>
      </c>
      <c r="U533" s="1" t="s">
        <v>1507</v>
      </c>
      <c r="V533" s="1" t="s">
        <v>5053</v>
      </c>
      <c r="W533" s="1" t="s">
        <v>5054</v>
      </c>
      <c r="X533" s="1" t="s">
        <v>5055</v>
      </c>
      <c r="Y533" s="1" t="s">
        <v>5056</v>
      </c>
      <c r="Z533" s="1" t="s">
        <v>5057</v>
      </c>
      <c r="AA533" s="1" t="s">
        <v>1507</v>
      </c>
      <c r="AB533" s="1" t="s">
        <v>1507</v>
      </c>
      <c r="AC533" s="1" t="s">
        <v>1507</v>
      </c>
      <c r="AD533" s="1" t="s">
        <v>5058</v>
      </c>
      <c r="AE533" s="1" t="s">
        <v>5058</v>
      </c>
      <c r="AF533" s="1" t="s">
        <v>5059</v>
      </c>
      <c r="AG533" s="1" t="s">
        <v>1507</v>
      </c>
      <c r="AH533" s="1">
        <v>140</v>
      </c>
      <c r="AI533" s="1">
        <v>0</v>
      </c>
      <c r="AJ533" s="1">
        <v>0</v>
      </c>
      <c r="AK533" s="1">
        <v>1</v>
      </c>
      <c r="AL533" s="1">
        <v>1</v>
      </c>
      <c r="AM533" s="1" t="s">
        <v>5060</v>
      </c>
      <c r="AN533" s="1" t="s">
        <v>5061</v>
      </c>
      <c r="AO533" s="1" t="s">
        <v>5062</v>
      </c>
      <c r="AP533" s="1" t="s">
        <v>5063</v>
      </c>
      <c r="AQ533" s="1" t="s">
        <v>5064</v>
      </c>
      <c r="AR533" s="1" t="s">
        <v>1507</v>
      </c>
      <c r="AS533" s="1" t="s">
        <v>5065</v>
      </c>
      <c r="AT533" s="1" t="s">
        <v>5066</v>
      </c>
      <c r="AU533" s="1" t="s">
        <v>5045</v>
      </c>
      <c r="AV533" s="1">
        <v>2023</v>
      </c>
      <c r="AW533" s="1">
        <v>45</v>
      </c>
      <c r="AX533" s="1">
        <v>2</v>
      </c>
      <c r="AY533" s="1" t="s">
        <v>1507</v>
      </c>
      <c r="AZ533" s="1" t="s">
        <v>1507</v>
      </c>
      <c r="BA533" s="1" t="s">
        <v>1507</v>
      </c>
      <c r="BB533" s="1" t="s">
        <v>1507</v>
      </c>
      <c r="BC533" s="1">
        <v>306</v>
      </c>
      <c r="BD533" s="1">
        <v>334</v>
      </c>
      <c r="BE533" s="1" t="s">
        <v>1507</v>
      </c>
      <c r="BF533" s="1" t="s">
        <v>5067</v>
      </c>
      <c r="BG533" s="1" t="str">
        <f>HYPERLINK("http://dx.doi.org/10.1353/hrq.2023.0015","http://dx.doi.org/10.1353/hrq.2023.0015")</f>
        <v>http://dx.doi.org/10.1353/hrq.2023.0015</v>
      </c>
      <c r="BH533" s="1" t="s">
        <v>1507</v>
      </c>
      <c r="BI533" s="1" t="s">
        <v>1507</v>
      </c>
      <c r="BJ533" s="1">
        <v>30</v>
      </c>
      <c r="BK533" s="1" t="s">
        <v>5068</v>
      </c>
      <c r="BL533" s="1" t="s">
        <v>1518</v>
      </c>
      <c r="BM533" s="1" t="s">
        <v>5069</v>
      </c>
      <c r="BN533" s="1" t="s">
        <v>5070</v>
      </c>
      <c r="BO533" s="1" t="s">
        <v>1507</v>
      </c>
      <c r="BP533" s="1" t="s">
        <v>5071</v>
      </c>
      <c r="BQ533" s="1" t="s">
        <v>1507</v>
      </c>
      <c r="BR533" s="1" t="s">
        <v>1507</v>
      </c>
      <c r="BS533" s="1" t="s">
        <v>13744</v>
      </c>
      <c r="BT533" s="1" t="s">
        <v>5072</v>
      </c>
      <c r="BU533" s="1" t="str">
        <f>HYPERLINK("https%3A%2F%2Fwww.webofscience.com%2Fwos%2Fwoscc%2Ffull-record%2FWOS:000988636300006","View Full Record in Web of Science")</f>
        <v>View Full Record in Web of Science</v>
      </c>
    </row>
    <row r="534" spans="1:73" x14ac:dyDescent="0.25">
      <c r="A534" s="1">
        <v>533</v>
      </c>
      <c r="B534" s="1" t="s">
        <v>1506</v>
      </c>
      <c r="C534" s="1" t="s">
        <v>2659</v>
      </c>
      <c r="D534" s="1" t="s">
        <v>1507</v>
      </c>
      <c r="E534" s="1" t="s">
        <v>1507</v>
      </c>
      <c r="F534" s="1" t="s">
        <v>1507</v>
      </c>
      <c r="G534" s="1" t="s">
        <v>2660</v>
      </c>
      <c r="H534" s="1" t="s">
        <v>1507</v>
      </c>
      <c r="I534" s="1" t="s">
        <v>1507</v>
      </c>
      <c r="J534" s="1" t="s">
        <v>2661</v>
      </c>
      <c r="K534" s="1" t="s">
        <v>2662</v>
      </c>
      <c r="L534" s="1" t="s">
        <v>1507</v>
      </c>
      <c r="M534" s="1" t="s">
        <v>1507</v>
      </c>
      <c r="N534" s="1" t="s">
        <v>42</v>
      </c>
      <c r="O534" s="1" t="s">
        <v>56</v>
      </c>
      <c r="P534" s="1" t="s">
        <v>1507</v>
      </c>
      <c r="Q534" s="1" t="s">
        <v>1507</v>
      </c>
      <c r="R534" s="1" t="s">
        <v>1507</v>
      </c>
      <c r="S534" s="1" t="s">
        <v>1507</v>
      </c>
      <c r="T534" s="1" t="s">
        <v>1507</v>
      </c>
      <c r="U534" s="1" t="s">
        <v>2663</v>
      </c>
      <c r="V534" s="1" t="s">
        <v>2664</v>
      </c>
      <c r="W534" s="1" t="s">
        <v>2665</v>
      </c>
      <c r="X534" s="1" t="s">
        <v>2666</v>
      </c>
      <c r="Y534" s="1" t="s">
        <v>2667</v>
      </c>
      <c r="Z534" s="1" t="s">
        <v>2668</v>
      </c>
      <c r="AA534" s="1" t="s">
        <v>2669</v>
      </c>
      <c r="AB534" s="1" t="s">
        <v>14004</v>
      </c>
      <c r="AC534" s="1" t="s">
        <v>14005</v>
      </c>
      <c r="AD534" s="1" t="s">
        <v>2670</v>
      </c>
      <c r="AE534" s="1" t="s">
        <v>2671</v>
      </c>
      <c r="AF534" s="1" t="s">
        <v>2672</v>
      </c>
      <c r="AG534" s="1" t="s">
        <v>1507</v>
      </c>
      <c r="AH534" s="1">
        <v>138</v>
      </c>
      <c r="AI534" s="1">
        <v>1</v>
      </c>
      <c r="AJ534" s="1">
        <v>1</v>
      </c>
      <c r="AK534" s="1">
        <v>33</v>
      </c>
      <c r="AL534" s="1">
        <v>33</v>
      </c>
      <c r="AM534" s="1" t="s">
        <v>1579</v>
      </c>
      <c r="AN534" s="1" t="s">
        <v>1580</v>
      </c>
      <c r="AO534" s="1" t="s">
        <v>1581</v>
      </c>
      <c r="AP534" s="1" t="s">
        <v>2673</v>
      </c>
      <c r="AQ534" s="1" t="s">
        <v>2674</v>
      </c>
      <c r="AR534" s="1" t="s">
        <v>1507</v>
      </c>
      <c r="AS534" s="1" t="s">
        <v>2675</v>
      </c>
      <c r="AT534" s="1" t="s">
        <v>2676</v>
      </c>
      <c r="AU534" s="1" t="s">
        <v>5362</v>
      </c>
      <c r="AV534" s="1">
        <v>2024</v>
      </c>
      <c r="AW534" s="1">
        <v>103</v>
      </c>
      <c r="AX534" s="1" t="s">
        <v>1507</v>
      </c>
      <c r="AY534" s="1" t="s">
        <v>1507</v>
      </c>
      <c r="AZ534" s="1" t="s">
        <v>1507</v>
      </c>
      <c r="BA534" s="1" t="s">
        <v>1507</v>
      </c>
      <c r="BB534" s="1" t="s">
        <v>1507</v>
      </c>
      <c r="BC534" s="1" t="s">
        <v>1507</v>
      </c>
      <c r="BD534" s="1" t="s">
        <v>1507</v>
      </c>
      <c r="BE534" s="1">
        <v>102135</v>
      </c>
      <c r="BF534" s="1" t="s">
        <v>2677</v>
      </c>
      <c r="BG534" s="1" t="str">
        <f>HYPERLINK("http://dx.doi.org/10.1016/j.inffus.2023.102135","http://dx.doi.org/10.1016/j.inffus.2023.102135")</f>
        <v>http://dx.doi.org/10.1016/j.inffus.2023.102135</v>
      </c>
      <c r="BH534" s="1" t="s">
        <v>1507</v>
      </c>
      <c r="BI534" s="1" t="s">
        <v>2396</v>
      </c>
      <c r="BJ534" s="1">
        <v>16</v>
      </c>
      <c r="BK534" s="1" t="s">
        <v>2678</v>
      </c>
      <c r="BL534" s="1" t="s">
        <v>1573</v>
      </c>
      <c r="BM534" s="1" t="s">
        <v>1577</v>
      </c>
      <c r="BN534" s="1" t="s">
        <v>2679</v>
      </c>
      <c r="BO534" s="1" t="s">
        <v>1507</v>
      </c>
      <c r="BP534" s="1" t="s">
        <v>1600</v>
      </c>
      <c r="BQ534" s="1" t="s">
        <v>1507</v>
      </c>
      <c r="BR534" s="1" t="s">
        <v>1507</v>
      </c>
      <c r="BS534" s="1" t="s">
        <v>13744</v>
      </c>
      <c r="BT534" s="1" t="s">
        <v>2680</v>
      </c>
      <c r="BU534" s="1" t="str">
        <f>HYPERLINK("https%3A%2F%2Fwww.webofscience.com%2Fwos%2Fwoscc%2Ffull-record%2FWOS:001112351800001","View Full Record in Web of Science")</f>
        <v>View Full Record in Web of Science</v>
      </c>
    </row>
    <row r="535" spans="1:73" x14ac:dyDescent="0.25">
      <c r="A535" s="1">
        <v>534</v>
      </c>
      <c r="B535" s="1" t="s">
        <v>1506</v>
      </c>
      <c r="C535" s="1" t="s">
        <v>8813</v>
      </c>
      <c r="D535" s="1" t="s">
        <v>1507</v>
      </c>
      <c r="E535" s="1" t="s">
        <v>1507</v>
      </c>
      <c r="F535" s="1" t="s">
        <v>1507</v>
      </c>
      <c r="G535" s="1" t="s">
        <v>8814</v>
      </c>
      <c r="H535" s="1" t="s">
        <v>1507</v>
      </c>
      <c r="I535" s="1" t="s">
        <v>1507</v>
      </c>
      <c r="J535" s="1" t="s">
        <v>8815</v>
      </c>
      <c r="K535" s="1" t="s">
        <v>8816</v>
      </c>
      <c r="L535" s="1" t="s">
        <v>1507</v>
      </c>
      <c r="M535" s="1" t="s">
        <v>1507</v>
      </c>
      <c r="N535" s="1" t="s">
        <v>42</v>
      </c>
      <c r="O535" s="1" t="s">
        <v>56</v>
      </c>
      <c r="P535" s="1" t="s">
        <v>1507</v>
      </c>
      <c r="Q535" s="1" t="s">
        <v>1507</v>
      </c>
      <c r="R535" s="1" t="s">
        <v>1507</v>
      </c>
      <c r="S535" s="1" t="s">
        <v>1507</v>
      </c>
      <c r="T535" s="1" t="s">
        <v>1507</v>
      </c>
      <c r="U535" s="1" t="s">
        <v>8817</v>
      </c>
      <c r="V535" s="1" t="s">
        <v>1507</v>
      </c>
      <c r="W535" s="1" t="s">
        <v>8818</v>
      </c>
      <c r="X535" s="1" t="s">
        <v>8819</v>
      </c>
      <c r="Y535" s="1" t="s">
        <v>8820</v>
      </c>
      <c r="Z535" s="1" t="s">
        <v>8821</v>
      </c>
      <c r="AA535" s="1" t="s">
        <v>8822</v>
      </c>
      <c r="AB535" s="1" t="s">
        <v>1507</v>
      </c>
      <c r="AC535" s="1" t="s">
        <v>8823</v>
      </c>
      <c r="AD535" s="1" t="s">
        <v>8824</v>
      </c>
      <c r="AE535" s="1" t="s">
        <v>8824</v>
      </c>
      <c r="AF535" s="1" t="s">
        <v>8825</v>
      </c>
      <c r="AG535" s="1" t="s">
        <v>1507</v>
      </c>
      <c r="AH535" s="1">
        <v>64</v>
      </c>
      <c r="AI535" s="1">
        <v>5</v>
      </c>
      <c r="AJ535" s="1">
        <v>6</v>
      </c>
      <c r="AK535" s="1">
        <v>2</v>
      </c>
      <c r="AL535" s="1">
        <v>4</v>
      </c>
      <c r="AM535" s="1" t="s">
        <v>8826</v>
      </c>
      <c r="AN535" s="1" t="s">
        <v>8827</v>
      </c>
      <c r="AO535" s="1" t="s">
        <v>8828</v>
      </c>
      <c r="AP535" s="1" t="s">
        <v>8829</v>
      </c>
      <c r="AQ535" s="1" t="s">
        <v>8830</v>
      </c>
      <c r="AR535" s="1" t="s">
        <v>1507</v>
      </c>
      <c r="AS535" s="1" t="s">
        <v>8816</v>
      </c>
      <c r="AT535" s="1" t="s">
        <v>8831</v>
      </c>
      <c r="AU535" s="1" t="s">
        <v>8832</v>
      </c>
      <c r="AV535" s="1">
        <v>2021</v>
      </c>
      <c r="AW535" s="1">
        <v>63</v>
      </c>
      <c r="AX535" s="1">
        <v>2</v>
      </c>
      <c r="AY535" s="1" t="s">
        <v>1507</v>
      </c>
      <c r="AZ535" s="1" t="s">
        <v>1507</v>
      </c>
      <c r="BA535" s="1" t="s">
        <v>1507</v>
      </c>
      <c r="BB535" s="1" t="s">
        <v>1507</v>
      </c>
      <c r="BC535" s="1">
        <v>179</v>
      </c>
      <c r="BD535" s="1">
        <v>193</v>
      </c>
      <c r="BE535" s="1" t="s">
        <v>1507</v>
      </c>
      <c r="BF535" s="1" t="s">
        <v>8833</v>
      </c>
      <c r="BG535" s="1" t="str">
        <f>HYPERLINK("http://dx.doi.org/10.1016/j.oceano.2020.11.004","http://dx.doi.org/10.1016/j.oceano.2020.11.004")</f>
        <v>http://dx.doi.org/10.1016/j.oceano.2020.11.004</v>
      </c>
      <c r="BH535" s="1" t="s">
        <v>1507</v>
      </c>
      <c r="BI535" s="1" t="s">
        <v>1507</v>
      </c>
      <c r="BJ535" s="1">
        <v>15</v>
      </c>
      <c r="BK535" s="1" t="s">
        <v>8834</v>
      </c>
      <c r="BL535" s="1" t="s">
        <v>1573</v>
      </c>
      <c r="BM535" s="1" t="s">
        <v>8834</v>
      </c>
      <c r="BN535" s="1" t="s">
        <v>8835</v>
      </c>
      <c r="BO535" s="1" t="s">
        <v>1507</v>
      </c>
      <c r="BP535" s="1" t="s">
        <v>1531</v>
      </c>
      <c r="BQ535" s="1" t="s">
        <v>1507</v>
      </c>
      <c r="BR535" s="1" t="s">
        <v>1507</v>
      </c>
      <c r="BS535" s="1" t="s">
        <v>13744</v>
      </c>
      <c r="BT535" s="1" t="s">
        <v>8836</v>
      </c>
      <c r="BU535" s="1" t="str">
        <f>HYPERLINK("https%3A%2F%2Fwww.webofscience.com%2Fwos%2Fwoscc%2Ffull-record%2FWOS:000634931500002","View Full Record in Web of Science")</f>
        <v>View Full Record in Web of Science</v>
      </c>
    </row>
    <row r="536" spans="1:73" x14ac:dyDescent="0.25">
      <c r="A536" s="1">
        <v>535</v>
      </c>
      <c r="B536" s="1" t="s">
        <v>1506</v>
      </c>
      <c r="C536" s="1" t="s">
        <v>1819</v>
      </c>
      <c r="D536" s="1" t="s">
        <v>1507</v>
      </c>
      <c r="E536" s="1" t="s">
        <v>1507</v>
      </c>
      <c r="F536" s="1" t="s">
        <v>1507</v>
      </c>
      <c r="G536" s="1" t="s">
        <v>1820</v>
      </c>
      <c r="H536" s="1" t="s">
        <v>1507</v>
      </c>
      <c r="I536" s="1" t="s">
        <v>1507</v>
      </c>
      <c r="J536" s="1" t="s">
        <v>1821</v>
      </c>
      <c r="K536" s="1" t="s">
        <v>1822</v>
      </c>
      <c r="L536" s="1" t="s">
        <v>1507</v>
      </c>
      <c r="M536" s="1" t="s">
        <v>1507</v>
      </c>
      <c r="N536" s="1" t="s">
        <v>42</v>
      </c>
      <c r="O536" s="1" t="s">
        <v>1509</v>
      </c>
      <c r="P536" s="1" t="s">
        <v>1507</v>
      </c>
      <c r="Q536" s="1" t="s">
        <v>1507</v>
      </c>
      <c r="R536" s="1" t="s">
        <v>1507</v>
      </c>
      <c r="S536" s="1" t="s">
        <v>1507</v>
      </c>
      <c r="T536" s="1" t="s">
        <v>1507</v>
      </c>
      <c r="U536" s="1" t="s">
        <v>1823</v>
      </c>
      <c r="V536" s="1" t="s">
        <v>1824</v>
      </c>
      <c r="W536" s="1" t="s">
        <v>1825</v>
      </c>
      <c r="X536" s="1" t="s">
        <v>1826</v>
      </c>
      <c r="Y536" s="1" t="s">
        <v>1827</v>
      </c>
      <c r="Z536" s="1" t="s">
        <v>1828</v>
      </c>
      <c r="AA536" s="1" t="s">
        <v>1829</v>
      </c>
      <c r="AB536" s="1" t="s">
        <v>13801</v>
      </c>
      <c r="AC536" s="1" t="s">
        <v>13802</v>
      </c>
      <c r="AD536" s="1" t="s">
        <v>1830</v>
      </c>
      <c r="AE536" s="1" t="s">
        <v>1831</v>
      </c>
      <c r="AF536" s="1" t="s">
        <v>1832</v>
      </c>
      <c r="AG536" s="1" t="s">
        <v>1507</v>
      </c>
      <c r="AH536" s="1">
        <v>75</v>
      </c>
      <c r="AI536" s="1">
        <v>0</v>
      </c>
      <c r="AJ536" s="1">
        <v>0</v>
      </c>
      <c r="AK536" s="1">
        <v>5</v>
      </c>
      <c r="AL536" s="1">
        <v>5</v>
      </c>
      <c r="AM536" s="1" t="s">
        <v>1559</v>
      </c>
      <c r="AN536" s="1" t="s">
        <v>1560</v>
      </c>
      <c r="AO536" s="1" t="s">
        <v>1561</v>
      </c>
      <c r="AP536" s="1" t="s">
        <v>1833</v>
      </c>
      <c r="AQ536" s="1" t="s">
        <v>1834</v>
      </c>
      <c r="AR536" s="1" t="s">
        <v>1507</v>
      </c>
      <c r="AS536" s="1" t="s">
        <v>1822</v>
      </c>
      <c r="AT536" s="1" t="s">
        <v>1835</v>
      </c>
      <c r="AU536" s="1" t="s">
        <v>1836</v>
      </c>
      <c r="AV536" s="1">
        <v>2023</v>
      </c>
      <c r="AW536" s="1" t="s">
        <v>1507</v>
      </c>
      <c r="AX536" s="1" t="s">
        <v>1507</v>
      </c>
      <c r="AY536" s="1" t="s">
        <v>1507</v>
      </c>
      <c r="AZ536" s="1" t="s">
        <v>1507</v>
      </c>
      <c r="BA536" s="1" t="s">
        <v>1507</v>
      </c>
      <c r="BB536" s="1" t="s">
        <v>1507</v>
      </c>
      <c r="BC536" s="1" t="s">
        <v>1507</v>
      </c>
      <c r="BD536" s="1" t="s">
        <v>1507</v>
      </c>
      <c r="BE536" s="1" t="s">
        <v>1507</v>
      </c>
      <c r="BF536" s="1" t="s">
        <v>1837</v>
      </c>
      <c r="BG536" s="1" t="str">
        <f>HYPERLINK("http://dx.doi.org/10.1111/btp.13290","http://dx.doi.org/10.1111/btp.13290")</f>
        <v>http://dx.doi.org/10.1111/btp.13290</v>
      </c>
      <c r="BH536" s="1" t="s">
        <v>1507</v>
      </c>
      <c r="BI536" s="1" t="s">
        <v>1652</v>
      </c>
      <c r="BJ536" s="1">
        <v>13</v>
      </c>
      <c r="BK536" s="1" t="s">
        <v>1838</v>
      </c>
      <c r="BL536" s="1" t="s">
        <v>1573</v>
      </c>
      <c r="BM536" s="1" t="s">
        <v>1839</v>
      </c>
      <c r="BN536" s="1" t="s">
        <v>1840</v>
      </c>
      <c r="BO536" s="1" t="s">
        <v>1507</v>
      </c>
      <c r="BP536" s="1" t="s">
        <v>1537</v>
      </c>
      <c r="BQ536" s="1" t="s">
        <v>1507</v>
      </c>
      <c r="BR536" s="1" t="s">
        <v>1507</v>
      </c>
      <c r="BS536" s="1" t="s">
        <v>13744</v>
      </c>
      <c r="BT536" s="1" t="s">
        <v>1841</v>
      </c>
      <c r="BU536" s="1" t="str">
        <f>HYPERLINK("https%3A%2F%2Fwww.webofscience.com%2Fwos%2Fwoscc%2Ffull-record%2FWOS:001128676000001","View Full Record in Web of Science")</f>
        <v>View Full Record in Web of Science</v>
      </c>
    </row>
    <row r="537" spans="1:73" x14ac:dyDescent="0.25">
      <c r="A537" s="1">
        <v>536</v>
      </c>
      <c r="B537" s="1" t="s">
        <v>1506</v>
      </c>
      <c r="C537" s="1" t="s">
        <v>6463</v>
      </c>
      <c r="D537" s="1" t="s">
        <v>1507</v>
      </c>
      <c r="E537" s="1" t="s">
        <v>1507</v>
      </c>
      <c r="F537" s="1" t="s">
        <v>1507</v>
      </c>
      <c r="G537" s="1" t="s">
        <v>6464</v>
      </c>
      <c r="H537" s="1" t="s">
        <v>1507</v>
      </c>
      <c r="I537" s="1" t="s">
        <v>1507</v>
      </c>
      <c r="J537" s="1" t="s">
        <v>6465</v>
      </c>
      <c r="K537" s="1" t="s">
        <v>6466</v>
      </c>
      <c r="L537" s="1" t="s">
        <v>1507</v>
      </c>
      <c r="M537" s="1" t="s">
        <v>1507</v>
      </c>
      <c r="N537" s="1" t="s">
        <v>42</v>
      </c>
      <c r="O537" s="1" t="s">
        <v>56</v>
      </c>
      <c r="P537" s="1" t="s">
        <v>1507</v>
      </c>
      <c r="Q537" s="1" t="s">
        <v>1507</v>
      </c>
      <c r="R537" s="1" t="s">
        <v>1507</v>
      </c>
      <c r="S537" s="1" t="s">
        <v>1507</v>
      </c>
      <c r="T537" s="1" t="s">
        <v>1507</v>
      </c>
      <c r="U537" s="1" t="s">
        <v>6467</v>
      </c>
      <c r="V537" s="1" t="s">
        <v>6468</v>
      </c>
      <c r="W537" s="1" t="s">
        <v>6469</v>
      </c>
      <c r="X537" s="1" t="s">
        <v>6470</v>
      </c>
      <c r="Y537" s="1" t="s">
        <v>6471</v>
      </c>
      <c r="Z537" s="1" t="s">
        <v>6472</v>
      </c>
      <c r="AA537" s="1" t="s">
        <v>6473</v>
      </c>
      <c r="AB537" s="1" t="s">
        <v>1507</v>
      </c>
      <c r="AC537" s="1" t="s">
        <v>6474</v>
      </c>
      <c r="AD537" s="1" t="s">
        <v>1507</v>
      </c>
      <c r="AE537" s="1" t="s">
        <v>1507</v>
      </c>
      <c r="AF537" s="1" t="s">
        <v>1507</v>
      </c>
      <c r="AG537" s="1" t="s">
        <v>1507</v>
      </c>
      <c r="AH537" s="1">
        <v>73</v>
      </c>
      <c r="AI537" s="1">
        <v>0</v>
      </c>
      <c r="AJ537" s="1">
        <v>0</v>
      </c>
      <c r="AK537" s="1">
        <v>24</v>
      </c>
      <c r="AL537" s="1">
        <v>24</v>
      </c>
      <c r="AM537" s="1" t="s">
        <v>6475</v>
      </c>
      <c r="AN537" s="1" t="s">
        <v>6476</v>
      </c>
      <c r="AO537" s="1" t="s">
        <v>6477</v>
      </c>
      <c r="AP537" s="1" t="s">
        <v>6478</v>
      </c>
      <c r="AQ537" s="1" t="s">
        <v>6479</v>
      </c>
      <c r="AR537" s="1" t="s">
        <v>1507</v>
      </c>
      <c r="AS537" s="1" t="s">
        <v>6480</v>
      </c>
      <c r="AT537" s="1" t="s">
        <v>6481</v>
      </c>
      <c r="AU537" s="1" t="s">
        <v>1507</v>
      </c>
      <c r="AV537" s="1">
        <v>2023</v>
      </c>
      <c r="AW537" s="1">
        <v>19</v>
      </c>
      <c r="AX537" s="1">
        <v>4</v>
      </c>
      <c r="AY537" s="1" t="s">
        <v>1507</v>
      </c>
      <c r="AZ537" s="1" t="s">
        <v>1507</v>
      </c>
      <c r="BA537" s="1" t="s">
        <v>1507</v>
      </c>
      <c r="BB537" s="1" t="s">
        <v>1507</v>
      </c>
      <c r="BC537" s="1">
        <v>21</v>
      </c>
      <c r="BD537" s="1">
        <v>34</v>
      </c>
      <c r="BE537" s="1" t="s">
        <v>1507</v>
      </c>
      <c r="BF537" s="1" t="s">
        <v>6482</v>
      </c>
      <c r="BG537" s="1" t="str">
        <f>HYPERLINK("http://dx.doi.org/10.18089/tms.2023.190402","http://dx.doi.org/10.18089/tms.2023.190402")</f>
        <v>http://dx.doi.org/10.18089/tms.2023.190402</v>
      </c>
      <c r="BH537" s="1" t="s">
        <v>1507</v>
      </c>
      <c r="BI537" s="1" t="s">
        <v>1507</v>
      </c>
      <c r="BJ537" s="1">
        <v>14</v>
      </c>
      <c r="BK537" s="1" t="s">
        <v>6483</v>
      </c>
      <c r="BL537" s="1" t="s">
        <v>1529</v>
      </c>
      <c r="BM537" s="1" t="s">
        <v>6484</v>
      </c>
      <c r="BN537" s="1" t="s">
        <v>6485</v>
      </c>
      <c r="BO537" s="1" t="s">
        <v>1507</v>
      </c>
      <c r="BP537" s="1" t="s">
        <v>1553</v>
      </c>
      <c r="BQ537" s="1" t="s">
        <v>1507</v>
      </c>
      <c r="BR537" s="1" t="s">
        <v>1507</v>
      </c>
      <c r="BS537" s="1" t="s">
        <v>13744</v>
      </c>
      <c r="BT537" s="1" t="s">
        <v>6486</v>
      </c>
      <c r="BU537" s="1" t="str">
        <f>HYPERLINK("https%3A%2F%2Fwww.webofscience.com%2Fwos%2Fwoscc%2Ffull-record%2FWOS:001108771500003","View Full Record in Web of Science")</f>
        <v>View Full Record in Web of Science</v>
      </c>
    </row>
    <row r="538" spans="1:73" x14ac:dyDescent="0.25">
      <c r="A538" s="1">
        <v>537</v>
      </c>
      <c r="B538" s="1" t="s">
        <v>1506</v>
      </c>
      <c r="C538" s="1" t="s">
        <v>4926</v>
      </c>
      <c r="D538" s="1" t="s">
        <v>1507</v>
      </c>
      <c r="E538" s="1" t="s">
        <v>1507</v>
      </c>
      <c r="F538" s="1" t="s">
        <v>1507</v>
      </c>
      <c r="G538" s="1" t="s">
        <v>4927</v>
      </c>
      <c r="H538" s="1" t="s">
        <v>1507</v>
      </c>
      <c r="I538" s="1" t="s">
        <v>1507</v>
      </c>
      <c r="J538" s="1" t="s">
        <v>4928</v>
      </c>
      <c r="K538" s="1" t="s">
        <v>4929</v>
      </c>
      <c r="L538" s="1" t="s">
        <v>1507</v>
      </c>
      <c r="M538" s="1" t="s">
        <v>1507</v>
      </c>
      <c r="N538" s="1" t="s">
        <v>42</v>
      </c>
      <c r="O538" s="1" t="s">
        <v>56</v>
      </c>
      <c r="P538" s="1" t="s">
        <v>1507</v>
      </c>
      <c r="Q538" s="1" t="s">
        <v>1507</v>
      </c>
      <c r="R538" s="1" t="s">
        <v>1507</v>
      </c>
      <c r="S538" s="1" t="s">
        <v>1507</v>
      </c>
      <c r="T538" s="1" t="s">
        <v>1507</v>
      </c>
      <c r="U538" s="1" t="s">
        <v>220</v>
      </c>
      <c r="V538" s="1" t="s">
        <v>1507</v>
      </c>
      <c r="W538" s="1" t="s">
        <v>4930</v>
      </c>
      <c r="X538" s="1" t="s">
        <v>4931</v>
      </c>
      <c r="Y538" s="1" t="s">
        <v>1507</v>
      </c>
      <c r="Z538" s="1" t="s">
        <v>4932</v>
      </c>
      <c r="AA538" s="1" t="s">
        <v>4933</v>
      </c>
      <c r="AB538" s="1" t="s">
        <v>1507</v>
      </c>
      <c r="AC538" s="1" t="s">
        <v>1507</v>
      </c>
      <c r="AD538" s="1" t="s">
        <v>1507</v>
      </c>
      <c r="AE538" s="1" t="s">
        <v>1507</v>
      </c>
      <c r="AF538" s="1" t="s">
        <v>1507</v>
      </c>
      <c r="AG538" s="1" t="s">
        <v>1507</v>
      </c>
      <c r="AH538" s="1">
        <v>14</v>
      </c>
      <c r="AI538" s="1">
        <v>11</v>
      </c>
      <c r="AJ538" s="1">
        <v>11</v>
      </c>
      <c r="AK538" s="1">
        <v>5</v>
      </c>
      <c r="AL538" s="1">
        <v>17</v>
      </c>
      <c r="AM538" s="1" t="s">
        <v>1559</v>
      </c>
      <c r="AN538" s="1" t="s">
        <v>1560</v>
      </c>
      <c r="AO538" s="1" t="s">
        <v>1561</v>
      </c>
      <c r="AP538" s="1" t="s">
        <v>4934</v>
      </c>
      <c r="AQ538" s="1" t="s">
        <v>4935</v>
      </c>
      <c r="AR538" s="1" t="s">
        <v>1507</v>
      </c>
      <c r="AS538" s="1" t="s">
        <v>4936</v>
      </c>
      <c r="AT538" s="1" t="s">
        <v>221</v>
      </c>
      <c r="AU538" s="1" t="s">
        <v>4556</v>
      </c>
      <c r="AV538" s="1">
        <v>2023</v>
      </c>
      <c r="AW538" s="1">
        <v>26</v>
      </c>
      <c r="AX538" s="1">
        <v>7</v>
      </c>
      <c r="AY538" s="1" t="s">
        <v>1507</v>
      </c>
      <c r="AZ538" s="1" t="s">
        <v>1507</v>
      </c>
      <c r="BA538" s="1" t="s">
        <v>1507</v>
      </c>
      <c r="BB538" s="1" t="s">
        <v>1507</v>
      </c>
      <c r="BC538" s="1">
        <v>1343</v>
      </c>
      <c r="BD538" s="1">
        <v>1349</v>
      </c>
      <c r="BE538" s="1" t="s">
        <v>1507</v>
      </c>
      <c r="BF538" s="1" t="s">
        <v>216</v>
      </c>
      <c r="BG538" s="1" t="str">
        <f>HYPERLINK("http://dx.doi.org/10.1111/1756-185X.14749","http://dx.doi.org/10.1111/1756-185X.14749")</f>
        <v>http://dx.doi.org/10.1111/1756-185X.14749</v>
      </c>
      <c r="BH538" s="1" t="s">
        <v>1507</v>
      </c>
      <c r="BI538" s="1" t="s">
        <v>4832</v>
      </c>
      <c r="BJ538" s="1">
        <v>7</v>
      </c>
      <c r="BK538" s="1" t="s">
        <v>4937</v>
      </c>
      <c r="BL538" s="1" t="s">
        <v>1573</v>
      </c>
      <c r="BM538" s="1" t="s">
        <v>4937</v>
      </c>
      <c r="BN538" s="1" t="s">
        <v>4938</v>
      </c>
      <c r="BO538" s="1">
        <v>37218530</v>
      </c>
      <c r="BP538" s="1" t="s">
        <v>1507</v>
      </c>
      <c r="BQ538" s="1" t="s">
        <v>1507</v>
      </c>
      <c r="BR538" s="1" t="s">
        <v>1507</v>
      </c>
      <c r="BS538" s="1" t="s">
        <v>13744</v>
      </c>
      <c r="BT538" s="1" t="s">
        <v>4939</v>
      </c>
      <c r="BU538" s="1" t="str">
        <f>HYPERLINK("https%3A%2F%2Fwww.webofscience.com%2Fwos%2Fwoscc%2Ffull-record%2FWOS:000993728100001","View Full Record in Web of Science")</f>
        <v>View Full Record in Web of Science</v>
      </c>
    </row>
    <row r="539" spans="1:73" x14ac:dyDescent="0.25">
      <c r="A539" s="1">
        <v>538</v>
      </c>
      <c r="B539" s="1" t="s">
        <v>1506</v>
      </c>
      <c r="C539" s="1" t="s">
        <v>6487</v>
      </c>
      <c r="D539" s="1" t="s">
        <v>1507</v>
      </c>
      <c r="E539" s="1" t="s">
        <v>1507</v>
      </c>
      <c r="F539" s="1" t="s">
        <v>1507</v>
      </c>
      <c r="G539" s="1" t="s">
        <v>6488</v>
      </c>
      <c r="H539" s="1" t="s">
        <v>1507</v>
      </c>
      <c r="I539" s="1" t="s">
        <v>1507</v>
      </c>
      <c r="J539" s="1" t="s">
        <v>6489</v>
      </c>
      <c r="K539" s="1" t="s">
        <v>6490</v>
      </c>
      <c r="L539" s="1" t="s">
        <v>1507</v>
      </c>
      <c r="M539" s="1" t="s">
        <v>1507</v>
      </c>
      <c r="N539" s="1" t="s">
        <v>42</v>
      </c>
      <c r="O539" s="1" t="s">
        <v>56</v>
      </c>
      <c r="P539" s="1" t="s">
        <v>1507</v>
      </c>
      <c r="Q539" s="1" t="s">
        <v>1507</v>
      </c>
      <c r="R539" s="1" t="s">
        <v>1507</v>
      </c>
      <c r="S539" s="1" t="s">
        <v>1507</v>
      </c>
      <c r="T539" s="1" t="s">
        <v>1507</v>
      </c>
      <c r="U539" s="1" t="s">
        <v>6491</v>
      </c>
      <c r="V539" s="1" t="s">
        <v>6492</v>
      </c>
      <c r="W539" s="1" t="s">
        <v>6493</v>
      </c>
      <c r="X539" s="1" t="s">
        <v>6494</v>
      </c>
      <c r="Y539" s="1" t="s">
        <v>6495</v>
      </c>
      <c r="Z539" s="1" t="s">
        <v>6496</v>
      </c>
      <c r="AA539" s="1" t="s">
        <v>6497</v>
      </c>
      <c r="AB539" s="1" t="s">
        <v>6498</v>
      </c>
      <c r="AC539" s="1" t="s">
        <v>15419</v>
      </c>
      <c r="AD539" s="1" t="s">
        <v>6499</v>
      </c>
      <c r="AE539" s="1" t="s">
        <v>6500</v>
      </c>
      <c r="AF539" s="1" t="s">
        <v>6501</v>
      </c>
      <c r="AG539" s="1" t="s">
        <v>1507</v>
      </c>
      <c r="AH539" s="1">
        <v>35</v>
      </c>
      <c r="AI539" s="1">
        <v>0</v>
      </c>
      <c r="AJ539" s="1">
        <v>0</v>
      </c>
      <c r="AK539" s="1">
        <v>0</v>
      </c>
      <c r="AL539" s="1">
        <v>8</v>
      </c>
      <c r="AM539" s="1" t="s">
        <v>6502</v>
      </c>
      <c r="AN539" s="1" t="s">
        <v>6503</v>
      </c>
      <c r="AO539" s="1" t="s">
        <v>6504</v>
      </c>
      <c r="AP539" s="1" t="s">
        <v>6505</v>
      </c>
      <c r="AQ539" s="1" t="s">
        <v>6506</v>
      </c>
      <c r="AR539" s="1" t="s">
        <v>1507</v>
      </c>
      <c r="AS539" s="1" t="s">
        <v>6507</v>
      </c>
      <c r="AT539" s="1" t="s">
        <v>6508</v>
      </c>
      <c r="AU539" s="1" t="s">
        <v>1507</v>
      </c>
      <c r="AV539" s="1">
        <v>2023</v>
      </c>
      <c r="AW539" s="1">
        <v>45</v>
      </c>
      <c r="AX539" s="1" t="s">
        <v>1507</v>
      </c>
      <c r="AY539" s="1" t="s">
        <v>1507</v>
      </c>
      <c r="AZ539" s="1" t="s">
        <v>1507</v>
      </c>
      <c r="BA539" s="1" t="s">
        <v>1507</v>
      </c>
      <c r="BB539" s="1" t="s">
        <v>1507</v>
      </c>
      <c r="BC539" s="1" t="s">
        <v>1507</v>
      </c>
      <c r="BD539" s="1" t="s">
        <v>1507</v>
      </c>
      <c r="BE539" s="1" t="s">
        <v>6509</v>
      </c>
      <c r="BF539" s="1" t="s">
        <v>6510</v>
      </c>
      <c r="BG539" s="1" t="str">
        <f>HYPERLINK("http://dx.doi.org/10.4025/actasciagron.v45i1.56160","http://dx.doi.org/10.4025/actasciagron.v45i1.56160")</f>
        <v>http://dx.doi.org/10.4025/actasciagron.v45i1.56160</v>
      </c>
      <c r="BH539" s="1" t="s">
        <v>1507</v>
      </c>
      <c r="BI539" s="1" t="s">
        <v>1507</v>
      </c>
      <c r="BJ539" s="1">
        <v>10</v>
      </c>
      <c r="BK539" s="1" t="s">
        <v>6511</v>
      </c>
      <c r="BL539" s="1" t="s">
        <v>1573</v>
      </c>
      <c r="BM539" s="1" t="s">
        <v>6512</v>
      </c>
      <c r="BN539" s="1" t="s">
        <v>6513</v>
      </c>
      <c r="BO539" s="1" t="s">
        <v>1507</v>
      </c>
      <c r="BP539" s="1" t="s">
        <v>1674</v>
      </c>
      <c r="BQ539" s="1" t="s">
        <v>1507</v>
      </c>
      <c r="BR539" s="1" t="s">
        <v>1507</v>
      </c>
      <c r="BS539" s="1" t="s">
        <v>13744</v>
      </c>
      <c r="BT539" s="1" t="s">
        <v>6514</v>
      </c>
      <c r="BU539" s="1" t="str">
        <f>HYPERLINK("https%3A%2F%2Fwww.webofscience.com%2Fwos%2Fwoscc%2Ffull-record%2FWOS:000874820200001","View Full Record in Web of Science")</f>
        <v>View Full Record in Web of Science</v>
      </c>
    </row>
    <row r="540" spans="1:73" x14ac:dyDescent="0.25">
      <c r="A540" s="1">
        <v>539</v>
      </c>
      <c r="B540" s="1" t="s">
        <v>1506</v>
      </c>
      <c r="C540" s="1" t="s">
        <v>2681</v>
      </c>
      <c r="D540" s="1" t="s">
        <v>1507</v>
      </c>
      <c r="E540" s="1" t="s">
        <v>1507</v>
      </c>
      <c r="F540" s="1" t="s">
        <v>1507</v>
      </c>
      <c r="G540" s="1" t="s">
        <v>2682</v>
      </c>
      <c r="H540" s="1" t="s">
        <v>1507</v>
      </c>
      <c r="I540" s="1" t="s">
        <v>1507</v>
      </c>
      <c r="J540" s="1" t="s">
        <v>2683</v>
      </c>
      <c r="K540" s="1" t="s">
        <v>2684</v>
      </c>
      <c r="L540" s="1" t="s">
        <v>1507</v>
      </c>
      <c r="M540" s="1" t="s">
        <v>1507</v>
      </c>
      <c r="N540" s="1" t="s">
        <v>42</v>
      </c>
      <c r="O540" s="1" t="s">
        <v>56</v>
      </c>
      <c r="P540" s="1" t="s">
        <v>1507</v>
      </c>
      <c r="Q540" s="1" t="s">
        <v>1507</v>
      </c>
      <c r="R540" s="1" t="s">
        <v>1507</v>
      </c>
      <c r="S540" s="1" t="s">
        <v>1507</v>
      </c>
      <c r="T540" s="1" t="s">
        <v>1507</v>
      </c>
      <c r="U540" s="1" t="s">
        <v>1507</v>
      </c>
      <c r="V540" s="1" t="s">
        <v>2685</v>
      </c>
      <c r="W540" s="1" t="s">
        <v>2686</v>
      </c>
      <c r="X540" s="1" t="s">
        <v>2687</v>
      </c>
      <c r="Y540" s="1" t="s">
        <v>2688</v>
      </c>
      <c r="Z540" s="1" t="s">
        <v>2689</v>
      </c>
      <c r="AA540" s="1" t="s">
        <v>2690</v>
      </c>
      <c r="AB540" s="1" t="s">
        <v>1507</v>
      </c>
      <c r="AC540" s="1" t="s">
        <v>2691</v>
      </c>
      <c r="AD540" s="1" t="s">
        <v>2692</v>
      </c>
      <c r="AE540" s="1" t="s">
        <v>2693</v>
      </c>
      <c r="AF540" s="1" t="s">
        <v>2694</v>
      </c>
      <c r="AG540" s="1" t="s">
        <v>1507</v>
      </c>
      <c r="AH540" s="1">
        <v>74</v>
      </c>
      <c r="AI540" s="1">
        <v>1</v>
      </c>
      <c r="AJ540" s="1">
        <v>1</v>
      </c>
      <c r="AK540" s="1">
        <v>2</v>
      </c>
      <c r="AL540" s="1">
        <v>2</v>
      </c>
      <c r="AM540" s="1" t="s">
        <v>1559</v>
      </c>
      <c r="AN540" s="1" t="s">
        <v>1560</v>
      </c>
      <c r="AO540" s="1" t="s">
        <v>1561</v>
      </c>
      <c r="AP540" s="1" t="s">
        <v>2695</v>
      </c>
      <c r="AQ540" s="1" t="s">
        <v>2696</v>
      </c>
      <c r="AR540" s="1" t="s">
        <v>1507</v>
      </c>
      <c r="AS540" s="1" t="s">
        <v>2697</v>
      </c>
      <c r="AT540" s="1" t="s">
        <v>2698</v>
      </c>
      <c r="AU540" s="1" t="s">
        <v>2771</v>
      </c>
      <c r="AV540" s="1">
        <v>2023</v>
      </c>
      <c r="AW540" s="1">
        <v>32</v>
      </c>
      <c r="AX540" s="1">
        <v>6</v>
      </c>
      <c r="AY540" s="1" t="s">
        <v>1507</v>
      </c>
      <c r="AZ540" s="1" t="s">
        <v>1507</v>
      </c>
      <c r="BA540" s="1" t="s">
        <v>1507</v>
      </c>
      <c r="BB540" s="1" t="s">
        <v>1507</v>
      </c>
      <c r="BC540" s="1" t="s">
        <v>1507</v>
      </c>
      <c r="BD540" s="1" t="s">
        <v>1507</v>
      </c>
      <c r="BE540" s="1" t="s">
        <v>1507</v>
      </c>
      <c r="BF540" s="1" t="s">
        <v>2699</v>
      </c>
      <c r="BG540" s="1" t="str">
        <f>HYPERLINK("http://dx.doi.org/10.1002/icd.2478","http://dx.doi.org/10.1002/icd.2478")</f>
        <v>http://dx.doi.org/10.1002/icd.2478</v>
      </c>
      <c r="BH540" s="1" t="s">
        <v>1507</v>
      </c>
      <c r="BI540" s="1" t="s">
        <v>2396</v>
      </c>
      <c r="BJ540" s="1">
        <v>17</v>
      </c>
      <c r="BK540" s="1" t="s">
        <v>2700</v>
      </c>
      <c r="BL540" s="1" t="s">
        <v>1518</v>
      </c>
      <c r="BM540" s="1" t="s">
        <v>1519</v>
      </c>
      <c r="BN540" s="1" t="s">
        <v>2701</v>
      </c>
      <c r="BO540" s="1" t="s">
        <v>1507</v>
      </c>
      <c r="BP540" s="1" t="s">
        <v>1537</v>
      </c>
      <c r="BQ540" s="1" t="s">
        <v>1507</v>
      </c>
      <c r="BR540" s="1" t="s">
        <v>1507</v>
      </c>
      <c r="BS540" s="1" t="s">
        <v>13744</v>
      </c>
      <c r="BT540" s="1" t="s">
        <v>2702</v>
      </c>
      <c r="BU540" s="1" t="str">
        <f>HYPERLINK("https%3A%2F%2Fwww.webofscience.com%2Fwos%2Fwoscc%2Ffull-record%2FWOS:001102040500001","View Full Record in Web of Science")</f>
        <v>View Full Record in Web of Science</v>
      </c>
    </row>
    <row r="541" spans="1:73" x14ac:dyDescent="0.25">
      <c r="A541" s="1">
        <v>540</v>
      </c>
      <c r="B541" s="1" t="s">
        <v>1506</v>
      </c>
      <c r="C541" s="1" t="s">
        <v>5366</v>
      </c>
      <c r="D541" s="1" t="s">
        <v>1507</v>
      </c>
      <c r="E541" s="1" t="s">
        <v>1507</v>
      </c>
      <c r="F541" s="1" t="s">
        <v>1507</v>
      </c>
      <c r="G541" s="1" t="s">
        <v>5367</v>
      </c>
      <c r="H541" s="1" t="s">
        <v>1507</v>
      </c>
      <c r="I541" s="1" t="s">
        <v>1507</v>
      </c>
      <c r="J541" s="1" t="s">
        <v>5368</v>
      </c>
      <c r="K541" s="1" t="s">
        <v>5369</v>
      </c>
      <c r="L541" s="1" t="s">
        <v>1507</v>
      </c>
      <c r="M541" s="1" t="s">
        <v>1507</v>
      </c>
      <c r="N541" s="1" t="s">
        <v>42</v>
      </c>
      <c r="O541" s="1" t="s">
        <v>1509</v>
      </c>
      <c r="P541" s="1" t="s">
        <v>1507</v>
      </c>
      <c r="Q541" s="1" t="s">
        <v>1507</v>
      </c>
      <c r="R541" s="1" t="s">
        <v>1507</v>
      </c>
      <c r="S541" s="1" t="s">
        <v>1507</v>
      </c>
      <c r="T541" s="1" t="s">
        <v>1507</v>
      </c>
      <c r="U541" s="1" t="s">
        <v>5370</v>
      </c>
      <c r="V541" s="1" t="s">
        <v>5371</v>
      </c>
      <c r="W541" s="1" t="s">
        <v>5372</v>
      </c>
      <c r="X541" s="1" t="s">
        <v>5373</v>
      </c>
      <c r="Y541" s="1" t="s">
        <v>14806</v>
      </c>
      <c r="Z541" s="1" t="s">
        <v>5374</v>
      </c>
      <c r="AA541" s="1" t="s">
        <v>5375</v>
      </c>
      <c r="AB541" s="1" t="s">
        <v>5376</v>
      </c>
      <c r="AC541" s="1" t="s">
        <v>5377</v>
      </c>
      <c r="AD541" s="1" t="s">
        <v>5378</v>
      </c>
      <c r="AE541" s="1" t="s">
        <v>5379</v>
      </c>
      <c r="AF541" s="1" t="s">
        <v>5380</v>
      </c>
      <c r="AG541" s="1" t="s">
        <v>1507</v>
      </c>
      <c r="AH541" s="1">
        <v>18</v>
      </c>
      <c r="AI541" s="1">
        <v>0</v>
      </c>
      <c r="AJ541" s="1">
        <v>0</v>
      </c>
      <c r="AK541" s="1">
        <v>0</v>
      </c>
      <c r="AL541" s="1">
        <v>0</v>
      </c>
      <c r="AM541" s="1" t="s">
        <v>5381</v>
      </c>
      <c r="AN541" s="1" t="s">
        <v>1512</v>
      </c>
      <c r="AO541" s="1" t="s">
        <v>5382</v>
      </c>
      <c r="AP541" s="1" t="s">
        <v>5383</v>
      </c>
      <c r="AQ541" s="1" t="s">
        <v>5384</v>
      </c>
      <c r="AR541" s="1" t="s">
        <v>1507</v>
      </c>
      <c r="AS541" s="1" t="s">
        <v>5385</v>
      </c>
      <c r="AT541" s="1" t="s">
        <v>5386</v>
      </c>
      <c r="AU541" s="1" t="s">
        <v>5387</v>
      </c>
      <c r="AV541" s="1">
        <v>2023</v>
      </c>
      <c r="AW541" s="1" t="s">
        <v>1507</v>
      </c>
      <c r="AX541" s="1" t="s">
        <v>1507</v>
      </c>
      <c r="AY541" s="1" t="s">
        <v>1507</v>
      </c>
      <c r="AZ541" s="1" t="s">
        <v>1507</v>
      </c>
      <c r="BA541" s="1" t="s">
        <v>1507</v>
      </c>
      <c r="BB541" s="1" t="s">
        <v>1507</v>
      </c>
      <c r="BC541" s="1" t="s">
        <v>1507</v>
      </c>
      <c r="BD541" s="1" t="s">
        <v>1507</v>
      </c>
      <c r="BE541" s="1" t="s">
        <v>1507</v>
      </c>
      <c r="BF541" s="1" t="s">
        <v>5388</v>
      </c>
      <c r="BG541" s="1" t="str">
        <f>HYPERLINK("http://dx.doi.org/10.1055/s-0043-1761280","http://dx.doi.org/10.1055/s-0043-1761280")</f>
        <v>http://dx.doi.org/10.1055/s-0043-1761280</v>
      </c>
      <c r="BH541" s="1" t="s">
        <v>1507</v>
      </c>
      <c r="BI541" s="1" t="s">
        <v>5389</v>
      </c>
      <c r="BJ541" s="1">
        <v>8</v>
      </c>
      <c r="BK541" s="1" t="s">
        <v>4961</v>
      </c>
      <c r="BL541" s="1" t="s">
        <v>1529</v>
      </c>
      <c r="BM541" s="1" t="s">
        <v>4962</v>
      </c>
      <c r="BN541" s="1" t="s">
        <v>5390</v>
      </c>
      <c r="BO541" s="1" t="s">
        <v>1507</v>
      </c>
      <c r="BP541" s="1" t="s">
        <v>4214</v>
      </c>
      <c r="BQ541" s="1" t="s">
        <v>1507</v>
      </c>
      <c r="BR541" s="1" t="s">
        <v>1507</v>
      </c>
      <c r="BS541" s="1" t="s">
        <v>13744</v>
      </c>
      <c r="BT541" s="1" t="s">
        <v>5391</v>
      </c>
      <c r="BU541" s="1" t="str">
        <f>HYPERLINK("https%3A%2F%2Fwww.webofscience.com%2Fwos%2Fwoscc%2Ffull-record%2FWOS:000940223400001","View Full Record in Web of Science")</f>
        <v>View Full Record in Web of Science</v>
      </c>
    </row>
    <row r="542" spans="1:73" x14ac:dyDescent="0.25">
      <c r="A542" s="1">
        <v>541</v>
      </c>
      <c r="B542" s="1" t="s">
        <v>1506</v>
      </c>
      <c r="C542" s="1" t="s">
        <v>16040</v>
      </c>
      <c r="D542" s="1" t="s">
        <v>1507</v>
      </c>
      <c r="E542" s="1" t="s">
        <v>1507</v>
      </c>
      <c r="F542" s="1" t="s">
        <v>1507</v>
      </c>
      <c r="G542" s="1" t="s">
        <v>16041</v>
      </c>
      <c r="H542" s="1" t="s">
        <v>1507</v>
      </c>
      <c r="I542" s="1" t="s">
        <v>1507</v>
      </c>
      <c r="J542" s="1" t="s">
        <v>16042</v>
      </c>
      <c r="K542" s="1" t="s">
        <v>16043</v>
      </c>
      <c r="L542" s="1" t="s">
        <v>1507</v>
      </c>
      <c r="M542" s="1" t="s">
        <v>1507</v>
      </c>
      <c r="N542" s="1" t="s">
        <v>42</v>
      </c>
      <c r="O542" s="1" t="s">
        <v>12366</v>
      </c>
      <c r="P542" s="1" t="s">
        <v>1507</v>
      </c>
      <c r="Q542" s="1" t="s">
        <v>1507</v>
      </c>
      <c r="R542" s="1" t="s">
        <v>1507</v>
      </c>
      <c r="S542" s="1" t="s">
        <v>1507</v>
      </c>
      <c r="T542" s="1" t="s">
        <v>1507</v>
      </c>
      <c r="U542" s="1" t="s">
        <v>16044</v>
      </c>
      <c r="V542" s="1" t="s">
        <v>16045</v>
      </c>
      <c r="W542" s="1" t="s">
        <v>16046</v>
      </c>
      <c r="X542" s="1" t="s">
        <v>16047</v>
      </c>
      <c r="Y542" s="1" t="s">
        <v>16048</v>
      </c>
      <c r="Z542" s="1" t="s">
        <v>16049</v>
      </c>
      <c r="AA542" s="1" t="s">
        <v>16050</v>
      </c>
      <c r="AB542" s="1" t="s">
        <v>16051</v>
      </c>
      <c r="AC542" s="1" t="s">
        <v>16052</v>
      </c>
      <c r="AD542" s="1" t="s">
        <v>16053</v>
      </c>
      <c r="AE542" s="1" t="s">
        <v>16054</v>
      </c>
      <c r="AF542" s="1" t="s">
        <v>16055</v>
      </c>
      <c r="AG542" s="1" t="s">
        <v>1507</v>
      </c>
      <c r="AH542" s="1">
        <v>67</v>
      </c>
      <c r="AI542" s="1">
        <v>58</v>
      </c>
      <c r="AJ542" s="1">
        <v>60</v>
      </c>
      <c r="AK542" s="1">
        <v>9</v>
      </c>
      <c r="AL542" s="1">
        <v>26</v>
      </c>
      <c r="AM542" s="1" t="s">
        <v>9284</v>
      </c>
      <c r="AN542" s="1" t="s">
        <v>1580</v>
      </c>
      <c r="AO542" s="1" t="s">
        <v>9285</v>
      </c>
      <c r="AP542" s="1" t="s">
        <v>16056</v>
      </c>
      <c r="AQ542" s="1" t="s">
        <v>16057</v>
      </c>
      <c r="AR542" s="1" t="s">
        <v>1507</v>
      </c>
      <c r="AS542" s="1" t="s">
        <v>16058</v>
      </c>
      <c r="AT542" s="1" t="s">
        <v>16059</v>
      </c>
      <c r="AU542" s="1" t="s">
        <v>1507</v>
      </c>
      <c r="AV542" s="1">
        <v>2018</v>
      </c>
      <c r="AW542" s="1">
        <v>63</v>
      </c>
      <c r="AX542" s="1">
        <v>2</v>
      </c>
      <c r="AY542" s="1" t="s">
        <v>1507</v>
      </c>
      <c r="AZ542" s="1" t="s">
        <v>1507</v>
      </c>
      <c r="BA542" s="1" t="s">
        <v>1507</v>
      </c>
      <c r="BB542" s="1" t="s">
        <v>1507</v>
      </c>
      <c r="BC542" s="1">
        <v>741</v>
      </c>
      <c r="BD542" s="1">
        <v>760</v>
      </c>
      <c r="BE542" s="1" t="s">
        <v>1507</v>
      </c>
      <c r="BF542" s="1" t="s">
        <v>16060</v>
      </c>
      <c r="BG542" s="1" t="str">
        <f>HYPERLINK("http://dx.doi.org/10.3233/JAD-170667","http://dx.doi.org/10.3233/JAD-170667")</f>
        <v>http://dx.doi.org/10.3233/JAD-170667</v>
      </c>
      <c r="BH542" s="1" t="s">
        <v>1507</v>
      </c>
      <c r="BI542" s="1" t="s">
        <v>1507</v>
      </c>
      <c r="BJ542" s="1">
        <v>20</v>
      </c>
      <c r="BK542" s="1" t="s">
        <v>10644</v>
      </c>
      <c r="BL542" s="1" t="s">
        <v>1598</v>
      </c>
      <c r="BM542" s="1" t="s">
        <v>2868</v>
      </c>
      <c r="BN542" s="1" t="s">
        <v>16061</v>
      </c>
      <c r="BO542" s="1">
        <v>29689716</v>
      </c>
      <c r="BP542" s="1" t="s">
        <v>15727</v>
      </c>
      <c r="BQ542" s="1" t="s">
        <v>1507</v>
      </c>
      <c r="BR542" s="1" t="s">
        <v>1507</v>
      </c>
      <c r="BS542" s="1" t="s">
        <v>13744</v>
      </c>
      <c r="BT542" s="1" t="s">
        <v>16062</v>
      </c>
      <c r="BU542" s="1" t="str">
        <f>HYPERLINK("https%3A%2F%2Fwww.webofscience.com%2Fwos%2Fwoscc%2Ffull-record%2FWOS:000430831000027","View Full Record in Web of Science")</f>
        <v>View Full Record in Web of Science</v>
      </c>
    </row>
    <row r="543" spans="1:73" x14ac:dyDescent="0.25">
      <c r="A543" s="1">
        <v>542</v>
      </c>
      <c r="B543" s="1" t="s">
        <v>1506</v>
      </c>
      <c r="C543" s="1" t="s">
        <v>3373</v>
      </c>
      <c r="D543" s="1" t="s">
        <v>1507</v>
      </c>
      <c r="E543" s="1" t="s">
        <v>1507</v>
      </c>
      <c r="F543" s="1" t="s">
        <v>1507</v>
      </c>
      <c r="G543" s="1" t="s">
        <v>3374</v>
      </c>
      <c r="H543" s="1" t="s">
        <v>1507</v>
      </c>
      <c r="I543" s="1" t="s">
        <v>1507</v>
      </c>
      <c r="J543" s="1" t="s">
        <v>3375</v>
      </c>
      <c r="K543" s="1" t="s">
        <v>3376</v>
      </c>
      <c r="L543" s="1" t="s">
        <v>1507</v>
      </c>
      <c r="M543" s="1" t="s">
        <v>1507</v>
      </c>
      <c r="N543" s="1" t="s">
        <v>42</v>
      </c>
      <c r="O543" s="1" t="s">
        <v>1509</v>
      </c>
      <c r="P543" s="1" t="s">
        <v>1507</v>
      </c>
      <c r="Q543" s="1" t="s">
        <v>1507</v>
      </c>
      <c r="R543" s="1" t="s">
        <v>1507</v>
      </c>
      <c r="S543" s="1" t="s">
        <v>1507</v>
      </c>
      <c r="T543" s="1" t="s">
        <v>1507</v>
      </c>
      <c r="U543" s="1" t="s">
        <v>3377</v>
      </c>
      <c r="V543" s="1" t="s">
        <v>1507</v>
      </c>
      <c r="W543" s="1" t="s">
        <v>3378</v>
      </c>
      <c r="X543" s="1" t="s">
        <v>3379</v>
      </c>
      <c r="Y543" s="1" t="s">
        <v>14302</v>
      </c>
      <c r="Z543" s="1" t="s">
        <v>3380</v>
      </c>
      <c r="AA543" s="1" t="s">
        <v>3381</v>
      </c>
      <c r="AB543" s="1" t="s">
        <v>1507</v>
      </c>
      <c r="AC543" s="1" t="s">
        <v>1507</v>
      </c>
      <c r="AD543" s="1" t="s">
        <v>3382</v>
      </c>
      <c r="AE543" s="1" t="s">
        <v>3383</v>
      </c>
      <c r="AF543" s="1" t="s">
        <v>3384</v>
      </c>
      <c r="AG543" s="1" t="s">
        <v>1507</v>
      </c>
      <c r="AH543" s="1">
        <v>54</v>
      </c>
      <c r="AI543" s="1">
        <v>0</v>
      </c>
      <c r="AJ543" s="1">
        <v>0</v>
      </c>
      <c r="AK543" s="1">
        <v>20</v>
      </c>
      <c r="AL543" s="1">
        <v>20</v>
      </c>
      <c r="AM543" s="1" t="s">
        <v>3385</v>
      </c>
      <c r="AN543" s="1" t="s">
        <v>3386</v>
      </c>
      <c r="AO543" s="1" t="s">
        <v>3387</v>
      </c>
      <c r="AP543" s="1" t="s">
        <v>3388</v>
      </c>
      <c r="AQ543" s="1" t="s">
        <v>3389</v>
      </c>
      <c r="AR543" s="1" t="s">
        <v>1507</v>
      </c>
      <c r="AS543" s="1" t="s">
        <v>3390</v>
      </c>
      <c r="AT543" s="1" t="s">
        <v>3391</v>
      </c>
      <c r="AU543" s="1" t="s">
        <v>3392</v>
      </c>
      <c r="AV543" s="1">
        <v>2023</v>
      </c>
      <c r="AW543" s="1" t="s">
        <v>1507</v>
      </c>
      <c r="AX543" s="1" t="s">
        <v>1507</v>
      </c>
      <c r="AY543" s="1" t="s">
        <v>1507</v>
      </c>
      <c r="AZ543" s="1" t="s">
        <v>1507</v>
      </c>
      <c r="BA543" s="1" t="s">
        <v>1507</v>
      </c>
      <c r="BB543" s="1" t="s">
        <v>1507</v>
      </c>
      <c r="BC543" s="1" t="s">
        <v>1507</v>
      </c>
      <c r="BD543" s="1" t="s">
        <v>1507</v>
      </c>
      <c r="BE543" s="1" t="s">
        <v>1507</v>
      </c>
      <c r="BF543" s="1" t="s">
        <v>3393</v>
      </c>
      <c r="BG543" s="1" t="str">
        <f>HYPERLINK("http://dx.doi.org/10.1002/prep.202300109","http://dx.doi.org/10.1002/prep.202300109")</f>
        <v>http://dx.doi.org/10.1002/prep.202300109</v>
      </c>
      <c r="BH543" s="1" t="s">
        <v>1507</v>
      </c>
      <c r="BI543" s="1" t="s">
        <v>2891</v>
      </c>
      <c r="BJ543" s="1">
        <v>21</v>
      </c>
      <c r="BK543" s="1" t="s">
        <v>3394</v>
      </c>
      <c r="BL543" s="1" t="s">
        <v>1573</v>
      </c>
      <c r="BM543" s="1" t="s">
        <v>3395</v>
      </c>
      <c r="BN543" s="1" t="s">
        <v>3396</v>
      </c>
      <c r="BO543" s="1" t="s">
        <v>1507</v>
      </c>
      <c r="BP543" s="1" t="s">
        <v>1507</v>
      </c>
      <c r="BQ543" s="1" t="s">
        <v>1507</v>
      </c>
      <c r="BR543" s="1" t="s">
        <v>1507</v>
      </c>
      <c r="BS543" s="1" t="s">
        <v>13744</v>
      </c>
      <c r="BT543" s="1" t="s">
        <v>3397</v>
      </c>
      <c r="BU543" s="1" t="str">
        <f>HYPERLINK("https%3A%2F%2Fwww.webofscience.com%2Fwos%2Fwoscc%2Ffull-record%2FWOS:001076295500001","View Full Record in Web of Science")</f>
        <v>View Full Record in Web of Science</v>
      </c>
    </row>
    <row r="544" spans="1:73" x14ac:dyDescent="0.25">
      <c r="A544" s="1">
        <v>543</v>
      </c>
      <c r="B544" s="1" t="s">
        <v>1506</v>
      </c>
      <c r="C544" s="1" t="s">
        <v>7172</v>
      </c>
      <c r="D544" s="1" t="s">
        <v>1507</v>
      </c>
      <c r="E544" s="1" t="s">
        <v>1507</v>
      </c>
      <c r="F544" s="1" t="s">
        <v>1507</v>
      </c>
      <c r="G544" s="1" t="s">
        <v>7173</v>
      </c>
      <c r="H544" s="1" t="s">
        <v>1507</v>
      </c>
      <c r="I544" s="1" t="s">
        <v>1507</v>
      </c>
      <c r="J544" s="1" t="s">
        <v>7174</v>
      </c>
      <c r="K544" s="1" t="s">
        <v>7175</v>
      </c>
      <c r="L544" s="1" t="s">
        <v>1507</v>
      </c>
      <c r="M544" s="1" t="s">
        <v>1507</v>
      </c>
      <c r="N544" s="1" t="s">
        <v>42</v>
      </c>
      <c r="O544" s="1" t="s">
        <v>56</v>
      </c>
      <c r="P544" s="1" t="s">
        <v>1507</v>
      </c>
      <c r="Q544" s="1" t="s">
        <v>1507</v>
      </c>
      <c r="R544" s="1" t="s">
        <v>1507</v>
      </c>
      <c r="S544" s="1" t="s">
        <v>1507</v>
      </c>
      <c r="T544" s="1" t="s">
        <v>1507</v>
      </c>
      <c r="U544" s="1" t="s">
        <v>1507</v>
      </c>
      <c r="V544" s="1" t="s">
        <v>7176</v>
      </c>
      <c r="W544" s="1" t="s">
        <v>7177</v>
      </c>
      <c r="X544" s="1" t="s">
        <v>7178</v>
      </c>
      <c r="Y544" s="1" t="s">
        <v>2688</v>
      </c>
      <c r="Z544" s="1" t="s">
        <v>7179</v>
      </c>
      <c r="AA544" s="1" t="s">
        <v>7180</v>
      </c>
      <c r="AB544" s="1" t="s">
        <v>7181</v>
      </c>
      <c r="AC544" s="1" t="s">
        <v>15609</v>
      </c>
      <c r="AD544" s="1" t="s">
        <v>7182</v>
      </c>
      <c r="AE544" s="1" t="s">
        <v>7183</v>
      </c>
      <c r="AF544" s="1" t="s">
        <v>7184</v>
      </c>
      <c r="AG544" s="1" t="s">
        <v>1507</v>
      </c>
      <c r="AH544" s="1">
        <v>35</v>
      </c>
      <c r="AI544" s="1">
        <v>5</v>
      </c>
      <c r="AJ544" s="1">
        <v>5</v>
      </c>
      <c r="AK544" s="1">
        <v>0</v>
      </c>
      <c r="AL544" s="1">
        <v>0</v>
      </c>
      <c r="AM544" s="1" t="s">
        <v>2733</v>
      </c>
      <c r="AN544" s="1" t="s">
        <v>1551</v>
      </c>
      <c r="AO544" s="1" t="s">
        <v>2734</v>
      </c>
      <c r="AP544" s="1" t="s">
        <v>1507</v>
      </c>
      <c r="AQ544" s="1" t="s">
        <v>7185</v>
      </c>
      <c r="AR544" s="1" t="s">
        <v>1507</v>
      </c>
      <c r="AS544" s="1" t="s">
        <v>7186</v>
      </c>
      <c r="AT544" s="1" t="s">
        <v>7187</v>
      </c>
      <c r="AU544" s="1" t="s">
        <v>4556</v>
      </c>
      <c r="AV544" s="1">
        <v>2022</v>
      </c>
      <c r="AW544" s="1">
        <v>10</v>
      </c>
      <c r="AX544" s="1">
        <v>4</v>
      </c>
      <c r="AY544" s="1" t="s">
        <v>1507</v>
      </c>
      <c r="AZ544" s="1" t="s">
        <v>1507</v>
      </c>
      <c r="BA544" s="1" t="s">
        <v>1507</v>
      </c>
      <c r="BB544" s="1" t="s">
        <v>1507</v>
      </c>
      <c r="BC544" s="1" t="s">
        <v>1507</v>
      </c>
      <c r="BD544" s="1" t="s">
        <v>1507</v>
      </c>
      <c r="BE544" s="1" t="s">
        <v>7188</v>
      </c>
      <c r="BF544" s="1" t="s">
        <v>1206</v>
      </c>
      <c r="BG544" s="1" t="str">
        <f>HYPERLINK("http://dx.doi.org/10.1136/bmjdrc-2022-002765","http://dx.doi.org/10.1136/bmjdrc-2022-002765")</f>
        <v>http://dx.doi.org/10.1136/bmjdrc-2022-002765</v>
      </c>
      <c r="BH544" s="1" t="s">
        <v>1507</v>
      </c>
      <c r="BI544" s="1" t="s">
        <v>1507</v>
      </c>
      <c r="BJ544" s="1">
        <v>9</v>
      </c>
      <c r="BK544" s="1" t="s">
        <v>7189</v>
      </c>
      <c r="BL544" s="1" t="s">
        <v>1573</v>
      </c>
      <c r="BM544" s="1" t="s">
        <v>7189</v>
      </c>
      <c r="BN544" s="1" t="s">
        <v>7190</v>
      </c>
      <c r="BO544" s="1">
        <v>35858715</v>
      </c>
      <c r="BP544" s="1" t="s">
        <v>1674</v>
      </c>
      <c r="BQ544" s="1" t="s">
        <v>1507</v>
      </c>
      <c r="BR544" s="1" t="s">
        <v>1507</v>
      </c>
      <c r="BS544" s="1" t="s">
        <v>13744</v>
      </c>
      <c r="BT544" s="1" t="s">
        <v>7191</v>
      </c>
      <c r="BU544" s="1" t="str">
        <f>HYPERLINK("https%3A%2F%2Fwww.webofscience.com%2Fwos%2Fwoscc%2Ffull-record%2FWOS:000828736400001","View Full Record in Web of Science")</f>
        <v>View Full Record in Web of Science</v>
      </c>
    </row>
    <row r="545" spans="1:73" x14ac:dyDescent="0.25">
      <c r="A545" s="1">
        <v>544</v>
      </c>
      <c r="B545" s="1" t="s">
        <v>1506</v>
      </c>
      <c r="C545" s="1" t="s">
        <v>11483</v>
      </c>
      <c r="D545" s="1" t="s">
        <v>1507</v>
      </c>
      <c r="E545" s="1" t="s">
        <v>1507</v>
      </c>
      <c r="F545" s="1" t="s">
        <v>1507</v>
      </c>
      <c r="G545" s="1" t="s">
        <v>11484</v>
      </c>
      <c r="H545" s="1" t="s">
        <v>1507</v>
      </c>
      <c r="I545" s="1" t="s">
        <v>1507</v>
      </c>
      <c r="J545" s="1" t="s">
        <v>11485</v>
      </c>
      <c r="K545" s="1" t="s">
        <v>11486</v>
      </c>
      <c r="L545" s="1" t="s">
        <v>1507</v>
      </c>
      <c r="M545" s="1" t="s">
        <v>1507</v>
      </c>
      <c r="N545" s="1" t="s">
        <v>42</v>
      </c>
      <c r="O545" s="1" t="s">
        <v>56</v>
      </c>
      <c r="P545" s="1" t="s">
        <v>1507</v>
      </c>
      <c r="Q545" s="1" t="s">
        <v>1507</v>
      </c>
      <c r="R545" s="1" t="s">
        <v>1507</v>
      </c>
      <c r="S545" s="1" t="s">
        <v>1507</v>
      </c>
      <c r="T545" s="1" t="s">
        <v>1507</v>
      </c>
      <c r="U545" s="1" t="s">
        <v>11487</v>
      </c>
      <c r="V545" s="1" t="s">
        <v>11488</v>
      </c>
      <c r="W545" s="1" t="s">
        <v>11489</v>
      </c>
      <c r="X545" s="1" t="s">
        <v>11490</v>
      </c>
      <c r="Y545" s="1" t="s">
        <v>11491</v>
      </c>
      <c r="Z545" s="1" t="s">
        <v>11492</v>
      </c>
      <c r="AA545" s="1" t="s">
        <v>11493</v>
      </c>
      <c r="AB545" s="1" t="s">
        <v>15946</v>
      </c>
      <c r="AC545" s="1" t="s">
        <v>15947</v>
      </c>
      <c r="AD545" s="1" t="s">
        <v>11494</v>
      </c>
      <c r="AE545" s="1" t="s">
        <v>11495</v>
      </c>
      <c r="AF545" s="1" t="s">
        <v>11496</v>
      </c>
      <c r="AG545" s="1" t="s">
        <v>1507</v>
      </c>
      <c r="AH545" s="1">
        <v>29</v>
      </c>
      <c r="AI545" s="1">
        <v>7</v>
      </c>
      <c r="AJ545" s="1">
        <v>9</v>
      </c>
      <c r="AK545" s="1">
        <v>2</v>
      </c>
      <c r="AL545" s="1">
        <v>16</v>
      </c>
      <c r="AM545" s="1" t="s">
        <v>11497</v>
      </c>
      <c r="AN545" s="1" t="s">
        <v>11498</v>
      </c>
      <c r="AO545" s="1" t="s">
        <v>11499</v>
      </c>
      <c r="AP545" s="1" t="s">
        <v>11500</v>
      </c>
      <c r="AQ545" s="1" t="s">
        <v>1507</v>
      </c>
      <c r="AR545" s="1" t="s">
        <v>1507</v>
      </c>
      <c r="AS545" s="1" t="s">
        <v>11501</v>
      </c>
      <c r="AT545" s="1" t="s">
        <v>11502</v>
      </c>
      <c r="AU545" s="1" t="s">
        <v>1507</v>
      </c>
      <c r="AV545" s="1">
        <v>2019</v>
      </c>
      <c r="AW545" s="1">
        <v>48</v>
      </c>
      <c r="AX545" s="1" t="s">
        <v>1507</v>
      </c>
      <c r="AY545" s="1" t="s">
        <v>1507</v>
      </c>
      <c r="AZ545" s="1" t="s">
        <v>1507</v>
      </c>
      <c r="BA545" s="1" t="s">
        <v>1507</v>
      </c>
      <c r="BB545" s="1" t="s">
        <v>1507</v>
      </c>
      <c r="BC545" s="1" t="s">
        <v>1507</v>
      </c>
      <c r="BD545" s="1" t="s">
        <v>1507</v>
      </c>
      <c r="BE545" s="1" t="s">
        <v>11503</v>
      </c>
      <c r="BF545" s="1" t="s">
        <v>11504</v>
      </c>
      <c r="BG545" s="1" t="str">
        <f>HYPERLINK("http://dx.doi.org/10.1590/rbz4820180131","http://dx.doi.org/10.1590/rbz4820180131")</f>
        <v>http://dx.doi.org/10.1590/rbz4820180131</v>
      </c>
      <c r="BH545" s="1" t="s">
        <v>1507</v>
      </c>
      <c r="BI545" s="1" t="s">
        <v>1507</v>
      </c>
      <c r="BJ545" s="1">
        <v>8</v>
      </c>
      <c r="BK545" s="1" t="s">
        <v>8533</v>
      </c>
      <c r="BL545" s="1" t="s">
        <v>1573</v>
      </c>
      <c r="BM545" s="1" t="s">
        <v>8534</v>
      </c>
      <c r="BN545" s="1" t="s">
        <v>11505</v>
      </c>
      <c r="BO545" s="1" t="s">
        <v>1507</v>
      </c>
      <c r="BP545" s="1" t="s">
        <v>10606</v>
      </c>
      <c r="BQ545" s="1" t="s">
        <v>1507</v>
      </c>
      <c r="BR545" s="1" t="s">
        <v>1507</v>
      </c>
      <c r="BS545" s="1" t="s">
        <v>13744</v>
      </c>
      <c r="BT545" s="1" t="s">
        <v>11506</v>
      </c>
      <c r="BU545" s="1" t="str">
        <f>HYPERLINK("https%3A%2F%2Fwww.webofscience.com%2Fwos%2Fwoscc%2Ffull-record%2FWOS:000465074800002","View Full Record in Web of Science")</f>
        <v>View Full Record in Web of Science</v>
      </c>
    </row>
    <row r="546" spans="1:73" x14ac:dyDescent="0.25">
      <c r="A546" s="1">
        <v>545</v>
      </c>
      <c r="B546" s="1" t="s">
        <v>1506</v>
      </c>
      <c r="C546" s="1" t="s">
        <v>6515</v>
      </c>
      <c r="D546" s="1" t="s">
        <v>1507</v>
      </c>
      <c r="E546" s="1" t="s">
        <v>1507</v>
      </c>
      <c r="F546" s="1" t="s">
        <v>1507</v>
      </c>
      <c r="G546" s="1" t="s">
        <v>6516</v>
      </c>
      <c r="H546" s="1" t="s">
        <v>1507</v>
      </c>
      <c r="I546" s="1" t="s">
        <v>1507</v>
      </c>
      <c r="J546" s="1" t="s">
        <v>6517</v>
      </c>
      <c r="K546" s="1" t="s">
        <v>6518</v>
      </c>
      <c r="L546" s="1" t="s">
        <v>1507</v>
      </c>
      <c r="M546" s="1" t="s">
        <v>1507</v>
      </c>
      <c r="N546" s="1" t="s">
        <v>42</v>
      </c>
      <c r="O546" s="1" t="s">
        <v>56</v>
      </c>
      <c r="P546" s="1" t="s">
        <v>1507</v>
      </c>
      <c r="Q546" s="1" t="s">
        <v>1507</v>
      </c>
      <c r="R546" s="1" t="s">
        <v>1507</v>
      </c>
      <c r="S546" s="1" t="s">
        <v>1507</v>
      </c>
      <c r="T546" s="1" t="s">
        <v>1507</v>
      </c>
      <c r="U546" s="1" t="s">
        <v>6519</v>
      </c>
      <c r="V546" s="1" t="s">
        <v>1507</v>
      </c>
      <c r="W546" s="1" t="s">
        <v>6520</v>
      </c>
      <c r="X546" s="1" t="s">
        <v>6521</v>
      </c>
      <c r="Y546" s="1" t="s">
        <v>6522</v>
      </c>
      <c r="Z546" s="1" t="s">
        <v>6523</v>
      </c>
      <c r="AA546" s="1" t="s">
        <v>6524</v>
      </c>
      <c r="AB546" s="1" t="s">
        <v>15420</v>
      </c>
      <c r="AC546" s="1" t="s">
        <v>15421</v>
      </c>
      <c r="AD546" s="1" t="s">
        <v>6525</v>
      </c>
      <c r="AE546" s="1" t="s">
        <v>6525</v>
      </c>
      <c r="AF546" s="1" t="s">
        <v>6526</v>
      </c>
      <c r="AG546" s="1" t="s">
        <v>1507</v>
      </c>
      <c r="AH546" s="1">
        <v>36</v>
      </c>
      <c r="AI546" s="1">
        <v>2</v>
      </c>
      <c r="AJ546" s="1">
        <v>2</v>
      </c>
      <c r="AK546" s="1">
        <v>25</v>
      </c>
      <c r="AL546" s="1">
        <v>25</v>
      </c>
      <c r="AM546" s="1" t="s">
        <v>1667</v>
      </c>
      <c r="AN546" s="1" t="s">
        <v>1668</v>
      </c>
      <c r="AO546" s="1" t="s">
        <v>1669</v>
      </c>
      <c r="AP546" s="1" t="s">
        <v>6527</v>
      </c>
      <c r="AQ546" s="1" t="s">
        <v>1507</v>
      </c>
      <c r="AR546" s="1" t="s">
        <v>1507</v>
      </c>
      <c r="AS546" s="1" t="s">
        <v>6528</v>
      </c>
      <c r="AT546" s="1" t="s">
        <v>6529</v>
      </c>
      <c r="AU546" s="1" t="s">
        <v>1507</v>
      </c>
      <c r="AV546" s="1">
        <v>2023</v>
      </c>
      <c r="AW546" s="1">
        <v>12</v>
      </c>
      <c r="AX546" s="1" t="s">
        <v>1507</v>
      </c>
      <c r="AY546" s="1" t="s">
        <v>1507</v>
      </c>
      <c r="AZ546" s="1" t="s">
        <v>1507</v>
      </c>
      <c r="BA546" s="1" t="s">
        <v>1507</v>
      </c>
      <c r="BB546" s="1" t="s">
        <v>1507</v>
      </c>
      <c r="BC546" s="1" t="s">
        <v>1507</v>
      </c>
      <c r="BD546" s="1" t="s">
        <v>1507</v>
      </c>
      <c r="BE546" s="1" t="s">
        <v>6530</v>
      </c>
      <c r="BF546" s="1" t="s">
        <v>6531</v>
      </c>
      <c r="BG546" s="1" t="str">
        <f>HYPERLINK("http://dx.doi.org/10.2196/51873","http://dx.doi.org/10.2196/51873")</f>
        <v>http://dx.doi.org/10.2196/51873</v>
      </c>
      <c r="BH546" s="1" t="s">
        <v>1507</v>
      </c>
      <c r="BI546" s="1" t="s">
        <v>1507</v>
      </c>
      <c r="BJ546" s="1">
        <v>11</v>
      </c>
      <c r="BK546" s="1" t="s">
        <v>6532</v>
      </c>
      <c r="BL546" s="1" t="s">
        <v>1529</v>
      </c>
      <c r="BM546" s="1" t="s">
        <v>6532</v>
      </c>
      <c r="BN546" s="1" t="s">
        <v>6533</v>
      </c>
      <c r="BO546" s="1">
        <v>37999958</v>
      </c>
      <c r="BP546" s="1" t="s">
        <v>1531</v>
      </c>
      <c r="BQ546" s="1" t="s">
        <v>1507</v>
      </c>
      <c r="BR546" s="1" t="s">
        <v>1507</v>
      </c>
      <c r="BS546" s="1" t="s">
        <v>13744</v>
      </c>
      <c r="BT546" s="1" t="s">
        <v>6534</v>
      </c>
      <c r="BU546" s="1" t="str">
        <f>HYPERLINK("https%3A%2F%2Fwww.webofscience.com%2Fwos%2Fwoscc%2Ffull-record%2FWOS:001114836400005","View Full Record in Web of Science")</f>
        <v>View Full Record in Web of Science</v>
      </c>
    </row>
    <row r="547" spans="1:73" x14ac:dyDescent="0.25">
      <c r="A547" s="1">
        <v>546</v>
      </c>
      <c r="B547" s="1" t="s">
        <v>1506</v>
      </c>
      <c r="C547" s="1" t="s">
        <v>10790</v>
      </c>
      <c r="D547" s="1" t="s">
        <v>1507</v>
      </c>
      <c r="E547" s="1" t="s">
        <v>1507</v>
      </c>
      <c r="F547" s="1" t="s">
        <v>1507</v>
      </c>
      <c r="G547" s="1" t="s">
        <v>10791</v>
      </c>
      <c r="H547" s="1" t="s">
        <v>1507</v>
      </c>
      <c r="I547" s="1" t="s">
        <v>1507</v>
      </c>
      <c r="J547" s="1" t="s">
        <v>10792</v>
      </c>
      <c r="K547" s="1" t="s">
        <v>10793</v>
      </c>
      <c r="L547" s="1" t="s">
        <v>1507</v>
      </c>
      <c r="M547" s="1" t="s">
        <v>1507</v>
      </c>
      <c r="N547" s="1" t="s">
        <v>42</v>
      </c>
      <c r="O547" s="1" t="s">
        <v>56</v>
      </c>
      <c r="P547" s="1" t="s">
        <v>1507</v>
      </c>
      <c r="Q547" s="1" t="s">
        <v>1507</v>
      </c>
      <c r="R547" s="1" t="s">
        <v>1507</v>
      </c>
      <c r="S547" s="1" t="s">
        <v>1507</v>
      </c>
      <c r="T547" s="1" t="s">
        <v>1507</v>
      </c>
      <c r="U547" s="1" t="s">
        <v>10794</v>
      </c>
      <c r="V547" s="1" t="s">
        <v>10795</v>
      </c>
      <c r="W547" s="1" t="s">
        <v>10796</v>
      </c>
      <c r="X547" s="1" t="s">
        <v>10797</v>
      </c>
      <c r="Y547" s="1" t="s">
        <v>10798</v>
      </c>
      <c r="Z547" s="1" t="s">
        <v>10799</v>
      </c>
      <c r="AA547" s="1" t="s">
        <v>10800</v>
      </c>
      <c r="AB547" s="1" t="s">
        <v>10801</v>
      </c>
      <c r="AC547" s="1" t="s">
        <v>15916</v>
      </c>
      <c r="AD547" s="1" t="s">
        <v>10802</v>
      </c>
      <c r="AE547" s="1" t="s">
        <v>10803</v>
      </c>
      <c r="AF547" s="1" t="s">
        <v>10804</v>
      </c>
      <c r="AG547" s="1" t="s">
        <v>1507</v>
      </c>
      <c r="AH547" s="1">
        <v>46</v>
      </c>
      <c r="AI547" s="1">
        <v>7</v>
      </c>
      <c r="AJ547" s="1">
        <v>7</v>
      </c>
      <c r="AK547" s="1">
        <v>1</v>
      </c>
      <c r="AL547" s="1">
        <v>20</v>
      </c>
      <c r="AM547" s="1" t="s">
        <v>10805</v>
      </c>
      <c r="AN547" s="1" t="s">
        <v>10806</v>
      </c>
      <c r="AO547" s="1" t="s">
        <v>10807</v>
      </c>
      <c r="AP547" s="1" t="s">
        <v>10808</v>
      </c>
      <c r="AQ547" s="1" t="s">
        <v>10809</v>
      </c>
      <c r="AR547" s="1" t="s">
        <v>1507</v>
      </c>
      <c r="AS547" s="1" t="s">
        <v>10810</v>
      </c>
      <c r="AT547" s="1" t="s">
        <v>10811</v>
      </c>
      <c r="AU547" s="1" t="s">
        <v>4336</v>
      </c>
      <c r="AV547" s="1">
        <v>2019</v>
      </c>
      <c r="AW547" s="1">
        <v>30</v>
      </c>
      <c r="AX547" s="1">
        <v>8</v>
      </c>
      <c r="AY547" s="1" t="s">
        <v>1507</v>
      </c>
      <c r="AZ547" s="1" t="s">
        <v>1507</v>
      </c>
      <c r="BA547" s="1" t="s">
        <v>1507</v>
      </c>
      <c r="BB547" s="1" t="s">
        <v>1507</v>
      </c>
      <c r="BC547" s="1">
        <v>1769</v>
      </c>
      <c r="BD547" s="1">
        <v>1778</v>
      </c>
      <c r="BE547" s="1" t="s">
        <v>1507</v>
      </c>
      <c r="BF547" s="1" t="s">
        <v>10812</v>
      </c>
      <c r="BG547" s="1" t="str">
        <f>HYPERLINK("http://dx.doi.org/10.21577/0103-5053.20190083","http://dx.doi.org/10.21577/0103-5053.20190083")</f>
        <v>http://dx.doi.org/10.21577/0103-5053.20190083</v>
      </c>
      <c r="BH547" s="1" t="s">
        <v>1507</v>
      </c>
      <c r="BI547" s="1" t="s">
        <v>1507</v>
      </c>
      <c r="BJ547" s="1">
        <v>10</v>
      </c>
      <c r="BK547" s="1" t="s">
        <v>2634</v>
      </c>
      <c r="BL547" s="1" t="s">
        <v>1573</v>
      </c>
      <c r="BM547" s="1" t="s">
        <v>2380</v>
      </c>
      <c r="BN547" s="1" t="s">
        <v>10813</v>
      </c>
      <c r="BO547" s="1" t="s">
        <v>1507</v>
      </c>
      <c r="BP547" s="1" t="s">
        <v>2040</v>
      </c>
      <c r="BQ547" s="1" t="s">
        <v>1507</v>
      </c>
      <c r="BR547" s="1" t="s">
        <v>1507</v>
      </c>
      <c r="BS547" s="1" t="s">
        <v>13744</v>
      </c>
      <c r="BT547" s="1" t="s">
        <v>10814</v>
      </c>
      <c r="BU547" s="1" t="str">
        <f>HYPERLINK("https%3A%2F%2Fwww.webofscience.com%2Fwos%2Fwoscc%2Ffull-record%2FWOS:000476620200021","View Full Record in Web of Science")</f>
        <v>View Full Record in Web of Science</v>
      </c>
    </row>
    <row r="548" spans="1:73" x14ac:dyDescent="0.25">
      <c r="A548" s="1">
        <v>547</v>
      </c>
      <c r="B548" s="1" t="s">
        <v>5546</v>
      </c>
      <c r="C548" s="1" t="s">
        <v>10387</v>
      </c>
      <c r="D548" s="1" t="s">
        <v>1507</v>
      </c>
      <c r="E548" s="1" t="s">
        <v>10388</v>
      </c>
      <c r="F548" s="1" t="s">
        <v>1507</v>
      </c>
      <c r="G548" s="1" t="s">
        <v>10389</v>
      </c>
      <c r="H548" s="1" t="s">
        <v>1507</v>
      </c>
      <c r="I548" s="1" t="s">
        <v>1507</v>
      </c>
      <c r="J548" s="1" t="s">
        <v>10390</v>
      </c>
      <c r="K548" s="1" t="s">
        <v>10391</v>
      </c>
      <c r="L548" s="1" t="s">
        <v>10392</v>
      </c>
      <c r="M548" s="1" t="s">
        <v>1507</v>
      </c>
      <c r="N548" s="1" t="s">
        <v>42</v>
      </c>
      <c r="O548" s="1" t="s">
        <v>5552</v>
      </c>
      <c r="P548" s="1" t="s">
        <v>10393</v>
      </c>
      <c r="Q548" s="1" t="s">
        <v>10394</v>
      </c>
      <c r="R548" s="1" t="s">
        <v>10395</v>
      </c>
      <c r="S548" s="1" t="s">
        <v>10396</v>
      </c>
      <c r="T548" s="1" t="s">
        <v>10397</v>
      </c>
      <c r="U548" s="1" t="s">
        <v>10398</v>
      </c>
      <c r="V548" s="1" t="s">
        <v>1507</v>
      </c>
      <c r="W548" s="1" t="s">
        <v>10399</v>
      </c>
      <c r="X548" s="1" t="s">
        <v>10400</v>
      </c>
      <c r="Y548" s="1" t="s">
        <v>10401</v>
      </c>
      <c r="Z548" s="1" t="s">
        <v>10402</v>
      </c>
      <c r="AA548" s="1" t="s">
        <v>10403</v>
      </c>
      <c r="AB548" s="1" t="s">
        <v>1507</v>
      </c>
      <c r="AC548" s="1" t="s">
        <v>10404</v>
      </c>
      <c r="AD548" s="1" t="s">
        <v>10405</v>
      </c>
      <c r="AE548" s="1" t="s">
        <v>10406</v>
      </c>
      <c r="AF548" s="1" t="s">
        <v>10407</v>
      </c>
      <c r="AG548" s="1" t="s">
        <v>1507</v>
      </c>
      <c r="AH548" s="1">
        <v>18</v>
      </c>
      <c r="AI548" s="1">
        <v>3</v>
      </c>
      <c r="AJ548" s="1">
        <v>3</v>
      </c>
      <c r="AK548" s="1">
        <v>1</v>
      </c>
      <c r="AL548" s="1">
        <v>11</v>
      </c>
      <c r="AM548" s="1" t="s">
        <v>9284</v>
      </c>
      <c r="AN548" s="1" t="s">
        <v>1580</v>
      </c>
      <c r="AO548" s="1" t="s">
        <v>9285</v>
      </c>
      <c r="AP548" s="1" t="s">
        <v>10408</v>
      </c>
      <c r="AQ548" s="1" t="s">
        <v>10409</v>
      </c>
      <c r="AR548" s="1" t="s">
        <v>10410</v>
      </c>
      <c r="AS548" s="1" t="s">
        <v>10411</v>
      </c>
      <c r="AT548" s="1" t="s">
        <v>1507</v>
      </c>
      <c r="AU548" s="1" t="s">
        <v>1507</v>
      </c>
      <c r="AV548" s="1">
        <v>2020</v>
      </c>
      <c r="AW548" s="1">
        <v>328</v>
      </c>
      <c r="AX548" s="1" t="s">
        <v>1507</v>
      </c>
      <c r="AY548" s="1" t="s">
        <v>1507</v>
      </c>
      <c r="AZ548" s="1" t="s">
        <v>1507</v>
      </c>
      <c r="BA548" s="1" t="s">
        <v>1507</v>
      </c>
      <c r="BB548" s="1" t="s">
        <v>1507</v>
      </c>
      <c r="BC548" s="1">
        <v>62</v>
      </c>
      <c r="BD548" s="1">
        <v>69</v>
      </c>
      <c r="BE548" s="1" t="s">
        <v>1507</v>
      </c>
      <c r="BF548" s="1" t="s">
        <v>10412</v>
      </c>
      <c r="BG548" s="1" t="str">
        <f>HYPERLINK("http://dx.doi.org/10.3233/FAIA200603","http://dx.doi.org/10.3233/FAIA200603")</f>
        <v>http://dx.doi.org/10.3233/FAIA200603</v>
      </c>
      <c r="BH548" s="1" t="s">
        <v>1507</v>
      </c>
      <c r="BI548" s="1" t="s">
        <v>1507</v>
      </c>
      <c r="BJ548" s="1">
        <v>8</v>
      </c>
      <c r="BK548" s="1" t="s">
        <v>7862</v>
      </c>
      <c r="BL548" s="1" t="s">
        <v>5695</v>
      </c>
      <c r="BM548" s="1" t="s">
        <v>1546</v>
      </c>
      <c r="BN548" s="1" t="s">
        <v>10413</v>
      </c>
      <c r="BO548" s="1" t="s">
        <v>1507</v>
      </c>
      <c r="BP548" s="1" t="s">
        <v>1537</v>
      </c>
      <c r="BQ548" s="1" t="s">
        <v>1507</v>
      </c>
      <c r="BR548" s="1" t="s">
        <v>1507</v>
      </c>
      <c r="BS548" s="1" t="s">
        <v>13744</v>
      </c>
      <c r="BT548" s="1" t="s">
        <v>10414</v>
      </c>
      <c r="BU548" s="1" t="str">
        <f>HYPERLINK("https%3A%2F%2Fwww.webofscience.com%2Fwos%2Fwoscc%2Ffull-record%2FWOS:000648590800009","View Full Record in Web of Science")</f>
        <v>View Full Record in Web of Science</v>
      </c>
    </row>
    <row r="549" spans="1:73" x14ac:dyDescent="0.25">
      <c r="A549" s="1">
        <v>548</v>
      </c>
      <c r="B549" s="1" t="s">
        <v>5546</v>
      </c>
      <c r="C549" s="1" t="s">
        <v>15422</v>
      </c>
      <c r="D549" s="1" t="s">
        <v>1507</v>
      </c>
      <c r="E549" s="1" t="s">
        <v>1507</v>
      </c>
      <c r="F549" s="1" t="s">
        <v>5628</v>
      </c>
      <c r="G549" s="1" t="s">
        <v>15423</v>
      </c>
      <c r="H549" s="1" t="s">
        <v>1507</v>
      </c>
      <c r="I549" s="1" t="s">
        <v>1507</v>
      </c>
      <c r="J549" s="1" t="s">
        <v>15424</v>
      </c>
      <c r="K549" s="1" t="s">
        <v>15425</v>
      </c>
      <c r="L549" s="1" t="s">
        <v>1507</v>
      </c>
      <c r="M549" s="1" t="s">
        <v>1507</v>
      </c>
      <c r="N549" s="1" t="s">
        <v>42</v>
      </c>
      <c r="O549" s="1" t="s">
        <v>5552</v>
      </c>
      <c r="P549" s="1" t="s">
        <v>15426</v>
      </c>
      <c r="Q549" s="1" t="s">
        <v>15427</v>
      </c>
      <c r="R549" s="1" t="s">
        <v>15428</v>
      </c>
      <c r="S549" s="1" t="s">
        <v>15429</v>
      </c>
      <c r="T549" s="1" t="s">
        <v>1507</v>
      </c>
      <c r="U549" s="1" t="s">
        <v>15430</v>
      </c>
      <c r="V549" s="1" t="s">
        <v>1507</v>
      </c>
      <c r="W549" s="1" t="s">
        <v>15431</v>
      </c>
      <c r="X549" s="1" t="s">
        <v>15432</v>
      </c>
      <c r="Y549" s="1" t="s">
        <v>15433</v>
      </c>
      <c r="Z549" s="1" t="s">
        <v>15434</v>
      </c>
      <c r="AA549" s="1" t="s">
        <v>15435</v>
      </c>
      <c r="AB549" s="1" t="s">
        <v>1507</v>
      </c>
      <c r="AC549" s="1" t="s">
        <v>1507</v>
      </c>
      <c r="AD549" s="1" t="s">
        <v>15436</v>
      </c>
      <c r="AE549" s="1" t="s">
        <v>15437</v>
      </c>
      <c r="AF549" s="1" t="s">
        <v>15438</v>
      </c>
      <c r="AG549" s="1" t="s">
        <v>1507</v>
      </c>
      <c r="AH549" s="1">
        <v>27</v>
      </c>
      <c r="AI549" s="1">
        <v>0</v>
      </c>
      <c r="AJ549" s="1">
        <v>0</v>
      </c>
      <c r="AK549" s="1">
        <v>0</v>
      </c>
      <c r="AL549" s="1">
        <v>0</v>
      </c>
      <c r="AM549" s="1" t="s">
        <v>5628</v>
      </c>
      <c r="AN549" s="1" t="s">
        <v>1512</v>
      </c>
      <c r="AO549" s="1" t="s">
        <v>6457</v>
      </c>
      <c r="AP549" s="1" t="s">
        <v>1507</v>
      </c>
      <c r="AQ549" s="1" t="s">
        <v>1507</v>
      </c>
      <c r="AR549" s="1" t="s">
        <v>15439</v>
      </c>
      <c r="AS549" s="1" t="s">
        <v>1507</v>
      </c>
      <c r="AT549" s="1" t="s">
        <v>1507</v>
      </c>
      <c r="AU549" s="1" t="s">
        <v>1507</v>
      </c>
      <c r="AV549" s="1">
        <v>2023</v>
      </c>
      <c r="AW549" s="1" t="s">
        <v>1507</v>
      </c>
      <c r="AX549" s="1" t="s">
        <v>1507</v>
      </c>
      <c r="AY549" s="1" t="s">
        <v>1507</v>
      </c>
      <c r="AZ549" s="1" t="s">
        <v>1507</v>
      </c>
      <c r="BA549" s="1" t="s">
        <v>1507</v>
      </c>
      <c r="BB549" s="1" t="s">
        <v>1507</v>
      </c>
      <c r="BC549" s="1" t="s">
        <v>1507</v>
      </c>
      <c r="BD549" s="1" t="s">
        <v>1507</v>
      </c>
      <c r="BE549" s="1" t="s">
        <v>1507</v>
      </c>
      <c r="BF549" s="1" t="s">
        <v>1507</v>
      </c>
      <c r="BG549" s="1" t="s">
        <v>1507</v>
      </c>
      <c r="BH549" s="1" t="s">
        <v>1507</v>
      </c>
      <c r="BI549" s="1" t="s">
        <v>1507</v>
      </c>
      <c r="BJ549" s="1">
        <v>7</v>
      </c>
      <c r="BK549" s="1" t="s">
        <v>15440</v>
      </c>
      <c r="BL549" s="1" t="s">
        <v>5570</v>
      </c>
      <c r="BM549" s="1" t="s">
        <v>1578</v>
      </c>
      <c r="BN549" s="1" t="s">
        <v>15441</v>
      </c>
      <c r="BO549" s="1" t="s">
        <v>1507</v>
      </c>
      <c r="BP549" s="1" t="s">
        <v>1507</v>
      </c>
      <c r="BQ549" s="1" t="s">
        <v>1507</v>
      </c>
      <c r="BR549" s="1" t="s">
        <v>1507</v>
      </c>
      <c r="BS549" s="1" t="s">
        <v>13744</v>
      </c>
      <c r="BT549" s="1" t="s">
        <v>15442</v>
      </c>
      <c r="BU549" s="1" t="str">
        <f>HYPERLINK("https%3A%2F%2Fwww.webofscience.com%2Fwos%2Fwoscc%2Ffull-record%2FWOS:001164299600008","View Full Record in Web of Science")</f>
        <v>View Full Record in Web of Science</v>
      </c>
    </row>
    <row r="550" spans="1:73" x14ac:dyDescent="0.25">
      <c r="A550" s="1">
        <v>549</v>
      </c>
      <c r="B550" s="1" t="s">
        <v>1506</v>
      </c>
      <c r="C550" s="1" t="s">
        <v>10415</v>
      </c>
      <c r="D550" s="1" t="s">
        <v>1507</v>
      </c>
      <c r="E550" s="1" t="s">
        <v>1507</v>
      </c>
      <c r="F550" s="1" t="s">
        <v>1507</v>
      </c>
      <c r="G550" s="1" t="s">
        <v>10416</v>
      </c>
      <c r="H550" s="1" t="s">
        <v>1507</v>
      </c>
      <c r="I550" s="1" t="s">
        <v>1507</v>
      </c>
      <c r="J550" s="1" t="s">
        <v>10417</v>
      </c>
      <c r="K550" s="1" t="s">
        <v>10418</v>
      </c>
      <c r="L550" s="1" t="s">
        <v>1507</v>
      </c>
      <c r="M550" s="1" t="s">
        <v>1507</v>
      </c>
      <c r="N550" s="1" t="s">
        <v>42</v>
      </c>
      <c r="O550" s="1" t="s">
        <v>56</v>
      </c>
      <c r="P550" s="1" t="s">
        <v>1507</v>
      </c>
      <c r="Q550" s="1" t="s">
        <v>1507</v>
      </c>
      <c r="R550" s="1" t="s">
        <v>1507</v>
      </c>
      <c r="S550" s="1" t="s">
        <v>1507</v>
      </c>
      <c r="T550" s="1" t="s">
        <v>1507</v>
      </c>
      <c r="U550" s="1" t="s">
        <v>1507</v>
      </c>
      <c r="V550" s="1" t="s">
        <v>1507</v>
      </c>
      <c r="W550" s="1" t="s">
        <v>10419</v>
      </c>
      <c r="X550" s="1" t="s">
        <v>10420</v>
      </c>
      <c r="Y550" s="1" t="s">
        <v>15853</v>
      </c>
      <c r="Z550" s="1" t="s">
        <v>10421</v>
      </c>
      <c r="AA550" s="1" t="s">
        <v>1507</v>
      </c>
      <c r="AB550" s="1" t="s">
        <v>1507</v>
      </c>
      <c r="AC550" s="1" t="s">
        <v>10123</v>
      </c>
      <c r="AD550" s="1" t="s">
        <v>10124</v>
      </c>
      <c r="AE550" s="1" t="s">
        <v>10125</v>
      </c>
      <c r="AF550" s="1" t="s">
        <v>10422</v>
      </c>
      <c r="AG550" s="1" t="s">
        <v>1507</v>
      </c>
      <c r="AH550" s="1">
        <v>16</v>
      </c>
      <c r="AI550" s="1">
        <v>1</v>
      </c>
      <c r="AJ550" s="1">
        <v>1</v>
      </c>
      <c r="AK550" s="1">
        <v>0</v>
      </c>
      <c r="AL550" s="1">
        <v>0</v>
      </c>
      <c r="AM550" s="1" t="s">
        <v>9237</v>
      </c>
      <c r="AN550" s="1" t="s">
        <v>9238</v>
      </c>
      <c r="AO550" s="1" t="s">
        <v>9239</v>
      </c>
      <c r="AP550" s="1" t="s">
        <v>10423</v>
      </c>
      <c r="AQ550" s="1" t="s">
        <v>1507</v>
      </c>
      <c r="AR550" s="1" t="s">
        <v>1507</v>
      </c>
      <c r="AS550" s="1" t="s">
        <v>10424</v>
      </c>
      <c r="AT550" s="1" t="s">
        <v>10425</v>
      </c>
      <c r="AU550" s="1" t="s">
        <v>1507</v>
      </c>
      <c r="AV550" s="1">
        <v>2020</v>
      </c>
      <c r="AW550" s="1">
        <v>31</v>
      </c>
      <c r="AX550" s="1">
        <v>2</v>
      </c>
      <c r="AY550" s="1" t="s">
        <v>1507</v>
      </c>
      <c r="AZ550" s="1" t="s">
        <v>1507</v>
      </c>
      <c r="BA550" s="1" t="s">
        <v>1507</v>
      </c>
      <c r="BB550" s="1" t="s">
        <v>1507</v>
      </c>
      <c r="BC550" s="1">
        <v>175</v>
      </c>
      <c r="BD550" s="1">
        <v>188</v>
      </c>
      <c r="BE550" s="1" t="s">
        <v>1507</v>
      </c>
      <c r="BF550" s="1" t="s">
        <v>1507</v>
      </c>
      <c r="BG550" s="1" t="s">
        <v>1507</v>
      </c>
      <c r="BH550" s="1" t="s">
        <v>1507</v>
      </c>
      <c r="BI550" s="1" t="s">
        <v>1507</v>
      </c>
      <c r="BJ550" s="1">
        <v>14</v>
      </c>
      <c r="BK550" s="1" t="s">
        <v>1535</v>
      </c>
      <c r="BL550" s="1" t="s">
        <v>1529</v>
      </c>
      <c r="BM550" s="1" t="s">
        <v>1536</v>
      </c>
      <c r="BN550" s="1" t="s">
        <v>10426</v>
      </c>
      <c r="BO550" s="1" t="s">
        <v>1507</v>
      </c>
      <c r="BP550" s="1" t="s">
        <v>1507</v>
      </c>
      <c r="BQ550" s="1" t="s">
        <v>1507</v>
      </c>
      <c r="BR550" s="1" t="s">
        <v>1507</v>
      </c>
      <c r="BS550" s="1" t="s">
        <v>13744</v>
      </c>
      <c r="BT550" s="1" t="s">
        <v>10427</v>
      </c>
      <c r="BU550" s="1" t="str">
        <f>HYPERLINK("https%3A%2F%2Fwww.webofscience.com%2Fwos%2Fwoscc%2Ffull-record%2FWOS:000567771400009","View Full Record in Web of Science")</f>
        <v>View Full Record in Web of Science</v>
      </c>
    </row>
    <row r="551" spans="1:73" x14ac:dyDescent="0.25">
      <c r="A551" s="1">
        <v>550</v>
      </c>
      <c r="B551" s="1" t="s">
        <v>1506</v>
      </c>
      <c r="C551" s="1" t="s">
        <v>8663</v>
      </c>
      <c r="D551" s="1" t="s">
        <v>1507</v>
      </c>
      <c r="E551" s="1" t="s">
        <v>1507</v>
      </c>
      <c r="F551" s="1" t="s">
        <v>1507</v>
      </c>
      <c r="G551" s="1" t="s">
        <v>8664</v>
      </c>
      <c r="H551" s="1" t="s">
        <v>1507</v>
      </c>
      <c r="I551" s="1" t="s">
        <v>1507</v>
      </c>
      <c r="J551" s="1" t="s">
        <v>8665</v>
      </c>
      <c r="K551" s="1" t="s">
        <v>8666</v>
      </c>
      <c r="L551" s="1" t="s">
        <v>1507</v>
      </c>
      <c r="M551" s="1" t="s">
        <v>1507</v>
      </c>
      <c r="N551" s="1" t="s">
        <v>42</v>
      </c>
      <c r="O551" s="1" t="s">
        <v>56</v>
      </c>
      <c r="P551" s="1" t="s">
        <v>1507</v>
      </c>
      <c r="Q551" s="1" t="s">
        <v>1507</v>
      </c>
      <c r="R551" s="1" t="s">
        <v>1507</v>
      </c>
      <c r="S551" s="1" t="s">
        <v>1507</v>
      </c>
      <c r="T551" s="1" t="s">
        <v>1507</v>
      </c>
      <c r="U551" s="1" t="s">
        <v>1507</v>
      </c>
      <c r="V551" s="1" t="s">
        <v>8667</v>
      </c>
      <c r="W551" s="1" t="s">
        <v>8668</v>
      </c>
      <c r="X551" s="1" t="s">
        <v>8669</v>
      </c>
      <c r="Y551" s="1" t="s">
        <v>15742</v>
      </c>
      <c r="Z551" s="1" t="s">
        <v>8670</v>
      </c>
      <c r="AA551" s="1" t="s">
        <v>8671</v>
      </c>
      <c r="AB551" s="1" t="s">
        <v>15743</v>
      </c>
      <c r="AC551" s="1" t="s">
        <v>15744</v>
      </c>
      <c r="AD551" s="1" t="s">
        <v>8672</v>
      </c>
      <c r="AE551" s="1" t="s">
        <v>8673</v>
      </c>
      <c r="AF551" s="1" t="s">
        <v>8674</v>
      </c>
      <c r="AG551" s="1" t="s">
        <v>1507</v>
      </c>
      <c r="AH551" s="1">
        <v>69</v>
      </c>
      <c r="AI551" s="1">
        <v>11</v>
      </c>
      <c r="AJ551" s="1">
        <v>12</v>
      </c>
      <c r="AK551" s="1">
        <v>2</v>
      </c>
      <c r="AL551" s="1">
        <v>4</v>
      </c>
      <c r="AM551" s="1" t="s">
        <v>8675</v>
      </c>
      <c r="AN551" s="1" t="s">
        <v>8676</v>
      </c>
      <c r="AO551" s="1" t="s">
        <v>8677</v>
      </c>
      <c r="AP551" s="1" t="s">
        <v>1507</v>
      </c>
      <c r="AQ551" s="1" t="s">
        <v>8678</v>
      </c>
      <c r="AR551" s="1" t="s">
        <v>1507</v>
      </c>
      <c r="AS551" s="1" t="s">
        <v>8666</v>
      </c>
      <c r="AT551" s="1" t="s">
        <v>8679</v>
      </c>
      <c r="AU551" s="1" t="s">
        <v>8680</v>
      </c>
      <c r="AV551" s="1">
        <v>2021</v>
      </c>
      <c r="AW551" s="1">
        <v>6</v>
      </c>
      <c r="AX551" s="1">
        <v>9</v>
      </c>
      <c r="AY551" s="1" t="s">
        <v>1507</v>
      </c>
      <c r="AZ551" s="1" t="s">
        <v>1507</v>
      </c>
      <c r="BA551" s="1" t="s">
        <v>1507</v>
      </c>
      <c r="BB551" s="1" t="s">
        <v>1507</v>
      </c>
      <c r="BC551" s="1" t="s">
        <v>1507</v>
      </c>
      <c r="BD551" s="1" t="s">
        <v>1507</v>
      </c>
      <c r="BE551" s="1" t="s">
        <v>8681</v>
      </c>
      <c r="BF551" s="1" t="s">
        <v>8682</v>
      </c>
      <c r="BG551" s="1" t="str">
        <f>HYPERLINK("http://dx.doi.org/10.1172/jci.insight.147832","http://dx.doi.org/10.1172/jci.insight.147832")</f>
        <v>http://dx.doi.org/10.1172/jci.insight.147832</v>
      </c>
      <c r="BH551" s="1" t="s">
        <v>1507</v>
      </c>
      <c r="BI551" s="1" t="s">
        <v>1507</v>
      </c>
      <c r="BJ551" s="1">
        <v>14</v>
      </c>
      <c r="BK551" s="1" t="s">
        <v>3858</v>
      </c>
      <c r="BL551" s="1" t="s">
        <v>1573</v>
      </c>
      <c r="BM551" s="1" t="s">
        <v>3859</v>
      </c>
      <c r="BN551" s="1" t="s">
        <v>8683</v>
      </c>
      <c r="BO551" s="1">
        <v>33784257</v>
      </c>
      <c r="BP551" s="1" t="s">
        <v>1952</v>
      </c>
      <c r="BQ551" s="1" t="s">
        <v>1507</v>
      </c>
      <c r="BR551" s="1" t="s">
        <v>1507</v>
      </c>
      <c r="BS551" s="1" t="s">
        <v>13744</v>
      </c>
      <c r="BT551" s="1" t="s">
        <v>8684</v>
      </c>
      <c r="BU551" s="1" t="str">
        <f>HYPERLINK("https%3A%2F%2Fwww.webofscience.com%2Fwos%2Fwoscc%2Ffull-record%2FWOS:000652331300026","View Full Record in Web of Science")</f>
        <v>View Full Record in Web of Science</v>
      </c>
    </row>
    <row r="552" spans="1:73" x14ac:dyDescent="0.25">
      <c r="A552" s="1">
        <v>551</v>
      </c>
      <c r="B552" s="1" t="s">
        <v>1506</v>
      </c>
      <c r="C552" s="1" t="s">
        <v>11178</v>
      </c>
      <c r="D552" s="1" t="s">
        <v>1507</v>
      </c>
      <c r="E552" s="1" t="s">
        <v>1507</v>
      </c>
      <c r="F552" s="1" t="s">
        <v>1507</v>
      </c>
      <c r="G552" s="1" t="s">
        <v>11179</v>
      </c>
      <c r="H552" s="1" t="s">
        <v>1507</v>
      </c>
      <c r="I552" s="1" t="s">
        <v>1507</v>
      </c>
      <c r="J552" s="1" t="s">
        <v>11180</v>
      </c>
      <c r="K552" s="1" t="s">
        <v>11181</v>
      </c>
      <c r="L552" s="1" t="s">
        <v>1507</v>
      </c>
      <c r="M552" s="1" t="s">
        <v>1507</v>
      </c>
      <c r="N552" s="1" t="s">
        <v>42</v>
      </c>
      <c r="O552" s="1" t="s">
        <v>56</v>
      </c>
      <c r="P552" s="1" t="s">
        <v>1507</v>
      </c>
      <c r="Q552" s="1" t="s">
        <v>1507</v>
      </c>
      <c r="R552" s="1" t="s">
        <v>1507</v>
      </c>
      <c r="S552" s="1" t="s">
        <v>1507</v>
      </c>
      <c r="T552" s="1" t="s">
        <v>1507</v>
      </c>
      <c r="U552" s="1" t="s">
        <v>1507</v>
      </c>
      <c r="V552" s="1" t="s">
        <v>11182</v>
      </c>
      <c r="W552" s="1" t="s">
        <v>11183</v>
      </c>
      <c r="X552" s="1" t="s">
        <v>11184</v>
      </c>
      <c r="Y552" s="1" t="s">
        <v>11185</v>
      </c>
      <c r="Z552" s="1" t="s">
        <v>11186</v>
      </c>
      <c r="AA552" s="1" t="s">
        <v>1507</v>
      </c>
      <c r="AB552" s="1" t="s">
        <v>11187</v>
      </c>
      <c r="AC552" s="1" t="s">
        <v>1507</v>
      </c>
      <c r="AD552" s="1" t="s">
        <v>1507</v>
      </c>
      <c r="AE552" s="1" t="s">
        <v>1507</v>
      </c>
      <c r="AF552" s="1" t="s">
        <v>1507</v>
      </c>
      <c r="AG552" s="1" t="s">
        <v>1507</v>
      </c>
      <c r="AH552" s="1">
        <v>82</v>
      </c>
      <c r="AI552" s="1">
        <v>34</v>
      </c>
      <c r="AJ552" s="1">
        <v>36</v>
      </c>
      <c r="AK552" s="1">
        <v>4</v>
      </c>
      <c r="AL552" s="1">
        <v>19</v>
      </c>
      <c r="AM552" s="1" t="s">
        <v>11188</v>
      </c>
      <c r="AN552" s="1" t="s">
        <v>3325</v>
      </c>
      <c r="AO552" s="1" t="s">
        <v>11189</v>
      </c>
      <c r="AP552" s="1" t="s">
        <v>11190</v>
      </c>
      <c r="AQ552" s="1" t="s">
        <v>1507</v>
      </c>
      <c r="AR552" s="1" t="s">
        <v>1507</v>
      </c>
      <c r="AS552" s="1" t="s">
        <v>11191</v>
      </c>
      <c r="AT552" s="1" t="s">
        <v>11192</v>
      </c>
      <c r="AU552" s="1" t="s">
        <v>5362</v>
      </c>
      <c r="AV552" s="1">
        <v>2019</v>
      </c>
      <c r="AW552" s="1">
        <v>86</v>
      </c>
      <c r="AX552" s="1">
        <v>2</v>
      </c>
      <c r="AY552" s="1" t="s">
        <v>1507</v>
      </c>
      <c r="AZ552" s="1" t="s">
        <v>1507</v>
      </c>
      <c r="BA552" s="1" t="s">
        <v>1507</v>
      </c>
      <c r="BB552" s="1" t="s">
        <v>1507</v>
      </c>
      <c r="BC552" s="1">
        <v>581</v>
      </c>
      <c r="BD552" s="1">
        <v>609</v>
      </c>
      <c r="BE552" s="1" t="s">
        <v>1507</v>
      </c>
      <c r="BF552" s="1" t="s">
        <v>1507</v>
      </c>
      <c r="BG552" s="1" t="s">
        <v>1507</v>
      </c>
      <c r="BH552" s="1" t="s">
        <v>1507</v>
      </c>
      <c r="BI552" s="1" t="s">
        <v>1507</v>
      </c>
      <c r="BJ552" s="1">
        <v>29</v>
      </c>
      <c r="BK552" s="1" t="s">
        <v>1535</v>
      </c>
      <c r="BL552" s="1" t="s">
        <v>1518</v>
      </c>
      <c r="BM552" s="1" t="s">
        <v>1536</v>
      </c>
      <c r="BN552" s="1" t="s">
        <v>11193</v>
      </c>
      <c r="BO552" s="1" t="s">
        <v>1507</v>
      </c>
      <c r="BP552" s="1" t="s">
        <v>1507</v>
      </c>
      <c r="BQ552" s="1" t="s">
        <v>1507</v>
      </c>
      <c r="BR552" s="1" t="s">
        <v>1507</v>
      </c>
      <c r="BS552" s="1" t="s">
        <v>13744</v>
      </c>
      <c r="BT552" s="1" t="s">
        <v>11194</v>
      </c>
      <c r="BU552" s="1" t="str">
        <f>HYPERLINK("https%3A%2F%2Fwww.webofscience.com%2Fwos%2Fwoscc%2Ffull-record%2FWOS:000460998600013","View Full Record in Web of Science")</f>
        <v>View Full Record in Web of Science</v>
      </c>
    </row>
    <row r="553" spans="1:73" x14ac:dyDescent="0.25">
      <c r="A553" s="1">
        <v>552</v>
      </c>
      <c r="B553" s="1" t="s">
        <v>1506</v>
      </c>
      <c r="C553" s="1" t="s">
        <v>16014</v>
      </c>
      <c r="D553" s="1" t="s">
        <v>1507</v>
      </c>
      <c r="E553" s="1" t="s">
        <v>1507</v>
      </c>
      <c r="F553" s="1" t="s">
        <v>1507</v>
      </c>
      <c r="G553" s="1" t="s">
        <v>16015</v>
      </c>
      <c r="H553" s="1" t="s">
        <v>1507</v>
      </c>
      <c r="I553" s="1" t="s">
        <v>1507</v>
      </c>
      <c r="J553" s="1" t="s">
        <v>16016</v>
      </c>
      <c r="K553" s="1" t="s">
        <v>16017</v>
      </c>
      <c r="L553" s="1" t="s">
        <v>1507</v>
      </c>
      <c r="M553" s="1" t="s">
        <v>1507</v>
      </c>
      <c r="N553" s="1" t="s">
        <v>42</v>
      </c>
      <c r="O553" s="1" t="s">
        <v>13950</v>
      </c>
      <c r="P553" s="1" t="s">
        <v>1507</v>
      </c>
      <c r="Q553" s="1" t="s">
        <v>1507</v>
      </c>
      <c r="R553" s="1" t="s">
        <v>1507</v>
      </c>
      <c r="S553" s="1" t="s">
        <v>1507</v>
      </c>
      <c r="T553" s="1" t="s">
        <v>1507</v>
      </c>
      <c r="U553" s="1" t="s">
        <v>16018</v>
      </c>
      <c r="V553" s="1" t="s">
        <v>16019</v>
      </c>
      <c r="W553" s="1" t="s">
        <v>1507</v>
      </c>
      <c r="X553" s="1" t="s">
        <v>16020</v>
      </c>
      <c r="Y553" s="1" t="s">
        <v>16021</v>
      </c>
      <c r="Z553" s="1" t="s">
        <v>10598</v>
      </c>
      <c r="AA553" s="1" t="s">
        <v>10599</v>
      </c>
      <c r="AB553" s="1" t="s">
        <v>1507</v>
      </c>
      <c r="AC553" s="1" t="s">
        <v>16022</v>
      </c>
      <c r="AD553" s="1" t="s">
        <v>16023</v>
      </c>
      <c r="AE553" s="1" t="s">
        <v>16024</v>
      </c>
      <c r="AF553" s="1" t="s">
        <v>16025</v>
      </c>
      <c r="AG553" s="1" t="s">
        <v>1507</v>
      </c>
      <c r="AH553" s="1">
        <v>23</v>
      </c>
      <c r="AI553" s="1">
        <v>1</v>
      </c>
      <c r="AJ553" s="1">
        <v>1</v>
      </c>
      <c r="AK553" s="1">
        <v>0</v>
      </c>
      <c r="AL553" s="1">
        <v>5</v>
      </c>
      <c r="AM553" s="1" t="s">
        <v>16026</v>
      </c>
      <c r="AN553" s="1" t="s">
        <v>16027</v>
      </c>
      <c r="AO553" s="1" t="s">
        <v>16028</v>
      </c>
      <c r="AP553" s="1" t="s">
        <v>16029</v>
      </c>
      <c r="AQ553" s="1" t="s">
        <v>1507</v>
      </c>
      <c r="AR553" s="1" t="s">
        <v>1507</v>
      </c>
      <c r="AS553" s="1" t="s">
        <v>16017</v>
      </c>
      <c r="AT553" s="1" t="s">
        <v>16030</v>
      </c>
      <c r="AU553" s="1" t="s">
        <v>5362</v>
      </c>
      <c r="AV553" s="1">
        <v>2018</v>
      </c>
      <c r="AW553" s="1">
        <v>5</v>
      </c>
      <c r="AX553" s="1" t="s">
        <v>1507</v>
      </c>
      <c r="AY553" s="1">
        <v>2</v>
      </c>
      <c r="AZ553" s="1" t="s">
        <v>1507</v>
      </c>
      <c r="BA553" s="1" t="s">
        <v>1507</v>
      </c>
      <c r="BB553" s="1" t="s">
        <v>1507</v>
      </c>
      <c r="BC553" s="1">
        <v>120</v>
      </c>
      <c r="BD553" s="1">
        <v>121</v>
      </c>
      <c r="BE553" s="1" t="s">
        <v>1507</v>
      </c>
      <c r="BF553" s="1" t="s">
        <v>16031</v>
      </c>
      <c r="BG553" s="1" t="str">
        <f>HYPERLINK("http://dx.doi.org/10.1107/S2052252518002713","http://dx.doi.org/10.1107/S2052252518002713")</f>
        <v>http://dx.doi.org/10.1107/S2052252518002713</v>
      </c>
      <c r="BH553" s="1" t="s">
        <v>1507</v>
      </c>
      <c r="BI553" s="1" t="s">
        <v>1507</v>
      </c>
      <c r="BJ553" s="1">
        <v>2</v>
      </c>
      <c r="BK553" s="1" t="s">
        <v>12109</v>
      </c>
      <c r="BL553" s="1" t="s">
        <v>1573</v>
      </c>
      <c r="BM553" s="1" t="s">
        <v>12110</v>
      </c>
      <c r="BN553" s="1" t="s">
        <v>16032</v>
      </c>
      <c r="BO553" s="1">
        <v>29765599</v>
      </c>
      <c r="BP553" s="1" t="s">
        <v>1952</v>
      </c>
      <c r="BQ553" s="1" t="s">
        <v>1507</v>
      </c>
      <c r="BR553" s="1" t="s">
        <v>1507</v>
      </c>
      <c r="BS553" s="1" t="s">
        <v>13744</v>
      </c>
      <c r="BT553" s="1" t="s">
        <v>16033</v>
      </c>
      <c r="BU553" s="1" t="str">
        <f>HYPERLINK("https%3A%2F%2Fwww.webofscience.com%2Fwos%2Fwoscc%2Ffull-record%2FWOS:000427041400002","View Full Record in Web of Science")</f>
        <v>View Full Record in Web of Science</v>
      </c>
    </row>
    <row r="554" spans="1:73" x14ac:dyDescent="0.25">
      <c r="A554" s="1">
        <v>553</v>
      </c>
      <c r="B554" s="1" t="s">
        <v>1506</v>
      </c>
      <c r="C554" s="1" t="s">
        <v>2321</v>
      </c>
      <c r="D554" s="1" t="s">
        <v>1507</v>
      </c>
      <c r="E554" s="1" t="s">
        <v>1507</v>
      </c>
      <c r="F554" s="1" t="s">
        <v>1507</v>
      </c>
      <c r="G554" s="1" t="s">
        <v>2322</v>
      </c>
      <c r="H554" s="1" t="s">
        <v>1507</v>
      </c>
      <c r="I554" s="1" t="s">
        <v>1507</v>
      </c>
      <c r="J554" s="1" t="s">
        <v>2323</v>
      </c>
      <c r="K554" s="1" t="s">
        <v>2324</v>
      </c>
      <c r="L554" s="1" t="s">
        <v>1507</v>
      </c>
      <c r="M554" s="1" t="s">
        <v>1507</v>
      </c>
      <c r="N554" s="1" t="s">
        <v>42</v>
      </c>
      <c r="O554" s="1" t="s">
        <v>56</v>
      </c>
      <c r="P554" s="1" t="s">
        <v>1507</v>
      </c>
      <c r="Q554" s="1" t="s">
        <v>1507</v>
      </c>
      <c r="R554" s="1" t="s">
        <v>1507</v>
      </c>
      <c r="S554" s="1" t="s">
        <v>1507</v>
      </c>
      <c r="T554" s="1" t="s">
        <v>1507</v>
      </c>
      <c r="U554" s="1" t="s">
        <v>1507</v>
      </c>
      <c r="V554" s="1" t="s">
        <v>1507</v>
      </c>
      <c r="W554" s="1" t="s">
        <v>2325</v>
      </c>
      <c r="X554" s="1" t="s">
        <v>2326</v>
      </c>
      <c r="Y554" s="1" t="s">
        <v>2327</v>
      </c>
      <c r="Z554" s="1" t="s">
        <v>2328</v>
      </c>
      <c r="AA554" s="1" t="s">
        <v>1507</v>
      </c>
      <c r="AB554" s="1" t="s">
        <v>13941</v>
      </c>
      <c r="AC554" s="1" t="s">
        <v>13942</v>
      </c>
      <c r="AD554" s="1" t="s">
        <v>2329</v>
      </c>
      <c r="AE554" s="1" t="s">
        <v>2330</v>
      </c>
      <c r="AF554" s="1" t="s">
        <v>2331</v>
      </c>
      <c r="AG554" s="1" t="s">
        <v>1507</v>
      </c>
      <c r="AH554" s="1">
        <v>85</v>
      </c>
      <c r="AI554" s="1">
        <v>2</v>
      </c>
      <c r="AJ554" s="1">
        <v>2</v>
      </c>
      <c r="AK554" s="1">
        <v>0</v>
      </c>
      <c r="AL554" s="1">
        <v>0</v>
      </c>
      <c r="AM554" s="1" t="s">
        <v>2332</v>
      </c>
      <c r="AN554" s="1" t="s">
        <v>2333</v>
      </c>
      <c r="AO554" s="1" t="s">
        <v>2334</v>
      </c>
      <c r="AP554" s="1" t="s">
        <v>2335</v>
      </c>
      <c r="AQ554" s="1" t="s">
        <v>2336</v>
      </c>
      <c r="AR554" s="1" t="s">
        <v>1507</v>
      </c>
      <c r="AS554" s="1" t="s">
        <v>2337</v>
      </c>
      <c r="AT554" s="1" t="s">
        <v>2338</v>
      </c>
      <c r="AU554" s="1" t="s">
        <v>2191</v>
      </c>
      <c r="AV554" s="1">
        <v>2023</v>
      </c>
      <c r="AW554" s="1">
        <v>46</v>
      </c>
      <c r="AX554" s="1">
        <v>4</v>
      </c>
      <c r="AY554" s="1" t="s">
        <v>1507</v>
      </c>
      <c r="AZ554" s="1" t="s">
        <v>1507</v>
      </c>
      <c r="BA554" s="1" t="s">
        <v>1507</v>
      </c>
      <c r="BB554" s="1" t="s">
        <v>1507</v>
      </c>
      <c r="BC554" s="1">
        <v>1421</v>
      </c>
      <c r="BD554" s="1">
        <v>1470</v>
      </c>
      <c r="BE554" s="1" t="s">
        <v>1507</v>
      </c>
      <c r="BF554" s="1" t="s">
        <v>1507</v>
      </c>
      <c r="BG554" s="1" t="s">
        <v>1507</v>
      </c>
      <c r="BH554" s="1" t="s">
        <v>1507</v>
      </c>
      <c r="BI554" s="1" t="s">
        <v>1507</v>
      </c>
      <c r="BJ554" s="1">
        <v>50</v>
      </c>
      <c r="BK554" s="1" t="s">
        <v>1535</v>
      </c>
      <c r="BL554" s="1" t="s">
        <v>1529</v>
      </c>
      <c r="BM554" s="1" t="s">
        <v>1536</v>
      </c>
      <c r="BN554" s="1" t="s">
        <v>2339</v>
      </c>
      <c r="BO554" s="1" t="s">
        <v>1507</v>
      </c>
      <c r="BP554" s="1" t="s">
        <v>1507</v>
      </c>
      <c r="BQ554" s="1" t="s">
        <v>1507</v>
      </c>
      <c r="BR554" s="1" t="s">
        <v>1507</v>
      </c>
      <c r="BS554" s="1" t="s">
        <v>13744</v>
      </c>
      <c r="BT554" s="1" t="s">
        <v>2340</v>
      </c>
      <c r="BU554" s="1" t="str">
        <f>HYPERLINK("https%3A%2F%2Fwww.webofscience.com%2Fwos%2Fwoscc%2Ffull-record%2FWOS:001125409100007","View Full Record in Web of Science")</f>
        <v>View Full Record in Web of Science</v>
      </c>
    </row>
    <row r="555" spans="1:73" x14ac:dyDescent="0.25">
      <c r="A555" s="1">
        <v>554</v>
      </c>
      <c r="B555" s="1" t="s">
        <v>1506</v>
      </c>
      <c r="C555" s="1" t="s">
        <v>6994</v>
      </c>
      <c r="D555" s="1" t="s">
        <v>1507</v>
      </c>
      <c r="E555" s="1" t="s">
        <v>1507</v>
      </c>
      <c r="F555" s="1" t="s">
        <v>1507</v>
      </c>
      <c r="G555" s="1" t="s">
        <v>6995</v>
      </c>
      <c r="H555" s="1" t="s">
        <v>1507</v>
      </c>
      <c r="I555" s="1" t="s">
        <v>1507</v>
      </c>
      <c r="J555" s="1" t="s">
        <v>6996</v>
      </c>
      <c r="K555" s="1" t="s">
        <v>6997</v>
      </c>
      <c r="L555" s="1" t="s">
        <v>1507</v>
      </c>
      <c r="M555" s="1" t="s">
        <v>1507</v>
      </c>
      <c r="N555" s="1" t="s">
        <v>42</v>
      </c>
      <c r="O555" s="1" t="s">
        <v>56</v>
      </c>
      <c r="P555" s="1" t="s">
        <v>1507</v>
      </c>
      <c r="Q555" s="1" t="s">
        <v>1507</v>
      </c>
      <c r="R555" s="1" t="s">
        <v>1507</v>
      </c>
      <c r="S555" s="1" t="s">
        <v>1507</v>
      </c>
      <c r="T555" s="1" t="s">
        <v>1507</v>
      </c>
      <c r="U555" s="1" t="s">
        <v>6998</v>
      </c>
      <c r="V555" s="1" t="s">
        <v>1507</v>
      </c>
      <c r="W555" s="1" t="s">
        <v>6999</v>
      </c>
      <c r="X555" s="1" t="s">
        <v>7000</v>
      </c>
      <c r="Y555" s="1" t="s">
        <v>7001</v>
      </c>
      <c r="Z555" s="1" t="s">
        <v>7002</v>
      </c>
      <c r="AA555" s="1" t="s">
        <v>7003</v>
      </c>
      <c r="AB555" s="1" t="s">
        <v>7004</v>
      </c>
      <c r="AC555" s="1" t="s">
        <v>7005</v>
      </c>
      <c r="AD555" s="1" t="s">
        <v>7006</v>
      </c>
      <c r="AE555" s="1" t="s">
        <v>7007</v>
      </c>
      <c r="AF555" s="1" t="s">
        <v>7008</v>
      </c>
      <c r="AG555" s="1" t="s">
        <v>1507</v>
      </c>
      <c r="AH555" s="1">
        <v>58</v>
      </c>
      <c r="AI555" s="1">
        <v>0</v>
      </c>
      <c r="AJ555" s="1">
        <v>0</v>
      </c>
      <c r="AK555" s="1">
        <v>3</v>
      </c>
      <c r="AL555" s="1">
        <v>9</v>
      </c>
      <c r="AM555" s="1" t="s">
        <v>7009</v>
      </c>
      <c r="AN555" s="1" t="s">
        <v>7010</v>
      </c>
      <c r="AO555" s="1" t="s">
        <v>7011</v>
      </c>
      <c r="AP555" s="1" t="s">
        <v>7012</v>
      </c>
      <c r="AQ555" s="1" t="s">
        <v>1507</v>
      </c>
      <c r="AR555" s="1" t="s">
        <v>1507</v>
      </c>
      <c r="AS555" s="1" t="s">
        <v>7013</v>
      </c>
      <c r="AT555" s="1" t="s">
        <v>7014</v>
      </c>
      <c r="AU555" s="1" t="s">
        <v>3992</v>
      </c>
      <c r="AV555" s="1">
        <v>2022</v>
      </c>
      <c r="AW555" s="1">
        <v>17</v>
      </c>
      <c r="AX555" s="1">
        <v>2</v>
      </c>
      <c r="AY555" s="1" t="s">
        <v>1507</v>
      </c>
      <c r="AZ555" s="1" t="s">
        <v>1507</v>
      </c>
      <c r="BA555" s="1" t="s">
        <v>1507</v>
      </c>
      <c r="BB555" s="1" t="s">
        <v>1507</v>
      </c>
      <c r="BC555" s="1">
        <v>331</v>
      </c>
      <c r="BD555" s="1">
        <v>370</v>
      </c>
      <c r="BE555" s="1" t="s">
        <v>1507</v>
      </c>
      <c r="BF555" s="1" t="s">
        <v>1507</v>
      </c>
      <c r="BG555" s="1" t="s">
        <v>1507</v>
      </c>
      <c r="BH555" s="1" t="s">
        <v>1507</v>
      </c>
      <c r="BI555" s="1" t="s">
        <v>1507</v>
      </c>
      <c r="BJ555" s="1">
        <v>40</v>
      </c>
      <c r="BK555" s="1" t="s">
        <v>7015</v>
      </c>
      <c r="BL555" s="1" t="s">
        <v>1518</v>
      </c>
      <c r="BM555" s="1" t="s">
        <v>7016</v>
      </c>
      <c r="BN555" s="1" t="s">
        <v>7017</v>
      </c>
      <c r="BO555" s="1" t="s">
        <v>1507</v>
      </c>
      <c r="BP555" s="1" t="s">
        <v>1507</v>
      </c>
      <c r="BQ555" s="1" t="s">
        <v>1507</v>
      </c>
      <c r="BR555" s="1" t="s">
        <v>1507</v>
      </c>
      <c r="BS555" s="1" t="s">
        <v>13744</v>
      </c>
      <c r="BT555" s="1" t="s">
        <v>7018</v>
      </c>
      <c r="BU555" s="1" t="str">
        <f>HYPERLINK("https%3A%2F%2Fwww.webofscience.com%2Fwos%2Fwoscc%2Ffull-record%2FWOS:000867485400002","View Full Record in Web of Science")</f>
        <v>View Full Record in Web of Science</v>
      </c>
    </row>
    <row r="556" spans="1:73" x14ac:dyDescent="0.25">
      <c r="A556" s="1">
        <v>555</v>
      </c>
      <c r="B556" s="1" t="s">
        <v>1506</v>
      </c>
      <c r="C556" s="1" t="s">
        <v>7940</v>
      </c>
      <c r="D556" s="1" t="s">
        <v>1507</v>
      </c>
      <c r="E556" s="1" t="s">
        <v>1507</v>
      </c>
      <c r="F556" s="1" t="s">
        <v>1507</v>
      </c>
      <c r="G556" s="1" t="s">
        <v>7941</v>
      </c>
      <c r="H556" s="1" t="s">
        <v>1507</v>
      </c>
      <c r="I556" s="1" t="s">
        <v>1507</v>
      </c>
      <c r="J556" s="1" t="s">
        <v>7942</v>
      </c>
      <c r="K556" s="1" t="s">
        <v>7943</v>
      </c>
      <c r="L556" s="1" t="s">
        <v>1507</v>
      </c>
      <c r="M556" s="1" t="s">
        <v>1507</v>
      </c>
      <c r="N556" s="1" t="s">
        <v>42</v>
      </c>
      <c r="O556" s="1" t="s">
        <v>56</v>
      </c>
      <c r="P556" s="1" t="s">
        <v>1507</v>
      </c>
      <c r="Q556" s="1" t="s">
        <v>1507</v>
      </c>
      <c r="R556" s="1" t="s">
        <v>1507</v>
      </c>
      <c r="S556" s="1" t="s">
        <v>1507</v>
      </c>
      <c r="T556" s="1" t="s">
        <v>1507</v>
      </c>
      <c r="U556" s="1" t="s">
        <v>1507</v>
      </c>
      <c r="V556" s="1" t="s">
        <v>7944</v>
      </c>
      <c r="W556" s="1" t="s">
        <v>7945</v>
      </c>
      <c r="X556" s="1" t="s">
        <v>7946</v>
      </c>
      <c r="Y556" s="1" t="s">
        <v>7947</v>
      </c>
      <c r="Z556" s="1" t="s">
        <v>7948</v>
      </c>
      <c r="AA556" s="1" t="s">
        <v>7949</v>
      </c>
      <c r="AB556" s="1" t="s">
        <v>15675</v>
      </c>
      <c r="AC556" s="1" t="s">
        <v>15676</v>
      </c>
      <c r="AD556" s="1" t="s">
        <v>7950</v>
      </c>
      <c r="AE556" s="1" t="s">
        <v>7951</v>
      </c>
      <c r="AF556" s="1" t="s">
        <v>7952</v>
      </c>
      <c r="AG556" s="1" t="s">
        <v>1507</v>
      </c>
      <c r="AH556" s="1">
        <v>45</v>
      </c>
      <c r="AI556" s="1">
        <v>2</v>
      </c>
      <c r="AJ556" s="1">
        <v>4</v>
      </c>
      <c r="AK556" s="1">
        <v>7</v>
      </c>
      <c r="AL556" s="1">
        <v>39</v>
      </c>
      <c r="AM556" s="1" t="s">
        <v>1522</v>
      </c>
      <c r="AN556" s="1" t="s">
        <v>1523</v>
      </c>
      <c r="AO556" s="1" t="s">
        <v>1524</v>
      </c>
      <c r="AP556" s="1" t="s">
        <v>7953</v>
      </c>
      <c r="AQ556" s="1" t="s">
        <v>7954</v>
      </c>
      <c r="AR556" s="1" t="s">
        <v>1507</v>
      </c>
      <c r="AS556" s="1" t="s">
        <v>7955</v>
      </c>
      <c r="AT556" s="1" t="s">
        <v>7956</v>
      </c>
      <c r="AU556" s="1" t="s">
        <v>15677</v>
      </c>
      <c r="AV556" s="1">
        <v>2022</v>
      </c>
      <c r="AW556" s="1">
        <v>24</v>
      </c>
      <c r="AX556" s="1">
        <v>4</v>
      </c>
      <c r="AY556" s="1" t="s">
        <v>1507</v>
      </c>
      <c r="AZ556" s="1" t="s">
        <v>1507</v>
      </c>
      <c r="BA556" s="1" t="s">
        <v>1507</v>
      </c>
      <c r="BB556" s="1" t="s">
        <v>1507</v>
      </c>
      <c r="BC556" s="1">
        <v>2396</v>
      </c>
      <c r="BD556" s="1">
        <v>2402</v>
      </c>
      <c r="BE556" s="1" t="s">
        <v>1507</v>
      </c>
      <c r="BF556" s="1" t="s">
        <v>7957</v>
      </c>
      <c r="BG556" s="1" t="str">
        <f>HYPERLINK("http://dx.doi.org/10.1039/d1cp04076f","http://dx.doi.org/10.1039/d1cp04076f")</f>
        <v>http://dx.doi.org/10.1039/d1cp04076f</v>
      </c>
      <c r="BH556" s="1" t="s">
        <v>1507</v>
      </c>
      <c r="BI556" s="1" t="s">
        <v>7958</v>
      </c>
      <c r="BJ556" s="1">
        <v>7</v>
      </c>
      <c r="BK556" s="1" t="s">
        <v>7093</v>
      </c>
      <c r="BL556" s="1" t="s">
        <v>1573</v>
      </c>
      <c r="BM556" s="1" t="s">
        <v>7094</v>
      </c>
      <c r="BN556" s="1" t="s">
        <v>7959</v>
      </c>
      <c r="BO556" s="1">
        <v>35019913</v>
      </c>
      <c r="BP556" s="1" t="s">
        <v>1507</v>
      </c>
      <c r="BQ556" s="1" t="s">
        <v>1507</v>
      </c>
      <c r="BR556" s="1" t="s">
        <v>1507</v>
      </c>
      <c r="BS556" s="1" t="s">
        <v>13744</v>
      </c>
      <c r="BT556" s="1" t="s">
        <v>7960</v>
      </c>
      <c r="BU556" s="1" t="str">
        <f>HYPERLINK("https%3A%2F%2Fwww.webofscience.com%2Fwos%2Fwoscc%2Ffull-record%2FWOS:000741637800001","View Full Record in Web of Science")</f>
        <v>View Full Record in Web of Science</v>
      </c>
    </row>
    <row r="557" spans="1:73" x14ac:dyDescent="0.25">
      <c r="A557" s="1">
        <v>556</v>
      </c>
      <c r="B557" s="1" t="s">
        <v>1506</v>
      </c>
      <c r="C557" s="1" t="s">
        <v>2477</v>
      </c>
      <c r="D557" s="1" t="s">
        <v>1507</v>
      </c>
      <c r="E557" s="1" t="s">
        <v>1507</v>
      </c>
      <c r="F557" s="1" t="s">
        <v>1507</v>
      </c>
      <c r="G557" s="1" t="s">
        <v>2478</v>
      </c>
      <c r="H557" s="1" t="s">
        <v>1507</v>
      </c>
      <c r="I557" s="1" t="s">
        <v>1507</v>
      </c>
      <c r="J557" s="1" t="s">
        <v>2479</v>
      </c>
      <c r="K557" s="1" t="s">
        <v>2480</v>
      </c>
      <c r="L557" s="1" t="s">
        <v>1507</v>
      </c>
      <c r="M557" s="1" t="s">
        <v>1507</v>
      </c>
      <c r="N557" s="1" t="s">
        <v>42</v>
      </c>
      <c r="O557" s="1" t="s">
        <v>1509</v>
      </c>
      <c r="P557" s="1" t="s">
        <v>1507</v>
      </c>
      <c r="Q557" s="1" t="s">
        <v>1507</v>
      </c>
      <c r="R557" s="1" t="s">
        <v>1507</v>
      </c>
      <c r="S557" s="1" t="s">
        <v>1507</v>
      </c>
      <c r="T557" s="1" t="s">
        <v>1507</v>
      </c>
      <c r="U557" s="1" t="s">
        <v>2481</v>
      </c>
      <c r="V557" s="1" t="s">
        <v>1507</v>
      </c>
      <c r="W557" s="1" t="s">
        <v>2482</v>
      </c>
      <c r="X557" s="1" t="s">
        <v>2483</v>
      </c>
      <c r="Y557" s="1" t="s">
        <v>2484</v>
      </c>
      <c r="Z557" s="1" t="s">
        <v>2485</v>
      </c>
      <c r="AA557" s="1" t="s">
        <v>2486</v>
      </c>
      <c r="AB557" s="1" t="s">
        <v>13962</v>
      </c>
      <c r="AC557" s="1" t="s">
        <v>13963</v>
      </c>
      <c r="AD557" s="1" t="s">
        <v>2487</v>
      </c>
      <c r="AE557" s="1" t="s">
        <v>2487</v>
      </c>
      <c r="AF557" s="1" t="s">
        <v>2488</v>
      </c>
      <c r="AG557" s="1" t="s">
        <v>1507</v>
      </c>
      <c r="AH557" s="1">
        <v>37</v>
      </c>
      <c r="AI557" s="1">
        <v>1</v>
      </c>
      <c r="AJ557" s="1">
        <v>1</v>
      </c>
      <c r="AK557" s="1">
        <v>6</v>
      </c>
      <c r="AL557" s="1">
        <v>6</v>
      </c>
      <c r="AM557" s="1" t="s">
        <v>1511</v>
      </c>
      <c r="AN557" s="1" t="s">
        <v>1570</v>
      </c>
      <c r="AO557" s="1" t="s">
        <v>1571</v>
      </c>
      <c r="AP557" s="1" t="s">
        <v>2489</v>
      </c>
      <c r="AQ557" s="1" t="s">
        <v>2490</v>
      </c>
      <c r="AR557" s="1" t="s">
        <v>1507</v>
      </c>
      <c r="AS557" s="1" t="s">
        <v>2491</v>
      </c>
      <c r="AT557" s="1" t="s">
        <v>2492</v>
      </c>
      <c r="AU557" s="1" t="s">
        <v>2493</v>
      </c>
      <c r="AV557" s="1">
        <v>2023</v>
      </c>
      <c r="AW557" s="1" t="s">
        <v>1507</v>
      </c>
      <c r="AX557" s="1" t="s">
        <v>1507</v>
      </c>
      <c r="AY557" s="1" t="s">
        <v>1507</v>
      </c>
      <c r="AZ557" s="1" t="s">
        <v>1507</v>
      </c>
      <c r="BA557" s="1" t="s">
        <v>1507</v>
      </c>
      <c r="BB557" s="1" t="s">
        <v>1507</v>
      </c>
      <c r="BC557" s="1" t="s">
        <v>1507</v>
      </c>
      <c r="BD557" s="1" t="s">
        <v>1507</v>
      </c>
      <c r="BE557" s="1" t="s">
        <v>1507</v>
      </c>
      <c r="BF557" s="1" t="s">
        <v>2494</v>
      </c>
      <c r="BG557" s="1" t="str">
        <f>HYPERLINK("http://dx.doi.org/10.1007/s11196-023-10068-1","http://dx.doi.org/10.1007/s11196-023-10068-1")</f>
        <v>http://dx.doi.org/10.1007/s11196-023-10068-1</v>
      </c>
      <c r="BH557" s="1" t="s">
        <v>1507</v>
      </c>
      <c r="BI557" s="1" t="s">
        <v>2396</v>
      </c>
      <c r="BJ557" s="1">
        <v>20</v>
      </c>
      <c r="BK557" s="1" t="s">
        <v>2495</v>
      </c>
      <c r="BL557" s="1" t="s">
        <v>1529</v>
      </c>
      <c r="BM557" s="1" t="s">
        <v>2496</v>
      </c>
      <c r="BN557" s="1" t="s">
        <v>2497</v>
      </c>
      <c r="BO557" s="1" t="s">
        <v>1507</v>
      </c>
      <c r="BP557" s="1" t="s">
        <v>1537</v>
      </c>
      <c r="BQ557" s="1" t="s">
        <v>1507</v>
      </c>
      <c r="BR557" s="1" t="s">
        <v>1507</v>
      </c>
      <c r="BS557" s="1" t="s">
        <v>13744</v>
      </c>
      <c r="BT557" s="1" t="s">
        <v>2498</v>
      </c>
      <c r="BU557" s="1" t="str">
        <f>HYPERLINK("https%3A%2F%2Fwww.webofscience.com%2Fwos%2Fwoscc%2Ffull-record%2FWOS:001105001600002","View Full Record in Web of Science")</f>
        <v>View Full Record in Web of Science</v>
      </c>
    </row>
    <row r="558" spans="1:73" x14ac:dyDescent="0.25">
      <c r="A558" s="1">
        <v>557</v>
      </c>
      <c r="B558" s="1" t="s">
        <v>1506</v>
      </c>
      <c r="C558" s="1" t="s">
        <v>1973</v>
      </c>
      <c r="D558" s="1" t="s">
        <v>1507</v>
      </c>
      <c r="E558" s="1" t="s">
        <v>1507</v>
      </c>
      <c r="F558" s="1" t="s">
        <v>1507</v>
      </c>
      <c r="G558" s="1" t="s">
        <v>1974</v>
      </c>
      <c r="H558" s="1" t="s">
        <v>1507</v>
      </c>
      <c r="I558" s="1" t="s">
        <v>1507</v>
      </c>
      <c r="J558" s="1" t="s">
        <v>1975</v>
      </c>
      <c r="K558" s="1" t="s">
        <v>1976</v>
      </c>
      <c r="L558" s="1" t="s">
        <v>1507</v>
      </c>
      <c r="M558" s="1" t="s">
        <v>1507</v>
      </c>
      <c r="N558" s="1" t="s">
        <v>42</v>
      </c>
      <c r="O558" s="1" t="s">
        <v>56</v>
      </c>
      <c r="P558" s="1" t="s">
        <v>1507</v>
      </c>
      <c r="Q558" s="1" t="s">
        <v>1507</v>
      </c>
      <c r="R558" s="1" t="s">
        <v>1507</v>
      </c>
      <c r="S558" s="1" t="s">
        <v>1507</v>
      </c>
      <c r="T558" s="1" t="s">
        <v>1507</v>
      </c>
      <c r="U558" s="1" t="s">
        <v>1977</v>
      </c>
      <c r="V558" s="1" t="s">
        <v>1978</v>
      </c>
      <c r="W558" s="1" t="s">
        <v>1979</v>
      </c>
      <c r="X558" s="1" t="s">
        <v>1980</v>
      </c>
      <c r="Y558" s="1" t="s">
        <v>1981</v>
      </c>
      <c r="Z558" s="1" t="s">
        <v>1982</v>
      </c>
      <c r="AA558" s="1" t="s">
        <v>1983</v>
      </c>
      <c r="AB558" s="1" t="s">
        <v>1984</v>
      </c>
      <c r="AC558" s="1" t="s">
        <v>1985</v>
      </c>
      <c r="AD558" s="1" t="s">
        <v>1986</v>
      </c>
      <c r="AE558" s="1" t="s">
        <v>1987</v>
      </c>
      <c r="AF558" s="1" t="s">
        <v>1988</v>
      </c>
      <c r="AG558" s="1" t="s">
        <v>1507</v>
      </c>
      <c r="AH558" s="1">
        <v>72</v>
      </c>
      <c r="AI558" s="1">
        <v>0</v>
      </c>
      <c r="AJ558" s="1">
        <v>0</v>
      </c>
      <c r="AK558" s="1">
        <v>56</v>
      </c>
      <c r="AL558" s="1">
        <v>56</v>
      </c>
      <c r="AM558" s="1" t="s">
        <v>1586</v>
      </c>
      <c r="AN558" s="1" t="s">
        <v>1587</v>
      </c>
      <c r="AO558" s="1" t="s">
        <v>1588</v>
      </c>
      <c r="AP558" s="1" t="s">
        <v>1989</v>
      </c>
      <c r="AQ558" s="1" t="s">
        <v>1990</v>
      </c>
      <c r="AR558" s="1" t="s">
        <v>1507</v>
      </c>
      <c r="AS558" s="1" t="s">
        <v>1991</v>
      </c>
      <c r="AT558" s="1" t="s">
        <v>1992</v>
      </c>
      <c r="AU558" s="1" t="s">
        <v>5362</v>
      </c>
      <c r="AV558" s="1">
        <v>2024</v>
      </c>
      <c r="AW558" s="1">
        <v>51</v>
      </c>
      <c r="AX558" s="1" t="s">
        <v>1507</v>
      </c>
      <c r="AY558" s="1" t="s">
        <v>1507</v>
      </c>
      <c r="AZ558" s="1" t="s">
        <v>1507</v>
      </c>
      <c r="BA558" s="1" t="s">
        <v>1507</v>
      </c>
      <c r="BB558" s="1" t="s">
        <v>1507</v>
      </c>
      <c r="BC558" s="1" t="s">
        <v>1507</v>
      </c>
      <c r="BD558" s="1" t="s">
        <v>1507</v>
      </c>
      <c r="BE558" s="1">
        <v>101440</v>
      </c>
      <c r="BF558" s="1" t="s">
        <v>1993</v>
      </c>
      <c r="BG558" s="1" t="str">
        <f>HYPERLINK("http://dx.doi.org/10.1016/j.tsc.2023.101440","http://dx.doi.org/10.1016/j.tsc.2023.101440")</f>
        <v>http://dx.doi.org/10.1016/j.tsc.2023.101440</v>
      </c>
      <c r="BH558" s="1" t="s">
        <v>1507</v>
      </c>
      <c r="BI558" s="1" t="s">
        <v>1652</v>
      </c>
      <c r="BJ558" s="1">
        <v>14</v>
      </c>
      <c r="BK558" s="1" t="s">
        <v>1558</v>
      </c>
      <c r="BL558" s="1" t="s">
        <v>1518</v>
      </c>
      <c r="BM558" s="1" t="s">
        <v>1558</v>
      </c>
      <c r="BN558" s="1" t="s">
        <v>1994</v>
      </c>
      <c r="BO558" s="1" t="s">
        <v>1507</v>
      </c>
      <c r="BP558" s="1" t="s">
        <v>1507</v>
      </c>
      <c r="BQ558" s="1" t="s">
        <v>1507</v>
      </c>
      <c r="BR558" s="1" t="s">
        <v>1507</v>
      </c>
      <c r="BS558" s="1" t="s">
        <v>13744</v>
      </c>
      <c r="BT558" s="1" t="s">
        <v>1995</v>
      </c>
      <c r="BU558" s="1" t="str">
        <f>HYPERLINK("https%3A%2F%2Fwww.webofscience.com%2Fwos%2Fwoscc%2Ffull-record%2FWOS:001140175900001","View Full Record in Web of Science")</f>
        <v>View Full Record in Web of Science</v>
      </c>
    </row>
    <row r="559" spans="1:73" x14ac:dyDescent="0.25">
      <c r="A559" s="1">
        <v>558</v>
      </c>
      <c r="B559" s="1" t="s">
        <v>1506</v>
      </c>
      <c r="C559" s="1" t="s">
        <v>8040</v>
      </c>
      <c r="D559" s="1" t="s">
        <v>1507</v>
      </c>
      <c r="E559" s="1" t="s">
        <v>1507</v>
      </c>
      <c r="F559" s="1" t="s">
        <v>1507</v>
      </c>
      <c r="G559" s="1" t="s">
        <v>8041</v>
      </c>
      <c r="H559" s="1" t="s">
        <v>1507</v>
      </c>
      <c r="I559" s="1" t="s">
        <v>1507</v>
      </c>
      <c r="J559" s="1" t="s">
        <v>8042</v>
      </c>
      <c r="K559" s="1" t="s">
        <v>8043</v>
      </c>
      <c r="L559" s="1" t="s">
        <v>1507</v>
      </c>
      <c r="M559" s="1" t="s">
        <v>1507</v>
      </c>
      <c r="N559" s="1" t="s">
        <v>42</v>
      </c>
      <c r="O559" s="1" t="s">
        <v>56</v>
      </c>
      <c r="P559" s="1" t="s">
        <v>1507</v>
      </c>
      <c r="Q559" s="1" t="s">
        <v>1507</v>
      </c>
      <c r="R559" s="1" t="s">
        <v>1507</v>
      </c>
      <c r="S559" s="1" t="s">
        <v>1507</v>
      </c>
      <c r="T559" s="1" t="s">
        <v>1507</v>
      </c>
      <c r="U559" s="1" t="s">
        <v>8044</v>
      </c>
      <c r="V559" s="1" t="s">
        <v>8045</v>
      </c>
      <c r="W559" s="1" t="s">
        <v>8046</v>
      </c>
      <c r="X559" s="1" t="s">
        <v>8047</v>
      </c>
      <c r="Y559" s="1" t="s">
        <v>8048</v>
      </c>
      <c r="Z559" s="1" t="s">
        <v>8049</v>
      </c>
      <c r="AA559" s="1" t="s">
        <v>5402</v>
      </c>
      <c r="AB559" s="1" t="s">
        <v>1507</v>
      </c>
      <c r="AC559" s="1" t="s">
        <v>8050</v>
      </c>
      <c r="AD559" s="1" t="s">
        <v>8051</v>
      </c>
      <c r="AE559" s="1" t="s">
        <v>8052</v>
      </c>
      <c r="AF559" s="1" t="s">
        <v>8053</v>
      </c>
      <c r="AG559" s="1" t="s">
        <v>1507</v>
      </c>
      <c r="AH559" s="1">
        <v>72</v>
      </c>
      <c r="AI559" s="1">
        <v>5</v>
      </c>
      <c r="AJ559" s="1">
        <v>5</v>
      </c>
      <c r="AK559" s="1">
        <v>1</v>
      </c>
      <c r="AL559" s="1">
        <v>17</v>
      </c>
      <c r="AM559" s="1" t="s">
        <v>1511</v>
      </c>
      <c r="AN559" s="1" t="s">
        <v>1512</v>
      </c>
      <c r="AO559" s="1" t="s">
        <v>1513</v>
      </c>
      <c r="AP559" s="1" t="s">
        <v>8054</v>
      </c>
      <c r="AQ559" s="1" t="s">
        <v>8055</v>
      </c>
      <c r="AR559" s="1" t="s">
        <v>1507</v>
      </c>
      <c r="AS559" s="1" t="s">
        <v>8056</v>
      </c>
      <c r="AT559" s="1" t="s">
        <v>8057</v>
      </c>
      <c r="AU559" s="1" t="s">
        <v>2191</v>
      </c>
      <c r="AV559" s="1">
        <v>2021</v>
      </c>
      <c r="AW559" s="1">
        <v>27</v>
      </c>
      <c r="AX559" s="1">
        <v>1</v>
      </c>
      <c r="AY559" s="1" t="s">
        <v>1507</v>
      </c>
      <c r="AZ559" s="1" t="s">
        <v>1507</v>
      </c>
      <c r="BA559" s="1" t="s">
        <v>1507</v>
      </c>
      <c r="BB559" s="1" t="s">
        <v>1507</v>
      </c>
      <c r="BC559" s="1" t="s">
        <v>1507</v>
      </c>
      <c r="BD559" s="1" t="s">
        <v>1507</v>
      </c>
      <c r="BE559" s="1">
        <v>79</v>
      </c>
      <c r="BF559" s="1" t="s">
        <v>8058</v>
      </c>
      <c r="BG559" s="1" t="str">
        <f>HYPERLINK("http://dx.doi.org/10.1186/s10020-021-00334-y","http://dx.doi.org/10.1186/s10020-021-00334-y")</f>
        <v>http://dx.doi.org/10.1186/s10020-021-00334-y</v>
      </c>
      <c r="BH559" s="1" t="s">
        <v>1507</v>
      </c>
      <c r="BI559" s="1" t="s">
        <v>1507</v>
      </c>
      <c r="BJ559" s="1">
        <v>17</v>
      </c>
      <c r="BK559" s="1" t="s">
        <v>8059</v>
      </c>
      <c r="BL559" s="1" t="s">
        <v>1573</v>
      </c>
      <c r="BM559" s="1" t="s">
        <v>8060</v>
      </c>
      <c r="BN559" s="1" t="s">
        <v>8061</v>
      </c>
      <c r="BO559" s="1">
        <v>34271850</v>
      </c>
      <c r="BP559" s="1" t="s">
        <v>1952</v>
      </c>
      <c r="BQ559" s="1" t="s">
        <v>1507</v>
      </c>
      <c r="BR559" s="1" t="s">
        <v>1507</v>
      </c>
      <c r="BS559" s="1" t="s">
        <v>13744</v>
      </c>
      <c r="BT559" s="1" t="s">
        <v>8062</v>
      </c>
      <c r="BU559" s="1" t="str">
        <f>HYPERLINK("https%3A%2F%2Fwww.webofscience.com%2Fwos%2Fwoscc%2Ffull-record%2FWOS:000674079600001","View Full Record in Web of Science")</f>
        <v>View Full Record in Web of Science</v>
      </c>
    </row>
    <row r="560" spans="1:73" x14ac:dyDescent="0.25">
      <c r="A560" s="1">
        <v>559</v>
      </c>
      <c r="B560" s="1" t="s">
        <v>1506</v>
      </c>
      <c r="C560" s="1" t="s">
        <v>6535</v>
      </c>
      <c r="D560" s="1" t="s">
        <v>1507</v>
      </c>
      <c r="E560" s="1" t="s">
        <v>1507</v>
      </c>
      <c r="F560" s="1" t="s">
        <v>1507</v>
      </c>
      <c r="G560" s="1" t="s">
        <v>6536</v>
      </c>
      <c r="H560" s="1" t="s">
        <v>1507</v>
      </c>
      <c r="I560" s="1" t="s">
        <v>1507</v>
      </c>
      <c r="J560" s="1" t="s">
        <v>6537</v>
      </c>
      <c r="K560" s="1" t="s">
        <v>6538</v>
      </c>
      <c r="L560" s="1" t="s">
        <v>1507</v>
      </c>
      <c r="M560" s="1" t="s">
        <v>1507</v>
      </c>
      <c r="N560" s="1" t="s">
        <v>42</v>
      </c>
      <c r="O560" s="1" t="s">
        <v>56</v>
      </c>
      <c r="P560" s="1" t="s">
        <v>1507</v>
      </c>
      <c r="Q560" s="1" t="s">
        <v>1507</v>
      </c>
      <c r="R560" s="1" t="s">
        <v>1507</v>
      </c>
      <c r="S560" s="1" t="s">
        <v>1507</v>
      </c>
      <c r="T560" s="1" t="s">
        <v>1507</v>
      </c>
      <c r="U560" s="1" t="s">
        <v>6539</v>
      </c>
      <c r="V560" s="1" t="s">
        <v>1507</v>
      </c>
      <c r="W560" s="1" t="s">
        <v>6540</v>
      </c>
      <c r="X560" s="1" t="s">
        <v>6541</v>
      </c>
      <c r="Y560" s="1" t="s">
        <v>6542</v>
      </c>
      <c r="Z560" s="1" t="s">
        <v>6543</v>
      </c>
      <c r="AA560" s="1" t="s">
        <v>6544</v>
      </c>
      <c r="AB560" s="1" t="s">
        <v>1507</v>
      </c>
      <c r="AC560" s="1" t="s">
        <v>1507</v>
      </c>
      <c r="AD560" s="1" t="s">
        <v>6545</v>
      </c>
      <c r="AE560" s="1" t="s">
        <v>6546</v>
      </c>
      <c r="AF560" s="1" t="s">
        <v>6547</v>
      </c>
      <c r="AG560" s="1" t="s">
        <v>1507</v>
      </c>
      <c r="AH560" s="1">
        <v>50</v>
      </c>
      <c r="AI560" s="1">
        <v>0</v>
      </c>
      <c r="AJ560" s="1">
        <v>0</v>
      </c>
      <c r="AK560" s="1">
        <v>12</v>
      </c>
      <c r="AL560" s="1">
        <v>12</v>
      </c>
      <c r="AM560" s="1" t="s">
        <v>3048</v>
      </c>
      <c r="AN560" s="1" t="s">
        <v>1551</v>
      </c>
      <c r="AO560" s="1" t="s">
        <v>3049</v>
      </c>
      <c r="AP560" s="1" t="s">
        <v>6548</v>
      </c>
      <c r="AQ560" s="1" t="s">
        <v>1507</v>
      </c>
      <c r="AR560" s="1" t="s">
        <v>1507</v>
      </c>
      <c r="AS560" s="1" t="s">
        <v>6549</v>
      </c>
      <c r="AT560" s="1" t="s">
        <v>6550</v>
      </c>
      <c r="AU560" s="1" t="s">
        <v>1507</v>
      </c>
      <c r="AV560" s="1">
        <v>2023</v>
      </c>
      <c r="AW560" s="1">
        <v>17</v>
      </c>
      <c r="AX560" s="1" t="s">
        <v>1507</v>
      </c>
      <c r="AY560" s="1" t="s">
        <v>1507</v>
      </c>
      <c r="AZ560" s="1" t="s">
        <v>1507</v>
      </c>
      <c r="BA560" s="1" t="s">
        <v>1507</v>
      </c>
      <c r="BB560" s="1" t="s">
        <v>1507</v>
      </c>
      <c r="BC560" s="1" t="s">
        <v>1507</v>
      </c>
      <c r="BD560" s="1" t="s">
        <v>1507</v>
      </c>
      <c r="BE560" s="1">
        <v>1.834490923121396E+16</v>
      </c>
      <c r="BF560" s="1" t="s">
        <v>6551</v>
      </c>
      <c r="BG560" s="1" t="str">
        <f>HYPERLINK("http://dx.doi.org/10.1177/18344909231213958","http://dx.doi.org/10.1177/18344909231213958")</f>
        <v>http://dx.doi.org/10.1177/18344909231213958</v>
      </c>
      <c r="BH560" s="1" t="s">
        <v>1507</v>
      </c>
      <c r="BI560" s="1" t="s">
        <v>1507</v>
      </c>
      <c r="BJ560" s="1">
        <v>12</v>
      </c>
      <c r="BK560" s="1" t="s">
        <v>1517</v>
      </c>
      <c r="BL560" s="1" t="s">
        <v>1518</v>
      </c>
      <c r="BM560" s="1" t="s">
        <v>1519</v>
      </c>
      <c r="BN560" s="1" t="s">
        <v>6552</v>
      </c>
      <c r="BO560" s="1" t="s">
        <v>1507</v>
      </c>
      <c r="BP560" s="1" t="s">
        <v>1553</v>
      </c>
      <c r="BQ560" s="1" t="s">
        <v>1507</v>
      </c>
      <c r="BR560" s="1" t="s">
        <v>1507</v>
      </c>
      <c r="BS560" s="1" t="s">
        <v>13744</v>
      </c>
      <c r="BT560" s="1" t="s">
        <v>6553</v>
      </c>
      <c r="BU560" s="1" t="str">
        <f>HYPERLINK("https%3A%2F%2Fwww.webofscience.com%2Fwos%2Fwoscc%2Ffull-record%2FWOS:001103462400001","View Full Record in Web of Science")</f>
        <v>View Full Record in Web of Science</v>
      </c>
    </row>
    <row r="561" spans="1:73" x14ac:dyDescent="0.25">
      <c r="A561" s="1">
        <v>560</v>
      </c>
      <c r="B561" s="1" t="s">
        <v>5546</v>
      </c>
      <c r="C561" s="1" t="s">
        <v>7894</v>
      </c>
      <c r="D561" s="1" t="s">
        <v>1507</v>
      </c>
      <c r="E561" s="1" t="s">
        <v>7895</v>
      </c>
      <c r="F561" s="1" t="s">
        <v>1507</v>
      </c>
      <c r="G561" s="1" t="s">
        <v>7896</v>
      </c>
      <c r="H561" s="1" t="s">
        <v>1507</v>
      </c>
      <c r="I561" s="1" t="s">
        <v>1507</v>
      </c>
      <c r="J561" s="1" t="s">
        <v>7897</v>
      </c>
      <c r="K561" s="1" t="s">
        <v>7898</v>
      </c>
      <c r="L561" s="1" t="s">
        <v>6208</v>
      </c>
      <c r="M561" s="1" t="s">
        <v>1507</v>
      </c>
      <c r="N561" s="1" t="s">
        <v>42</v>
      </c>
      <c r="O561" s="1" t="s">
        <v>5552</v>
      </c>
      <c r="P561" s="1" t="s">
        <v>7899</v>
      </c>
      <c r="Q561" s="1" t="s">
        <v>7900</v>
      </c>
      <c r="R561" s="1" t="s">
        <v>7901</v>
      </c>
      <c r="S561" s="1" t="s">
        <v>1507</v>
      </c>
      <c r="T561" s="1" t="s">
        <v>7902</v>
      </c>
      <c r="U561" s="1" t="s">
        <v>1507</v>
      </c>
      <c r="V561" s="1" t="s">
        <v>7903</v>
      </c>
      <c r="W561" s="1" t="s">
        <v>7904</v>
      </c>
      <c r="X561" s="1" t="s">
        <v>7905</v>
      </c>
      <c r="Y561" s="1" t="s">
        <v>7906</v>
      </c>
      <c r="Z561" s="1" t="s">
        <v>7907</v>
      </c>
      <c r="AA561" s="1" t="s">
        <v>7908</v>
      </c>
      <c r="AB561" s="1" t="s">
        <v>1507</v>
      </c>
      <c r="AC561" s="1" t="s">
        <v>7909</v>
      </c>
      <c r="AD561" s="1" t="s">
        <v>7910</v>
      </c>
      <c r="AE561" s="1" t="s">
        <v>7911</v>
      </c>
      <c r="AF561" s="1" t="s">
        <v>7912</v>
      </c>
      <c r="AG561" s="1" t="s">
        <v>1507</v>
      </c>
      <c r="AH561" s="1">
        <v>28</v>
      </c>
      <c r="AI561" s="1">
        <v>5</v>
      </c>
      <c r="AJ561" s="1">
        <v>5</v>
      </c>
      <c r="AK561" s="1">
        <v>9</v>
      </c>
      <c r="AL561" s="1">
        <v>13</v>
      </c>
      <c r="AM561" s="1" t="s">
        <v>6221</v>
      </c>
      <c r="AN561" s="1" t="s">
        <v>6222</v>
      </c>
      <c r="AO561" s="1" t="s">
        <v>6223</v>
      </c>
      <c r="AP561" s="1" t="s">
        <v>6224</v>
      </c>
      <c r="AQ561" s="1" t="s">
        <v>6225</v>
      </c>
      <c r="AR561" s="1" t="s">
        <v>7913</v>
      </c>
      <c r="AS561" s="1" t="s">
        <v>6227</v>
      </c>
      <c r="AT561" s="1" t="s">
        <v>1507</v>
      </c>
      <c r="AU561" s="1" t="s">
        <v>1507</v>
      </c>
      <c r="AV561" s="1">
        <v>2022</v>
      </c>
      <c r="AW561" s="1">
        <v>13355</v>
      </c>
      <c r="AX561" s="1" t="s">
        <v>1507</v>
      </c>
      <c r="AY561" s="1" t="s">
        <v>1507</v>
      </c>
      <c r="AZ561" s="1" t="s">
        <v>1507</v>
      </c>
      <c r="BA561" s="1" t="s">
        <v>1507</v>
      </c>
      <c r="BB561" s="1" t="s">
        <v>1507</v>
      </c>
      <c r="BC561" s="1">
        <v>153</v>
      </c>
      <c r="BD561" s="1">
        <v>166</v>
      </c>
      <c r="BE561" s="1" t="s">
        <v>1507</v>
      </c>
      <c r="BF561" s="1" t="s">
        <v>7914</v>
      </c>
      <c r="BG561" s="1" t="str">
        <f>HYPERLINK("http://dx.doi.org/10.1007/978-3-031-11644-5_13","http://dx.doi.org/10.1007/978-3-031-11644-5_13")</f>
        <v>http://dx.doi.org/10.1007/978-3-031-11644-5_13</v>
      </c>
      <c r="BH561" s="1" t="s">
        <v>1507</v>
      </c>
      <c r="BI561" s="1" t="s">
        <v>1507</v>
      </c>
      <c r="BJ561" s="1">
        <v>14</v>
      </c>
      <c r="BK561" s="1" t="s">
        <v>7915</v>
      </c>
      <c r="BL561" s="1" t="s">
        <v>5695</v>
      </c>
      <c r="BM561" s="1" t="s">
        <v>6108</v>
      </c>
      <c r="BN561" s="1" t="s">
        <v>7916</v>
      </c>
      <c r="BO561" s="1" t="s">
        <v>1507</v>
      </c>
      <c r="BP561" s="1" t="s">
        <v>1507</v>
      </c>
      <c r="BQ561" s="1" t="s">
        <v>1507</v>
      </c>
      <c r="BR561" s="1" t="s">
        <v>1507</v>
      </c>
      <c r="BS561" s="1" t="s">
        <v>13744</v>
      </c>
      <c r="BT561" s="1" t="s">
        <v>7917</v>
      </c>
      <c r="BU561" s="1" t="str">
        <f>HYPERLINK("https%3A%2F%2Fwww.webofscience.com%2Fwos%2Fwoscc%2Ffull-record%2FWOS:000877435100013","View Full Record in Web of Science")</f>
        <v>View Full Record in Web of Science</v>
      </c>
    </row>
    <row r="562" spans="1:73" x14ac:dyDescent="0.25">
      <c r="A562" s="1">
        <v>561</v>
      </c>
      <c r="B562" s="1" t="s">
        <v>5546</v>
      </c>
      <c r="C562" s="1" t="s">
        <v>15443</v>
      </c>
      <c r="D562" s="1" t="s">
        <v>1507</v>
      </c>
      <c r="E562" s="1" t="s">
        <v>1507</v>
      </c>
      <c r="F562" s="1" t="s">
        <v>5548</v>
      </c>
      <c r="G562" s="1" t="s">
        <v>15444</v>
      </c>
      <c r="H562" s="1" t="s">
        <v>1507</v>
      </c>
      <c r="I562" s="1" t="s">
        <v>1507</v>
      </c>
      <c r="J562" s="1" t="s">
        <v>15445</v>
      </c>
      <c r="K562" s="1" t="s">
        <v>15092</v>
      </c>
      <c r="L562" s="1" t="s">
        <v>1507</v>
      </c>
      <c r="M562" s="1" t="s">
        <v>1507</v>
      </c>
      <c r="N562" s="1" t="s">
        <v>42</v>
      </c>
      <c r="O562" s="1" t="s">
        <v>5552</v>
      </c>
      <c r="P562" s="1" t="s">
        <v>15093</v>
      </c>
      <c r="Q562" s="1" t="s">
        <v>15094</v>
      </c>
      <c r="R562" s="1" t="s">
        <v>15095</v>
      </c>
      <c r="S562" s="1" t="s">
        <v>15096</v>
      </c>
      <c r="T562" s="1" t="s">
        <v>1507</v>
      </c>
      <c r="U562" s="1" t="s">
        <v>15446</v>
      </c>
      <c r="V562" s="1" t="s">
        <v>1507</v>
      </c>
      <c r="W562" s="1" t="s">
        <v>15447</v>
      </c>
      <c r="X562" s="1" t="s">
        <v>15448</v>
      </c>
      <c r="Y562" s="1" t="s">
        <v>15449</v>
      </c>
      <c r="Z562" s="1" t="s">
        <v>15450</v>
      </c>
      <c r="AA562" s="1" t="s">
        <v>15451</v>
      </c>
      <c r="AB562" s="1" t="s">
        <v>1507</v>
      </c>
      <c r="AC562" s="1" t="s">
        <v>1507</v>
      </c>
      <c r="AD562" s="1" t="s">
        <v>15452</v>
      </c>
      <c r="AE562" s="1" t="s">
        <v>15453</v>
      </c>
      <c r="AF562" s="1" t="s">
        <v>15454</v>
      </c>
      <c r="AG562" s="1" t="s">
        <v>1507</v>
      </c>
      <c r="AH562" s="1">
        <v>33</v>
      </c>
      <c r="AI562" s="1">
        <v>0</v>
      </c>
      <c r="AJ562" s="1">
        <v>0</v>
      </c>
      <c r="AK562" s="1">
        <v>0</v>
      </c>
      <c r="AL562" s="1">
        <v>0</v>
      </c>
      <c r="AM562" s="1" t="s">
        <v>5565</v>
      </c>
      <c r="AN562" s="1" t="s">
        <v>1512</v>
      </c>
      <c r="AO562" s="1" t="s">
        <v>5566</v>
      </c>
      <c r="AP562" s="1" t="s">
        <v>1507</v>
      </c>
      <c r="AQ562" s="1" t="s">
        <v>1507</v>
      </c>
      <c r="AR562" s="1" t="s">
        <v>15107</v>
      </c>
      <c r="AS562" s="1" t="s">
        <v>1507</v>
      </c>
      <c r="AT562" s="1" t="s">
        <v>1507</v>
      </c>
      <c r="AU562" s="1" t="s">
        <v>1507</v>
      </c>
      <c r="AV562" s="1">
        <v>2023</v>
      </c>
      <c r="AW562" s="1" t="s">
        <v>1507</v>
      </c>
      <c r="AX562" s="1" t="s">
        <v>1507</v>
      </c>
      <c r="AY562" s="1" t="s">
        <v>1507</v>
      </c>
      <c r="AZ562" s="1" t="s">
        <v>1507</v>
      </c>
      <c r="BA562" s="1" t="s">
        <v>1507</v>
      </c>
      <c r="BB562" s="1" t="s">
        <v>1507</v>
      </c>
      <c r="BC562" s="1">
        <v>2656</v>
      </c>
      <c r="BD562" s="1">
        <v>2665</v>
      </c>
      <c r="BE562" s="1" t="s">
        <v>1507</v>
      </c>
      <c r="BF562" s="1" t="s">
        <v>15455</v>
      </c>
      <c r="BG562" s="1" t="str">
        <f>HYPERLINK("http://dx.doi.org/10.1145/3583780.3614993","http://dx.doi.org/10.1145/3583780.3614993")</f>
        <v>http://dx.doi.org/10.1145/3583780.3614993</v>
      </c>
      <c r="BH562" s="1" t="s">
        <v>1507</v>
      </c>
      <c r="BI562" s="1" t="s">
        <v>1507</v>
      </c>
      <c r="BJ562" s="1">
        <v>10</v>
      </c>
      <c r="BK562" s="1" t="s">
        <v>5650</v>
      </c>
      <c r="BL562" s="1" t="s">
        <v>5570</v>
      </c>
      <c r="BM562" s="1" t="s">
        <v>1577</v>
      </c>
      <c r="BN562" s="1" t="s">
        <v>15109</v>
      </c>
      <c r="BO562" s="1" t="s">
        <v>1507</v>
      </c>
      <c r="BP562" s="1" t="s">
        <v>1507</v>
      </c>
      <c r="BQ562" s="1" t="s">
        <v>1507</v>
      </c>
      <c r="BR562" s="1" t="s">
        <v>1507</v>
      </c>
      <c r="BS562" s="1" t="s">
        <v>13744</v>
      </c>
      <c r="BT562" s="1" t="s">
        <v>15456</v>
      </c>
      <c r="BU562" s="1" t="str">
        <f>HYPERLINK("https%3A%2F%2Fwww.webofscience.com%2Fwos%2Fwoscc%2Ffull-record%2FWOS:001161549502071","View Full Record in Web of Science")</f>
        <v>View Full Record in Web of Science</v>
      </c>
    </row>
    <row r="563" spans="1:73" x14ac:dyDescent="0.25">
      <c r="A563" s="1">
        <v>562</v>
      </c>
      <c r="B563" s="1" t="s">
        <v>5546</v>
      </c>
      <c r="C563" s="1" t="s">
        <v>15457</v>
      </c>
      <c r="D563" s="1" t="s">
        <v>1507</v>
      </c>
      <c r="E563" s="1" t="s">
        <v>1507</v>
      </c>
      <c r="F563" s="1" t="s">
        <v>5628</v>
      </c>
      <c r="G563" s="1" t="s">
        <v>15458</v>
      </c>
      <c r="H563" s="1" t="s">
        <v>1507</v>
      </c>
      <c r="I563" s="1" t="s">
        <v>1507</v>
      </c>
      <c r="J563" s="1" t="s">
        <v>15459</v>
      </c>
      <c r="K563" s="1" t="s">
        <v>15263</v>
      </c>
      <c r="L563" s="1" t="s">
        <v>15264</v>
      </c>
      <c r="M563" s="1" t="s">
        <v>1507</v>
      </c>
      <c r="N563" s="1" t="s">
        <v>42</v>
      </c>
      <c r="O563" s="1" t="s">
        <v>5552</v>
      </c>
      <c r="P563" s="1" t="s">
        <v>15265</v>
      </c>
      <c r="Q563" s="1" t="s">
        <v>15266</v>
      </c>
      <c r="R563" s="1" t="s">
        <v>15267</v>
      </c>
      <c r="S563" s="1" t="s">
        <v>15268</v>
      </c>
      <c r="T563" s="1" t="s">
        <v>1507</v>
      </c>
      <c r="U563" s="1" t="s">
        <v>15460</v>
      </c>
      <c r="V563" s="1" t="s">
        <v>1507</v>
      </c>
      <c r="W563" s="1" t="s">
        <v>15461</v>
      </c>
      <c r="X563" s="1" t="s">
        <v>15462</v>
      </c>
      <c r="Y563" s="1" t="s">
        <v>15463</v>
      </c>
      <c r="Z563" s="1" t="s">
        <v>15464</v>
      </c>
      <c r="AA563" s="1" t="s">
        <v>15465</v>
      </c>
      <c r="AB563" s="1" t="s">
        <v>1507</v>
      </c>
      <c r="AC563" s="1" t="s">
        <v>1507</v>
      </c>
      <c r="AD563" s="1" t="s">
        <v>15466</v>
      </c>
      <c r="AE563" s="1" t="s">
        <v>15467</v>
      </c>
      <c r="AF563" s="1" t="s">
        <v>15468</v>
      </c>
      <c r="AG563" s="1" t="s">
        <v>1507</v>
      </c>
      <c r="AH563" s="1">
        <v>55</v>
      </c>
      <c r="AI563" s="1">
        <v>0</v>
      </c>
      <c r="AJ563" s="1">
        <v>0</v>
      </c>
      <c r="AK563" s="1">
        <v>0</v>
      </c>
      <c r="AL563" s="1">
        <v>0</v>
      </c>
      <c r="AM563" s="1" t="s">
        <v>5645</v>
      </c>
      <c r="AN563" s="1" t="s">
        <v>5646</v>
      </c>
      <c r="AO563" s="1" t="s">
        <v>5647</v>
      </c>
      <c r="AP563" s="1" t="s">
        <v>15277</v>
      </c>
      <c r="AQ563" s="1" t="s">
        <v>1507</v>
      </c>
      <c r="AR563" s="1" t="s">
        <v>15278</v>
      </c>
      <c r="AS563" s="1" t="s">
        <v>15279</v>
      </c>
      <c r="AT563" s="1" t="s">
        <v>1507</v>
      </c>
      <c r="AU563" s="1" t="s">
        <v>1507</v>
      </c>
      <c r="AV563" s="1">
        <v>2023</v>
      </c>
      <c r="AW563" s="1" t="s">
        <v>1507</v>
      </c>
      <c r="AX563" s="1" t="s">
        <v>1507</v>
      </c>
      <c r="AY563" s="1" t="s">
        <v>1507</v>
      </c>
      <c r="AZ563" s="1" t="s">
        <v>1507</v>
      </c>
      <c r="BA563" s="1" t="s">
        <v>1507</v>
      </c>
      <c r="BB563" s="1" t="s">
        <v>1507</v>
      </c>
      <c r="BC563" s="1">
        <v>813</v>
      </c>
      <c r="BD563" s="1">
        <v>820</v>
      </c>
      <c r="BE563" s="1" t="s">
        <v>1507</v>
      </c>
      <c r="BF563" s="1" t="s">
        <v>15469</v>
      </c>
      <c r="BG563" s="1" t="str">
        <f>HYPERLINK("http://dx.doi.org/10.1109/ICTAI59109.2023.00124","http://dx.doi.org/10.1109/ICTAI59109.2023.00124")</f>
        <v>http://dx.doi.org/10.1109/ICTAI59109.2023.00124</v>
      </c>
      <c r="BH563" s="1" t="s">
        <v>1507</v>
      </c>
      <c r="BI563" s="1" t="s">
        <v>1507</v>
      </c>
      <c r="BJ563" s="1">
        <v>8</v>
      </c>
      <c r="BK563" s="1" t="s">
        <v>2994</v>
      </c>
      <c r="BL563" s="1" t="s">
        <v>5570</v>
      </c>
      <c r="BM563" s="1" t="s">
        <v>1577</v>
      </c>
      <c r="BN563" s="1" t="s">
        <v>15281</v>
      </c>
      <c r="BO563" s="1" t="s">
        <v>1507</v>
      </c>
      <c r="BP563" s="1" t="s">
        <v>1507</v>
      </c>
      <c r="BQ563" s="1" t="s">
        <v>1507</v>
      </c>
      <c r="BR563" s="1" t="s">
        <v>1507</v>
      </c>
      <c r="BS563" s="1" t="s">
        <v>13744</v>
      </c>
      <c r="BT563" s="1" t="s">
        <v>15470</v>
      </c>
      <c r="BU563" s="1" t="str">
        <f>HYPERLINK("https%3A%2F%2Fwww.webofscience.com%2Fwos%2Fwoscc%2Ffull-record%2FWOS:001139095400116","View Full Record in Web of Science")</f>
        <v>View Full Record in Web of Science</v>
      </c>
    </row>
    <row r="564" spans="1:73" x14ac:dyDescent="0.25">
      <c r="A564" s="1">
        <v>563</v>
      </c>
      <c r="B564" s="1" t="s">
        <v>1506</v>
      </c>
      <c r="C564" s="1" t="s">
        <v>8837</v>
      </c>
      <c r="D564" s="1" t="s">
        <v>1507</v>
      </c>
      <c r="E564" s="1" t="s">
        <v>1507</v>
      </c>
      <c r="F564" s="1" t="s">
        <v>1507</v>
      </c>
      <c r="G564" s="1" t="s">
        <v>8838</v>
      </c>
      <c r="H564" s="1" t="s">
        <v>1507</v>
      </c>
      <c r="I564" s="1" t="s">
        <v>1507</v>
      </c>
      <c r="J564" s="1" t="s">
        <v>8839</v>
      </c>
      <c r="K564" s="1" t="s">
        <v>8840</v>
      </c>
      <c r="L564" s="1" t="s">
        <v>1507</v>
      </c>
      <c r="M564" s="1" t="s">
        <v>1507</v>
      </c>
      <c r="N564" s="1" t="s">
        <v>42</v>
      </c>
      <c r="O564" s="1" t="s">
        <v>56</v>
      </c>
      <c r="P564" s="1" t="s">
        <v>1507</v>
      </c>
      <c r="Q564" s="1" t="s">
        <v>1507</v>
      </c>
      <c r="R564" s="1" t="s">
        <v>1507</v>
      </c>
      <c r="S564" s="1" t="s">
        <v>1507</v>
      </c>
      <c r="T564" s="1" t="s">
        <v>1507</v>
      </c>
      <c r="U564" s="1" t="s">
        <v>1507</v>
      </c>
      <c r="V564" s="1" t="s">
        <v>1507</v>
      </c>
      <c r="W564" s="1" t="s">
        <v>8841</v>
      </c>
      <c r="X564" s="1" t="s">
        <v>8842</v>
      </c>
      <c r="Y564" s="1" t="s">
        <v>8843</v>
      </c>
      <c r="Z564" s="1" t="s">
        <v>8844</v>
      </c>
      <c r="AA564" s="1" t="s">
        <v>1507</v>
      </c>
      <c r="AB564" s="1" t="s">
        <v>1507</v>
      </c>
      <c r="AC564" s="1" t="s">
        <v>1507</v>
      </c>
      <c r="AD564" s="1" t="s">
        <v>8845</v>
      </c>
      <c r="AE564" s="1" t="s">
        <v>8846</v>
      </c>
      <c r="AF564" s="1" t="s">
        <v>8847</v>
      </c>
      <c r="AG564" s="1" t="s">
        <v>1507</v>
      </c>
      <c r="AH564" s="1">
        <v>34</v>
      </c>
      <c r="AI564" s="1">
        <v>0</v>
      </c>
      <c r="AJ564" s="1">
        <v>0</v>
      </c>
      <c r="AK564" s="1">
        <v>1</v>
      </c>
      <c r="AL564" s="1">
        <v>3</v>
      </c>
      <c r="AM564" s="1" t="s">
        <v>8848</v>
      </c>
      <c r="AN564" s="1" t="s">
        <v>8849</v>
      </c>
      <c r="AO564" s="1" t="s">
        <v>8850</v>
      </c>
      <c r="AP564" s="1" t="s">
        <v>8851</v>
      </c>
      <c r="AQ564" s="1" t="s">
        <v>1507</v>
      </c>
      <c r="AR564" s="1" t="s">
        <v>1507</v>
      </c>
      <c r="AS564" s="1" t="s">
        <v>8852</v>
      </c>
      <c r="AT564" s="1" t="s">
        <v>8853</v>
      </c>
      <c r="AU564" s="1" t="s">
        <v>5201</v>
      </c>
      <c r="AV564" s="1">
        <v>2021</v>
      </c>
      <c r="AW564" s="1">
        <v>18</v>
      </c>
      <c r="AX564" s="1">
        <v>1</v>
      </c>
      <c r="AY564" s="1" t="s">
        <v>1507</v>
      </c>
      <c r="AZ564" s="1" t="s">
        <v>1507</v>
      </c>
      <c r="BA564" s="1" t="s">
        <v>1507</v>
      </c>
      <c r="BB564" s="1" t="s">
        <v>1507</v>
      </c>
      <c r="BC564" s="1">
        <v>70</v>
      </c>
      <c r="BD564" s="1">
        <v>100</v>
      </c>
      <c r="BE564" s="1" t="s">
        <v>1507</v>
      </c>
      <c r="BF564" s="1" t="s">
        <v>1507</v>
      </c>
      <c r="BG564" s="1" t="s">
        <v>1507</v>
      </c>
      <c r="BH564" s="1" t="s">
        <v>1507</v>
      </c>
      <c r="BI564" s="1" t="s">
        <v>1507</v>
      </c>
      <c r="BJ564" s="1">
        <v>31</v>
      </c>
      <c r="BK564" s="1" t="s">
        <v>8854</v>
      </c>
      <c r="BL564" s="1" t="s">
        <v>1529</v>
      </c>
      <c r="BM564" s="1" t="s">
        <v>8855</v>
      </c>
      <c r="BN564" s="1" t="s">
        <v>8856</v>
      </c>
      <c r="BO564" s="1" t="s">
        <v>1507</v>
      </c>
      <c r="BP564" s="1" t="s">
        <v>1507</v>
      </c>
      <c r="BQ564" s="1" t="s">
        <v>1507</v>
      </c>
      <c r="BR564" s="1" t="s">
        <v>1507</v>
      </c>
      <c r="BS564" s="1" t="s">
        <v>13744</v>
      </c>
      <c r="BT564" s="1" t="s">
        <v>8857</v>
      </c>
      <c r="BU564" s="1" t="str">
        <f>HYPERLINK("https%3A%2F%2Fwww.webofscience.com%2Fwos%2Fwoscc%2Ffull-record%2FWOS:000648718900004","View Full Record in Web of Science")</f>
        <v>View Full Record in Web of Science</v>
      </c>
    </row>
    <row r="565" spans="1:73" x14ac:dyDescent="0.25">
      <c r="A565" s="1">
        <v>564</v>
      </c>
      <c r="B565" s="1" t="s">
        <v>1506</v>
      </c>
      <c r="C565" s="1" t="s">
        <v>1713</v>
      </c>
      <c r="D565" s="1" t="s">
        <v>1507</v>
      </c>
      <c r="E565" s="1" t="s">
        <v>1507</v>
      </c>
      <c r="F565" s="1" t="s">
        <v>1507</v>
      </c>
      <c r="G565" s="1" t="s">
        <v>1714</v>
      </c>
      <c r="H565" s="1" t="s">
        <v>1507</v>
      </c>
      <c r="I565" s="1" t="s">
        <v>1507</v>
      </c>
      <c r="J565" s="1" t="s">
        <v>1715</v>
      </c>
      <c r="K565" s="1" t="s">
        <v>1716</v>
      </c>
      <c r="L565" s="1" t="s">
        <v>1507</v>
      </c>
      <c r="M565" s="1" t="s">
        <v>1507</v>
      </c>
      <c r="N565" s="1" t="s">
        <v>42</v>
      </c>
      <c r="O565" s="1" t="s">
        <v>56</v>
      </c>
      <c r="P565" s="1" t="s">
        <v>1507</v>
      </c>
      <c r="Q565" s="1" t="s">
        <v>1507</v>
      </c>
      <c r="R565" s="1" t="s">
        <v>1507</v>
      </c>
      <c r="S565" s="1" t="s">
        <v>1507</v>
      </c>
      <c r="T565" s="1" t="s">
        <v>1507</v>
      </c>
      <c r="U565" s="1" t="s">
        <v>1717</v>
      </c>
      <c r="V565" s="1" t="s">
        <v>1507</v>
      </c>
      <c r="W565" s="1" t="s">
        <v>1718</v>
      </c>
      <c r="X565" s="1" t="s">
        <v>1719</v>
      </c>
      <c r="Y565" s="1" t="s">
        <v>1720</v>
      </c>
      <c r="Z565" s="1" t="s">
        <v>1721</v>
      </c>
      <c r="AA565" s="1" t="s">
        <v>1722</v>
      </c>
      <c r="AB565" s="1" t="s">
        <v>13773</v>
      </c>
      <c r="AC565" s="1" t="s">
        <v>13774</v>
      </c>
      <c r="AD565" s="1" t="s">
        <v>1723</v>
      </c>
      <c r="AE565" s="1" t="s">
        <v>1723</v>
      </c>
      <c r="AF565" s="1" t="s">
        <v>1724</v>
      </c>
      <c r="AG565" s="1" t="s">
        <v>1507</v>
      </c>
      <c r="AH565" s="1">
        <v>46</v>
      </c>
      <c r="AI565" s="1">
        <v>1</v>
      </c>
      <c r="AJ565" s="1">
        <v>1</v>
      </c>
      <c r="AK565" s="1">
        <v>29</v>
      </c>
      <c r="AL565" s="1">
        <v>29</v>
      </c>
      <c r="AM565" s="1" t="s">
        <v>1725</v>
      </c>
      <c r="AN565" s="1" t="s">
        <v>1551</v>
      </c>
      <c r="AO565" s="1" t="s">
        <v>1726</v>
      </c>
      <c r="AP565" s="1" t="s">
        <v>1727</v>
      </c>
      <c r="AQ565" s="1" t="s">
        <v>1507</v>
      </c>
      <c r="AR565" s="1" t="s">
        <v>1507</v>
      </c>
      <c r="AS565" s="1" t="s">
        <v>1728</v>
      </c>
      <c r="AT565" s="1" t="s">
        <v>1729</v>
      </c>
      <c r="AU565" s="1" t="s">
        <v>1708</v>
      </c>
      <c r="AV565" s="1">
        <v>2023</v>
      </c>
      <c r="AW565" s="1">
        <v>19</v>
      </c>
      <c r="AX565" s="1">
        <v>1</v>
      </c>
      <c r="AY565" s="1" t="s">
        <v>1507</v>
      </c>
      <c r="AZ565" s="1" t="s">
        <v>1507</v>
      </c>
      <c r="BA565" s="1" t="s">
        <v>1507</v>
      </c>
      <c r="BB565" s="1" t="s">
        <v>1507</v>
      </c>
      <c r="BC565" s="1" t="s">
        <v>1507</v>
      </c>
      <c r="BD565" s="1" t="s">
        <v>1507</v>
      </c>
      <c r="BE565" s="1">
        <v>26</v>
      </c>
      <c r="BF565" s="1" t="s">
        <v>1730</v>
      </c>
      <c r="BG565" s="1" t="str">
        <f>HYPERLINK("http://dx.doi.org/10.1007/s40979-023-00146-z","http://dx.doi.org/10.1007/s40979-023-00146-z")</f>
        <v>http://dx.doi.org/10.1007/s40979-023-00146-z</v>
      </c>
      <c r="BH565" s="1" t="s">
        <v>1507</v>
      </c>
      <c r="BI565" s="1" t="s">
        <v>1507</v>
      </c>
      <c r="BJ565" s="1">
        <v>39</v>
      </c>
      <c r="BK565" s="1" t="s">
        <v>1558</v>
      </c>
      <c r="BL565" s="1" t="s">
        <v>1529</v>
      </c>
      <c r="BM565" s="1" t="s">
        <v>1558</v>
      </c>
      <c r="BN565" s="1" t="s">
        <v>1731</v>
      </c>
      <c r="BO565" s="1" t="s">
        <v>1507</v>
      </c>
      <c r="BP565" s="1" t="s">
        <v>1547</v>
      </c>
      <c r="BQ565" s="1" t="s">
        <v>1507</v>
      </c>
      <c r="BR565" s="1" t="s">
        <v>1507</v>
      </c>
      <c r="BS565" s="1" t="s">
        <v>13744</v>
      </c>
      <c r="BT565" s="1" t="s">
        <v>1732</v>
      </c>
      <c r="BU565" s="1" t="str">
        <f>HYPERLINK("https%3A%2F%2Fwww.webofscience.com%2Fwos%2Fwoscc%2Ffull-record%2FWOS:001129231700001","View Full Record in Web of Science")</f>
        <v>View Full Record in Web of Science</v>
      </c>
    </row>
    <row r="566" spans="1:73" x14ac:dyDescent="0.25">
      <c r="A566" s="1">
        <v>565</v>
      </c>
      <c r="B566" s="1" t="s">
        <v>1506</v>
      </c>
      <c r="C566" s="1" t="s">
        <v>7301</v>
      </c>
      <c r="D566" s="1" t="s">
        <v>1507</v>
      </c>
      <c r="E566" s="1" t="s">
        <v>1507</v>
      </c>
      <c r="F566" s="1" t="s">
        <v>1507</v>
      </c>
      <c r="G566" s="1" t="s">
        <v>7302</v>
      </c>
      <c r="H566" s="1" t="s">
        <v>1507</v>
      </c>
      <c r="I566" s="1" t="s">
        <v>1507</v>
      </c>
      <c r="J566" s="1" t="s">
        <v>7303</v>
      </c>
      <c r="K566" s="1" t="s">
        <v>7304</v>
      </c>
      <c r="L566" s="1" t="s">
        <v>1507</v>
      </c>
      <c r="M566" s="1" t="s">
        <v>1507</v>
      </c>
      <c r="N566" s="1" t="s">
        <v>42</v>
      </c>
      <c r="O566" s="1" t="s">
        <v>56</v>
      </c>
      <c r="P566" s="1" t="s">
        <v>1507</v>
      </c>
      <c r="Q566" s="1" t="s">
        <v>1507</v>
      </c>
      <c r="R566" s="1" t="s">
        <v>1507</v>
      </c>
      <c r="S566" s="1" t="s">
        <v>1507</v>
      </c>
      <c r="T566" s="1" t="s">
        <v>1507</v>
      </c>
      <c r="U566" s="1" t="s">
        <v>7305</v>
      </c>
      <c r="V566" s="1" t="s">
        <v>7306</v>
      </c>
      <c r="W566" s="1" t="s">
        <v>7307</v>
      </c>
      <c r="X566" s="1" t="s">
        <v>7308</v>
      </c>
      <c r="Y566" s="1" t="s">
        <v>15620</v>
      </c>
      <c r="Z566" s="1" t="s">
        <v>7309</v>
      </c>
      <c r="AA566" s="1" t="s">
        <v>7310</v>
      </c>
      <c r="AB566" s="1" t="s">
        <v>1507</v>
      </c>
      <c r="AC566" s="1" t="s">
        <v>1507</v>
      </c>
      <c r="AD566" s="1" t="s">
        <v>7311</v>
      </c>
      <c r="AE566" s="1" t="s">
        <v>7311</v>
      </c>
      <c r="AF566" s="1" t="s">
        <v>7312</v>
      </c>
      <c r="AG566" s="1" t="s">
        <v>1507</v>
      </c>
      <c r="AH566" s="1">
        <v>64</v>
      </c>
      <c r="AI566" s="1">
        <v>7</v>
      </c>
      <c r="AJ566" s="1">
        <v>7</v>
      </c>
      <c r="AK566" s="1">
        <v>1</v>
      </c>
      <c r="AL566" s="1">
        <v>11</v>
      </c>
      <c r="AM566" s="1" t="s">
        <v>5178</v>
      </c>
      <c r="AN566" s="1" t="s">
        <v>5179</v>
      </c>
      <c r="AO566" s="1" t="s">
        <v>5180</v>
      </c>
      <c r="AP566" s="1" t="s">
        <v>7313</v>
      </c>
      <c r="AQ566" s="1" t="s">
        <v>7314</v>
      </c>
      <c r="AR566" s="1" t="s">
        <v>1507</v>
      </c>
      <c r="AS566" s="1" t="s">
        <v>7315</v>
      </c>
      <c r="AT566" s="1" t="s">
        <v>7316</v>
      </c>
      <c r="AU566" s="1" t="s">
        <v>7091</v>
      </c>
      <c r="AV566" s="1">
        <v>2022</v>
      </c>
      <c r="AW566" s="1">
        <v>49</v>
      </c>
      <c r="AX566" s="1">
        <v>9</v>
      </c>
      <c r="AY566" s="1" t="s">
        <v>1507</v>
      </c>
      <c r="AZ566" s="1" t="s">
        <v>1507</v>
      </c>
      <c r="BA566" s="1" t="s">
        <v>1507</v>
      </c>
      <c r="BB566" s="1" t="s">
        <v>1507</v>
      </c>
      <c r="BC566" s="1">
        <v>1349</v>
      </c>
      <c r="BD566" s="1">
        <v>1367</v>
      </c>
      <c r="BE566" s="1" t="s">
        <v>1507</v>
      </c>
      <c r="BF566" s="1" t="s">
        <v>7317</v>
      </c>
      <c r="BG566" s="1" t="str">
        <f>HYPERLINK("http://dx.doi.org/10.1108/IJSE-02-2021-0114","http://dx.doi.org/10.1108/IJSE-02-2021-0114")</f>
        <v>http://dx.doi.org/10.1108/IJSE-02-2021-0114</v>
      </c>
      <c r="BH566" s="1" t="s">
        <v>1507</v>
      </c>
      <c r="BI566" s="1" t="s">
        <v>7274</v>
      </c>
      <c r="BJ566" s="1">
        <v>19</v>
      </c>
      <c r="BK566" s="1" t="s">
        <v>7318</v>
      </c>
      <c r="BL566" s="1" t="s">
        <v>1529</v>
      </c>
      <c r="BM566" s="1" t="s">
        <v>3118</v>
      </c>
      <c r="BN566" s="1" t="s">
        <v>7319</v>
      </c>
      <c r="BO566" s="1" t="s">
        <v>1507</v>
      </c>
      <c r="BP566" s="1" t="s">
        <v>5957</v>
      </c>
      <c r="BQ566" s="1" t="s">
        <v>1507</v>
      </c>
      <c r="BR566" s="1" t="s">
        <v>1507</v>
      </c>
      <c r="BS566" s="1" t="s">
        <v>13744</v>
      </c>
      <c r="BT566" s="1" t="s">
        <v>7320</v>
      </c>
      <c r="BU566" s="1" t="str">
        <f>HYPERLINK("https%3A%2F%2Fwww.webofscience.com%2Fwos%2Fwoscc%2Ffull-record%2FWOS:000782801500001","View Full Record in Web of Science")</f>
        <v>View Full Record in Web of Science</v>
      </c>
    </row>
    <row r="567" spans="1:73" x14ac:dyDescent="0.25">
      <c r="A567" s="1">
        <v>566</v>
      </c>
      <c r="B567" s="1" t="s">
        <v>1506</v>
      </c>
      <c r="C567" s="1" t="s">
        <v>13748</v>
      </c>
      <c r="D567" s="1" t="s">
        <v>1507</v>
      </c>
      <c r="E567" s="1" t="s">
        <v>1507</v>
      </c>
      <c r="F567" s="1" t="s">
        <v>1507</v>
      </c>
      <c r="G567" s="1" t="s">
        <v>13749</v>
      </c>
      <c r="H567" s="1" t="s">
        <v>1507</v>
      </c>
      <c r="I567" s="1" t="s">
        <v>1507</v>
      </c>
      <c r="J567" s="1" t="s">
        <v>13750</v>
      </c>
      <c r="K567" s="1" t="s">
        <v>13751</v>
      </c>
      <c r="L567" s="1" t="s">
        <v>1507</v>
      </c>
      <c r="M567" s="1" t="s">
        <v>1507</v>
      </c>
      <c r="N567" s="1" t="s">
        <v>42</v>
      </c>
      <c r="O567" s="1" t="s">
        <v>56</v>
      </c>
      <c r="P567" s="1" t="s">
        <v>1507</v>
      </c>
      <c r="Q567" s="1" t="s">
        <v>1507</v>
      </c>
      <c r="R567" s="1" t="s">
        <v>1507</v>
      </c>
      <c r="S567" s="1" t="s">
        <v>1507</v>
      </c>
      <c r="T567" s="1" t="s">
        <v>1507</v>
      </c>
      <c r="U567" s="1" t="s">
        <v>13752</v>
      </c>
      <c r="V567" s="1" t="s">
        <v>1507</v>
      </c>
      <c r="W567" s="1" t="s">
        <v>13753</v>
      </c>
      <c r="X567" s="1" t="s">
        <v>13754</v>
      </c>
      <c r="Y567" s="1" t="s">
        <v>13755</v>
      </c>
      <c r="Z567" s="1" t="s">
        <v>13756</v>
      </c>
      <c r="AA567" s="1" t="s">
        <v>13757</v>
      </c>
      <c r="AB567" s="1" t="s">
        <v>13758</v>
      </c>
      <c r="AC567" s="1" t="s">
        <v>13759</v>
      </c>
      <c r="AD567" s="1" t="s">
        <v>13760</v>
      </c>
      <c r="AE567" s="1" t="s">
        <v>13761</v>
      </c>
      <c r="AF567" s="1" t="s">
        <v>13762</v>
      </c>
      <c r="AG567" s="1" t="s">
        <v>1507</v>
      </c>
      <c r="AH567" s="1">
        <v>22</v>
      </c>
      <c r="AI567" s="1">
        <v>2</v>
      </c>
      <c r="AJ567" s="1">
        <v>2</v>
      </c>
      <c r="AK567" s="1">
        <v>10</v>
      </c>
      <c r="AL567" s="1">
        <v>10</v>
      </c>
      <c r="AM567" s="1" t="s">
        <v>1586</v>
      </c>
      <c r="AN567" s="1" t="s">
        <v>1587</v>
      </c>
      <c r="AO567" s="1" t="s">
        <v>1588</v>
      </c>
      <c r="AP567" s="1" t="s">
        <v>13763</v>
      </c>
      <c r="AQ567" s="1" t="s">
        <v>13764</v>
      </c>
      <c r="AR567" s="1" t="s">
        <v>1507</v>
      </c>
      <c r="AS567" s="1" t="s">
        <v>13765</v>
      </c>
      <c r="AT567" s="1" t="s">
        <v>13766</v>
      </c>
      <c r="AU567" s="1" t="s">
        <v>1616</v>
      </c>
      <c r="AV567" s="1">
        <v>2024</v>
      </c>
      <c r="AW567" s="1">
        <v>30</v>
      </c>
      <c r="AX567" s="1">
        <v>1</v>
      </c>
      <c r="AY567" s="1" t="s">
        <v>1507</v>
      </c>
      <c r="AZ567" s="1" t="s">
        <v>1507</v>
      </c>
      <c r="BA567" s="1" t="s">
        <v>1507</v>
      </c>
      <c r="BB567" s="1" t="s">
        <v>1507</v>
      </c>
      <c r="BC567" s="1">
        <v>1420</v>
      </c>
      <c r="BD567" s="1">
        <v>142000</v>
      </c>
      <c r="BE567" s="1" t="s">
        <v>1507</v>
      </c>
      <c r="BF567" s="1" t="s">
        <v>13767</v>
      </c>
      <c r="BG567" s="1" t="str">
        <f>HYPERLINK("http://dx.doi.org/10.1016/j.cmi.2023.11.002","http://dx.doi.org/10.1016/j.cmi.2023.11.002")</f>
        <v>http://dx.doi.org/10.1016/j.cmi.2023.11.002</v>
      </c>
      <c r="BH567" s="1" t="s">
        <v>1507</v>
      </c>
      <c r="BI567" s="1" t="s">
        <v>1652</v>
      </c>
      <c r="BJ567" s="1">
        <v>3</v>
      </c>
      <c r="BK567" s="1" t="s">
        <v>7423</v>
      </c>
      <c r="BL567" s="1" t="s">
        <v>1573</v>
      </c>
      <c r="BM567" s="1" t="s">
        <v>7423</v>
      </c>
      <c r="BN567" s="1" t="s">
        <v>13768</v>
      </c>
      <c r="BO567" s="1">
        <v>37949111</v>
      </c>
      <c r="BP567" s="1" t="s">
        <v>1507</v>
      </c>
      <c r="BQ567" s="1" t="s">
        <v>1507</v>
      </c>
      <c r="BR567" s="1" t="s">
        <v>1507</v>
      </c>
      <c r="BS567" s="1" t="s">
        <v>13744</v>
      </c>
      <c r="BT567" s="1" t="s">
        <v>13769</v>
      </c>
      <c r="BU567" s="1" t="str">
        <f>HYPERLINK("https%3A%2F%2Fwww.webofscience.com%2Fwos%2Fwoscc%2Ffull-record%2FWOS:001165106600001","View Full Record in Web of Science")</f>
        <v>View Full Record in Web of Science</v>
      </c>
    </row>
    <row r="568" spans="1:73" x14ac:dyDescent="0.25">
      <c r="A568" s="1">
        <v>567</v>
      </c>
      <c r="B568" s="1" t="s">
        <v>1506</v>
      </c>
      <c r="C568" s="1" t="s">
        <v>2341</v>
      </c>
      <c r="D568" s="1" t="s">
        <v>1507</v>
      </c>
      <c r="E568" s="1" t="s">
        <v>1507</v>
      </c>
      <c r="F568" s="1" t="s">
        <v>1507</v>
      </c>
      <c r="G568" s="1" t="s">
        <v>2342</v>
      </c>
      <c r="H568" s="1" t="s">
        <v>1507</v>
      </c>
      <c r="I568" s="1" t="s">
        <v>1507</v>
      </c>
      <c r="J568" s="1" t="s">
        <v>2343</v>
      </c>
      <c r="K568" s="1" t="s">
        <v>2344</v>
      </c>
      <c r="L568" s="1" t="s">
        <v>1507</v>
      </c>
      <c r="M568" s="1" t="s">
        <v>1507</v>
      </c>
      <c r="N568" s="1" t="s">
        <v>42</v>
      </c>
      <c r="O568" s="1" t="s">
        <v>56</v>
      </c>
      <c r="P568" s="1" t="s">
        <v>1507</v>
      </c>
      <c r="Q568" s="1" t="s">
        <v>1507</v>
      </c>
      <c r="R568" s="1" t="s">
        <v>1507</v>
      </c>
      <c r="S568" s="1" t="s">
        <v>1507</v>
      </c>
      <c r="T568" s="1" t="s">
        <v>1507</v>
      </c>
      <c r="U568" s="1" t="s">
        <v>2345</v>
      </c>
      <c r="V568" s="1" t="s">
        <v>2346</v>
      </c>
      <c r="W568" s="1" t="s">
        <v>2347</v>
      </c>
      <c r="X568" s="1" t="s">
        <v>2348</v>
      </c>
      <c r="Y568" s="1" t="s">
        <v>2349</v>
      </c>
      <c r="Z568" s="1" t="s">
        <v>2350</v>
      </c>
      <c r="AA568" s="1" t="s">
        <v>2351</v>
      </c>
      <c r="AB568" s="1" t="s">
        <v>1507</v>
      </c>
      <c r="AC568" s="1" t="s">
        <v>1507</v>
      </c>
      <c r="AD568" s="1" t="s">
        <v>2352</v>
      </c>
      <c r="AE568" s="1" t="s">
        <v>2352</v>
      </c>
      <c r="AF568" s="1" t="s">
        <v>1510</v>
      </c>
      <c r="AG568" s="1" t="s">
        <v>1507</v>
      </c>
      <c r="AH568" s="1">
        <v>78</v>
      </c>
      <c r="AI568" s="1">
        <v>1</v>
      </c>
      <c r="AJ568" s="1">
        <v>1</v>
      </c>
      <c r="AK568" s="1">
        <v>11</v>
      </c>
      <c r="AL568" s="1">
        <v>11</v>
      </c>
      <c r="AM568" s="1" t="s">
        <v>1610</v>
      </c>
      <c r="AN568" s="1" t="s">
        <v>1611</v>
      </c>
      <c r="AO568" s="1" t="s">
        <v>1612</v>
      </c>
      <c r="AP568" s="1" t="s">
        <v>1507</v>
      </c>
      <c r="AQ568" s="1" t="s">
        <v>2353</v>
      </c>
      <c r="AR568" s="1" t="s">
        <v>1507</v>
      </c>
      <c r="AS568" s="1" t="s">
        <v>2344</v>
      </c>
      <c r="AT568" s="1" t="s">
        <v>2354</v>
      </c>
      <c r="AU568" s="1" t="s">
        <v>2191</v>
      </c>
      <c r="AV568" s="1">
        <v>2023</v>
      </c>
      <c r="AW568" s="1">
        <v>14</v>
      </c>
      <c r="AX568" s="1">
        <v>12</v>
      </c>
      <c r="AY568" s="1" t="s">
        <v>1507</v>
      </c>
      <c r="AZ568" s="1" t="s">
        <v>1507</v>
      </c>
      <c r="BA568" s="1" t="s">
        <v>1507</v>
      </c>
      <c r="BB568" s="1" t="s">
        <v>1507</v>
      </c>
      <c r="BC568" s="1" t="s">
        <v>1507</v>
      </c>
      <c r="BD568" s="1" t="s">
        <v>1507</v>
      </c>
      <c r="BE568" s="1">
        <v>2412</v>
      </c>
      <c r="BF568" s="1" t="s">
        <v>2355</v>
      </c>
      <c r="BG568" s="1" t="str">
        <f>HYPERLINK("http://dx.doi.org/10.3390/f14122412","http://dx.doi.org/10.3390/f14122412")</f>
        <v>http://dx.doi.org/10.3390/f14122412</v>
      </c>
      <c r="BH568" s="1" t="s">
        <v>1507</v>
      </c>
      <c r="BI568" s="1" t="s">
        <v>1507</v>
      </c>
      <c r="BJ568" s="1">
        <v>26</v>
      </c>
      <c r="BK568" s="1" t="s">
        <v>2356</v>
      </c>
      <c r="BL568" s="1" t="s">
        <v>1573</v>
      </c>
      <c r="BM568" s="1" t="s">
        <v>2356</v>
      </c>
      <c r="BN568" s="1" t="s">
        <v>2357</v>
      </c>
      <c r="BO568" s="1" t="s">
        <v>1507</v>
      </c>
      <c r="BP568" s="1" t="s">
        <v>1531</v>
      </c>
      <c r="BQ568" s="1" t="s">
        <v>1507</v>
      </c>
      <c r="BR568" s="1" t="s">
        <v>1507</v>
      </c>
      <c r="BS568" s="1" t="s">
        <v>13744</v>
      </c>
      <c r="BT568" s="1" t="s">
        <v>2358</v>
      </c>
      <c r="BU568" s="1" t="str">
        <f>HYPERLINK("https%3A%2F%2Fwww.webofscience.com%2Fwos%2Fwoscc%2Ffull-record%2FWOS:001130872500001","View Full Record in Web of Science")</f>
        <v>View Full Record in Web of Science</v>
      </c>
    </row>
    <row r="569" spans="1:73" x14ac:dyDescent="0.25">
      <c r="A569" s="1">
        <v>568</v>
      </c>
      <c r="B569" s="1" t="s">
        <v>1506</v>
      </c>
      <c r="C569" s="1" t="s">
        <v>2959</v>
      </c>
      <c r="D569" s="1" t="s">
        <v>1507</v>
      </c>
      <c r="E569" s="1" t="s">
        <v>1507</v>
      </c>
      <c r="F569" s="1" t="s">
        <v>1507</v>
      </c>
      <c r="G569" s="1" t="s">
        <v>2960</v>
      </c>
      <c r="H569" s="1" t="s">
        <v>1507</v>
      </c>
      <c r="I569" s="1" t="s">
        <v>1507</v>
      </c>
      <c r="J569" s="1" t="s">
        <v>2961</v>
      </c>
      <c r="K569" s="1" t="s">
        <v>2962</v>
      </c>
      <c r="L569" s="1" t="s">
        <v>1507</v>
      </c>
      <c r="M569" s="1" t="s">
        <v>1507</v>
      </c>
      <c r="N569" s="1" t="s">
        <v>42</v>
      </c>
      <c r="O569" s="1" t="s">
        <v>56</v>
      </c>
      <c r="P569" s="1" t="s">
        <v>1507</v>
      </c>
      <c r="Q569" s="1" t="s">
        <v>1507</v>
      </c>
      <c r="R569" s="1" t="s">
        <v>1507</v>
      </c>
      <c r="S569" s="1" t="s">
        <v>1507</v>
      </c>
      <c r="T569" s="1" t="s">
        <v>1507</v>
      </c>
      <c r="U569" s="1" t="s">
        <v>2963</v>
      </c>
      <c r="V569" s="1" t="s">
        <v>1507</v>
      </c>
      <c r="W569" s="1" t="s">
        <v>2964</v>
      </c>
      <c r="X569" s="1" t="s">
        <v>2965</v>
      </c>
      <c r="Y569" s="1" t="s">
        <v>14225</v>
      </c>
      <c r="Z569" s="1" t="s">
        <v>2966</v>
      </c>
      <c r="AA569" s="1" t="s">
        <v>2967</v>
      </c>
      <c r="AB569" s="1" t="s">
        <v>1507</v>
      </c>
      <c r="AC569" s="1" t="s">
        <v>2968</v>
      </c>
      <c r="AD569" s="1" t="s">
        <v>2969</v>
      </c>
      <c r="AE569" s="1" t="s">
        <v>2970</v>
      </c>
      <c r="AF569" s="1" t="s">
        <v>2971</v>
      </c>
      <c r="AG569" s="1" t="s">
        <v>1507</v>
      </c>
      <c r="AH569" s="1">
        <v>19</v>
      </c>
      <c r="AI569" s="1">
        <v>1</v>
      </c>
      <c r="AJ569" s="1">
        <v>1</v>
      </c>
      <c r="AK569" s="1">
        <v>33</v>
      </c>
      <c r="AL569" s="1">
        <v>33</v>
      </c>
      <c r="AM569" s="1" t="s">
        <v>1579</v>
      </c>
      <c r="AN569" s="1" t="s">
        <v>1580</v>
      </c>
      <c r="AO569" s="1" t="s">
        <v>1581</v>
      </c>
      <c r="AP569" s="1" t="s">
        <v>2972</v>
      </c>
      <c r="AQ569" s="1" t="s">
        <v>2973</v>
      </c>
      <c r="AR569" s="1" t="s">
        <v>1507</v>
      </c>
      <c r="AS569" s="1" t="s">
        <v>2974</v>
      </c>
      <c r="AT569" s="1" t="s">
        <v>2975</v>
      </c>
      <c r="AU569" s="1" t="s">
        <v>2191</v>
      </c>
      <c r="AV569" s="1">
        <v>2023</v>
      </c>
      <c r="AW569" s="1">
        <v>90</v>
      </c>
      <c r="AX569" s="1" t="s">
        <v>1507</v>
      </c>
      <c r="AY569" s="1" t="s">
        <v>1507</v>
      </c>
      <c r="AZ569" s="1" t="s">
        <v>1507</v>
      </c>
      <c r="BA569" s="1" t="s">
        <v>1507</v>
      </c>
      <c r="BB569" s="1" t="s">
        <v>1507</v>
      </c>
      <c r="BC569" s="1" t="s">
        <v>1507</v>
      </c>
      <c r="BD569" s="1" t="s">
        <v>1507</v>
      </c>
      <c r="BE569" s="1">
        <v>103808</v>
      </c>
      <c r="BF569" s="1" t="s">
        <v>2976</v>
      </c>
      <c r="BG569" s="1" t="str">
        <f>HYPERLINK("http://dx.doi.org/10.1016/j.ajp.2023.103808","http://dx.doi.org/10.1016/j.ajp.2023.103808")</f>
        <v>http://dx.doi.org/10.1016/j.ajp.2023.103808</v>
      </c>
      <c r="BH569" s="1" t="s">
        <v>1507</v>
      </c>
      <c r="BI569" s="1" t="s">
        <v>2891</v>
      </c>
      <c r="BJ569" s="1">
        <v>3</v>
      </c>
      <c r="BK569" s="1" t="s">
        <v>2977</v>
      </c>
      <c r="BL569" s="1" t="s">
        <v>1573</v>
      </c>
      <c r="BM569" s="1" t="s">
        <v>2977</v>
      </c>
      <c r="BN569" s="1" t="s">
        <v>2978</v>
      </c>
      <c r="BO569" s="1">
        <v>37898100</v>
      </c>
      <c r="BP569" s="1" t="s">
        <v>1507</v>
      </c>
      <c r="BQ569" s="1" t="s">
        <v>1507</v>
      </c>
      <c r="BR569" s="1" t="s">
        <v>1507</v>
      </c>
      <c r="BS569" s="1" t="s">
        <v>13744</v>
      </c>
      <c r="BT569" s="1" t="s">
        <v>2979</v>
      </c>
      <c r="BU569" s="1" t="str">
        <f>HYPERLINK("https%3A%2F%2Fwww.webofscience.com%2Fwos%2Fwoscc%2Ffull-record%2FWOS:001108124800001","View Full Record in Web of Science")</f>
        <v>View Full Record in Web of Science</v>
      </c>
    </row>
    <row r="570" spans="1:73" x14ac:dyDescent="0.25">
      <c r="A570" s="1">
        <v>569</v>
      </c>
      <c r="B570" s="1" t="s">
        <v>1506</v>
      </c>
      <c r="C570" s="1" t="s">
        <v>4276</v>
      </c>
      <c r="D570" s="1" t="s">
        <v>1507</v>
      </c>
      <c r="E570" s="1" t="s">
        <v>1507</v>
      </c>
      <c r="F570" s="1" t="s">
        <v>1507</v>
      </c>
      <c r="G570" s="1" t="s">
        <v>4277</v>
      </c>
      <c r="H570" s="1" t="s">
        <v>1507</v>
      </c>
      <c r="I570" s="1" t="s">
        <v>1507</v>
      </c>
      <c r="J570" s="1" t="s">
        <v>204</v>
      </c>
      <c r="K570" s="1" t="s">
        <v>4278</v>
      </c>
      <c r="L570" s="1" t="s">
        <v>1507</v>
      </c>
      <c r="M570" s="1" t="s">
        <v>1507</v>
      </c>
      <c r="N570" s="1" t="s">
        <v>42</v>
      </c>
      <c r="O570" s="1" t="s">
        <v>56</v>
      </c>
      <c r="P570" s="1" t="s">
        <v>1507</v>
      </c>
      <c r="Q570" s="1" t="s">
        <v>1507</v>
      </c>
      <c r="R570" s="1" t="s">
        <v>1507</v>
      </c>
      <c r="S570" s="1" t="s">
        <v>1507</v>
      </c>
      <c r="T570" s="1" t="s">
        <v>1507</v>
      </c>
      <c r="U570" s="1" t="s">
        <v>210</v>
      </c>
      <c r="V570" s="1" t="s">
        <v>1507</v>
      </c>
      <c r="W570" s="1" t="s">
        <v>4279</v>
      </c>
      <c r="X570" s="1" t="s">
        <v>4280</v>
      </c>
      <c r="Y570" s="1" t="s">
        <v>2389</v>
      </c>
      <c r="Z570" s="1" t="s">
        <v>4281</v>
      </c>
      <c r="AA570" s="1" t="s">
        <v>4282</v>
      </c>
      <c r="AB570" s="1" t="s">
        <v>1507</v>
      </c>
      <c r="AC570" s="1" t="s">
        <v>4283</v>
      </c>
      <c r="AD570" s="1" t="s">
        <v>1507</v>
      </c>
      <c r="AE570" s="1" t="s">
        <v>1507</v>
      </c>
      <c r="AF570" s="1" t="s">
        <v>1507</v>
      </c>
      <c r="AG570" s="1" t="s">
        <v>1507</v>
      </c>
      <c r="AH570" s="1">
        <v>11</v>
      </c>
      <c r="AI570" s="1">
        <v>0</v>
      </c>
      <c r="AJ570" s="1">
        <v>0</v>
      </c>
      <c r="AK570" s="1">
        <v>33</v>
      </c>
      <c r="AL570" s="1">
        <v>47</v>
      </c>
      <c r="AM570" s="1" t="s">
        <v>4284</v>
      </c>
      <c r="AN570" s="1" t="s">
        <v>4285</v>
      </c>
      <c r="AO570" s="1" t="s">
        <v>4286</v>
      </c>
      <c r="AP570" s="1" t="s">
        <v>4287</v>
      </c>
      <c r="AQ570" s="1" t="s">
        <v>4288</v>
      </c>
      <c r="AR570" s="1" t="s">
        <v>1507</v>
      </c>
      <c r="AS570" s="1" t="s">
        <v>4278</v>
      </c>
      <c r="AT570" s="1" t="s">
        <v>205</v>
      </c>
      <c r="AU570" s="1" t="s">
        <v>14569</v>
      </c>
      <c r="AV570" s="1">
        <v>2023</v>
      </c>
      <c r="AW570" s="1">
        <v>33</v>
      </c>
      <c r="AX570" s="1">
        <v>8</v>
      </c>
      <c r="AY570" s="1" t="s">
        <v>1507</v>
      </c>
      <c r="AZ570" s="1" t="s">
        <v>1507</v>
      </c>
      <c r="BA570" s="1" t="s">
        <v>1507</v>
      </c>
      <c r="BB570" s="1" t="s">
        <v>1507</v>
      </c>
      <c r="BC570" s="1">
        <v>606</v>
      </c>
      <c r="BD570" s="1">
        <v>614</v>
      </c>
      <c r="BE570" s="1" t="s">
        <v>4289</v>
      </c>
      <c r="BF570" s="1" t="s">
        <v>206</v>
      </c>
      <c r="BG570" s="1" t="str">
        <f>HYPERLINK("http://dx.doi.org/10.1093/glycob/cwad064","http://dx.doi.org/10.1093/glycob/cwad064")</f>
        <v>http://dx.doi.org/10.1093/glycob/cwad064</v>
      </c>
      <c r="BH570" s="1" t="s">
        <v>1507</v>
      </c>
      <c r="BI570" s="1" t="s">
        <v>4056</v>
      </c>
      <c r="BJ570" s="1">
        <v>9</v>
      </c>
      <c r="BK570" s="1" t="s">
        <v>4290</v>
      </c>
      <c r="BL570" s="1" t="s">
        <v>1573</v>
      </c>
      <c r="BM570" s="1" t="s">
        <v>4290</v>
      </c>
      <c r="BN570" s="1" t="s">
        <v>4291</v>
      </c>
      <c r="BO570" s="1">
        <v>37531256</v>
      </c>
      <c r="BP570" s="1" t="s">
        <v>1600</v>
      </c>
      <c r="BQ570" s="1" t="s">
        <v>1507</v>
      </c>
      <c r="BR570" s="1" t="s">
        <v>1507</v>
      </c>
      <c r="BS570" s="1" t="s">
        <v>13744</v>
      </c>
      <c r="BT570" s="1" t="s">
        <v>4292</v>
      </c>
      <c r="BU570" s="1" t="str">
        <f>HYPERLINK("https%3A%2F%2Fwww.webofscience.com%2Fwos%2Fwoscc%2Ffull-record%2FWOS:001052316000001","View Full Record in Web of Science")</f>
        <v>View Full Record in Web of Science</v>
      </c>
    </row>
    <row r="571" spans="1:73" x14ac:dyDescent="0.25">
      <c r="A571" s="1">
        <v>570</v>
      </c>
      <c r="B571" s="1" t="s">
        <v>1506</v>
      </c>
      <c r="C571" s="1" t="s">
        <v>2539</v>
      </c>
      <c r="D571" s="1" t="s">
        <v>1507</v>
      </c>
      <c r="E571" s="1" t="s">
        <v>1507</v>
      </c>
      <c r="F571" s="1" t="s">
        <v>1507</v>
      </c>
      <c r="G571" s="1" t="s">
        <v>2540</v>
      </c>
      <c r="H571" s="1" t="s">
        <v>1507</v>
      </c>
      <c r="I571" s="1" t="s">
        <v>1507</v>
      </c>
      <c r="J571" s="1" t="s">
        <v>2541</v>
      </c>
      <c r="K571" s="1" t="s">
        <v>1538</v>
      </c>
      <c r="L571" s="1" t="s">
        <v>1507</v>
      </c>
      <c r="M571" s="1" t="s">
        <v>1507</v>
      </c>
      <c r="N571" s="1" t="s">
        <v>42</v>
      </c>
      <c r="O571" s="1" t="s">
        <v>56</v>
      </c>
      <c r="P571" s="1" t="s">
        <v>1507</v>
      </c>
      <c r="Q571" s="1" t="s">
        <v>1507</v>
      </c>
      <c r="R571" s="1" t="s">
        <v>1507</v>
      </c>
      <c r="S571" s="1" t="s">
        <v>1507</v>
      </c>
      <c r="T571" s="1" t="s">
        <v>1507</v>
      </c>
      <c r="U571" s="1" t="s">
        <v>1507</v>
      </c>
      <c r="V571" s="1" t="s">
        <v>1507</v>
      </c>
      <c r="W571" s="1" t="s">
        <v>2542</v>
      </c>
      <c r="X571" s="1" t="s">
        <v>2543</v>
      </c>
      <c r="Y571" s="1" t="s">
        <v>2544</v>
      </c>
      <c r="Z571" s="1" t="s">
        <v>2545</v>
      </c>
      <c r="AA571" s="1" t="s">
        <v>2546</v>
      </c>
      <c r="AB571" s="1" t="s">
        <v>1507</v>
      </c>
      <c r="AC571" s="1" t="s">
        <v>1507</v>
      </c>
      <c r="AD571" s="1" t="s">
        <v>2547</v>
      </c>
      <c r="AE571" s="1" t="s">
        <v>2548</v>
      </c>
      <c r="AF571" s="1" t="s">
        <v>2549</v>
      </c>
      <c r="AG571" s="1" t="s">
        <v>1507</v>
      </c>
      <c r="AH571" s="1">
        <v>45</v>
      </c>
      <c r="AI571" s="1">
        <v>0</v>
      </c>
      <c r="AJ571" s="1">
        <v>0</v>
      </c>
      <c r="AK571" s="1">
        <v>10</v>
      </c>
      <c r="AL571" s="1">
        <v>10</v>
      </c>
      <c r="AM571" s="1" t="s">
        <v>1539</v>
      </c>
      <c r="AN571" s="1" t="s">
        <v>1523</v>
      </c>
      <c r="AO571" s="1" t="s">
        <v>1540</v>
      </c>
      <c r="AP571" s="1" t="s">
        <v>1507</v>
      </c>
      <c r="AQ571" s="1" t="s">
        <v>1541</v>
      </c>
      <c r="AR571" s="1" t="s">
        <v>1507</v>
      </c>
      <c r="AS571" s="1" t="s">
        <v>1542</v>
      </c>
      <c r="AT571" s="1" t="s">
        <v>1543</v>
      </c>
      <c r="AU571" s="1" t="s">
        <v>2514</v>
      </c>
      <c r="AV571" s="1">
        <v>2023</v>
      </c>
      <c r="AW571" s="1">
        <v>11</v>
      </c>
      <c r="AX571" s="1" t="s">
        <v>1507</v>
      </c>
      <c r="AY571" s="1" t="s">
        <v>1507</v>
      </c>
      <c r="AZ571" s="1" t="s">
        <v>1507</v>
      </c>
      <c r="BA571" s="1" t="s">
        <v>1507</v>
      </c>
      <c r="BB571" s="1" t="s">
        <v>1507</v>
      </c>
      <c r="BC571" s="1">
        <v>1377</v>
      </c>
      <c r="BD571" s="1">
        <v>1395</v>
      </c>
      <c r="BE571" s="1" t="s">
        <v>1507</v>
      </c>
      <c r="BF571" s="1" t="s">
        <v>2550</v>
      </c>
      <c r="BG571" s="1" t="str">
        <f>HYPERLINK("http://dx.doi.org/10.1162/tacl_a_00608","http://dx.doi.org/10.1162/tacl_a_00608")</f>
        <v>http://dx.doi.org/10.1162/tacl_a_00608</v>
      </c>
      <c r="BH571" s="1" t="s">
        <v>1507</v>
      </c>
      <c r="BI571" s="1" t="s">
        <v>1507</v>
      </c>
      <c r="BJ571" s="1">
        <v>19</v>
      </c>
      <c r="BK571" s="1" t="s">
        <v>1544</v>
      </c>
      <c r="BL571" s="1" t="s">
        <v>1545</v>
      </c>
      <c r="BM571" s="1" t="s">
        <v>1546</v>
      </c>
      <c r="BN571" s="1" t="s">
        <v>2551</v>
      </c>
      <c r="BO571" s="1" t="s">
        <v>1507</v>
      </c>
      <c r="BP571" s="1" t="s">
        <v>1547</v>
      </c>
      <c r="BQ571" s="1" t="s">
        <v>1507</v>
      </c>
      <c r="BR571" s="1" t="s">
        <v>1507</v>
      </c>
      <c r="BS571" s="1" t="s">
        <v>13744</v>
      </c>
      <c r="BT571" s="1" t="s">
        <v>2552</v>
      </c>
      <c r="BU571" s="1" t="str">
        <f>HYPERLINK("https%3A%2F%2Fwww.webofscience.com%2Fwos%2Fwoscc%2Ffull-record%2FWOS:001104813600003","View Full Record in Web of Science")</f>
        <v>View Full Record in Web of Science</v>
      </c>
    </row>
    <row r="572" spans="1:73" x14ac:dyDescent="0.25">
      <c r="A572" s="1">
        <v>571</v>
      </c>
      <c r="B572" s="1" t="s">
        <v>1506</v>
      </c>
      <c r="C572" s="1" t="s">
        <v>5222</v>
      </c>
      <c r="D572" s="1" t="s">
        <v>1507</v>
      </c>
      <c r="E572" s="1" t="s">
        <v>1507</v>
      </c>
      <c r="F572" s="1" t="s">
        <v>1507</v>
      </c>
      <c r="G572" s="1" t="s">
        <v>5223</v>
      </c>
      <c r="H572" s="1" t="s">
        <v>1507</v>
      </c>
      <c r="I572" s="1" t="s">
        <v>1507</v>
      </c>
      <c r="J572" s="1" t="s">
        <v>5224</v>
      </c>
      <c r="K572" s="1" t="s">
        <v>2811</v>
      </c>
      <c r="L572" s="1" t="s">
        <v>1507</v>
      </c>
      <c r="M572" s="1" t="s">
        <v>1507</v>
      </c>
      <c r="N572" s="1" t="s">
        <v>42</v>
      </c>
      <c r="O572" s="1" t="s">
        <v>56</v>
      </c>
      <c r="P572" s="1" t="s">
        <v>1507</v>
      </c>
      <c r="Q572" s="1" t="s">
        <v>1507</v>
      </c>
      <c r="R572" s="1" t="s">
        <v>1507</v>
      </c>
      <c r="S572" s="1" t="s">
        <v>1507</v>
      </c>
      <c r="T572" s="1" t="s">
        <v>1507</v>
      </c>
      <c r="U572" s="1" t="s">
        <v>5225</v>
      </c>
      <c r="V572" s="1" t="s">
        <v>5226</v>
      </c>
      <c r="W572" s="1" t="s">
        <v>5227</v>
      </c>
      <c r="X572" s="1" t="s">
        <v>5228</v>
      </c>
      <c r="Y572" s="1" t="s">
        <v>5229</v>
      </c>
      <c r="Z572" s="1" t="s">
        <v>5230</v>
      </c>
      <c r="AA572" s="1" t="s">
        <v>5231</v>
      </c>
      <c r="AB572" s="1" t="s">
        <v>5232</v>
      </c>
      <c r="AC572" s="1" t="s">
        <v>5233</v>
      </c>
      <c r="AD572" s="1" t="s">
        <v>5234</v>
      </c>
      <c r="AE572" s="1" t="s">
        <v>5235</v>
      </c>
      <c r="AF572" s="1" t="s">
        <v>5236</v>
      </c>
      <c r="AG572" s="1" t="s">
        <v>1507</v>
      </c>
      <c r="AH572" s="1">
        <v>78</v>
      </c>
      <c r="AI572" s="1">
        <v>2</v>
      </c>
      <c r="AJ572" s="1">
        <v>2</v>
      </c>
      <c r="AK572" s="1">
        <v>5</v>
      </c>
      <c r="AL572" s="1">
        <v>11</v>
      </c>
      <c r="AM572" s="1" t="s">
        <v>1559</v>
      </c>
      <c r="AN572" s="1" t="s">
        <v>1560</v>
      </c>
      <c r="AO572" s="1" t="s">
        <v>1561</v>
      </c>
      <c r="AP572" s="1" t="s">
        <v>2822</v>
      </c>
      <c r="AQ572" s="1" t="s">
        <v>2823</v>
      </c>
      <c r="AR572" s="1" t="s">
        <v>1507</v>
      </c>
      <c r="AS572" s="1" t="s">
        <v>2824</v>
      </c>
      <c r="AT572" s="1" t="s">
        <v>2825</v>
      </c>
      <c r="AU572" s="1" t="s">
        <v>5201</v>
      </c>
      <c r="AV572" s="1">
        <v>2023</v>
      </c>
      <c r="AW572" s="1">
        <v>47</v>
      </c>
      <c r="AX572" s="1">
        <v>4</v>
      </c>
      <c r="AY572" s="1" t="s">
        <v>1507</v>
      </c>
      <c r="AZ572" s="1" t="s">
        <v>1507</v>
      </c>
      <c r="BA572" s="1" t="s">
        <v>1507</v>
      </c>
      <c r="BB572" s="1" t="s">
        <v>1507</v>
      </c>
      <c r="BC572" s="1" t="s">
        <v>1507</v>
      </c>
      <c r="BD572" s="1" t="s">
        <v>1507</v>
      </c>
      <c r="BE572" s="1" t="s">
        <v>5237</v>
      </c>
      <c r="BF572" s="1" t="s">
        <v>5238</v>
      </c>
      <c r="BG572" s="1" t="str">
        <f>HYPERLINK("http://dx.doi.org/10.1111/cogs.13254","http://dx.doi.org/10.1111/cogs.13254")</f>
        <v>http://dx.doi.org/10.1111/cogs.13254</v>
      </c>
      <c r="BH572" s="1" t="s">
        <v>1507</v>
      </c>
      <c r="BI572" s="1" t="s">
        <v>1507</v>
      </c>
      <c r="BJ572" s="1">
        <v>25</v>
      </c>
      <c r="BK572" s="1" t="s">
        <v>2828</v>
      </c>
      <c r="BL572" s="1" t="s">
        <v>1518</v>
      </c>
      <c r="BM572" s="1" t="s">
        <v>1519</v>
      </c>
      <c r="BN572" s="1" t="s">
        <v>5239</v>
      </c>
      <c r="BO572" s="1">
        <v>37017257</v>
      </c>
      <c r="BP572" s="1" t="s">
        <v>8276</v>
      </c>
      <c r="BQ572" s="1" t="s">
        <v>1507</v>
      </c>
      <c r="BR572" s="1" t="s">
        <v>1507</v>
      </c>
      <c r="BS572" s="1" t="s">
        <v>13744</v>
      </c>
      <c r="BT572" s="1" t="s">
        <v>5240</v>
      </c>
      <c r="BU572" s="1" t="str">
        <f>HYPERLINK("https%3A%2F%2Fwww.webofscience.com%2Fwos%2Fwoscc%2Ffull-record%2FWOS:000963108300001","View Full Record in Web of Science")</f>
        <v>View Full Record in Web of Science</v>
      </c>
    </row>
    <row r="573" spans="1:73" x14ac:dyDescent="0.25">
      <c r="A573" s="1">
        <v>572</v>
      </c>
      <c r="B573" s="1" t="s">
        <v>1506</v>
      </c>
      <c r="C573" s="1" t="s">
        <v>15471</v>
      </c>
      <c r="D573" s="1" t="s">
        <v>1507</v>
      </c>
      <c r="E573" s="1" t="s">
        <v>1507</v>
      </c>
      <c r="F573" s="1" t="s">
        <v>1507</v>
      </c>
      <c r="G573" s="1" t="s">
        <v>15472</v>
      </c>
      <c r="H573" s="1" t="s">
        <v>1507</v>
      </c>
      <c r="I573" s="1" t="s">
        <v>1507</v>
      </c>
      <c r="J573" s="1" t="s">
        <v>15473</v>
      </c>
      <c r="K573" s="1" t="s">
        <v>15474</v>
      </c>
      <c r="L573" s="1" t="s">
        <v>1507</v>
      </c>
      <c r="M573" s="1" t="s">
        <v>1507</v>
      </c>
      <c r="N573" s="1" t="s">
        <v>15475</v>
      </c>
      <c r="O573" s="1" t="s">
        <v>56</v>
      </c>
      <c r="P573" s="1" t="s">
        <v>1507</v>
      </c>
      <c r="Q573" s="1" t="s">
        <v>1507</v>
      </c>
      <c r="R573" s="1" t="s">
        <v>1507</v>
      </c>
      <c r="S573" s="1" t="s">
        <v>1507</v>
      </c>
      <c r="T573" s="1" t="s">
        <v>1507</v>
      </c>
      <c r="U573" s="1" t="s">
        <v>15476</v>
      </c>
      <c r="V573" s="1" t="s">
        <v>1507</v>
      </c>
      <c r="W573" s="1" t="s">
        <v>15477</v>
      </c>
      <c r="X573" s="1" t="s">
        <v>15478</v>
      </c>
      <c r="Y573" s="1" t="s">
        <v>15479</v>
      </c>
      <c r="Z573" s="1" t="s">
        <v>15480</v>
      </c>
      <c r="AA573" s="1" t="s">
        <v>1507</v>
      </c>
      <c r="AB573" s="1" t="s">
        <v>1507</v>
      </c>
      <c r="AC573" s="1" t="s">
        <v>1507</v>
      </c>
      <c r="AD573" s="1" t="s">
        <v>1507</v>
      </c>
      <c r="AE573" s="1" t="s">
        <v>1507</v>
      </c>
      <c r="AF573" s="1" t="s">
        <v>1507</v>
      </c>
      <c r="AG573" s="1" t="s">
        <v>1507</v>
      </c>
      <c r="AH573" s="1">
        <v>11</v>
      </c>
      <c r="AI573" s="1">
        <v>1</v>
      </c>
      <c r="AJ573" s="1">
        <v>1</v>
      </c>
      <c r="AK573" s="1">
        <v>2</v>
      </c>
      <c r="AL573" s="1">
        <v>2</v>
      </c>
      <c r="AM573" s="1" t="s">
        <v>15481</v>
      </c>
      <c r="AN573" s="1" t="s">
        <v>12096</v>
      </c>
      <c r="AO573" s="1" t="s">
        <v>15482</v>
      </c>
      <c r="AP573" s="1" t="s">
        <v>15483</v>
      </c>
      <c r="AQ573" s="1" t="s">
        <v>15484</v>
      </c>
      <c r="AR573" s="1" t="s">
        <v>1507</v>
      </c>
      <c r="AS573" s="1" t="s">
        <v>15474</v>
      </c>
      <c r="AT573" s="1" t="s">
        <v>15485</v>
      </c>
      <c r="AU573" s="1" t="s">
        <v>1507</v>
      </c>
      <c r="AV573" s="1">
        <v>2023</v>
      </c>
      <c r="AW573" s="1" t="s">
        <v>1507</v>
      </c>
      <c r="AX573" s="1">
        <v>3</v>
      </c>
      <c r="AY573" s="1" t="s">
        <v>1507</v>
      </c>
      <c r="AZ573" s="1" t="s">
        <v>1507</v>
      </c>
      <c r="BA573" s="1" t="s">
        <v>1507</v>
      </c>
      <c r="BB573" s="1" t="s">
        <v>1507</v>
      </c>
      <c r="BC573" s="1">
        <v>51</v>
      </c>
      <c r="BD573" s="1">
        <v>60</v>
      </c>
      <c r="BE573" s="1" t="s">
        <v>1507</v>
      </c>
      <c r="BF573" s="1" t="s">
        <v>15486</v>
      </c>
      <c r="BG573" s="1" t="str">
        <f>HYPERLINK("http://dx.doi.org/10.15219/em100.1617","http://dx.doi.org/10.15219/em100.1617")</f>
        <v>http://dx.doi.org/10.15219/em100.1617</v>
      </c>
      <c r="BH573" s="1" t="s">
        <v>1507</v>
      </c>
      <c r="BI573" s="1" t="s">
        <v>1507</v>
      </c>
      <c r="BJ573" s="1">
        <v>10</v>
      </c>
      <c r="BK573" s="1" t="s">
        <v>1558</v>
      </c>
      <c r="BL573" s="1" t="s">
        <v>1529</v>
      </c>
      <c r="BM573" s="1" t="s">
        <v>1558</v>
      </c>
      <c r="BN573" s="1" t="s">
        <v>15487</v>
      </c>
      <c r="BO573" s="1" t="s">
        <v>1507</v>
      </c>
      <c r="BP573" s="1" t="s">
        <v>1507</v>
      </c>
      <c r="BQ573" s="1" t="s">
        <v>1507</v>
      </c>
      <c r="BR573" s="1" t="s">
        <v>1507</v>
      </c>
      <c r="BS573" s="1" t="s">
        <v>13744</v>
      </c>
      <c r="BT573" s="1" t="s">
        <v>15488</v>
      </c>
      <c r="BU573" s="1" t="str">
        <f>HYPERLINK("https%3A%2F%2Fwww.webofscience.com%2Fwos%2Fwoscc%2Ffull-record%2FWOS:001173963300005","View Full Record in Web of Science")</f>
        <v>View Full Record in Web of Science</v>
      </c>
    </row>
    <row r="574" spans="1:73" x14ac:dyDescent="0.25">
      <c r="A574" s="1">
        <v>573</v>
      </c>
      <c r="B574" s="1" t="s">
        <v>1506</v>
      </c>
      <c r="C574" s="1" t="s">
        <v>14443</v>
      </c>
      <c r="D574" s="1" t="s">
        <v>1507</v>
      </c>
      <c r="E574" s="1" t="s">
        <v>1507</v>
      </c>
      <c r="F574" s="1" t="s">
        <v>1507</v>
      </c>
      <c r="G574" s="1" t="s">
        <v>14444</v>
      </c>
      <c r="H574" s="1" t="s">
        <v>1507</v>
      </c>
      <c r="I574" s="1" t="s">
        <v>1507</v>
      </c>
      <c r="J574" s="1" t="s">
        <v>14445</v>
      </c>
      <c r="K574" s="1" t="s">
        <v>3982</v>
      </c>
      <c r="L574" s="1" t="s">
        <v>1507</v>
      </c>
      <c r="M574" s="1" t="s">
        <v>1507</v>
      </c>
      <c r="N574" s="1" t="s">
        <v>42</v>
      </c>
      <c r="O574" s="1" t="s">
        <v>12366</v>
      </c>
      <c r="P574" s="1" t="s">
        <v>1507</v>
      </c>
      <c r="Q574" s="1" t="s">
        <v>1507</v>
      </c>
      <c r="R574" s="1" t="s">
        <v>1507</v>
      </c>
      <c r="S574" s="1" t="s">
        <v>1507</v>
      </c>
      <c r="T574" s="1" t="s">
        <v>1507</v>
      </c>
      <c r="U574" s="1" t="s">
        <v>14446</v>
      </c>
      <c r="V574" s="1" t="s">
        <v>14447</v>
      </c>
      <c r="W574" s="1" t="s">
        <v>14448</v>
      </c>
      <c r="X574" s="1" t="s">
        <v>14449</v>
      </c>
      <c r="Y574" s="1" t="s">
        <v>9760</v>
      </c>
      <c r="Z574" s="1" t="s">
        <v>14450</v>
      </c>
      <c r="AA574" s="1" t="s">
        <v>14451</v>
      </c>
      <c r="AB574" s="1" t="s">
        <v>14452</v>
      </c>
      <c r="AC574" s="1" t="s">
        <v>14453</v>
      </c>
      <c r="AD574" s="1" t="s">
        <v>14454</v>
      </c>
      <c r="AE574" s="1" t="s">
        <v>14455</v>
      </c>
      <c r="AF574" s="1" t="s">
        <v>14456</v>
      </c>
      <c r="AG574" s="1" t="s">
        <v>1507</v>
      </c>
      <c r="AH574" s="1">
        <v>40</v>
      </c>
      <c r="AI574" s="1">
        <v>0</v>
      </c>
      <c r="AJ574" s="1">
        <v>0</v>
      </c>
      <c r="AK574" s="1">
        <v>9</v>
      </c>
      <c r="AL574" s="1">
        <v>9</v>
      </c>
      <c r="AM574" s="1" t="s">
        <v>1610</v>
      </c>
      <c r="AN574" s="1" t="s">
        <v>1611</v>
      </c>
      <c r="AO574" s="1" t="s">
        <v>1612</v>
      </c>
      <c r="AP574" s="1" t="s">
        <v>1507</v>
      </c>
      <c r="AQ574" s="1" t="s">
        <v>3990</v>
      </c>
      <c r="AR574" s="1" t="s">
        <v>1507</v>
      </c>
      <c r="AS574" s="1" t="s">
        <v>3991</v>
      </c>
      <c r="AT574" s="1" t="s">
        <v>421</v>
      </c>
      <c r="AU574" s="1" t="s">
        <v>2889</v>
      </c>
      <c r="AV574" s="1">
        <v>2023</v>
      </c>
      <c r="AW574" s="1">
        <v>13</v>
      </c>
      <c r="AX574" s="1">
        <v>10</v>
      </c>
      <c r="AY574" s="1" t="s">
        <v>1507</v>
      </c>
      <c r="AZ574" s="1" t="s">
        <v>1507</v>
      </c>
      <c r="BA574" s="1" t="s">
        <v>1507</v>
      </c>
      <c r="BB574" s="1" t="s">
        <v>1507</v>
      </c>
      <c r="BC574" s="1" t="s">
        <v>1507</v>
      </c>
      <c r="BD574" s="1" t="s">
        <v>1507</v>
      </c>
      <c r="BE574" s="1">
        <v>987</v>
      </c>
      <c r="BF574" s="1" t="s">
        <v>14457</v>
      </c>
      <c r="BG574" s="1" t="str">
        <f>HYPERLINK("http://dx.doi.org/10.3390/educsci13100987","http://dx.doi.org/10.3390/educsci13100987")</f>
        <v>http://dx.doi.org/10.3390/educsci13100987</v>
      </c>
      <c r="BH574" s="1" t="s">
        <v>1507</v>
      </c>
      <c r="BI574" s="1" t="s">
        <v>1507</v>
      </c>
      <c r="BJ574" s="1">
        <v>19</v>
      </c>
      <c r="BK574" s="1" t="s">
        <v>1558</v>
      </c>
      <c r="BL574" s="1" t="s">
        <v>1529</v>
      </c>
      <c r="BM574" s="1" t="s">
        <v>1558</v>
      </c>
      <c r="BN574" s="1" t="s">
        <v>14458</v>
      </c>
      <c r="BO574" s="1" t="s">
        <v>1507</v>
      </c>
      <c r="BP574" s="1" t="s">
        <v>1531</v>
      </c>
      <c r="BQ574" s="1" t="s">
        <v>1507</v>
      </c>
      <c r="BR574" s="1" t="s">
        <v>1507</v>
      </c>
      <c r="BS574" s="1" t="s">
        <v>13744</v>
      </c>
      <c r="BT574" s="1" t="s">
        <v>14459</v>
      </c>
      <c r="BU574" s="1" t="str">
        <f>HYPERLINK("https%3A%2F%2Fwww.webofscience.com%2Fwos%2Fwoscc%2Ffull-record%2FWOS:001094219600001","View Full Record in Web of Science")</f>
        <v>View Full Record in Web of Science</v>
      </c>
    </row>
    <row r="575" spans="1:73" x14ac:dyDescent="0.25">
      <c r="A575" s="1">
        <v>574</v>
      </c>
      <c r="B575" s="1" t="s">
        <v>1506</v>
      </c>
      <c r="C575" s="1" t="s">
        <v>8063</v>
      </c>
      <c r="D575" s="1" t="s">
        <v>1507</v>
      </c>
      <c r="E575" s="1" t="s">
        <v>1507</v>
      </c>
      <c r="F575" s="1" t="s">
        <v>1507</v>
      </c>
      <c r="G575" s="1" t="s">
        <v>8064</v>
      </c>
      <c r="H575" s="1" t="s">
        <v>1507</v>
      </c>
      <c r="I575" s="1" t="s">
        <v>1507</v>
      </c>
      <c r="J575" s="1" t="s">
        <v>8065</v>
      </c>
      <c r="K575" s="1" t="s">
        <v>8066</v>
      </c>
      <c r="L575" s="1" t="s">
        <v>1507</v>
      </c>
      <c r="M575" s="1" t="s">
        <v>1507</v>
      </c>
      <c r="N575" s="1" t="s">
        <v>42</v>
      </c>
      <c r="O575" s="1" t="s">
        <v>56</v>
      </c>
      <c r="P575" s="1" t="s">
        <v>1507</v>
      </c>
      <c r="Q575" s="1" t="s">
        <v>1507</v>
      </c>
      <c r="R575" s="1" t="s">
        <v>1507</v>
      </c>
      <c r="S575" s="1" t="s">
        <v>1507</v>
      </c>
      <c r="T575" s="1" t="s">
        <v>1507</v>
      </c>
      <c r="U575" s="1" t="s">
        <v>8067</v>
      </c>
      <c r="V575" s="1" t="s">
        <v>8068</v>
      </c>
      <c r="W575" s="1" t="s">
        <v>8069</v>
      </c>
      <c r="X575" s="1" t="s">
        <v>8070</v>
      </c>
      <c r="Y575" s="1" t="s">
        <v>8071</v>
      </c>
      <c r="Z575" s="1" t="s">
        <v>8072</v>
      </c>
      <c r="AA575" s="1" t="s">
        <v>8073</v>
      </c>
      <c r="AB575" s="1" t="s">
        <v>15686</v>
      </c>
      <c r="AC575" s="1" t="s">
        <v>15687</v>
      </c>
      <c r="AD575" s="1" t="s">
        <v>8074</v>
      </c>
      <c r="AE575" s="1" t="s">
        <v>8075</v>
      </c>
      <c r="AF575" s="1" t="s">
        <v>8076</v>
      </c>
      <c r="AG575" s="1" t="s">
        <v>1507</v>
      </c>
      <c r="AH575" s="1">
        <v>80</v>
      </c>
      <c r="AI575" s="1">
        <v>15</v>
      </c>
      <c r="AJ575" s="1">
        <v>15</v>
      </c>
      <c r="AK575" s="1">
        <v>3</v>
      </c>
      <c r="AL575" s="1">
        <v>13</v>
      </c>
      <c r="AM575" s="1" t="s">
        <v>8077</v>
      </c>
      <c r="AN575" s="1" t="s">
        <v>8078</v>
      </c>
      <c r="AO575" s="1" t="s">
        <v>8079</v>
      </c>
      <c r="AP575" s="1" t="s">
        <v>8080</v>
      </c>
      <c r="AQ575" s="1" t="s">
        <v>8081</v>
      </c>
      <c r="AR575" s="1" t="s">
        <v>1507</v>
      </c>
      <c r="AS575" s="1" t="s">
        <v>8082</v>
      </c>
      <c r="AT575" s="1" t="s">
        <v>8083</v>
      </c>
      <c r="AU575" s="1" t="s">
        <v>15688</v>
      </c>
      <c r="AV575" s="1">
        <v>2022</v>
      </c>
      <c r="AW575" s="1">
        <v>525</v>
      </c>
      <c r="AX575" s="1" t="s">
        <v>1507</v>
      </c>
      <c r="AY575" s="1" t="s">
        <v>1507</v>
      </c>
      <c r="AZ575" s="1" t="s">
        <v>1507</v>
      </c>
      <c r="BA575" s="1" t="s">
        <v>1507</v>
      </c>
      <c r="BB575" s="1" t="s">
        <v>1507</v>
      </c>
      <c r="BC575" s="1">
        <v>115</v>
      </c>
      <c r="BD575" s="1">
        <v>130</v>
      </c>
      <c r="BE575" s="1" t="s">
        <v>1507</v>
      </c>
      <c r="BF575" s="1" t="s">
        <v>8084</v>
      </c>
      <c r="BG575" s="1" t="str">
        <f>HYPERLINK("http://dx.doi.org/10.1016/j.canlet.2021.10.039","http://dx.doi.org/10.1016/j.canlet.2021.10.039")</f>
        <v>http://dx.doi.org/10.1016/j.canlet.2021.10.039</v>
      </c>
      <c r="BH575" s="1" t="s">
        <v>1507</v>
      </c>
      <c r="BI575" s="1" t="s">
        <v>8085</v>
      </c>
      <c r="BJ575" s="1">
        <v>16</v>
      </c>
      <c r="BK575" s="1" t="s">
        <v>3875</v>
      </c>
      <c r="BL575" s="1" t="s">
        <v>1573</v>
      </c>
      <c r="BM575" s="1" t="s">
        <v>3875</v>
      </c>
      <c r="BN575" s="1" t="s">
        <v>8086</v>
      </c>
      <c r="BO575" s="1">
        <v>34736960</v>
      </c>
      <c r="BP575" s="1" t="s">
        <v>1507</v>
      </c>
      <c r="BQ575" s="1" t="s">
        <v>1507</v>
      </c>
      <c r="BR575" s="1" t="s">
        <v>1507</v>
      </c>
      <c r="BS575" s="1" t="s">
        <v>13744</v>
      </c>
      <c r="BT575" s="1" t="s">
        <v>8087</v>
      </c>
      <c r="BU575" s="1" t="str">
        <f>HYPERLINK("https%3A%2F%2Fwww.webofscience.com%2Fwos%2Fwoscc%2Ffull-record%2FWOS:000720470900006","View Full Record in Web of Science")</f>
        <v>View Full Record in Web of Science</v>
      </c>
    </row>
    <row r="576" spans="1:73" x14ac:dyDescent="0.25">
      <c r="A576" s="1">
        <v>575</v>
      </c>
      <c r="B576" s="1" t="s">
        <v>1506</v>
      </c>
      <c r="C576" s="1" t="s">
        <v>10090</v>
      </c>
      <c r="D576" s="1" t="s">
        <v>1507</v>
      </c>
      <c r="E576" s="1" t="s">
        <v>1507</v>
      </c>
      <c r="F576" s="1" t="s">
        <v>1507</v>
      </c>
      <c r="G576" s="1" t="s">
        <v>10091</v>
      </c>
      <c r="H576" s="1" t="s">
        <v>1507</v>
      </c>
      <c r="I576" s="1" t="s">
        <v>1507</v>
      </c>
      <c r="J576" s="1" t="s">
        <v>10092</v>
      </c>
      <c r="K576" s="1" t="s">
        <v>10093</v>
      </c>
      <c r="L576" s="1" t="s">
        <v>1507</v>
      </c>
      <c r="M576" s="1" t="s">
        <v>1507</v>
      </c>
      <c r="N576" s="1" t="s">
        <v>42</v>
      </c>
      <c r="O576" s="1" t="s">
        <v>56</v>
      </c>
      <c r="P576" s="1" t="s">
        <v>1507</v>
      </c>
      <c r="Q576" s="1" t="s">
        <v>1507</v>
      </c>
      <c r="R576" s="1" t="s">
        <v>1507</v>
      </c>
      <c r="S576" s="1" t="s">
        <v>1507</v>
      </c>
      <c r="T576" s="1" t="s">
        <v>1507</v>
      </c>
      <c r="U576" s="1" t="s">
        <v>10094</v>
      </c>
      <c r="V576" s="1" t="s">
        <v>1507</v>
      </c>
      <c r="W576" s="1" t="s">
        <v>10095</v>
      </c>
      <c r="X576" s="1" t="s">
        <v>10096</v>
      </c>
      <c r="Y576" s="1" t="s">
        <v>10097</v>
      </c>
      <c r="Z576" s="1" t="s">
        <v>10098</v>
      </c>
      <c r="AA576" s="1" t="s">
        <v>10099</v>
      </c>
      <c r="AB576" s="1" t="s">
        <v>10100</v>
      </c>
      <c r="AC576" s="1" t="s">
        <v>10101</v>
      </c>
      <c r="AD576" s="1" t="s">
        <v>10102</v>
      </c>
      <c r="AE576" s="1" t="s">
        <v>10103</v>
      </c>
      <c r="AF576" s="1" t="s">
        <v>10104</v>
      </c>
      <c r="AG576" s="1" t="s">
        <v>1507</v>
      </c>
      <c r="AH576" s="1">
        <v>34</v>
      </c>
      <c r="AI576" s="1">
        <v>1</v>
      </c>
      <c r="AJ576" s="1">
        <v>1</v>
      </c>
      <c r="AK576" s="1">
        <v>0</v>
      </c>
      <c r="AL576" s="1">
        <v>14</v>
      </c>
      <c r="AM576" s="1" t="s">
        <v>1511</v>
      </c>
      <c r="AN576" s="1" t="s">
        <v>1512</v>
      </c>
      <c r="AO576" s="1" t="s">
        <v>1513</v>
      </c>
      <c r="AP576" s="1" t="s">
        <v>10105</v>
      </c>
      <c r="AQ576" s="1" t="s">
        <v>10106</v>
      </c>
      <c r="AR576" s="1" t="s">
        <v>1507</v>
      </c>
      <c r="AS576" s="1" t="s">
        <v>10107</v>
      </c>
      <c r="AT576" s="1" t="s">
        <v>10108</v>
      </c>
      <c r="AU576" s="1" t="s">
        <v>10109</v>
      </c>
      <c r="AV576" s="1">
        <v>2020</v>
      </c>
      <c r="AW576" s="1">
        <v>26</v>
      </c>
      <c r="AX576" s="1">
        <v>3</v>
      </c>
      <c r="AY576" s="1" t="s">
        <v>1507</v>
      </c>
      <c r="AZ576" s="1" t="s">
        <v>1507</v>
      </c>
      <c r="BA576" s="1" t="s">
        <v>1507</v>
      </c>
      <c r="BB576" s="1" t="s">
        <v>1507</v>
      </c>
      <c r="BC576" s="1" t="s">
        <v>1507</v>
      </c>
      <c r="BD576" s="1" t="s">
        <v>1507</v>
      </c>
      <c r="BE576" s="1">
        <v>41</v>
      </c>
      <c r="BF576" s="1" t="s">
        <v>10110</v>
      </c>
      <c r="BG576" s="1" t="str">
        <f>HYPERLINK("http://dx.doi.org/10.1007/s00894-020-4310-2","http://dx.doi.org/10.1007/s00894-020-4310-2")</f>
        <v>http://dx.doi.org/10.1007/s00894-020-4310-2</v>
      </c>
      <c r="BH576" s="1" t="s">
        <v>1507</v>
      </c>
      <c r="BI576" s="1" t="s">
        <v>1507</v>
      </c>
      <c r="BJ576" s="1">
        <v>10</v>
      </c>
      <c r="BK576" s="1" t="s">
        <v>10111</v>
      </c>
      <c r="BL576" s="1" t="s">
        <v>1573</v>
      </c>
      <c r="BM576" s="1" t="s">
        <v>10112</v>
      </c>
      <c r="BN576" s="1" t="s">
        <v>10113</v>
      </c>
      <c r="BO576" s="1">
        <v>32009197</v>
      </c>
      <c r="BP576" s="1" t="s">
        <v>1507</v>
      </c>
      <c r="BQ576" s="1" t="s">
        <v>1507</v>
      </c>
      <c r="BR576" s="1" t="s">
        <v>1507</v>
      </c>
      <c r="BS576" s="1" t="s">
        <v>13744</v>
      </c>
      <c r="BT576" s="1" t="s">
        <v>10114</v>
      </c>
      <c r="BU576" s="1" t="str">
        <f>HYPERLINK("https%3A%2F%2Fwww.webofscience.com%2Fwos%2Fwoscc%2Ffull-record%2FWOS:000514577500001","View Full Record in Web of Science")</f>
        <v>View Full Record in Web of Science</v>
      </c>
    </row>
    <row r="577" spans="1:73" x14ac:dyDescent="0.25">
      <c r="A577" s="1">
        <v>576</v>
      </c>
      <c r="B577" s="1" t="s">
        <v>1506</v>
      </c>
      <c r="C577" s="1" t="s">
        <v>10945</v>
      </c>
      <c r="D577" s="1" t="s">
        <v>1507</v>
      </c>
      <c r="E577" s="1" t="s">
        <v>1507</v>
      </c>
      <c r="F577" s="1" t="s">
        <v>1507</v>
      </c>
      <c r="G577" s="1" t="s">
        <v>10946</v>
      </c>
      <c r="H577" s="1" t="s">
        <v>1507</v>
      </c>
      <c r="I577" s="1" t="s">
        <v>1507</v>
      </c>
      <c r="J577" s="1" t="s">
        <v>10947</v>
      </c>
      <c r="K577" s="1" t="s">
        <v>10948</v>
      </c>
      <c r="L577" s="1" t="s">
        <v>1507</v>
      </c>
      <c r="M577" s="1" t="s">
        <v>1507</v>
      </c>
      <c r="N577" s="1" t="s">
        <v>42</v>
      </c>
      <c r="O577" s="1" t="s">
        <v>56</v>
      </c>
      <c r="P577" s="1" t="s">
        <v>1507</v>
      </c>
      <c r="Q577" s="1" t="s">
        <v>1507</v>
      </c>
      <c r="R577" s="1" t="s">
        <v>1507</v>
      </c>
      <c r="S577" s="1" t="s">
        <v>1507</v>
      </c>
      <c r="T577" s="1" t="s">
        <v>1507</v>
      </c>
      <c r="U577" s="1" t="s">
        <v>1507</v>
      </c>
      <c r="V577" s="1" t="s">
        <v>10949</v>
      </c>
      <c r="W577" s="1" t="s">
        <v>10950</v>
      </c>
      <c r="X577" s="1" t="s">
        <v>10951</v>
      </c>
      <c r="Y577" s="1" t="s">
        <v>10952</v>
      </c>
      <c r="Z577" s="1" t="s">
        <v>10953</v>
      </c>
      <c r="AA577" s="1" t="s">
        <v>10954</v>
      </c>
      <c r="AB577" s="1" t="s">
        <v>1507</v>
      </c>
      <c r="AC577" s="1" t="s">
        <v>1507</v>
      </c>
      <c r="AD577" s="1" t="s">
        <v>10955</v>
      </c>
      <c r="AE577" s="1" t="s">
        <v>10955</v>
      </c>
      <c r="AF577" s="1" t="s">
        <v>10956</v>
      </c>
      <c r="AG577" s="1" t="s">
        <v>1507</v>
      </c>
      <c r="AH577" s="1">
        <v>62</v>
      </c>
      <c r="AI577" s="1">
        <v>3</v>
      </c>
      <c r="AJ577" s="1">
        <v>3</v>
      </c>
      <c r="AK577" s="1">
        <v>2</v>
      </c>
      <c r="AL577" s="1">
        <v>13</v>
      </c>
      <c r="AM577" s="1" t="s">
        <v>6981</v>
      </c>
      <c r="AN577" s="1" t="s">
        <v>6982</v>
      </c>
      <c r="AO577" s="1" t="s">
        <v>6983</v>
      </c>
      <c r="AP577" s="1" t="s">
        <v>10957</v>
      </c>
      <c r="AQ577" s="1" t="s">
        <v>1507</v>
      </c>
      <c r="AR577" s="1" t="s">
        <v>1507</v>
      </c>
      <c r="AS577" s="1" t="s">
        <v>10958</v>
      </c>
      <c r="AT577" s="1" t="s">
        <v>10959</v>
      </c>
      <c r="AU577" s="1" t="s">
        <v>10960</v>
      </c>
      <c r="AV577" s="1">
        <v>2019</v>
      </c>
      <c r="AW577" s="1">
        <v>4</v>
      </c>
      <c r="AX577" s="1">
        <v>6</v>
      </c>
      <c r="AY577" s="1" t="s">
        <v>1507</v>
      </c>
      <c r="AZ577" s="1" t="s">
        <v>1507</v>
      </c>
      <c r="BA577" s="1" t="s">
        <v>1507</v>
      </c>
      <c r="BB577" s="1" t="s">
        <v>1507</v>
      </c>
      <c r="BC577" s="1" t="s">
        <v>1507</v>
      </c>
      <c r="BD577" s="1" t="s">
        <v>1507</v>
      </c>
      <c r="BE577" s="1">
        <v>63101</v>
      </c>
      <c r="BF577" s="1" t="s">
        <v>10961</v>
      </c>
      <c r="BG577" s="1" t="str">
        <f>HYPERLINK("http://dx.doi.org/10.1103/PhysRevFluids.4.063101","http://dx.doi.org/10.1103/PhysRevFluids.4.063101")</f>
        <v>http://dx.doi.org/10.1103/PhysRevFluids.4.063101</v>
      </c>
      <c r="BH577" s="1" t="s">
        <v>1507</v>
      </c>
      <c r="BI577" s="1" t="s">
        <v>1507</v>
      </c>
      <c r="BJ577" s="1">
        <v>21</v>
      </c>
      <c r="BK577" s="1" t="s">
        <v>6777</v>
      </c>
      <c r="BL577" s="1" t="s">
        <v>1573</v>
      </c>
      <c r="BM577" s="1" t="s">
        <v>2104</v>
      </c>
      <c r="BN577" s="1" t="s">
        <v>10962</v>
      </c>
      <c r="BO577" s="1" t="s">
        <v>1507</v>
      </c>
      <c r="BP577" s="1" t="s">
        <v>1507</v>
      </c>
      <c r="BQ577" s="1" t="s">
        <v>1507</v>
      </c>
      <c r="BR577" s="1" t="s">
        <v>1507</v>
      </c>
      <c r="BS577" s="1" t="s">
        <v>13744</v>
      </c>
      <c r="BT577" s="1" t="s">
        <v>10963</v>
      </c>
      <c r="BU577" s="1" t="str">
        <f>HYPERLINK("https%3A%2F%2Fwww.webofscience.com%2Fwos%2Fwoscc%2Ffull-record%2FWOS:000470896800001","View Full Record in Web of Science")</f>
        <v>View Full Record in Web of Science</v>
      </c>
    </row>
    <row r="578" spans="1:73" x14ac:dyDescent="0.25">
      <c r="A578" s="1">
        <v>577</v>
      </c>
      <c r="B578" s="1" t="s">
        <v>1506</v>
      </c>
      <c r="C578" s="1" t="s">
        <v>10945</v>
      </c>
      <c r="D578" s="1" t="s">
        <v>1507</v>
      </c>
      <c r="E578" s="1" t="s">
        <v>1507</v>
      </c>
      <c r="F578" s="1" t="s">
        <v>1507</v>
      </c>
      <c r="G578" s="1" t="s">
        <v>10946</v>
      </c>
      <c r="H578" s="1" t="s">
        <v>1507</v>
      </c>
      <c r="I578" s="1" t="s">
        <v>1507</v>
      </c>
      <c r="J578" s="1" t="s">
        <v>11840</v>
      </c>
      <c r="K578" s="1" t="s">
        <v>10948</v>
      </c>
      <c r="L578" s="1" t="s">
        <v>1507</v>
      </c>
      <c r="M578" s="1" t="s">
        <v>1507</v>
      </c>
      <c r="N578" s="1" t="s">
        <v>42</v>
      </c>
      <c r="O578" s="1" t="s">
        <v>56</v>
      </c>
      <c r="P578" s="1" t="s">
        <v>1507</v>
      </c>
      <c r="Q578" s="1" t="s">
        <v>1507</v>
      </c>
      <c r="R578" s="1" t="s">
        <v>1507</v>
      </c>
      <c r="S578" s="1" t="s">
        <v>1507</v>
      </c>
      <c r="T578" s="1" t="s">
        <v>1507</v>
      </c>
      <c r="U578" s="1" t="s">
        <v>1507</v>
      </c>
      <c r="V578" s="1" t="s">
        <v>11841</v>
      </c>
      <c r="W578" s="1" t="s">
        <v>11842</v>
      </c>
      <c r="X578" s="1" t="s">
        <v>11843</v>
      </c>
      <c r="Y578" s="1" t="s">
        <v>11844</v>
      </c>
      <c r="Z578" s="1" t="s">
        <v>11845</v>
      </c>
      <c r="AA578" s="1" t="s">
        <v>11846</v>
      </c>
      <c r="AB578" s="1" t="s">
        <v>1507</v>
      </c>
      <c r="AC578" s="1" t="s">
        <v>1507</v>
      </c>
      <c r="AD578" s="1" t="s">
        <v>11844</v>
      </c>
      <c r="AE578" s="1" t="s">
        <v>11844</v>
      </c>
      <c r="AF578" s="1" t="s">
        <v>11847</v>
      </c>
      <c r="AG578" s="1" t="s">
        <v>1507</v>
      </c>
      <c r="AH578" s="1">
        <v>51</v>
      </c>
      <c r="AI578" s="1">
        <v>1</v>
      </c>
      <c r="AJ578" s="1">
        <v>3</v>
      </c>
      <c r="AK578" s="1">
        <v>1</v>
      </c>
      <c r="AL578" s="1">
        <v>23</v>
      </c>
      <c r="AM578" s="1" t="s">
        <v>6981</v>
      </c>
      <c r="AN578" s="1" t="s">
        <v>6982</v>
      </c>
      <c r="AO578" s="1" t="s">
        <v>6983</v>
      </c>
      <c r="AP578" s="1" t="s">
        <v>10957</v>
      </c>
      <c r="AQ578" s="1" t="s">
        <v>1507</v>
      </c>
      <c r="AR578" s="1" t="s">
        <v>1507</v>
      </c>
      <c r="AS578" s="1" t="s">
        <v>10958</v>
      </c>
      <c r="AT578" s="1" t="s">
        <v>10959</v>
      </c>
      <c r="AU578" s="1" t="s">
        <v>11848</v>
      </c>
      <c r="AV578" s="1">
        <v>2018</v>
      </c>
      <c r="AW578" s="1">
        <v>3</v>
      </c>
      <c r="AX578" s="1">
        <v>3</v>
      </c>
      <c r="AY578" s="1" t="s">
        <v>1507</v>
      </c>
      <c r="AZ578" s="1" t="s">
        <v>1507</v>
      </c>
      <c r="BA578" s="1" t="s">
        <v>1507</v>
      </c>
      <c r="BB578" s="1" t="s">
        <v>1507</v>
      </c>
      <c r="BC578" s="1" t="s">
        <v>1507</v>
      </c>
      <c r="BD578" s="1" t="s">
        <v>1507</v>
      </c>
      <c r="BE578" s="1">
        <v>31101</v>
      </c>
      <c r="BF578" s="1" t="s">
        <v>11849</v>
      </c>
      <c r="BG578" s="1" t="str">
        <f>HYPERLINK("http://dx.doi.org/10.1103/PhysRevFluids.3.031101","http://dx.doi.org/10.1103/PhysRevFluids.3.031101")</f>
        <v>http://dx.doi.org/10.1103/PhysRevFluids.3.031101</v>
      </c>
      <c r="BH578" s="1" t="s">
        <v>1507</v>
      </c>
      <c r="BI578" s="1" t="s">
        <v>1507</v>
      </c>
      <c r="BJ578" s="1">
        <v>11</v>
      </c>
      <c r="BK578" s="1" t="s">
        <v>6777</v>
      </c>
      <c r="BL578" s="1" t="s">
        <v>1573</v>
      </c>
      <c r="BM578" s="1" t="s">
        <v>2104</v>
      </c>
      <c r="BN578" s="1" t="s">
        <v>11850</v>
      </c>
      <c r="BO578" s="1" t="s">
        <v>1507</v>
      </c>
      <c r="BP578" s="1" t="s">
        <v>1507</v>
      </c>
      <c r="BQ578" s="1" t="s">
        <v>1507</v>
      </c>
      <c r="BR578" s="1" t="s">
        <v>1507</v>
      </c>
      <c r="BS578" s="1" t="s">
        <v>13744</v>
      </c>
      <c r="BT578" s="1" t="s">
        <v>11851</v>
      </c>
      <c r="BU578" s="1" t="str">
        <f>HYPERLINK("https%3A%2F%2Fwww.webofscience.com%2Fwos%2Fwoscc%2Ffull-record%2FWOS:000426464800001","View Full Record in Web of Science")</f>
        <v>View Full Record in Web of Science</v>
      </c>
    </row>
    <row r="579" spans="1:73" x14ac:dyDescent="0.25">
      <c r="A579" s="1">
        <v>578</v>
      </c>
      <c r="B579" s="1" t="s">
        <v>1506</v>
      </c>
      <c r="C579" s="1" t="s">
        <v>9578</v>
      </c>
      <c r="D579" s="1" t="s">
        <v>1507</v>
      </c>
      <c r="E579" s="1" t="s">
        <v>1507</v>
      </c>
      <c r="F579" s="1" t="s">
        <v>1507</v>
      </c>
      <c r="G579" s="1" t="s">
        <v>9579</v>
      </c>
      <c r="H579" s="1" t="s">
        <v>1507</v>
      </c>
      <c r="I579" s="1" t="s">
        <v>1507</v>
      </c>
      <c r="J579" s="1" t="s">
        <v>9580</v>
      </c>
      <c r="K579" s="1" t="s">
        <v>9581</v>
      </c>
      <c r="L579" s="1" t="s">
        <v>1507</v>
      </c>
      <c r="M579" s="1" t="s">
        <v>1507</v>
      </c>
      <c r="N579" s="1" t="s">
        <v>42</v>
      </c>
      <c r="O579" s="1" t="s">
        <v>56</v>
      </c>
      <c r="P579" s="1" t="s">
        <v>1507</v>
      </c>
      <c r="Q579" s="1" t="s">
        <v>1507</v>
      </c>
      <c r="R579" s="1" t="s">
        <v>1507</v>
      </c>
      <c r="S579" s="1" t="s">
        <v>1507</v>
      </c>
      <c r="T579" s="1" t="s">
        <v>1507</v>
      </c>
      <c r="U579" s="1" t="s">
        <v>9582</v>
      </c>
      <c r="V579" s="1" t="s">
        <v>9583</v>
      </c>
      <c r="W579" s="1" t="s">
        <v>9584</v>
      </c>
      <c r="X579" s="1" t="s">
        <v>9585</v>
      </c>
      <c r="Y579" s="1" t="s">
        <v>15796</v>
      </c>
      <c r="Z579" s="1" t="s">
        <v>9586</v>
      </c>
      <c r="AA579" s="1" t="s">
        <v>9587</v>
      </c>
      <c r="AB579" s="1" t="s">
        <v>1507</v>
      </c>
      <c r="AC579" s="1" t="s">
        <v>9131</v>
      </c>
      <c r="AD579" s="1" t="s">
        <v>9588</v>
      </c>
      <c r="AE579" s="1" t="s">
        <v>9589</v>
      </c>
      <c r="AF579" s="1" t="s">
        <v>9590</v>
      </c>
      <c r="AG579" s="1" t="s">
        <v>1507</v>
      </c>
      <c r="AH579" s="1">
        <v>87</v>
      </c>
      <c r="AI579" s="1">
        <v>25</v>
      </c>
      <c r="AJ579" s="1">
        <v>29</v>
      </c>
      <c r="AK579" s="1">
        <v>11</v>
      </c>
      <c r="AL579" s="1">
        <v>78</v>
      </c>
      <c r="AM579" s="1" t="s">
        <v>1564</v>
      </c>
      <c r="AN579" s="1" t="s">
        <v>1565</v>
      </c>
      <c r="AO579" s="1" t="s">
        <v>1566</v>
      </c>
      <c r="AP579" s="1" t="s">
        <v>9591</v>
      </c>
      <c r="AQ579" s="1" t="s">
        <v>1507</v>
      </c>
      <c r="AR579" s="1" t="s">
        <v>1507</v>
      </c>
      <c r="AS579" s="1" t="s">
        <v>9592</v>
      </c>
      <c r="AT579" s="1" t="s">
        <v>9593</v>
      </c>
      <c r="AU579" s="1" t="s">
        <v>9594</v>
      </c>
      <c r="AV579" s="1">
        <v>2020</v>
      </c>
      <c r="AW579" s="1">
        <v>11</v>
      </c>
      <c r="AX579" s="1" t="s">
        <v>1507</v>
      </c>
      <c r="AY579" s="1" t="s">
        <v>1507</v>
      </c>
      <c r="AZ579" s="1" t="s">
        <v>1507</v>
      </c>
      <c r="BA579" s="1" t="s">
        <v>1507</v>
      </c>
      <c r="BB579" s="1" t="s">
        <v>1507</v>
      </c>
      <c r="BC579" s="1" t="s">
        <v>1507</v>
      </c>
      <c r="BD579" s="1" t="s">
        <v>1507</v>
      </c>
      <c r="BE579" s="1">
        <v>2230</v>
      </c>
      <c r="BF579" s="1" t="s">
        <v>9595</v>
      </c>
      <c r="BG579" s="1" t="str">
        <f>HYPERLINK("http://dx.doi.org/10.3389/fpsyg.2020.02230","http://dx.doi.org/10.3389/fpsyg.2020.02230")</f>
        <v>http://dx.doi.org/10.3389/fpsyg.2020.02230</v>
      </c>
      <c r="BH579" s="1" t="s">
        <v>1507</v>
      </c>
      <c r="BI579" s="1" t="s">
        <v>1507</v>
      </c>
      <c r="BJ579" s="1">
        <v>13</v>
      </c>
      <c r="BK579" s="1" t="s">
        <v>1517</v>
      </c>
      <c r="BL579" s="1" t="s">
        <v>1518</v>
      </c>
      <c r="BM579" s="1" t="s">
        <v>1519</v>
      </c>
      <c r="BN579" s="1" t="s">
        <v>9596</v>
      </c>
      <c r="BO579" s="1">
        <v>33013581</v>
      </c>
      <c r="BP579" s="1" t="s">
        <v>1952</v>
      </c>
      <c r="BQ579" s="1" t="s">
        <v>1507</v>
      </c>
      <c r="BR579" s="1" t="s">
        <v>1507</v>
      </c>
      <c r="BS579" s="1" t="s">
        <v>13744</v>
      </c>
      <c r="BT579" s="1" t="s">
        <v>9597</v>
      </c>
      <c r="BU579" s="1" t="str">
        <f>HYPERLINK("https%3A%2F%2Fwww.webofscience.com%2Fwos%2Fwoscc%2Ffull-record%2FWOS:000574390300001","View Full Record in Web of Science")</f>
        <v>View Full Record in Web of Science</v>
      </c>
    </row>
    <row r="580" spans="1:73" x14ac:dyDescent="0.25">
      <c r="A580" s="1">
        <v>579</v>
      </c>
      <c r="B580" s="1" t="s">
        <v>1506</v>
      </c>
      <c r="C580" s="1" t="s">
        <v>8604</v>
      </c>
      <c r="D580" s="1" t="s">
        <v>1507</v>
      </c>
      <c r="E580" s="1" t="s">
        <v>1507</v>
      </c>
      <c r="F580" s="1" t="s">
        <v>1507</v>
      </c>
      <c r="G580" s="1" t="s">
        <v>8605</v>
      </c>
      <c r="H580" s="1" t="s">
        <v>1507</v>
      </c>
      <c r="I580" s="1" t="s">
        <v>1507</v>
      </c>
      <c r="J580" s="1" t="s">
        <v>8606</v>
      </c>
      <c r="K580" s="1" t="s">
        <v>1508</v>
      </c>
      <c r="L580" s="1" t="s">
        <v>1507</v>
      </c>
      <c r="M580" s="1" t="s">
        <v>1507</v>
      </c>
      <c r="N580" s="1" t="s">
        <v>42</v>
      </c>
      <c r="O580" s="1" t="s">
        <v>56</v>
      </c>
      <c r="P580" s="1" t="s">
        <v>1507</v>
      </c>
      <c r="Q580" s="1" t="s">
        <v>1507</v>
      </c>
      <c r="R580" s="1" t="s">
        <v>1507</v>
      </c>
      <c r="S580" s="1" t="s">
        <v>1507</v>
      </c>
      <c r="T580" s="1" t="s">
        <v>1507</v>
      </c>
      <c r="U580" s="1" t="s">
        <v>8607</v>
      </c>
      <c r="V580" s="1" t="s">
        <v>8608</v>
      </c>
      <c r="W580" s="1" t="s">
        <v>8609</v>
      </c>
      <c r="X580" s="1" t="s">
        <v>8610</v>
      </c>
      <c r="Y580" s="1" t="s">
        <v>15741</v>
      </c>
      <c r="Z580" s="1" t="s">
        <v>8611</v>
      </c>
      <c r="AA580" s="1" t="s">
        <v>8612</v>
      </c>
      <c r="AB580" s="1" t="s">
        <v>1507</v>
      </c>
      <c r="AC580" s="1" t="s">
        <v>8613</v>
      </c>
      <c r="AD580" s="1" t="s">
        <v>8614</v>
      </c>
      <c r="AE580" s="1" t="s">
        <v>8615</v>
      </c>
      <c r="AF580" s="1" t="s">
        <v>8616</v>
      </c>
      <c r="AG580" s="1" t="s">
        <v>1507</v>
      </c>
      <c r="AH580" s="1">
        <v>73</v>
      </c>
      <c r="AI580" s="1">
        <v>6</v>
      </c>
      <c r="AJ580" s="1">
        <v>6</v>
      </c>
      <c r="AK580" s="1">
        <v>3</v>
      </c>
      <c r="AL580" s="1">
        <v>44</v>
      </c>
      <c r="AM580" s="1" t="s">
        <v>1511</v>
      </c>
      <c r="AN580" s="1" t="s">
        <v>1512</v>
      </c>
      <c r="AO580" s="1" t="s">
        <v>1513</v>
      </c>
      <c r="AP580" s="1" t="s">
        <v>1514</v>
      </c>
      <c r="AQ580" s="1" t="s">
        <v>1515</v>
      </c>
      <c r="AR580" s="1" t="s">
        <v>1507</v>
      </c>
      <c r="AS580" s="1" t="s">
        <v>1516</v>
      </c>
      <c r="AT580" s="1" t="s">
        <v>393</v>
      </c>
      <c r="AU580" s="1" t="s">
        <v>9054</v>
      </c>
      <c r="AV580" s="1">
        <v>2023</v>
      </c>
      <c r="AW580" s="1">
        <v>42</v>
      </c>
      <c r="AX580" s="1">
        <v>6</v>
      </c>
      <c r="AY580" s="1" t="s">
        <v>1507</v>
      </c>
      <c r="AZ580" s="1" t="s">
        <v>1507</v>
      </c>
      <c r="BA580" s="1" t="s">
        <v>1507</v>
      </c>
      <c r="BB580" s="1" t="s">
        <v>1507</v>
      </c>
      <c r="BC580" s="1">
        <v>4885</v>
      </c>
      <c r="BD580" s="1">
        <v>4899</v>
      </c>
      <c r="BE580" s="1" t="s">
        <v>1507</v>
      </c>
      <c r="BF580" s="1" t="s">
        <v>8617</v>
      </c>
      <c r="BG580" s="1" t="str">
        <f>HYPERLINK("http://dx.doi.org/10.1007/s12144-021-01836-y","http://dx.doi.org/10.1007/s12144-021-01836-y")</f>
        <v>http://dx.doi.org/10.1007/s12144-021-01836-y</v>
      </c>
      <c r="BH580" s="1" t="s">
        <v>1507</v>
      </c>
      <c r="BI580" s="1" t="s">
        <v>8618</v>
      </c>
      <c r="BJ580" s="1">
        <v>15</v>
      </c>
      <c r="BK580" s="1" t="s">
        <v>1517</v>
      </c>
      <c r="BL580" s="1" t="s">
        <v>1518</v>
      </c>
      <c r="BM580" s="1" t="s">
        <v>1519</v>
      </c>
      <c r="BN580" s="1" t="s">
        <v>8619</v>
      </c>
      <c r="BO580" s="1" t="s">
        <v>1507</v>
      </c>
      <c r="BP580" s="1" t="s">
        <v>1507</v>
      </c>
      <c r="BQ580" s="1" t="s">
        <v>1507</v>
      </c>
      <c r="BR580" s="1" t="s">
        <v>1507</v>
      </c>
      <c r="BS580" s="1" t="s">
        <v>13744</v>
      </c>
      <c r="BT580" s="1" t="s">
        <v>8620</v>
      </c>
      <c r="BU580" s="1" t="str">
        <f>HYPERLINK("https%3A%2F%2Fwww.webofscience.com%2Fwos%2Fwoscc%2Ffull-record%2FWOS:000650108700002","View Full Record in Web of Science")</f>
        <v>View Full Record in Web of Science</v>
      </c>
    </row>
    <row r="581" spans="1:73" x14ac:dyDescent="0.25">
      <c r="A581" s="1">
        <v>580</v>
      </c>
      <c r="B581" s="1" t="s">
        <v>1506</v>
      </c>
      <c r="C581" s="1" t="s">
        <v>9122</v>
      </c>
      <c r="D581" s="1" t="s">
        <v>1507</v>
      </c>
      <c r="E581" s="1" t="s">
        <v>1507</v>
      </c>
      <c r="F581" s="1" t="s">
        <v>1507</v>
      </c>
      <c r="G581" s="1" t="s">
        <v>9123</v>
      </c>
      <c r="H581" s="1" t="s">
        <v>1507</v>
      </c>
      <c r="I581" s="1" t="s">
        <v>1507</v>
      </c>
      <c r="J581" s="1" t="s">
        <v>9124</v>
      </c>
      <c r="K581" s="1" t="s">
        <v>1508</v>
      </c>
      <c r="L581" s="1" t="s">
        <v>1507</v>
      </c>
      <c r="M581" s="1" t="s">
        <v>1507</v>
      </c>
      <c r="N581" s="1" t="s">
        <v>42</v>
      </c>
      <c r="O581" s="1" t="s">
        <v>56</v>
      </c>
      <c r="P581" s="1" t="s">
        <v>1507</v>
      </c>
      <c r="Q581" s="1" t="s">
        <v>1507</v>
      </c>
      <c r="R581" s="1" t="s">
        <v>1507</v>
      </c>
      <c r="S581" s="1" t="s">
        <v>1507</v>
      </c>
      <c r="T581" s="1" t="s">
        <v>1507</v>
      </c>
      <c r="U581" s="1" t="s">
        <v>9125</v>
      </c>
      <c r="V581" s="1" t="s">
        <v>9126</v>
      </c>
      <c r="W581" s="1" t="s">
        <v>9127</v>
      </c>
      <c r="X581" s="1" t="s">
        <v>9128</v>
      </c>
      <c r="Y581" s="1" t="s">
        <v>15762</v>
      </c>
      <c r="Z581" s="1" t="s">
        <v>9129</v>
      </c>
      <c r="AA581" s="1" t="s">
        <v>9130</v>
      </c>
      <c r="AB581" s="1" t="s">
        <v>1507</v>
      </c>
      <c r="AC581" s="1" t="s">
        <v>9131</v>
      </c>
      <c r="AD581" s="1" t="s">
        <v>9132</v>
      </c>
      <c r="AE581" s="1" t="s">
        <v>9133</v>
      </c>
      <c r="AF581" s="1" t="s">
        <v>9134</v>
      </c>
      <c r="AG581" s="1" t="s">
        <v>1507</v>
      </c>
      <c r="AH581" s="1">
        <v>58</v>
      </c>
      <c r="AI581" s="1">
        <v>9</v>
      </c>
      <c r="AJ581" s="1">
        <v>10</v>
      </c>
      <c r="AK581" s="1">
        <v>4</v>
      </c>
      <c r="AL581" s="1">
        <v>61</v>
      </c>
      <c r="AM581" s="1" t="s">
        <v>1511</v>
      </c>
      <c r="AN581" s="1" t="s">
        <v>1512</v>
      </c>
      <c r="AO581" s="1" t="s">
        <v>1513</v>
      </c>
      <c r="AP581" s="1" t="s">
        <v>1514</v>
      </c>
      <c r="AQ581" s="1" t="s">
        <v>1515</v>
      </c>
      <c r="AR581" s="1" t="s">
        <v>1507</v>
      </c>
      <c r="AS581" s="1" t="s">
        <v>1516</v>
      </c>
      <c r="AT581" s="1" t="s">
        <v>393</v>
      </c>
      <c r="AU581" s="1" t="s">
        <v>2771</v>
      </c>
      <c r="AV581" s="1">
        <v>2022</v>
      </c>
      <c r="AW581" s="1">
        <v>41</v>
      </c>
      <c r="AX581" s="1">
        <v>11</v>
      </c>
      <c r="AY581" s="1" t="s">
        <v>1507</v>
      </c>
      <c r="AZ581" s="1" t="s">
        <v>1507</v>
      </c>
      <c r="BA581" s="1" t="s">
        <v>1507</v>
      </c>
      <c r="BB581" s="1" t="s">
        <v>1507</v>
      </c>
      <c r="BC581" s="1">
        <v>7854</v>
      </c>
      <c r="BD581" s="1">
        <v>7866</v>
      </c>
      <c r="BE581" s="1" t="s">
        <v>1507</v>
      </c>
      <c r="BF581" s="1" t="s">
        <v>9135</v>
      </c>
      <c r="BG581" s="1" t="str">
        <f>HYPERLINK("http://dx.doi.org/10.1007/s12144-020-01230-0","http://dx.doi.org/10.1007/s12144-020-01230-0")</f>
        <v>http://dx.doi.org/10.1007/s12144-020-01230-0</v>
      </c>
      <c r="BH581" s="1" t="s">
        <v>1507</v>
      </c>
      <c r="BI581" s="1" t="s">
        <v>9118</v>
      </c>
      <c r="BJ581" s="1">
        <v>13</v>
      </c>
      <c r="BK581" s="1" t="s">
        <v>1517</v>
      </c>
      <c r="BL581" s="1" t="s">
        <v>1518</v>
      </c>
      <c r="BM581" s="1" t="s">
        <v>1519</v>
      </c>
      <c r="BN581" s="1" t="s">
        <v>9136</v>
      </c>
      <c r="BO581" s="1" t="s">
        <v>1507</v>
      </c>
      <c r="BP581" s="1" t="s">
        <v>1507</v>
      </c>
      <c r="BQ581" s="1" t="s">
        <v>1507</v>
      </c>
      <c r="BR581" s="1" t="s">
        <v>1507</v>
      </c>
      <c r="BS581" s="1" t="s">
        <v>13744</v>
      </c>
      <c r="BT581" s="1" t="s">
        <v>9137</v>
      </c>
      <c r="BU581" s="1" t="str">
        <f>HYPERLINK("https%3A%2F%2Fwww.webofscience.com%2Fwos%2Fwoscc%2Ffull-record%2FWOS:000605556200002","View Full Record in Web of Science")</f>
        <v>View Full Record in Web of Science</v>
      </c>
    </row>
    <row r="582" spans="1:73" x14ac:dyDescent="0.25">
      <c r="A582" s="1">
        <v>581</v>
      </c>
      <c r="B582" s="1" t="s">
        <v>1506</v>
      </c>
      <c r="C582" s="1" t="s">
        <v>10591</v>
      </c>
      <c r="D582" s="1" t="s">
        <v>1507</v>
      </c>
      <c r="E582" s="1" t="s">
        <v>1507</v>
      </c>
      <c r="F582" s="1" t="s">
        <v>1507</v>
      </c>
      <c r="G582" s="1" t="s">
        <v>10592</v>
      </c>
      <c r="H582" s="1" t="s">
        <v>1507</v>
      </c>
      <c r="I582" s="1" t="s">
        <v>1507</v>
      </c>
      <c r="J582" s="1" t="s">
        <v>10593</v>
      </c>
      <c r="K582" s="1" t="s">
        <v>8410</v>
      </c>
      <c r="L582" s="1" t="s">
        <v>1507</v>
      </c>
      <c r="M582" s="1" t="s">
        <v>1507</v>
      </c>
      <c r="N582" s="1" t="s">
        <v>42</v>
      </c>
      <c r="O582" s="1" t="s">
        <v>56</v>
      </c>
      <c r="P582" s="1" t="s">
        <v>1507</v>
      </c>
      <c r="Q582" s="1" t="s">
        <v>1507</v>
      </c>
      <c r="R582" s="1" t="s">
        <v>1507</v>
      </c>
      <c r="S582" s="1" t="s">
        <v>1507</v>
      </c>
      <c r="T582" s="1" t="s">
        <v>1507</v>
      </c>
      <c r="U582" s="1" t="s">
        <v>1507</v>
      </c>
      <c r="V582" s="1" t="s">
        <v>10594</v>
      </c>
      <c r="W582" s="1" t="s">
        <v>10595</v>
      </c>
      <c r="X582" s="1" t="s">
        <v>10596</v>
      </c>
      <c r="Y582" s="1" t="s">
        <v>10597</v>
      </c>
      <c r="Z582" s="1" t="s">
        <v>10598</v>
      </c>
      <c r="AA582" s="1" t="s">
        <v>10599</v>
      </c>
      <c r="AB582" s="1" t="s">
        <v>10600</v>
      </c>
      <c r="AC582" s="1" t="s">
        <v>15870</v>
      </c>
      <c r="AD582" s="1" t="s">
        <v>10601</v>
      </c>
      <c r="AE582" s="1" t="s">
        <v>10602</v>
      </c>
      <c r="AF582" s="1" t="s">
        <v>10603</v>
      </c>
      <c r="AG582" s="1" t="s">
        <v>1507</v>
      </c>
      <c r="AH582" s="1">
        <v>51</v>
      </c>
      <c r="AI582" s="1">
        <v>10</v>
      </c>
      <c r="AJ582" s="1">
        <v>14</v>
      </c>
      <c r="AK582" s="1">
        <v>0</v>
      </c>
      <c r="AL582" s="1">
        <v>6</v>
      </c>
      <c r="AM582" s="1" t="s">
        <v>7524</v>
      </c>
      <c r="AN582" s="1" t="s">
        <v>7525</v>
      </c>
      <c r="AO582" s="1" t="s">
        <v>7526</v>
      </c>
      <c r="AP582" s="1" t="s">
        <v>1507</v>
      </c>
      <c r="AQ582" s="1" t="s">
        <v>8423</v>
      </c>
      <c r="AR582" s="1" t="s">
        <v>1507</v>
      </c>
      <c r="AS582" s="1" t="s">
        <v>8424</v>
      </c>
      <c r="AT582" s="1" t="s">
        <v>8425</v>
      </c>
      <c r="AU582" s="1" t="s">
        <v>2771</v>
      </c>
      <c r="AV582" s="1">
        <v>2019</v>
      </c>
      <c r="AW582" s="1">
        <v>6</v>
      </c>
      <c r="AX582" s="1">
        <v>6</v>
      </c>
      <c r="AY582" s="1" t="s">
        <v>1507</v>
      </c>
      <c r="AZ582" s="1" t="s">
        <v>1507</v>
      </c>
      <c r="BA582" s="1" t="s">
        <v>1507</v>
      </c>
      <c r="BB582" s="1" t="s">
        <v>1507</v>
      </c>
      <c r="BC582" s="1" t="s">
        <v>1507</v>
      </c>
      <c r="BD582" s="1" t="s">
        <v>1507</v>
      </c>
      <c r="BE582" s="1">
        <v>64704</v>
      </c>
      <c r="BF582" s="1" t="s">
        <v>10604</v>
      </c>
      <c r="BG582" s="1" t="str">
        <f>HYPERLINK("http://dx.doi.org/10.1063/1.5132692","http://dx.doi.org/10.1063/1.5132692")</f>
        <v>http://dx.doi.org/10.1063/1.5132692</v>
      </c>
      <c r="BH582" s="1" t="s">
        <v>1507</v>
      </c>
      <c r="BI582" s="1" t="s">
        <v>1507</v>
      </c>
      <c r="BJ582" s="1">
        <v>11</v>
      </c>
      <c r="BK582" s="1" t="s">
        <v>7093</v>
      </c>
      <c r="BL582" s="1" t="s">
        <v>1573</v>
      </c>
      <c r="BM582" s="1" t="s">
        <v>7094</v>
      </c>
      <c r="BN582" s="1" t="s">
        <v>10605</v>
      </c>
      <c r="BO582" s="1">
        <v>31867408</v>
      </c>
      <c r="BP582" s="1" t="s">
        <v>3433</v>
      </c>
      <c r="BQ582" s="1" t="s">
        <v>1507</v>
      </c>
      <c r="BR582" s="1" t="s">
        <v>1507</v>
      </c>
      <c r="BS582" s="1" t="s">
        <v>13744</v>
      </c>
      <c r="BT582" s="1" t="s">
        <v>10607</v>
      </c>
      <c r="BU582" s="1" t="str">
        <f>HYPERLINK("https%3A%2F%2Fwww.webofscience.com%2Fwos%2Fwoscc%2Ffull-record%2FWOS:000505574600012","View Full Record in Web of Science")</f>
        <v>View Full Record in Web of Science</v>
      </c>
    </row>
    <row r="583" spans="1:73" x14ac:dyDescent="0.25">
      <c r="A583" s="1">
        <v>582</v>
      </c>
      <c r="B583" s="1" t="s">
        <v>1506</v>
      </c>
      <c r="C583" s="1" t="s">
        <v>14226</v>
      </c>
      <c r="D583" s="1" t="s">
        <v>1507</v>
      </c>
      <c r="E583" s="1" t="s">
        <v>1507</v>
      </c>
      <c r="F583" s="1" t="s">
        <v>1507</v>
      </c>
      <c r="G583" s="1" t="s">
        <v>14227</v>
      </c>
      <c r="H583" s="1" t="s">
        <v>1507</v>
      </c>
      <c r="I583" s="1" t="s">
        <v>1507</v>
      </c>
      <c r="J583" s="1" t="s">
        <v>14228</v>
      </c>
      <c r="K583" s="1" t="s">
        <v>1760</v>
      </c>
      <c r="L583" s="1" t="s">
        <v>1507</v>
      </c>
      <c r="M583" s="1" t="s">
        <v>1507</v>
      </c>
      <c r="N583" s="1" t="s">
        <v>42</v>
      </c>
      <c r="O583" s="1" t="s">
        <v>56</v>
      </c>
      <c r="P583" s="1" t="s">
        <v>1507</v>
      </c>
      <c r="Q583" s="1" t="s">
        <v>1507</v>
      </c>
      <c r="R583" s="1" t="s">
        <v>1507</v>
      </c>
      <c r="S583" s="1" t="s">
        <v>1507</v>
      </c>
      <c r="T583" s="1" t="s">
        <v>1507</v>
      </c>
      <c r="U583" s="1" t="s">
        <v>1507</v>
      </c>
      <c r="V583" s="1" t="s">
        <v>14229</v>
      </c>
      <c r="W583" s="1" t="s">
        <v>14230</v>
      </c>
      <c r="X583" s="1" t="s">
        <v>14231</v>
      </c>
      <c r="Y583" s="1" t="s">
        <v>14232</v>
      </c>
      <c r="Z583" s="1" t="s">
        <v>14233</v>
      </c>
      <c r="AA583" s="1" t="s">
        <v>14234</v>
      </c>
      <c r="AB583" s="1" t="s">
        <v>14235</v>
      </c>
      <c r="AC583" s="1" t="s">
        <v>14236</v>
      </c>
      <c r="AD583" s="1" t="s">
        <v>14237</v>
      </c>
      <c r="AE583" s="1" t="s">
        <v>14238</v>
      </c>
      <c r="AF583" s="1" t="s">
        <v>14239</v>
      </c>
      <c r="AG583" s="1" t="s">
        <v>1507</v>
      </c>
      <c r="AH583" s="1">
        <v>65</v>
      </c>
      <c r="AI583" s="1">
        <v>13</v>
      </c>
      <c r="AJ583" s="1">
        <v>13</v>
      </c>
      <c r="AK583" s="1">
        <v>16</v>
      </c>
      <c r="AL583" s="1">
        <v>16</v>
      </c>
      <c r="AM583" s="1" t="s">
        <v>1591</v>
      </c>
      <c r="AN583" s="1" t="s">
        <v>1592</v>
      </c>
      <c r="AO583" s="1" t="s">
        <v>1593</v>
      </c>
      <c r="AP583" s="1" t="s">
        <v>1770</v>
      </c>
      <c r="AQ583" s="1" t="s">
        <v>1771</v>
      </c>
      <c r="AR583" s="1" t="s">
        <v>1507</v>
      </c>
      <c r="AS583" s="1" t="s">
        <v>1760</v>
      </c>
      <c r="AT583" s="1" t="s">
        <v>1772</v>
      </c>
      <c r="AU583" s="1" t="s">
        <v>12098</v>
      </c>
      <c r="AV583" s="1">
        <v>2023</v>
      </c>
      <c r="AW583" s="1">
        <v>622</v>
      </c>
      <c r="AX583" s="1">
        <v>7984</v>
      </c>
      <c r="AY583" s="1" t="s">
        <v>1507</v>
      </c>
      <c r="AZ583" s="1" t="s">
        <v>1507</v>
      </c>
      <c r="BA583" s="1" t="s">
        <v>1507</v>
      </c>
      <c r="BB583" s="1" t="s">
        <v>1507</v>
      </c>
      <c r="BC583" s="1">
        <v>810</v>
      </c>
      <c r="BD583" s="1" t="s">
        <v>1774</v>
      </c>
      <c r="BE583" s="1" t="s">
        <v>1507</v>
      </c>
      <c r="BF583" s="1" t="s">
        <v>14240</v>
      </c>
      <c r="BG583" s="1" t="str">
        <f>HYPERLINK("http://dx.doi.org/10.1038/s41586-023-06631-2","http://dx.doi.org/10.1038/s41586-023-06631-2")</f>
        <v>http://dx.doi.org/10.1038/s41586-023-06631-2</v>
      </c>
      <c r="BH583" s="1" t="s">
        <v>1507</v>
      </c>
      <c r="BI583" s="1" t="s">
        <v>1507</v>
      </c>
      <c r="BJ583" s="1">
        <v>23</v>
      </c>
      <c r="BK583" s="1" t="s">
        <v>1776</v>
      </c>
      <c r="BL583" s="1" t="s">
        <v>1573</v>
      </c>
      <c r="BM583" s="1" t="s">
        <v>1777</v>
      </c>
      <c r="BN583" s="1" t="s">
        <v>14241</v>
      </c>
      <c r="BO583" s="1">
        <v>37853121</v>
      </c>
      <c r="BP583" s="1" t="s">
        <v>1600</v>
      </c>
      <c r="BQ583" s="1" t="s">
        <v>1507</v>
      </c>
      <c r="BR583" s="1" t="s">
        <v>1507</v>
      </c>
      <c r="BS583" s="1" t="s">
        <v>13744</v>
      </c>
      <c r="BT583" s="1" t="s">
        <v>14242</v>
      </c>
      <c r="BU583" s="1" t="str">
        <f>HYPERLINK("https%3A%2F%2Fwww.webofscience.com%2Fwos%2Fwoscc%2Ffull-record%2FWOS:001169105200017","View Full Record in Web of Science")</f>
        <v>View Full Record in Web of Science</v>
      </c>
    </row>
    <row r="584" spans="1:73" x14ac:dyDescent="0.25">
      <c r="A584" s="1">
        <v>583</v>
      </c>
      <c r="B584" s="1" t="s">
        <v>1506</v>
      </c>
      <c r="C584" s="1" t="s">
        <v>7019</v>
      </c>
      <c r="D584" s="1" t="s">
        <v>1507</v>
      </c>
      <c r="E584" s="1" t="s">
        <v>1507</v>
      </c>
      <c r="F584" s="1" t="s">
        <v>1507</v>
      </c>
      <c r="G584" s="1" t="s">
        <v>7020</v>
      </c>
      <c r="H584" s="1" t="s">
        <v>1507</v>
      </c>
      <c r="I584" s="1" t="s">
        <v>1507</v>
      </c>
      <c r="J584" s="1" t="s">
        <v>7021</v>
      </c>
      <c r="K584" s="1" t="s">
        <v>7022</v>
      </c>
      <c r="L584" s="1" t="s">
        <v>1507</v>
      </c>
      <c r="M584" s="1" t="s">
        <v>1507</v>
      </c>
      <c r="N584" s="1" t="s">
        <v>42</v>
      </c>
      <c r="O584" s="1" t="s">
        <v>56</v>
      </c>
      <c r="P584" s="1" t="s">
        <v>1507</v>
      </c>
      <c r="Q584" s="1" t="s">
        <v>1507</v>
      </c>
      <c r="R584" s="1" t="s">
        <v>1507</v>
      </c>
      <c r="S584" s="1" t="s">
        <v>1507</v>
      </c>
      <c r="T584" s="1" t="s">
        <v>1507</v>
      </c>
      <c r="U584" s="1" t="s">
        <v>7023</v>
      </c>
      <c r="V584" s="1" t="s">
        <v>7024</v>
      </c>
      <c r="W584" s="1" t="s">
        <v>7025</v>
      </c>
      <c r="X584" s="1" t="s">
        <v>7026</v>
      </c>
      <c r="Y584" s="1" t="s">
        <v>15594</v>
      </c>
      <c r="Z584" s="1" t="s">
        <v>7027</v>
      </c>
      <c r="AA584" s="1" t="s">
        <v>7028</v>
      </c>
      <c r="AB584" s="1" t="s">
        <v>15595</v>
      </c>
      <c r="AC584" s="1" t="s">
        <v>15596</v>
      </c>
      <c r="AD584" s="1" t="s">
        <v>7029</v>
      </c>
      <c r="AE584" s="1" t="s">
        <v>7030</v>
      </c>
      <c r="AF584" s="1" t="s">
        <v>7031</v>
      </c>
      <c r="AG584" s="1" t="s">
        <v>1507</v>
      </c>
      <c r="AH584" s="1">
        <v>93</v>
      </c>
      <c r="AI584" s="1">
        <v>11</v>
      </c>
      <c r="AJ584" s="1">
        <v>12</v>
      </c>
      <c r="AK584" s="1">
        <v>46</v>
      </c>
      <c r="AL584" s="1">
        <v>136</v>
      </c>
      <c r="AM584" s="1" t="s">
        <v>1900</v>
      </c>
      <c r="AN584" s="1" t="s">
        <v>1583</v>
      </c>
      <c r="AO584" s="1" t="s">
        <v>1901</v>
      </c>
      <c r="AP584" s="1" t="s">
        <v>7032</v>
      </c>
      <c r="AQ584" s="1" t="s">
        <v>7033</v>
      </c>
      <c r="AR584" s="1" t="s">
        <v>1507</v>
      </c>
      <c r="AS584" s="1" t="s">
        <v>7034</v>
      </c>
      <c r="AT584" s="1" t="s">
        <v>7035</v>
      </c>
      <c r="AU584" s="1" t="s">
        <v>2889</v>
      </c>
      <c r="AV584" s="1">
        <v>2022</v>
      </c>
      <c r="AW584" s="1">
        <v>168</v>
      </c>
      <c r="AX584" s="1" t="s">
        <v>1507</v>
      </c>
      <c r="AY584" s="1" t="s">
        <v>1507</v>
      </c>
      <c r="AZ584" s="1" t="s">
        <v>1507</v>
      </c>
      <c r="BA584" s="1" t="s">
        <v>1507</v>
      </c>
      <c r="BB584" s="1" t="s">
        <v>1507</v>
      </c>
      <c r="BC584" s="1" t="s">
        <v>1507</v>
      </c>
      <c r="BD584" s="1" t="s">
        <v>1507</v>
      </c>
      <c r="BE584" s="1">
        <v>107484</v>
      </c>
      <c r="BF584" s="1" t="s">
        <v>7036</v>
      </c>
      <c r="BG584" s="1" t="str">
        <f>HYPERLINK("http://dx.doi.org/10.1016/j.envint.2022.107484","http://dx.doi.org/10.1016/j.envint.2022.107484")</f>
        <v>http://dx.doi.org/10.1016/j.envint.2022.107484</v>
      </c>
      <c r="BH584" s="1" t="s">
        <v>1507</v>
      </c>
      <c r="BI584" s="1" t="s">
        <v>7037</v>
      </c>
      <c r="BJ584" s="1">
        <v>11</v>
      </c>
      <c r="BK584" s="1" t="s">
        <v>7038</v>
      </c>
      <c r="BL584" s="1" t="s">
        <v>1573</v>
      </c>
      <c r="BM584" s="1" t="s">
        <v>1839</v>
      </c>
      <c r="BN584" s="1" t="s">
        <v>7039</v>
      </c>
      <c r="BO584" s="1">
        <v>36049376</v>
      </c>
      <c r="BP584" s="1" t="s">
        <v>1531</v>
      </c>
      <c r="BQ584" s="1" t="s">
        <v>1507</v>
      </c>
      <c r="BR584" s="1" t="s">
        <v>1507</v>
      </c>
      <c r="BS584" s="1" t="s">
        <v>13744</v>
      </c>
      <c r="BT584" s="1" t="s">
        <v>7040</v>
      </c>
      <c r="BU584" s="1" t="str">
        <f>HYPERLINK("https%3A%2F%2Fwww.webofscience.com%2Fwos%2Fwoscc%2Ffull-record%2FWOS:000855696200004","View Full Record in Web of Science")</f>
        <v>View Full Record in Web of Science</v>
      </c>
    </row>
    <row r="585" spans="1:73" x14ac:dyDescent="0.25">
      <c r="A585" s="1">
        <v>584</v>
      </c>
      <c r="B585" s="1" t="s">
        <v>1506</v>
      </c>
      <c r="C585" s="1" t="s">
        <v>11195</v>
      </c>
      <c r="D585" s="1" t="s">
        <v>1507</v>
      </c>
      <c r="E585" s="1" t="s">
        <v>1507</v>
      </c>
      <c r="F585" s="1" t="s">
        <v>1507</v>
      </c>
      <c r="G585" s="1" t="s">
        <v>11196</v>
      </c>
      <c r="H585" s="1" t="s">
        <v>1507</v>
      </c>
      <c r="I585" s="1" t="s">
        <v>1507</v>
      </c>
      <c r="J585" s="1" t="s">
        <v>11197</v>
      </c>
      <c r="K585" s="1" t="s">
        <v>7563</v>
      </c>
      <c r="L585" s="1" t="s">
        <v>1507</v>
      </c>
      <c r="M585" s="1" t="s">
        <v>1507</v>
      </c>
      <c r="N585" s="1" t="s">
        <v>42</v>
      </c>
      <c r="O585" s="1" t="s">
        <v>56</v>
      </c>
      <c r="P585" s="1" t="s">
        <v>1507</v>
      </c>
      <c r="Q585" s="1" t="s">
        <v>1507</v>
      </c>
      <c r="R585" s="1" t="s">
        <v>1507</v>
      </c>
      <c r="S585" s="1" t="s">
        <v>1507</v>
      </c>
      <c r="T585" s="1" t="s">
        <v>1507</v>
      </c>
      <c r="U585" s="1" t="s">
        <v>1507</v>
      </c>
      <c r="V585" s="1" t="s">
        <v>11198</v>
      </c>
      <c r="W585" s="1" t="s">
        <v>11199</v>
      </c>
      <c r="X585" s="1" t="s">
        <v>11200</v>
      </c>
      <c r="Y585" s="1" t="s">
        <v>11201</v>
      </c>
      <c r="Z585" s="1" t="s">
        <v>11202</v>
      </c>
      <c r="AA585" s="1" t="s">
        <v>8073</v>
      </c>
      <c r="AB585" s="1" t="s">
        <v>15939</v>
      </c>
      <c r="AC585" s="1" t="s">
        <v>15940</v>
      </c>
      <c r="AD585" s="1" t="s">
        <v>11203</v>
      </c>
      <c r="AE585" s="1" t="s">
        <v>11204</v>
      </c>
      <c r="AF585" s="1" t="s">
        <v>11205</v>
      </c>
      <c r="AG585" s="1" t="s">
        <v>1507</v>
      </c>
      <c r="AH585" s="1">
        <v>70</v>
      </c>
      <c r="AI585" s="1">
        <v>57</v>
      </c>
      <c r="AJ585" s="1">
        <v>68</v>
      </c>
      <c r="AK585" s="1">
        <v>1</v>
      </c>
      <c r="AL585" s="1">
        <v>20</v>
      </c>
      <c r="AM585" s="1" t="s">
        <v>10620</v>
      </c>
      <c r="AN585" s="1" t="s">
        <v>1551</v>
      </c>
      <c r="AO585" s="1" t="s">
        <v>10621</v>
      </c>
      <c r="AP585" s="1" t="s">
        <v>7572</v>
      </c>
      <c r="AQ585" s="1" t="s">
        <v>1507</v>
      </c>
      <c r="AR585" s="1" t="s">
        <v>1507</v>
      </c>
      <c r="AS585" s="1" t="s">
        <v>7573</v>
      </c>
      <c r="AT585" s="1" t="s">
        <v>7574</v>
      </c>
      <c r="AU585" s="1" t="s">
        <v>1569</v>
      </c>
      <c r="AV585" s="1">
        <v>2019</v>
      </c>
      <c r="AW585" s="1">
        <v>10</v>
      </c>
      <c r="AX585" s="1" t="s">
        <v>1507</v>
      </c>
      <c r="AY585" s="1" t="s">
        <v>1507</v>
      </c>
      <c r="AZ585" s="1" t="s">
        <v>1507</v>
      </c>
      <c r="BA585" s="1" t="s">
        <v>1507</v>
      </c>
      <c r="BB585" s="1" t="s">
        <v>1507</v>
      </c>
      <c r="BC585" s="1" t="s">
        <v>1507</v>
      </c>
      <c r="BD585" s="1" t="s">
        <v>1507</v>
      </c>
      <c r="BE585" s="1">
        <v>335</v>
      </c>
      <c r="BF585" s="1" t="s">
        <v>11206</v>
      </c>
      <c r="BG585" s="1" t="str">
        <f>HYPERLINK("http://dx.doi.org/10.1038/s41467-018-08245-z","http://dx.doi.org/10.1038/s41467-018-08245-z")</f>
        <v>http://dx.doi.org/10.1038/s41467-018-08245-z</v>
      </c>
      <c r="BH585" s="1" t="s">
        <v>1507</v>
      </c>
      <c r="BI585" s="1" t="s">
        <v>1507</v>
      </c>
      <c r="BJ585" s="1">
        <v>14</v>
      </c>
      <c r="BK585" s="1" t="s">
        <v>1776</v>
      </c>
      <c r="BL585" s="1" t="s">
        <v>1573</v>
      </c>
      <c r="BM585" s="1" t="s">
        <v>1777</v>
      </c>
      <c r="BN585" s="1" t="s">
        <v>11207</v>
      </c>
      <c r="BO585" s="1">
        <v>30659195</v>
      </c>
      <c r="BP585" s="1" t="s">
        <v>1674</v>
      </c>
      <c r="BQ585" s="1" t="s">
        <v>1507</v>
      </c>
      <c r="BR585" s="1" t="s">
        <v>1507</v>
      </c>
      <c r="BS585" s="1" t="s">
        <v>13744</v>
      </c>
      <c r="BT585" s="1" t="s">
        <v>11208</v>
      </c>
      <c r="BU585" s="1" t="str">
        <f>HYPERLINK("https%3A%2F%2Fwww.webofscience.com%2Fwos%2Fwoscc%2Ffull-record%2FWOS:000456012000007","View Full Record in Web of Science")</f>
        <v>View Full Record in Web of Science</v>
      </c>
    </row>
    <row r="586" spans="1:73" x14ac:dyDescent="0.25">
      <c r="A586" s="1">
        <v>585</v>
      </c>
      <c r="B586" s="1" t="s">
        <v>5546</v>
      </c>
      <c r="C586" s="1" t="s">
        <v>6554</v>
      </c>
      <c r="D586" s="1" t="s">
        <v>1507</v>
      </c>
      <c r="E586" s="1" t="s">
        <v>1507</v>
      </c>
      <c r="F586" s="1" t="s">
        <v>5628</v>
      </c>
      <c r="G586" s="1" t="s">
        <v>6555</v>
      </c>
      <c r="H586" s="1" t="s">
        <v>1507</v>
      </c>
      <c r="I586" s="1" t="s">
        <v>1507</v>
      </c>
      <c r="J586" s="1" t="s">
        <v>6556</v>
      </c>
      <c r="K586" s="1" t="s">
        <v>6557</v>
      </c>
      <c r="L586" s="1" t="s">
        <v>6558</v>
      </c>
      <c r="M586" s="1" t="s">
        <v>1507</v>
      </c>
      <c r="N586" s="1" t="s">
        <v>42</v>
      </c>
      <c r="O586" s="1" t="s">
        <v>5552</v>
      </c>
      <c r="P586" s="1" t="s">
        <v>6559</v>
      </c>
      <c r="Q586" s="1" t="s">
        <v>6560</v>
      </c>
      <c r="R586" s="1" t="s">
        <v>6561</v>
      </c>
      <c r="S586" s="1" t="s">
        <v>6562</v>
      </c>
      <c r="T586" s="1" t="s">
        <v>1507</v>
      </c>
      <c r="U586" s="1" t="s">
        <v>6563</v>
      </c>
      <c r="V586" s="1" t="s">
        <v>6564</v>
      </c>
      <c r="W586" s="1" t="s">
        <v>6565</v>
      </c>
      <c r="X586" s="1" t="s">
        <v>6566</v>
      </c>
      <c r="Y586" s="1" t="s">
        <v>15489</v>
      </c>
      <c r="Z586" s="1" t="s">
        <v>6567</v>
      </c>
      <c r="AA586" s="1" t="s">
        <v>6568</v>
      </c>
      <c r="AB586" s="1" t="s">
        <v>1507</v>
      </c>
      <c r="AC586" s="1" t="s">
        <v>1507</v>
      </c>
      <c r="AD586" s="1" t="s">
        <v>6569</v>
      </c>
      <c r="AE586" s="1" t="s">
        <v>6570</v>
      </c>
      <c r="AF586" s="1" t="s">
        <v>6571</v>
      </c>
      <c r="AG586" s="1" t="s">
        <v>1507</v>
      </c>
      <c r="AH586" s="1">
        <v>35</v>
      </c>
      <c r="AI586" s="1">
        <v>0</v>
      </c>
      <c r="AJ586" s="1">
        <v>0</v>
      </c>
      <c r="AK586" s="1">
        <v>2</v>
      </c>
      <c r="AL586" s="1">
        <v>2</v>
      </c>
      <c r="AM586" s="1" t="s">
        <v>5628</v>
      </c>
      <c r="AN586" s="1" t="s">
        <v>1512</v>
      </c>
      <c r="AO586" s="1" t="s">
        <v>6457</v>
      </c>
      <c r="AP586" s="1" t="s">
        <v>6572</v>
      </c>
      <c r="AQ586" s="1" t="s">
        <v>1507</v>
      </c>
      <c r="AR586" s="1" t="s">
        <v>6573</v>
      </c>
      <c r="AS586" s="1" t="s">
        <v>6574</v>
      </c>
      <c r="AT586" s="1" t="s">
        <v>1507</v>
      </c>
      <c r="AU586" s="1" t="s">
        <v>1507</v>
      </c>
      <c r="AV586" s="1">
        <v>2023</v>
      </c>
      <c r="AW586" s="1" t="s">
        <v>1507</v>
      </c>
      <c r="AX586" s="1" t="s">
        <v>1507</v>
      </c>
      <c r="AY586" s="1" t="s">
        <v>1507</v>
      </c>
      <c r="AZ586" s="1" t="s">
        <v>1507</v>
      </c>
      <c r="BA586" s="1" t="s">
        <v>1507</v>
      </c>
      <c r="BB586" s="1" t="s">
        <v>1507</v>
      </c>
      <c r="BC586" s="1" t="s">
        <v>1507</v>
      </c>
      <c r="BD586" s="1" t="s">
        <v>1507</v>
      </c>
      <c r="BE586" s="1" t="s">
        <v>1507</v>
      </c>
      <c r="BF586" s="1" t="s">
        <v>6575</v>
      </c>
      <c r="BG586" s="1" t="str">
        <f>HYPERLINK("http://dx.doi.org/10.1109/VTC2023-Fall60731.2023.10333403","http://dx.doi.org/10.1109/VTC2023-Fall60731.2023.10333403")</f>
        <v>http://dx.doi.org/10.1109/VTC2023-Fall60731.2023.10333403</v>
      </c>
      <c r="BH586" s="1" t="s">
        <v>1507</v>
      </c>
      <c r="BI586" s="1" t="s">
        <v>1507</v>
      </c>
      <c r="BJ586" s="1">
        <v>6</v>
      </c>
      <c r="BK586" s="1" t="s">
        <v>6576</v>
      </c>
      <c r="BL586" s="1" t="s">
        <v>5570</v>
      </c>
      <c r="BM586" s="1" t="s">
        <v>1908</v>
      </c>
      <c r="BN586" s="1" t="s">
        <v>6577</v>
      </c>
      <c r="BO586" s="1" t="s">
        <v>1507</v>
      </c>
      <c r="BP586" s="1" t="s">
        <v>1507</v>
      </c>
      <c r="BQ586" s="1" t="s">
        <v>1507</v>
      </c>
      <c r="BR586" s="1" t="s">
        <v>1507</v>
      </c>
      <c r="BS586" s="1" t="s">
        <v>13744</v>
      </c>
      <c r="BT586" s="1" t="s">
        <v>6578</v>
      </c>
      <c r="BU586" s="1" t="str">
        <f>HYPERLINK("https%3A%2F%2Fwww.webofscience.com%2Fwos%2Fwoscc%2Ffull-record%2FWOS:001133762500051","View Full Record in Web of Science")</f>
        <v>View Full Record in Web of Science</v>
      </c>
    </row>
    <row r="587" spans="1:73" x14ac:dyDescent="0.25">
      <c r="A587" s="1">
        <v>586</v>
      </c>
      <c r="B587" s="1" t="s">
        <v>1506</v>
      </c>
      <c r="C587" s="1" t="s">
        <v>8472</v>
      </c>
      <c r="D587" s="1" t="s">
        <v>1507</v>
      </c>
      <c r="E587" s="1" t="s">
        <v>1507</v>
      </c>
      <c r="F587" s="1" t="s">
        <v>1507</v>
      </c>
      <c r="G587" s="1" t="s">
        <v>8473</v>
      </c>
      <c r="H587" s="1" t="s">
        <v>1507</v>
      </c>
      <c r="I587" s="1" t="s">
        <v>1507</v>
      </c>
      <c r="J587" s="1" t="s">
        <v>8474</v>
      </c>
      <c r="K587" s="1" t="s">
        <v>7141</v>
      </c>
      <c r="L587" s="1" t="s">
        <v>1507</v>
      </c>
      <c r="M587" s="1" t="s">
        <v>1507</v>
      </c>
      <c r="N587" s="1" t="s">
        <v>42</v>
      </c>
      <c r="O587" s="1" t="s">
        <v>56</v>
      </c>
      <c r="P587" s="1" t="s">
        <v>1507</v>
      </c>
      <c r="Q587" s="1" t="s">
        <v>1507</v>
      </c>
      <c r="R587" s="1" t="s">
        <v>1507</v>
      </c>
      <c r="S587" s="1" t="s">
        <v>1507</v>
      </c>
      <c r="T587" s="1" t="s">
        <v>1507</v>
      </c>
      <c r="U587" s="1" t="s">
        <v>8475</v>
      </c>
      <c r="V587" s="1" t="s">
        <v>8476</v>
      </c>
      <c r="W587" s="1" t="s">
        <v>8477</v>
      </c>
      <c r="X587" s="1" t="s">
        <v>8478</v>
      </c>
      <c r="Y587" s="1" t="s">
        <v>7146</v>
      </c>
      <c r="Z587" s="1" t="s">
        <v>8479</v>
      </c>
      <c r="AA587" s="1" t="s">
        <v>8480</v>
      </c>
      <c r="AB587" s="1" t="s">
        <v>15733</v>
      </c>
      <c r="AC587" s="1" t="s">
        <v>8481</v>
      </c>
      <c r="AD587" s="1" t="s">
        <v>8482</v>
      </c>
      <c r="AE587" s="1" t="s">
        <v>8483</v>
      </c>
      <c r="AF587" s="1" t="s">
        <v>8484</v>
      </c>
      <c r="AG587" s="1" t="s">
        <v>1507</v>
      </c>
      <c r="AH587" s="1">
        <v>27</v>
      </c>
      <c r="AI587" s="1">
        <v>45</v>
      </c>
      <c r="AJ587" s="1">
        <v>48</v>
      </c>
      <c r="AK587" s="1">
        <v>2</v>
      </c>
      <c r="AL587" s="1">
        <v>55</v>
      </c>
      <c r="AM587" s="1" t="s">
        <v>1579</v>
      </c>
      <c r="AN587" s="1" t="s">
        <v>1580</v>
      </c>
      <c r="AO587" s="1" t="s">
        <v>8485</v>
      </c>
      <c r="AP587" s="1" t="s">
        <v>7151</v>
      </c>
      <c r="AQ587" s="1" t="s">
        <v>7152</v>
      </c>
      <c r="AR587" s="1" t="s">
        <v>1507</v>
      </c>
      <c r="AS587" s="1" t="s">
        <v>7153</v>
      </c>
      <c r="AT587" s="1" t="s">
        <v>7154</v>
      </c>
      <c r="AU587" s="1" t="s">
        <v>3269</v>
      </c>
      <c r="AV587" s="1">
        <v>2021</v>
      </c>
      <c r="AW587" s="1">
        <v>790</v>
      </c>
      <c r="AX587" s="1" t="s">
        <v>1507</v>
      </c>
      <c r="AY587" s="1" t="s">
        <v>1507</v>
      </c>
      <c r="AZ587" s="1" t="s">
        <v>1507</v>
      </c>
      <c r="BA587" s="1" t="s">
        <v>1507</v>
      </c>
      <c r="BB587" s="1" t="s">
        <v>1507</v>
      </c>
      <c r="BC587" s="1" t="s">
        <v>1507</v>
      </c>
      <c r="BD587" s="1" t="s">
        <v>1507</v>
      </c>
      <c r="BE587" s="1">
        <v>148000</v>
      </c>
      <c r="BF587" s="1" t="s">
        <v>8486</v>
      </c>
      <c r="BG587" s="1" t="str">
        <f>HYPERLINK("http://dx.doi.org/10.1016/j.scitotenv.2021.148000","http://dx.doi.org/10.1016/j.scitotenv.2021.148000")</f>
        <v>http://dx.doi.org/10.1016/j.scitotenv.2021.148000</v>
      </c>
      <c r="BH587" s="1" t="s">
        <v>1507</v>
      </c>
      <c r="BI587" s="1" t="s">
        <v>8441</v>
      </c>
      <c r="BJ587" s="1">
        <v>7</v>
      </c>
      <c r="BK587" s="1" t="s">
        <v>7038</v>
      </c>
      <c r="BL587" s="1" t="s">
        <v>1573</v>
      </c>
      <c r="BM587" s="1" t="s">
        <v>1839</v>
      </c>
      <c r="BN587" s="1" t="s">
        <v>8487</v>
      </c>
      <c r="BO587" s="1">
        <v>34091338</v>
      </c>
      <c r="BP587" s="1" t="s">
        <v>5071</v>
      </c>
      <c r="BQ587" s="1" t="s">
        <v>1507</v>
      </c>
      <c r="BR587" s="1" t="s">
        <v>1507</v>
      </c>
      <c r="BS587" s="1" t="s">
        <v>13744</v>
      </c>
      <c r="BT587" s="1" t="s">
        <v>8489</v>
      </c>
      <c r="BU587" s="1" t="str">
        <f>HYPERLINK("https%3A%2F%2Fwww.webofscience.com%2Fwos%2Fwoscc%2Ffull-record%2FWOS:000684999300010","View Full Record in Web of Science")</f>
        <v>View Full Record in Web of Science</v>
      </c>
    </row>
    <row r="588" spans="1:73" x14ac:dyDescent="0.25">
      <c r="A588" s="1">
        <v>587</v>
      </c>
      <c r="B588" s="1" t="s">
        <v>1506</v>
      </c>
      <c r="C588" s="1" t="s">
        <v>8301</v>
      </c>
      <c r="D588" s="1" t="s">
        <v>1507</v>
      </c>
      <c r="E588" s="1" t="s">
        <v>1507</v>
      </c>
      <c r="F588" s="1" t="s">
        <v>1507</v>
      </c>
      <c r="G588" s="1" t="s">
        <v>8302</v>
      </c>
      <c r="H588" s="1" t="s">
        <v>1507</v>
      </c>
      <c r="I588" s="1" t="s">
        <v>1507</v>
      </c>
      <c r="J588" s="1" t="s">
        <v>8303</v>
      </c>
      <c r="K588" s="1" t="s">
        <v>8304</v>
      </c>
      <c r="L588" s="1" t="s">
        <v>1507</v>
      </c>
      <c r="M588" s="1" t="s">
        <v>1507</v>
      </c>
      <c r="N588" s="1" t="s">
        <v>42</v>
      </c>
      <c r="O588" s="1" t="s">
        <v>56</v>
      </c>
      <c r="P588" s="1" t="s">
        <v>1507</v>
      </c>
      <c r="Q588" s="1" t="s">
        <v>1507</v>
      </c>
      <c r="R588" s="1" t="s">
        <v>1507</v>
      </c>
      <c r="S588" s="1" t="s">
        <v>1507</v>
      </c>
      <c r="T588" s="1" t="s">
        <v>1507</v>
      </c>
      <c r="U588" s="1" t="s">
        <v>1507</v>
      </c>
      <c r="V588" s="1" t="s">
        <v>8305</v>
      </c>
      <c r="W588" s="1" t="s">
        <v>8306</v>
      </c>
      <c r="X588" s="1" t="s">
        <v>8307</v>
      </c>
      <c r="Y588" s="1" t="s">
        <v>8308</v>
      </c>
      <c r="Z588" s="1" t="s">
        <v>8309</v>
      </c>
      <c r="AA588" s="1" t="s">
        <v>8310</v>
      </c>
      <c r="AB588" s="1" t="s">
        <v>15716</v>
      </c>
      <c r="AC588" s="1" t="s">
        <v>15717</v>
      </c>
      <c r="AD588" s="1" t="s">
        <v>8311</v>
      </c>
      <c r="AE588" s="1" t="s">
        <v>8312</v>
      </c>
      <c r="AF588" s="1" t="s">
        <v>8313</v>
      </c>
      <c r="AG588" s="1" t="s">
        <v>1507</v>
      </c>
      <c r="AH588" s="1">
        <v>69</v>
      </c>
      <c r="AI588" s="1">
        <v>5</v>
      </c>
      <c r="AJ588" s="1">
        <v>5</v>
      </c>
      <c r="AK588" s="1">
        <v>2</v>
      </c>
      <c r="AL588" s="1">
        <v>2</v>
      </c>
      <c r="AM588" s="1" t="s">
        <v>1582</v>
      </c>
      <c r="AN588" s="1" t="s">
        <v>1583</v>
      </c>
      <c r="AO588" s="1" t="s">
        <v>1584</v>
      </c>
      <c r="AP588" s="1" t="s">
        <v>8314</v>
      </c>
      <c r="AQ588" s="1" t="s">
        <v>8315</v>
      </c>
      <c r="AR588" s="1" t="s">
        <v>1507</v>
      </c>
      <c r="AS588" s="1" t="s">
        <v>8316</v>
      </c>
      <c r="AT588" s="1" t="s">
        <v>8317</v>
      </c>
      <c r="AU588" s="1" t="s">
        <v>15718</v>
      </c>
      <c r="AV588" s="1">
        <v>2021</v>
      </c>
      <c r="AW588" s="1">
        <v>49</v>
      </c>
      <c r="AX588" s="1">
        <v>15</v>
      </c>
      <c r="AY588" s="1" t="s">
        <v>1507</v>
      </c>
      <c r="AZ588" s="1" t="s">
        <v>1507</v>
      </c>
      <c r="BA588" s="1" t="s">
        <v>1507</v>
      </c>
      <c r="BB588" s="1" t="s">
        <v>1507</v>
      </c>
      <c r="BC588" s="1">
        <v>8796</v>
      </c>
      <c r="BD588" s="1">
        <v>8810</v>
      </c>
      <c r="BE588" s="1" t="s">
        <v>1507</v>
      </c>
      <c r="BF588" s="1" t="s">
        <v>8318</v>
      </c>
      <c r="BG588" s="1" t="str">
        <f>HYPERLINK("http://dx.doi.org/10.1093/nar/gkab660","http://dx.doi.org/10.1093/nar/gkab660")</f>
        <v>http://dx.doi.org/10.1093/nar/gkab660</v>
      </c>
      <c r="BH588" s="1" t="s">
        <v>1507</v>
      </c>
      <c r="BI588" s="1" t="s">
        <v>8271</v>
      </c>
      <c r="BJ588" s="1">
        <v>15</v>
      </c>
      <c r="BK588" s="1" t="s">
        <v>4290</v>
      </c>
      <c r="BL588" s="1" t="s">
        <v>1573</v>
      </c>
      <c r="BM588" s="1" t="s">
        <v>4290</v>
      </c>
      <c r="BN588" s="1" t="s">
        <v>8319</v>
      </c>
      <c r="BO588" s="1">
        <v>34379778</v>
      </c>
      <c r="BP588" s="1" t="s">
        <v>1952</v>
      </c>
      <c r="BQ588" s="1" t="s">
        <v>1507</v>
      </c>
      <c r="BR588" s="1" t="s">
        <v>1507</v>
      </c>
      <c r="BS588" s="1" t="s">
        <v>13744</v>
      </c>
      <c r="BT588" s="1" t="s">
        <v>8320</v>
      </c>
      <c r="BU588" s="1" t="str">
        <f>HYPERLINK("https%3A%2F%2Fwww.webofscience.com%2Fwos%2Fwoscc%2Ffull-record%2FWOS:000697383500032","View Full Record in Web of Science")</f>
        <v>View Full Record in Web of Science</v>
      </c>
    </row>
    <row r="589" spans="1:73" x14ac:dyDescent="0.25">
      <c r="A589" s="1">
        <v>588</v>
      </c>
      <c r="B589" s="1" t="s">
        <v>1506</v>
      </c>
      <c r="C589" s="1" t="s">
        <v>10184</v>
      </c>
      <c r="D589" s="1" t="s">
        <v>1507</v>
      </c>
      <c r="E589" s="1" t="s">
        <v>1507</v>
      </c>
      <c r="F589" s="1" t="s">
        <v>1507</v>
      </c>
      <c r="G589" s="1" t="s">
        <v>10185</v>
      </c>
      <c r="H589" s="1" t="s">
        <v>1507</v>
      </c>
      <c r="I589" s="1" t="s">
        <v>1507</v>
      </c>
      <c r="J589" s="1" t="s">
        <v>10186</v>
      </c>
      <c r="K589" s="1" t="s">
        <v>10187</v>
      </c>
      <c r="L589" s="1" t="s">
        <v>1507</v>
      </c>
      <c r="M589" s="1" t="s">
        <v>1507</v>
      </c>
      <c r="N589" s="1" t="s">
        <v>42</v>
      </c>
      <c r="O589" s="1" t="s">
        <v>56</v>
      </c>
      <c r="P589" s="1" t="s">
        <v>1507</v>
      </c>
      <c r="Q589" s="1" t="s">
        <v>1507</v>
      </c>
      <c r="R589" s="1" t="s">
        <v>1507</v>
      </c>
      <c r="S589" s="1" t="s">
        <v>1507</v>
      </c>
      <c r="T589" s="1" t="s">
        <v>1507</v>
      </c>
      <c r="U589" s="1" t="s">
        <v>1507</v>
      </c>
      <c r="V589" s="1" t="s">
        <v>10188</v>
      </c>
      <c r="W589" s="1" t="s">
        <v>10189</v>
      </c>
      <c r="X589" s="1" t="s">
        <v>10190</v>
      </c>
      <c r="Y589" s="1" t="s">
        <v>10191</v>
      </c>
      <c r="Z589" s="1" t="s">
        <v>10192</v>
      </c>
      <c r="AA589" s="1" t="s">
        <v>10193</v>
      </c>
      <c r="AB589" s="1" t="s">
        <v>15832</v>
      </c>
      <c r="AC589" s="1" t="s">
        <v>15833</v>
      </c>
      <c r="AD589" s="1" t="s">
        <v>10194</v>
      </c>
      <c r="AE589" s="1" t="s">
        <v>10195</v>
      </c>
      <c r="AF589" s="1" t="s">
        <v>10196</v>
      </c>
      <c r="AG589" s="1" t="s">
        <v>1507</v>
      </c>
      <c r="AH589" s="1">
        <v>31</v>
      </c>
      <c r="AI589" s="1">
        <v>11</v>
      </c>
      <c r="AJ589" s="1">
        <v>13</v>
      </c>
      <c r="AK589" s="1">
        <v>1</v>
      </c>
      <c r="AL589" s="1">
        <v>53</v>
      </c>
      <c r="AM589" s="1" t="s">
        <v>2372</v>
      </c>
      <c r="AN589" s="1" t="s">
        <v>2300</v>
      </c>
      <c r="AO589" s="1" t="s">
        <v>2373</v>
      </c>
      <c r="AP589" s="1" t="s">
        <v>10197</v>
      </c>
      <c r="AQ589" s="1" t="s">
        <v>10198</v>
      </c>
      <c r="AR589" s="1" t="s">
        <v>1507</v>
      </c>
      <c r="AS589" s="1" t="s">
        <v>10199</v>
      </c>
      <c r="AT589" s="1" t="s">
        <v>10200</v>
      </c>
      <c r="AU589" s="1" t="s">
        <v>10201</v>
      </c>
      <c r="AV589" s="1">
        <v>2020</v>
      </c>
      <c r="AW589" s="1">
        <v>124</v>
      </c>
      <c r="AX589" s="1">
        <v>4</v>
      </c>
      <c r="AY589" s="1" t="s">
        <v>1507</v>
      </c>
      <c r="AZ589" s="1" t="s">
        <v>1507</v>
      </c>
      <c r="BA589" s="1" t="s">
        <v>1507</v>
      </c>
      <c r="BB589" s="1" t="s">
        <v>1507</v>
      </c>
      <c r="BC589" s="1">
        <v>2399</v>
      </c>
      <c r="BD589" s="1">
        <v>2405</v>
      </c>
      <c r="BE589" s="1" t="s">
        <v>1507</v>
      </c>
      <c r="BF589" s="1" t="s">
        <v>10202</v>
      </c>
      <c r="BG589" s="1" t="str">
        <f>HYPERLINK("http://dx.doi.org/10.1021/acs.jpcc.0c00055","http://dx.doi.org/10.1021/acs.jpcc.0c00055")</f>
        <v>http://dx.doi.org/10.1021/acs.jpcc.0c00055</v>
      </c>
      <c r="BH589" s="1" t="s">
        <v>1507</v>
      </c>
      <c r="BI589" s="1" t="s">
        <v>1507</v>
      </c>
      <c r="BJ589" s="1">
        <v>7</v>
      </c>
      <c r="BK589" s="1" t="s">
        <v>10203</v>
      </c>
      <c r="BL589" s="1" t="s">
        <v>1573</v>
      </c>
      <c r="BM589" s="1" t="s">
        <v>8919</v>
      </c>
      <c r="BN589" s="1" t="s">
        <v>10204</v>
      </c>
      <c r="BO589" s="1" t="s">
        <v>1507</v>
      </c>
      <c r="BP589" s="1" t="s">
        <v>1507</v>
      </c>
      <c r="BQ589" s="1" t="s">
        <v>1507</v>
      </c>
      <c r="BR589" s="1" t="s">
        <v>1507</v>
      </c>
      <c r="BS589" s="1" t="s">
        <v>13744</v>
      </c>
      <c r="BT589" s="1" t="s">
        <v>10205</v>
      </c>
      <c r="BU589" s="1" t="str">
        <f>HYPERLINK("https%3A%2F%2Fwww.webofscience.com%2Fwos%2Fwoscc%2Ffull-record%2FWOS:000510529400017","View Full Record in Web of Science")</f>
        <v>View Full Record in Web of Science</v>
      </c>
    </row>
    <row r="590" spans="1:73" x14ac:dyDescent="0.25">
      <c r="A590" s="1">
        <v>589</v>
      </c>
      <c r="B590" s="1" t="s">
        <v>1506</v>
      </c>
      <c r="C590" s="1" t="s">
        <v>11209</v>
      </c>
      <c r="D590" s="1" t="s">
        <v>1507</v>
      </c>
      <c r="E590" s="1" t="s">
        <v>1507</v>
      </c>
      <c r="F590" s="1" t="s">
        <v>1507</v>
      </c>
      <c r="G590" s="1" t="s">
        <v>11210</v>
      </c>
      <c r="H590" s="1" t="s">
        <v>1507</v>
      </c>
      <c r="I590" s="1" t="s">
        <v>1507</v>
      </c>
      <c r="J590" s="1" t="s">
        <v>11211</v>
      </c>
      <c r="K590" s="1" t="s">
        <v>10187</v>
      </c>
      <c r="L590" s="1" t="s">
        <v>1507</v>
      </c>
      <c r="M590" s="1" t="s">
        <v>1507</v>
      </c>
      <c r="N590" s="1" t="s">
        <v>42</v>
      </c>
      <c r="O590" s="1" t="s">
        <v>56</v>
      </c>
      <c r="P590" s="1" t="s">
        <v>1507</v>
      </c>
      <c r="Q590" s="1" t="s">
        <v>1507</v>
      </c>
      <c r="R590" s="1" t="s">
        <v>1507</v>
      </c>
      <c r="S590" s="1" t="s">
        <v>1507</v>
      </c>
      <c r="T590" s="1" t="s">
        <v>1507</v>
      </c>
      <c r="U590" s="1" t="s">
        <v>1507</v>
      </c>
      <c r="V590" s="1" t="s">
        <v>11212</v>
      </c>
      <c r="W590" s="1" t="s">
        <v>11213</v>
      </c>
      <c r="X590" s="1" t="s">
        <v>11214</v>
      </c>
      <c r="Y590" s="1" t="s">
        <v>11215</v>
      </c>
      <c r="Z590" s="1" t="s">
        <v>11216</v>
      </c>
      <c r="AA590" s="1" t="s">
        <v>11217</v>
      </c>
      <c r="AB590" s="1" t="s">
        <v>15941</v>
      </c>
      <c r="AC590" s="1" t="s">
        <v>15833</v>
      </c>
      <c r="AD590" s="1" t="s">
        <v>11218</v>
      </c>
      <c r="AE590" s="1" t="s">
        <v>11219</v>
      </c>
      <c r="AF590" s="1" t="s">
        <v>11220</v>
      </c>
      <c r="AG590" s="1" t="s">
        <v>1507</v>
      </c>
      <c r="AH590" s="1">
        <v>39</v>
      </c>
      <c r="AI590" s="1">
        <v>27</v>
      </c>
      <c r="AJ590" s="1">
        <v>29</v>
      </c>
      <c r="AK590" s="1">
        <v>1</v>
      </c>
      <c r="AL590" s="1">
        <v>74</v>
      </c>
      <c r="AM590" s="1" t="s">
        <v>2372</v>
      </c>
      <c r="AN590" s="1" t="s">
        <v>2300</v>
      </c>
      <c r="AO590" s="1" t="s">
        <v>2373</v>
      </c>
      <c r="AP590" s="1" t="s">
        <v>10197</v>
      </c>
      <c r="AQ590" s="1" t="s">
        <v>1507</v>
      </c>
      <c r="AR590" s="1" t="s">
        <v>1507</v>
      </c>
      <c r="AS590" s="1" t="s">
        <v>10199</v>
      </c>
      <c r="AT590" s="1" t="s">
        <v>10200</v>
      </c>
      <c r="AU590" s="1" t="s">
        <v>11221</v>
      </c>
      <c r="AV590" s="1">
        <v>2019</v>
      </c>
      <c r="AW590" s="1">
        <v>123</v>
      </c>
      <c r="AX590" s="1">
        <v>2</v>
      </c>
      <c r="AY590" s="1" t="s">
        <v>1507</v>
      </c>
      <c r="AZ590" s="1" t="s">
        <v>1507</v>
      </c>
      <c r="BA590" s="1" t="s">
        <v>1507</v>
      </c>
      <c r="BB590" s="1" t="s">
        <v>1507</v>
      </c>
      <c r="BC590" s="1">
        <v>1110</v>
      </c>
      <c r="BD590" s="1">
        <v>1119</v>
      </c>
      <c r="BE590" s="1" t="s">
        <v>1507</v>
      </c>
      <c r="BF590" s="1" t="s">
        <v>11222</v>
      </c>
      <c r="BG590" s="1" t="str">
        <f>HYPERLINK("http://dx.doi.org/10.1021/acs.jpcc.8b10837","http://dx.doi.org/10.1021/acs.jpcc.8b10837")</f>
        <v>http://dx.doi.org/10.1021/acs.jpcc.8b10837</v>
      </c>
      <c r="BH590" s="1" t="s">
        <v>1507</v>
      </c>
      <c r="BI590" s="1" t="s">
        <v>1507</v>
      </c>
      <c r="BJ590" s="1">
        <v>10</v>
      </c>
      <c r="BK590" s="1" t="s">
        <v>10203</v>
      </c>
      <c r="BL590" s="1" t="s">
        <v>1573</v>
      </c>
      <c r="BM590" s="1" t="s">
        <v>8919</v>
      </c>
      <c r="BN590" s="1" t="s">
        <v>11223</v>
      </c>
      <c r="BO590" s="1" t="s">
        <v>1507</v>
      </c>
      <c r="BP590" s="1" t="s">
        <v>1507</v>
      </c>
      <c r="BQ590" s="1" t="s">
        <v>1507</v>
      </c>
      <c r="BR590" s="1" t="s">
        <v>1507</v>
      </c>
      <c r="BS590" s="1" t="s">
        <v>13744</v>
      </c>
      <c r="BT590" s="1" t="s">
        <v>11224</v>
      </c>
      <c r="BU590" s="1" t="str">
        <f>HYPERLINK("https%3A%2F%2Fwww.webofscience.com%2Fwos%2Fwoscc%2Ffull-record%2FWOS:000456350600014","View Full Record in Web of Science")</f>
        <v>View Full Record in Web of Science</v>
      </c>
    </row>
    <row r="591" spans="1:73" x14ac:dyDescent="0.25">
      <c r="A591" s="1">
        <v>590</v>
      </c>
      <c r="B591" s="1" t="s">
        <v>1506</v>
      </c>
      <c r="C591" s="1" t="s">
        <v>8558</v>
      </c>
      <c r="D591" s="1" t="s">
        <v>1507</v>
      </c>
      <c r="E591" s="1" t="s">
        <v>1507</v>
      </c>
      <c r="F591" s="1" t="s">
        <v>1507</v>
      </c>
      <c r="G591" s="1" t="s">
        <v>8559</v>
      </c>
      <c r="H591" s="1" t="s">
        <v>1507</v>
      </c>
      <c r="I591" s="1" t="s">
        <v>1507</v>
      </c>
      <c r="J591" s="1" t="s">
        <v>8560</v>
      </c>
      <c r="K591" s="1" t="s">
        <v>8561</v>
      </c>
      <c r="L591" s="1" t="s">
        <v>1507</v>
      </c>
      <c r="M591" s="1" t="s">
        <v>1507</v>
      </c>
      <c r="N591" s="1" t="s">
        <v>42</v>
      </c>
      <c r="O591" s="1" t="s">
        <v>56</v>
      </c>
      <c r="P591" s="1" t="s">
        <v>1507</v>
      </c>
      <c r="Q591" s="1" t="s">
        <v>1507</v>
      </c>
      <c r="R591" s="1" t="s">
        <v>1507</v>
      </c>
      <c r="S591" s="1" t="s">
        <v>1507</v>
      </c>
      <c r="T591" s="1" t="s">
        <v>1507</v>
      </c>
      <c r="U591" s="1" t="s">
        <v>8562</v>
      </c>
      <c r="V591" s="1" t="s">
        <v>1507</v>
      </c>
      <c r="W591" s="1" t="s">
        <v>8563</v>
      </c>
      <c r="X591" s="1" t="s">
        <v>8564</v>
      </c>
      <c r="Y591" s="1" t="s">
        <v>8565</v>
      </c>
      <c r="Z591" s="1" t="s">
        <v>8566</v>
      </c>
      <c r="AA591" s="1" t="s">
        <v>8567</v>
      </c>
      <c r="AB591" s="1" t="s">
        <v>1507</v>
      </c>
      <c r="AC591" s="1" t="s">
        <v>1507</v>
      </c>
      <c r="AD591" s="1" t="s">
        <v>8568</v>
      </c>
      <c r="AE591" s="1" t="s">
        <v>8569</v>
      </c>
      <c r="AF591" s="1" t="s">
        <v>8570</v>
      </c>
      <c r="AG591" s="1" t="s">
        <v>1507</v>
      </c>
      <c r="AH591" s="1">
        <v>26</v>
      </c>
      <c r="AI591" s="1">
        <v>10</v>
      </c>
      <c r="AJ591" s="1">
        <v>10</v>
      </c>
      <c r="AK591" s="1">
        <v>5</v>
      </c>
      <c r="AL591" s="1">
        <v>53</v>
      </c>
      <c r="AM591" s="1" t="s">
        <v>8571</v>
      </c>
      <c r="AN591" s="1" t="s">
        <v>1512</v>
      </c>
      <c r="AO591" s="1" t="s">
        <v>8572</v>
      </c>
      <c r="AP591" s="1" t="s">
        <v>8573</v>
      </c>
      <c r="AQ591" s="1" t="s">
        <v>8574</v>
      </c>
      <c r="AR591" s="1" t="s">
        <v>1507</v>
      </c>
      <c r="AS591" s="1" t="s">
        <v>8575</v>
      </c>
      <c r="AT591" s="1" t="s">
        <v>8576</v>
      </c>
      <c r="AU591" s="1" t="s">
        <v>4721</v>
      </c>
      <c r="AV591" s="1">
        <v>2021</v>
      </c>
      <c r="AW591" s="1">
        <v>40</v>
      </c>
      <c r="AX591" s="1">
        <v>2</v>
      </c>
      <c r="AY591" s="1" t="s">
        <v>1507</v>
      </c>
      <c r="AZ591" s="1" t="s">
        <v>1507</v>
      </c>
      <c r="BA591" s="1" t="s">
        <v>1507</v>
      </c>
      <c r="BB591" s="1" t="s">
        <v>1507</v>
      </c>
      <c r="BC591" s="1" t="s">
        <v>1507</v>
      </c>
      <c r="BD591" s="1" t="s">
        <v>1507</v>
      </c>
      <c r="BE591" s="1">
        <v>40</v>
      </c>
      <c r="BF591" s="1" t="s">
        <v>8577</v>
      </c>
      <c r="BG591" s="1" t="str">
        <f>HYPERLINK("http://dx.doi.org/10.1007/s10921-021-00773-x","http://dx.doi.org/10.1007/s10921-021-00773-x")</f>
        <v>http://dx.doi.org/10.1007/s10921-021-00773-x</v>
      </c>
      <c r="BH591" s="1" t="s">
        <v>1507</v>
      </c>
      <c r="BI591" s="1" t="s">
        <v>1507</v>
      </c>
      <c r="BJ591" s="1">
        <v>10</v>
      </c>
      <c r="BK591" s="1" t="s">
        <v>8578</v>
      </c>
      <c r="BL591" s="1" t="s">
        <v>1573</v>
      </c>
      <c r="BM591" s="1" t="s">
        <v>7255</v>
      </c>
      <c r="BN591" s="1" t="s">
        <v>8579</v>
      </c>
      <c r="BO591" s="1" t="s">
        <v>1507</v>
      </c>
      <c r="BP591" s="1" t="s">
        <v>1507</v>
      </c>
      <c r="BQ591" s="1" t="s">
        <v>1507</v>
      </c>
      <c r="BR591" s="1" t="s">
        <v>1507</v>
      </c>
      <c r="BS591" s="1" t="s">
        <v>13744</v>
      </c>
      <c r="BT591" s="1" t="s">
        <v>8580</v>
      </c>
      <c r="BU591" s="1" t="str">
        <f>HYPERLINK("https%3A%2F%2Fwww.webofscience.com%2Fwos%2Fwoscc%2Ffull-record%2FWOS:000645067000001","View Full Record in Web of Science")</f>
        <v>View Full Record in Web of Science</v>
      </c>
    </row>
    <row r="592" spans="1:73" x14ac:dyDescent="0.25">
      <c r="A592" s="1">
        <v>591</v>
      </c>
      <c r="B592" s="1" t="s">
        <v>5546</v>
      </c>
      <c r="C592" s="1" t="s">
        <v>6579</v>
      </c>
      <c r="D592" s="1" t="s">
        <v>1507</v>
      </c>
      <c r="E592" s="1" t="s">
        <v>1507</v>
      </c>
      <c r="F592" s="1" t="s">
        <v>5628</v>
      </c>
      <c r="G592" s="1" t="s">
        <v>6580</v>
      </c>
      <c r="H592" s="1" t="s">
        <v>1507</v>
      </c>
      <c r="I592" s="1" t="s">
        <v>1507</v>
      </c>
      <c r="J592" s="1" t="s">
        <v>6581</v>
      </c>
      <c r="K592" s="1" t="s">
        <v>6014</v>
      </c>
      <c r="L592" s="1" t="s">
        <v>6015</v>
      </c>
      <c r="M592" s="1" t="s">
        <v>1507</v>
      </c>
      <c r="N592" s="1" t="s">
        <v>42</v>
      </c>
      <c r="O592" s="1" t="s">
        <v>5552</v>
      </c>
      <c r="P592" s="1" t="s">
        <v>6016</v>
      </c>
      <c r="Q592" s="1" t="s">
        <v>6017</v>
      </c>
      <c r="R592" s="1" t="s">
        <v>6018</v>
      </c>
      <c r="S592" s="1" t="s">
        <v>6019</v>
      </c>
      <c r="T592" s="1" t="s">
        <v>1507</v>
      </c>
      <c r="U592" s="1" t="s">
        <v>6582</v>
      </c>
      <c r="V592" s="1" t="s">
        <v>1507</v>
      </c>
      <c r="W592" s="1" t="s">
        <v>6583</v>
      </c>
      <c r="X592" s="1" t="s">
        <v>6584</v>
      </c>
      <c r="Y592" s="1" t="s">
        <v>6585</v>
      </c>
      <c r="Z592" s="1" t="s">
        <v>6586</v>
      </c>
      <c r="AA592" s="1" t="s">
        <v>6587</v>
      </c>
      <c r="AB592" s="1" t="s">
        <v>15490</v>
      </c>
      <c r="AC592" s="1" t="s">
        <v>1507</v>
      </c>
      <c r="AD592" s="1" t="s">
        <v>6588</v>
      </c>
      <c r="AE592" s="1" t="s">
        <v>6589</v>
      </c>
      <c r="AF592" s="1" t="s">
        <v>6590</v>
      </c>
      <c r="AG592" s="1" t="s">
        <v>1507</v>
      </c>
      <c r="AH592" s="1">
        <v>41</v>
      </c>
      <c r="AI592" s="1">
        <v>0</v>
      </c>
      <c r="AJ592" s="1">
        <v>0</v>
      </c>
      <c r="AK592" s="1">
        <v>8</v>
      </c>
      <c r="AL592" s="1">
        <v>8</v>
      </c>
      <c r="AM592" s="1" t="s">
        <v>5645</v>
      </c>
      <c r="AN592" s="1" t="s">
        <v>5646</v>
      </c>
      <c r="AO592" s="1" t="s">
        <v>5647</v>
      </c>
      <c r="AP592" s="1" t="s">
        <v>6030</v>
      </c>
      <c r="AQ592" s="1" t="s">
        <v>1507</v>
      </c>
      <c r="AR592" s="1" t="s">
        <v>6031</v>
      </c>
      <c r="AS592" s="1" t="s">
        <v>6032</v>
      </c>
      <c r="AT592" s="1" t="s">
        <v>1507</v>
      </c>
      <c r="AU592" s="1" t="s">
        <v>1507</v>
      </c>
      <c r="AV592" s="1">
        <v>2023</v>
      </c>
      <c r="AW592" s="1" t="s">
        <v>1507</v>
      </c>
      <c r="AX592" s="1" t="s">
        <v>1507</v>
      </c>
      <c r="AY592" s="1" t="s">
        <v>1507</v>
      </c>
      <c r="AZ592" s="1" t="s">
        <v>1507</v>
      </c>
      <c r="BA592" s="1" t="s">
        <v>1507</v>
      </c>
      <c r="BB592" s="1" t="s">
        <v>1507</v>
      </c>
      <c r="BC592" s="1">
        <v>1887</v>
      </c>
      <c r="BD592" s="1">
        <v>1898</v>
      </c>
      <c r="BE592" s="1" t="s">
        <v>1507</v>
      </c>
      <c r="BF592" s="1" t="s">
        <v>6591</v>
      </c>
      <c r="BG592" s="1" t="str">
        <f>HYPERLINK("http://dx.doi.org/10.1109/ASE56229.2023.00096","http://dx.doi.org/10.1109/ASE56229.2023.00096")</f>
        <v>http://dx.doi.org/10.1109/ASE56229.2023.00096</v>
      </c>
      <c r="BH592" s="1" t="s">
        <v>1507</v>
      </c>
      <c r="BI592" s="1" t="s">
        <v>1507</v>
      </c>
      <c r="BJ592" s="1">
        <v>12</v>
      </c>
      <c r="BK592" s="1" t="s">
        <v>6034</v>
      </c>
      <c r="BL592" s="1" t="s">
        <v>5570</v>
      </c>
      <c r="BM592" s="1" t="s">
        <v>6035</v>
      </c>
      <c r="BN592" s="1" t="s">
        <v>6036</v>
      </c>
      <c r="BO592" s="1" t="s">
        <v>1507</v>
      </c>
      <c r="BP592" s="1" t="s">
        <v>1507</v>
      </c>
      <c r="BQ592" s="1" t="s">
        <v>1507</v>
      </c>
      <c r="BR592" s="1" t="s">
        <v>1507</v>
      </c>
      <c r="BS592" s="1" t="s">
        <v>13744</v>
      </c>
      <c r="BT592" s="1" t="s">
        <v>6592</v>
      </c>
      <c r="BU592" s="1" t="str">
        <f>HYPERLINK("https%3A%2F%2Fwww.webofscience.com%2Fwos%2Fwoscc%2Ffull-record%2FWOS:001103357200175","View Full Record in Web of Science")</f>
        <v>View Full Record in Web of Science</v>
      </c>
    </row>
    <row r="593" spans="1:73" x14ac:dyDescent="0.25">
      <c r="A593" s="1">
        <v>592</v>
      </c>
      <c r="B593" s="1" t="s">
        <v>1506</v>
      </c>
      <c r="C593" s="1" t="s">
        <v>14529</v>
      </c>
      <c r="D593" s="1" t="s">
        <v>1507</v>
      </c>
      <c r="E593" s="1" t="s">
        <v>1507</v>
      </c>
      <c r="F593" s="1" t="s">
        <v>1507</v>
      </c>
      <c r="G593" s="1" t="s">
        <v>14530</v>
      </c>
      <c r="H593" s="1" t="s">
        <v>1507</v>
      </c>
      <c r="I593" s="1" t="s">
        <v>1507</v>
      </c>
      <c r="J593" s="1" t="s">
        <v>14531</v>
      </c>
      <c r="K593" s="1" t="s">
        <v>12111</v>
      </c>
      <c r="L593" s="1" t="s">
        <v>1507</v>
      </c>
      <c r="M593" s="1" t="s">
        <v>1507</v>
      </c>
      <c r="N593" s="1" t="s">
        <v>42</v>
      </c>
      <c r="O593" s="1" t="s">
        <v>12366</v>
      </c>
      <c r="P593" s="1" t="s">
        <v>1507</v>
      </c>
      <c r="Q593" s="1" t="s">
        <v>1507</v>
      </c>
      <c r="R593" s="1" t="s">
        <v>1507</v>
      </c>
      <c r="S593" s="1" t="s">
        <v>1507</v>
      </c>
      <c r="T593" s="1" t="s">
        <v>1507</v>
      </c>
      <c r="U593" s="1" t="s">
        <v>1507</v>
      </c>
      <c r="V593" s="1" t="s">
        <v>14532</v>
      </c>
      <c r="W593" s="1" t="s">
        <v>14533</v>
      </c>
      <c r="X593" s="1" t="s">
        <v>14534</v>
      </c>
      <c r="Y593" s="1" t="s">
        <v>14535</v>
      </c>
      <c r="Z593" s="1" t="s">
        <v>14536</v>
      </c>
      <c r="AA593" s="1" t="s">
        <v>14537</v>
      </c>
      <c r="AB593" s="1" t="s">
        <v>1507</v>
      </c>
      <c r="AC593" s="1" t="s">
        <v>1507</v>
      </c>
      <c r="AD593" s="1" t="s">
        <v>14538</v>
      </c>
      <c r="AE593" s="1" t="s">
        <v>14538</v>
      </c>
      <c r="AF593" s="1" t="s">
        <v>14538</v>
      </c>
      <c r="AG593" s="1" t="s">
        <v>1507</v>
      </c>
      <c r="AH593" s="1">
        <v>39</v>
      </c>
      <c r="AI593" s="1">
        <v>1</v>
      </c>
      <c r="AJ593" s="1">
        <v>1</v>
      </c>
      <c r="AK593" s="1">
        <v>37</v>
      </c>
      <c r="AL593" s="1">
        <v>43</v>
      </c>
      <c r="AM593" s="1" t="s">
        <v>4284</v>
      </c>
      <c r="AN593" s="1" t="s">
        <v>4285</v>
      </c>
      <c r="AO593" s="1" t="s">
        <v>4286</v>
      </c>
      <c r="AP593" s="1" t="s">
        <v>12112</v>
      </c>
      <c r="AQ593" s="1" t="s">
        <v>12113</v>
      </c>
      <c r="AR593" s="1" t="s">
        <v>1507</v>
      </c>
      <c r="AS593" s="1" t="s">
        <v>12114</v>
      </c>
      <c r="AT593" s="1" t="s">
        <v>12115</v>
      </c>
      <c r="AU593" s="1" t="s">
        <v>12089</v>
      </c>
      <c r="AV593" s="1">
        <v>2023</v>
      </c>
      <c r="AW593" s="1">
        <v>69</v>
      </c>
      <c r="AX593" s="1">
        <v>11</v>
      </c>
      <c r="AY593" s="1" t="s">
        <v>1507</v>
      </c>
      <c r="AZ593" s="1" t="s">
        <v>1507</v>
      </c>
      <c r="BA593" s="1" t="s">
        <v>1507</v>
      </c>
      <c r="BB593" s="1" t="s">
        <v>1507</v>
      </c>
      <c r="BC593" s="1">
        <v>1238</v>
      </c>
      <c r="BD593" s="1">
        <v>1246</v>
      </c>
      <c r="BE593" s="1" t="s">
        <v>1507</v>
      </c>
      <c r="BF593" s="1" t="s">
        <v>14539</v>
      </c>
      <c r="BG593" s="1" t="str">
        <f>HYPERLINK("http://dx.doi.org/10.1093/clinchem/hvad106","http://dx.doi.org/10.1093/clinchem/hvad106")</f>
        <v>http://dx.doi.org/10.1093/clinchem/hvad106</v>
      </c>
      <c r="BH593" s="1" t="s">
        <v>1507</v>
      </c>
      <c r="BI593" s="1" t="s">
        <v>3689</v>
      </c>
      <c r="BJ593" s="1">
        <v>9</v>
      </c>
      <c r="BK593" s="1" t="s">
        <v>12116</v>
      </c>
      <c r="BL593" s="1" t="s">
        <v>1573</v>
      </c>
      <c r="BM593" s="1" t="s">
        <v>12116</v>
      </c>
      <c r="BN593" s="1" t="s">
        <v>14540</v>
      </c>
      <c r="BO593" s="1">
        <v>37664912</v>
      </c>
      <c r="BP593" s="1" t="s">
        <v>1507</v>
      </c>
      <c r="BQ593" s="1" t="s">
        <v>1507</v>
      </c>
      <c r="BR593" s="1" t="s">
        <v>1507</v>
      </c>
      <c r="BS593" s="1" t="s">
        <v>13744</v>
      </c>
      <c r="BT593" s="1" t="s">
        <v>14541</v>
      </c>
      <c r="BU593" s="1" t="str">
        <f>HYPERLINK("https%3A%2F%2Fwww.webofscience.com%2Fwos%2Fwoscc%2Ffull-record%2FWOS:001057767600001","View Full Record in Web of Science")</f>
        <v>View Full Record in Web of Science</v>
      </c>
    </row>
    <row r="594" spans="1:73" x14ac:dyDescent="0.25">
      <c r="A594" s="1">
        <v>593</v>
      </c>
      <c r="B594" s="1" t="s">
        <v>1506</v>
      </c>
      <c r="C594" s="1" t="s">
        <v>7979</v>
      </c>
      <c r="D594" s="1" t="s">
        <v>1507</v>
      </c>
      <c r="E594" s="1" t="s">
        <v>1507</v>
      </c>
      <c r="F594" s="1" t="s">
        <v>1507</v>
      </c>
      <c r="G594" s="1" t="s">
        <v>7980</v>
      </c>
      <c r="H594" s="1" t="s">
        <v>1507</v>
      </c>
      <c r="I594" s="1" t="s">
        <v>1507</v>
      </c>
      <c r="J594" s="1" t="s">
        <v>7981</v>
      </c>
      <c r="K594" s="1" t="s">
        <v>7982</v>
      </c>
      <c r="L594" s="1" t="s">
        <v>1507</v>
      </c>
      <c r="M594" s="1" t="s">
        <v>1507</v>
      </c>
      <c r="N594" s="1" t="s">
        <v>42</v>
      </c>
      <c r="O594" s="1" t="s">
        <v>56</v>
      </c>
      <c r="P594" s="1" t="s">
        <v>1507</v>
      </c>
      <c r="Q594" s="1" t="s">
        <v>1507</v>
      </c>
      <c r="R594" s="1" t="s">
        <v>1507</v>
      </c>
      <c r="S594" s="1" t="s">
        <v>1507</v>
      </c>
      <c r="T594" s="1" t="s">
        <v>1507</v>
      </c>
      <c r="U594" s="1" t="s">
        <v>7983</v>
      </c>
      <c r="V594" s="1" t="s">
        <v>7984</v>
      </c>
      <c r="W594" s="1" t="s">
        <v>7985</v>
      </c>
      <c r="X594" s="1" t="s">
        <v>7986</v>
      </c>
      <c r="Y594" s="1" t="s">
        <v>7987</v>
      </c>
      <c r="Z594" s="1" t="s">
        <v>7988</v>
      </c>
      <c r="AA594" s="1" t="s">
        <v>7989</v>
      </c>
      <c r="AB594" s="1" t="s">
        <v>15681</v>
      </c>
      <c r="AC594" s="1" t="s">
        <v>15682</v>
      </c>
      <c r="AD594" s="1" t="s">
        <v>7990</v>
      </c>
      <c r="AE594" s="1" t="s">
        <v>7991</v>
      </c>
      <c r="AF594" s="1" t="s">
        <v>7992</v>
      </c>
      <c r="AG594" s="1" t="s">
        <v>1507</v>
      </c>
      <c r="AH594" s="1">
        <v>74</v>
      </c>
      <c r="AI594" s="1">
        <v>8</v>
      </c>
      <c r="AJ594" s="1">
        <v>8</v>
      </c>
      <c r="AK594" s="1">
        <v>8</v>
      </c>
      <c r="AL594" s="1">
        <v>38</v>
      </c>
      <c r="AM594" s="1" t="s">
        <v>1582</v>
      </c>
      <c r="AN594" s="1" t="s">
        <v>1583</v>
      </c>
      <c r="AO594" s="1" t="s">
        <v>1584</v>
      </c>
      <c r="AP594" s="1" t="s">
        <v>7993</v>
      </c>
      <c r="AQ594" s="1" t="s">
        <v>7994</v>
      </c>
      <c r="AR594" s="1" t="s">
        <v>1507</v>
      </c>
      <c r="AS594" s="1" t="s">
        <v>7995</v>
      </c>
      <c r="AT594" s="1" t="s">
        <v>7996</v>
      </c>
      <c r="AU594" s="1" t="s">
        <v>15683</v>
      </c>
      <c r="AV594" s="1">
        <v>2022</v>
      </c>
      <c r="AW594" s="1">
        <v>73</v>
      </c>
      <c r="AX594" s="1">
        <v>3</v>
      </c>
      <c r="AY594" s="1" t="s">
        <v>1507</v>
      </c>
      <c r="AZ594" s="1" t="s">
        <v>1507</v>
      </c>
      <c r="BA594" s="1" t="s">
        <v>1507</v>
      </c>
      <c r="BB594" s="1" t="s">
        <v>1507</v>
      </c>
      <c r="BC594" s="1">
        <v>835</v>
      </c>
      <c r="BD594" s="1">
        <v>847</v>
      </c>
      <c r="BE594" s="1" t="s">
        <v>1507</v>
      </c>
      <c r="BF594" s="1" t="s">
        <v>7997</v>
      </c>
      <c r="BG594" s="1" t="str">
        <f>HYPERLINK("http://dx.doi.org/10.1093/jxb/erab430","http://dx.doi.org/10.1093/jxb/erab430")</f>
        <v>http://dx.doi.org/10.1093/jxb/erab430</v>
      </c>
      <c r="BH594" s="1" t="s">
        <v>1507</v>
      </c>
      <c r="BI594" s="1" t="s">
        <v>7958</v>
      </c>
      <c r="BJ594" s="1">
        <v>13</v>
      </c>
      <c r="BK594" s="1" t="s">
        <v>2914</v>
      </c>
      <c r="BL594" s="1" t="s">
        <v>1573</v>
      </c>
      <c r="BM594" s="1" t="s">
        <v>2914</v>
      </c>
      <c r="BN594" s="1" t="s">
        <v>7998</v>
      </c>
      <c r="BO594" s="1">
        <v>34545936</v>
      </c>
      <c r="BP594" s="1" t="s">
        <v>3572</v>
      </c>
      <c r="BQ594" s="1" t="s">
        <v>1507</v>
      </c>
      <c r="BR594" s="1" t="s">
        <v>1507</v>
      </c>
      <c r="BS594" s="1" t="s">
        <v>13744</v>
      </c>
      <c r="BT594" s="1" t="s">
        <v>7999</v>
      </c>
      <c r="BU594" s="1" t="str">
        <f>HYPERLINK("https%3A%2F%2Fwww.webofscience.com%2Fwos%2Fwoscc%2Ffull-record%2FWOS:000761507000015","View Full Record in Web of Science")</f>
        <v>View Full Record in Web of Science</v>
      </c>
    </row>
    <row r="595" spans="1:73" x14ac:dyDescent="0.25">
      <c r="A595" s="1">
        <v>594</v>
      </c>
      <c r="B595" s="1" t="s">
        <v>1506</v>
      </c>
      <c r="C595" s="1" t="s">
        <v>3231</v>
      </c>
      <c r="D595" s="1" t="s">
        <v>1507</v>
      </c>
      <c r="E595" s="1" t="s">
        <v>1507</v>
      </c>
      <c r="F595" s="1" t="s">
        <v>1507</v>
      </c>
      <c r="G595" s="1" t="s">
        <v>3232</v>
      </c>
      <c r="H595" s="1" t="s">
        <v>1507</v>
      </c>
      <c r="I595" s="1" t="s">
        <v>1507</v>
      </c>
      <c r="J595" s="1" t="s">
        <v>3233</v>
      </c>
      <c r="K595" s="1" t="s">
        <v>1999</v>
      </c>
      <c r="L595" s="1" t="s">
        <v>1507</v>
      </c>
      <c r="M595" s="1" t="s">
        <v>1507</v>
      </c>
      <c r="N595" s="1" t="s">
        <v>42</v>
      </c>
      <c r="O595" s="1" t="s">
        <v>56</v>
      </c>
      <c r="P595" s="1" t="s">
        <v>1507</v>
      </c>
      <c r="Q595" s="1" t="s">
        <v>1507</v>
      </c>
      <c r="R595" s="1" t="s">
        <v>1507</v>
      </c>
      <c r="S595" s="1" t="s">
        <v>1507</v>
      </c>
      <c r="T595" s="1" t="s">
        <v>1507</v>
      </c>
      <c r="U595" s="1" t="s">
        <v>1507</v>
      </c>
      <c r="V595" s="1" t="s">
        <v>3234</v>
      </c>
      <c r="W595" s="1" t="s">
        <v>3235</v>
      </c>
      <c r="X595" s="1" t="s">
        <v>3236</v>
      </c>
      <c r="Y595" s="1" t="s">
        <v>3237</v>
      </c>
      <c r="Z595" s="1" t="s">
        <v>3238</v>
      </c>
      <c r="AA595" s="1" t="s">
        <v>3239</v>
      </c>
      <c r="AB595" s="1" t="s">
        <v>1507</v>
      </c>
      <c r="AC595" s="1" t="s">
        <v>3240</v>
      </c>
      <c r="AD595" s="1" t="s">
        <v>3241</v>
      </c>
      <c r="AE595" s="1" t="s">
        <v>3242</v>
      </c>
      <c r="AF595" s="1" t="s">
        <v>3243</v>
      </c>
      <c r="AG595" s="1" t="s">
        <v>1507</v>
      </c>
      <c r="AH595" s="1">
        <v>34</v>
      </c>
      <c r="AI595" s="1">
        <v>0</v>
      </c>
      <c r="AJ595" s="1">
        <v>0</v>
      </c>
      <c r="AK595" s="1">
        <v>31</v>
      </c>
      <c r="AL595" s="1">
        <v>31</v>
      </c>
      <c r="AM595" s="1" t="s">
        <v>2009</v>
      </c>
      <c r="AN595" s="1" t="s">
        <v>2010</v>
      </c>
      <c r="AO595" s="1" t="s">
        <v>2011</v>
      </c>
      <c r="AP595" s="1" t="s">
        <v>2012</v>
      </c>
      <c r="AQ595" s="1" t="s">
        <v>1507</v>
      </c>
      <c r="AR595" s="1" t="s">
        <v>1507</v>
      </c>
      <c r="AS595" s="1" t="s">
        <v>1999</v>
      </c>
      <c r="AT595" s="1" t="s">
        <v>2013</v>
      </c>
      <c r="AU595" s="1" t="s">
        <v>3226</v>
      </c>
      <c r="AV595" s="1">
        <v>2023</v>
      </c>
      <c r="AW595" s="1">
        <v>18</v>
      </c>
      <c r="AX595" s="1">
        <v>10</v>
      </c>
      <c r="AY595" s="1" t="s">
        <v>1507</v>
      </c>
      <c r="AZ595" s="1" t="s">
        <v>1507</v>
      </c>
      <c r="BA595" s="1" t="s">
        <v>1507</v>
      </c>
      <c r="BB595" s="1" t="s">
        <v>1507</v>
      </c>
      <c r="BC595" s="1" t="s">
        <v>1507</v>
      </c>
      <c r="BD595" s="1" t="s">
        <v>1507</v>
      </c>
      <c r="BE595" s="1" t="s">
        <v>3244</v>
      </c>
      <c r="BF595" s="1" t="s">
        <v>3245</v>
      </c>
      <c r="BG595" s="1" t="str">
        <f>HYPERLINK("http://dx.doi.org/10.1371/journal.pone.0292903","http://dx.doi.org/10.1371/journal.pone.0292903")</f>
        <v>http://dx.doi.org/10.1371/journal.pone.0292903</v>
      </c>
      <c r="BH595" s="1" t="s">
        <v>1507</v>
      </c>
      <c r="BI595" s="1" t="s">
        <v>1507</v>
      </c>
      <c r="BJ595" s="1">
        <v>18</v>
      </c>
      <c r="BK595" s="1" t="s">
        <v>1776</v>
      </c>
      <c r="BL595" s="1" t="s">
        <v>1573</v>
      </c>
      <c r="BM595" s="1" t="s">
        <v>1777</v>
      </c>
      <c r="BN595" s="1" t="s">
        <v>3246</v>
      </c>
      <c r="BO595" s="1">
        <v>37824573</v>
      </c>
      <c r="BP595" s="1" t="s">
        <v>1952</v>
      </c>
      <c r="BQ595" s="1" t="s">
        <v>1507</v>
      </c>
      <c r="BR595" s="1" t="s">
        <v>1507</v>
      </c>
      <c r="BS595" s="1" t="s">
        <v>13744</v>
      </c>
      <c r="BT595" s="1" t="s">
        <v>3247</v>
      </c>
      <c r="BU595" s="1" t="str">
        <f>HYPERLINK("https%3A%2F%2Fwww.webofscience.com%2Fwos%2Fwoscc%2Ffull-record%2FWOS:001092548300091","View Full Record in Web of Science")</f>
        <v>View Full Record in Web of Science</v>
      </c>
    </row>
    <row r="596" spans="1:73" x14ac:dyDescent="0.25">
      <c r="A596" s="1">
        <v>595</v>
      </c>
      <c r="B596" s="1" t="s">
        <v>1506</v>
      </c>
      <c r="C596" s="1" t="s">
        <v>8235</v>
      </c>
      <c r="D596" s="1" t="s">
        <v>1507</v>
      </c>
      <c r="E596" s="1" t="s">
        <v>1507</v>
      </c>
      <c r="F596" s="1" t="s">
        <v>1507</v>
      </c>
      <c r="G596" s="1" t="s">
        <v>8236</v>
      </c>
      <c r="H596" s="1" t="s">
        <v>1507</v>
      </c>
      <c r="I596" s="1" t="s">
        <v>1507</v>
      </c>
      <c r="J596" s="1" t="s">
        <v>8237</v>
      </c>
      <c r="K596" s="1" t="s">
        <v>8238</v>
      </c>
      <c r="L596" s="1" t="s">
        <v>1507</v>
      </c>
      <c r="M596" s="1" t="s">
        <v>1507</v>
      </c>
      <c r="N596" s="1" t="s">
        <v>42</v>
      </c>
      <c r="O596" s="1" t="s">
        <v>56</v>
      </c>
      <c r="P596" s="1" t="s">
        <v>1507</v>
      </c>
      <c r="Q596" s="1" t="s">
        <v>1507</v>
      </c>
      <c r="R596" s="1" t="s">
        <v>1507</v>
      </c>
      <c r="S596" s="1" t="s">
        <v>1507</v>
      </c>
      <c r="T596" s="1" t="s">
        <v>1507</v>
      </c>
      <c r="U596" s="1" t="s">
        <v>8239</v>
      </c>
      <c r="V596" s="1" t="s">
        <v>8240</v>
      </c>
      <c r="W596" s="1" t="s">
        <v>8241</v>
      </c>
      <c r="X596" s="1" t="s">
        <v>8242</v>
      </c>
      <c r="Y596" s="1" t="s">
        <v>15713</v>
      </c>
      <c r="Z596" s="1" t="s">
        <v>8243</v>
      </c>
      <c r="AA596" s="1" t="s">
        <v>8244</v>
      </c>
      <c r="AB596" s="1" t="s">
        <v>15714</v>
      </c>
      <c r="AC596" s="1" t="s">
        <v>15715</v>
      </c>
      <c r="AD596" s="1" t="s">
        <v>8245</v>
      </c>
      <c r="AE596" s="1" t="s">
        <v>8246</v>
      </c>
      <c r="AF596" s="1" t="s">
        <v>8247</v>
      </c>
      <c r="AG596" s="1" t="s">
        <v>1507</v>
      </c>
      <c r="AH596" s="1">
        <v>42</v>
      </c>
      <c r="AI596" s="1">
        <v>2</v>
      </c>
      <c r="AJ596" s="1">
        <v>2</v>
      </c>
      <c r="AK596" s="1">
        <v>0</v>
      </c>
      <c r="AL596" s="1">
        <v>4</v>
      </c>
      <c r="AM596" s="1" t="s">
        <v>1610</v>
      </c>
      <c r="AN596" s="1" t="s">
        <v>1611</v>
      </c>
      <c r="AO596" s="1" t="s">
        <v>1612</v>
      </c>
      <c r="AP596" s="1" t="s">
        <v>1507</v>
      </c>
      <c r="AQ596" s="1" t="s">
        <v>8248</v>
      </c>
      <c r="AR596" s="1" t="s">
        <v>1507</v>
      </c>
      <c r="AS596" s="1" t="s">
        <v>8238</v>
      </c>
      <c r="AT596" s="1" t="s">
        <v>1094</v>
      </c>
      <c r="AU596" s="1" t="s">
        <v>3992</v>
      </c>
      <c r="AV596" s="1">
        <v>2021</v>
      </c>
      <c r="AW596" s="1">
        <v>11</v>
      </c>
      <c r="AX596" s="1">
        <v>9</v>
      </c>
      <c r="AY596" s="1" t="s">
        <v>1507</v>
      </c>
      <c r="AZ596" s="1" t="s">
        <v>1507</v>
      </c>
      <c r="BA596" s="1" t="s">
        <v>1507</v>
      </c>
      <c r="BB596" s="1" t="s">
        <v>1507</v>
      </c>
      <c r="BC596" s="1" t="s">
        <v>1507</v>
      </c>
      <c r="BD596" s="1" t="s">
        <v>1507</v>
      </c>
      <c r="BE596" s="1">
        <v>1268</v>
      </c>
      <c r="BF596" s="1" t="s">
        <v>1095</v>
      </c>
      <c r="BG596" s="1" t="str">
        <f>HYPERLINK("http://dx.doi.org/10.3390/biom11091268","http://dx.doi.org/10.3390/biom11091268")</f>
        <v>http://dx.doi.org/10.3390/biom11091268</v>
      </c>
      <c r="BH596" s="1" t="s">
        <v>1507</v>
      </c>
      <c r="BI596" s="1" t="s">
        <v>1507</v>
      </c>
      <c r="BJ596" s="1">
        <v>15</v>
      </c>
      <c r="BK596" s="1" t="s">
        <v>4290</v>
      </c>
      <c r="BL596" s="1" t="s">
        <v>1573</v>
      </c>
      <c r="BM596" s="1" t="s">
        <v>4290</v>
      </c>
      <c r="BN596" s="1" t="s">
        <v>8249</v>
      </c>
      <c r="BO596" s="1">
        <v>34572480</v>
      </c>
      <c r="BP596" s="1" t="s">
        <v>1952</v>
      </c>
      <c r="BQ596" s="1" t="s">
        <v>1507</v>
      </c>
      <c r="BR596" s="1" t="s">
        <v>1507</v>
      </c>
      <c r="BS596" s="1" t="s">
        <v>13744</v>
      </c>
      <c r="BT596" s="1" t="s">
        <v>8250</v>
      </c>
      <c r="BU596" s="1" t="str">
        <f>HYPERLINK("https%3A%2F%2Fwww.webofscience.com%2Fwos%2Fwoscc%2Ffull-record%2FWOS:000699229600001","View Full Record in Web of Science")</f>
        <v>View Full Record in Web of Science</v>
      </c>
    </row>
    <row r="597" spans="1:73" x14ac:dyDescent="0.25">
      <c r="A597" s="1">
        <v>596</v>
      </c>
      <c r="B597" s="1" t="s">
        <v>5546</v>
      </c>
      <c r="C597" s="1" t="s">
        <v>15491</v>
      </c>
      <c r="D597" s="1" t="s">
        <v>1507</v>
      </c>
      <c r="E597" s="1" t="s">
        <v>15492</v>
      </c>
      <c r="F597" s="1" t="s">
        <v>1507</v>
      </c>
      <c r="G597" s="1" t="s">
        <v>15493</v>
      </c>
      <c r="H597" s="1" t="s">
        <v>1507</v>
      </c>
      <c r="I597" s="1" t="s">
        <v>1507</v>
      </c>
      <c r="J597" s="1" t="s">
        <v>15494</v>
      </c>
      <c r="K597" s="1" t="s">
        <v>15495</v>
      </c>
      <c r="L597" s="1" t="s">
        <v>1507</v>
      </c>
      <c r="M597" s="1" t="s">
        <v>1507</v>
      </c>
      <c r="N597" s="1" t="s">
        <v>42</v>
      </c>
      <c r="O597" s="1" t="s">
        <v>5552</v>
      </c>
      <c r="P597" s="1" t="s">
        <v>15496</v>
      </c>
      <c r="Q597" s="1" t="s">
        <v>15497</v>
      </c>
      <c r="R597" s="1" t="s">
        <v>6057</v>
      </c>
      <c r="S597" s="1" t="s">
        <v>15498</v>
      </c>
      <c r="T597" s="1" t="s">
        <v>1507</v>
      </c>
      <c r="U597" s="1" t="s">
        <v>15499</v>
      </c>
      <c r="V597" s="1" t="s">
        <v>15500</v>
      </c>
      <c r="W597" s="1" t="s">
        <v>15501</v>
      </c>
      <c r="X597" s="1" t="s">
        <v>15502</v>
      </c>
      <c r="Y597" s="1" t="s">
        <v>15503</v>
      </c>
      <c r="Z597" s="1" t="s">
        <v>15504</v>
      </c>
      <c r="AA597" s="1" t="s">
        <v>15505</v>
      </c>
      <c r="AB597" s="1" t="s">
        <v>1507</v>
      </c>
      <c r="AC597" s="1" t="s">
        <v>15506</v>
      </c>
      <c r="AD597" s="1" t="s">
        <v>1507</v>
      </c>
      <c r="AE597" s="1" t="s">
        <v>1507</v>
      </c>
      <c r="AF597" s="1" t="s">
        <v>1507</v>
      </c>
      <c r="AG597" s="1" t="s">
        <v>1507</v>
      </c>
      <c r="AH597" s="1">
        <v>41</v>
      </c>
      <c r="AI597" s="1">
        <v>0</v>
      </c>
      <c r="AJ597" s="1">
        <v>0</v>
      </c>
      <c r="AK597" s="1">
        <v>2</v>
      </c>
      <c r="AL597" s="1">
        <v>2</v>
      </c>
      <c r="AM597" s="1" t="s">
        <v>5565</v>
      </c>
      <c r="AN597" s="1" t="s">
        <v>1512</v>
      </c>
      <c r="AO597" s="1" t="s">
        <v>5566</v>
      </c>
      <c r="AP597" s="1" t="s">
        <v>1507</v>
      </c>
      <c r="AQ597" s="1" t="s">
        <v>1507</v>
      </c>
      <c r="AR597" s="1" t="s">
        <v>15507</v>
      </c>
      <c r="AS597" s="1" t="s">
        <v>1507</v>
      </c>
      <c r="AT597" s="1" t="s">
        <v>1507</v>
      </c>
      <c r="AU597" s="1" t="s">
        <v>1507</v>
      </c>
      <c r="AV597" s="1">
        <v>2023</v>
      </c>
      <c r="AW597" s="1" t="s">
        <v>1507</v>
      </c>
      <c r="AX597" s="1" t="s">
        <v>1507</v>
      </c>
      <c r="AY597" s="1" t="s">
        <v>1507</v>
      </c>
      <c r="AZ597" s="1" t="s">
        <v>1507</v>
      </c>
      <c r="BA597" s="1" t="s">
        <v>1507</v>
      </c>
      <c r="BB597" s="1" t="s">
        <v>1507</v>
      </c>
      <c r="BC597" s="1">
        <v>36</v>
      </c>
      <c r="BD597" s="1">
        <v>43</v>
      </c>
      <c r="BE597" s="1" t="s">
        <v>1507</v>
      </c>
      <c r="BF597" s="1" t="s">
        <v>15508</v>
      </c>
      <c r="BG597" s="1" t="str">
        <f>HYPERLINK("http://dx.doi.org/10.1145/3615890.3628538","http://dx.doi.org/10.1145/3615890.3628538")</f>
        <v>http://dx.doi.org/10.1145/3615890.3628538</v>
      </c>
      <c r="BH597" s="1" t="s">
        <v>1507</v>
      </c>
      <c r="BI597" s="1" t="s">
        <v>1507</v>
      </c>
      <c r="BJ597" s="1">
        <v>8</v>
      </c>
      <c r="BK597" s="1" t="s">
        <v>15509</v>
      </c>
      <c r="BL597" s="1" t="s">
        <v>5570</v>
      </c>
      <c r="BM597" s="1" t="s">
        <v>1577</v>
      </c>
      <c r="BN597" s="1" t="s">
        <v>15510</v>
      </c>
      <c r="BO597" s="1" t="s">
        <v>1507</v>
      </c>
      <c r="BP597" s="1" t="s">
        <v>2574</v>
      </c>
      <c r="BQ597" s="1" t="s">
        <v>1507</v>
      </c>
      <c r="BR597" s="1" t="s">
        <v>1507</v>
      </c>
      <c r="BS597" s="1" t="s">
        <v>13744</v>
      </c>
      <c r="BT597" s="1" t="s">
        <v>15511</v>
      </c>
      <c r="BU597" s="1" t="str">
        <f>HYPERLINK("https%3A%2F%2Fwww.webofscience.com%2Fwos%2Fwoscc%2Ffull-record%2FWOS:001161646800006","View Full Record in Web of Science")</f>
        <v>View Full Record in Web of Science</v>
      </c>
    </row>
    <row r="598" spans="1:73" x14ac:dyDescent="0.25">
      <c r="A598" s="1">
        <v>597</v>
      </c>
      <c r="B598" s="1" t="s">
        <v>1506</v>
      </c>
      <c r="C598" s="1" t="s">
        <v>4368</v>
      </c>
      <c r="D598" s="1" t="s">
        <v>1507</v>
      </c>
      <c r="E598" s="1" t="s">
        <v>1507</v>
      </c>
      <c r="F598" s="1" t="s">
        <v>1507</v>
      </c>
      <c r="G598" s="1" t="s">
        <v>4369</v>
      </c>
      <c r="H598" s="1" t="s">
        <v>1507</v>
      </c>
      <c r="I598" s="1" t="s">
        <v>1507</v>
      </c>
      <c r="J598" s="1" t="s">
        <v>4370</v>
      </c>
      <c r="K598" s="1" t="s">
        <v>4371</v>
      </c>
      <c r="L598" s="1" t="s">
        <v>1507</v>
      </c>
      <c r="M598" s="1" t="s">
        <v>1507</v>
      </c>
      <c r="N598" s="1" t="s">
        <v>42</v>
      </c>
      <c r="O598" s="1" t="s">
        <v>56</v>
      </c>
      <c r="P598" s="1" t="s">
        <v>1507</v>
      </c>
      <c r="Q598" s="1" t="s">
        <v>1507</v>
      </c>
      <c r="R598" s="1" t="s">
        <v>1507</v>
      </c>
      <c r="S598" s="1" t="s">
        <v>1507</v>
      </c>
      <c r="T598" s="1" t="s">
        <v>1507</v>
      </c>
      <c r="U598" s="1" t="s">
        <v>4372</v>
      </c>
      <c r="V598" s="1" t="s">
        <v>4373</v>
      </c>
      <c r="W598" s="1" t="s">
        <v>4374</v>
      </c>
      <c r="X598" s="1" t="s">
        <v>4375</v>
      </c>
      <c r="Y598" s="1" t="s">
        <v>4376</v>
      </c>
      <c r="Z598" s="1" t="s">
        <v>4377</v>
      </c>
      <c r="AA598" s="1" t="s">
        <v>4378</v>
      </c>
      <c r="AB598" s="1" t="s">
        <v>4379</v>
      </c>
      <c r="AC598" s="1" t="s">
        <v>1507</v>
      </c>
      <c r="AD598" s="1" t="s">
        <v>4380</v>
      </c>
      <c r="AE598" s="1" t="s">
        <v>4381</v>
      </c>
      <c r="AF598" s="1" t="s">
        <v>4382</v>
      </c>
      <c r="AG598" s="1" t="s">
        <v>1507</v>
      </c>
      <c r="AH598" s="1">
        <v>42</v>
      </c>
      <c r="AI598" s="1">
        <v>2</v>
      </c>
      <c r="AJ598" s="1">
        <v>2</v>
      </c>
      <c r="AK598" s="1">
        <v>13</v>
      </c>
      <c r="AL598" s="1">
        <v>22</v>
      </c>
      <c r="AM598" s="1" t="s">
        <v>1900</v>
      </c>
      <c r="AN598" s="1" t="s">
        <v>1583</v>
      </c>
      <c r="AO598" s="1" t="s">
        <v>1901</v>
      </c>
      <c r="AP598" s="1" t="s">
        <v>4383</v>
      </c>
      <c r="AQ598" s="1" t="s">
        <v>4384</v>
      </c>
      <c r="AR598" s="1" t="s">
        <v>1507</v>
      </c>
      <c r="AS598" s="1" t="s">
        <v>4385</v>
      </c>
      <c r="AT598" s="1" t="s">
        <v>4386</v>
      </c>
      <c r="AU598" s="1" t="s">
        <v>4387</v>
      </c>
      <c r="AV598" s="1">
        <v>2023</v>
      </c>
      <c r="AW598" s="1">
        <v>303</v>
      </c>
      <c r="AX598" s="1" t="s">
        <v>1507</v>
      </c>
      <c r="AY598" s="1" t="s">
        <v>1507</v>
      </c>
      <c r="AZ598" s="1" t="s">
        <v>1507</v>
      </c>
      <c r="BA598" s="1" t="s">
        <v>1507</v>
      </c>
      <c r="BB598" s="1" t="s">
        <v>1507</v>
      </c>
      <c r="BC598" s="1" t="s">
        <v>1507</v>
      </c>
      <c r="BD598" s="1" t="s">
        <v>1507</v>
      </c>
      <c r="BE598" s="1">
        <v>123170</v>
      </c>
      <c r="BF598" s="1" t="s">
        <v>4388</v>
      </c>
      <c r="BG598" s="1" t="str">
        <f>HYPERLINK("http://dx.doi.org/10.1016/j.saa.2023.123170","http://dx.doi.org/10.1016/j.saa.2023.123170")</f>
        <v>http://dx.doi.org/10.1016/j.saa.2023.123170</v>
      </c>
      <c r="BH598" s="1" t="s">
        <v>1507</v>
      </c>
      <c r="BI598" s="1" t="s">
        <v>4389</v>
      </c>
      <c r="BJ598" s="1">
        <v>11</v>
      </c>
      <c r="BK598" s="1" t="s">
        <v>4390</v>
      </c>
      <c r="BL598" s="1" t="s">
        <v>1573</v>
      </c>
      <c r="BM598" s="1" t="s">
        <v>4390</v>
      </c>
      <c r="BN598" s="1" t="s">
        <v>4391</v>
      </c>
      <c r="BO598" s="1">
        <v>37517265</v>
      </c>
      <c r="BP598" s="1" t="s">
        <v>1507</v>
      </c>
      <c r="BQ598" s="1" t="s">
        <v>1507</v>
      </c>
      <c r="BR598" s="1" t="s">
        <v>1507</v>
      </c>
      <c r="BS598" s="1" t="s">
        <v>13744</v>
      </c>
      <c r="BT598" s="1" t="s">
        <v>4392</v>
      </c>
      <c r="BU598" s="1" t="str">
        <f>HYPERLINK("https%3A%2F%2Fwww.webofscience.com%2Fwos%2Fwoscc%2Ffull-record%2FWOS:001058475600001","View Full Record in Web of Science")</f>
        <v>View Full Record in Web of Science</v>
      </c>
    </row>
    <row r="599" spans="1:73" x14ac:dyDescent="0.25">
      <c r="A599" s="1">
        <v>598</v>
      </c>
      <c r="B599" s="1" t="s">
        <v>1506</v>
      </c>
      <c r="C599" s="1" t="s">
        <v>6593</v>
      </c>
      <c r="D599" s="1" t="s">
        <v>1507</v>
      </c>
      <c r="E599" s="1" t="s">
        <v>1507</v>
      </c>
      <c r="F599" s="1" t="s">
        <v>1507</v>
      </c>
      <c r="G599" s="1" t="s">
        <v>6594</v>
      </c>
      <c r="H599" s="1" t="s">
        <v>1507</v>
      </c>
      <c r="I599" s="1" t="s">
        <v>1507</v>
      </c>
      <c r="J599" s="1" t="s">
        <v>6595</v>
      </c>
      <c r="K599" s="1" t="s">
        <v>6596</v>
      </c>
      <c r="L599" s="1" t="s">
        <v>1507</v>
      </c>
      <c r="M599" s="1" t="s">
        <v>1507</v>
      </c>
      <c r="N599" s="1" t="s">
        <v>42</v>
      </c>
      <c r="O599" s="1" t="s">
        <v>56</v>
      </c>
      <c r="P599" s="1" t="s">
        <v>1507</v>
      </c>
      <c r="Q599" s="1" t="s">
        <v>1507</v>
      </c>
      <c r="R599" s="1" t="s">
        <v>1507</v>
      </c>
      <c r="S599" s="1" t="s">
        <v>1507</v>
      </c>
      <c r="T599" s="1" t="s">
        <v>1507</v>
      </c>
      <c r="U599" s="1" t="s">
        <v>6597</v>
      </c>
      <c r="V599" s="1" t="s">
        <v>6598</v>
      </c>
      <c r="W599" s="1" t="s">
        <v>6599</v>
      </c>
      <c r="X599" s="1" t="s">
        <v>6600</v>
      </c>
      <c r="Y599" s="1" t="s">
        <v>6601</v>
      </c>
      <c r="Z599" s="1" t="s">
        <v>6602</v>
      </c>
      <c r="AA599" s="1" t="s">
        <v>6603</v>
      </c>
      <c r="AB599" s="1" t="s">
        <v>1507</v>
      </c>
      <c r="AC599" s="1" t="s">
        <v>1507</v>
      </c>
      <c r="AD599" s="1" t="s">
        <v>6604</v>
      </c>
      <c r="AE599" s="1" t="s">
        <v>6604</v>
      </c>
      <c r="AF599" s="1" t="s">
        <v>6605</v>
      </c>
      <c r="AG599" s="1" t="s">
        <v>1507</v>
      </c>
      <c r="AH599" s="1">
        <v>58</v>
      </c>
      <c r="AI599" s="1">
        <v>0</v>
      </c>
      <c r="AJ599" s="1">
        <v>0</v>
      </c>
      <c r="AK599" s="1">
        <v>2</v>
      </c>
      <c r="AL599" s="1">
        <v>2</v>
      </c>
      <c r="AM599" s="1" t="s">
        <v>6606</v>
      </c>
      <c r="AN599" s="1" t="s">
        <v>6607</v>
      </c>
      <c r="AO599" s="1" t="s">
        <v>6608</v>
      </c>
      <c r="AP599" s="1" t="s">
        <v>6609</v>
      </c>
      <c r="AQ599" s="1" t="s">
        <v>1507</v>
      </c>
      <c r="AR599" s="1" t="s">
        <v>1507</v>
      </c>
      <c r="AS599" s="1" t="s">
        <v>6610</v>
      </c>
      <c r="AT599" s="1" t="s">
        <v>6611</v>
      </c>
      <c r="AU599" s="1" t="s">
        <v>1507</v>
      </c>
      <c r="AV599" s="1">
        <v>2023</v>
      </c>
      <c r="AW599" s="1">
        <v>24</v>
      </c>
      <c r="AX599" s="1">
        <v>4</v>
      </c>
      <c r="AY599" s="1" t="s">
        <v>1507</v>
      </c>
      <c r="AZ599" s="1" t="s">
        <v>1507</v>
      </c>
      <c r="BA599" s="1" t="s">
        <v>1507</v>
      </c>
      <c r="BB599" s="1" t="s">
        <v>1507</v>
      </c>
      <c r="BC599" s="1">
        <v>465</v>
      </c>
      <c r="BD599" s="1">
        <v>496</v>
      </c>
      <c r="BE599" s="1" t="s">
        <v>1507</v>
      </c>
      <c r="BF599" s="1" t="s">
        <v>1507</v>
      </c>
      <c r="BG599" s="1" t="s">
        <v>1507</v>
      </c>
      <c r="BH599" s="1" t="s">
        <v>1507</v>
      </c>
      <c r="BI599" s="1" t="s">
        <v>1507</v>
      </c>
      <c r="BJ599" s="1">
        <v>32</v>
      </c>
      <c r="BK599" s="1" t="s">
        <v>6612</v>
      </c>
      <c r="BL599" s="1" t="s">
        <v>1529</v>
      </c>
      <c r="BM599" s="1" t="s">
        <v>6612</v>
      </c>
      <c r="BN599" s="1" t="s">
        <v>6613</v>
      </c>
      <c r="BO599" s="1" t="s">
        <v>1507</v>
      </c>
      <c r="BP599" s="1" t="s">
        <v>1507</v>
      </c>
      <c r="BQ599" s="1" t="s">
        <v>1507</v>
      </c>
      <c r="BR599" s="1" t="s">
        <v>1507</v>
      </c>
      <c r="BS599" s="1" t="s">
        <v>13744</v>
      </c>
      <c r="BT599" s="1" t="s">
        <v>6614</v>
      </c>
      <c r="BU599" s="1" t="str">
        <f>HYPERLINK("https%3A%2F%2Fwww.webofscience.com%2Fwos%2Fwoscc%2Ffull-record%2FWOS:001147235500003","View Full Record in Web of Science")</f>
        <v>View Full Record in Web of Science</v>
      </c>
    </row>
    <row r="600" spans="1:73" x14ac:dyDescent="0.25">
      <c r="A600" s="1">
        <v>599</v>
      </c>
      <c r="B600" s="1" t="s">
        <v>1506</v>
      </c>
      <c r="C600" s="1" t="s">
        <v>10999</v>
      </c>
      <c r="D600" s="1" t="s">
        <v>1507</v>
      </c>
      <c r="E600" s="1" t="s">
        <v>1507</v>
      </c>
      <c r="F600" s="1" t="s">
        <v>1507</v>
      </c>
      <c r="G600" s="1" t="s">
        <v>11000</v>
      </c>
      <c r="H600" s="1" t="s">
        <v>1507</v>
      </c>
      <c r="I600" s="1" t="s">
        <v>1507</v>
      </c>
      <c r="J600" s="1" t="s">
        <v>11001</v>
      </c>
      <c r="K600" s="1" t="s">
        <v>11002</v>
      </c>
      <c r="L600" s="1" t="s">
        <v>1507</v>
      </c>
      <c r="M600" s="1" t="s">
        <v>1507</v>
      </c>
      <c r="N600" s="1" t="s">
        <v>42</v>
      </c>
      <c r="O600" s="1" t="s">
        <v>56</v>
      </c>
      <c r="P600" s="1" t="s">
        <v>1507</v>
      </c>
      <c r="Q600" s="1" t="s">
        <v>1507</v>
      </c>
      <c r="R600" s="1" t="s">
        <v>1507</v>
      </c>
      <c r="S600" s="1" t="s">
        <v>1507</v>
      </c>
      <c r="T600" s="1" t="s">
        <v>1507</v>
      </c>
      <c r="U600" s="1" t="s">
        <v>11003</v>
      </c>
      <c r="V600" s="1" t="s">
        <v>11004</v>
      </c>
      <c r="W600" s="1" t="s">
        <v>11005</v>
      </c>
      <c r="X600" s="1" t="s">
        <v>11006</v>
      </c>
      <c r="Y600" s="1" t="s">
        <v>11007</v>
      </c>
      <c r="Z600" s="1" t="s">
        <v>11008</v>
      </c>
      <c r="AA600" s="1" t="s">
        <v>11009</v>
      </c>
      <c r="AB600" s="1" t="s">
        <v>1507</v>
      </c>
      <c r="AC600" s="1" t="s">
        <v>11010</v>
      </c>
      <c r="AD600" s="1" t="s">
        <v>11011</v>
      </c>
      <c r="AE600" s="1" t="s">
        <v>11012</v>
      </c>
      <c r="AF600" s="1" t="s">
        <v>11013</v>
      </c>
      <c r="AG600" s="1" t="s">
        <v>1507</v>
      </c>
      <c r="AH600" s="1">
        <v>43</v>
      </c>
      <c r="AI600" s="1">
        <v>8</v>
      </c>
      <c r="AJ600" s="1">
        <v>8</v>
      </c>
      <c r="AK600" s="1">
        <v>0</v>
      </c>
      <c r="AL600" s="1">
        <v>7</v>
      </c>
      <c r="AM600" s="1" t="s">
        <v>11014</v>
      </c>
      <c r="AN600" s="1" t="s">
        <v>11015</v>
      </c>
      <c r="AO600" s="1" t="s">
        <v>11016</v>
      </c>
      <c r="AP600" s="1" t="s">
        <v>11017</v>
      </c>
      <c r="AQ600" s="1" t="s">
        <v>11018</v>
      </c>
      <c r="AR600" s="1" t="s">
        <v>1507</v>
      </c>
      <c r="AS600" s="1" t="s">
        <v>11002</v>
      </c>
      <c r="AT600" s="1" t="s">
        <v>11019</v>
      </c>
      <c r="AU600" s="1" t="s">
        <v>4309</v>
      </c>
      <c r="AV600" s="1">
        <v>2019</v>
      </c>
      <c r="AW600" s="1">
        <v>16</v>
      </c>
      <c r="AX600" s="1">
        <v>4</v>
      </c>
      <c r="AY600" s="1" t="s">
        <v>1507</v>
      </c>
      <c r="AZ600" s="1" t="s">
        <v>1507</v>
      </c>
      <c r="BA600" s="1" t="s">
        <v>1507</v>
      </c>
      <c r="BB600" s="1" t="s">
        <v>1507</v>
      </c>
      <c r="BC600" s="1">
        <v>379</v>
      </c>
      <c r="BD600" s="1">
        <v>387</v>
      </c>
      <c r="BE600" s="1" t="s">
        <v>1507</v>
      </c>
      <c r="BF600" s="1" t="s">
        <v>11020</v>
      </c>
      <c r="BG600" s="1" t="str">
        <f>HYPERLINK("http://dx.doi.org/10.1089/zeb.2019.1731","http://dx.doi.org/10.1089/zeb.2019.1731")</f>
        <v>http://dx.doi.org/10.1089/zeb.2019.1731</v>
      </c>
      <c r="BH600" s="1" t="s">
        <v>1507</v>
      </c>
      <c r="BI600" s="1" t="s">
        <v>11021</v>
      </c>
      <c r="BJ600" s="1">
        <v>9</v>
      </c>
      <c r="BK600" s="1" t="s">
        <v>11022</v>
      </c>
      <c r="BL600" s="1" t="s">
        <v>1573</v>
      </c>
      <c r="BM600" s="1" t="s">
        <v>11022</v>
      </c>
      <c r="BN600" s="1" t="s">
        <v>11023</v>
      </c>
      <c r="BO600" s="1">
        <v>31145051</v>
      </c>
      <c r="BP600" s="1" t="s">
        <v>5071</v>
      </c>
      <c r="BQ600" s="1" t="s">
        <v>1507</v>
      </c>
      <c r="BR600" s="1" t="s">
        <v>1507</v>
      </c>
      <c r="BS600" s="1" t="s">
        <v>13744</v>
      </c>
      <c r="BT600" s="1" t="s">
        <v>11024</v>
      </c>
      <c r="BU600" s="1" t="str">
        <f>HYPERLINK("https%3A%2F%2Fwww.webofscience.com%2Fwos%2Fwoscc%2Ffull-record%2FWOS:000469516000001","View Full Record in Web of Science")</f>
        <v>View Full Record in Web of Science</v>
      </c>
    </row>
    <row r="601" spans="1:73" x14ac:dyDescent="0.25">
      <c r="A601" s="1">
        <v>600</v>
      </c>
      <c r="B601" s="1" t="s">
        <v>1506</v>
      </c>
      <c r="C601" s="1" t="s">
        <v>4790</v>
      </c>
      <c r="D601" s="1" t="s">
        <v>1507</v>
      </c>
      <c r="E601" s="1" t="s">
        <v>1507</v>
      </c>
      <c r="F601" s="1" t="s">
        <v>1507</v>
      </c>
      <c r="G601" s="1" t="s">
        <v>4791</v>
      </c>
      <c r="H601" s="1" t="s">
        <v>1507</v>
      </c>
      <c r="I601" s="1" t="s">
        <v>1507</v>
      </c>
      <c r="J601" s="1" t="s">
        <v>4792</v>
      </c>
      <c r="K601" s="1" t="s">
        <v>4793</v>
      </c>
      <c r="L601" s="1" t="s">
        <v>1507</v>
      </c>
      <c r="M601" s="1" t="s">
        <v>1507</v>
      </c>
      <c r="N601" s="1" t="s">
        <v>42</v>
      </c>
      <c r="O601" s="1" t="s">
        <v>56</v>
      </c>
      <c r="P601" s="1" t="s">
        <v>1507</v>
      </c>
      <c r="Q601" s="1" t="s">
        <v>1507</v>
      </c>
      <c r="R601" s="1" t="s">
        <v>1507</v>
      </c>
      <c r="S601" s="1" t="s">
        <v>1507</v>
      </c>
      <c r="T601" s="1" t="s">
        <v>1507</v>
      </c>
      <c r="U601" s="1" t="s">
        <v>4794</v>
      </c>
      <c r="V601" s="1" t="s">
        <v>4795</v>
      </c>
      <c r="W601" s="1" t="s">
        <v>4796</v>
      </c>
      <c r="X601" s="1" t="s">
        <v>4797</v>
      </c>
      <c r="Y601" s="1" t="s">
        <v>4798</v>
      </c>
      <c r="Z601" s="1" t="s">
        <v>4799</v>
      </c>
      <c r="AA601" s="1" t="s">
        <v>4800</v>
      </c>
      <c r="AB601" s="1" t="s">
        <v>4801</v>
      </c>
      <c r="AC601" s="1" t="s">
        <v>1507</v>
      </c>
      <c r="AD601" s="1" t="s">
        <v>4802</v>
      </c>
      <c r="AE601" s="1" t="s">
        <v>4803</v>
      </c>
      <c r="AF601" s="1" t="s">
        <v>4804</v>
      </c>
      <c r="AG601" s="1" t="s">
        <v>1507</v>
      </c>
      <c r="AH601" s="1">
        <v>39</v>
      </c>
      <c r="AI601" s="1">
        <v>0</v>
      </c>
      <c r="AJ601" s="1">
        <v>0</v>
      </c>
      <c r="AK601" s="1">
        <v>1</v>
      </c>
      <c r="AL601" s="1">
        <v>1</v>
      </c>
      <c r="AM601" s="1" t="s">
        <v>4805</v>
      </c>
      <c r="AN601" s="1" t="s">
        <v>4806</v>
      </c>
      <c r="AO601" s="1" t="s">
        <v>4807</v>
      </c>
      <c r="AP601" s="1" t="s">
        <v>4808</v>
      </c>
      <c r="AQ601" s="1" t="s">
        <v>4809</v>
      </c>
      <c r="AR601" s="1" t="s">
        <v>1507</v>
      </c>
      <c r="AS601" s="1" t="s">
        <v>4810</v>
      </c>
      <c r="AT601" s="1" t="s">
        <v>1365</v>
      </c>
      <c r="AU601" s="1" t="s">
        <v>4721</v>
      </c>
      <c r="AV601" s="1">
        <v>2023</v>
      </c>
      <c r="AW601" s="1">
        <v>13</v>
      </c>
      <c r="AX601" s="1">
        <v>2</v>
      </c>
      <c r="AY601" s="1" t="s">
        <v>1507</v>
      </c>
      <c r="AZ601" s="1" t="s">
        <v>1507</v>
      </c>
      <c r="BA601" s="1" t="s">
        <v>1507</v>
      </c>
      <c r="BB601" s="1" t="s">
        <v>1507</v>
      </c>
      <c r="BC601" s="1">
        <v>153</v>
      </c>
      <c r="BD601" s="1">
        <v>180</v>
      </c>
      <c r="BE601" s="1" t="s">
        <v>1507</v>
      </c>
      <c r="BF601" s="1" t="s">
        <v>1507</v>
      </c>
      <c r="BG601" s="1" t="s">
        <v>1507</v>
      </c>
      <c r="BH601" s="1" t="s">
        <v>1507</v>
      </c>
      <c r="BI601" s="1" t="s">
        <v>1507</v>
      </c>
      <c r="BJ601" s="1">
        <v>28</v>
      </c>
      <c r="BK601" s="1" t="s">
        <v>1535</v>
      </c>
      <c r="BL601" s="1" t="s">
        <v>1518</v>
      </c>
      <c r="BM601" s="1" t="s">
        <v>1536</v>
      </c>
      <c r="BN601" s="1" t="s">
        <v>4811</v>
      </c>
      <c r="BO601" s="1" t="s">
        <v>1507</v>
      </c>
      <c r="BP601" s="1" t="s">
        <v>1507</v>
      </c>
      <c r="BQ601" s="1" t="s">
        <v>1507</v>
      </c>
      <c r="BR601" s="1" t="s">
        <v>1507</v>
      </c>
      <c r="BS601" s="1" t="s">
        <v>13744</v>
      </c>
      <c r="BT601" s="1" t="s">
        <v>4812</v>
      </c>
      <c r="BU601" s="1" t="str">
        <f>HYPERLINK("https%3A%2F%2Fwww.webofscience.com%2Fwos%2Fwoscc%2Ffull-record%2FWOS:001096015800002","View Full Record in Web of Science")</f>
        <v>View Full Record in Web of Science</v>
      </c>
    </row>
    <row r="602" spans="1:73" x14ac:dyDescent="0.25">
      <c r="A602" s="1">
        <v>601</v>
      </c>
      <c r="B602" s="1" t="s">
        <v>5546</v>
      </c>
      <c r="C602" s="1" t="s">
        <v>15512</v>
      </c>
      <c r="D602" s="1" t="s">
        <v>1507</v>
      </c>
      <c r="E602" s="1" t="s">
        <v>1507</v>
      </c>
      <c r="F602" s="1" t="s">
        <v>5548</v>
      </c>
      <c r="G602" s="1" t="s">
        <v>15513</v>
      </c>
      <c r="H602" s="1" t="s">
        <v>1507</v>
      </c>
      <c r="I602" s="1" t="s">
        <v>1507</v>
      </c>
      <c r="J602" s="1" t="s">
        <v>15514</v>
      </c>
      <c r="K602" s="1" t="s">
        <v>14946</v>
      </c>
      <c r="L602" s="1" t="s">
        <v>1507</v>
      </c>
      <c r="M602" s="1" t="s">
        <v>1507</v>
      </c>
      <c r="N602" s="1" t="s">
        <v>42</v>
      </c>
      <c r="O602" s="1" t="s">
        <v>5552</v>
      </c>
      <c r="P602" s="1" t="s">
        <v>14947</v>
      </c>
      <c r="Q602" s="1" t="s">
        <v>6409</v>
      </c>
      <c r="R602" s="1" t="s">
        <v>14948</v>
      </c>
      <c r="S602" s="1" t="s">
        <v>14949</v>
      </c>
      <c r="T602" s="1" t="s">
        <v>1507</v>
      </c>
      <c r="U602" s="1" t="s">
        <v>15515</v>
      </c>
      <c r="V602" s="1" t="s">
        <v>1507</v>
      </c>
      <c r="W602" s="1" t="s">
        <v>15516</v>
      </c>
      <c r="X602" s="1" t="s">
        <v>15517</v>
      </c>
      <c r="Y602" s="1" t="s">
        <v>15518</v>
      </c>
      <c r="Z602" s="1" t="s">
        <v>15519</v>
      </c>
      <c r="AA602" s="1" t="s">
        <v>15520</v>
      </c>
      <c r="AB602" s="1" t="s">
        <v>1507</v>
      </c>
      <c r="AC602" s="1" t="s">
        <v>1507</v>
      </c>
      <c r="AD602" s="1" t="s">
        <v>15521</v>
      </c>
      <c r="AE602" s="1" t="s">
        <v>15522</v>
      </c>
      <c r="AF602" s="1" t="s">
        <v>15523</v>
      </c>
      <c r="AG602" s="1" t="s">
        <v>1507</v>
      </c>
      <c r="AH602" s="1">
        <v>40</v>
      </c>
      <c r="AI602" s="1">
        <v>0</v>
      </c>
      <c r="AJ602" s="1">
        <v>0</v>
      </c>
      <c r="AK602" s="1">
        <v>1</v>
      </c>
      <c r="AL602" s="1">
        <v>1</v>
      </c>
      <c r="AM602" s="1" t="s">
        <v>5565</v>
      </c>
      <c r="AN602" s="1" t="s">
        <v>1512</v>
      </c>
      <c r="AO602" s="1" t="s">
        <v>5566</v>
      </c>
      <c r="AP602" s="1" t="s">
        <v>1507</v>
      </c>
      <c r="AQ602" s="1" t="s">
        <v>1507</v>
      </c>
      <c r="AR602" s="1" t="s">
        <v>14957</v>
      </c>
      <c r="AS602" s="1" t="s">
        <v>1507</v>
      </c>
      <c r="AT602" s="1" t="s">
        <v>1507</v>
      </c>
      <c r="AU602" s="1" t="s">
        <v>1507</v>
      </c>
      <c r="AV602" s="1">
        <v>2023</v>
      </c>
      <c r="AW602" s="1" t="s">
        <v>1507</v>
      </c>
      <c r="AX602" s="1" t="s">
        <v>1507</v>
      </c>
      <c r="AY602" s="1" t="s">
        <v>1507</v>
      </c>
      <c r="AZ602" s="1" t="s">
        <v>1507</v>
      </c>
      <c r="BA602" s="1" t="s">
        <v>1507</v>
      </c>
      <c r="BB602" s="1" t="s">
        <v>1507</v>
      </c>
      <c r="BC602" s="1">
        <v>5564</v>
      </c>
      <c r="BD602" s="1">
        <v>5575</v>
      </c>
      <c r="BE602" s="1" t="s">
        <v>1507</v>
      </c>
      <c r="BF602" s="1" t="s">
        <v>15524</v>
      </c>
      <c r="BG602" s="1" t="str">
        <f>HYPERLINK("http://dx.doi.org/10.1145/3580305.3599832","http://dx.doi.org/10.1145/3580305.3599832")</f>
        <v>http://dx.doi.org/10.1145/3580305.3599832</v>
      </c>
      <c r="BH602" s="1" t="s">
        <v>1507</v>
      </c>
      <c r="BI602" s="1" t="s">
        <v>1507</v>
      </c>
      <c r="BJ602" s="1">
        <v>12</v>
      </c>
      <c r="BK602" s="1" t="s">
        <v>14958</v>
      </c>
      <c r="BL602" s="1" t="s">
        <v>5570</v>
      </c>
      <c r="BM602" s="1" t="s">
        <v>1577</v>
      </c>
      <c r="BN602" s="1" t="s">
        <v>14959</v>
      </c>
      <c r="BO602" s="1" t="s">
        <v>1507</v>
      </c>
      <c r="BP602" s="1" t="s">
        <v>1600</v>
      </c>
      <c r="BQ602" s="1" t="s">
        <v>1507</v>
      </c>
      <c r="BR602" s="1" t="s">
        <v>1507</v>
      </c>
      <c r="BS602" s="1" t="s">
        <v>13744</v>
      </c>
      <c r="BT602" s="1" t="s">
        <v>15525</v>
      </c>
      <c r="BU602" s="1" t="str">
        <f>HYPERLINK("https%3A%2F%2Fwww.webofscience.com%2Fwos%2Fwoscc%2Ffull-record%2FWOS:001118896305054","View Full Record in Web of Science")</f>
        <v>View Full Record in Web of Science</v>
      </c>
    </row>
    <row r="603" spans="1:73" x14ac:dyDescent="0.25">
      <c r="A603" s="1">
        <v>602</v>
      </c>
      <c r="B603" s="1" t="s">
        <v>5546</v>
      </c>
      <c r="C603" s="1" t="s">
        <v>6615</v>
      </c>
      <c r="D603" s="1" t="s">
        <v>1507</v>
      </c>
      <c r="E603" s="1" t="s">
        <v>6616</v>
      </c>
      <c r="F603" s="1" t="s">
        <v>1507</v>
      </c>
      <c r="G603" s="1" t="s">
        <v>6617</v>
      </c>
      <c r="H603" s="1" t="s">
        <v>1507</v>
      </c>
      <c r="I603" s="1" t="s">
        <v>1507</v>
      </c>
      <c r="J603" s="1" t="s">
        <v>6618</v>
      </c>
      <c r="K603" s="1" t="s">
        <v>6619</v>
      </c>
      <c r="L603" s="1" t="s">
        <v>1507</v>
      </c>
      <c r="M603" s="1" t="s">
        <v>1507</v>
      </c>
      <c r="N603" s="1" t="s">
        <v>42</v>
      </c>
      <c r="O603" s="1" t="s">
        <v>5552</v>
      </c>
      <c r="P603" s="1" t="s">
        <v>6620</v>
      </c>
      <c r="Q603" s="1" t="s">
        <v>6621</v>
      </c>
      <c r="R603" s="1" t="s">
        <v>6622</v>
      </c>
      <c r="S603" s="1" t="s">
        <v>6623</v>
      </c>
      <c r="T603" s="1" t="s">
        <v>1507</v>
      </c>
      <c r="U603" s="1" t="s">
        <v>6624</v>
      </c>
      <c r="V603" s="1" t="s">
        <v>1507</v>
      </c>
      <c r="W603" s="1" t="s">
        <v>6625</v>
      </c>
      <c r="X603" s="1" t="s">
        <v>6626</v>
      </c>
      <c r="Y603" s="1" t="s">
        <v>6627</v>
      </c>
      <c r="Z603" s="1" t="s">
        <v>6628</v>
      </c>
      <c r="AA603" s="1" t="s">
        <v>6629</v>
      </c>
      <c r="AB603" s="1" t="s">
        <v>1507</v>
      </c>
      <c r="AC603" s="1" t="s">
        <v>1507</v>
      </c>
      <c r="AD603" s="1" t="s">
        <v>6630</v>
      </c>
      <c r="AE603" s="1" t="s">
        <v>6631</v>
      </c>
      <c r="AF603" s="1" t="s">
        <v>6632</v>
      </c>
      <c r="AG603" s="1" t="s">
        <v>1507</v>
      </c>
      <c r="AH603" s="1">
        <v>60</v>
      </c>
      <c r="AI603" s="1">
        <v>0</v>
      </c>
      <c r="AJ603" s="1">
        <v>0</v>
      </c>
      <c r="AK603" s="1">
        <v>3</v>
      </c>
      <c r="AL603" s="1">
        <v>3</v>
      </c>
      <c r="AM603" s="1" t="s">
        <v>5565</v>
      </c>
      <c r="AN603" s="1" t="s">
        <v>1512</v>
      </c>
      <c r="AO603" s="1" t="s">
        <v>5566</v>
      </c>
      <c r="AP603" s="1" t="s">
        <v>1507</v>
      </c>
      <c r="AQ603" s="1" t="s">
        <v>1507</v>
      </c>
      <c r="AR603" s="1" t="s">
        <v>6633</v>
      </c>
      <c r="AS603" s="1" t="s">
        <v>1507</v>
      </c>
      <c r="AT603" s="1" t="s">
        <v>1507</v>
      </c>
      <c r="AU603" s="1" t="s">
        <v>1507</v>
      </c>
      <c r="AV603" s="1">
        <v>2023</v>
      </c>
      <c r="AW603" s="1" t="s">
        <v>1507</v>
      </c>
      <c r="AX603" s="1" t="s">
        <v>1507</v>
      </c>
      <c r="AY603" s="1" t="s">
        <v>1507</v>
      </c>
      <c r="AZ603" s="1" t="s">
        <v>1507</v>
      </c>
      <c r="BA603" s="1" t="s">
        <v>1507</v>
      </c>
      <c r="BB603" s="1" t="s">
        <v>1507</v>
      </c>
      <c r="BC603" s="1">
        <v>695</v>
      </c>
      <c r="BD603" s="1">
        <v>707</v>
      </c>
      <c r="BE603" s="1" t="s">
        <v>1507</v>
      </c>
      <c r="BF603" s="1" t="s">
        <v>6634</v>
      </c>
      <c r="BG603" s="1" t="str">
        <f>HYPERLINK("http://dx.doi.org/10.1145/3611643.3616350","http://dx.doi.org/10.1145/3611643.3616350")</f>
        <v>http://dx.doi.org/10.1145/3611643.3616350</v>
      </c>
      <c r="BH603" s="1" t="s">
        <v>1507</v>
      </c>
      <c r="BI603" s="1" t="s">
        <v>1507</v>
      </c>
      <c r="BJ603" s="1">
        <v>13</v>
      </c>
      <c r="BK603" s="1" t="s">
        <v>6635</v>
      </c>
      <c r="BL603" s="1" t="s">
        <v>5570</v>
      </c>
      <c r="BM603" s="1" t="s">
        <v>1577</v>
      </c>
      <c r="BN603" s="1" t="s">
        <v>6636</v>
      </c>
      <c r="BO603" s="1" t="s">
        <v>1507</v>
      </c>
      <c r="BP603" s="1" t="s">
        <v>1574</v>
      </c>
      <c r="BQ603" s="1" t="s">
        <v>1507</v>
      </c>
      <c r="BR603" s="1" t="s">
        <v>1507</v>
      </c>
      <c r="BS603" s="1" t="s">
        <v>13744</v>
      </c>
      <c r="BT603" s="1" t="s">
        <v>6637</v>
      </c>
      <c r="BU603" s="1" t="str">
        <f>HYPERLINK("https%3A%2F%2Fwww.webofscience.com%2Fwos%2Fwoscc%2Ffull-record%2FWOS:001148157800057","View Full Record in Web of Science")</f>
        <v>View Full Record in Web of Science</v>
      </c>
    </row>
    <row r="604" spans="1:73" x14ac:dyDescent="0.25">
      <c r="A604" s="1">
        <v>603</v>
      </c>
      <c r="B604" s="1" t="s">
        <v>5546</v>
      </c>
      <c r="C604" s="1" t="s">
        <v>7918</v>
      </c>
      <c r="D604" s="1" t="s">
        <v>1507</v>
      </c>
      <c r="E604" s="1" t="s">
        <v>1507</v>
      </c>
      <c r="F604" s="1" t="s">
        <v>5565</v>
      </c>
      <c r="G604" s="1" t="s">
        <v>7919</v>
      </c>
      <c r="H604" s="1" t="s">
        <v>1507</v>
      </c>
      <c r="I604" s="1" t="s">
        <v>1507</v>
      </c>
      <c r="J604" s="1" t="s">
        <v>7920</v>
      </c>
      <c r="K604" s="1" t="s">
        <v>7921</v>
      </c>
      <c r="L604" s="1" t="s">
        <v>6015</v>
      </c>
      <c r="M604" s="1" t="s">
        <v>1507</v>
      </c>
      <c r="N604" s="1" t="s">
        <v>42</v>
      </c>
      <c r="O604" s="1" t="s">
        <v>5552</v>
      </c>
      <c r="P604" s="1" t="s">
        <v>7922</v>
      </c>
      <c r="Q604" s="1" t="s">
        <v>7923</v>
      </c>
      <c r="R604" s="1" t="s">
        <v>7924</v>
      </c>
      <c r="S604" s="1" t="s">
        <v>7925</v>
      </c>
      <c r="T604" s="1" t="s">
        <v>7926</v>
      </c>
      <c r="U604" s="1" t="s">
        <v>7927</v>
      </c>
      <c r="V604" s="1" t="s">
        <v>1507</v>
      </c>
      <c r="W604" s="1" t="s">
        <v>7928</v>
      </c>
      <c r="X604" s="1" t="s">
        <v>7929</v>
      </c>
      <c r="Y604" s="1" t="s">
        <v>6627</v>
      </c>
      <c r="Z604" s="1" t="s">
        <v>7930</v>
      </c>
      <c r="AA604" s="1" t="s">
        <v>7931</v>
      </c>
      <c r="AB604" s="1" t="s">
        <v>7932</v>
      </c>
      <c r="AC604" s="1" t="s">
        <v>1507</v>
      </c>
      <c r="AD604" s="1" t="s">
        <v>7933</v>
      </c>
      <c r="AE604" s="1" t="s">
        <v>6631</v>
      </c>
      <c r="AF604" s="1" t="s">
        <v>7934</v>
      </c>
      <c r="AG604" s="1" t="s">
        <v>1507</v>
      </c>
      <c r="AH604" s="1">
        <v>63</v>
      </c>
      <c r="AI604" s="1">
        <v>11</v>
      </c>
      <c r="AJ604" s="1">
        <v>12</v>
      </c>
      <c r="AK604" s="1">
        <v>4</v>
      </c>
      <c r="AL604" s="1">
        <v>4</v>
      </c>
      <c r="AM604" s="1" t="s">
        <v>5565</v>
      </c>
      <c r="AN604" s="1" t="s">
        <v>1512</v>
      </c>
      <c r="AO604" s="1" t="s">
        <v>5566</v>
      </c>
      <c r="AP604" s="1" t="s">
        <v>6030</v>
      </c>
      <c r="AQ604" s="1" t="s">
        <v>1507</v>
      </c>
      <c r="AR604" s="1" t="s">
        <v>7935</v>
      </c>
      <c r="AS604" s="1" t="s">
        <v>6032</v>
      </c>
      <c r="AT604" s="1" t="s">
        <v>1507</v>
      </c>
      <c r="AU604" s="1" t="s">
        <v>1507</v>
      </c>
      <c r="AV604" s="1">
        <v>2022</v>
      </c>
      <c r="AW604" s="1" t="s">
        <v>1507</v>
      </c>
      <c r="AX604" s="1" t="s">
        <v>1507</v>
      </c>
      <c r="AY604" s="1" t="s">
        <v>1507</v>
      </c>
      <c r="AZ604" s="1" t="s">
        <v>1507</v>
      </c>
      <c r="BA604" s="1" t="s">
        <v>1507</v>
      </c>
      <c r="BB604" s="1" t="s">
        <v>1507</v>
      </c>
      <c r="BC604" s="1" t="s">
        <v>1507</v>
      </c>
      <c r="BD604" s="1" t="s">
        <v>1507</v>
      </c>
      <c r="BE604" s="1">
        <v>22</v>
      </c>
      <c r="BF604" s="1" t="s">
        <v>7936</v>
      </c>
      <c r="BG604" s="1" t="str">
        <f>HYPERLINK("http://dx.doi.org/10.1145/3551349.3556955","http://dx.doi.org/10.1145/3551349.3556955")</f>
        <v>http://dx.doi.org/10.1145/3551349.3556955</v>
      </c>
      <c r="BH604" s="1" t="s">
        <v>1507</v>
      </c>
      <c r="BI604" s="1" t="s">
        <v>1507</v>
      </c>
      <c r="BJ604" s="1">
        <v>12</v>
      </c>
      <c r="BK604" s="1" t="s">
        <v>7937</v>
      </c>
      <c r="BL604" s="1" t="s">
        <v>5570</v>
      </c>
      <c r="BM604" s="1" t="s">
        <v>6035</v>
      </c>
      <c r="BN604" s="1" t="s">
        <v>7938</v>
      </c>
      <c r="BO604" s="1" t="s">
        <v>1507</v>
      </c>
      <c r="BP604" s="1" t="s">
        <v>7776</v>
      </c>
      <c r="BQ604" s="1" t="s">
        <v>1507</v>
      </c>
      <c r="BR604" s="1" t="s">
        <v>1507</v>
      </c>
      <c r="BS604" s="1" t="s">
        <v>13744</v>
      </c>
      <c r="BT604" s="1" t="s">
        <v>7939</v>
      </c>
      <c r="BU604" s="1" t="str">
        <f>HYPERLINK("https%3A%2F%2Fwww.webofscience.com%2Fwos%2Fwoscc%2Ffull-record%2FWOS:001062775200063","View Full Record in Web of Science")</f>
        <v>View Full Record in Web of Science</v>
      </c>
    </row>
    <row r="605" spans="1:73" x14ac:dyDescent="0.25">
      <c r="A605" s="1">
        <v>604</v>
      </c>
      <c r="B605" s="1" t="s">
        <v>1506</v>
      </c>
      <c r="C605" s="1" t="s">
        <v>10608</v>
      </c>
      <c r="D605" s="1" t="s">
        <v>1507</v>
      </c>
      <c r="E605" s="1" t="s">
        <v>1507</v>
      </c>
      <c r="F605" s="1" t="s">
        <v>1507</v>
      </c>
      <c r="G605" s="1" t="s">
        <v>10609</v>
      </c>
      <c r="H605" s="1" t="s">
        <v>1507</v>
      </c>
      <c r="I605" s="1" t="s">
        <v>1507</v>
      </c>
      <c r="J605" s="1" t="s">
        <v>10610</v>
      </c>
      <c r="K605" s="1" t="s">
        <v>7563</v>
      </c>
      <c r="L605" s="1" t="s">
        <v>1507</v>
      </c>
      <c r="M605" s="1" t="s">
        <v>1507</v>
      </c>
      <c r="N605" s="1" t="s">
        <v>42</v>
      </c>
      <c r="O605" s="1" t="s">
        <v>56</v>
      </c>
      <c r="P605" s="1" t="s">
        <v>1507</v>
      </c>
      <c r="Q605" s="1" t="s">
        <v>1507</v>
      </c>
      <c r="R605" s="1" t="s">
        <v>1507</v>
      </c>
      <c r="S605" s="1" t="s">
        <v>1507</v>
      </c>
      <c r="T605" s="1" t="s">
        <v>1507</v>
      </c>
      <c r="U605" s="1" t="s">
        <v>1507</v>
      </c>
      <c r="V605" s="1" t="s">
        <v>10611</v>
      </c>
      <c r="W605" s="1" t="s">
        <v>10612</v>
      </c>
      <c r="X605" s="1" t="s">
        <v>10613</v>
      </c>
      <c r="Y605" s="1" t="s">
        <v>10614</v>
      </c>
      <c r="Z605" s="1" t="s">
        <v>10615</v>
      </c>
      <c r="AA605" s="1" t="s">
        <v>10616</v>
      </c>
      <c r="AB605" s="1" t="s">
        <v>15871</v>
      </c>
      <c r="AC605" s="1" t="s">
        <v>15872</v>
      </c>
      <c r="AD605" s="1" t="s">
        <v>10617</v>
      </c>
      <c r="AE605" s="1" t="s">
        <v>10618</v>
      </c>
      <c r="AF605" s="1" t="s">
        <v>10619</v>
      </c>
      <c r="AG605" s="1" t="s">
        <v>1507</v>
      </c>
      <c r="AH605" s="1">
        <v>50</v>
      </c>
      <c r="AI605" s="1">
        <v>363</v>
      </c>
      <c r="AJ605" s="1">
        <v>372</v>
      </c>
      <c r="AK605" s="1">
        <v>81</v>
      </c>
      <c r="AL605" s="1">
        <v>632</v>
      </c>
      <c r="AM605" s="1" t="s">
        <v>10620</v>
      </c>
      <c r="AN605" s="1" t="s">
        <v>1551</v>
      </c>
      <c r="AO605" s="1" t="s">
        <v>10621</v>
      </c>
      <c r="AP605" s="1" t="s">
        <v>7572</v>
      </c>
      <c r="AQ605" s="1" t="s">
        <v>1507</v>
      </c>
      <c r="AR605" s="1" t="s">
        <v>1507</v>
      </c>
      <c r="AS605" s="1" t="s">
        <v>7573</v>
      </c>
      <c r="AT605" s="1" t="s">
        <v>7574</v>
      </c>
      <c r="AU605" s="1" t="s">
        <v>9485</v>
      </c>
      <c r="AV605" s="1">
        <v>2019</v>
      </c>
      <c r="AW605" s="1">
        <v>10</v>
      </c>
      <c r="AX605" s="1" t="s">
        <v>1507</v>
      </c>
      <c r="AY605" s="1" t="s">
        <v>1507</v>
      </c>
      <c r="AZ605" s="1" t="s">
        <v>1507</v>
      </c>
      <c r="BA605" s="1" t="s">
        <v>1507</v>
      </c>
      <c r="BB605" s="1" t="s">
        <v>1507</v>
      </c>
      <c r="BC605" s="1" t="s">
        <v>1507</v>
      </c>
      <c r="BD605" s="1" t="s">
        <v>1507</v>
      </c>
      <c r="BE605" s="1">
        <v>4936</v>
      </c>
      <c r="BF605" s="1" t="s">
        <v>10622</v>
      </c>
      <c r="BG605" s="1" t="str">
        <f>HYPERLINK("http://dx.doi.org/10.1038/s41467-019-12887-y","http://dx.doi.org/10.1038/s41467-019-12887-y")</f>
        <v>http://dx.doi.org/10.1038/s41467-019-12887-y</v>
      </c>
      <c r="BH605" s="1" t="s">
        <v>1507</v>
      </c>
      <c r="BI605" s="1" t="s">
        <v>1507</v>
      </c>
      <c r="BJ605" s="1">
        <v>11</v>
      </c>
      <c r="BK605" s="1" t="s">
        <v>1776</v>
      </c>
      <c r="BL605" s="1" t="s">
        <v>1573</v>
      </c>
      <c r="BM605" s="1" t="s">
        <v>1777</v>
      </c>
      <c r="BN605" s="1" t="s">
        <v>10623</v>
      </c>
      <c r="BO605" s="1">
        <v>31666505</v>
      </c>
      <c r="BP605" s="1" t="s">
        <v>1674</v>
      </c>
      <c r="BQ605" s="1" t="s">
        <v>1507</v>
      </c>
      <c r="BR605" s="1" t="s">
        <v>1507</v>
      </c>
      <c r="BS605" s="1" t="s">
        <v>13744</v>
      </c>
      <c r="BT605" s="1" t="s">
        <v>10624</v>
      </c>
      <c r="BU605" s="1" t="str">
        <f>HYPERLINK("https%3A%2F%2Fwww.webofscience.com%2Fwos%2Fwoscc%2Ffull-record%2FWOS:000493275600010","View Full Record in Web of Science")</f>
        <v>View Full Record in Web of Science</v>
      </c>
    </row>
    <row r="606" spans="1:73" x14ac:dyDescent="0.25">
      <c r="A606" s="1">
        <v>605</v>
      </c>
      <c r="B606" s="1" t="s">
        <v>1506</v>
      </c>
      <c r="C606" s="1" t="s">
        <v>15564</v>
      </c>
      <c r="D606" s="1" t="s">
        <v>1507</v>
      </c>
      <c r="E606" s="1" t="s">
        <v>1507</v>
      </c>
      <c r="F606" s="1" t="s">
        <v>1507</v>
      </c>
      <c r="G606" s="1" t="s">
        <v>15565</v>
      </c>
      <c r="H606" s="1" t="s">
        <v>1507</v>
      </c>
      <c r="I606" s="1" t="s">
        <v>1507</v>
      </c>
      <c r="J606" s="1" t="s">
        <v>15566</v>
      </c>
      <c r="K606" s="1" t="s">
        <v>15567</v>
      </c>
      <c r="L606" s="1" t="s">
        <v>1507</v>
      </c>
      <c r="M606" s="1" t="s">
        <v>1507</v>
      </c>
      <c r="N606" s="1" t="s">
        <v>42</v>
      </c>
      <c r="O606" s="1" t="s">
        <v>12366</v>
      </c>
      <c r="P606" s="1" t="s">
        <v>1507</v>
      </c>
      <c r="Q606" s="1" t="s">
        <v>1507</v>
      </c>
      <c r="R606" s="1" t="s">
        <v>1507</v>
      </c>
      <c r="S606" s="1" t="s">
        <v>1507</v>
      </c>
      <c r="T606" s="1" t="s">
        <v>1507</v>
      </c>
      <c r="U606" s="1" t="s">
        <v>15568</v>
      </c>
      <c r="V606" s="1" t="s">
        <v>15569</v>
      </c>
      <c r="W606" s="1" t="s">
        <v>15570</v>
      </c>
      <c r="X606" s="1" t="s">
        <v>15571</v>
      </c>
      <c r="Y606" s="1" t="s">
        <v>15572</v>
      </c>
      <c r="Z606" s="1" t="s">
        <v>15573</v>
      </c>
      <c r="AA606" s="1" t="s">
        <v>15574</v>
      </c>
      <c r="AB606" s="1" t="s">
        <v>15575</v>
      </c>
      <c r="AC606" s="1" t="s">
        <v>15576</v>
      </c>
      <c r="AD606" s="1" t="s">
        <v>15577</v>
      </c>
      <c r="AE606" s="1" t="s">
        <v>15578</v>
      </c>
      <c r="AF606" s="1" t="s">
        <v>15579</v>
      </c>
      <c r="AG606" s="1" t="s">
        <v>1507</v>
      </c>
      <c r="AH606" s="1">
        <v>104</v>
      </c>
      <c r="AI606" s="1">
        <v>15</v>
      </c>
      <c r="AJ606" s="1">
        <v>15</v>
      </c>
      <c r="AK606" s="1">
        <v>11</v>
      </c>
      <c r="AL606" s="1">
        <v>49</v>
      </c>
      <c r="AM606" s="1" t="s">
        <v>1559</v>
      </c>
      <c r="AN606" s="1" t="s">
        <v>1560</v>
      </c>
      <c r="AO606" s="1" t="s">
        <v>1561</v>
      </c>
      <c r="AP606" s="1" t="s">
        <v>1507</v>
      </c>
      <c r="AQ606" s="1" t="s">
        <v>15580</v>
      </c>
      <c r="AR606" s="1" t="s">
        <v>1507</v>
      </c>
      <c r="AS606" s="1" t="s">
        <v>15567</v>
      </c>
      <c r="AT606" s="1" t="s">
        <v>15581</v>
      </c>
      <c r="AU606" s="1" t="s">
        <v>9054</v>
      </c>
      <c r="AV606" s="1">
        <v>2023</v>
      </c>
      <c r="AW606" s="1">
        <v>4</v>
      </c>
      <c r="AX606" s="1">
        <v>1</v>
      </c>
      <c r="AY606" s="1" t="s">
        <v>1507</v>
      </c>
      <c r="AZ606" s="1" t="s">
        <v>1507</v>
      </c>
      <c r="BA606" s="1" t="s">
        <v>1507</v>
      </c>
      <c r="BB606" s="1" t="s">
        <v>1507</v>
      </c>
      <c r="BC606" s="1" t="s">
        <v>1507</v>
      </c>
      <c r="BD606" s="1" t="s">
        <v>1507</v>
      </c>
      <c r="BE606" s="1" t="s">
        <v>15582</v>
      </c>
      <c r="BF606" s="1" t="s">
        <v>15583</v>
      </c>
      <c r="BG606" s="1" t="str">
        <f>HYPERLINK("http://dx.doi.org/10.1002/agt2.266","http://dx.doi.org/10.1002/agt2.266")</f>
        <v>http://dx.doi.org/10.1002/agt2.266</v>
      </c>
      <c r="BH606" s="1" t="s">
        <v>1507</v>
      </c>
      <c r="BI606" s="1" t="s">
        <v>6910</v>
      </c>
      <c r="BJ606" s="1">
        <v>26</v>
      </c>
      <c r="BK606" s="1" t="s">
        <v>15584</v>
      </c>
      <c r="BL606" s="1" t="s">
        <v>1529</v>
      </c>
      <c r="BM606" s="1" t="s">
        <v>15585</v>
      </c>
      <c r="BN606" s="1" t="s">
        <v>15586</v>
      </c>
      <c r="BO606" s="1" t="s">
        <v>1507</v>
      </c>
      <c r="BP606" s="1" t="s">
        <v>1507</v>
      </c>
      <c r="BQ606" s="1" t="s">
        <v>1507</v>
      </c>
      <c r="BR606" s="1" t="s">
        <v>1507</v>
      </c>
      <c r="BS606" s="1" t="s">
        <v>13744</v>
      </c>
      <c r="BT606" s="1" t="s">
        <v>15587</v>
      </c>
      <c r="BU606" s="1" t="str">
        <f>HYPERLINK("https%3A%2F%2Fwww.webofscience.com%2Fwos%2Fwoscc%2Ffull-record%2FWOS:000853126100001","View Full Record in Web of Science")</f>
        <v>View Full Record in Web of Science</v>
      </c>
    </row>
    <row r="607" spans="1:73" x14ac:dyDescent="0.25">
      <c r="A607" s="1">
        <v>606</v>
      </c>
      <c r="B607" s="1" t="s">
        <v>1506</v>
      </c>
      <c r="C607" s="1" t="s">
        <v>10508</v>
      </c>
      <c r="D607" s="1" t="s">
        <v>1507</v>
      </c>
      <c r="E607" s="1" t="s">
        <v>1507</v>
      </c>
      <c r="F607" s="1" t="s">
        <v>1507</v>
      </c>
      <c r="G607" s="1" t="s">
        <v>10509</v>
      </c>
      <c r="H607" s="1" t="s">
        <v>1507</v>
      </c>
      <c r="I607" s="1" t="s">
        <v>1507</v>
      </c>
      <c r="J607" s="1" t="s">
        <v>10510</v>
      </c>
      <c r="K607" s="1" t="s">
        <v>10511</v>
      </c>
      <c r="L607" s="1" t="s">
        <v>1507</v>
      </c>
      <c r="M607" s="1" t="s">
        <v>1507</v>
      </c>
      <c r="N607" s="1" t="s">
        <v>42</v>
      </c>
      <c r="O607" s="1" t="s">
        <v>56</v>
      </c>
      <c r="P607" s="1" t="s">
        <v>1507</v>
      </c>
      <c r="Q607" s="1" t="s">
        <v>1507</v>
      </c>
      <c r="R607" s="1" t="s">
        <v>1507</v>
      </c>
      <c r="S607" s="1" t="s">
        <v>1507</v>
      </c>
      <c r="T607" s="1" t="s">
        <v>1507</v>
      </c>
      <c r="U607" s="1" t="s">
        <v>1507</v>
      </c>
      <c r="V607" s="1" t="s">
        <v>10512</v>
      </c>
      <c r="W607" s="1" t="s">
        <v>10513</v>
      </c>
      <c r="X607" s="1" t="s">
        <v>10514</v>
      </c>
      <c r="Y607" s="1" t="s">
        <v>10515</v>
      </c>
      <c r="Z607" s="1" t="s">
        <v>10516</v>
      </c>
      <c r="AA607" s="1" t="s">
        <v>10517</v>
      </c>
      <c r="AB607" s="1" t="s">
        <v>15861</v>
      </c>
      <c r="AC607" s="1" t="s">
        <v>15862</v>
      </c>
      <c r="AD607" s="1" t="s">
        <v>10518</v>
      </c>
      <c r="AE607" s="1" t="s">
        <v>10519</v>
      </c>
      <c r="AF607" s="1" t="s">
        <v>10520</v>
      </c>
      <c r="AG607" s="1" t="s">
        <v>1507</v>
      </c>
      <c r="AH607" s="1">
        <v>86</v>
      </c>
      <c r="AI607" s="1">
        <v>40</v>
      </c>
      <c r="AJ607" s="1">
        <v>40</v>
      </c>
      <c r="AK607" s="1">
        <v>7</v>
      </c>
      <c r="AL607" s="1">
        <v>97</v>
      </c>
      <c r="AM607" s="1" t="s">
        <v>1522</v>
      </c>
      <c r="AN607" s="1" t="s">
        <v>1523</v>
      </c>
      <c r="AO607" s="1" t="s">
        <v>1524</v>
      </c>
      <c r="AP607" s="1" t="s">
        <v>10521</v>
      </c>
      <c r="AQ607" s="1" t="s">
        <v>10522</v>
      </c>
      <c r="AR607" s="1" t="s">
        <v>1507</v>
      </c>
      <c r="AS607" s="1" t="s">
        <v>10523</v>
      </c>
      <c r="AT607" s="1" t="s">
        <v>10524</v>
      </c>
      <c r="AU607" s="1" t="s">
        <v>10525</v>
      </c>
      <c r="AV607" s="1">
        <v>2019</v>
      </c>
      <c r="AW607" s="1">
        <v>10</v>
      </c>
      <c r="AX607" s="1">
        <v>43</v>
      </c>
      <c r="AY607" s="1" t="s">
        <v>1507</v>
      </c>
      <c r="AZ607" s="1" t="s">
        <v>1507</v>
      </c>
      <c r="BA607" s="1" t="s">
        <v>1507</v>
      </c>
      <c r="BB607" s="1" t="s">
        <v>1507</v>
      </c>
      <c r="BC607" s="1">
        <v>10122</v>
      </c>
      <c r="BD607" s="1">
        <v>10128</v>
      </c>
      <c r="BE607" s="1" t="s">
        <v>1507</v>
      </c>
      <c r="BF607" s="1" t="s">
        <v>10526</v>
      </c>
      <c r="BG607" s="1" t="str">
        <f>HYPERLINK("http://dx.doi.org/10.1039/c9sc03455b","http://dx.doi.org/10.1039/c9sc03455b")</f>
        <v>http://dx.doi.org/10.1039/c9sc03455b</v>
      </c>
      <c r="BH607" s="1" t="s">
        <v>1507</v>
      </c>
      <c r="BI607" s="1" t="s">
        <v>1507</v>
      </c>
      <c r="BJ607" s="1">
        <v>7</v>
      </c>
      <c r="BK607" s="1" t="s">
        <v>2634</v>
      </c>
      <c r="BL607" s="1" t="s">
        <v>1573</v>
      </c>
      <c r="BM607" s="1" t="s">
        <v>2380</v>
      </c>
      <c r="BN607" s="1" t="s">
        <v>10527</v>
      </c>
      <c r="BO607" s="1">
        <v>32055367</v>
      </c>
      <c r="BP607" s="1" t="s">
        <v>1674</v>
      </c>
      <c r="BQ607" s="1" t="s">
        <v>1507</v>
      </c>
      <c r="BR607" s="1" t="s">
        <v>1507</v>
      </c>
      <c r="BS607" s="1" t="s">
        <v>13744</v>
      </c>
      <c r="BT607" s="1" t="s">
        <v>10528</v>
      </c>
      <c r="BU607" s="1" t="str">
        <f>HYPERLINK("https%3A%2F%2Fwww.webofscience.com%2Fwos%2Fwoscc%2Ffull-record%2FWOS:000496188700023","View Full Record in Web of Science")</f>
        <v>View Full Record in Web of Science</v>
      </c>
    </row>
    <row r="608" spans="1:73" x14ac:dyDescent="0.25">
      <c r="A608" s="1">
        <v>607</v>
      </c>
      <c r="B608" s="1" t="s">
        <v>1506</v>
      </c>
      <c r="C608" s="1" t="s">
        <v>8352</v>
      </c>
      <c r="D608" s="1" t="s">
        <v>1507</v>
      </c>
      <c r="E608" s="1" t="s">
        <v>1507</v>
      </c>
      <c r="F608" s="1" t="s">
        <v>1507</v>
      </c>
      <c r="G608" s="1" t="s">
        <v>8353</v>
      </c>
      <c r="H608" s="1" t="s">
        <v>1507</v>
      </c>
      <c r="I608" s="1" t="s">
        <v>1507</v>
      </c>
      <c r="J608" s="1" t="s">
        <v>8354</v>
      </c>
      <c r="K608" s="1" t="s">
        <v>4793</v>
      </c>
      <c r="L608" s="1" t="s">
        <v>1507</v>
      </c>
      <c r="M608" s="1" t="s">
        <v>1507</v>
      </c>
      <c r="N608" s="1" t="s">
        <v>42</v>
      </c>
      <c r="O608" s="1" t="s">
        <v>56</v>
      </c>
      <c r="P608" s="1" t="s">
        <v>1507</v>
      </c>
      <c r="Q608" s="1" t="s">
        <v>1507</v>
      </c>
      <c r="R608" s="1" t="s">
        <v>1507</v>
      </c>
      <c r="S608" s="1" t="s">
        <v>1507</v>
      </c>
      <c r="T608" s="1" t="s">
        <v>1507</v>
      </c>
      <c r="U608" s="1" t="s">
        <v>8355</v>
      </c>
      <c r="V608" s="1" t="s">
        <v>1507</v>
      </c>
      <c r="W608" s="1" t="s">
        <v>8356</v>
      </c>
      <c r="X608" s="1" t="s">
        <v>8357</v>
      </c>
      <c r="Y608" s="1" t="s">
        <v>8358</v>
      </c>
      <c r="Z608" s="1" t="s">
        <v>8359</v>
      </c>
      <c r="AA608" s="1" t="s">
        <v>8360</v>
      </c>
      <c r="AB608" s="1" t="s">
        <v>8361</v>
      </c>
      <c r="AC608" s="1" t="s">
        <v>1507</v>
      </c>
      <c r="AD608" s="1" t="s">
        <v>8362</v>
      </c>
      <c r="AE608" s="1" t="s">
        <v>8363</v>
      </c>
      <c r="AF608" s="1" t="s">
        <v>8364</v>
      </c>
      <c r="AG608" s="1" t="s">
        <v>1507</v>
      </c>
      <c r="AH608" s="1">
        <v>62</v>
      </c>
      <c r="AI608" s="1">
        <v>0</v>
      </c>
      <c r="AJ608" s="1">
        <v>0</v>
      </c>
      <c r="AK608" s="1">
        <v>10</v>
      </c>
      <c r="AL608" s="1">
        <v>92</v>
      </c>
      <c r="AM608" s="1" t="s">
        <v>4805</v>
      </c>
      <c r="AN608" s="1" t="s">
        <v>4806</v>
      </c>
      <c r="AO608" s="1" t="s">
        <v>4807</v>
      </c>
      <c r="AP608" s="1" t="s">
        <v>4808</v>
      </c>
      <c r="AQ608" s="1" t="s">
        <v>4809</v>
      </c>
      <c r="AR608" s="1" t="s">
        <v>1507</v>
      </c>
      <c r="AS608" s="1" t="s">
        <v>4810</v>
      </c>
      <c r="AT608" s="1" t="s">
        <v>1365</v>
      </c>
      <c r="AU608" s="1" t="s">
        <v>4336</v>
      </c>
      <c r="AV608" s="1">
        <v>2021</v>
      </c>
      <c r="AW608" s="1">
        <v>11</v>
      </c>
      <c r="AX608" s="1">
        <v>3</v>
      </c>
      <c r="AY608" s="1" t="s">
        <v>1507</v>
      </c>
      <c r="AZ608" s="1" t="s">
        <v>1507</v>
      </c>
      <c r="BA608" s="1" t="s">
        <v>1507</v>
      </c>
      <c r="BB608" s="1" t="s">
        <v>1507</v>
      </c>
      <c r="BC608" s="1">
        <v>362</v>
      </c>
      <c r="BD608" s="1">
        <v>385</v>
      </c>
      <c r="BE608" s="1" t="s">
        <v>1507</v>
      </c>
      <c r="BF608" s="1" t="s">
        <v>8365</v>
      </c>
      <c r="BG608" s="1" t="str">
        <f>HYPERLINK("http://dx.doi.org/10.4337/qmjip.2021.03.05","http://dx.doi.org/10.4337/qmjip.2021.03.05")</f>
        <v>http://dx.doi.org/10.4337/qmjip.2021.03.05</v>
      </c>
      <c r="BH608" s="1" t="s">
        <v>1507</v>
      </c>
      <c r="BI608" s="1" t="s">
        <v>1507</v>
      </c>
      <c r="BJ608" s="1">
        <v>24</v>
      </c>
      <c r="BK608" s="1" t="s">
        <v>1535</v>
      </c>
      <c r="BL608" s="1" t="s">
        <v>1518</v>
      </c>
      <c r="BM608" s="1" t="s">
        <v>1536</v>
      </c>
      <c r="BN608" s="1" t="s">
        <v>8331</v>
      </c>
      <c r="BO608" s="1" t="s">
        <v>1507</v>
      </c>
      <c r="BP608" s="1" t="s">
        <v>1507</v>
      </c>
      <c r="BQ608" s="1" t="s">
        <v>1507</v>
      </c>
      <c r="BR608" s="1" t="s">
        <v>1507</v>
      </c>
      <c r="BS608" s="1" t="s">
        <v>13744</v>
      </c>
      <c r="BT608" s="1" t="s">
        <v>8366</v>
      </c>
      <c r="BU608" s="1" t="str">
        <f>HYPERLINK("https%3A%2F%2Fwww.webofscience.com%2Fwos%2Fwoscc%2Ffull-record%2FWOS:000689726300006","View Full Record in Web of Science")</f>
        <v>View Full Record in Web of Science</v>
      </c>
    </row>
    <row r="609" spans="1:73" x14ac:dyDescent="0.25">
      <c r="A609" s="1">
        <v>608</v>
      </c>
      <c r="B609" s="1" t="s">
        <v>5546</v>
      </c>
      <c r="C609" s="1" t="s">
        <v>6638</v>
      </c>
      <c r="D609" s="1" t="s">
        <v>1507</v>
      </c>
      <c r="E609" s="1" t="s">
        <v>6639</v>
      </c>
      <c r="F609" s="1" t="s">
        <v>1507</v>
      </c>
      <c r="G609" s="1" t="s">
        <v>6640</v>
      </c>
      <c r="H609" s="1" t="s">
        <v>1507</v>
      </c>
      <c r="I609" s="1" t="s">
        <v>1507</v>
      </c>
      <c r="J609" s="1" t="s">
        <v>6641</v>
      </c>
      <c r="K609" s="1" t="s">
        <v>6642</v>
      </c>
      <c r="L609" s="1" t="s">
        <v>6643</v>
      </c>
      <c r="M609" s="1" t="s">
        <v>1507</v>
      </c>
      <c r="N609" s="1" t="s">
        <v>42</v>
      </c>
      <c r="O609" s="1" t="s">
        <v>5552</v>
      </c>
      <c r="P609" s="1" t="s">
        <v>6644</v>
      </c>
      <c r="Q609" s="1" t="s">
        <v>6645</v>
      </c>
      <c r="R609" s="1" t="s">
        <v>6646</v>
      </c>
      <c r="S609" s="1" t="s">
        <v>6647</v>
      </c>
      <c r="T609" s="1" t="s">
        <v>6648</v>
      </c>
      <c r="U609" s="1" t="s">
        <v>6649</v>
      </c>
      <c r="V609" s="1" t="s">
        <v>1507</v>
      </c>
      <c r="W609" s="1" t="s">
        <v>6650</v>
      </c>
      <c r="X609" s="1" t="s">
        <v>6651</v>
      </c>
      <c r="Y609" s="1" t="s">
        <v>6652</v>
      </c>
      <c r="Z609" s="1" t="s">
        <v>6653</v>
      </c>
      <c r="AA609" s="1" t="s">
        <v>6654</v>
      </c>
      <c r="AB609" s="1" t="s">
        <v>15526</v>
      </c>
      <c r="AC609" s="1" t="s">
        <v>15527</v>
      </c>
      <c r="AD609" s="1" t="s">
        <v>6655</v>
      </c>
      <c r="AE609" s="1" t="s">
        <v>6655</v>
      </c>
      <c r="AF609" s="1" t="s">
        <v>6656</v>
      </c>
      <c r="AG609" s="1" t="s">
        <v>1507</v>
      </c>
      <c r="AH609" s="1">
        <v>20</v>
      </c>
      <c r="AI609" s="1">
        <v>0</v>
      </c>
      <c r="AJ609" s="1">
        <v>0</v>
      </c>
      <c r="AK609" s="1">
        <v>4</v>
      </c>
      <c r="AL609" s="1">
        <v>4</v>
      </c>
      <c r="AM609" s="1" t="s">
        <v>5645</v>
      </c>
      <c r="AN609" s="1" t="s">
        <v>5646</v>
      </c>
      <c r="AO609" s="1" t="s">
        <v>5647</v>
      </c>
      <c r="AP609" s="1" t="s">
        <v>6657</v>
      </c>
      <c r="AQ609" s="1" t="s">
        <v>1507</v>
      </c>
      <c r="AR609" s="1" t="s">
        <v>6658</v>
      </c>
      <c r="AS609" s="1" t="s">
        <v>6659</v>
      </c>
      <c r="AT609" s="1" t="s">
        <v>1507</v>
      </c>
      <c r="AU609" s="1" t="s">
        <v>1507</v>
      </c>
      <c r="AV609" s="1">
        <v>2023</v>
      </c>
      <c r="AW609" s="1" t="s">
        <v>1507</v>
      </c>
      <c r="AX609" s="1" t="s">
        <v>1507</v>
      </c>
      <c r="AY609" s="1" t="s">
        <v>1507</v>
      </c>
      <c r="AZ609" s="1" t="s">
        <v>1507</v>
      </c>
      <c r="BA609" s="1" t="s">
        <v>1507</v>
      </c>
      <c r="BB609" s="1" t="s">
        <v>1507</v>
      </c>
      <c r="BC609" s="1">
        <v>1780</v>
      </c>
      <c r="BD609" s="1">
        <v>1785</v>
      </c>
      <c r="BE609" s="1" t="s">
        <v>1507</v>
      </c>
      <c r="BF609" s="1" t="s">
        <v>6660</v>
      </c>
      <c r="BG609" s="1" t="str">
        <f>HYPERLINK("http://dx.doi.org/10.1109/COMPSAC57700.2023.00275","http://dx.doi.org/10.1109/COMPSAC57700.2023.00275")</f>
        <v>http://dx.doi.org/10.1109/COMPSAC57700.2023.00275</v>
      </c>
      <c r="BH609" s="1" t="s">
        <v>1507</v>
      </c>
      <c r="BI609" s="1" t="s">
        <v>1507</v>
      </c>
      <c r="BJ609" s="1">
        <v>6</v>
      </c>
      <c r="BK609" s="1" t="s">
        <v>6661</v>
      </c>
      <c r="BL609" s="1" t="s">
        <v>5570</v>
      </c>
      <c r="BM609" s="1" t="s">
        <v>1577</v>
      </c>
      <c r="BN609" s="1" t="s">
        <v>6662</v>
      </c>
      <c r="BO609" s="1" t="s">
        <v>1507</v>
      </c>
      <c r="BP609" s="1" t="s">
        <v>1507</v>
      </c>
      <c r="BQ609" s="1" t="s">
        <v>1507</v>
      </c>
      <c r="BR609" s="1" t="s">
        <v>1507</v>
      </c>
      <c r="BS609" s="1" t="s">
        <v>13744</v>
      </c>
      <c r="BT609" s="1" t="s">
        <v>6663</v>
      </c>
      <c r="BU609" s="1" t="str">
        <f>HYPERLINK("https%3A%2F%2Fwww.webofscience.com%2Fwos%2Fwoscc%2Ffull-record%2FWOS:001046484100265","View Full Record in Web of Science")</f>
        <v>View Full Record in Web of Science</v>
      </c>
    </row>
    <row r="610" spans="1:73" x14ac:dyDescent="0.25">
      <c r="A610" s="1">
        <v>609</v>
      </c>
      <c r="B610" s="1" t="s">
        <v>1506</v>
      </c>
      <c r="C610" s="1" t="s">
        <v>10223</v>
      </c>
      <c r="D610" s="1" t="s">
        <v>1507</v>
      </c>
      <c r="E610" s="1" t="s">
        <v>1507</v>
      </c>
      <c r="F610" s="1" t="s">
        <v>1507</v>
      </c>
      <c r="G610" s="1" t="s">
        <v>10224</v>
      </c>
      <c r="H610" s="1" t="s">
        <v>1507</v>
      </c>
      <c r="I610" s="1" t="s">
        <v>1507</v>
      </c>
      <c r="J610" s="1" t="s">
        <v>10225</v>
      </c>
      <c r="K610" s="1" t="s">
        <v>10226</v>
      </c>
      <c r="L610" s="1" t="s">
        <v>1507</v>
      </c>
      <c r="M610" s="1" t="s">
        <v>1507</v>
      </c>
      <c r="N610" s="1" t="s">
        <v>42</v>
      </c>
      <c r="O610" s="1" t="s">
        <v>56</v>
      </c>
      <c r="P610" s="1" t="s">
        <v>1507</v>
      </c>
      <c r="Q610" s="1" t="s">
        <v>1507</v>
      </c>
      <c r="R610" s="1" t="s">
        <v>1507</v>
      </c>
      <c r="S610" s="1" t="s">
        <v>1507</v>
      </c>
      <c r="T610" s="1" t="s">
        <v>1507</v>
      </c>
      <c r="U610" s="1" t="s">
        <v>1507</v>
      </c>
      <c r="V610" s="1" t="s">
        <v>10227</v>
      </c>
      <c r="W610" s="1" t="s">
        <v>10228</v>
      </c>
      <c r="X610" s="1" t="s">
        <v>10229</v>
      </c>
      <c r="Y610" s="1" t="s">
        <v>10230</v>
      </c>
      <c r="Z610" s="1" t="s">
        <v>10231</v>
      </c>
      <c r="AA610" s="1" t="s">
        <v>10232</v>
      </c>
      <c r="AB610" s="1" t="s">
        <v>15834</v>
      </c>
      <c r="AC610" s="1" t="s">
        <v>10233</v>
      </c>
      <c r="AD610" s="1" t="s">
        <v>10234</v>
      </c>
      <c r="AE610" s="1" t="s">
        <v>10235</v>
      </c>
      <c r="AF610" s="1" t="s">
        <v>10236</v>
      </c>
      <c r="AG610" s="1" t="s">
        <v>1507</v>
      </c>
      <c r="AH610" s="1">
        <v>27</v>
      </c>
      <c r="AI610" s="1">
        <v>5</v>
      </c>
      <c r="AJ610" s="1">
        <v>5</v>
      </c>
      <c r="AK610" s="1">
        <v>15</v>
      </c>
      <c r="AL610" s="1">
        <v>65</v>
      </c>
      <c r="AM610" s="1" t="s">
        <v>5278</v>
      </c>
      <c r="AN610" s="1" t="s">
        <v>1551</v>
      </c>
      <c r="AO610" s="1" t="s">
        <v>5279</v>
      </c>
      <c r="AP610" s="1" t="s">
        <v>10237</v>
      </c>
      <c r="AQ610" s="1" t="s">
        <v>10238</v>
      </c>
      <c r="AR610" s="1" t="s">
        <v>1507</v>
      </c>
      <c r="AS610" s="1" t="s">
        <v>10239</v>
      </c>
      <c r="AT610" s="1" t="s">
        <v>10240</v>
      </c>
      <c r="AU610" s="1" t="s">
        <v>10241</v>
      </c>
      <c r="AV610" s="1">
        <v>2020</v>
      </c>
      <c r="AW610" s="1">
        <v>2020</v>
      </c>
      <c r="AX610" s="1" t="s">
        <v>1507</v>
      </c>
      <c r="AY610" s="1" t="s">
        <v>1507</v>
      </c>
      <c r="AZ610" s="1" t="s">
        <v>1507</v>
      </c>
      <c r="BA610" s="1" t="s">
        <v>1507</v>
      </c>
      <c r="BB610" s="1" t="s">
        <v>1507</v>
      </c>
      <c r="BC610" s="1" t="s">
        <v>1507</v>
      </c>
      <c r="BD610" s="1" t="s">
        <v>1507</v>
      </c>
      <c r="BE610" s="1">
        <v>7605140</v>
      </c>
      <c r="BF610" s="1" t="s">
        <v>10242</v>
      </c>
      <c r="BG610" s="1" t="str">
        <f>HYPERLINK("http://dx.doi.org/10.1155/2020/7605140","http://dx.doi.org/10.1155/2020/7605140")</f>
        <v>http://dx.doi.org/10.1155/2020/7605140</v>
      </c>
      <c r="BH610" s="1" t="s">
        <v>1507</v>
      </c>
      <c r="BI610" s="1" t="s">
        <v>1507</v>
      </c>
      <c r="BJ610" s="1">
        <v>8</v>
      </c>
      <c r="BK610" s="1" t="s">
        <v>2634</v>
      </c>
      <c r="BL610" s="1" t="s">
        <v>1573</v>
      </c>
      <c r="BM610" s="1" t="s">
        <v>2380</v>
      </c>
      <c r="BN610" s="1" t="s">
        <v>10243</v>
      </c>
      <c r="BO610" s="1" t="s">
        <v>1507</v>
      </c>
      <c r="BP610" s="1" t="s">
        <v>1531</v>
      </c>
      <c r="BQ610" s="1" t="s">
        <v>1507</v>
      </c>
      <c r="BR610" s="1" t="s">
        <v>1507</v>
      </c>
      <c r="BS610" s="1" t="s">
        <v>13744</v>
      </c>
      <c r="BT610" s="1" t="s">
        <v>10244</v>
      </c>
      <c r="BU610" s="1" t="str">
        <f>HYPERLINK("https%3A%2F%2Fwww.webofscience.com%2Fwos%2Fwoscc%2Ffull-record%2FWOS:000510901900001","View Full Record in Web of Science")</f>
        <v>View Full Record in Web of Science</v>
      </c>
    </row>
    <row r="611" spans="1:73" x14ac:dyDescent="0.25">
      <c r="A611" s="1">
        <v>610</v>
      </c>
      <c r="B611" s="1" t="s">
        <v>1506</v>
      </c>
      <c r="C611" s="1" t="s">
        <v>1842</v>
      </c>
      <c r="D611" s="1" t="s">
        <v>1507</v>
      </c>
      <c r="E611" s="1" t="s">
        <v>1507</v>
      </c>
      <c r="F611" s="1" t="s">
        <v>1507</v>
      </c>
      <c r="G611" s="1" t="s">
        <v>1843</v>
      </c>
      <c r="H611" s="1" t="s">
        <v>1507</v>
      </c>
      <c r="I611" s="1" t="s">
        <v>1507</v>
      </c>
      <c r="J611" s="1" t="s">
        <v>1844</v>
      </c>
      <c r="K611" s="1" t="s">
        <v>1845</v>
      </c>
      <c r="L611" s="1" t="s">
        <v>1507</v>
      </c>
      <c r="M611" s="1" t="s">
        <v>1507</v>
      </c>
      <c r="N611" s="1" t="s">
        <v>42</v>
      </c>
      <c r="O611" s="1" t="s">
        <v>56</v>
      </c>
      <c r="P611" s="1" t="s">
        <v>1507</v>
      </c>
      <c r="Q611" s="1" t="s">
        <v>1507</v>
      </c>
      <c r="R611" s="1" t="s">
        <v>1507</v>
      </c>
      <c r="S611" s="1" t="s">
        <v>1507</v>
      </c>
      <c r="T611" s="1" t="s">
        <v>1507</v>
      </c>
      <c r="U611" s="1" t="s">
        <v>1846</v>
      </c>
      <c r="V611" s="1" t="s">
        <v>1847</v>
      </c>
      <c r="W611" s="1" t="s">
        <v>1848</v>
      </c>
      <c r="X611" s="1" t="s">
        <v>1849</v>
      </c>
      <c r="Y611" s="1" t="s">
        <v>13803</v>
      </c>
      <c r="Z611" s="1" t="s">
        <v>1850</v>
      </c>
      <c r="AA611" s="1" t="s">
        <v>1851</v>
      </c>
      <c r="AB611" s="1" t="s">
        <v>13804</v>
      </c>
      <c r="AC611" s="1" t="s">
        <v>13805</v>
      </c>
      <c r="AD611" s="1" t="s">
        <v>1852</v>
      </c>
      <c r="AE611" s="1" t="s">
        <v>1853</v>
      </c>
      <c r="AF611" s="1" t="s">
        <v>1854</v>
      </c>
      <c r="AG611" s="1" t="s">
        <v>1507</v>
      </c>
      <c r="AH611" s="1">
        <v>20</v>
      </c>
      <c r="AI611" s="1">
        <v>0</v>
      </c>
      <c r="AJ611" s="1">
        <v>0</v>
      </c>
      <c r="AK611" s="1">
        <v>3</v>
      </c>
      <c r="AL611" s="1">
        <v>3</v>
      </c>
      <c r="AM611" s="1" t="s">
        <v>1855</v>
      </c>
      <c r="AN611" s="1" t="s">
        <v>1856</v>
      </c>
      <c r="AO611" s="1" t="s">
        <v>1857</v>
      </c>
      <c r="AP611" s="1" t="s">
        <v>1858</v>
      </c>
      <c r="AQ611" s="1" t="s">
        <v>1859</v>
      </c>
      <c r="AR611" s="1" t="s">
        <v>1507</v>
      </c>
      <c r="AS611" s="1" t="s">
        <v>1860</v>
      </c>
      <c r="AT611" s="1" t="s">
        <v>1861</v>
      </c>
      <c r="AU611" s="1" t="s">
        <v>9054</v>
      </c>
      <c r="AV611" s="1">
        <v>2024</v>
      </c>
      <c r="AW611" s="1">
        <v>67</v>
      </c>
      <c r="AX611" s="1">
        <v>2</v>
      </c>
      <c r="AY611" s="1" t="s">
        <v>1507</v>
      </c>
      <c r="AZ611" s="1" t="s">
        <v>1507</v>
      </c>
      <c r="BA611" s="1" t="s">
        <v>1507</v>
      </c>
      <c r="BB611" s="1" t="s">
        <v>1507</v>
      </c>
      <c r="BC611" s="1">
        <v>221</v>
      </c>
      <c r="BD611" s="1">
        <v>229</v>
      </c>
      <c r="BE611" s="1" t="s">
        <v>1507</v>
      </c>
      <c r="BF611" s="1" t="s">
        <v>1862</v>
      </c>
      <c r="BG611" s="1" t="str">
        <f>HYPERLINK("http://dx.doi.org/10.1007/s11427-023-2509-x","http://dx.doi.org/10.1007/s11427-023-2509-x")</f>
        <v>http://dx.doi.org/10.1007/s11427-023-2509-x</v>
      </c>
      <c r="BH611" s="1" t="s">
        <v>1507</v>
      </c>
      <c r="BI611" s="1" t="s">
        <v>1652</v>
      </c>
      <c r="BJ611" s="1">
        <v>9</v>
      </c>
      <c r="BK611" s="1" t="s">
        <v>1863</v>
      </c>
      <c r="BL611" s="1" t="s">
        <v>1573</v>
      </c>
      <c r="BM611" s="1" t="s">
        <v>1864</v>
      </c>
      <c r="BN611" s="1" t="s">
        <v>13806</v>
      </c>
      <c r="BO611" s="1">
        <v>38157107</v>
      </c>
      <c r="BP611" s="1" t="s">
        <v>3572</v>
      </c>
      <c r="BQ611" s="1" t="s">
        <v>1507</v>
      </c>
      <c r="BR611" s="1" t="s">
        <v>1507</v>
      </c>
      <c r="BS611" s="1" t="s">
        <v>13744</v>
      </c>
      <c r="BT611" s="1" t="s">
        <v>1865</v>
      </c>
      <c r="BU611" s="1" t="str">
        <f>HYPERLINK("https%3A%2F%2Fwww.webofscience.com%2Fwos%2Fwoscc%2Ffull-record%2FWOS:001133741600002","View Full Record in Web of Science")</f>
        <v>View Full Record in Web of Science</v>
      </c>
    </row>
    <row r="612" spans="1:73" x14ac:dyDescent="0.25">
      <c r="A612" s="1">
        <v>611</v>
      </c>
      <c r="B612" s="1" t="s">
        <v>1506</v>
      </c>
      <c r="C612" s="1" t="s">
        <v>3435</v>
      </c>
      <c r="D612" s="1" t="s">
        <v>1507</v>
      </c>
      <c r="E612" s="1" t="s">
        <v>1507</v>
      </c>
      <c r="F612" s="1" t="s">
        <v>1507</v>
      </c>
      <c r="G612" s="1" t="s">
        <v>3436</v>
      </c>
      <c r="H612" s="1" t="s">
        <v>1507</v>
      </c>
      <c r="I612" s="1" t="s">
        <v>1507</v>
      </c>
      <c r="J612" s="1" t="s">
        <v>3437</v>
      </c>
      <c r="K612" s="1" t="s">
        <v>3438</v>
      </c>
      <c r="L612" s="1" t="s">
        <v>1507</v>
      </c>
      <c r="M612" s="1" t="s">
        <v>1507</v>
      </c>
      <c r="N612" s="1" t="s">
        <v>42</v>
      </c>
      <c r="O612" s="1" t="s">
        <v>56</v>
      </c>
      <c r="P612" s="1" t="s">
        <v>1507</v>
      </c>
      <c r="Q612" s="1" t="s">
        <v>1507</v>
      </c>
      <c r="R612" s="1" t="s">
        <v>1507</v>
      </c>
      <c r="S612" s="1" t="s">
        <v>1507</v>
      </c>
      <c r="T612" s="1" t="s">
        <v>1507</v>
      </c>
      <c r="U612" s="1" t="s">
        <v>1507</v>
      </c>
      <c r="V612" s="1" t="s">
        <v>1507</v>
      </c>
      <c r="W612" s="1" t="s">
        <v>3439</v>
      </c>
      <c r="X612" s="1" t="s">
        <v>3440</v>
      </c>
      <c r="Y612" s="1" t="s">
        <v>3441</v>
      </c>
      <c r="Z612" s="1" t="s">
        <v>3442</v>
      </c>
      <c r="AA612" s="1" t="s">
        <v>3443</v>
      </c>
      <c r="AB612" s="1" t="s">
        <v>14305</v>
      </c>
      <c r="AC612" s="1" t="s">
        <v>14306</v>
      </c>
      <c r="AD612" s="1" t="s">
        <v>3444</v>
      </c>
      <c r="AE612" s="1" t="s">
        <v>3445</v>
      </c>
      <c r="AF612" s="1" t="s">
        <v>3446</v>
      </c>
      <c r="AG612" s="1" t="s">
        <v>1507</v>
      </c>
      <c r="AH612" s="1">
        <v>60</v>
      </c>
      <c r="AI612" s="1">
        <v>1</v>
      </c>
      <c r="AJ612" s="1">
        <v>1</v>
      </c>
      <c r="AK612" s="1">
        <v>5</v>
      </c>
      <c r="AL612" s="1">
        <v>5</v>
      </c>
      <c r="AM612" s="1" t="s">
        <v>1591</v>
      </c>
      <c r="AN612" s="1" t="s">
        <v>1592</v>
      </c>
      <c r="AO612" s="1" t="s">
        <v>1593</v>
      </c>
      <c r="AP612" s="1" t="s">
        <v>1507</v>
      </c>
      <c r="AQ612" s="1" t="s">
        <v>3447</v>
      </c>
      <c r="AR612" s="1" t="s">
        <v>1507</v>
      </c>
      <c r="AS612" s="1" t="s">
        <v>3438</v>
      </c>
      <c r="AT612" s="1" t="s">
        <v>3448</v>
      </c>
      <c r="AU612" s="1" t="s">
        <v>3431</v>
      </c>
      <c r="AV612" s="1">
        <v>2023</v>
      </c>
      <c r="AW612" s="1">
        <v>8</v>
      </c>
      <c r="AX612" s="1">
        <v>1</v>
      </c>
      <c r="AY612" s="1" t="s">
        <v>1507</v>
      </c>
      <c r="AZ612" s="1" t="s">
        <v>1507</v>
      </c>
      <c r="BA612" s="1" t="s">
        <v>1507</v>
      </c>
      <c r="BB612" s="1" t="s">
        <v>1507</v>
      </c>
      <c r="BC612" s="1" t="s">
        <v>1507</v>
      </c>
      <c r="BD612" s="1" t="s">
        <v>1507</v>
      </c>
      <c r="BE612" s="1">
        <v>151</v>
      </c>
      <c r="BF612" s="1" t="s">
        <v>3449</v>
      </c>
      <c r="BG612" s="1" t="str">
        <f>HYPERLINK("http://dx.doi.org/10.1038/s41541-023-00745-4","http://dx.doi.org/10.1038/s41541-023-00745-4")</f>
        <v>http://dx.doi.org/10.1038/s41541-023-00745-4</v>
      </c>
      <c r="BH612" s="1" t="s">
        <v>1507</v>
      </c>
      <c r="BI612" s="1" t="s">
        <v>1507</v>
      </c>
      <c r="BJ612" s="1">
        <v>11</v>
      </c>
      <c r="BK612" s="1" t="s">
        <v>3450</v>
      </c>
      <c r="BL612" s="1" t="s">
        <v>1573</v>
      </c>
      <c r="BM612" s="1" t="s">
        <v>3451</v>
      </c>
      <c r="BN612" s="1" t="s">
        <v>3452</v>
      </c>
      <c r="BO612" s="1">
        <v>37798293</v>
      </c>
      <c r="BP612" s="1" t="s">
        <v>2040</v>
      </c>
      <c r="BQ612" s="1" t="s">
        <v>1507</v>
      </c>
      <c r="BR612" s="1" t="s">
        <v>1507</v>
      </c>
      <c r="BS612" s="1" t="s">
        <v>13744</v>
      </c>
      <c r="BT612" s="1" t="s">
        <v>3453</v>
      </c>
      <c r="BU612" s="1" t="str">
        <f>HYPERLINK("https%3A%2F%2Fwww.webofscience.com%2Fwos%2Fwoscc%2Ffull-record%2FWOS:001076219900001","View Full Record in Web of Science")</f>
        <v>View Full Record in Web of Science</v>
      </c>
    </row>
    <row r="613" spans="1:73" x14ac:dyDescent="0.25">
      <c r="A613" s="1">
        <v>612</v>
      </c>
      <c r="B613" s="1" t="s">
        <v>5546</v>
      </c>
      <c r="C613" s="1" t="s">
        <v>15528</v>
      </c>
      <c r="D613" s="1" t="s">
        <v>1507</v>
      </c>
      <c r="E613" s="1" t="s">
        <v>1507</v>
      </c>
      <c r="F613" s="1" t="s">
        <v>5548</v>
      </c>
      <c r="G613" s="1" t="s">
        <v>15529</v>
      </c>
      <c r="H613" s="1" t="s">
        <v>1507</v>
      </c>
      <c r="I613" s="1" t="s">
        <v>1507</v>
      </c>
      <c r="J613" s="1" t="s">
        <v>15530</v>
      </c>
      <c r="K613" s="1" t="s">
        <v>14946</v>
      </c>
      <c r="L613" s="1" t="s">
        <v>1507</v>
      </c>
      <c r="M613" s="1" t="s">
        <v>1507</v>
      </c>
      <c r="N613" s="1" t="s">
        <v>42</v>
      </c>
      <c r="O613" s="1" t="s">
        <v>5552</v>
      </c>
      <c r="P613" s="1" t="s">
        <v>14947</v>
      </c>
      <c r="Q613" s="1" t="s">
        <v>6409</v>
      </c>
      <c r="R613" s="1" t="s">
        <v>14948</v>
      </c>
      <c r="S613" s="1" t="s">
        <v>14949</v>
      </c>
      <c r="T613" s="1" t="s">
        <v>1507</v>
      </c>
      <c r="U613" s="1" t="s">
        <v>15531</v>
      </c>
      <c r="V613" s="1" t="s">
        <v>1507</v>
      </c>
      <c r="W613" s="1" t="s">
        <v>15532</v>
      </c>
      <c r="X613" s="1" t="s">
        <v>15533</v>
      </c>
      <c r="Y613" s="1" t="s">
        <v>15449</v>
      </c>
      <c r="Z613" s="1" t="s">
        <v>15534</v>
      </c>
      <c r="AA613" s="1" t="s">
        <v>15535</v>
      </c>
      <c r="AB613" s="1" t="s">
        <v>15536</v>
      </c>
      <c r="AC613" s="1" t="s">
        <v>1507</v>
      </c>
      <c r="AD613" s="1" t="s">
        <v>15537</v>
      </c>
      <c r="AE613" s="1" t="s">
        <v>15538</v>
      </c>
      <c r="AF613" s="1" t="s">
        <v>15539</v>
      </c>
      <c r="AG613" s="1" t="s">
        <v>1507</v>
      </c>
      <c r="AH613" s="1">
        <v>59</v>
      </c>
      <c r="AI613" s="1">
        <v>0</v>
      </c>
      <c r="AJ613" s="1">
        <v>0</v>
      </c>
      <c r="AK613" s="1">
        <v>0</v>
      </c>
      <c r="AL613" s="1">
        <v>0</v>
      </c>
      <c r="AM613" s="1" t="s">
        <v>5565</v>
      </c>
      <c r="AN613" s="1" t="s">
        <v>1512</v>
      </c>
      <c r="AO613" s="1" t="s">
        <v>5566</v>
      </c>
      <c r="AP613" s="1" t="s">
        <v>1507</v>
      </c>
      <c r="AQ613" s="1" t="s">
        <v>1507</v>
      </c>
      <c r="AR613" s="1" t="s">
        <v>14957</v>
      </c>
      <c r="AS613" s="1" t="s">
        <v>1507</v>
      </c>
      <c r="AT613" s="1" t="s">
        <v>1507</v>
      </c>
      <c r="AU613" s="1" t="s">
        <v>1507</v>
      </c>
      <c r="AV613" s="1">
        <v>2023</v>
      </c>
      <c r="AW613" s="1" t="s">
        <v>1507</v>
      </c>
      <c r="AX613" s="1" t="s">
        <v>1507</v>
      </c>
      <c r="AY613" s="1" t="s">
        <v>1507</v>
      </c>
      <c r="AZ613" s="1" t="s">
        <v>1507</v>
      </c>
      <c r="BA613" s="1" t="s">
        <v>1507</v>
      </c>
      <c r="BB613" s="1" t="s">
        <v>1507</v>
      </c>
      <c r="BC613" s="1">
        <v>5660</v>
      </c>
      <c r="BD613" s="1">
        <v>5672</v>
      </c>
      <c r="BE613" s="1" t="s">
        <v>1507</v>
      </c>
      <c r="BF613" s="1" t="s">
        <v>15540</v>
      </c>
      <c r="BG613" s="1" t="str">
        <f>HYPERLINK("http://dx.doi.org/10.1145/3580305.3599850","http://dx.doi.org/10.1145/3580305.3599850")</f>
        <v>http://dx.doi.org/10.1145/3580305.3599850</v>
      </c>
      <c r="BH613" s="1" t="s">
        <v>1507</v>
      </c>
      <c r="BI613" s="1" t="s">
        <v>1507</v>
      </c>
      <c r="BJ613" s="1">
        <v>13</v>
      </c>
      <c r="BK613" s="1" t="s">
        <v>14958</v>
      </c>
      <c r="BL613" s="1" t="s">
        <v>5570</v>
      </c>
      <c r="BM613" s="1" t="s">
        <v>1577</v>
      </c>
      <c r="BN613" s="1" t="s">
        <v>14959</v>
      </c>
      <c r="BO613" s="1" t="s">
        <v>1507</v>
      </c>
      <c r="BP613" s="1" t="s">
        <v>1600</v>
      </c>
      <c r="BQ613" s="1" t="s">
        <v>1507</v>
      </c>
      <c r="BR613" s="1" t="s">
        <v>1507</v>
      </c>
      <c r="BS613" s="1" t="s">
        <v>13744</v>
      </c>
      <c r="BT613" s="1" t="s">
        <v>15541</v>
      </c>
      <c r="BU613" s="1" t="str">
        <f>HYPERLINK("https%3A%2F%2Fwww.webofscience.com%2Fwos%2Fwoscc%2Ffull-record%2FWOS:001118896305063","View Full Record in Web of Science")</f>
        <v>View Full Record in Web of Science</v>
      </c>
    </row>
    <row r="614" spans="1:73" x14ac:dyDescent="0.25">
      <c r="A614" s="1">
        <v>613</v>
      </c>
      <c r="B614" s="1" t="s">
        <v>1506</v>
      </c>
      <c r="C614" s="1" t="s">
        <v>4061</v>
      </c>
      <c r="D614" s="1" t="s">
        <v>1507</v>
      </c>
      <c r="E614" s="1" t="s">
        <v>1507</v>
      </c>
      <c r="F614" s="1" t="s">
        <v>1507</v>
      </c>
      <c r="G614" s="1" t="s">
        <v>4062</v>
      </c>
      <c r="H614" s="1" t="s">
        <v>1507</v>
      </c>
      <c r="I614" s="1" t="s">
        <v>1507</v>
      </c>
      <c r="J614" s="1" t="s">
        <v>4063</v>
      </c>
      <c r="K614" s="1" t="s">
        <v>4064</v>
      </c>
      <c r="L614" s="1" t="s">
        <v>1507</v>
      </c>
      <c r="M614" s="1" t="s">
        <v>1507</v>
      </c>
      <c r="N614" s="1" t="s">
        <v>42</v>
      </c>
      <c r="O614" s="1" t="s">
        <v>56</v>
      </c>
      <c r="P614" s="1" t="s">
        <v>1507</v>
      </c>
      <c r="Q614" s="1" t="s">
        <v>1507</v>
      </c>
      <c r="R614" s="1" t="s">
        <v>1507</v>
      </c>
      <c r="S614" s="1" t="s">
        <v>1507</v>
      </c>
      <c r="T614" s="1" t="s">
        <v>1507</v>
      </c>
      <c r="U614" s="1" t="s">
        <v>4065</v>
      </c>
      <c r="V614" s="1" t="s">
        <v>4066</v>
      </c>
      <c r="W614" s="1" t="s">
        <v>4067</v>
      </c>
      <c r="X614" s="1" t="s">
        <v>4068</v>
      </c>
      <c r="Y614" s="1" t="s">
        <v>4069</v>
      </c>
      <c r="Z614" s="1" t="s">
        <v>4070</v>
      </c>
      <c r="AA614" s="1" t="s">
        <v>4071</v>
      </c>
      <c r="AB614" s="1" t="s">
        <v>1507</v>
      </c>
      <c r="AC614" s="1" t="s">
        <v>1507</v>
      </c>
      <c r="AD614" s="1" t="s">
        <v>4072</v>
      </c>
      <c r="AE614" s="1" t="s">
        <v>4073</v>
      </c>
      <c r="AF614" s="1" t="s">
        <v>4074</v>
      </c>
      <c r="AG614" s="1" t="s">
        <v>1507</v>
      </c>
      <c r="AH614" s="1">
        <v>56</v>
      </c>
      <c r="AI614" s="1">
        <v>1</v>
      </c>
      <c r="AJ614" s="1">
        <v>1</v>
      </c>
      <c r="AK614" s="1">
        <v>41</v>
      </c>
      <c r="AL614" s="1">
        <v>41</v>
      </c>
      <c r="AM614" s="1" t="s">
        <v>1579</v>
      </c>
      <c r="AN614" s="1" t="s">
        <v>1580</v>
      </c>
      <c r="AO614" s="1" t="s">
        <v>1581</v>
      </c>
      <c r="AP614" s="1" t="s">
        <v>4075</v>
      </c>
      <c r="AQ614" s="1" t="s">
        <v>4076</v>
      </c>
      <c r="AR614" s="1" t="s">
        <v>1507</v>
      </c>
      <c r="AS614" s="1" t="s">
        <v>4077</v>
      </c>
      <c r="AT614" s="1" t="s">
        <v>4078</v>
      </c>
      <c r="AU614" s="1" t="s">
        <v>2771</v>
      </c>
      <c r="AV614" s="1">
        <v>2023</v>
      </c>
      <c r="AW614" s="1">
        <v>155</v>
      </c>
      <c r="AX614" s="1" t="s">
        <v>1507</v>
      </c>
      <c r="AY614" s="1" t="s">
        <v>1507</v>
      </c>
      <c r="AZ614" s="1" t="s">
        <v>1507</v>
      </c>
      <c r="BA614" s="1" t="s">
        <v>1507</v>
      </c>
      <c r="BB614" s="1" t="s">
        <v>1507</v>
      </c>
      <c r="BC614" s="1" t="s">
        <v>1507</v>
      </c>
      <c r="BD614" s="1" t="s">
        <v>1507</v>
      </c>
      <c r="BE614" s="1">
        <v>105067</v>
      </c>
      <c r="BF614" s="1" t="s">
        <v>4079</v>
      </c>
      <c r="BG614" s="1" t="str">
        <f>HYPERLINK("http://dx.doi.org/10.1016/j.autcon.2023.105067","http://dx.doi.org/10.1016/j.autcon.2023.105067")</f>
        <v>http://dx.doi.org/10.1016/j.autcon.2023.105067</v>
      </c>
      <c r="BH614" s="1" t="s">
        <v>1507</v>
      </c>
      <c r="BI614" s="1" t="s">
        <v>4056</v>
      </c>
      <c r="BJ614" s="1">
        <v>24</v>
      </c>
      <c r="BK614" s="1" t="s">
        <v>1815</v>
      </c>
      <c r="BL614" s="1" t="s">
        <v>1573</v>
      </c>
      <c r="BM614" s="1" t="s">
        <v>1816</v>
      </c>
      <c r="BN614" s="1" t="s">
        <v>4080</v>
      </c>
      <c r="BO614" s="1" t="s">
        <v>1507</v>
      </c>
      <c r="BP614" s="1" t="s">
        <v>1507</v>
      </c>
      <c r="BQ614" s="1" t="s">
        <v>1507</v>
      </c>
      <c r="BR614" s="1" t="s">
        <v>1507</v>
      </c>
      <c r="BS614" s="1" t="s">
        <v>13744</v>
      </c>
      <c r="BT614" s="1" t="s">
        <v>4081</v>
      </c>
      <c r="BU614" s="1" t="str">
        <f>HYPERLINK("https%3A%2F%2Fwww.webofscience.com%2Fwos%2Fwoscc%2Ffull-record%2FWOS:001088738700001","View Full Record in Web of Science")</f>
        <v>View Full Record in Web of Science</v>
      </c>
    </row>
    <row r="615" spans="1:73" x14ac:dyDescent="0.25">
      <c r="A615" s="1">
        <v>614</v>
      </c>
      <c r="B615" s="1" t="s">
        <v>1506</v>
      </c>
      <c r="C615" s="1" t="s">
        <v>3919</v>
      </c>
      <c r="D615" s="1" t="s">
        <v>1507</v>
      </c>
      <c r="E615" s="1" t="s">
        <v>1507</v>
      </c>
      <c r="F615" s="1" t="s">
        <v>1507</v>
      </c>
      <c r="G615" s="1" t="s">
        <v>3920</v>
      </c>
      <c r="H615" s="1" t="s">
        <v>1507</v>
      </c>
      <c r="I615" s="1" t="s">
        <v>1507</v>
      </c>
      <c r="J615" s="1" t="s">
        <v>3921</v>
      </c>
      <c r="K615" s="1" t="s">
        <v>3922</v>
      </c>
      <c r="L615" s="1" t="s">
        <v>1507</v>
      </c>
      <c r="M615" s="1" t="s">
        <v>1507</v>
      </c>
      <c r="N615" s="1" t="s">
        <v>42</v>
      </c>
      <c r="O615" s="1" t="s">
        <v>56</v>
      </c>
      <c r="P615" s="1" t="s">
        <v>1507</v>
      </c>
      <c r="Q615" s="1" t="s">
        <v>1507</v>
      </c>
      <c r="R615" s="1" t="s">
        <v>1507</v>
      </c>
      <c r="S615" s="1" t="s">
        <v>1507</v>
      </c>
      <c r="T615" s="1" t="s">
        <v>1507</v>
      </c>
      <c r="U615" s="1" t="s">
        <v>1507</v>
      </c>
      <c r="V615" s="1" t="s">
        <v>3923</v>
      </c>
      <c r="W615" s="1" t="s">
        <v>3924</v>
      </c>
      <c r="X615" s="1" t="s">
        <v>3925</v>
      </c>
      <c r="Y615" s="1" t="s">
        <v>14527</v>
      </c>
      <c r="Z615" s="1" t="s">
        <v>3926</v>
      </c>
      <c r="AA615" s="1" t="s">
        <v>3927</v>
      </c>
      <c r="AB615" s="1" t="s">
        <v>3928</v>
      </c>
      <c r="AC615" s="1" t="s">
        <v>14528</v>
      </c>
      <c r="AD615" s="1" t="s">
        <v>3929</v>
      </c>
      <c r="AE615" s="1" t="s">
        <v>3930</v>
      </c>
      <c r="AF615" s="1" t="s">
        <v>3931</v>
      </c>
      <c r="AG615" s="1" t="s">
        <v>1507</v>
      </c>
      <c r="AH615" s="1">
        <v>54</v>
      </c>
      <c r="AI615" s="1">
        <v>1</v>
      </c>
      <c r="AJ615" s="1">
        <v>1</v>
      </c>
      <c r="AK615" s="1">
        <v>1</v>
      </c>
      <c r="AL615" s="1">
        <v>1</v>
      </c>
      <c r="AM615" s="1" t="s">
        <v>3766</v>
      </c>
      <c r="AN615" s="1" t="s">
        <v>2300</v>
      </c>
      <c r="AO615" s="1" t="s">
        <v>3767</v>
      </c>
      <c r="AP615" s="1" t="s">
        <v>3932</v>
      </c>
      <c r="AQ615" s="1" t="s">
        <v>1507</v>
      </c>
      <c r="AR615" s="1" t="s">
        <v>1507</v>
      </c>
      <c r="AS615" s="1" t="s">
        <v>3933</v>
      </c>
      <c r="AT615" s="1" t="s">
        <v>3934</v>
      </c>
      <c r="AU615" s="1" t="s">
        <v>3935</v>
      </c>
      <c r="AV615" s="1">
        <v>2023</v>
      </c>
      <c r="AW615" s="1">
        <v>9</v>
      </c>
      <c r="AX615" s="1">
        <v>36</v>
      </c>
      <c r="AY615" s="1" t="s">
        <v>1507</v>
      </c>
      <c r="AZ615" s="1" t="s">
        <v>1507</v>
      </c>
      <c r="BA615" s="1" t="s">
        <v>1507</v>
      </c>
      <c r="BB615" s="1" t="s">
        <v>1507</v>
      </c>
      <c r="BC615" s="1" t="s">
        <v>1507</v>
      </c>
      <c r="BD615" s="1" t="s">
        <v>1507</v>
      </c>
      <c r="BE615" s="1" t="s">
        <v>3936</v>
      </c>
      <c r="BF615" s="1" t="s">
        <v>3937</v>
      </c>
      <c r="BG615" s="1" t="str">
        <f>HYPERLINK("http://dx.doi.org/10.1126/sciadv.adg3469","http://dx.doi.org/10.1126/sciadv.adg3469")</f>
        <v>http://dx.doi.org/10.1126/sciadv.adg3469</v>
      </c>
      <c r="BH615" s="1" t="s">
        <v>1507</v>
      </c>
      <c r="BI615" s="1" t="s">
        <v>1507</v>
      </c>
      <c r="BJ615" s="1">
        <v>14</v>
      </c>
      <c r="BK615" s="1" t="s">
        <v>1776</v>
      </c>
      <c r="BL615" s="1" t="s">
        <v>1573</v>
      </c>
      <c r="BM615" s="1" t="s">
        <v>1777</v>
      </c>
      <c r="BN615" s="1" t="s">
        <v>3938</v>
      </c>
      <c r="BO615" s="1">
        <v>37683004</v>
      </c>
      <c r="BP615" s="1" t="s">
        <v>1507</v>
      </c>
      <c r="BQ615" s="1" t="s">
        <v>1507</v>
      </c>
      <c r="BR615" s="1" t="s">
        <v>1507</v>
      </c>
      <c r="BS615" s="1" t="s">
        <v>13744</v>
      </c>
      <c r="BT615" s="1" t="s">
        <v>3939</v>
      </c>
      <c r="BU615" s="1" t="str">
        <f>HYPERLINK("https%3A%2F%2Fwww.webofscience.com%2Fwos%2Fwoscc%2Ffull-record%2FWOS:001129563900003","View Full Record in Web of Science")</f>
        <v>View Full Record in Web of Science</v>
      </c>
    </row>
    <row r="616" spans="1:73" x14ac:dyDescent="0.25">
      <c r="A616" s="1">
        <v>615</v>
      </c>
      <c r="B616" s="1" t="s">
        <v>1506</v>
      </c>
      <c r="C616" s="1" t="s">
        <v>7473</v>
      </c>
      <c r="D616" s="1" t="s">
        <v>1507</v>
      </c>
      <c r="E616" s="1" t="s">
        <v>1507</v>
      </c>
      <c r="F616" s="1" t="s">
        <v>1507</v>
      </c>
      <c r="G616" s="1" t="s">
        <v>7474</v>
      </c>
      <c r="H616" s="1" t="s">
        <v>1507</v>
      </c>
      <c r="I616" s="1" t="s">
        <v>1507</v>
      </c>
      <c r="J616" s="1" t="s">
        <v>7475</v>
      </c>
      <c r="K616" s="1" t="s">
        <v>7141</v>
      </c>
      <c r="L616" s="1" t="s">
        <v>1507</v>
      </c>
      <c r="M616" s="1" t="s">
        <v>1507</v>
      </c>
      <c r="N616" s="1" t="s">
        <v>42</v>
      </c>
      <c r="O616" s="1" t="s">
        <v>56</v>
      </c>
      <c r="P616" s="1" t="s">
        <v>1507</v>
      </c>
      <c r="Q616" s="1" t="s">
        <v>1507</v>
      </c>
      <c r="R616" s="1" t="s">
        <v>1507</v>
      </c>
      <c r="S616" s="1" t="s">
        <v>1507</v>
      </c>
      <c r="T616" s="1" t="s">
        <v>1507</v>
      </c>
      <c r="U616" s="1" t="s">
        <v>7476</v>
      </c>
      <c r="V616" s="1" t="s">
        <v>1507</v>
      </c>
      <c r="W616" s="1" t="s">
        <v>7477</v>
      </c>
      <c r="X616" s="1" t="s">
        <v>7478</v>
      </c>
      <c r="Y616" s="1" t="s">
        <v>7062</v>
      </c>
      <c r="Z616" s="1" t="s">
        <v>3718</v>
      </c>
      <c r="AA616" s="1" t="s">
        <v>3719</v>
      </c>
      <c r="AB616" s="1" t="s">
        <v>15631</v>
      </c>
      <c r="AC616" s="1" t="s">
        <v>15632</v>
      </c>
      <c r="AD616" s="1" t="s">
        <v>7479</v>
      </c>
      <c r="AE616" s="1" t="s">
        <v>7480</v>
      </c>
      <c r="AF616" s="1" t="s">
        <v>7481</v>
      </c>
      <c r="AG616" s="1" t="s">
        <v>1507</v>
      </c>
      <c r="AH616" s="1">
        <v>39</v>
      </c>
      <c r="AI616" s="1">
        <v>39</v>
      </c>
      <c r="AJ616" s="1">
        <v>45</v>
      </c>
      <c r="AK616" s="1">
        <v>2</v>
      </c>
      <c r="AL616" s="1">
        <v>67</v>
      </c>
      <c r="AM616" s="1" t="s">
        <v>1579</v>
      </c>
      <c r="AN616" s="1" t="s">
        <v>1580</v>
      </c>
      <c r="AO616" s="1" t="s">
        <v>1581</v>
      </c>
      <c r="AP616" s="1" t="s">
        <v>7151</v>
      </c>
      <c r="AQ616" s="1" t="s">
        <v>7152</v>
      </c>
      <c r="AR616" s="1" t="s">
        <v>1507</v>
      </c>
      <c r="AS616" s="1" t="s">
        <v>7153</v>
      </c>
      <c r="AT616" s="1" t="s">
        <v>7154</v>
      </c>
      <c r="AU616" s="1" t="s">
        <v>15633</v>
      </c>
      <c r="AV616" s="1">
        <v>2022</v>
      </c>
      <c r="AW616" s="1">
        <v>824</v>
      </c>
      <c r="AX616" s="1" t="s">
        <v>1507</v>
      </c>
      <c r="AY616" s="1" t="s">
        <v>1507</v>
      </c>
      <c r="AZ616" s="1" t="s">
        <v>1507</v>
      </c>
      <c r="BA616" s="1" t="s">
        <v>1507</v>
      </c>
      <c r="BB616" s="1" t="s">
        <v>1507</v>
      </c>
      <c r="BC616" s="1" t="s">
        <v>1507</v>
      </c>
      <c r="BD616" s="1" t="s">
        <v>1507</v>
      </c>
      <c r="BE616" s="1">
        <v>153687</v>
      </c>
      <c r="BF616" s="1" t="s">
        <v>7482</v>
      </c>
      <c r="BG616" s="1" t="str">
        <f>HYPERLINK("http://dx.doi.org/10.1016/j.scitotenv.2022.153687","http://dx.doi.org/10.1016/j.scitotenv.2022.153687")</f>
        <v>http://dx.doi.org/10.1016/j.scitotenv.2022.153687</v>
      </c>
      <c r="BH616" s="1" t="s">
        <v>1507</v>
      </c>
      <c r="BI616" s="1" t="s">
        <v>7483</v>
      </c>
      <c r="BJ616" s="1">
        <v>9</v>
      </c>
      <c r="BK616" s="1" t="s">
        <v>7038</v>
      </c>
      <c r="BL616" s="1" t="s">
        <v>1573</v>
      </c>
      <c r="BM616" s="1" t="s">
        <v>1839</v>
      </c>
      <c r="BN616" s="1" t="s">
        <v>7484</v>
      </c>
      <c r="BO616" s="1">
        <v>35134418</v>
      </c>
      <c r="BP616" s="1" t="s">
        <v>5071</v>
      </c>
      <c r="BQ616" s="1" t="s">
        <v>1507</v>
      </c>
      <c r="BR616" s="1" t="s">
        <v>1507</v>
      </c>
      <c r="BS616" s="1" t="s">
        <v>13744</v>
      </c>
      <c r="BT616" s="1" t="s">
        <v>7485</v>
      </c>
      <c r="BU616" s="1" t="str">
        <f>HYPERLINK("https%3A%2F%2Fwww.webofscience.com%2Fwos%2Fwoscc%2Ffull-record%2FWOS:000764890800018","View Full Record in Web of Science")</f>
        <v>View Full Record in Web of Science</v>
      </c>
    </row>
    <row r="617" spans="1:73" x14ac:dyDescent="0.25">
      <c r="A617" s="1">
        <v>616</v>
      </c>
      <c r="B617" s="1" t="s">
        <v>1506</v>
      </c>
      <c r="C617" s="1" t="s">
        <v>7138</v>
      </c>
      <c r="D617" s="1" t="s">
        <v>1507</v>
      </c>
      <c r="E617" s="1" t="s">
        <v>1507</v>
      </c>
      <c r="F617" s="1" t="s">
        <v>1507</v>
      </c>
      <c r="G617" s="1" t="s">
        <v>7139</v>
      </c>
      <c r="H617" s="1" t="s">
        <v>1507</v>
      </c>
      <c r="I617" s="1" t="s">
        <v>1507</v>
      </c>
      <c r="J617" s="1" t="s">
        <v>7140</v>
      </c>
      <c r="K617" s="1" t="s">
        <v>7141</v>
      </c>
      <c r="L617" s="1" t="s">
        <v>1507</v>
      </c>
      <c r="M617" s="1" t="s">
        <v>1507</v>
      </c>
      <c r="N617" s="1" t="s">
        <v>42</v>
      </c>
      <c r="O617" s="1" t="s">
        <v>56</v>
      </c>
      <c r="P617" s="1" t="s">
        <v>1507</v>
      </c>
      <c r="Q617" s="1" t="s">
        <v>1507</v>
      </c>
      <c r="R617" s="1" t="s">
        <v>1507</v>
      </c>
      <c r="S617" s="1" t="s">
        <v>1507</v>
      </c>
      <c r="T617" s="1" t="s">
        <v>1507</v>
      </c>
      <c r="U617" s="1" t="s">
        <v>7142</v>
      </c>
      <c r="V617" s="1" t="s">
        <v>7143</v>
      </c>
      <c r="W617" s="1" t="s">
        <v>7144</v>
      </c>
      <c r="X617" s="1" t="s">
        <v>7145</v>
      </c>
      <c r="Y617" s="1" t="s">
        <v>7146</v>
      </c>
      <c r="Z617" s="1" t="s">
        <v>3718</v>
      </c>
      <c r="AA617" s="1" t="s">
        <v>3719</v>
      </c>
      <c r="AB617" s="1" t="s">
        <v>15607</v>
      </c>
      <c r="AC617" s="1" t="s">
        <v>7147</v>
      </c>
      <c r="AD617" s="1" t="s">
        <v>7148</v>
      </c>
      <c r="AE617" s="1" t="s">
        <v>7149</v>
      </c>
      <c r="AF617" s="1" t="s">
        <v>7150</v>
      </c>
      <c r="AG617" s="1" t="s">
        <v>1507</v>
      </c>
      <c r="AH617" s="1">
        <v>53</v>
      </c>
      <c r="AI617" s="1">
        <v>15</v>
      </c>
      <c r="AJ617" s="1">
        <v>15</v>
      </c>
      <c r="AK617" s="1">
        <v>4</v>
      </c>
      <c r="AL617" s="1">
        <v>36</v>
      </c>
      <c r="AM617" s="1" t="s">
        <v>1579</v>
      </c>
      <c r="AN617" s="1" t="s">
        <v>1580</v>
      </c>
      <c r="AO617" s="1" t="s">
        <v>1581</v>
      </c>
      <c r="AP617" s="1" t="s">
        <v>7151</v>
      </c>
      <c r="AQ617" s="1" t="s">
        <v>7152</v>
      </c>
      <c r="AR617" s="1" t="s">
        <v>1507</v>
      </c>
      <c r="AS617" s="1" t="s">
        <v>7153</v>
      </c>
      <c r="AT617" s="1" t="s">
        <v>7154</v>
      </c>
      <c r="AU617" s="1" t="s">
        <v>15608</v>
      </c>
      <c r="AV617" s="1">
        <v>2022</v>
      </c>
      <c r="AW617" s="1">
        <v>844</v>
      </c>
      <c r="AX617" s="1" t="s">
        <v>1507</v>
      </c>
      <c r="AY617" s="1" t="s">
        <v>1507</v>
      </c>
      <c r="AZ617" s="1" t="s">
        <v>1507</v>
      </c>
      <c r="BA617" s="1" t="s">
        <v>1507</v>
      </c>
      <c r="BB617" s="1" t="s">
        <v>1507</v>
      </c>
      <c r="BC617" s="1" t="s">
        <v>1507</v>
      </c>
      <c r="BD617" s="1" t="s">
        <v>1507</v>
      </c>
      <c r="BE617" s="1">
        <v>157121</v>
      </c>
      <c r="BF617" s="1" t="s">
        <v>7155</v>
      </c>
      <c r="BG617" s="1" t="str">
        <f>HYPERLINK("http://dx.doi.org/10.1016/j.scitotenv.2022.157121","http://dx.doi.org/10.1016/j.scitotenv.2022.157121")</f>
        <v>http://dx.doi.org/10.1016/j.scitotenv.2022.157121</v>
      </c>
      <c r="BH617" s="1" t="s">
        <v>1507</v>
      </c>
      <c r="BI617" s="1" t="s">
        <v>7135</v>
      </c>
      <c r="BJ617" s="1">
        <v>8</v>
      </c>
      <c r="BK617" s="1" t="s">
        <v>7038</v>
      </c>
      <c r="BL617" s="1" t="s">
        <v>1573</v>
      </c>
      <c r="BM617" s="1" t="s">
        <v>1839</v>
      </c>
      <c r="BN617" s="1" t="s">
        <v>7156</v>
      </c>
      <c r="BO617" s="1">
        <v>35787900</v>
      </c>
      <c r="BP617" s="1" t="s">
        <v>5071</v>
      </c>
      <c r="BQ617" s="1" t="s">
        <v>1507</v>
      </c>
      <c r="BR617" s="1" t="s">
        <v>1507</v>
      </c>
      <c r="BS617" s="1" t="s">
        <v>13744</v>
      </c>
      <c r="BT617" s="1" t="s">
        <v>7157</v>
      </c>
      <c r="BU617" s="1" t="str">
        <f>HYPERLINK("https%3A%2F%2Fwww.webofscience.com%2Fwos%2Fwoscc%2Ffull-record%2FWOS:000831653300010","View Full Record in Web of Science")</f>
        <v>View Full Record in Web of Science</v>
      </c>
    </row>
    <row r="618" spans="1:73" x14ac:dyDescent="0.25">
      <c r="A618" s="1">
        <v>617</v>
      </c>
      <c r="B618" s="1" t="s">
        <v>1506</v>
      </c>
      <c r="C618" s="1" t="s">
        <v>3710</v>
      </c>
      <c r="D618" s="1" t="s">
        <v>1507</v>
      </c>
      <c r="E618" s="1" t="s">
        <v>1507</v>
      </c>
      <c r="F618" s="1" t="s">
        <v>1507</v>
      </c>
      <c r="G618" s="1" t="s">
        <v>3711</v>
      </c>
      <c r="H618" s="1" t="s">
        <v>1507</v>
      </c>
      <c r="I618" s="1" t="s">
        <v>1507</v>
      </c>
      <c r="J618" s="1" t="s">
        <v>3712</v>
      </c>
      <c r="K618" s="1" t="s">
        <v>3713</v>
      </c>
      <c r="L618" s="1" t="s">
        <v>1507</v>
      </c>
      <c r="M618" s="1" t="s">
        <v>1507</v>
      </c>
      <c r="N618" s="1" t="s">
        <v>42</v>
      </c>
      <c r="O618" s="1" t="s">
        <v>56</v>
      </c>
      <c r="P618" s="1" t="s">
        <v>1507</v>
      </c>
      <c r="Q618" s="1" t="s">
        <v>1507</v>
      </c>
      <c r="R618" s="1" t="s">
        <v>1507</v>
      </c>
      <c r="S618" s="1" t="s">
        <v>1507</v>
      </c>
      <c r="T618" s="1" t="s">
        <v>1507</v>
      </c>
      <c r="U618" s="1" t="s">
        <v>3714</v>
      </c>
      <c r="V618" s="1" t="s">
        <v>1507</v>
      </c>
      <c r="W618" s="1" t="s">
        <v>3715</v>
      </c>
      <c r="X618" s="1" t="s">
        <v>3716</v>
      </c>
      <c r="Y618" s="1" t="s">
        <v>3717</v>
      </c>
      <c r="Z618" s="1" t="s">
        <v>3718</v>
      </c>
      <c r="AA618" s="1" t="s">
        <v>3719</v>
      </c>
      <c r="AB618" s="1" t="s">
        <v>14475</v>
      </c>
      <c r="AC618" s="1" t="s">
        <v>14476</v>
      </c>
      <c r="AD618" s="1" t="s">
        <v>3720</v>
      </c>
      <c r="AE618" s="1" t="s">
        <v>3721</v>
      </c>
      <c r="AF618" s="1" t="s">
        <v>3722</v>
      </c>
      <c r="AG618" s="1" t="s">
        <v>1507</v>
      </c>
      <c r="AH618" s="1">
        <v>31</v>
      </c>
      <c r="AI618" s="1">
        <v>1</v>
      </c>
      <c r="AJ618" s="1">
        <v>1</v>
      </c>
      <c r="AK618" s="1">
        <v>22</v>
      </c>
      <c r="AL618" s="1">
        <v>25</v>
      </c>
      <c r="AM618" s="1" t="s">
        <v>1900</v>
      </c>
      <c r="AN618" s="1" t="s">
        <v>1583</v>
      </c>
      <c r="AO618" s="1" t="s">
        <v>1901</v>
      </c>
      <c r="AP618" s="1" t="s">
        <v>3723</v>
      </c>
      <c r="AQ618" s="1" t="s">
        <v>3724</v>
      </c>
      <c r="AR618" s="1" t="s">
        <v>1507</v>
      </c>
      <c r="AS618" s="1" t="s">
        <v>3725</v>
      </c>
      <c r="AT618" s="1" t="s">
        <v>3726</v>
      </c>
      <c r="AU618" s="1" t="s">
        <v>12091</v>
      </c>
      <c r="AV618" s="1">
        <v>2023</v>
      </c>
      <c r="AW618" s="1">
        <v>245</v>
      </c>
      <c r="AX618" s="1" t="s">
        <v>1507</v>
      </c>
      <c r="AY618" s="1" t="s">
        <v>1507</v>
      </c>
      <c r="AZ618" s="1" t="s">
        <v>1507</v>
      </c>
      <c r="BA618" s="1" t="s">
        <v>1507</v>
      </c>
      <c r="BB618" s="1" t="s">
        <v>1507</v>
      </c>
      <c r="BC618" s="1" t="s">
        <v>1507</v>
      </c>
      <c r="BD618" s="1" t="s">
        <v>1507</v>
      </c>
      <c r="BE618" s="1">
        <v>120594</v>
      </c>
      <c r="BF618" s="1" t="s">
        <v>3727</v>
      </c>
      <c r="BG618" s="1" t="str">
        <f>HYPERLINK("http://dx.doi.org/10.1016/j.watres.2023.120594","http://dx.doi.org/10.1016/j.watres.2023.120594")</f>
        <v>http://dx.doi.org/10.1016/j.watres.2023.120594</v>
      </c>
      <c r="BH618" s="1" t="s">
        <v>1507</v>
      </c>
      <c r="BI618" s="1" t="s">
        <v>3689</v>
      </c>
      <c r="BJ618" s="1">
        <v>11</v>
      </c>
      <c r="BK618" s="1" t="s">
        <v>3728</v>
      </c>
      <c r="BL618" s="1" t="s">
        <v>1573</v>
      </c>
      <c r="BM618" s="1" t="s">
        <v>3729</v>
      </c>
      <c r="BN618" s="1" t="s">
        <v>3730</v>
      </c>
      <c r="BO618" s="1">
        <v>37741039</v>
      </c>
      <c r="BP618" s="1" t="s">
        <v>1507</v>
      </c>
      <c r="BQ618" s="1" t="s">
        <v>1507</v>
      </c>
      <c r="BR618" s="1" t="s">
        <v>1507</v>
      </c>
      <c r="BS618" s="1" t="s">
        <v>13744</v>
      </c>
      <c r="BT618" s="1" t="s">
        <v>3731</v>
      </c>
      <c r="BU618" s="1" t="str">
        <f>HYPERLINK("https%3A%2F%2Fwww.webofscience.com%2Fwos%2Fwoscc%2Ffull-record%2FWOS:001083574400001","View Full Record in Web of Science")</f>
        <v>View Full Record in Web of Science</v>
      </c>
    </row>
    <row r="619" spans="1:73" x14ac:dyDescent="0.25">
      <c r="A619" s="1">
        <v>618</v>
      </c>
      <c r="B619" s="1" t="s">
        <v>1506</v>
      </c>
      <c r="C619" s="1" t="s">
        <v>8211</v>
      </c>
      <c r="D619" s="1" t="s">
        <v>1507</v>
      </c>
      <c r="E619" s="1" t="s">
        <v>1507</v>
      </c>
      <c r="F619" s="1" t="s">
        <v>1507</v>
      </c>
      <c r="G619" s="1" t="s">
        <v>8212</v>
      </c>
      <c r="H619" s="1" t="s">
        <v>1507</v>
      </c>
      <c r="I619" s="1" t="s">
        <v>1507</v>
      </c>
      <c r="J619" s="1" t="s">
        <v>8213</v>
      </c>
      <c r="K619" s="1" t="s">
        <v>8214</v>
      </c>
      <c r="L619" s="1" t="s">
        <v>1507</v>
      </c>
      <c r="M619" s="1" t="s">
        <v>1507</v>
      </c>
      <c r="N619" s="1" t="s">
        <v>42</v>
      </c>
      <c r="O619" s="1" t="s">
        <v>56</v>
      </c>
      <c r="P619" s="1" t="s">
        <v>1507</v>
      </c>
      <c r="Q619" s="1" t="s">
        <v>1507</v>
      </c>
      <c r="R619" s="1" t="s">
        <v>1507</v>
      </c>
      <c r="S619" s="1" t="s">
        <v>1507</v>
      </c>
      <c r="T619" s="1" t="s">
        <v>1507</v>
      </c>
      <c r="U619" s="1" t="s">
        <v>8215</v>
      </c>
      <c r="V619" s="1" t="s">
        <v>8216</v>
      </c>
      <c r="W619" s="1" t="s">
        <v>8217</v>
      </c>
      <c r="X619" s="1" t="s">
        <v>8218</v>
      </c>
      <c r="Y619" s="1" t="s">
        <v>8219</v>
      </c>
      <c r="Z619" s="1" t="s">
        <v>8220</v>
      </c>
      <c r="AA619" s="1" t="s">
        <v>8221</v>
      </c>
      <c r="AB619" s="1" t="s">
        <v>8222</v>
      </c>
      <c r="AC619" s="1" t="s">
        <v>8223</v>
      </c>
      <c r="AD619" s="1" t="s">
        <v>8224</v>
      </c>
      <c r="AE619" s="1" t="s">
        <v>8225</v>
      </c>
      <c r="AF619" s="1" t="s">
        <v>8226</v>
      </c>
      <c r="AG619" s="1" t="s">
        <v>1507</v>
      </c>
      <c r="AH619" s="1">
        <v>68</v>
      </c>
      <c r="AI619" s="1">
        <v>5</v>
      </c>
      <c r="AJ619" s="1">
        <v>5</v>
      </c>
      <c r="AK619" s="1">
        <v>8</v>
      </c>
      <c r="AL619" s="1">
        <v>30</v>
      </c>
      <c r="AM619" s="1" t="s">
        <v>1582</v>
      </c>
      <c r="AN619" s="1" t="s">
        <v>1583</v>
      </c>
      <c r="AO619" s="1" t="s">
        <v>1584</v>
      </c>
      <c r="AP619" s="1" t="s">
        <v>8227</v>
      </c>
      <c r="AQ619" s="1" t="s">
        <v>8228</v>
      </c>
      <c r="AR619" s="1" t="s">
        <v>1507</v>
      </c>
      <c r="AS619" s="1" t="s">
        <v>8229</v>
      </c>
      <c r="AT619" s="1" t="s">
        <v>8230</v>
      </c>
      <c r="AU619" s="1" t="s">
        <v>2771</v>
      </c>
      <c r="AV619" s="1">
        <v>2021</v>
      </c>
      <c r="AW619" s="1">
        <v>62</v>
      </c>
      <c r="AX619" s="1">
        <v>11</v>
      </c>
      <c r="AY619" s="1" t="s">
        <v>1507</v>
      </c>
      <c r="AZ619" s="1" t="s">
        <v>1507</v>
      </c>
      <c r="BA619" s="1" t="s">
        <v>1507</v>
      </c>
      <c r="BB619" s="1" t="s">
        <v>1507</v>
      </c>
      <c r="BC619" s="1">
        <v>1702</v>
      </c>
      <c r="BD619" s="1">
        <v>1717</v>
      </c>
      <c r="BE619" s="1" t="s">
        <v>1507</v>
      </c>
      <c r="BF619" s="1" t="s">
        <v>8231</v>
      </c>
      <c r="BG619" s="1" t="str">
        <f>HYPERLINK("http://dx.doi.org/10.1093/pcp/pcab125","http://dx.doi.org/10.1093/pcp/pcab125")</f>
        <v>http://dx.doi.org/10.1093/pcp/pcab125</v>
      </c>
      <c r="BH619" s="1" t="s">
        <v>1507</v>
      </c>
      <c r="BI619" s="1" t="s">
        <v>8170</v>
      </c>
      <c r="BJ619" s="1">
        <v>16</v>
      </c>
      <c r="BK619" s="1" t="s">
        <v>8232</v>
      </c>
      <c r="BL619" s="1" t="s">
        <v>1573</v>
      </c>
      <c r="BM619" s="1" t="s">
        <v>8232</v>
      </c>
      <c r="BN619" s="1" t="s">
        <v>8233</v>
      </c>
      <c r="BO619" s="1">
        <v>34463342</v>
      </c>
      <c r="BP619" s="1" t="s">
        <v>1507</v>
      </c>
      <c r="BQ619" s="1" t="s">
        <v>1507</v>
      </c>
      <c r="BR619" s="1" t="s">
        <v>1507</v>
      </c>
      <c r="BS619" s="1" t="s">
        <v>13744</v>
      </c>
      <c r="BT619" s="1" t="s">
        <v>8234</v>
      </c>
      <c r="BU619" s="1" t="str">
        <f>HYPERLINK("https%3A%2F%2Fwww.webofscience.com%2Fwos%2Fwoscc%2Ffull-record%2FWOS:000734079300006","View Full Record in Web of Science")</f>
        <v>View Full Record in Web of Science</v>
      </c>
    </row>
    <row r="620" spans="1:73" x14ac:dyDescent="0.25">
      <c r="A620" s="1">
        <v>619</v>
      </c>
      <c r="B620" s="1" t="s">
        <v>1506</v>
      </c>
      <c r="C620" s="1" t="s">
        <v>4239</v>
      </c>
      <c r="D620" s="1" t="s">
        <v>1507</v>
      </c>
      <c r="E620" s="1" t="s">
        <v>1507</v>
      </c>
      <c r="F620" s="1" t="s">
        <v>1507</v>
      </c>
      <c r="G620" s="1" t="s">
        <v>4240</v>
      </c>
      <c r="H620" s="1" t="s">
        <v>1507</v>
      </c>
      <c r="I620" s="1" t="s">
        <v>1507</v>
      </c>
      <c r="J620" s="1" t="s">
        <v>4241</v>
      </c>
      <c r="K620" s="1" t="s">
        <v>4242</v>
      </c>
      <c r="L620" s="1" t="s">
        <v>1507</v>
      </c>
      <c r="M620" s="1" t="s">
        <v>1507</v>
      </c>
      <c r="N620" s="1" t="s">
        <v>42</v>
      </c>
      <c r="O620" s="1" t="s">
        <v>56</v>
      </c>
      <c r="P620" s="1" t="s">
        <v>1507</v>
      </c>
      <c r="Q620" s="1" t="s">
        <v>1507</v>
      </c>
      <c r="R620" s="1" t="s">
        <v>1507</v>
      </c>
      <c r="S620" s="1" t="s">
        <v>1507</v>
      </c>
      <c r="T620" s="1" t="s">
        <v>1507</v>
      </c>
      <c r="U620" s="1" t="s">
        <v>1507</v>
      </c>
      <c r="V620" s="1" t="s">
        <v>4243</v>
      </c>
      <c r="W620" s="1" t="s">
        <v>4244</v>
      </c>
      <c r="X620" s="1" t="s">
        <v>4245</v>
      </c>
      <c r="Y620" s="1" t="s">
        <v>4246</v>
      </c>
      <c r="Z620" s="1" t="s">
        <v>4247</v>
      </c>
      <c r="AA620" s="1" t="s">
        <v>1521</v>
      </c>
      <c r="AB620" s="1" t="s">
        <v>1507</v>
      </c>
      <c r="AC620" s="1" t="s">
        <v>14566</v>
      </c>
      <c r="AD620" s="1" t="s">
        <v>4248</v>
      </c>
      <c r="AE620" s="1" t="s">
        <v>4249</v>
      </c>
      <c r="AF620" s="1" t="s">
        <v>4250</v>
      </c>
      <c r="AG620" s="1" t="s">
        <v>1507</v>
      </c>
      <c r="AH620" s="1">
        <v>66</v>
      </c>
      <c r="AI620" s="1">
        <v>38</v>
      </c>
      <c r="AJ620" s="1">
        <v>38</v>
      </c>
      <c r="AK620" s="1">
        <v>162</v>
      </c>
      <c r="AL620" s="1">
        <v>244</v>
      </c>
      <c r="AM620" s="1" t="s">
        <v>2372</v>
      </c>
      <c r="AN620" s="1" t="s">
        <v>2300</v>
      </c>
      <c r="AO620" s="1" t="s">
        <v>2373</v>
      </c>
      <c r="AP620" s="1" t="s">
        <v>4251</v>
      </c>
      <c r="AQ620" s="1" t="s">
        <v>4252</v>
      </c>
      <c r="AR620" s="1" t="s">
        <v>1507</v>
      </c>
      <c r="AS620" s="1" t="s">
        <v>4253</v>
      </c>
      <c r="AT620" s="1" t="s">
        <v>4254</v>
      </c>
      <c r="AU620" s="1" t="s">
        <v>14567</v>
      </c>
      <c r="AV620" s="1">
        <v>2023</v>
      </c>
      <c r="AW620" s="1">
        <v>145</v>
      </c>
      <c r="AX620" s="1">
        <v>32</v>
      </c>
      <c r="AY620" s="1" t="s">
        <v>1507</v>
      </c>
      <c r="AZ620" s="1" t="s">
        <v>1507</v>
      </c>
      <c r="BA620" s="1" t="s">
        <v>1507</v>
      </c>
      <c r="BB620" s="1" t="s">
        <v>1507</v>
      </c>
      <c r="BC620" s="1">
        <v>18048</v>
      </c>
      <c r="BD620" s="1">
        <v>18062</v>
      </c>
      <c r="BE620" s="1" t="s">
        <v>1507</v>
      </c>
      <c r="BF620" s="1" t="s">
        <v>4255</v>
      </c>
      <c r="BG620" s="1" t="str">
        <f>HYPERLINK("http://dx.doi.org/10.1021/jacs.3c05819","http://dx.doi.org/10.1021/jacs.3c05819")</f>
        <v>http://dx.doi.org/10.1021/jacs.3c05819</v>
      </c>
      <c r="BH620" s="1" t="s">
        <v>1507</v>
      </c>
      <c r="BI620" s="1" t="s">
        <v>4056</v>
      </c>
      <c r="BJ620" s="1">
        <v>15</v>
      </c>
      <c r="BK620" s="1" t="s">
        <v>2634</v>
      </c>
      <c r="BL620" s="1" t="s">
        <v>1573</v>
      </c>
      <c r="BM620" s="1" t="s">
        <v>2380</v>
      </c>
      <c r="BN620" s="1" t="s">
        <v>4256</v>
      </c>
      <c r="BO620" s="1">
        <v>37548379</v>
      </c>
      <c r="BP620" s="1" t="s">
        <v>1600</v>
      </c>
      <c r="BQ620" s="1" t="s">
        <v>1507</v>
      </c>
      <c r="BR620" s="1" t="s">
        <v>1507</v>
      </c>
      <c r="BS620" s="1" t="s">
        <v>13744</v>
      </c>
      <c r="BT620" s="1" t="s">
        <v>4257</v>
      </c>
      <c r="BU620" s="1" t="str">
        <f>HYPERLINK("https%3A%2F%2Fwww.webofscience.com%2Fwos%2Fwoscc%2Ffull-record%2FWOS:001052894400001","View Full Record in Web of Science")</f>
        <v>View Full Record in Web of Science</v>
      </c>
    </row>
    <row r="621" spans="1:73" x14ac:dyDescent="0.25">
      <c r="A621" s="1">
        <v>620</v>
      </c>
      <c r="B621" s="1" t="s">
        <v>1506</v>
      </c>
      <c r="C621" s="1" t="s">
        <v>2617</v>
      </c>
      <c r="D621" s="1" t="s">
        <v>1507</v>
      </c>
      <c r="E621" s="1" t="s">
        <v>1507</v>
      </c>
      <c r="F621" s="1" t="s">
        <v>1507</v>
      </c>
      <c r="G621" s="1" t="s">
        <v>2618</v>
      </c>
      <c r="H621" s="1" t="s">
        <v>1507</v>
      </c>
      <c r="I621" s="1" t="s">
        <v>1507</v>
      </c>
      <c r="J621" s="1" t="s">
        <v>2619</v>
      </c>
      <c r="K621" s="1" t="s">
        <v>2620</v>
      </c>
      <c r="L621" s="1" t="s">
        <v>1507</v>
      </c>
      <c r="M621" s="1" t="s">
        <v>1507</v>
      </c>
      <c r="N621" s="1" t="s">
        <v>42</v>
      </c>
      <c r="O621" s="1" t="s">
        <v>56</v>
      </c>
      <c r="P621" s="1" t="s">
        <v>1507</v>
      </c>
      <c r="Q621" s="1" t="s">
        <v>1507</v>
      </c>
      <c r="R621" s="1" t="s">
        <v>1507</v>
      </c>
      <c r="S621" s="1" t="s">
        <v>1507</v>
      </c>
      <c r="T621" s="1" t="s">
        <v>1507</v>
      </c>
      <c r="U621" s="1" t="s">
        <v>1507</v>
      </c>
      <c r="V621" s="1" t="s">
        <v>2621</v>
      </c>
      <c r="W621" s="1" t="s">
        <v>2622</v>
      </c>
      <c r="X621" s="1" t="s">
        <v>2623</v>
      </c>
      <c r="Y621" s="1" t="s">
        <v>2624</v>
      </c>
      <c r="Z621" s="1" t="s">
        <v>2625</v>
      </c>
      <c r="AA621" s="1" t="s">
        <v>1521</v>
      </c>
      <c r="AB621" s="1" t="s">
        <v>14001</v>
      </c>
      <c r="AC621" s="1" t="s">
        <v>14002</v>
      </c>
      <c r="AD621" s="1" t="s">
        <v>2626</v>
      </c>
      <c r="AE621" s="1" t="s">
        <v>2627</v>
      </c>
      <c r="AF621" s="1" t="s">
        <v>2628</v>
      </c>
      <c r="AG621" s="1" t="s">
        <v>1507</v>
      </c>
      <c r="AH621" s="1">
        <v>71</v>
      </c>
      <c r="AI621" s="1">
        <v>7</v>
      </c>
      <c r="AJ621" s="1">
        <v>7</v>
      </c>
      <c r="AK621" s="1">
        <v>75</v>
      </c>
      <c r="AL621" s="1">
        <v>75</v>
      </c>
      <c r="AM621" s="1" t="s">
        <v>2372</v>
      </c>
      <c r="AN621" s="1" t="s">
        <v>2300</v>
      </c>
      <c r="AO621" s="1" t="s">
        <v>2373</v>
      </c>
      <c r="AP621" s="1" t="s">
        <v>2629</v>
      </c>
      <c r="AQ621" s="1" t="s">
        <v>2630</v>
      </c>
      <c r="AR621" s="1" t="s">
        <v>1507</v>
      </c>
      <c r="AS621" s="1" t="s">
        <v>2631</v>
      </c>
      <c r="AT621" s="1" t="s">
        <v>2632</v>
      </c>
      <c r="AU621" s="1" t="s">
        <v>2592</v>
      </c>
      <c r="AV621" s="1">
        <v>2023</v>
      </c>
      <c r="AW621" s="1">
        <v>9</v>
      </c>
      <c r="AX621" s="1">
        <v>11</v>
      </c>
      <c r="AY621" s="1" t="s">
        <v>1507</v>
      </c>
      <c r="AZ621" s="1" t="s">
        <v>1507</v>
      </c>
      <c r="BA621" s="1" t="s">
        <v>1507</v>
      </c>
      <c r="BB621" s="1" t="s">
        <v>1507</v>
      </c>
      <c r="BC621" s="1">
        <v>2161</v>
      </c>
      <c r="BD621" s="1">
        <v>2170</v>
      </c>
      <c r="BE621" s="1" t="s">
        <v>1507</v>
      </c>
      <c r="BF621" s="1" t="s">
        <v>2633</v>
      </c>
      <c r="BG621" s="1" t="str">
        <f>HYPERLINK("http://dx.doi.org/10.1021/acscentsci.3c01087","http://dx.doi.org/10.1021/acscentsci.3c01087")</f>
        <v>http://dx.doi.org/10.1021/acscentsci.3c01087</v>
      </c>
      <c r="BH621" s="1" t="s">
        <v>1507</v>
      </c>
      <c r="BI621" s="1" t="s">
        <v>1507</v>
      </c>
      <c r="BJ621" s="1">
        <v>10</v>
      </c>
      <c r="BK621" s="1" t="s">
        <v>2634</v>
      </c>
      <c r="BL621" s="1" t="s">
        <v>1573</v>
      </c>
      <c r="BM621" s="1" t="s">
        <v>2380</v>
      </c>
      <c r="BN621" s="1" t="s">
        <v>2635</v>
      </c>
      <c r="BO621" s="1">
        <v>38033801</v>
      </c>
      <c r="BP621" s="1" t="s">
        <v>1952</v>
      </c>
      <c r="BQ621" s="1" t="s">
        <v>1507</v>
      </c>
      <c r="BR621" s="1" t="s">
        <v>1507</v>
      </c>
      <c r="BS621" s="1" t="s">
        <v>13744</v>
      </c>
      <c r="BT621" s="1" t="s">
        <v>2636</v>
      </c>
      <c r="BU621" s="1" t="str">
        <f>HYPERLINK("https%3A%2F%2Fwww.webofscience.com%2Fwos%2Fwoscc%2Ffull-record%2FWOS:001108538200001","View Full Record in Web of Science")</f>
        <v>View Full Record in Web of Science</v>
      </c>
    </row>
    <row r="622" spans="1:73" x14ac:dyDescent="0.25">
      <c r="A622" s="1">
        <v>621</v>
      </c>
      <c r="B622" s="1" t="s">
        <v>1506</v>
      </c>
      <c r="C622" s="1" t="s">
        <v>5313</v>
      </c>
      <c r="D622" s="1" t="s">
        <v>1507</v>
      </c>
      <c r="E622" s="1" t="s">
        <v>1507</v>
      </c>
      <c r="F622" s="1" t="s">
        <v>1507</v>
      </c>
      <c r="G622" s="1" t="s">
        <v>5314</v>
      </c>
      <c r="H622" s="1" t="s">
        <v>1507</v>
      </c>
      <c r="I622" s="1" t="s">
        <v>1507</v>
      </c>
      <c r="J622" s="1" t="s">
        <v>5315</v>
      </c>
      <c r="K622" s="1" t="s">
        <v>5316</v>
      </c>
      <c r="L622" s="1" t="s">
        <v>1507</v>
      </c>
      <c r="M622" s="1" t="s">
        <v>1507</v>
      </c>
      <c r="N622" s="1" t="s">
        <v>42</v>
      </c>
      <c r="O622" s="1" t="s">
        <v>56</v>
      </c>
      <c r="P622" s="1" t="s">
        <v>1507</v>
      </c>
      <c r="Q622" s="1" t="s">
        <v>1507</v>
      </c>
      <c r="R622" s="1" t="s">
        <v>1507</v>
      </c>
      <c r="S622" s="1" t="s">
        <v>1507</v>
      </c>
      <c r="T622" s="1" t="s">
        <v>1507</v>
      </c>
      <c r="U622" s="1" t="s">
        <v>5317</v>
      </c>
      <c r="V622" s="1" t="s">
        <v>5318</v>
      </c>
      <c r="W622" s="1" t="s">
        <v>5319</v>
      </c>
      <c r="X622" s="1" t="s">
        <v>5320</v>
      </c>
      <c r="Y622" s="1" t="s">
        <v>5321</v>
      </c>
      <c r="Z622" s="1" t="s">
        <v>5322</v>
      </c>
      <c r="AA622" s="1" t="s">
        <v>5323</v>
      </c>
      <c r="AB622" s="1" t="s">
        <v>14804</v>
      </c>
      <c r="AC622" s="1" t="s">
        <v>14805</v>
      </c>
      <c r="AD622" s="1" t="s">
        <v>5324</v>
      </c>
      <c r="AE622" s="1" t="s">
        <v>5325</v>
      </c>
      <c r="AF622" s="1" t="s">
        <v>5326</v>
      </c>
      <c r="AG622" s="1" t="s">
        <v>1507</v>
      </c>
      <c r="AH622" s="1">
        <v>37</v>
      </c>
      <c r="AI622" s="1">
        <v>2</v>
      </c>
      <c r="AJ622" s="1">
        <v>2</v>
      </c>
      <c r="AK622" s="1">
        <v>15</v>
      </c>
      <c r="AL622" s="1">
        <v>33</v>
      </c>
      <c r="AM622" s="1" t="s">
        <v>1511</v>
      </c>
      <c r="AN622" s="1" t="s">
        <v>1512</v>
      </c>
      <c r="AO622" s="1" t="s">
        <v>1513</v>
      </c>
      <c r="AP622" s="1" t="s">
        <v>5327</v>
      </c>
      <c r="AQ622" s="1" t="s">
        <v>5328</v>
      </c>
      <c r="AR622" s="1" t="s">
        <v>1507</v>
      </c>
      <c r="AS622" s="1" t="s">
        <v>5329</v>
      </c>
      <c r="AT622" s="1" t="s">
        <v>5330</v>
      </c>
      <c r="AU622" s="1" t="s">
        <v>4336</v>
      </c>
      <c r="AV622" s="1">
        <v>2023</v>
      </c>
      <c r="AW622" s="1">
        <v>17</v>
      </c>
      <c r="AX622" s="1">
        <v>4</v>
      </c>
      <c r="AY622" s="1" t="s">
        <v>1507</v>
      </c>
      <c r="AZ622" s="1" t="s">
        <v>1507</v>
      </c>
      <c r="BA622" s="1" t="s">
        <v>1507</v>
      </c>
      <c r="BB622" s="1" t="s">
        <v>1507</v>
      </c>
      <c r="BC622" s="1">
        <v>3254</v>
      </c>
      <c r="BD622" s="1">
        <v>3263</v>
      </c>
      <c r="BE622" s="1" t="s">
        <v>1507</v>
      </c>
      <c r="BF622" s="1" t="s">
        <v>5331</v>
      </c>
      <c r="BG622" s="1" t="str">
        <f>HYPERLINK("http://dx.doi.org/10.1007/s11694-023-01873-0","http://dx.doi.org/10.1007/s11694-023-01873-0")</f>
        <v>http://dx.doi.org/10.1007/s11694-023-01873-0</v>
      </c>
      <c r="BH622" s="1" t="s">
        <v>1507</v>
      </c>
      <c r="BI622" s="1" t="s">
        <v>5260</v>
      </c>
      <c r="BJ622" s="1">
        <v>10</v>
      </c>
      <c r="BK622" s="1" t="s">
        <v>5332</v>
      </c>
      <c r="BL622" s="1" t="s">
        <v>1573</v>
      </c>
      <c r="BM622" s="1" t="s">
        <v>5332</v>
      </c>
      <c r="BN622" s="1" t="s">
        <v>5333</v>
      </c>
      <c r="BO622" s="1" t="s">
        <v>1507</v>
      </c>
      <c r="BP622" s="1" t="s">
        <v>1507</v>
      </c>
      <c r="BQ622" s="1" t="s">
        <v>1507</v>
      </c>
      <c r="BR622" s="1" t="s">
        <v>1507</v>
      </c>
      <c r="BS622" s="1" t="s">
        <v>13744</v>
      </c>
      <c r="BT622" s="1" t="s">
        <v>5334</v>
      </c>
      <c r="BU622" s="1" t="str">
        <f>HYPERLINK("https%3A%2F%2Fwww.webofscience.com%2Fwos%2Fwoscc%2Ffull-record%2FWOS:000943629400004","View Full Record in Web of Science")</f>
        <v>View Full Record in Web of Science</v>
      </c>
    </row>
    <row r="623" spans="1:73" x14ac:dyDescent="0.25">
      <c r="A623" s="1">
        <v>622</v>
      </c>
      <c r="B623" s="1" t="s">
        <v>1506</v>
      </c>
      <c r="C623" s="1" t="s">
        <v>2637</v>
      </c>
      <c r="D623" s="1" t="s">
        <v>1507</v>
      </c>
      <c r="E623" s="1" t="s">
        <v>1507</v>
      </c>
      <c r="F623" s="1" t="s">
        <v>1507</v>
      </c>
      <c r="G623" s="1" t="s">
        <v>2638</v>
      </c>
      <c r="H623" s="1" t="s">
        <v>1507</v>
      </c>
      <c r="I623" s="1" t="s">
        <v>1507</v>
      </c>
      <c r="J623" s="1" t="s">
        <v>2639</v>
      </c>
      <c r="K623" s="1" t="s">
        <v>2640</v>
      </c>
      <c r="L623" s="1" t="s">
        <v>1507</v>
      </c>
      <c r="M623" s="1" t="s">
        <v>1507</v>
      </c>
      <c r="N623" s="1" t="s">
        <v>42</v>
      </c>
      <c r="O623" s="1" t="s">
        <v>56</v>
      </c>
      <c r="P623" s="1" t="s">
        <v>1507</v>
      </c>
      <c r="Q623" s="1" t="s">
        <v>1507</v>
      </c>
      <c r="R623" s="1" t="s">
        <v>1507</v>
      </c>
      <c r="S623" s="1" t="s">
        <v>1507</v>
      </c>
      <c r="T623" s="1" t="s">
        <v>1507</v>
      </c>
      <c r="U623" s="1" t="s">
        <v>2641</v>
      </c>
      <c r="V623" s="1" t="s">
        <v>2642</v>
      </c>
      <c r="W623" s="1" t="s">
        <v>2643</v>
      </c>
      <c r="X623" s="1" t="s">
        <v>2644</v>
      </c>
      <c r="Y623" s="1" t="s">
        <v>2645</v>
      </c>
      <c r="Z623" s="1" t="s">
        <v>2646</v>
      </c>
      <c r="AA623" s="1" t="s">
        <v>2647</v>
      </c>
      <c r="AB623" s="1" t="s">
        <v>2648</v>
      </c>
      <c r="AC623" s="1" t="s">
        <v>2649</v>
      </c>
      <c r="AD623" s="1" t="s">
        <v>2650</v>
      </c>
      <c r="AE623" s="1" t="s">
        <v>2650</v>
      </c>
      <c r="AF623" s="1" t="s">
        <v>2650</v>
      </c>
      <c r="AG623" s="1" t="s">
        <v>1507</v>
      </c>
      <c r="AH623" s="1">
        <v>40</v>
      </c>
      <c r="AI623" s="1">
        <v>0</v>
      </c>
      <c r="AJ623" s="1">
        <v>0</v>
      </c>
      <c r="AK623" s="1">
        <v>6</v>
      </c>
      <c r="AL623" s="1">
        <v>6</v>
      </c>
      <c r="AM623" s="1" t="s">
        <v>1582</v>
      </c>
      <c r="AN623" s="1" t="s">
        <v>1583</v>
      </c>
      <c r="AO623" s="1" t="s">
        <v>1584</v>
      </c>
      <c r="AP623" s="1" t="s">
        <v>2651</v>
      </c>
      <c r="AQ623" s="1" t="s">
        <v>2652</v>
      </c>
      <c r="AR623" s="1" t="s">
        <v>1507</v>
      </c>
      <c r="AS623" s="1" t="s">
        <v>2653</v>
      </c>
      <c r="AT623" s="1" t="s">
        <v>2654</v>
      </c>
      <c r="AU623" s="1" t="s">
        <v>1569</v>
      </c>
      <c r="AV623" s="1">
        <v>2024</v>
      </c>
      <c r="AW623" s="1">
        <v>31</v>
      </c>
      <c r="AX623" s="1">
        <v>2</v>
      </c>
      <c r="AY623" s="1" t="s">
        <v>1507</v>
      </c>
      <c r="AZ623" s="1" t="s">
        <v>1507</v>
      </c>
      <c r="BA623" s="1" t="s">
        <v>1507</v>
      </c>
      <c r="BB623" s="1" t="s">
        <v>1507</v>
      </c>
      <c r="BC623" s="1">
        <v>426</v>
      </c>
      <c r="BD623" s="1">
        <v>434</v>
      </c>
      <c r="BE623" s="1" t="s">
        <v>1507</v>
      </c>
      <c r="BF623" s="1" t="s">
        <v>2655</v>
      </c>
      <c r="BG623" s="1" t="str">
        <f>HYPERLINK("http://dx.doi.org/10.1093/jamia/ocad216","http://dx.doi.org/10.1093/jamia/ocad216")</f>
        <v>http://dx.doi.org/10.1093/jamia/ocad216</v>
      </c>
      <c r="BH623" s="1" t="s">
        <v>1507</v>
      </c>
      <c r="BI623" s="1" t="s">
        <v>2396</v>
      </c>
      <c r="BJ623" s="1">
        <v>9</v>
      </c>
      <c r="BK623" s="1" t="s">
        <v>2656</v>
      </c>
      <c r="BL623" s="1" t="s">
        <v>1598</v>
      </c>
      <c r="BM623" s="1" t="s">
        <v>2657</v>
      </c>
      <c r="BN623" s="1" t="s">
        <v>14003</v>
      </c>
      <c r="BO623" s="1">
        <v>37952122</v>
      </c>
      <c r="BP623" s="1" t="s">
        <v>2309</v>
      </c>
      <c r="BQ623" s="1" t="s">
        <v>1507</v>
      </c>
      <c r="BR623" s="1" t="s">
        <v>1507</v>
      </c>
      <c r="BS623" s="1" t="s">
        <v>13744</v>
      </c>
      <c r="BT623" s="1" t="s">
        <v>2658</v>
      </c>
      <c r="BU623" s="1" t="str">
        <f>HYPERLINK("https%3A%2F%2Fwww.webofscience.com%2Fwos%2Fwoscc%2Ffull-record%2FWOS:001100511500001","View Full Record in Web of Science")</f>
        <v>View Full Record in Web of Science</v>
      </c>
    </row>
    <row r="624" spans="1:73" x14ac:dyDescent="0.25">
      <c r="A624" s="1">
        <v>623</v>
      </c>
      <c r="B624" s="1" t="s">
        <v>5546</v>
      </c>
      <c r="C624" s="1" t="s">
        <v>6664</v>
      </c>
      <c r="D624" s="1" t="s">
        <v>1507</v>
      </c>
      <c r="E624" s="1" t="s">
        <v>1507</v>
      </c>
      <c r="F624" s="1" t="s">
        <v>5548</v>
      </c>
      <c r="G624" s="1" t="s">
        <v>6665</v>
      </c>
      <c r="H624" s="1" t="s">
        <v>1507</v>
      </c>
      <c r="I624" s="1" t="s">
        <v>1507</v>
      </c>
      <c r="J624" s="1" t="s">
        <v>6666</v>
      </c>
      <c r="K624" s="1" t="s">
        <v>6170</v>
      </c>
      <c r="L624" s="1" t="s">
        <v>1507</v>
      </c>
      <c r="M624" s="1" t="s">
        <v>1507</v>
      </c>
      <c r="N624" s="1" t="s">
        <v>42</v>
      </c>
      <c r="O624" s="1" t="s">
        <v>5552</v>
      </c>
      <c r="P624" s="1" t="s">
        <v>6171</v>
      </c>
      <c r="Q624" s="1" t="s">
        <v>6172</v>
      </c>
      <c r="R624" s="1" t="s">
        <v>6173</v>
      </c>
      <c r="S624" s="1" t="s">
        <v>6174</v>
      </c>
      <c r="T624" s="1" t="s">
        <v>1507</v>
      </c>
      <c r="U624" s="1" t="s">
        <v>6667</v>
      </c>
      <c r="V624" s="1" t="s">
        <v>1507</v>
      </c>
      <c r="W624" s="1" t="s">
        <v>6668</v>
      </c>
      <c r="X624" s="1" t="s">
        <v>6669</v>
      </c>
      <c r="Y624" s="1" t="s">
        <v>6670</v>
      </c>
      <c r="Z624" s="1" t="s">
        <v>6671</v>
      </c>
      <c r="AA624" s="1" t="s">
        <v>1507</v>
      </c>
      <c r="AB624" s="1" t="s">
        <v>1507</v>
      </c>
      <c r="AC624" s="1" t="s">
        <v>1507</v>
      </c>
      <c r="AD624" s="1" t="s">
        <v>1507</v>
      </c>
      <c r="AE624" s="1" t="s">
        <v>1507</v>
      </c>
      <c r="AF624" s="1" t="s">
        <v>1507</v>
      </c>
      <c r="AG624" s="1" t="s">
        <v>1507</v>
      </c>
      <c r="AH624" s="1">
        <v>25</v>
      </c>
      <c r="AI624" s="1">
        <v>0</v>
      </c>
      <c r="AJ624" s="1">
        <v>0</v>
      </c>
      <c r="AK624" s="1">
        <v>5</v>
      </c>
      <c r="AL624" s="1">
        <v>5</v>
      </c>
      <c r="AM624" s="1" t="s">
        <v>5565</v>
      </c>
      <c r="AN624" s="1" t="s">
        <v>1512</v>
      </c>
      <c r="AO624" s="1" t="s">
        <v>5566</v>
      </c>
      <c r="AP624" s="1" t="s">
        <v>1507</v>
      </c>
      <c r="AQ624" s="1" t="s">
        <v>1507</v>
      </c>
      <c r="AR624" s="1" t="s">
        <v>6181</v>
      </c>
      <c r="AS624" s="1" t="s">
        <v>1507</v>
      </c>
      <c r="AT624" s="1" t="s">
        <v>1507</v>
      </c>
      <c r="AU624" s="1" t="s">
        <v>1507</v>
      </c>
      <c r="AV624" s="1">
        <v>2023</v>
      </c>
      <c r="AW624" s="1" t="s">
        <v>1507</v>
      </c>
      <c r="AX624" s="1" t="s">
        <v>1507</v>
      </c>
      <c r="AY624" s="1" t="s">
        <v>1507</v>
      </c>
      <c r="AZ624" s="1" t="s">
        <v>1507</v>
      </c>
      <c r="BA624" s="1" t="s">
        <v>1507</v>
      </c>
      <c r="BB624" s="1" t="s">
        <v>1507</v>
      </c>
      <c r="BC624" s="1">
        <v>33</v>
      </c>
      <c r="BD624" s="1">
        <v>40</v>
      </c>
      <c r="BE624" s="1" t="s">
        <v>1507</v>
      </c>
      <c r="BF624" s="1" t="s">
        <v>6672</v>
      </c>
      <c r="BG624" s="1" t="str">
        <f>HYPERLINK("http://dx.doi.org/10.1145/3626111.3628212","http://dx.doi.org/10.1145/3626111.3628212")</f>
        <v>http://dx.doi.org/10.1145/3626111.3628212</v>
      </c>
      <c r="BH624" s="1" t="s">
        <v>1507</v>
      </c>
      <c r="BI624" s="1" t="s">
        <v>1507</v>
      </c>
      <c r="BJ624" s="1">
        <v>8</v>
      </c>
      <c r="BK624" s="1" t="s">
        <v>6183</v>
      </c>
      <c r="BL624" s="1" t="s">
        <v>5570</v>
      </c>
      <c r="BM624" s="1" t="s">
        <v>5671</v>
      </c>
      <c r="BN624" s="1" t="s">
        <v>6184</v>
      </c>
      <c r="BO624" s="1" t="s">
        <v>1507</v>
      </c>
      <c r="BP624" s="1" t="s">
        <v>1507</v>
      </c>
      <c r="BQ624" s="1" t="s">
        <v>1507</v>
      </c>
      <c r="BR624" s="1" t="s">
        <v>1507</v>
      </c>
      <c r="BS624" s="1" t="s">
        <v>13744</v>
      </c>
      <c r="BT624" s="1" t="s">
        <v>6673</v>
      </c>
      <c r="BU624" s="1" t="str">
        <f>HYPERLINK("https%3A%2F%2Fwww.webofscience.com%2Fwos%2Fwoscc%2Ffull-record%2FWOS:001124843800005","View Full Record in Web of Science")</f>
        <v>View Full Record in Web of Science</v>
      </c>
    </row>
    <row r="625" spans="1:73" x14ac:dyDescent="0.25">
      <c r="A625" s="1">
        <v>624</v>
      </c>
      <c r="B625" s="1" t="s">
        <v>1506</v>
      </c>
      <c r="C625" s="1" t="s">
        <v>8444</v>
      </c>
      <c r="D625" s="1" t="s">
        <v>1507</v>
      </c>
      <c r="E625" s="1" t="s">
        <v>1507</v>
      </c>
      <c r="F625" s="1" t="s">
        <v>1507</v>
      </c>
      <c r="G625" s="1" t="s">
        <v>8445</v>
      </c>
      <c r="H625" s="1" t="s">
        <v>1507</v>
      </c>
      <c r="I625" s="1" t="s">
        <v>1507</v>
      </c>
      <c r="J625" s="1" t="s">
        <v>8446</v>
      </c>
      <c r="K625" s="1" t="s">
        <v>3251</v>
      </c>
      <c r="L625" s="1" t="s">
        <v>1507</v>
      </c>
      <c r="M625" s="1" t="s">
        <v>1507</v>
      </c>
      <c r="N625" s="1" t="s">
        <v>42</v>
      </c>
      <c r="O625" s="1" t="s">
        <v>56</v>
      </c>
      <c r="P625" s="1" t="s">
        <v>1507</v>
      </c>
      <c r="Q625" s="1" t="s">
        <v>1507</v>
      </c>
      <c r="R625" s="1" t="s">
        <v>1507</v>
      </c>
      <c r="S625" s="1" t="s">
        <v>1507</v>
      </c>
      <c r="T625" s="1" t="s">
        <v>1507</v>
      </c>
      <c r="U625" s="1" t="s">
        <v>8447</v>
      </c>
      <c r="V625" s="1" t="s">
        <v>8448</v>
      </c>
      <c r="W625" s="1" t="s">
        <v>8449</v>
      </c>
      <c r="X625" s="1" t="s">
        <v>8450</v>
      </c>
      <c r="Y625" s="1" t="s">
        <v>15730</v>
      </c>
      <c r="Z625" s="1" t="s">
        <v>8451</v>
      </c>
      <c r="AA625" s="1" t="s">
        <v>8452</v>
      </c>
      <c r="AB625" s="1" t="s">
        <v>15731</v>
      </c>
      <c r="AC625" s="1" t="s">
        <v>15732</v>
      </c>
      <c r="AD625" s="1" t="s">
        <v>8453</v>
      </c>
      <c r="AE625" s="1" t="s">
        <v>8454</v>
      </c>
      <c r="AF625" s="1" t="s">
        <v>8455</v>
      </c>
      <c r="AG625" s="1" t="s">
        <v>1507</v>
      </c>
      <c r="AH625" s="1">
        <v>32</v>
      </c>
      <c r="AI625" s="1">
        <v>13</v>
      </c>
      <c r="AJ625" s="1">
        <v>14</v>
      </c>
      <c r="AK625" s="1">
        <v>2</v>
      </c>
      <c r="AL625" s="1">
        <v>17</v>
      </c>
      <c r="AM625" s="1" t="s">
        <v>3263</v>
      </c>
      <c r="AN625" s="1" t="s">
        <v>2300</v>
      </c>
      <c r="AO625" s="1" t="s">
        <v>3264</v>
      </c>
      <c r="AP625" s="1" t="s">
        <v>3265</v>
      </c>
      <c r="AQ625" s="1" t="s">
        <v>3266</v>
      </c>
      <c r="AR625" s="1" t="s">
        <v>1507</v>
      </c>
      <c r="AS625" s="1" t="s">
        <v>3267</v>
      </c>
      <c r="AT625" s="1" t="s">
        <v>3268</v>
      </c>
      <c r="AU625" s="1" t="s">
        <v>8456</v>
      </c>
      <c r="AV625" s="1">
        <v>2021</v>
      </c>
      <c r="AW625" s="1">
        <v>118</v>
      </c>
      <c r="AX625" s="1">
        <v>25</v>
      </c>
      <c r="AY625" s="1" t="s">
        <v>1507</v>
      </c>
      <c r="AZ625" s="1" t="s">
        <v>1507</v>
      </c>
      <c r="BA625" s="1" t="s">
        <v>1507</v>
      </c>
      <c r="BB625" s="1" t="s">
        <v>1507</v>
      </c>
      <c r="BC625" s="1" t="s">
        <v>1507</v>
      </c>
      <c r="BD625" s="1" t="s">
        <v>1507</v>
      </c>
      <c r="BE625" s="1" t="s">
        <v>8457</v>
      </c>
      <c r="BF625" s="1" t="s">
        <v>8458</v>
      </c>
      <c r="BG625" s="1" t="str">
        <f>HYPERLINK("http://dx.doi.org/10.1073/pnas.2103984118","http://dx.doi.org/10.1073/pnas.2103984118")</f>
        <v>http://dx.doi.org/10.1073/pnas.2103984118</v>
      </c>
      <c r="BH625" s="1" t="s">
        <v>1507</v>
      </c>
      <c r="BI625" s="1" t="s">
        <v>1507</v>
      </c>
      <c r="BJ625" s="1">
        <v>8</v>
      </c>
      <c r="BK625" s="1" t="s">
        <v>1776</v>
      </c>
      <c r="BL625" s="1" t="s">
        <v>1573</v>
      </c>
      <c r="BM625" s="1" t="s">
        <v>1777</v>
      </c>
      <c r="BN625" s="1" t="s">
        <v>8459</v>
      </c>
      <c r="BO625" s="1">
        <v>34099577</v>
      </c>
      <c r="BP625" s="1" t="s">
        <v>2309</v>
      </c>
      <c r="BQ625" s="1" t="s">
        <v>1507</v>
      </c>
      <c r="BR625" s="1" t="s">
        <v>1507</v>
      </c>
      <c r="BS625" s="1" t="s">
        <v>13744</v>
      </c>
      <c r="BT625" s="1" t="s">
        <v>8460</v>
      </c>
      <c r="BU625" s="1" t="str">
        <f>HYPERLINK("https%3A%2F%2Fwww.webofscience.com%2Fwos%2Fwoscc%2Ffull-record%2FWOS:000672563300021","View Full Record in Web of Science")</f>
        <v>View Full Record in Web of Science</v>
      </c>
    </row>
    <row r="626" spans="1:73" x14ac:dyDescent="0.25">
      <c r="A626" s="1">
        <v>625</v>
      </c>
      <c r="B626" s="1" t="s">
        <v>1506</v>
      </c>
      <c r="C626" s="1" t="s">
        <v>9316</v>
      </c>
      <c r="D626" s="1" t="s">
        <v>1507</v>
      </c>
      <c r="E626" s="1" t="s">
        <v>1507</v>
      </c>
      <c r="F626" s="1" t="s">
        <v>1507</v>
      </c>
      <c r="G626" s="1" t="s">
        <v>9317</v>
      </c>
      <c r="H626" s="1" t="s">
        <v>1507</v>
      </c>
      <c r="I626" s="1" t="s">
        <v>1507</v>
      </c>
      <c r="J626" s="1" t="s">
        <v>9318</v>
      </c>
      <c r="K626" s="1" t="s">
        <v>7697</v>
      </c>
      <c r="L626" s="1" t="s">
        <v>1507</v>
      </c>
      <c r="M626" s="1" t="s">
        <v>1507</v>
      </c>
      <c r="N626" s="1" t="s">
        <v>42</v>
      </c>
      <c r="O626" s="1" t="s">
        <v>56</v>
      </c>
      <c r="P626" s="1" t="s">
        <v>1507</v>
      </c>
      <c r="Q626" s="1" t="s">
        <v>1507</v>
      </c>
      <c r="R626" s="1" t="s">
        <v>1507</v>
      </c>
      <c r="S626" s="1" t="s">
        <v>1507</v>
      </c>
      <c r="T626" s="1" t="s">
        <v>1507</v>
      </c>
      <c r="U626" s="1" t="s">
        <v>1507</v>
      </c>
      <c r="V626" s="1" t="s">
        <v>1507</v>
      </c>
      <c r="W626" s="1" t="s">
        <v>9319</v>
      </c>
      <c r="X626" s="1" t="s">
        <v>9320</v>
      </c>
      <c r="Y626" s="1" t="s">
        <v>9321</v>
      </c>
      <c r="Z626" s="1" t="s">
        <v>9322</v>
      </c>
      <c r="AA626" s="1" t="s">
        <v>1507</v>
      </c>
      <c r="AB626" s="1" t="s">
        <v>1507</v>
      </c>
      <c r="AC626" s="1" t="s">
        <v>1507</v>
      </c>
      <c r="AD626" s="1" t="s">
        <v>9323</v>
      </c>
      <c r="AE626" s="1" t="s">
        <v>9324</v>
      </c>
      <c r="AF626" s="1" t="s">
        <v>9325</v>
      </c>
      <c r="AG626" s="1" t="s">
        <v>1507</v>
      </c>
      <c r="AH626" s="1">
        <v>29</v>
      </c>
      <c r="AI626" s="1">
        <v>0</v>
      </c>
      <c r="AJ626" s="1">
        <v>0</v>
      </c>
      <c r="AK626" s="1">
        <v>0</v>
      </c>
      <c r="AL626" s="1">
        <v>9</v>
      </c>
      <c r="AM626" s="1" t="s">
        <v>7708</v>
      </c>
      <c r="AN626" s="1" t="s">
        <v>7709</v>
      </c>
      <c r="AO626" s="1" t="s">
        <v>7710</v>
      </c>
      <c r="AP626" s="1" t="s">
        <v>7711</v>
      </c>
      <c r="AQ626" s="1" t="s">
        <v>1507</v>
      </c>
      <c r="AR626" s="1" t="s">
        <v>1507</v>
      </c>
      <c r="AS626" s="1" t="s">
        <v>7712</v>
      </c>
      <c r="AT626" s="1" t="s">
        <v>7713</v>
      </c>
      <c r="AU626" s="1" t="s">
        <v>1507</v>
      </c>
      <c r="AV626" s="1">
        <v>2021</v>
      </c>
      <c r="AW626" s="1">
        <v>51</v>
      </c>
      <c r="AX626" s="1" t="s">
        <v>1507</v>
      </c>
      <c r="AY626" s="1">
        <v>2</v>
      </c>
      <c r="AZ626" s="1" t="s">
        <v>1507</v>
      </c>
      <c r="BA626" s="1" t="s">
        <v>1507</v>
      </c>
      <c r="BB626" s="1" t="s">
        <v>1507</v>
      </c>
      <c r="BC626" s="1">
        <v>645</v>
      </c>
      <c r="BD626" s="1">
        <v>667</v>
      </c>
      <c r="BE626" s="1" t="s">
        <v>1507</v>
      </c>
      <c r="BF626" s="1" t="s">
        <v>1507</v>
      </c>
      <c r="BG626" s="1" t="s">
        <v>1507</v>
      </c>
      <c r="BH626" s="1" t="s">
        <v>1507</v>
      </c>
      <c r="BI626" s="1" t="s">
        <v>1507</v>
      </c>
      <c r="BJ626" s="1">
        <v>23</v>
      </c>
      <c r="BK626" s="1" t="s">
        <v>1535</v>
      </c>
      <c r="BL626" s="1" t="s">
        <v>1518</v>
      </c>
      <c r="BM626" s="1" t="s">
        <v>1536</v>
      </c>
      <c r="BN626" s="1" t="s">
        <v>9326</v>
      </c>
      <c r="BO626" s="1" t="s">
        <v>1507</v>
      </c>
      <c r="BP626" s="1" t="s">
        <v>1507</v>
      </c>
      <c r="BQ626" s="1" t="s">
        <v>1507</v>
      </c>
      <c r="BR626" s="1" t="s">
        <v>1507</v>
      </c>
      <c r="BS626" s="1" t="s">
        <v>13744</v>
      </c>
      <c r="BT626" s="1" t="s">
        <v>9327</v>
      </c>
      <c r="BU626" s="1" t="str">
        <f>HYPERLINK("https%3A%2F%2Fwww.webofscience.com%2Fwos%2Fwoscc%2Ffull-record%2FWOS:000741196900010","View Full Record in Web of Science")</f>
        <v>View Full Record in Web of Science</v>
      </c>
    </row>
    <row r="627" spans="1:73" x14ac:dyDescent="0.25">
      <c r="A627" s="1">
        <v>626</v>
      </c>
      <c r="B627" s="1" t="s">
        <v>5546</v>
      </c>
      <c r="C627" s="1" t="s">
        <v>6674</v>
      </c>
      <c r="D627" s="1" t="s">
        <v>1507</v>
      </c>
      <c r="E627" s="1" t="s">
        <v>1507</v>
      </c>
      <c r="F627" s="1" t="s">
        <v>5548</v>
      </c>
      <c r="G627" s="1" t="s">
        <v>6675</v>
      </c>
      <c r="H627" s="1" t="s">
        <v>1507</v>
      </c>
      <c r="I627" s="1" t="s">
        <v>1507</v>
      </c>
      <c r="J627" s="1" t="s">
        <v>6676</v>
      </c>
      <c r="K627" s="1" t="s">
        <v>6677</v>
      </c>
      <c r="L627" s="1" t="s">
        <v>1507</v>
      </c>
      <c r="M627" s="1" t="s">
        <v>1507</v>
      </c>
      <c r="N627" s="1" t="s">
        <v>42</v>
      </c>
      <c r="O627" s="1" t="s">
        <v>5552</v>
      </c>
      <c r="P627" s="1" t="s">
        <v>6678</v>
      </c>
      <c r="Q627" s="1" t="s">
        <v>6679</v>
      </c>
      <c r="R627" s="1" t="s">
        <v>6622</v>
      </c>
      <c r="S627" s="1" t="s">
        <v>6680</v>
      </c>
      <c r="T627" s="1" t="s">
        <v>1507</v>
      </c>
      <c r="U627" s="1" t="s">
        <v>6681</v>
      </c>
      <c r="V627" s="1" t="s">
        <v>1507</v>
      </c>
      <c r="W627" s="1" t="s">
        <v>6682</v>
      </c>
      <c r="X627" s="1" t="s">
        <v>6683</v>
      </c>
      <c r="Y627" s="1" t="s">
        <v>6684</v>
      </c>
      <c r="Z627" s="1" t="s">
        <v>6685</v>
      </c>
      <c r="AA627" s="1" t="s">
        <v>6686</v>
      </c>
      <c r="AB627" s="1" t="s">
        <v>1507</v>
      </c>
      <c r="AC627" s="1" t="s">
        <v>15542</v>
      </c>
      <c r="AD627" s="1" t="s">
        <v>6687</v>
      </c>
      <c r="AE627" s="1" t="s">
        <v>6688</v>
      </c>
      <c r="AF627" s="1" t="s">
        <v>6689</v>
      </c>
      <c r="AG627" s="1" t="s">
        <v>1507</v>
      </c>
      <c r="AH627" s="1">
        <v>14</v>
      </c>
      <c r="AI627" s="1">
        <v>0</v>
      </c>
      <c r="AJ627" s="1">
        <v>0</v>
      </c>
      <c r="AK627" s="1">
        <v>1</v>
      </c>
      <c r="AL627" s="1">
        <v>1</v>
      </c>
      <c r="AM627" s="1" t="s">
        <v>5565</v>
      </c>
      <c r="AN627" s="1" t="s">
        <v>1512</v>
      </c>
      <c r="AO627" s="1" t="s">
        <v>5566</v>
      </c>
      <c r="AP627" s="1" t="s">
        <v>1507</v>
      </c>
      <c r="AQ627" s="1" t="s">
        <v>1507</v>
      </c>
      <c r="AR627" s="1" t="s">
        <v>6690</v>
      </c>
      <c r="AS627" s="1" t="s">
        <v>1507</v>
      </c>
      <c r="AT627" s="1" t="s">
        <v>1507</v>
      </c>
      <c r="AU627" s="1" t="s">
        <v>1507</v>
      </c>
      <c r="AV627" s="1">
        <v>2023</v>
      </c>
      <c r="AW627" s="1" t="s">
        <v>1507</v>
      </c>
      <c r="AX627" s="1" t="s">
        <v>1507</v>
      </c>
      <c r="AY627" s="1" t="s">
        <v>1507</v>
      </c>
      <c r="AZ627" s="1" t="s">
        <v>1507</v>
      </c>
      <c r="BA627" s="1" t="s">
        <v>1507</v>
      </c>
      <c r="BB627" s="1" t="s">
        <v>1507</v>
      </c>
      <c r="BC627" s="1" t="s">
        <v>1507</v>
      </c>
      <c r="BD627" s="1" t="s">
        <v>1507</v>
      </c>
      <c r="BE627" s="1">
        <v>121</v>
      </c>
      <c r="BF627" s="1" t="s">
        <v>6691</v>
      </c>
      <c r="BG627" s="1" t="str">
        <f>HYPERLINK("http://dx.doi.org/10.1145/3586182.3625121","http://dx.doi.org/10.1145/3586182.3625121")</f>
        <v>http://dx.doi.org/10.1145/3586182.3625121</v>
      </c>
      <c r="BH627" s="1" t="s">
        <v>1507</v>
      </c>
      <c r="BI627" s="1" t="s">
        <v>1507</v>
      </c>
      <c r="BJ627" s="1">
        <v>3</v>
      </c>
      <c r="BK627" s="1" t="s">
        <v>6692</v>
      </c>
      <c r="BL627" s="1" t="s">
        <v>5570</v>
      </c>
      <c r="BM627" s="1" t="s">
        <v>1577</v>
      </c>
      <c r="BN627" s="1" t="s">
        <v>6693</v>
      </c>
      <c r="BO627" s="1" t="s">
        <v>1507</v>
      </c>
      <c r="BP627" s="1" t="s">
        <v>1507</v>
      </c>
      <c r="BQ627" s="1" t="s">
        <v>1507</v>
      </c>
      <c r="BR627" s="1" t="s">
        <v>1507</v>
      </c>
      <c r="BS627" s="1" t="s">
        <v>13744</v>
      </c>
      <c r="BT627" s="1" t="s">
        <v>6694</v>
      </c>
      <c r="BU627" s="1" t="str">
        <f>HYPERLINK("https%3A%2F%2Fwww.webofscience.com%2Fwos%2Fwoscc%2Ffull-record%2FWOS:001125107000120","View Full Record in Web of Science")</f>
        <v>View Full Record in Web of Science</v>
      </c>
    </row>
    <row r="628" spans="1:73" x14ac:dyDescent="0.25">
      <c r="A628" s="1">
        <v>627</v>
      </c>
      <c r="B628" s="1" t="s">
        <v>5546</v>
      </c>
      <c r="C628" s="1" t="s">
        <v>11507</v>
      </c>
      <c r="D628" s="1" t="s">
        <v>1507</v>
      </c>
      <c r="E628" s="1" t="s">
        <v>11508</v>
      </c>
      <c r="F628" s="1" t="s">
        <v>1507</v>
      </c>
      <c r="G628" s="1" t="s">
        <v>11509</v>
      </c>
      <c r="H628" s="1" t="s">
        <v>1507</v>
      </c>
      <c r="I628" s="1" t="s">
        <v>1507</v>
      </c>
      <c r="J628" s="1" t="s">
        <v>11510</v>
      </c>
      <c r="K628" s="1" t="s">
        <v>11511</v>
      </c>
      <c r="L628" s="1" t="s">
        <v>11512</v>
      </c>
      <c r="M628" s="1" t="s">
        <v>1507</v>
      </c>
      <c r="N628" s="1" t="s">
        <v>42</v>
      </c>
      <c r="O628" s="1" t="s">
        <v>5552</v>
      </c>
      <c r="P628" s="1" t="s">
        <v>11513</v>
      </c>
      <c r="Q628" s="1" t="s">
        <v>11514</v>
      </c>
      <c r="R628" s="1" t="s">
        <v>11515</v>
      </c>
      <c r="S628" s="1" t="s">
        <v>11516</v>
      </c>
      <c r="T628" s="1" t="s">
        <v>1507</v>
      </c>
      <c r="U628" s="1" t="s">
        <v>11517</v>
      </c>
      <c r="V628" s="1" t="s">
        <v>11518</v>
      </c>
      <c r="W628" s="1" t="s">
        <v>11519</v>
      </c>
      <c r="X628" s="1" t="s">
        <v>11520</v>
      </c>
      <c r="Y628" s="1" t="s">
        <v>11521</v>
      </c>
      <c r="Z628" s="1" t="s">
        <v>11522</v>
      </c>
      <c r="AA628" s="1" t="s">
        <v>11523</v>
      </c>
      <c r="AB628" s="1" t="s">
        <v>11524</v>
      </c>
      <c r="AC628" s="1" t="s">
        <v>12097</v>
      </c>
      <c r="AD628" s="1" t="s">
        <v>11525</v>
      </c>
      <c r="AE628" s="1" t="s">
        <v>11526</v>
      </c>
      <c r="AF628" s="1" t="s">
        <v>11527</v>
      </c>
      <c r="AG628" s="1" t="s">
        <v>1507</v>
      </c>
      <c r="AH628" s="1">
        <v>27</v>
      </c>
      <c r="AI628" s="1">
        <v>0</v>
      </c>
      <c r="AJ628" s="1">
        <v>0</v>
      </c>
      <c r="AK628" s="1">
        <v>2</v>
      </c>
      <c r="AL628" s="1">
        <v>4</v>
      </c>
      <c r="AM628" s="1" t="s">
        <v>6221</v>
      </c>
      <c r="AN628" s="1" t="s">
        <v>6222</v>
      </c>
      <c r="AO628" s="1" t="s">
        <v>6223</v>
      </c>
      <c r="AP628" s="1" t="s">
        <v>11528</v>
      </c>
      <c r="AQ628" s="1" t="s">
        <v>11529</v>
      </c>
      <c r="AR628" s="1" t="s">
        <v>11530</v>
      </c>
      <c r="AS628" s="1" t="s">
        <v>11531</v>
      </c>
      <c r="AT628" s="1" t="s">
        <v>1507</v>
      </c>
      <c r="AU628" s="1" t="s">
        <v>1507</v>
      </c>
      <c r="AV628" s="1">
        <v>2019</v>
      </c>
      <c r="AW628" s="1">
        <v>917</v>
      </c>
      <c r="AX628" s="1" t="s">
        <v>1507</v>
      </c>
      <c r="AY628" s="1" t="s">
        <v>1507</v>
      </c>
      <c r="AZ628" s="1" t="s">
        <v>1507</v>
      </c>
      <c r="BA628" s="1" t="s">
        <v>1507</v>
      </c>
      <c r="BB628" s="1" t="s">
        <v>1507</v>
      </c>
      <c r="BC628" s="1">
        <v>287</v>
      </c>
      <c r="BD628" s="1">
        <v>296</v>
      </c>
      <c r="BE628" s="1" t="s">
        <v>1507</v>
      </c>
      <c r="BF628" s="1" t="s">
        <v>11532</v>
      </c>
      <c r="BG628" s="1" t="str">
        <f>HYPERLINK("http://dx.doi.org/10.1007/978-3-030-11935-5_28","http://dx.doi.org/10.1007/978-3-030-11935-5_28")</f>
        <v>http://dx.doi.org/10.1007/978-3-030-11935-5_28</v>
      </c>
      <c r="BH628" s="1" t="s">
        <v>1507</v>
      </c>
      <c r="BI628" s="1" t="s">
        <v>1507</v>
      </c>
      <c r="BJ628" s="1">
        <v>10</v>
      </c>
      <c r="BK628" s="1" t="s">
        <v>11533</v>
      </c>
      <c r="BL628" s="1" t="s">
        <v>5570</v>
      </c>
      <c r="BM628" s="1" t="s">
        <v>1577</v>
      </c>
      <c r="BN628" s="1" t="s">
        <v>11534</v>
      </c>
      <c r="BO628" s="1" t="s">
        <v>1507</v>
      </c>
      <c r="BP628" s="1" t="s">
        <v>1507</v>
      </c>
      <c r="BQ628" s="1" t="s">
        <v>1507</v>
      </c>
      <c r="BR628" s="1" t="s">
        <v>1507</v>
      </c>
      <c r="BS628" s="1" t="s">
        <v>13744</v>
      </c>
      <c r="BT628" s="1" t="s">
        <v>11535</v>
      </c>
      <c r="BU628" s="1" t="str">
        <f>HYPERLINK("https%3A%2F%2Fwww.webofscience.com%2Fwos%2Fwoscc%2Ffull-record%2FWOS:000772239600028","View Full Record in Web of Science")</f>
        <v>View Full Record in Web of Science</v>
      </c>
    </row>
    <row r="629" spans="1:73" x14ac:dyDescent="0.25">
      <c r="A629" s="1">
        <v>628</v>
      </c>
      <c r="B629" s="1" t="s">
        <v>1506</v>
      </c>
      <c r="C629" s="1" t="s">
        <v>1733</v>
      </c>
      <c r="D629" s="1" t="s">
        <v>1507</v>
      </c>
      <c r="E629" s="1" t="s">
        <v>1507</v>
      </c>
      <c r="F629" s="1" t="s">
        <v>1507</v>
      </c>
      <c r="G629" s="1" t="s">
        <v>1734</v>
      </c>
      <c r="H629" s="1" t="s">
        <v>1507</v>
      </c>
      <c r="I629" s="1" t="s">
        <v>1507</v>
      </c>
      <c r="J629" s="1" t="s">
        <v>1735</v>
      </c>
      <c r="K629" s="1" t="s">
        <v>1736</v>
      </c>
      <c r="L629" s="1" t="s">
        <v>1507</v>
      </c>
      <c r="M629" s="1" t="s">
        <v>1507</v>
      </c>
      <c r="N629" s="1" t="s">
        <v>42</v>
      </c>
      <c r="O629" s="1" t="s">
        <v>1509</v>
      </c>
      <c r="P629" s="1" t="s">
        <v>1507</v>
      </c>
      <c r="Q629" s="1" t="s">
        <v>1507</v>
      </c>
      <c r="R629" s="1" t="s">
        <v>1507</v>
      </c>
      <c r="S629" s="1" t="s">
        <v>1507</v>
      </c>
      <c r="T629" s="1" t="s">
        <v>1507</v>
      </c>
      <c r="U629" s="1" t="s">
        <v>1737</v>
      </c>
      <c r="V629" s="1" t="s">
        <v>1507</v>
      </c>
      <c r="W629" s="1" t="s">
        <v>1738</v>
      </c>
      <c r="X629" s="1" t="s">
        <v>1739</v>
      </c>
      <c r="Y629" s="1" t="s">
        <v>1740</v>
      </c>
      <c r="Z629" s="1" t="s">
        <v>1741</v>
      </c>
      <c r="AA629" s="1" t="s">
        <v>1742</v>
      </c>
      <c r="AB629" s="1" t="s">
        <v>1507</v>
      </c>
      <c r="AC629" s="1" t="s">
        <v>13793</v>
      </c>
      <c r="AD629" s="1" t="s">
        <v>1743</v>
      </c>
      <c r="AE629" s="1" t="s">
        <v>1744</v>
      </c>
      <c r="AF629" s="1" t="s">
        <v>1510</v>
      </c>
      <c r="AG629" s="1" t="s">
        <v>1507</v>
      </c>
      <c r="AH629" s="1">
        <v>44</v>
      </c>
      <c r="AI629" s="1">
        <v>0</v>
      </c>
      <c r="AJ629" s="1">
        <v>0</v>
      </c>
      <c r="AK629" s="1">
        <v>16</v>
      </c>
      <c r="AL629" s="1">
        <v>16</v>
      </c>
      <c r="AM629" s="1" t="s">
        <v>1745</v>
      </c>
      <c r="AN629" s="1" t="s">
        <v>1746</v>
      </c>
      <c r="AO629" s="1" t="s">
        <v>1747</v>
      </c>
      <c r="AP629" s="1" t="s">
        <v>1748</v>
      </c>
      <c r="AQ629" s="1" t="s">
        <v>1749</v>
      </c>
      <c r="AR629" s="1" t="s">
        <v>1507</v>
      </c>
      <c r="AS629" s="1" t="s">
        <v>1750</v>
      </c>
      <c r="AT629" s="1" t="s">
        <v>1751</v>
      </c>
      <c r="AU629" s="1" t="s">
        <v>1752</v>
      </c>
      <c r="AV629" s="1">
        <v>2023</v>
      </c>
      <c r="AW629" s="1" t="s">
        <v>1507</v>
      </c>
      <c r="AX629" s="1" t="s">
        <v>1507</v>
      </c>
      <c r="AY629" s="1" t="s">
        <v>1507</v>
      </c>
      <c r="AZ629" s="1" t="s">
        <v>1507</v>
      </c>
      <c r="BA629" s="1" t="s">
        <v>1507</v>
      </c>
      <c r="BB629" s="1" t="s">
        <v>1507</v>
      </c>
      <c r="BC629" s="1" t="s">
        <v>1507</v>
      </c>
      <c r="BD629" s="1" t="s">
        <v>1507</v>
      </c>
      <c r="BE629" s="1" t="s">
        <v>1507</v>
      </c>
      <c r="BF629" s="1" t="s">
        <v>1753</v>
      </c>
      <c r="BG629" s="1" t="str">
        <f>HYPERLINK("http://dx.doi.org/10.1080/10447318.2023.2295725","http://dx.doi.org/10.1080/10447318.2023.2295725")</f>
        <v>http://dx.doi.org/10.1080/10447318.2023.2295725</v>
      </c>
      <c r="BH629" s="1" t="s">
        <v>1507</v>
      </c>
      <c r="BI629" s="1" t="s">
        <v>1652</v>
      </c>
      <c r="BJ629" s="1">
        <v>12</v>
      </c>
      <c r="BK629" s="1" t="s">
        <v>1754</v>
      </c>
      <c r="BL629" s="1" t="s">
        <v>1598</v>
      </c>
      <c r="BM629" s="1" t="s">
        <v>1578</v>
      </c>
      <c r="BN629" s="1" t="s">
        <v>1755</v>
      </c>
      <c r="BO629" s="1" t="s">
        <v>1507</v>
      </c>
      <c r="BP629" s="1" t="s">
        <v>1507</v>
      </c>
      <c r="BQ629" s="1" t="s">
        <v>1507</v>
      </c>
      <c r="BR629" s="1" t="s">
        <v>1507</v>
      </c>
      <c r="BS629" s="1" t="s">
        <v>13744</v>
      </c>
      <c r="BT629" s="1" t="s">
        <v>1756</v>
      </c>
      <c r="BU629" s="1" t="str">
        <f>HYPERLINK("https%3A%2F%2Fwww.webofscience.com%2Fwos%2Fwoscc%2Ffull-record%2FWOS:001129761000001","View Full Record in Web of Science")</f>
        <v>View Full Record in Web of Science</v>
      </c>
    </row>
    <row r="630" spans="1:73" x14ac:dyDescent="0.25">
      <c r="A630" s="1">
        <v>629</v>
      </c>
      <c r="B630" s="1" t="s">
        <v>1506</v>
      </c>
      <c r="C630" s="1" t="s">
        <v>6756</v>
      </c>
      <c r="D630" s="1" t="s">
        <v>1507</v>
      </c>
      <c r="E630" s="1" t="s">
        <v>1507</v>
      </c>
      <c r="F630" s="1" t="s">
        <v>1507</v>
      </c>
      <c r="G630" s="1" t="s">
        <v>6757</v>
      </c>
      <c r="H630" s="1" t="s">
        <v>1507</v>
      </c>
      <c r="I630" s="1" t="s">
        <v>1507</v>
      </c>
      <c r="J630" s="1" t="s">
        <v>6758</v>
      </c>
      <c r="K630" s="1" t="s">
        <v>6759</v>
      </c>
      <c r="L630" s="1" t="s">
        <v>1507</v>
      </c>
      <c r="M630" s="1" t="s">
        <v>1507</v>
      </c>
      <c r="N630" s="1" t="s">
        <v>42</v>
      </c>
      <c r="O630" s="1" t="s">
        <v>56</v>
      </c>
      <c r="P630" s="1" t="s">
        <v>1507</v>
      </c>
      <c r="Q630" s="1" t="s">
        <v>1507</v>
      </c>
      <c r="R630" s="1" t="s">
        <v>1507</v>
      </c>
      <c r="S630" s="1" t="s">
        <v>1507</v>
      </c>
      <c r="T630" s="1" t="s">
        <v>1507</v>
      </c>
      <c r="U630" s="1" t="s">
        <v>6760</v>
      </c>
      <c r="V630" s="1" t="s">
        <v>6761</v>
      </c>
      <c r="W630" s="1" t="s">
        <v>6762</v>
      </c>
      <c r="X630" s="1" t="s">
        <v>6763</v>
      </c>
      <c r="Y630" s="1" t="s">
        <v>6764</v>
      </c>
      <c r="Z630" s="1" t="s">
        <v>6765</v>
      </c>
      <c r="AA630" s="1" t="s">
        <v>6766</v>
      </c>
      <c r="AB630" s="1" t="s">
        <v>15545</v>
      </c>
      <c r="AC630" s="1" t="s">
        <v>6767</v>
      </c>
      <c r="AD630" s="1" t="s">
        <v>6768</v>
      </c>
      <c r="AE630" s="1" t="s">
        <v>6769</v>
      </c>
      <c r="AF630" s="1" t="s">
        <v>6770</v>
      </c>
      <c r="AG630" s="1" t="s">
        <v>1507</v>
      </c>
      <c r="AH630" s="1">
        <v>34</v>
      </c>
      <c r="AI630" s="1">
        <v>1</v>
      </c>
      <c r="AJ630" s="1">
        <v>2</v>
      </c>
      <c r="AK630" s="1">
        <v>1</v>
      </c>
      <c r="AL630" s="1">
        <v>6</v>
      </c>
      <c r="AM630" s="1" t="s">
        <v>1604</v>
      </c>
      <c r="AN630" s="1" t="s">
        <v>1605</v>
      </c>
      <c r="AO630" s="1" t="s">
        <v>1606</v>
      </c>
      <c r="AP630" s="1" t="s">
        <v>6771</v>
      </c>
      <c r="AQ630" s="1" t="s">
        <v>6772</v>
      </c>
      <c r="AR630" s="1" t="s">
        <v>1507</v>
      </c>
      <c r="AS630" s="1" t="s">
        <v>6773</v>
      </c>
      <c r="AT630" s="1" t="s">
        <v>6774</v>
      </c>
      <c r="AU630" s="1" t="s">
        <v>6775</v>
      </c>
      <c r="AV630" s="1">
        <v>2022</v>
      </c>
      <c r="AW630" s="1">
        <v>24</v>
      </c>
      <c r="AX630" s="1">
        <v>12</v>
      </c>
      <c r="AY630" s="1" t="s">
        <v>1507</v>
      </c>
      <c r="AZ630" s="1" t="s">
        <v>1507</v>
      </c>
      <c r="BA630" s="1" t="s">
        <v>1507</v>
      </c>
      <c r="BB630" s="1" t="s">
        <v>1507</v>
      </c>
      <c r="BC630" s="1" t="s">
        <v>1507</v>
      </c>
      <c r="BD630" s="1" t="s">
        <v>1507</v>
      </c>
      <c r="BE630" s="1">
        <v>124005</v>
      </c>
      <c r="BF630" s="1" t="s">
        <v>6776</v>
      </c>
      <c r="BG630" s="1" t="str">
        <f>HYPERLINK("http://dx.doi.org/10.1088/2058-6272/aca00a","http://dx.doi.org/10.1088/2058-6272/aca00a")</f>
        <v>http://dx.doi.org/10.1088/2058-6272/aca00a</v>
      </c>
      <c r="BH630" s="1" t="s">
        <v>1507</v>
      </c>
      <c r="BI630" s="1" t="s">
        <v>1507</v>
      </c>
      <c r="BJ630" s="1">
        <v>11</v>
      </c>
      <c r="BK630" s="1" t="s">
        <v>6777</v>
      </c>
      <c r="BL630" s="1" t="s">
        <v>1573</v>
      </c>
      <c r="BM630" s="1" t="s">
        <v>2104</v>
      </c>
      <c r="BN630" s="1" t="s">
        <v>6778</v>
      </c>
      <c r="BO630" s="1" t="s">
        <v>1507</v>
      </c>
      <c r="BP630" s="1" t="s">
        <v>1600</v>
      </c>
      <c r="BQ630" s="1" t="s">
        <v>1507</v>
      </c>
      <c r="BR630" s="1" t="s">
        <v>1507</v>
      </c>
      <c r="BS630" s="1" t="s">
        <v>13744</v>
      </c>
      <c r="BT630" s="1" t="s">
        <v>6779</v>
      </c>
      <c r="BU630" s="1" t="str">
        <f>HYPERLINK("https%3A%2F%2Fwww.webofscience.com%2Fwos%2Fwoscc%2Ffull-record%2FWOS:000891962000001","View Full Record in Web of Science")</f>
        <v>View Full Record in Web of Science</v>
      </c>
    </row>
    <row r="631" spans="1:73" x14ac:dyDescent="0.25">
      <c r="A631" s="1">
        <v>630</v>
      </c>
      <c r="B631" s="1" t="s">
        <v>1506</v>
      </c>
      <c r="C631" s="1" t="s">
        <v>13964</v>
      </c>
      <c r="D631" s="1" t="s">
        <v>1507</v>
      </c>
      <c r="E631" s="1" t="s">
        <v>1507</v>
      </c>
      <c r="F631" s="1" t="s">
        <v>1507</v>
      </c>
      <c r="G631" s="1" t="s">
        <v>13965</v>
      </c>
      <c r="H631" s="1" t="s">
        <v>1507</v>
      </c>
      <c r="I631" s="1" t="s">
        <v>13966</v>
      </c>
      <c r="J631" s="1" t="s">
        <v>13967</v>
      </c>
      <c r="K631" s="1" t="s">
        <v>13878</v>
      </c>
      <c r="L631" s="1" t="s">
        <v>1507</v>
      </c>
      <c r="M631" s="1" t="s">
        <v>1507</v>
      </c>
      <c r="N631" s="1" t="s">
        <v>42</v>
      </c>
      <c r="O631" s="1" t="s">
        <v>12366</v>
      </c>
      <c r="P631" s="1" t="s">
        <v>1507</v>
      </c>
      <c r="Q631" s="1" t="s">
        <v>1507</v>
      </c>
      <c r="R631" s="1" t="s">
        <v>1507</v>
      </c>
      <c r="S631" s="1" t="s">
        <v>1507</v>
      </c>
      <c r="T631" s="1" t="s">
        <v>1507</v>
      </c>
      <c r="U631" s="1" t="s">
        <v>13968</v>
      </c>
      <c r="V631" s="1" t="s">
        <v>13969</v>
      </c>
      <c r="W631" s="1" t="s">
        <v>13970</v>
      </c>
      <c r="X631" s="1" t="s">
        <v>13971</v>
      </c>
      <c r="Y631" s="1" t="s">
        <v>13972</v>
      </c>
      <c r="Z631" s="1" t="s">
        <v>13973</v>
      </c>
      <c r="AA631" s="1" t="s">
        <v>13974</v>
      </c>
      <c r="AB631" s="1" t="s">
        <v>13975</v>
      </c>
      <c r="AC631" s="1" t="s">
        <v>13976</v>
      </c>
      <c r="AD631" s="1" t="s">
        <v>4206</v>
      </c>
      <c r="AE631" s="1" t="s">
        <v>4206</v>
      </c>
      <c r="AF631" s="1" t="s">
        <v>13977</v>
      </c>
      <c r="AG631" s="1" t="s">
        <v>1507</v>
      </c>
      <c r="AH631" s="1">
        <v>48</v>
      </c>
      <c r="AI631" s="1">
        <v>1</v>
      </c>
      <c r="AJ631" s="1">
        <v>1</v>
      </c>
      <c r="AK631" s="1">
        <v>4</v>
      </c>
      <c r="AL631" s="1">
        <v>4</v>
      </c>
      <c r="AM631" s="1" t="s">
        <v>1601</v>
      </c>
      <c r="AN631" s="1" t="s">
        <v>1551</v>
      </c>
      <c r="AO631" s="1" t="s">
        <v>1602</v>
      </c>
      <c r="AP631" s="1" t="s">
        <v>1507</v>
      </c>
      <c r="AQ631" s="1" t="s">
        <v>13890</v>
      </c>
      <c r="AR631" s="1" t="s">
        <v>1507</v>
      </c>
      <c r="AS631" s="1" t="s">
        <v>13891</v>
      </c>
      <c r="AT631" s="1" t="s">
        <v>13892</v>
      </c>
      <c r="AU631" s="1" t="s">
        <v>13978</v>
      </c>
      <c r="AV631" s="1">
        <v>2023</v>
      </c>
      <c r="AW631" s="1">
        <v>10</v>
      </c>
      <c r="AX631" s="1">
        <v>1</v>
      </c>
      <c r="AY631" s="1" t="s">
        <v>1507</v>
      </c>
      <c r="AZ631" s="1" t="s">
        <v>1507</v>
      </c>
      <c r="BA631" s="1" t="s">
        <v>1507</v>
      </c>
      <c r="BB631" s="1" t="s">
        <v>1507</v>
      </c>
      <c r="BC631" s="1" t="s">
        <v>1507</v>
      </c>
      <c r="BD631" s="1" t="s">
        <v>1507</v>
      </c>
      <c r="BE631" s="1">
        <v>117</v>
      </c>
      <c r="BF631" s="1" t="s">
        <v>13979</v>
      </c>
      <c r="BG631" s="1" t="str">
        <f>HYPERLINK("http://dx.doi.org/10.1186/s40634-023-00683-z","http://dx.doi.org/10.1186/s40634-023-00683-z")</f>
        <v>http://dx.doi.org/10.1186/s40634-023-00683-z</v>
      </c>
      <c r="BH631" s="1" t="s">
        <v>1507</v>
      </c>
      <c r="BI631" s="1" t="s">
        <v>1507</v>
      </c>
      <c r="BJ631" s="1">
        <v>9</v>
      </c>
      <c r="BK631" s="1" t="s">
        <v>13894</v>
      </c>
      <c r="BL631" s="1" t="s">
        <v>1529</v>
      </c>
      <c r="BM631" s="1" t="s">
        <v>13894</v>
      </c>
      <c r="BN631" s="1" t="s">
        <v>13980</v>
      </c>
      <c r="BO631" s="1">
        <v>37968370</v>
      </c>
      <c r="BP631" s="1" t="s">
        <v>1674</v>
      </c>
      <c r="BQ631" s="1" t="s">
        <v>1507</v>
      </c>
      <c r="BR631" s="1" t="s">
        <v>1507</v>
      </c>
      <c r="BS631" s="1" t="s">
        <v>13744</v>
      </c>
      <c r="BT631" s="1" t="s">
        <v>13981</v>
      </c>
      <c r="BU631" s="1" t="str">
        <f>HYPERLINK("https%3A%2F%2Fwww.webofscience.com%2Fwos%2Fwoscc%2Ffull-record%2FWOS:001104884500002","View Full Record in Web of Science")</f>
        <v>View Full Record in Web of Science</v>
      </c>
    </row>
    <row r="632" spans="1:73" x14ac:dyDescent="0.25">
      <c r="A632" s="1">
        <v>631</v>
      </c>
      <c r="B632" s="1" t="s">
        <v>1506</v>
      </c>
      <c r="C632" s="1" t="s">
        <v>14461</v>
      </c>
      <c r="D632" s="1" t="s">
        <v>1507</v>
      </c>
      <c r="E632" s="1" t="s">
        <v>1507</v>
      </c>
      <c r="F632" s="1" t="s">
        <v>1507</v>
      </c>
      <c r="G632" s="1" t="s">
        <v>14462</v>
      </c>
      <c r="H632" s="1" t="s">
        <v>1507</v>
      </c>
      <c r="I632" s="1" t="s">
        <v>14463</v>
      </c>
      <c r="J632" s="1" t="s">
        <v>14464</v>
      </c>
      <c r="K632" s="1" t="s">
        <v>13878</v>
      </c>
      <c r="L632" s="1" t="s">
        <v>1507</v>
      </c>
      <c r="M632" s="1" t="s">
        <v>1507</v>
      </c>
      <c r="N632" s="1" t="s">
        <v>42</v>
      </c>
      <c r="O632" s="1" t="s">
        <v>13950</v>
      </c>
      <c r="P632" s="1" t="s">
        <v>1507</v>
      </c>
      <c r="Q632" s="1" t="s">
        <v>1507</v>
      </c>
      <c r="R632" s="1" t="s">
        <v>1507</v>
      </c>
      <c r="S632" s="1" t="s">
        <v>1507</v>
      </c>
      <c r="T632" s="1" t="s">
        <v>1507</v>
      </c>
      <c r="U632" s="1" t="s">
        <v>14465</v>
      </c>
      <c r="V632" s="1" t="s">
        <v>1507</v>
      </c>
      <c r="W632" s="1" t="s">
        <v>1507</v>
      </c>
      <c r="X632" s="1" t="s">
        <v>14466</v>
      </c>
      <c r="Y632" s="1" t="s">
        <v>14467</v>
      </c>
      <c r="Z632" s="1" t="s">
        <v>14468</v>
      </c>
      <c r="AA632" s="1" t="s">
        <v>13974</v>
      </c>
      <c r="AB632" s="1" t="s">
        <v>14469</v>
      </c>
      <c r="AC632" s="1" t="s">
        <v>13976</v>
      </c>
      <c r="AD632" s="1" t="s">
        <v>4206</v>
      </c>
      <c r="AE632" s="1" t="s">
        <v>4206</v>
      </c>
      <c r="AF632" s="1" t="s">
        <v>14470</v>
      </c>
      <c r="AG632" s="1" t="s">
        <v>1507</v>
      </c>
      <c r="AH632" s="1">
        <v>18</v>
      </c>
      <c r="AI632" s="1">
        <v>0</v>
      </c>
      <c r="AJ632" s="1">
        <v>0</v>
      </c>
      <c r="AK632" s="1">
        <v>7</v>
      </c>
      <c r="AL632" s="1">
        <v>7</v>
      </c>
      <c r="AM632" s="1" t="s">
        <v>1601</v>
      </c>
      <c r="AN632" s="1" t="s">
        <v>1551</v>
      </c>
      <c r="AO632" s="1" t="s">
        <v>1602</v>
      </c>
      <c r="AP632" s="1" t="s">
        <v>1507</v>
      </c>
      <c r="AQ632" s="1" t="s">
        <v>13890</v>
      </c>
      <c r="AR632" s="1" t="s">
        <v>1507</v>
      </c>
      <c r="AS632" s="1" t="s">
        <v>13891</v>
      </c>
      <c r="AT632" s="1" t="s">
        <v>13892</v>
      </c>
      <c r="AU632" s="1" t="s">
        <v>14471</v>
      </c>
      <c r="AV632" s="1">
        <v>2023</v>
      </c>
      <c r="AW632" s="1">
        <v>10</v>
      </c>
      <c r="AX632" s="1">
        <v>1</v>
      </c>
      <c r="AY632" s="1" t="s">
        <v>1507</v>
      </c>
      <c r="AZ632" s="1" t="s">
        <v>1507</v>
      </c>
      <c r="BA632" s="1" t="s">
        <v>1507</v>
      </c>
      <c r="BB632" s="1" t="s">
        <v>1507</v>
      </c>
      <c r="BC632" s="1" t="s">
        <v>1507</v>
      </c>
      <c r="BD632" s="1" t="s">
        <v>1507</v>
      </c>
      <c r="BE632" s="1">
        <v>99</v>
      </c>
      <c r="BF632" s="1" t="s">
        <v>14472</v>
      </c>
      <c r="BG632" s="1" t="str">
        <f>HYPERLINK("http://dx.doi.org/10.1186/s40634-023-00662-4","http://dx.doi.org/10.1186/s40634-023-00662-4")</f>
        <v>http://dx.doi.org/10.1186/s40634-023-00662-4</v>
      </c>
      <c r="BH632" s="1" t="s">
        <v>1507</v>
      </c>
      <c r="BI632" s="1" t="s">
        <v>1507</v>
      </c>
      <c r="BJ632" s="1">
        <v>5</v>
      </c>
      <c r="BK632" s="1" t="s">
        <v>13894</v>
      </c>
      <c r="BL632" s="1" t="s">
        <v>1529</v>
      </c>
      <c r="BM632" s="1" t="s">
        <v>13894</v>
      </c>
      <c r="BN632" s="1" t="s">
        <v>14473</v>
      </c>
      <c r="BO632" s="1">
        <v>37768352</v>
      </c>
      <c r="BP632" s="1" t="s">
        <v>1674</v>
      </c>
      <c r="BQ632" s="1" t="s">
        <v>1507</v>
      </c>
      <c r="BR632" s="1" t="s">
        <v>1507</v>
      </c>
      <c r="BS632" s="1" t="s">
        <v>13744</v>
      </c>
      <c r="BT632" s="1" t="s">
        <v>14474</v>
      </c>
      <c r="BU632" s="1" t="str">
        <f>HYPERLINK("https%3A%2F%2Fwww.webofscience.com%2Fwos%2Fwoscc%2Ffull-record%2FWOS:001077828000002","View Full Record in Web of Science")</f>
        <v>View Full Record in Web of Science</v>
      </c>
    </row>
  </sheetData>
  <autoFilter ref="A1:BU1" xr:uid="{AD023E8B-FAA9-47FF-BDA1-9D70E2FD2E8D}">
    <sortState xmlns:xlrd2="http://schemas.microsoft.com/office/spreadsheetml/2017/richdata2" ref="A2:BU632">
      <sortCondition ref="C1"/>
    </sortState>
  </autoFilter>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A5794-9ED6-4767-B885-ED2BC3414C2F}">
  <dimension ref="A1:DO178"/>
  <sheetViews>
    <sheetView topLeftCell="A151" workbookViewId="0">
      <selection activeCell="A160" sqref="A160"/>
    </sheetView>
  </sheetViews>
  <sheetFormatPr baseColWidth="10" defaultRowHeight="14.4" x14ac:dyDescent="0.3"/>
  <cols>
    <col min="57" max="57" width="22.21875" customWidth="1"/>
  </cols>
  <sheetData>
    <row r="1" spans="1:119" s="6" customFormat="1" x14ac:dyDescent="0.3">
      <c r="A1" t="s">
        <v>13738</v>
      </c>
      <c r="B1" t="s">
        <v>0</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13737</v>
      </c>
      <c r="V1" t="s">
        <v>13736</v>
      </c>
      <c r="W1" t="s">
        <v>13735</v>
      </c>
      <c r="X1" t="s">
        <v>13734</v>
      </c>
      <c r="Y1" t="s">
        <v>13733</v>
      </c>
      <c r="Z1" t="s">
        <v>13732</v>
      </c>
      <c r="AA1" t="s">
        <v>13731</v>
      </c>
      <c r="AB1" t="s">
        <v>13730</v>
      </c>
      <c r="AC1" t="s">
        <v>13729</v>
      </c>
      <c r="AD1" t="s">
        <v>13728</v>
      </c>
      <c r="AE1" t="s">
        <v>13727</v>
      </c>
      <c r="AF1" t="s">
        <v>13726</v>
      </c>
      <c r="AG1" t="s">
        <v>13725</v>
      </c>
      <c r="AH1" t="s">
        <v>13724</v>
      </c>
      <c r="AI1" t="s">
        <v>13723</v>
      </c>
      <c r="AJ1" t="s">
        <v>13722</v>
      </c>
      <c r="AK1" t="s">
        <v>19</v>
      </c>
      <c r="AL1" t="s">
        <v>20</v>
      </c>
      <c r="AM1" t="s">
        <v>13721</v>
      </c>
      <c r="AN1" t="s">
        <v>21</v>
      </c>
      <c r="AO1" t="s">
        <v>13720</v>
      </c>
      <c r="AP1" t="s">
        <v>13719</v>
      </c>
      <c r="AQ1" t="s">
        <v>13718</v>
      </c>
      <c r="AR1" t="s">
        <v>13717</v>
      </c>
      <c r="AS1" t="s">
        <v>22</v>
      </c>
      <c r="AT1" t="s">
        <v>23</v>
      </c>
      <c r="AU1" t="s">
        <v>24</v>
      </c>
      <c r="AV1" t="s">
        <v>25</v>
      </c>
      <c r="AW1" t="s">
        <v>26</v>
      </c>
      <c r="AX1" t="s">
        <v>27</v>
      </c>
      <c r="AY1" t="s">
        <v>28</v>
      </c>
      <c r="AZ1" t="s">
        <v>29</v>
      </c>
      <c r="BA1" t="s">
        <v>30</v>
      </c>
      <c r="BB1" t="s">
        <v>31</v>
      </c>
      <c r="BC1" t="s">
        <v>32</v>
      </c>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row>
    <row r="2" spans="1:119" x14ac:dyDescent="0.3">
      <c r="A2">
        <v>6</v>
      </c>
      <c r="B2" t="s">
        <v>12319</v>
      </c>
      <c r="C2" t="s">
        <v>12318</v>
      </c>
      <c r="D2" t="s">
        <v>858</v>
      </c>
      <c r="E2">
        <v>2023</v>
      </c>
      <c r="F2" t="s">
        <v>127</v>
      </c>
      <c r="G2" t="s">
        <v>859</v>
      </c>
      <c r="L2">
        <v>219</v>
      </c>
      <c r="O2" t="s">
        <v>860</v>
      </c>
      <c r="R2" t="s">
        <v>861</v>
      </c>
      <c r="AR2" t="s">
        <v>12711</v>
      </c>
      <c r="AT2" t="s">
        <v>92</v>
      </c>
      <c r="AU2" t="s">
        <v>858</v>
      </c>
      <c r="AV2" t="s">
        <v>12710</v>
      </c>
      <c r="AX2">
        <v>304739</v>
      </c>
      <c r="AY2">
        <v>3029743</v>
      </c>
      <c r="AZ2">
        <v>9789819983841</v>
      </c>
      <c r="BC2" t="s">
        <v>42</v>
      </c>
      <c r="BD2" t="s">
        <v>128</v>
      </c>
      <c r="BE2" t="s">
        <v>12315</v>
      </c>
      <c r="BF2" t="s">
        <v>45</v>
      </c>
      <c r="BH2" t="s">
        <v>46</v>
      </c>
      <c r="BI2" t="s">
        <v>862</v>
      </c>
    </row>
    <row r="3" spans="1:119" x14ac:dyDescent="0.3">
      <c r="A3">
        <v>7</v>
      </c>
      <c r="B3" t="s">
        <v>12319</v>
      </c>
      <c r="C3" t="s">
        <v>12318</v>
      </c>
      <c r="D3" t="s">
        <v>1198</v>
      </c>
      <c r="E3">
        <v>2023</v>
      </c>
      <c r="F3" t="s">
        <v>127</v>
      </c>
      <c r="G3" t="s">
        <v>1199</v>
      </c>
      <c r="L3">
        <v>835</v>
      </c>
      <c r="O3" t="s">
        <v>1200</v>
      </c>
      <c r="R3" t="s">
        <v>1201</v>
      </c>
      <c r="AR3" t="s">
        <v>12415</v>
      </c>
      <c r="AT3" t="s">
        <v>92</v>
      </c>
      <c r="AU3" t="s">
        <v>1198</v>
      </c>
      <c r="AV3" t="s">
        <v>12414</v>
      </c>
      <c r="AX3">
        <v>297049</v>
      </c>
      <c r="AY3">
        <v>3029743</v>
      </c>
      <c r="AZ3">
        <v>9783031362712</v>
      </c>
      <c r="BC3" t="s">
        <v>42</v>
      </c>
      <c r="BD3" t="s">
        <v>128</v>
      </c>
      <c r="BE3" t="s">
        <v>12315</v>
      </c>
      <c r="BF3" t="s">
        <v>45</v>
      </c>
      <c r="BH3" t="s">
        <v>46</v>
      </c>
      <c r="BI3" t="s">
        <v>1202</v>
      </c>
    </row>
    <row r="4" spans="1:119" x14ac:dyDescent="0.3">
      <c r="A4">
        <v>8</v>
      </c>
      <c r="B4" t="s">
        <v>12319</v>
      </c>
      <c r="C4" t="s">
        <v>12318</v>
      </c>
      <c r="D4" t="s">
        <v>863</v>
      </c>
      <c r="E4">
        <v>2022</v>
      </c>
      <c r="F4" t="s">
        <v>127</v>
      </c>
      <c r="G4" t="s">
        <v>1044</v>
      </c>
      <c r="L4">
        <v>1386</v>
      </c>
      <c r="O4" t="s">
        <v>1045</v>
      </c>
      <c r="R4" t="s">
        <v>866</v>
      </c>
      <c r="AR4" t="s">
        <v>12317</v>
      </c>
      <c r="AT4" t="s">
        <v>92</v>
      </c>
      <c r="AU4" t="s">
        <v>863</v>
      </c>
      <c r="AV4" t="s">
        <v>12316</v>
      </c>
      <c r="AX4">
        <v>281319</v>
      </c>
      <c r="AY4">
        <v>3029743</v>
      </c>
      <c r="AZ4">
        <v>9783031116469</v>
      </c>
      <c r="BC4" t="s">
        <v>42</v>
      </c>
      <c r="BD4" t="s">
        <v>128</v>
      </c>
      <c r="BE4" t="s">
        <v>12315</v>
      </c>
      <c r="BF4" t="s">
        <v>45</v>
      </c>
      <c r="BH4" t="s">
        <v>46</v>
      </c>
      <c r="BI4" t="s">
        <v>1046</v>
      </c>
    </row>
    <row r="5" spans="1:119" x14ac:dyDescent="0.3">
      <c r="A5">
        <v>10</v>
      </c>
      <c r="B5" t="s">
        <v>12897</v>
      </c>
      <c r="C5" t="s">
        <v>12896</v>
      </c>
      <c r="D5" t="s">
        <v>382</v>
      </c>
      <c r="E5">
        <v>2023</v>
      </c>
      <c r="F5" t="s">
        <v>383</v>
      </c>
      <c r="G5">
        <v>3605</v>
      </c>
      <c r="O5" t="s">
        <v>384</v>
      </c>
      <c r="P5" t="s">
        <v>385</v>
      </c>
      <c r="Q5" t="s">
        <v>12895</v>
      </c>
      <c r="R5" t="s">
        <v>386</v>
      </c>
      <c r="S5" t="s">
        <v>387</v>
      </c>
      <c r="T5" t="s">
        <v>388</v>
      </c>
      <c r="AJ5" t="s">
        <v>12894</v>
      </c>
      <c r="AK5" t="s">
        <v>12893</v>
      </c>
      <c r="AL5" t="s">
        <v>12892</v>
      </c>
      <c r="AN5" t="s">
        <v>389</v>
      </c>
      <c r="AO5" t="s">
        <v>12891</v>
      </c>
      <c r="AP5" t="s">
        <v>12890</v>
      </c>
      <c r="AR5">
        <v>196077</v>
      </c>
      <c r="AS5">
        <v>16130073</v>
      </c>
      <c r="AW5" t="s">
        <v>42</v>
      </c>
      <c r="AX5" t="s">
        <v>390</v>
      </c>
      <c r="AY5" t="s">
        <v>12252</v>
      </c>
      <c r="AZ5" t="s">
        <v>45</v>
      </c>
      <c r="BB5" t="s">
        <v>46</v>
      </c>
      <c r="BC5" t="s">
        <v>391</v>
      </c>
    </row>
    <row r="6" spans="1:119" x14ac:dyDescent="0.3">
      <c r="A6">
        <v>11</v>
      </c>
      <c r="B6" t="s">
        <v>13462</v>
      </c>
      <c r="C6" t="s">
        <v>13461</v>
      </c>
      <c r="D6" t="s">
        <v>415</v>
      </c>
      <c r="E6">
        <v>2023</v>
      </c>
      <c r="F6" t="s">
        <v>416</v>
      </c>
      <c r="G6">
        <v>13</v>
      </c>
      <c r="H6">
        <v>9</v>
      </c>
      <c r="I6">
        <v>885</v>
      </c>
      <c r="M6">
        <v>5</v>
      </c>
      <c r="N6" t="s">
        <v>417</v>
      </c>
      <c r="O6" t="s">
        <v>418</v>
      </c>
      <c r="P6" t="s">
        <v>13460</v>
      </c>
      <c r="Q6" t="s">
        <v>13459</v>
      </c>
      <c r="R6" t="s">
        <v>419</v>
      </c>
      <c r="S6" t="s">
        <v>420</v>
      </c>
      <c r="Y6" t="s">
        <v>13458</v>
      </c>
      <c r="Z6" t="s">
        <v>13457</v>
      </c>
      <c r="AJ6" t="s">
        <v>13456</v>
      </c>
      <c r="AK6" t="s">
        <v>13455</v>
      </c>
      <c r="AN6" t="s">
        <v>180</v>
      </c>
      <c r="AS6">
        <v>22277102</v>
      </c>
      <c r="AW6" t="s">
        <v>42</v>
      </c>
      <c r="AX6" t="s">
        <v>421</v>
      </c>
      <c r="AY6" t="s">
        <v>56</v>
      </c>
      <c r="AZ6" t="s">
        <v>45</v>
      </c>
      <c r="BA6" t="s">
        <v>12214</v>
      </c>
      <c r="BB6" t="s">
        <v>46</v>
      </c>
      <c r="BC6" t="s">
        <v>422</v>
      </c>
    </row>
    <row r="7" spans="1:119" x14ac:dyDescent="0.3">
      <c r="A7">
        <v>12</v>
      </c>
      <c r="B7" t="s">
        <v>12635</v>
      </c>
      <c r="C7" t="s">
        <v>12634</v>
      </c>
      <c r="D7" t="s">
        <v>1134</v>
      </c>
      <c r="E7">
        <v>2023</v>
      </c>
      <c r="F7" t="s">
        <v>383</v>
      </c>
      <c r="G7">
        <v>3497</v>
      </c>
      <c r="J7">
        <v>37</v>
      </c>
      <c r="K7">
        <v>59</v>
      </c>
      <c r="O7" t="s">
        <v>1135</v>
      </c>
      <c r="P7" t="s">
        <v>1136</v>
      </c>
      <c r="Q7" t="s">
        <v>12633</v>
      </c>
      <c r="R7" t="s">
        <v>1137</v>
      </c>
      <c r="S7" t="s">
        <v>1138</v>
      </c>
      <c r="T7" t="s">
        <v>1139</v>
      </c>
      <c r="Y7" t="s">
        <v>12632</v>
      </c>
      <c r="Z7" t="s">
        <v>12631</v>
      </c>
      <c r="AP7" t="s">
        <v>12630</v>
      </c>
      <c r="AQ7" t="s">
        <v>12629</v>
      </c>
      <c r="AR7" t="s">
        <v>12624</v>
      </c>
      <c r="AT7" t="s">
        <v>389</v>
      </c>
      <c r="AU7" t="s">
        <v>12623</v>
      </c>
      <c r="AV7" t="s">
        <v>12622</v>
      </c>
      <c r="AX7">
        <v>193170</v>
      </c>
      <c r="AY7">
        <v>16130073</v>
      </c>
      <c r="BC7" t="s">
        <v>42</v>
      </c>
      <c r="BD7" t="s">
        <v>390</v>
      </c>
      <c r="BE7" t="s">
        <v>12252</v>
      </c>
      <c r="BF7" t="s">
        <v>45</v>
      </c>
      <c r="BH7" t="s">
        <v>46</v>
      </c>
      <c r="BI7" t="s">
        <v>1140</v>
      </c>
    </row>
    <row r="8" spans="1:119" x14ac:dyDescent="0.3">
      <c r="A8">
        <v>14</v>
      </c>
      <c r="B8" t="s">
        <v>12546</v>
      </c>
      <c r="C8" t="s">
        <v>12545</v>
      </c>
      <c r="D8" t="s">
        <v>1005</v>
      </c>
      <c r="E8">
        <v>2023</v>
      </c>
      <c r="F8" t="s">
        <v>1006</v>
      </c>
      <c r="G8">
        <v>22</v>
      </c>
      <c r="J8">
        <v>339</v>
      </c>
      <c r="K8">
        <v>372</v>
      </c>
      <c r="N8" t="s">
        <v>1007</v>
      </c>
      <c r="O8" t="s">
        <v>1008</v>
      </c>
      <c r="P8" t="s">
        <v>1009</v>
      </c>
      <c r="Q8" t="s">
        <v>12544</v>
      </c>
      <c r="R8" t="s">
        <v>1010</v>
      </c>
      <c r="S8" t="s">
        <v>1011</v>
      </c>
      <c r="AP8" t="s">
        <v>12543</v>
      </c>
      <c r="AQ8" t="s">
        <v>12542</v>
      </c>
      <c r="AT8" t="s">
        <v>1012</v>
      </c>
      <c r="AY8">
        <v>15479714</v>
      </c>
      <c r="BC8" t="s">
        <v>42</v>
      </c>
      <c r="BD8" t="s">
        <v>1013</v>
      </c>
      <c r="BE8" t="s">
        <v>56</v>
      </c>
      <c r="BF8" t="s">
        <v>45</v>
      </c>
      <c r="BG8" t="s">
        <v>12349</v>
      </c>
      <c r="BH8" t="s">
        <v>46</v>
      </c>
      <c r="BI8" t="s">
        <v>1014</v>
      </c>
    </row>
    <row r="9" spans="1:119" x14ac:dyDescent="0.3">
      <c r="A9">
        <v>15</v>
      </c>
      <c r="B9" t="s">
        <v>12964</v>
      </c>
      <c r="C9" t="s">
        <v>12963</v>
      </c>
      <c r="D9" t="s">
        <v>12962</v>
      </c>
      <c r="E9">
        <v>2023</v>
      </c>
      <c r="F9" t="s">
        <v>12961</v>
      </c>
      <c r="G9">
        <v>8</v>
      </c>
      <c r="I9" t="s">
        <v>12960</v>
      </c>
      <c r="N9" t="s">
        <v>12959</v>
      </c>
      <c r="O9" t="s">
        <v>12958</v>
      </c>
      <c r="P9" t="s">
        <v>12957</v>
      </c>
      <c r="Q9" t="s">
        <v>12956</v>
      </c>
      <c r="R9" t="s">
        <v>12955</v>
      </c>
      <c r="S9" t="s">
        <v>12954</v>
      </c>
      <c r="T9" t="s">
        <v>12953</v>
      </c>
      <c r="AJ9" t="s">
        <v>12952</v>
      </c>
      <c r="AM9" t="s">
        <v>12951</v>
      </c>
      <c r="AN9" t="s">
        <v>12951</v>
      </c>
      <c r="AO9" t="s">
        <v>12950</v>
      </c>
      <c r="AP9" t="s">
        <v>12949</v>
      </c>
      <c r="AR9">
        <v>197186</v>
      </c>
      <c r="AT9">
        <v>9780791887653</v>
      </c>
      <c r="AW9" t="s">
        <v>42</v>
      </c>
      <c r="AX9" t="s">
        <v>12948</v>
      </c>
      <c r="AY9" t="s">
        <v>12252</v>
      </c>
      <c r="AZ9" t="s">
        <v>45</v>
      </c>
      <c r="BB9" t="s">
        <v>46</v>
      </c>
      <c r="BC9" t="s">
        <v>12947</v>
      </c>
    </row>
    <row r="10" spans="1:119" x14ac:dyDescent="0.3">
      <c r="A10">
        <v>16</v>
      </c>
      <c r="B10" t="s">
        <v>12913</v>
      </c>
      <c r="C10" t="s">
        <v>12912</v>
      </c>
      <c r="D10" t="s">
        <v>266</v>
      </c>
      <c r="E10">
        <v>2023</v>
      </c>
      <c r="F10" t="s">
        <v>267</v>
      </c>
      <c r="G10">
        <v>13</v>
      </c>
      <c r="H10">
        <v>8</v>
      </c>
      <c r="J10">
        <v>67</v>
      </c>
      <c r="K10">
        <v>83</v>
      </c>
      <c r="N10" t="s">
        <v>268</v>
      </c>
      <c r="O10" t="s">
        <v>269</v>
      </c>
      <c r="P10" t="s">
        <v>270</v>
      </c>
      <c r="Q10" t="s">
        <v>12911</v>
      </c>
      <c r="R10" t="s">
        <v>271</v>
      </c>
      <c r="S10" t="s">
        <v>272</v>
      </c>
      <c r="Y10" t="s">
        <v>12910</v>
      </c>
      <c r="Z10" t="s">
        <v>12909</v>
      </c>
      <c r="AJ10" t="s">
        <v>12908</v>
      </c>
      <c r="AK10" t="s">
        <v>12907</v>
      </c>
      <c r="AN10" t="s">
        <v>273</v>
      </c>
      <c r="AS10">
        <v>21924880</v>
      </c>
      <c r="AW10" t="s">
        <v>42</v>
      </c>
      <c r="AX10" t="s">
        <v>274</v>
      </c>
      <c r="AY10" t="s">
        <v>56</v>
      </c>
      <c r="AZ10" t="s">
        <v>45</v>
      </c>
      <c r="BA10" t="s">
        <v>12214</v>
      </c>
      <c r="BB10" t="s">
        <v>46</v>
      </c>
      <c r="BC10" t="s">
        <v>275</v>
      </c>
    </row>
    <row r="11" spans="1:119" x14ac:dyDescent="0.3">
      <c r="A11">
        <v>18</v>
      </c>
      <c r="B11" t="s">
        <v>12232</v>
      </c>
      <c r="C11" t="s">
        <v>12231</v>
      </c>
      <c r="D11" t="s">
        <v>1427</v>
      </c>
      <c r="E11">
        <v>2018</v>
      </c>
      <c r="F11" t="s">
        <v>1428</v>
      </c>
      <c r="G11">
        <v>73</v>
      </c>
      <c r="H11">
        <v>4</v>
      </c>
      <c r="J11">
        <v>526</v>
      </c>
      <c r="K11">
        <v>531</v>
      </c>
      <c r="M11">
        <v>12</v>
      </c>
      <c r="N11" t="s">
        <v>1429</v>
      </c>
      <c r="O11" t="s">
        <v>1430</v>
      </c>
      <c r="P11" t="s">
        <v>12230</v>
      </c>
      <c r="Q11" t="s">
        <v>12229</v>
      </c>
      <c r="R11" t="s">
        <v>1431</v>
      </c>
      <c r="S11" t="s">
        <v>1432</v>
      </c>
      <c r="T11" t="s">
        <v>12228</v>
      </c>
      <c r="V11" t="s">
        <v>12227</v>
      </c>
      <c r="AJ11" t="s">
        <v>12226</v>
      </c>
      <c r="AK11" t="s">
        <v>12225</v>
      </c>
      <c r="AN11" t="s">
        <v>211</v>
      </c>
      <c r="AS11">
        <v>10795006</v>
      </c>
      <c r="AU11" t="s">
        <v>1433</v>
      </c>
      <c r="AV11">
        <v>28958061</v>
      </c>
      <c r="AW11" t="s">
        <v>42</v>
      </c>
      <c r="AX11" t="s">
        <v>1434</v>
      </c>
      <c r="AY11" t="s">
        <v>56</v>
      </c>
      <c r="AZ11" t="s">
        <v>45</v>
      </c>
      <c r="BA11" t="s">
        <v>12224</v>
      </c>
      <c r="BB11" t="s">
        <v>46</v>
      </c>
      <c r="BC11" t="s">
        <v>1435</v>
      </c>
    </row>
    <row r="12" spans="1:119" x14ac:dyDescent="0.3">
      <c r="A12">
        <v>19</v>
      </c>
      <c r="B12" t="s">
        <v>13627</v>
      </c>
      <c r="C12" t="s">
        <v>13626</v>
      </c>
      <c r="D12" t="s">
        <v>104</v>
      </c>
      <c r="E12">
        <v>2023</v>
      </c>
      <c r="F12" t="s">
        <v>105</v>
      </c>
      <c r="G12">
        <v>20</v>
      </c>
      <c r="H12">
        <v>1</v>
      </c>
      <c r="I12">
        <v>59</v>
      </c>
      <c r="M12">
        <v>3</v>
      </c>
      <c r="N12" t="s">
        <v>106</v>
      </c>
      <c r="O12" t="s">
        <v>107</v>
      </c>
      <c r="P12" t="s">
        <v>13625</v>
      </c>
      <c r="Q12" t="s">
        <v>13624</v>
      </c>
      <c r="R12" t="s">
        <v>108</v>
      </c>
      <c r="S12" t="s">
        <v>109</v>
      </c>
      <c r="AJ12" t="s">
        <v>13623</v>
      </c>
      <c r="AK12" t="s">
        <v>13622</v>
      </c>
      <c r="AN12" t="s">
        <v>92</v>
      </c>
      <c r="AS12">
        <v>23659440</v>
      </c>
      <c r="AW12" t="s">
        <v>42</v>
      </c>
      <c r="AX12" t="s">
        <v>110</v>
      </c>
      <c r="AY12" t="s">
        <v>56</v>
      </c>
      <c r="AZ12" t="s">
        <v>45</v>
      </c>
      <c r="BA12" t="s">
        <v>12251</v>
      </c>
      <c r="BB12" t="s">
        <v>46</v>
      </c>
      <c r="BC12" t="s">
        <v>111</v>
      </c>
    </row>
    <row r="13" spans="1:119" x14ac:dyDescent="0.3">
      <c r="A13">
        <v>20</v>
      </c>
      <c r="B13" t="s">
        <v>13432</v>
      </c>
      <c r="C13" t="s">
        <v>13431</v>
      </c>
      <c r="D13" t="s">
        <v>69</v>
      </c>
      <c r="E13">
        <v>2023</v>
      </c>
      <c r="F13" t="s">
        <v>70</v>
      </c>
      <c r="G13">
        <v>54</v>
      </c>
      <c r="H13">
        <v>5</v>
      </c>
      <c r="J13">
        <v>1222</v>
      </c>
      <c r="K13">
        <v>1245</v>
      </c>
      <c r="M13">
        <v>19</v>
      </c>
      <c r="N13" t="s">
        <v>71</v>
      </c>
      <c r="O13" t="s">
        <v>72</v>
      </c>
      <c r="P13" t="s">
        <v>73</v>
      </c>
      <c r="Q13" t="s">
        <v>13430</v>
      </c>
      <c r="R13" t="s">
        <v>74</v>
      </c>
      <c r="S13" t="s">
        <v>75</v>
      </c>
      <c r="T13" t="s">
        <v>76</v>
      </c>
      <c r="Y13" t="s">
        <v>13429</v>
      </c>
      <c r="Z13" t="s">
        <v>13428</v>
      </c>
      <c r="AJ13" t="s">
        <v>13427</v>
      </c>
    </row>
    <row r="14" spans="1:119" x14ac:dyDescent="0.3">
      <c r="A14">
        <v>21</v>
      </c>
      <c r="B14" t="s">
        <v>183</v>
      </c>
      <c r="C14" t="s">
        <v>12880</v>
      </c>
      <c r="D14" t="s">
        <v>184</v>
      </c>
      <c r="E14">
        <v>2023</v>
      </c>
      <c r="F14" t="s">
        <v>185</v>
      </c>
      <c r="N14" t="s">
        <v>186</v>
      </c>
      <c r="O14" t="s">
        <v>187</v>
      </c>
      <c r="P14" t="s">
        <v>188</v>
      </c>
      <c r="Q14" t="s">
        <v>12879</v>
      </c>
      <c r="R14" t="s">
        <v>189</v>
      </c>
      <c r="S14" t="s">
        <v>190</v>
      </c>
      <c r="AP14" t="s">
        <v>12878</v>
      </c>
      <c r="AQ14" t="s">
        <v>12877</v>
      </c>
      <c r="AS14" t="s">
        <v>12876</v>
      </c>
      <c r="AT14" t="s">
        <v>88</v>
      </c>
      <c r="AU14" t="s">
        <v>12875</v>
      </c>
      <c r="AV14" t="s">
        <v>12874</v>
      </c>
      <c r="AX14">
        <v>196211</v>
      </c>
      <c r="AY14">
        <v>15394565</v>
      </c>
      <c r="AZ14">
        <v>9798350336429</v>
      </c>
      <c r="BA14" t="s">
        <v>191</v>
      </c>
      <c r="BC14" t="s">
        <v>42</v>
      </c>
      <c r="BD14" t="s">
        <v>192</v>
      </c>
      <c r="BE14" t="s">
        <v>12252</v>
      </c>
      <c r="BF14" t="s">
        <v>45</v>
      </c>
      <c r="BH14" t="s">
        <v>46</v>
      </c>
      <c r="BI14" t="s">
        <v>193</v>
      </c>
    </row>
    <row r="15" spans="1:119" x14ac:dyDescent="0.3">
      <c r="A15">
        <v>22</v>
      </c>
      <c r="B15" t="s">
        <v>12535</v>
      </c>
      <c r="C15" t="s">
        <v>12534</v>
      </c>
      <c r="D15" t="s">
        <v>1048</v>
      </c>
      <c r="E15">
        <v>2023</v>
      </c>
      <c r="F15" t="s">
        <v>252</v>
      </c>
      <c r="G15">
        <v>5</v>
      </c>
      <c r="I15">
        <v>100172</v>
      </c>
      <c r="M15">
        <v>4</v>
      </c>
      <c r="N15" t="s">
        <v>1049</v>
      </c>
      <c r="O15" t="s">
        <v>1050</v>
      </c>
      <c r="P15" t="s">
        <v>1051</v>
      </c>
      <c r="Q15" t="s">
        <v>12533</v>
      </c>
      <c r="R15" t="s">
        <v>1052</v>
      </c>
      <c r="S15" t="s">
        <v>1053</v>
      </c>
      <c r="T15" t="s">
        <v>1054</v>
      </c>
      <c r="AP15" t="s">
        <v>12532</v>
      </c>
      <c r="AQ15" t="s">
        <v>12531</v>
      </c>
      <c r="AT15" t="s">
        <v>253</v>
      </c>
      <c r="AY15" t="s">
        <v>254</v>
      </c>
      <c r="BC15" t="s">
        <v>42</v>
      </c>
      <c r="BD15" t="s">
        <v>255</v>
      </c>
      <c r="BE15" t="s">
        <v>56</v>
      </c>
      <c r="BF15" t="s">
        <v>45</v>
      </c>
      <c r="BG15" t="s">
        <v>12251</v>
      </c>
      <c r="BH15" t="s">
        <v>46</v>
      </c>
      <c r="BI15" t="s">
        <v>1055</v>
      </c>
      <c r="CW15" s="6"/>
      <c r="CX15" s="6"/>
      <c r="CY15" s="6"/>
      <c r="CZ15" s="6"/>
      <c r="DA15" s="6"/>
      <c r="DB15" s="6"/>
      <c r="DC15" s="6"/>
      <c r="DD15" s="6"/>
      <c r="DE15" s="6"/>
      <c r="DF15" s="6"/>
      <c r="DG15" s="6"/>
      <c r="DH15" s="6"/>
      <c r="DI15" s="6"/>
      <c r="DJ15" s="6"/>
      <c r="DK15" s="6"/>
      <c r="DL15" s="6"/>
      <c r="DM15" s="6"/>
      <c r="DN15" s="6"/>
      <c r="DO15" s="6"/>
    </row>
    <row r="16" spans="1:119" x14ac:dyDescent="0.3">
      <c r="A16">
        <v>23</v>
      </c>
      <c r="B16" t="s">
        <v>13255</v>
      </c>
      <c r="C16" t="s">
        <v>13254</v>
      </c>
      <c r="D16" t="s">
        <v>723</v>
      </c>
      <c r="E16">
        <v>2023</v>
      </c>
      <c r="F16" t="s">
        <v>366</v>
      </c>
      <c r="G16">
        <v>307</v>
      </c>
      <c r="H16">
        <v>5</v>
      </c>
      <c r="I16" t="s">
        <v>724</v>
      </c>
      <c r="M16">
        <v>80</v>
      </c>
      <c r="N16" t="s">
        <v>725</v>
      </c>
      <c r="O16" t="s">
        <v>726</v>
      </c>
      <c r="P16" t="s">
        <v>13253</v>
      </c>
      <c r="Q16" t="s">
        <v>13252</v>
      </c>
      <c r="R16" t="s">
        <v>727</v>
      </c>
      <c r="T16" t="s">
        <v>13251</v>
      </c>
      <c r="AJ16" t="s">
        <v>13250</v>
      </c>
      <c r="AK16" t="s">
        <v>13249</v>
      </c>
      <c r="AN16" t="s">
        <v>372</v>
      </c>
      <c r="AS16">
        <v>338419</v>
      </c>
      <c r="AU16" t="s">
        <v>373</v>
      </c>
      <c r="AV16">
        <v>37191485</v>
      </c>
      <c r="AW16" t="s">
        <v>42</v>
      </c>
      <c r="AX16" t="s">
        <v>366</v>
      </c>
      <c r="AY16" t="s">
        <v>56</v>
      </c>
      <c r="AZ16" t="s">
        <v>45</v>
      </c>
      <c r="BB16" t="s">
        <v>46</v>
      </c>
      <c r="BC16" t="s">
        <v>728</v>
      </c>
    </row>
    <row r="17" spans="1:119" x14ac:dyDescent="0.3">
      <c r="A17">
        <v>24</v>
      </c>
      <c r="B17" t="s">
        <v>12274</v>
      </c>
      <c r="C17" t="s">
        <v>12273</v>
      </c>
      <c r="D17" t="s">
        <v>954</v>
      </c>
      <c r="E17">
        <v>2019</v>
      </c>
      <c r="F17" t="s">
        <v>955</v>
      </c>
      <c r="G17">
        <v>48</v>
      </c>
      <c r="H17">
        <v>6</v>
      </c>
      <c r="J17">
        <v>696</v>
      </c>
      <c r="K17">
        <v>699</v>
      </c>
      <c r="M17">
        <v>2</v>
      </c>
      <c r="N17" t="s">
        <v>956</v>
      </c>
      <c r="O17" t="s">
        <v>957</v>
      </c>
      <c r="P17" t="s">
        <v>958</v>
      </c>
      <c r="Q17" t="s">
        <v>12272</v>
      </c>
      <c r="R17" t="s">
        <v>959</v>
      </c>
      <c r="T17" t="s">
        <v>960</v>
      </c>
      <c r="Y17" t="s">
        <v>12271</v>
      </c>
      <c r="Z17" t="s">
        <v>12270</v>
      </c>
      <c r="AJ17" t="s">
        <v>12269</v>
      </c>
      <c r="AK17" t="s">
        <v>12268</v>
      </c>
      <c r="AN17" t="s">
        <v>961</v>
      </c>
      <c r="AS17">
        <v>498246</v>
      </c>
      <c r="AU17" t="s">
        <v>962</v>
      </c>
      <c r="AW17" t="s">
        <v>42</v>
      </c>
      <c r="AX17" t="s">
        <v>963</v>
      </c>
      <c r="AY17" t="s">
        <v>56</v>
      </c>
      <c r="AZ17" t="s">
        <v>45</v>
      </c>
      <c r="BB17" t="s">
        <v>46</v>
      </c>
      <c r="BC17" t="s">
        <v>964</v>
      </c>
    </row>
    <row r="18" spans="1:119" x14ac:dyDescent="0.3">
      <c r="A18">
        <v>25</v>
      </c>
      <c r="B18" t="s">
        <v>12794</v>
      </c>
      <c r="C18" t="s">
        <v>12793</v>
      </c>
      <c r="D18" t="s">
        <v>639</v>
      </c>
      <c r="E18">
        <v>2023</v>
      </c>
      <c r="F18" t="s">
        <v>383</v>
      </c>
      <c r="G18">
        <v>3598</v>
      </c>
      <c r="J18">
        <v>90</v>
      </c>
      <c r="K18">
        <v>102</v>
      </c>
      <c r="O18" t="s">
        <v>640</v>
      </c>
      <c r="P18" t="s">
        <v>641</v>
      </c>
      <c r="Q18" t="s">
        <v>12792</v>
      </c>
      <c r="R18" t="s">
        <v>642</v>
      </c>
      <c r="S18" t="s">
        <v>643</v>
      </c>
      <c r="T18" t="s">
        <v>644</v>
      </c>
      <c r="Z18" t="s">
        <v>12791</v>
      </c>
      <c r="AP18" t="s">
        <v>12790</v>
      </c>
      <c r="AR18" t="s">
        <v>12789</v>
      </c>
      <c r="AT18" t="s">
        <v>389</v>
      </c>
      <c r="AU18" t="s">
        <v>12788</v>
      </c>
      <c r="AV18" t="s">
        <v>12787</v>
      </c>
      <c r="AX18">
        <v>195720</v>
      </c>
      <c r="AY18">
        <v>16130073</v>
      </c>
      <c r="BC18" t="s">
        <v>42</v>
      </c>
      <c r="BD18" t="s">
        <v>390</v>
      </c>
      <c r="BE18" t="s">
        <v>12252</v>
      </c>
      <c r="BF18" t="s">
        <v>45</v>
      </c>
      <c r="BH18" t="s">
        <v>46</v>
      </c>
      <c r="BI18" t="s">
        <v>645</v>
      </c>
    </row>
    <row r="19" spans="1:119" x14ac:dyDescent="0.3">
      <c r="A19">
        <v>26</v>
      </c>
      <c r="B19" t="s">
        <v>13054</v>
      </c>
      <c r="C19" t="s">
        <v>13053</v>
      </c>
      <c r="D19" t="s">
        <v>13052</v>
      </c>
      <c r="E19">
        <v>2023</v>
      </c>
      <c r="F19" t="s">
        <v>13051</v>
      </c>
      <c r="G19">
        <v>15</v>
      </c>
      <c r="H19">
        <v>4</v>
      </c>
      <c r="J19">
        <v>261</v>
      </c>
      <c r="K19">
        <v>270</v>
      </c>
      <c r="M19">
        <v>2</v>
      </c>
      <c r="N19" t="s">
        <v>13050</v>
      </c>
      <c r="O19" t="s">
        <v>13049</v>
      </c>
      <c r="P19" t="s">
        <v>13048</v>
      </c>
      <c r="Q19" t="s">
        <v>13047</v>
      </c>
      <c r="R19" t="s">
        <v>13046</v>
      </c>
      <c r="S19" t="s">
        <v>13045</v>
      </c>
      <c r="Y19" t="s">
        <v>13044</v>
      </c>
      <c r="Z19" t="s">
        <v>13043</v>
      </c>
      <c r="AJ19" t="s">
        <v>13042</v>
      </c>
      <c r="AK19" t="s">
        <v>13041</v>
      </c>
      <c r="AN19" t="s">
        <v>13040</v>
      </c>
      <c r="AS19">
        <v>13699997</v>
      </c>
      <c r="AW19" t="s">
        <v>42</v>
      </c>
      <c r="AX19" t="s">
        <v>13039</v>
      </c>
      <c r="AY19" t="s">
        <v>56</v>
      </c>
      <c r="AZ19" t="s">
        <v>45</v>
      </c>
      <c r="BA19" t="s">
        <v>12251</v>
      </c>
      <c r="BB19" t="s">
        <v>46</v>
      </c>
      <c r="BC19" t="s">
        <v>13038</v>
      </c>
    </row>
    <row r="20" spans="1:119" x14ac:dyDescent="0.3">
      <c r="A20">
        <v>27</v>
      </c>
      <c r="B20" t="s">
        <v>12250</v>
      </c>
      <c r="C20" t="s">
        <v>12249</v>
      </c>
      <c r="D20" t="s">
        <v>868</v>
      </c>
      <c r="E20">
        <v>2019</v>
      </c>
      <c r="F20" t="s">
        <v>831</v>
      </c>
      <c r="G20">
        <v>53</v>
      </c>
      <c r="H20">
        <v>1</v>
      </c>
      <c r="J20">
        <v>70</v>
      </c>
      <c r="K20">
        <v>89</v>
      </c>
      <c r="M20">
        <v>1</v>
      </c>
      <c r="N20" t="s">
        <v>869</v>
      </c>
      <c r="O20" t="s">
        <v>870</v>
      </c>
      <c r="P20" t="s">
        <v>871</v>
      </c>
      <c r="Q20" t="s">
        <v>12248</v>
      </c>
      <c r="R20" t="s">
        <v>872</v>
      </c>
      <c r="S20" t="s">
        <v>873</v>
      </c>
      <c r="AJ20" t="s">
        <v>12247</v>
      </c>
      <c r="AK20" t="s">
        <v>12246</v>
      </c>
      <c r="AN20" t="s">
        <v>251</v>
      </c>
      <c r="AS20">
        <v>3069400</v>
      </c>
      <c r="AW20" t="s">
        <v>42</v>
      </c>
      <c r="AX20" t="s">
        <v>837</v>
      </c>
      <c r="AY20" t="s">
        <v>56</v>
      </c>
      <c r="AZ20" t="s">
        <v>45</v>
      </c>
      <c r="BA20" t="s">
        <v>12245</v>
      </c>
      <c r="BB20" t="s">
        <v>46</v>
      </c>
      <c r="BC20" t="s">
        <v>874</v>
      </c>
    </row>
    <row r="21" spans="1:119" x14ac:dyDescent="0.3">
      <c r="A21">
        <v>28</v>
      </c>
      <c r="B21" t="s">
        <v>404</v>
      </c>
      <c r="C21" t="s">
        <v>12314</v>
      </c>
      <c r="D21" t="s">
        <v>405</v>
      </c>
      <c r="E21">
        <v>2023</v>
      </c>
      <c r="F21" t="s">
        <v>406</v>
      </c>
      <c r="G21">
        <v>8</v>
      </c>
      <c r="H21">
        <v>1</v>
      </c>
      <c r="I21">
        <v>20</v>
      </c>
      <c r="M21">
        <v>2</v>
      </c>
      <c r="N21" t="s">
        <v>407</v>
      </c>
      <c r="O21" t="s">
        <v>408</v>
      </c>
      <c r="P21" t="s">
        <v>409</v>
      </c>
      <c r="Q21" t="s">
        <v>13609</v>
      </c>
      <c r="R21" t="s">
        <v>410</v>
      </c>
      <c r="S21" t="s">
        <v>411</v>
      </c>
      <c r="AJ21" t="s">
        <v>13608</v>
      </c>
      <c r="AK21" t="s">
        <v>13607</v>
      </c>
      <c r="AN21" t="s">
        <v>412</v>
      </c>
      <c r="AS21">
        <v>23635169</v>
      </c>
      <c r="AW21" t="s">
        <v>42</v>
      </c>
      <c r="AX21" t="s">
        <v>413</v>
      </c>
      <c r="AY21" t="s">
        <v>56</v>
      </c>
      <c r="AZ21" t="s">
        <v>45</v>
      </c>
      <c r="BA21" t="s">
        <v>12251</v>
      </c>
      <c r="BB21" t="s">
        <v>46</v>
      </c>
      <c r="BC21" t="s">
        <v>414</v>
      </c>
    </row>
    <row r="22" spans="1:119" x14ac:dyDescent="0.3">
      <c r="A22">
        <v>29</v>
      </c>
      <c r="B22" t="s">
        <v>404</v>
      </c>
      <c r="C22" t="s">
        <v>12314</v>
      </c>
      <c r="D22" t="s">
        <v>1015</v>
      </c>
      <c r="E22">
        <v>2021</v>
      </c>
      <c r="F22" t="s">
        <v>1016</v>
      </c>
      <c r="G22">
        <v>103</v>
      </c>
      <c r="I22">
        <v>102645</v>
      </c>
      <c r="M22">
        <v>15</v>
      </c>
      <c r="N22" t="s">
        <v>1017</v>
      </c>
      <c r="O22" t="s">
        <v>1018</v>
      </c>
      <c r="P22" t="s">
        <v>1019</v>
      </c>
      <c r="Q22" t="s">
        <v>12313</v>
      </c>
      <c r="R22" t="s">
        <v>1020</v>
      </c>
      <c r="S22" t="s">
        <v>1021</v>
      </c>
      <c r="Z22" t="s">
        <v>12312</v>
      </c>
      <c r="AJ22" t="s">
        <v>12311</v>
      </c>
      <c r="AN22" t="s">
        <v>1022</v>
      </c>
      <c r="AS22" t="s">
        <v>1023</v>
      </c>
      <c r="AW22" t="s">
        <v>42</v>
      </c>
      <c r="AX22" t="s">
        <v>1016</v>
      </c>
      <c r="AY22" t="s">
        <v>56</v>
      </c>
      <c r="AZ22" t="s">
        <v>45</v>
      </c>
      <c r="BA22" t="s">
        <v>12310</v>
      </c>
      <c r="BB22" t="s">
        <v>46</v>
      </c>
      <c r="BC22" t="s">
        <v>1024</v>
      </c>
    </row>
    <row r="23" spans="1:119" x14ac:dyDescent="0.3">
      <c r="A23">
        <v>30</v>
      </c>
      <c r="B23" t="s">
        <v>13288</v>
      </c>
      <c r="C23" t="s">
        <v>13287</v>
      </c>
      <c r="D23" t="s">
        <v>467</v>
      </c>
      <c r="E23">
        <v>2023</v>
      </c>
      <c r="F23" t="s">
        <v>305</v>
      </c>
      <c r="G23">
        <v>6</v>
      </c>
      <c r="H23">
        <v>2</v>
      </c>
      <c r="J23">
        <v>346</v>
      </c>
      <c r="K23">
        <v>357</v>
      </c>
      <c r="M23">
        <v>5</v>
      </c>
      <c r="N23" t="s">
        <v>468</v>
      </c>
      <c r="O23" t="s">
        <v>469</v>
      </c>
      <c r="P23" t="s">
        <v>470</v>
      </c>
      <c r="Q23" t="s">
        <v>13286</v>
      </c>
      <c r="R23" t="s">
        <v>471</v>
      </c>
      <c r="S23" t="s">
        <v>472</v>
      </c>
      <c r="AJ23" t="s">
        <v>13285</v>
      </c>
      <c r="AN23" t="s">
        <v>311</v>
      </c>
      <c r="AS23" t="s">
        <v>312</v>
      </c>
      <c r="AW23" t="s">
        <v>42</v>
      </c>
      <c r="AX23" t="s">
        <v>313</v>
      </c>
      <c r="AY23" t="s">
        <v>56</v>
      </c>
      <c r="AZ23" t="s">
        <v>45</v>
      </c>
      <c r="BA23" t="s">
        <v>12349</v>
      </c>
      <c r="BB23" t="s">
        <v>46</v>
      </c>
      <c r="BC23" t="s">
        <v>473</v>
      </c>
    </row>
    <row r="24" spans="1:119" x14ac:dyDescent="0.3">
      <c r="A24">
        <v>31</v>
      </c>
      <c r="B24" t="s">
        <v>13233</v>
      </c>
      <c r="C24" t="s">
        <v>13232</v>
      </c>
      <c r="D24" t="s">
        <v>693</v>
      </c>
      <c r="E24">
        <v>2023</v>
      </c>
      <c r="F24" t="s">
        <v>694</v>
      </c>
      <c r="G24">
        <v>142</v>
      </c>
      <c r="I24">
        <v>104370</v>
      </c>
      <c r="M24">
        <v>4</v>
      </c>
      <c r="N24" t="s">
        <v>695</v>
      </c>
      <c r="O24" t="s">
        <v>696</v>
      </c>
      <c r="P24" t="s">
        <v>697</v>
      </c>
      <c r="Q24" t="s">
        <v>13231</v>
      </c>
      <c r="R24" t="s">
        <v>698</v>
      </c>
      <c r="S24" t="s">
        <v>699</v>
      </c>
      <c r="T24" t="s">
        <v>13230</v>
      </c>
      <c r="Y24" t="s">
        <v>13229</v>
      </c>
      <c r="Z24" t="s">
        <v>13228</v>
      </c>
      <c r="AA24" t="s">
        <v>13227</v>
      </c>
      <c r="AJ24" t="s">
        <v>13226</v>
      </c>
      <c r="AK24" t="s">
        <v>13225</v>
      </c>
      <c r="AN24" t="s">
        <v>700</v>
      </c>
      <c r="AS24">
        <v>15320464</v>
      </c>
      <c r="AU24" t="s">
        <v>701</v>
      </c>
      <c r="AV24">
        <v>37100106</v>
      </c>
      <c r="AW24" t="s">
        <v>42</v>
      </c>
      <c r="AX24" t="s">
        <v>702</v>
      </c>
      <c r="AY24" t="s">
        <v>56</v>
      </c>
      <c r="AZ24" t="s">
        <v>45</v>
      </c>
      <c r="BA24" t="s">
        <v>12245</v>
      </c>
      <c r="BB24" t="s">
        <v>46</v>
      </c>
      <c r="BC24" t="s">
        <v>703</v>
      </c>
    </row>
    <row r="25" spans="1:119" x14ac:dyDescent="0.3">
      <c r="A25">
        <v>32</v>
      </c>
      <c r="B25" t="s">
        <v>13438</v>
      </c>
      <c r="C25" t="s">
        <v>13437</v>
      </c>
      <c r="D25" t="s">
        <v>646</v>
      </c>
      <c r="E25">
        <v>2023</v>
      </c>
      <c r="F25" t="s">
        <v>647</v>
      </c>
      <c r="G25">
        <v>120</v>
      </c>
      <c r="H25">
        <v>3</v>
      </c>
      <c r="J25">
        <v>575</v>
      </c>
      <c r="K25">
        <v>583</v>
      </c>
      <c r="M25">
        <v>15</v>
      </c>
      <c r="N25" t="s">
        <v>648</v>
      </c>
      <c r="O25" t="s">
        <v>649</v>
      </c>
      <c r="P25" t="s">
        <v>650</v>
      </c>
      <c r="Q25" t="s">
        <v>13436</v>
      </c>
      <c r="R25" t="s">
        <v>651</v>
      </c>
      <c r="S25" t="s">
        <v>652</v>
      </c>
      <c r="T25" t="s">
        <v>13435</v>
      </c>
      <c r="AJ25" t="s">
        <v>13434</v>
      </c>
      <c r="AK25" t="s">
        <v>13433</v>
      </c>
      <c r="AN25" t="s">
        <v>229</v>
      </c>
      <c r="AS25">
        <v>150282</v>
      </c>
      <c r="AU25" t="s">
        <v>653</v>
      </c>
      <c r="AV25">
        <v>37217092</v>
      </c>
      <c r="AW25" t="s">
        <v>42</v>
      </c>
      <c r="AX25" t="s">
        <v>654</v>
      </c>
      <c r="AY25" t="s">
        <v>56</v>
      </c>
      <c r="AZ25" t="s">
        <v>45</v>
      </c>
      <c r="BA25" t="s">
        <v>12275</v>
      </c>
      <c r="BB25" t="s">
        <v>46</v>
      </c>
      <c r="BC25" t="s">
        <v>655</v>
      </c>
    </row>
    <row r="26" spans="1:119" x14ac:dyDescent="0.3">
      <c r="A26">
        <v>33</v>
      </c>
      <c r="B26" t="s">
        <v>13344</v>
      </c>
      <c r="C26" t="s">
        <v>13343</v>
      </c>
      <c r="D26" t="s">
        <v>581</v>
      </c>
      <c r="E26">
        <v>2023</v>
      </c>
      <c r="F26" t="s">
        <v>486</v>
      </c>
      <c r="G26">
        <v>18</v>
      </c>
      <c r="H26" t="s">
        <v>582</v>
      </c>
      <c r="I26" t="s">
        <v>583</v>
      </c>
      <c r="M26">
        <v>9</v>
      </c>
      <c r="N26" t="s">
        <v>584</v>
      </c>
      <c r="O26" t="s">
        <v>585</v>
      </c>
      <c r="P26" t="s">
        <v>586</v>
      </c>
      <c r="Q26" t="s">
        <v>13342</v>
      </c>
      <c r="R26" t="s">
        <v>587</v>
      </c>
      <c r="T26" t="s">
        <v>13341</v>
      </c>
      <c r="AJ26" t="s">
        <v>13340</v>
      </c>
      <c r="AK26" t="s">
        <v>13339</v>
      </c>
      <c r="AN26" t="s">
        <v>493</v>
      </c>
      <c r="AS26">
        <v>19326203</v>
      </c>
      <c r="AU26" t="s">
        <v>494</v>
      </c>
      <c r="AV26">
        <v>37643186</v>
      </c>
      <c r="AW26" t="s">
        <v>42</v>
      </c>
      <c r="AX26" t="s">
        <v>486</v>
      </c>
      <c r="AY26" t="s">
        <v>56</v>
      </c>
      <c r="AZ26" t="s">
        <v>45</v>
      </c>
      <c r="BA26" t="s">
        <v>12214</v>
      </c>
      <c r="BB26" t="s">
        <v>46</v>
      </c>
      <c r="BC26" t="s">
        <v>588</v>
      </c>
    </row>
    <row r="27" spans="1:119" x14ac:dyDescent="0.3">
      <c r="A27">
        <v>34</v>
      </c>
      <c r="B27" t="s">
        <v>12244</v>
      </c>
      <c r="C27" t="s">
        <v>12243</v>
      </c>
      <c r="D27" t="s">
        <v>839</v>
      </c>
      <c r="E27">
        <v>2019</v>
      </c>
      <c r="F27" t="s">
        <v>840</v>
      </c>
      <c r="G27">
        <v>10</v>
      </c>
      <c r="H27" t="s">
        <v>841</v>
      </c>
      <c r="J27">
        <v>10</v>
      </c>
      <c r="K27">
        <v>30</v>
      </c>
      <c r="M27">
        <v>5</v>
      </c>
      <c r="O27" t="s">
        <v>842</v>
      </c>
      <c r="P27" t="s">
        <v>843</v>
      </c>
      <c r="Q27" t="s">
        <v>12242</v>
      </c>
      <c r="R27" t="s">
        <v>844</v>
      </c>
      <c r="S27" t="s">
        <v>845</v>
      </c>
      <c r="AJ27" t="s">
        <v>12241</v>
      </c>
      <c r="AK27" t="s">
        <v>12240</v>
      </c>
      <c r="AN27" t="s">
        <v>846</v>
      </c>
      <c r="AS27">
        <v>23453303</v>
      </c>
      <c r="AW27" t="s">
        <v>42</v>
      </c>
      <c r="AX27" t="s">
        <v>847</v>
      </c>
      <c r="AY27" t="s">
        <v>56</v>
      </c>
      <c r="AZ27" t="s">
        <v>45</v>
      </c>
      <c r="BB27" t="s">
        <v>46</v>
      </c>
      <c r="BC27" t="s">
        <v>848</v>
      </c>
    </row>
    <row r="28" spans="1:119" x14ac:dyDescent="0.3">
      <c r="A28">
        <v>35</v>
      </c>
      <c r="B28" t="s">
        <v>12946</v>
      </c>
      <c r="C28" t="s">
        <v>12945</v>
      </c>
      <c r="D28" t="s">
        <v>195</v>
      </c>
      <c r="E28">
        <v>2023</v>
      </c>
      <c r="F28" t="s">
        <v>196</v>
      </c>
      <c r="J28">
        <v>1403</v>
      </c>
      <c r="K28">
        <v>1409</v>
      </c>
      <c r="N28" t="s">
        <v>197</v>
      </c>
      <c r="O28" t="s">
        <v>198</v>
      </c>
      <c r="P28" t="s">
        <v>199</v>
      </c>
      <c r="Q28" t="s">
        <v>12944</v>
      </c>
      <c r="R28" t="s">
        <v>12943</v>
      </c>
      <c r="S28" t="s">
        <v>201</v>
      </c>
      <c r="Z28" t="s">
        <v>12942</v>
      </c>
      <c r="AJ28" t="s">
        <v>12941</v>
      </c>
      <c r="AK28" t="s">
        <v>12940</v>
      </c>
      <c r="AL28" t="s">
        <v>12939</v>
      </c>
      <c r="AM28" t="s">
        <v>12938</v>
      </c>
      <c r="AN28" t="s">
        <v>88</v>
      </c>
      <c r="AO28" t="s">
        <v>12937</v>
      </c>
      <c r="AP28" t="s">
        <v>12936</v>
      </c>
      <c r="AR28">
        <v>196820</v>
      </c>
      <c r="AT28">
        <v>9798350324457</v>
      </c>
      <c r="AW28" t="s">
        <v>42</v>
      </c>
      <c r="AX28" t="s">
        <v>202</v>
      </c>
      <c r="AY28" t="s">
        <v>12252</v>
      </c>
      <c r="AZ28" t="s">
        <v>45</v>
      </c>
      <c r="BB28" t="s">
        <v>46</v>
      </c>
      <c r="BC28" t="s">
        <v>203</v>
      </c>
    </row>
    <row r="29" spans="1:119" s="6" customFormat="1" x14ac:dyDescent="0.3">
      <c r="A29">
        <v>36</v>
      </c>
      <c r="B29" t="s">
        <v>13494</v>
      </c>
      <c r="C29" t="s">
        <v>13493</v>
      </c>
      <c r="D29" t="s">
        <v>714</v>
      </c>
      <c r="E29">
        <v>2023</v>
      </c>
      <c r="F29" t="s">
        <v>715</v>
      </c>
      <c r="G29">
        <v>17</v>
      </c>
      <c r="H29">
        <v>2</v>
      </c>
      <c r="I29"/>
      <c r="J29">
        <v>147</v>
      </c>
      <c r="K29">
        <v>167</v>
      </c>
      <c r="L29"/>
      <c r="M29"/>
      <c r="N29" t="s">
        <v>716</v>
      </c>
      <c r="O29" t="s">
        <v>717</v>
      </c>
      <c r="P29"/>
      <c r="Q29" t="s">
        <v>13492</v>
      </c>
      <c r="R29" t="s">
        <v>718</v>
      </c>
      <c r="S29" t="s">
        <v>719</v>
      </c>
      <c r="T29"/>
      <c r="U29"/>
      <c r="V29"/>
      <c r="W29"/>
      <c r="X29"/>
      <c r="Y29"/>
      <c r="Z29"/>
      <c r="AA29"/>
      <c r="AB29"/>
      <c r="AC29"/>
      <c r="AD29"/>
      <c r="AE29"/>
      <c r="AF29"/>
      <c r="AG29"/>
      <c r="AH29"/>
      <c r="AI29"/>
      <c r="AJ29" t="s">
        <v>13491</v>
      </c>
      <c r="AK29"/>
      <c r="AL29"/>
      <c r="AM29"/>
      <c r="AN29" t="s">
        <v>720</v>
      </c>
      <c r="AO29"/>
      <c r="AP29"/>
      <c r="AQ29"/>
      <c r="AR29"/>
      <c r="AS29">
        <v>17538548</v>
      </c>
      <c r="AT29"/>
      <c r="AU29"/>
      <c r="AV29"/>
      <c r="AW29" t="s">
        <v>42</v>
      </c>
      <c r="AX29" t="s">
        <v>721</v>
      </c>
      <c r="AY29" t="s">
        <v>56</v>
      </c>
      <c r="AZ29" t="s">
        <v>45</v>
      </c>
      <c r="BA29"/>
      <c r="BB29" t="s">
        <v>46</v>
      </c>
      <c r="BC29" t="s">
        <v>722</v>
      </c>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row>
    <row r="30" spans="1:119" s="6" customFormat="1" x14ac:dyDescent="0.3">
      <c r="A30">
        <v>37</v>
      </c>
      <c r="B30" t="s">
        <v>13284</v>
      </c>
      <c r="C30" t="s">
        <v>13283</v>
      </c>
      <c r="D30" t="s">
        <v>58</v>
      </c>
      <c r="E30">
        <v>2023</v>
      </c>
      <c r="F30" t="s">
        <v>59</v>
      </c>
      <c r="G30">
        <v>1</v>
      </c>
      <c r="H30"/>
      <c r="I30"/>
      <c r="J30">
        <v>61</v>
      </c>
      <c r="K30">
        <v>67</v>
      </c>
      <c r="L30"/>
      <c r="M30">
        <v>7</v>
      </c>
      <c r="N30" t="s">
        <v>60</v>
      </c>
      <c r="O30" t="s">
        <v>61</v>
      </c>
      <c r="P30" t="s">
        <v>62</v>
      </c>
      <c r="Q30" t="s">
        <v>13282</v>
      </c>
      <c r="R30" t="s">
        <v>13281</v>
      </c>
      <c r="S30" t="s">
        <v>63</v>
      </c>
      <c r="T30" t="s">
        <v>64</v>
      </c>
      <c r="U30"/>
      <c r="V30"/>
      <c r="W30"/>
      <c r="X30"/>
      <c r="Y30" t="s">
        <v>13280</v>
      </c>
      <c r="Z30" t="s">
        <v>13279</v>
      </c>
      <c r="AA30"/>
      <c r="AB30"/>
      <c r="AC30"/>
      <c r="AD30"/>
      <c r="AE30"/>
      <c r="AF30"/>
      <c r="AG30"/>
      <c r="AH30"/>
      <c r="AI30"/>
      <c r="AJ30" t="s">
        <v>13278</v>
      </c>
      <c r="AK30"/>
      <c r="AL30"/>
      <c r="AM30" t="s">
        <v>13277</v>
      </c>
      <c r="AN30" t="s">
        <v>65</v>
      </c>
      <c r="AO30" t="s">
        <v>13276</v>
      </c>
      <c r="AP30" t="s">
        <v>13275</v>
      </c>
      <c r="AQ30"/>
      <c r="AR30">
        <v>190016</v>
      </c>
      <c r="AS30" t="s">
        <v>66</v>
      </c>
      <c r="AT30">
        <v>9798400701382</v>
      </c>
      <c r="AU30"/>
      <c r="AV30"/>
      <c r="AW30" t="s">
        <v>42</v>
      </c>
      <c r="AX30" t="s">
        <v>67</v>
      </c>
      <c r="AY30" t="s">
        <v>12252</v>
      </c>
      <c r="AZ30" t="s">
        <v>45</v>
      </c>
      <c r="BA30" t="s">
        <v>12349</v>
      </c>
      <c r="BB30" t="s">
        <v>46</v>
      </c>
      <c r="BC30" t="s">
        <v>68</v>
      </c>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row>
    <row r="31" spans="1:119" x14ac:dyDescent="0.3">
      <c r="A31">
        <v>38</v>
      </c>
      <c r="B31" t="s">
        <v>12703</v>
      </c>
      <c r="C31" t="s">
        <v>12702</v>
      </c>
      <c r="D31" t="s">
        <v>933</v>
      </c>
      <c r="E31">
        <v>2023</v>
      </c>
      <c r="F31" t="s">
        <v>934</v>
      </c>
      <c r="G31">
        <v>39</v>
      </c>
      <c r="H31">
        <v>4</v>
      </c>
      <c r="J31">
        <v>89</v>
      </c>
      <c r="K31">
        <v>103</v>
      </c>
      <c r="N31" t="s">
        <v>935</v>
      </c>
      <c r="O31" t="s">
        <v>936</v>
      </c>
      <c r="P31" t="s">
        <v>937</v>
      </c>
      <c r="Q31" t="s">
        <v>12701</v>
      </c>
      <c r="R31" t="s">
        <v>938</v>
      </c>
      <c r="S31" t="s">
        <v>939</v>
      </c>
      <c r="Z31" t="s">
        <v>12700</v>
      </c>
      <c r="AP31" t="s">
        <v>12699</v>
      </c>
      <c r="AQ31" t="s">
        <v>12698</v>
      </c>
      <c r="AT31" t="s">
        <v>940</v>
      </c>
      <c r="AY31">
        <v>14495554</v>
      </c>
      <c r="BC31" t="s">
        <v>42</v>
      </c>
      <c r="BD31" t="s">
        <v>941</v>
      </c>
      <c r="BE31" t="s">
        <v>56</v>
      </c>
      <c r="BF31" t="s">
        <v>45</v>
      </c>
      <c r="BG31" t="s">
        <v>12251</v>
      </c>
      <c r="BH31" t="s">
        <v>46</v>
      </c>
      <c r="BI31" t="s">
        <v>942</v>
      </c>
    </row>
    <row r="32" spans="1:119" x14ac:dyDescent="0.3">
      <c r="A32">
        <v>39</v>
      </c>
      <c r="B32" t="s">
        <v>12357</v>
      </c>
      <c r="C32" t="s">
        <v>12356</v>
      </c>
      <c r="D32" t="s">
        <v>1221</v>
      </c>
      <c r="E32">
        <v>2023</v>
      </c>
      <c r="F32" t="s">
        <v>797</v>
      </c>
      <c r="G32">
        <v>20</v>
      </c>
      <c r="H32">
        <v>3</v>
      </c>
      <c r="M32">
        <v>95</v>
      </c>
      <c r="N32" t="s">
        <v>1222</v>
      </c>
      <c r="O32" t="s">
        <v>1223</v>
      </c>
      <c r="P32" t="s">
        <v>1224</v>
      </c>
      <c r="Q32" t="s">
        <v>12355</v>
      </c>
      <c r="R32" t="s">
        <v>1225</v>
      </c>
      <c r="S32" t="s">
        <v>1226</v>
      </c>
      <c r="AP32" t="s">
        <v>12354</v>
      </c>
      <c r="AT32" t="s">
        <v>803</v>
      </c>
      <c r="AY32">
        <v>14499789</v>
      </c>
      <c r="BC32" t="s">
        <v>42</v>
      </c>
      <c r="BD32" t="s">
        <v>804</v>
      </c>
      <c r="BE32" t="s">
        <v>56</v>
      </c>
      <c r="BF32" t="s">
        <v>45</v>
      </c>
      <c r="BG32" t="s">
        <v>12224</v>
      </c>
      <c r="BH32" t="s">
        <v>46</v>
      </c>
      <c r="BI32" t="s">
        <v>1227</v>
      </c>
    </row>
    <row r="33" spans="1:119" x14ac:dyDescent="0.3">
      <c r="A33">
        <v>40</v>
      </c>
      <c r="B33" t="s">
        <v>12403</v>
      </c>
      <c r="C33" t="s">
        <v>12402</v>
      </c>
      <c r="D33" t="s">
        <v>1285</v>
      </c>
      <c r="E33">
        <v>2023</v>
      </c>
      <c r="F33" t="s">
        <v>797</v>
      </c>
      <c r="G33">
        <v>20</v>
      </c>
      <c r="H33">
        <v>5</v>
      </c>
      <c r="I33">
        <v>1</v>
      </c>
      <c r="M33">
        <v>6</v>
      </c>
      <c r="N33" t="s">
        <v>1286</v>
      </c>
      <c r="O33" t="s">
        <v>1287</v>
      </c>
      <c r="P33" t="s">
        <v>1288</v>
      </c>
      <c r="Q33" t="s">
        <v>12401</v>
      </c>
      <c r="R33" t="s">
        <v>1289</v>
      </c>
      <c r="S33" t="s">
        <v>1290</v>
      </c>
      <c r="AP33" t="s">
        <v>12400</v>
      </c>
      <c r="AT33" t="s">
        <v>803</v>
      </c>
      <c r="AY33">
        <v>14499789</v>
      </c>
      <c r="BC33" t="s">
        <v>42</v>
      </c>
      <c r="BD33" t="s">
        <v>804</v>
      </c>
      <c r="BE33" t="s">
        <v>56</v>
      </c>
      <c r="BF33" t="s">
        <v>45</v>
      </c>
      <c r="BG33" t="s">
        <v>12245</v>
      </c>
      <c r="BH33" t="s">
        <v>46</v>
      </c>
      <c r="BI33" t="s">
        <v>1291</v>
      </c>
    </row>
    <row r="34" spans="1:119" x14ac:dyDescent="0.3">
      <c r="A34">
        <v>41</v>
      </c>
      <c r="B34" t="s">
        <v>12678</v>
      </c>
      <c r="C34" t="s">
        <v>12677</v>
      </c>
      <c r="D34" t="s">
        <v>12676</v>
      </c>
      <c r="E34">
        <v>2023</v>
      </c>
      <c r="F34" t="s">
        <v>797</v>
      </c>
      <c r="G34">
        <v>20</v>
      </c>
      <c r="H34">
        <v>7</v>
      </c>
      <c r="N34" t="s">
        <v>5753</v>
      </c>
      <c r="O34" t="s">
        <v>12675</v>
      </c>
      <c r="P34" t="s">
        <v>12674</v>
      </c>
      <c r="Q34" t="s">
        <v>12673</v>
      </c>
      <c r="R34" t="s">
        <v>12672</v>
      </c>
      <c r="S34" t="s">
        <v>12671</v>
      </c>
      <c r="AP34" t="s">
        <v>12670</v>
      </c>
      <c r="AT34" t="s">
        <v>803</v>
      </c>
      <c r="AY34">
        <v>14499789</v>
      </c>
      <c r="BC34" t="s">
        <v>42</v>
      </c>
      <c r="BD34" t="s">
        <v>804</v>
      </c>
      <c r="BE34" t="s">
        <v>12669</v>
      </c>
      <c r="BF34" t="s">
        <v>45</v>
      </c>
      <c r="BG34" t="s">
        <v>12224</v>
      </c>
      <c r="BH34" t="s">
        <v>46</v>
      </c>
      <c r="BI34" t="s">
        <v>12668</v>
      </c>
    </row>
    <row r="35" spans="1:119" x14ac:dyDescent="0.3">
      <c r="A35">
        <v>42</v>
      </c>
      <c r="B35" t="s">
        <v>12815</v>
      </c>
      <c r="C35" t="s">
        <v>12814</v>
      </c>
      <c r="D35" t="s">
        <v>233</v>
      </c>
      <c r="E35">
        <v>2023</v>
      </c>
      <c r="F35" t="s">
        <v>234</v>
      </c>
      <c r="G35">
        <v>9</v>
      </c>
      <c r="H35">
        <v>4</v>
      </c>
      <c r="J35">
        <v>128</v>
      </c>
      <c r="K35">
        <v>138</v>
      </c>
      <c r="N35" t="s">
        <v>235</v>
      </c>
      <c r="O35" t="s">
        <v>236</v>
      </c>
      <c r="P35" t="s">
        <v>237</v>
      </c>
      <c r="Q35" t="s">
        <v>12813</v>
      </c>
      <c r="R35" t="s">
        <v>238</v>
      </c>
      <c r="S35" t="s">
        <v>239</v>
      </c>
      <c r="AP35" t="s">
        <v>12812</v>
      </c>
      <c r="AQ35" t="s">
        <v>12811</v>
      </c>
      <c r="AT35" t="s">
        <v>240</v>
      </c>
      <c r="AY35">
        <v>24117390</v>
      </c>
      <c r="BC35" t="s">
        <v>42</v>
      </c>
      <c r="BD35" t="s">
        <v>241</v>
      </c>
      <c r="BE35" t="s">
        <v>56</v>
      </c>
      <c r="BF35" t="s">
        <v>45</v>
      </c>
      <c r="BG35" t="s">
        <v>12251</v>
      </c>
      <c r="BH35" t="s">
        <v>46</v>
      </c>
      <c r="BI35" t="s">
        <v>242</v>
      </c>
      <c r="CW35" s="6"/>
      <c r="CX35" s="6"/>
      <c r="CY35" s="6"/>
      <c r="CZ35" s="6"/>
      <c r="DA35" s="6"/>
      <c r="DB35" s="6"/>
      <c r="DC35" s="6"/>
      <c r="DD35" s="6"/>
      <c r="DE35" s="6"/>
      <c r="DF35" s="6"/>
      <c r="DG35" s="6"/>
      <c r="DH35" s="6"/>
      <c r="DI35" s="6"/>
      <c r="DJ35" s="6"/>
      <c r="DK35" s="6"/>
      <c r="DL35" s="6"/>
      <c r="DM35" s="6"/>
      <c r="DN35" s="6"/>
      <c r="DO35" s="6"/>
    </row>
    <row r="36" spans="1:119" x14ac:dyDescent="0.3">
      <c r="A36">
        <v>43</v>
      </c>
      <c r="B36" t="s">
        <v>664</v>
      </c>
      <c r="C36" t="s">
        <v>12753</v>
      </c>
      <c r="D36" t="s">
        <v>665</v>
      </c>
      <c r="E36">
        <v>2023</v>
      </c>
      <c r="F36" t="s">
        <v>666</v>
      </c>
      <c r="M36">
        <v>1</v>
      </c>
      <c r="N36" t="s">
        <v>667</v>
      </c>
      <c r="O36" t="s">
        <v>668</v>
      </c>
      <c r="P36" t="s">
        <v>669</v>
      </c>
      <c r="Q36" t="s">
        <v>12752</v>
      </c>
      <c r="R36" t="s">
        <v>670</v>
      </c>
      <c r="S36" t="s">
        <v>671</v>
      </c>
      <c r="AP36" t="s">
        <v>12751</v>
      </c>
      <c r="AQ36" t="s">
        <v>12750</v>
      </c>
      <c r="AT36" t="s">
        <v>672</v>
      </c>
      <c r="AY36">
        <v>8944393</v>
      </c>
      <c r="BC36" t="s">
        <v>42</v>
      </c>
      <c r="BD36" t="s">
        <v>673</v>
      </c>
      <c r="BE36" t="s">
        <v>56</v>
      </c>
      <c r="BF36" t="s">
        <v>12365</v>
      </c>
      <c r="BG36" t="s">
        <v>12275</v>
      </c>
      <c r="BH36" t="s">
        <v>46</v>
      </c>
      <c r="BI36" t="s">
        <v>674</v>
      </c>
    </row>
    <row r="37" spans="1:119" x14ac:dyDescent="0.3">
      <c r="A37">
        <v>44</v>
      </c>
      <c r="B37" t="s">
        <v>13501</v>
      </c>
      <c r="C37" t="s">
        <v>13500</v>
      </c>
      <c r="D37" t="s">
        <v>13499</v>
      </c>
      <c r="E37">
        <v>2023</v>
      </c>
      <c r="F37" t="s">
        <v>48</v>
      </c>
      <c r="G37">
        <v>31</v>
      </c>
      <c r="H37">
        <v>77</v>
      </c>
      <c r="J37">
        <v>47</v>
      </c>
      <c r="K37">
        <v>57</v>
      </c>
      <c r="M37">
        <v>2</v>
      </c>
      <c r="N37" t="s">
        <v>49</v>
      </c>
      <c r="O37" t="s">
        <v>50</v>
      </c>
      <c r="P37" t="s">
        <v>51</v>
      </c>
      <c r="Q37" t="s">
        <v>13498</v>
      </c>
      <c r="R37" t="s">
        <v>52</v>
      </c>
      <c r="S37" t="s">
        <v>53</v>
      </c>
      <c r="Y37" t="s">
        <v>13497</v>
      </c>
      <c r="Z37" t="s">
        <v>13496</v>
      </c>
      <c r="AJ37" t="s">
        <v>13495</v>
      </c>
      <c r="AN37" t="s">
        <v>54</v>
      </c>
      <c r="AS37">
        <v>11343478</v>
      </c>
      <c r="AW37" t="s">
        <v>55</v>
      </c>
      <c r="AX37" t="s">
        <v>48</v>
      </c>
      <c r="AY37" t="s">
        <v>56</v>
      </c>
      <c r="AZ37" t="s">
        <v>45</v>
      </c>
      <c r="BA37" t="s">
        <v>12214</v>
      </c>
      <c r="BB37" t="s">
        <v>46</v>
      </c>
      <c r="BC37" t="s">
        <v>57</v>
      </c>
    </row>
    <row r="38" spans="1:119" x14ac:dyDescent="0.3">
      <c r="A38">
        <v>45</v>
      </c>
      <c r="B38" t="s">
        <v>12510</v>
      </c>
      <c r="C38" t="s">
        <v>12509</v>
      </c>
      <c r="D38" t="s">
        <v>1398</v>
      </c>
      <c r="E38">
        <v>2023</v>
      </c>
      <c r="F38" t="s">
        <v>1399</v>
      </c>
      <c r="J38" t="s">
        <v>1400</v>
      </c>
      <c r="M38">
        <v>5</v>
      </c>
      <c r="N38" t="s">
        <v>1401</v>
      </c>
      <c r="O38" t="s">
        <v>1402</v>
      </c>
      <c r="P38" t="s">
        <v>1403</v>
      </c>
      <c r="Q38" t="s">
        <v>12508</v>
      </c>
      <c r="R38" t="s">
        <v>1404</v>
      </c>
      <c r="T38" t="s">
        <v>12507</v>
      </c>
      <c r="AP38" t="s">
        <v>12506</v>
      </c>
      <c r="AQ38" t="s">
        <v>12505</v>
      </c>
      <c r="AT38" t="s">
        <v>1405</v>
      </c>
      <c r="AY38">
        <v>25743805</v>
      </c>
      <c r="BB38">
        <v>37812419</v>
      </c>
      <c r="BC38" t="s">
        <v>42</v>
      </c>
      <c r="BD38" t="s">
        <v>1406</v>
      </c>
      <c r="BE38" t="s">
        <v>56</v>
      </c>
      <c r="BF38" t="s">
        <v>12365</v>
      </c>
      <c r="BG38" t="s">
        <v>12214</v>
      </c>
      <c r="BH38" t="s">
        <v>46</v>
      </c>
      <c r="BI38" t="s">
        <v>1407</v>
      </c>
      <c r="CW38" s="6"/>
      <c r="CX38" s="6"/>
      <c r="CY38" s="6"/>
      <c r="CZ38" s="6"/>
      <c r="DA38" s="6"/>
      <c r="DB38" s="6"/>
      <c r="DC38" s="6"/>
      <c r="DD38" s="6"/>
      <c r="DE38" s="6"/>
      <c r="DF38" s="6"/>
      <c r="DG38" s="6"/>
      <c r="DH38" s="6"/>
      <c r="DI38" s="6"/>
      <c r="DJ38" s="6"/>
      <c r="DK38" s="6"/>
      <c r="DL38" s="6"/>
      <c r="DM38" s="6"/>
      <c r="DN38" s="6"/>
      <c r="DO38" s="6"/>
    </row>
    <row r="39" spans="1:119" x14ac:dyDescent="0.3">
      <c r="A39">
        <v>46</v>
      </c>
      <c r="B39" t="s">
        <v>12363</v>
      </c>
      <c r="C39" t="s">
        <v>12362</v>
      </c>
      <c r="D39" t="s">
        <v>984</v>
      </c>
      <c r="E39">
        <v>2023</v>
      </c>
      <c r="F39" t="s">
        <v>985</v>
      </c>
      <c r="G39">
        <v>40</v>
      </c>
      <c r="H39">
        <v>2</v>
      </c>
      <c r="J39">
        <v>615</v>
      </c>
      <c r="K39">
        <v>622</v>
      </c>
      <c r="M39">
        <v>91</v>
      </c>
      <c r="N39" t="s">
        <v>986</v>
      </c>
      <c r="O39" t="s">
        <v>987</v>
      </c>
      <c r="P39" t="s">
        <v>988</v>
      </c>
      <c r="Q39" t="s">
        <v>12361</v>
      </c>
      <c r="R39" t="s">
        <v>989</v>
      </c>
      <c r="S39" t="s">
        <v>990</v>
      </c>
      <c r="Z39" t="s">
        <v>12360</v>
      </c>
      <c r="AP39" t="s">
        <v>12359</v>
      </c>
      <c r="AQ39" t="s">
        <v>12358</v>
      </c>
      <c r="AT39" t="s">
        <v>991</v>
      </c>
      <c r="AY39" t="s">
        <v>992</v>
      </c>
      <c r="BC39" t="s">
        <v>42</v>
      </c>
      <c r="BD39" t="s">
        <v>993</v>
      </c>
      <c r="BE39" t="s">
        <v>56</v>
      </c>
      <c r="BF39" t="s">
        <v>45</v>
      </c>
      <c r="BH39" t="s">
        <v>46</v>
      </c>
      <c r="BI39" t="s">
        <v>994</v>
      </c>
      <c r="CW39" s="6"/>
      <c r="CX39" s="6"/>
      <c r="CY39" s="6"/>
      <c r="CZ39" s="6"/>
      <c r="DA39" s="6"/>
      <c r="DB39" s="6"/>
      <c r="DC39" s="6"/>
      <c r="DD39" s="6"/>
      <c r="DE39" s="6"/>
      <c r="DF39" s="6"/>
      <c r="DG39" s="6"/>
      <c r="DH39" s="6"/>
      <c r="DI39" s="6"/>
      <c r="DJ39" s="6"/>
      <c r="DK39" s="6"/>
      <c r="DL39" s="6"/>
      <c r="DM39" s="6"/>
      <c r="DN39" s="6"/>
      <c r="DO39" s="6"/>
    </row>
    <row r="40" spans="1:119" x14ac:dyDescent="0.3">
      <c r="A40">
        <v>47</v>
      </c>
      <c r="B40" t="s">
        <v>13364</v>
      </c>
      <c r="C40" t="s">
        <v>13363</v>
      </c>
      <c r="D40" t="s">
        <v>776</v>
      </c>
      <c r="E40">
        <v>2023</v>
      </c>
      <c r="F40" t="s">
        <v>777</v>
      </c>
      <c r="J40">
        <v>3947</v>
      </c>
      <c r="K40">
        <v>3955</v>
      </c>
      <c r="M40">
        <v>1</v>
      </c>
      <c r="N40" t="s">
        <v>778</v>
      </c>
      <c r="O40" t="s">
        <v>779</v>
      </c>
      <c r="P40" t="s">
        <v>780</v>
      </c>
      <c r="Q40" t="s">
        <v>13362</v>
      </c>
      <c r="R40" t="s">
        <v>13361</v>
      </c>
      <c r="S40" t="s">
        <v>782</v>
      </c>
      <c r="T40" t="s">
        <v>783</v>
      </c>
      <c r="AJ40" t="s">
        <v>13360</v>
      </c>
      <c r="AM40" t="s">
        <v>13359</v>
      </c>
      <c r="AN40" t="s">
        <v>65</v>
      </c>
      <c r="AO40" t="s">
        <v>13358</v>
      </c>
      <c r="AP40" t="s">
        <v>13357</v>
      </c>
      <c r="AR40">
        <v>191432</v>
      </c>
      <c r="AT40">
        <v>9798400701030</v>
      </c>
      <c r="AW40" t="s">
        <v>42</v>
      </c>
      <c r="AX40" t="s">
        <v>784</v>
      </c>
      <c r="AY40" t="s">
        <v>12252</v>
      </c>
      <c r="AZ40" t="s">
        <v>45</v>
      </c>
      <c r="BA40" t="s">
        <v>12310</v>
      </c>
      <c r="BB40" t="s">
        <v>46</v>
      </c>
      <c r="BC40" t="s">
        <v>785</v>
      </c>
    </row>
    <row r="41" spans="1:119" x14ac:dyDescent="0.3">
      <c r="A41">
        <v>48</v>
      </c>
      <c r="B41" t="s">
        <v>12399</v>
      </c>
      <c r="C41" t="s">
        <v>12398</v>
      </c>
      <c r="D41" t="s">
        <v>1319</v>
      </c>
      <c r="E41">
        <v>2023</v>
      </c>
      <c r="F41" t="s">
        <v>797</v>
      </c>
      <c r="G41">
        <v>20</v>
      </c>
      <c r="H41">
        <v>5</v>
      </c>
      <c r="M41">
        <v>17</v>
      </c>
      <c r="N41" t="s">
        <v>1320</v>
      </c>
      <c r="O41" t="s">
        <v>1321</v>
      </c>
      <c r="P41" t="s">
        <v>1322</v>
      </c>
      <c r="Q41" t="s">
        <v>12397</v>
      </c>
      <c r="R41" t="s">
        <v>1323</v>
      </c>
      <c r="S41" t="s">
        <v>1324</v>
      </c>
      <c r="AP41" t="s">
        <v>12396</v>
      </c>
      <c r="AT41" t="s">
        <v>803</v>
      </c>
      <c r="AY41">
        <v>14499789</v>
      </c>
      <c r="BC41" t="s">
        <v>42</v>
      </c>
      <c r="BD41" t="s">
        <v>804</v>
      </c>
      <c r="BE41" t="s">
        <v>56</v>
      </c>
      <c r="BF41" t="s">
        <v>45</v>
      </c>
      <c r="BG41" t="s">
        <v>12224</v>
      </c>
      <c r="BH41" t="s">
        <v>46</v>
      </c>
      <c r="BI41" t="s">
        <v>1325</v>
      </c>
    </row>
    <row r="42" spans="1:119" x14ac:dyDescent="0.3">
      <c r="A42">
        <v>49</v>
      </c>
      <c r="B42" t="s">
        <v>1356</v>
      </c>
      <c r="C42" t="s">
        <v>12281</v>
      </c>
      <c r="D42" t="s">
        <v>1357</v>
      </c>
      <c r="E42">
        <v>2019</v>
      </c>
      <c r="F42" t="s">
        <v>1358</v>
      </c>
      <c r="G42">
        <v>9</v>
      </c>
      <c r="H42">
        <v>4</v>
      </c>
      <c r="J42">
        <v>452</v>
      </c>
      <c r="K42">
        <v>470</v>
      </c>
      <c r="N42" t="s">
        <v>1359</v>
      </c>
      <c r="O42" t="s">
        <v>1360</v>
      </c>
      <c r="P42" t="s">
        <v>1361</v>
      </c>
      <c r="Q42" t="s">
        <v>12280</v>
      </c>
      <c r="R42" t="s">
        <v>1362</v>
      </c>
      <c r="S42" t="s">
        <v>1363</v>
      </c>
      <c r="Y42" t="s">
        <v>12279</v>
      </c>
      <c r="Z42" t="s">
        <v>12278</v>
      </c>
      <c r="AJ42" t="s">
        <v>12277</v>
      </c>
      <c r="AK42" t="s">
        <v>12276</v>
      </c>
      <c r="AN42" t="s">
        <v>1364</v>
      </c>
      <c r="AS42">
        <v>20459807</v>
      </c>
      <c r="AW42" t="s">
        <v>42</v>
      </c>
      <c r="AX42" t="s">
        <v>1365</v>
      </c>
      <c r="AY42" t="s">
        <v>56</v>
      </c>
      <c r="AZ42" t="s">
        <v>45</v>
      </c>
      <c r="BA42" t="s">
        <v>12275</v>
      </c>
      <c r="BB42" t="s">
        <v>46</v>
      </c>
      <c r="BC42" t="s">
        <v>1366</v>
      </c>
    </row>
    <row r="43" spans="1:119" x14ac:dyDescent="0.3">
      <c r="A43">
        <v>50</v>
      </c>
      <c r="B43" t="s">
        <v>13621</v>
      </c>
      <c r="C43" t="s">
        <v>13620</v>
      </c>
      <c r="D43" t="s">
        <v>515</v>
      </c>
      <c r="E43">
        <v>2023</v>
      </c>
      <c r="F43" t="s">
        <v>105</v>
      </c>
      <c r="G43">
        <v>20</v>
      </c>
      <c r="H43">
        <v>1</v>
      </c>
      <c r="I43">
        <v>57</v>
      </c>
      <c r="M43">
        <v>8</v>
      </c>
      <c r="N43" t="s">
        <v>516</v>
      </c>
      <c r="O43" t="s">
        <v>517</v>
      </c>
      <c r="P43" t="s">
        <v>13619</v>
      </c>
      <c r="Q43" t="s">
        <v>13618</v>
      </c>
      <c r="R43" t="s">
        <v>518</v>
      </c>
      <c r="S43" t="s">
        <v>519</v>
      </c>
      <c r="Z43" t="s">
        <v>2955</v>
      </c>
      <c r="AJ43" t="s">
        <v>13617</v>
      </c>
      <c r="AK43" t="s">
        <v>13616</v>
      </c>
      <c r="AN43" t="s">
        <v>92</v>
      </c>
      <c r="AS43">
        <v>23659440</v>
      </c>
      <c r="AW43" t="s">
        <v>42</v>
      </c>
      <c r="AX43" t="s">
        <v>110</v>
      </c>
      <c r="AY43" t="s">
        <v>56</v>
      </c>
      <c r="AZ43" t="s">
        <v>45</v>
      </c>
      <c r="BA43" t="s">
        <v>12251</v>
      </c>
      <c r="BB43" t="s">
        <v>46</v>
      </c>
      <c r="BC43" t="s">
        <v>520</v>
      </c>
    </row>
    <row r="44" spans="1:119" x14ac:dyDescent="0.3">
      <c r="A44">
        <v>51</v>
      </c>
      <c r="B44" t="s">
        <v>13490</v>
      </c>
      <c r="C44" t="s">
        <v>13489</v>
      </c>
      <c r="D44" t="s">
        <v>628</v>
      </c>
      <c r="E44">
        <v>2023</v>
      </c>
      <c r="F44" t="s">
        <v>629</v>
      </c>
      <c r="G44">
        <v>60</v>
      </c>
      <c r="H44">
        <v>1</v>
      </c>
      <c r="J44">
        <v>586</v>
      </c>
      <c r="K44">
        <v>591</v>
      </c>
      <c r="M44">
        <v>1</v>
      </c>
      <c r="N44" t="s">
        <v>630</v>
      </c>
      <c r="O44" t="s">
        <v>631</v>
      </c>
      <c r="P44" t="s">
        <v>632</v>
      </c>
      <c r="Q44" t="s">
        <v>13488</v>
      </c>
      <c r="R44" t="s">
        <v>13487</v>
      </c>
      <c r="S44" t="s">
        <v>633</v>
      </c>
      <c r="T44" t="s">
        <v>634</v>
      </c>
      <c r="Y44" t="s">
        <v>13486</v>
      </c>
      <c r="Z44" t="s">
        <v>13485</v>
      </c>
      <c r="AJ44" t="s">
        <v>13484</v>
      </c>
      <c r="AK44" t="s">
        <v>13483</v>
      </c>
      <c r="AN44" t="s">
        <v>77</v>
      </c>
      <c r="AS44">
        <v>23739231</v>
      </c>
      <c r="AW44" t="s">
        <v>42</v>
      </c>
      <c r="AX44" t="s">
        <v>629</v>
      </c>
      <c r="AY44" t="s">
        <v>56</v>
      </c>
      <c r="AZ44" t="s">
        <v>45</v>
      </c>
      <c r="BA44" t="s">
        <v>12245</v>
      </c>
      <c r="BB44" t="s">
        <v>46</v>
      </c>
      <c r="BC44" t="s">
        <v>635</v>
      </c>
    </row>
    <row r="45" spans="1:119" x14ac:dyDescent="0.3">
      <c r="A45">
        <v>52</v>
      </c>
      <c r="B45" t="s">
        <v>12605</v>
      </c>
      <c r="C45" t="s">
        <v>12604</v>
      </c>
      <c r="D45" t="s">
        <v>1337</v>
      </c>
      <c r="E45">
        <v>2023</v>
      </c>
      <c r="F45" t="s">
        <v>127</v>
      </c>
      <c r="G45" t="s">
        <v>1338</v>
      </c>
      <c r="J45">
        <v>69</v>
      </c>
      <c r="K45">
        <v>80</v>
      </c>
      <c r="N45" t="s">
        <v>1339</v>
      </c>
      <c r="O45" t="s">
        <v>1340</v>
      </c>
      <c r="P45" t="s">
        <v>1341</v>
      </c>
      <c r="Q45" t="s">
        <v>12603</v>
      </c>
      <c r="R45" t="s">
        <v>1342</v>
      </c>
      <c r="S45" t="s">
        <v>1343</v>
      </c>
      <c r="T45" t="s">
        <v>1344</v>
      </c>
      <c r="Y45" t="s">
        <v>12602</v>
      </c>
      <c r="Z45" t="s">
        <v>12601</v>
      </c>
      <c r="AA45" t="s">
        <v>12600</v>
      </c>
      <c r="AB45" t="s">
        <v>12599</v>
      </c>
      <c r="AC45" t="s">
        <v>12598</v>
      </c>
      <c r="AD45" t="s">
        <v>12597</v>
      </c>
      <c r="AE45" t="s">
        <v>12596</v>
      </c>
      <c r="AF45" t="s">
        <v>12595</v>
      </c>
      <c r="AG45" t="s">
        <v>12594</v>
      </c>
      <c r="AH45" t="s">
        <v>12593</v>
      </c>
      <c r="AI45" t="s">
        <v>12592</v>
      </c>
      <c r="AJ45" t="s">
        <v>12591</v>
      </c>
      <c r="AK45" t="s">
        <v>12590</v>
      </c>
      <c r="AL45" t="s">
        <v>12589</v>
      </c>
      <c r="AM45" t="s">
        <v>12588</v>
      </c>
      <c r="AN45" t="s">
        <v>12587</v>
      </c>
      <c r="AO45" t="s">
        <v>12586</v>
      </c>
      <c r="AP45" t="s">
        <v>12585</v>
      </c>
      <c r="AQ45" t="s">
        <v>12584</v>
      </c>
      <c r="AR45" t="s">
        <v>12583</v>
      </c>
      <c r="AT45" t="s">
        <v>92</v>
      </c>
      <c r="AU45" t="s">
        <v>12582</v>
      </c>
      <c r="AV45" t="s">
        <v>12581</v>
      </c>
      <c r="AX45">
        <v>302309</v>
      </c>
      <c r="AY45">
        <v>3029743</v>
      </c>
      <c r="AZ45">
        <v>9783031446986</v>
      </c>
      <c r="BC45" t="s">
        <v>42</v>
      </c>
      <c r="BD45" t="s">
        <v>128</v>
      </c>
      <c r="BE45" t="s">
        <v>12252</v>
      </c>
      <c r="BF45" t="s">
        <v>45</v>
      </c>
      <c r="BG45" t="s">
        <v>12245</v>
      </c>
      <c r="BH45" t="s">
        <v>46</v>
      </c>
      <c r="BI45" t="s">
        <v>1345</v>
      </c>
    </row>
    <row r="46" spans="1:119" x14ac:dyDescent="0.3">
      <c r="A46">
        <v>53</v>
      </c>
      <c r="B46" t="s">
        <v>12730</v>
      </c>
      <c r="C46" t="s">
        <v>12729</v>
      </c>
      <c r="D46" t="s">
        <v>1437</v>
      </c>
      <c r="E46">
        <v>2023</v>
      </c>
      <c r="F46" t="s">
        <v>127</v>
      </c>
      <c r="G46" t="s">
        <v>859</v>
      </c>
      <c r="J46">
        <v>169</v>
      </c>
      <c r="K46">
        <v>188</v>
      </c>
      <c r="M46">
        <v>1</v>
      </c>
      <c r="N46" t="s">
        <v>1438</v>
      </c>
      <c r="O46" t="s">
        <v>1439</v>
      </c>
      <c r="P46" t="s">
        <v>1440</v>
      </c>
      <c r="Q46" t="s">
        <v>12728</v>
      </c>
      <c r="R46" t="s">
        <v>1441</v>
      </c>
      <c r="S46" t="s">
        <v>1442</v>
      </c>
      <c r="T46" t="s">
        <v>1443</v>
      </c>
      <c r="AP46" t="s">
        <v>12727</v>
      </c>
      <c r="AQ46" t="s">
        <v>12726</v>
      </c>
      <c r="AR46" t="s">
        <v>12711</v>
      </c>
      <c r="AT46" t="s">
        <v>92</v>
      </c>
      <c r="AU46" t="s">
        <v>858</v>
      </c>
      <c r="AV46" t="s">
        <v>12710</v>
      </c>
      <c r="AX46">
        <v>304739</v>
      </c>
      <c r="AY46">
        <v>3029743</v>
      </c>
      <c r="AZ46">
        <v>9789819983841</v>
      </c>
      <c r="BC46" t="s">
        <v>42</v>
      </c>
      <c r="BD46" t="s">
        <v>128</v>
      </c>
      <c r="BE46" t="s">
        <v>12252</v>
      </c>
      <c r="BF46" t="s">
        <v>45</v>
      </c>
      <c r="BG46" t="s">
        <v>12245</v>
      </c>
      <c r="BH46" t="s">
        <v>46</v>
      </c>
      <c r="BI46" t="s">
        <v>1444</v>
      </c>
    </row>
    <row r="47" spans="1:119" x14ac:dyDescent="0.3">
      <c r="A47">
        <v>54</v>
      </c>
      <c r="B47" t="s">
        <v>12621</v>
      </c>
      <c r="C47" t="s">
        <v>12620</v>
      </c>
      <c r="D47" t="s">
        <v>1177</v>
      </c>
      <c r="E47">
        <v>2023</v>
      </c>
      <c r="F47" t="s">
        <v>1178</v>
      </c>
      <c r="M47">
        <v>1</v>
      </c>
      <c r="N47" t="s">
        <v>1179</v>
      </c>
      <c r="O47" t="s">
        <v>1180</v>
      </c>
      <c r="P47" t="s">
        <v>1181</v>
      </c>
      <c r="Q47" t="s">
        <v>12619</v>
      </c>
      <c r="R47" t="s">
        <v>1182</v>
      </c>
      <c r="S47" t="s">
        <v>1183</v>
      </c>
      <c r="T47" t="s">
        <v>1184</v>
      </c>
      <c r="Z47" t="s">
        <v>12618</v>
      </c>
      <c r="AP47" t="s">
        <v>12617</v>
      </c>
      <c r="AQ47" t="s">
        <v>12616</v>
      </c>
      <c r="AT47" t="s">
        <v>92</v>
      </c>
      <c r="AY47">
        <v>9515666</v>
      </c>
      <c r="BC47" t="s">
        <v>42</v>
      </c>
      <c r="BD47" t="s">
        <v>1185</v>
      </c>
      <c r="BE47" t="s">
        <v>56</v>
      </c>
      <c r="BF47" t="s">
        <v>12365</v>
      </c>
      <c r="BG47" t="s">
        <v>12310</v>
      </c>
      <c r="BH47" t="s">
        <v>46</v>
      </c>
      <c r="BI47" t="s">
        <v>1186</v>
      </c>
    </row>
    <row r="48" spans="1:119" x14ac:dyDescent="0.3">
      <c r="A48">
        <v>55</v>
      </c>
      <c r="B48" t="s">
        <v>829</v>
      </c>
      <c r="C48" t="s">
        <v>12213</v>
      </c>
      <c r="D48" t="s">
        <v>830</v>
      </c>
      <c r="E48">
        <v>2018</v>
      </c>
      <c r="F48" t="s">
        <v>831</v>
      </c>
      <c r="G48">
        <v>52</v>
      </c>
      <c r="H48">
        <v>1</v>
      </c>
      <c r="J48">
        <v>17</v>
      </c>
      <c r="K48">
        <v>37</v>
      </c>
      <c r="M48">
        <v>1</v>
      </c>
      <c r="N48" t="s">
        <v>832</v>
      </c>
      <c r="O48" t="s">
        <v>833</v>
      </c>
      <c r="P48" t="s">
        <v>834</v>
      </c>
      <c r="Q48" t="s">
        <v>12212</v>
      </c>
      <c r="R48" t="s">
        <v>835</v>
      </c>
      <c r="S48" t="s">
        <v>836</v>
      </c>
      <c r="AJ48" t="s">
        <v>12211</v>
      </c>
      <c r="AK48" t="s">
        <v>12210</v>
      </c>
      <c r="AN48" t="s">
        <v>251</v>
      </c>
      <c r="AS48">
        <v>3069400</v>
      </c>
      <c r="AW48" t="s">
        <v>42</v>
      </c>
      <c r="AX48" t="s">
        <v>837</v>
      </c>
      <c r="AY48" t="s">
        <v>56</v>
      </c>
      <c r="AZ48" t="s">
        <v>45</v>
      </c>
      <c r="BB48" t="s">
        <v>46</v>
      </c>
      <c r="BC48" t="s">
        <v>838</v>
      </c>
    </row>
    <row r="49" spans="1:119" x14ac:dyDescent="0.3">
      <c r="A49">
        <v>56</v>
      </c>
      <c r="B49" t="s">
        <v>12718</v>
      </c>
      <c r="C49" t="s">
        <v>12717</v>
      </c>
      <c r="D49" t="s">
        <v>12716</v>
      </c>
      <c r="E49">
        <v>2023</v>
      </c>
      <c r="F49" t="s">
        <v>923</v>
      </c>
      <c r="M49">
        <v>1</v>
      </c>
      <c r="N49" t="s">
        <v>924</v>
      </c>
      <c r="O49" t="s">
        <v>925</v>
      </c>
      <c r="P49" t="s">
        <v>926</v>
      </c>
      <c r="Q49" t="s">
        <v>12715</v>
      </c>
      <c r="R49" t="s">
        <v>927</v>
      </c>
      <c r="S49" t="s">
        <v>928</v>
      </c>
      <c r="AP49" t="s">
        <v>12714</v>
      </c>
      <c r="AQ49" t="s">
        <v>12713</v>
      </c>
      <c r="AT49" t="s">
        <v>929</v>
      </c>
      <c r="AY49">
        <v>34509</v>
      </c>
      <c r="BA49" t="s">
        <v>930</v>
      </c>
      <c r="BB49">
        <v>37992892</v>
      </c>
      <c r="BC49" t="s">
        <v>12712</v>
      </c>
      <c r="BD49" t="s">
        <v>931</v>
      </c>
      <c r="BE49" t="s">
        <v>56</v>
      </c>
      <c r="BF49" t="s">
        <v>12365</v>
      </c>
      <c r="BH49" t="s">
        <v>46</v>
      </c>
      <c r="BI49" t="s">
        <v>932</v>
      </c>
    </row>
    <row r="50" spans="1:119" x14ac:dyDescent="0.3">
      <c r="A50">
        <v>57</v>
      </c>
      <c r="B50" t="s">
        <v>12683</v>
      </c>
      <c r="C50" t="s">
        <v>12682</v>
      </c>
      <c r="D50" t="s">
        <v>1298</v>
      </c>
      <c r="E50">
        <v>2023</v>
      </c>
      <c r="F50" t="s">
        <v>1299</v>
      </c>
      <c r="I50" t="s">
        <v>1300</v>
      </c>
      <c r="M50">
        <v>2</v>
      </c>
      <c r="N50" t="s">
        <v>1301</v>
      </c>
      <c r="O50" t="s">
        <v>1302</v>
      </c>
      <c r="P50" t="s">
        <v>1303</v>
      </c>
      <c r="Q50" t="s">
        <v>12681</v>
      </c>
      <c r="R50" t="s">
        <v>1304</v>
      </c>
      <c r="S50" t="s">
        <v>1305</v>
      </c>
      <c r="AP50" t="s">
        <v>12680</v>
      </c>
      <c r="AQ50" t="s">
        <v>12679</v>
      </c>
      <c r="AT50" t="s">
        <v>1210</v>
      </c>
      <c r="AY50">
        <v>71161</v>
      </c>
      <c r="BA50" t="s">
        <v>1306</v>
      </c>
      <c r="BB50">
        <v>37932006</v>
      </c>
      <c r="BC50" t="s">
        <v>42</v>
      </c>
      <c r="BD50" t="s">
        <v>1307</v>
      </c>
      <c r="BE50" t="s">
        <v>56</v>
      </c>
      <c r="BF50" t="s">
        <v>12365</v>
      </c>
      <c r="BH50" t="s">
        <v>46</v>
      </c>
      <c r="BI50" t="s">
        <v>1308</v>
      </c>
    </row>
    <row r="51" spans="1:119" x14ac:dyDescent="0.3">
      <c r="A51">
        <v>58</v>
      </c>
      <c r="B51" t="s">
        <v>13349</v>
      </c>
      <c r="C51" t="s">
        <v>13348</v>
      </c>
      <c r="D51" t="s">
        <v>173</v>
      </c>
      <c r="E51">
        <v>2023</v>
      </c>
      <c r="F51" t="s">
        <v>174</v>
      </c>
      <c r="G51">
        <v>7</v>
      </c>
      <c r="H51">
        <v>8</v>
      </c>
      <c r="I51">
        <v>81</v>
      </c>
      <c r="M51">
        <v>1</v>
      </c>
      <c r="N51" t="s">
        <v>175</v>
      </c>
      <c r="O51" t="s">
        <v>176</v>
      </c>
      <c r="P51" t="s">
        <v>177</v>
      </c>
      <c r="Q51" t="s">
        <v>13347</v>
      </c>
      <c r="R51" t="s">
        <v>178</v>
      </c>
      <c r="S51" t="s">
        <v>179</v>
      </c>
      <c r="AJ51" t="s">
        <v>13346</v>
      </c>
      <c r="AK51" t="s">
        <v>13345</v>
      </c>
      <c r="AN51" t="s">
        <v>180</v>
      </c>
      <c r="AS51">
        <v>24144088</v>
      </c>
      <c r="AW51" t="s">
        <v>42</v>
      </c>
      <c r="AX51" t="s">
        <v>181</v>
      </c>
      <c r="AY51" t="s">
        <v>56</v>
      </c>
      <c r="AZ51" t="s">
        <v>45</v>
      </c>
      <c r="BA51" t="s">
        <v>12214</v>
      </c>
      <c r="BB51" t="s">
        <v>46</v>
      </c>
      <c r="BC51" t="s">
        <v>182</v>
      </c>
    </row>
    <row r="52" spans="1:119" x14ac:dyDescent="0.3">
      <c r="A52" s="6">
        <v>59</v>
      </c>
      <c r="B52" s="6" t="s">
        <v>12873</v>
      </c>
      <c r="C52" s="6" t="s">
        <v>12872</v>
      </c>
      <c r="D52" s="6" t="s">
        <v>12871</v>
      </c>
      <c r="E52" s="6">
        <v>2023</v>
      </c>
      <c r="F52" s="6" t="s">
        <v>12870</v>
      </c>
      <c r="G52" s="6">
        <v>35</v>
      </c>
      <c r="H52" s="6">
        <v>7</v>
      </c>
      <c r="I52" s="6"/>
      <c r="J52" s="6">
        <v>27</v>
      </c>
      <c r="K52" s="6">
        <v>38</v>
      </c>
      <c r="L52" s="6"/>
      <c r="M52" s="6"/>
      <c r="N52" s="6" t="s">
        <v>12869</v>
      </c>
      <c r="O52" s="6" t="s">
        <v>12868</v>
      </c>
      <c r="P52" s="6" t="s">
        <v>12867</v>
      </c>
      <c r="Q52" s="6" t="s">
        <v>12866</v>
      </c>
      <c r="R52" s="6" t="s">
        <v>12865</v>
      </c>
      <c r="S52" s="6" t="s">
        <v>12864</v>
      </c>
      <c r="T52" s="6"/>
      <c r="U52" s="6"/>
      <c r="V52" s="6"/>
      <c r="W52" s="6"/>
      <c r="X52" s="6"/>
      <c r="Y52" s="6"/>
      <c r="Z52" s="6"/>
      <c r="AA52" s="6"/>
      <c r="AB52" s="6"/>
      <c r="AC52" s="6"/>
      <c r="AD52" s="6"/>
      <c r="AE52" s="6"/>
      <c r="AF52" s="6"/>
      <c r="AG52" s="6"/>
      <c r="AH52" s="6"/>
      <c r="AI52" s="6"/>
      <c r="AJ52" s="6"/>
      <c r="AK52" s="6"/>
      <c r="AL52" s="6"/>
      <c r="AM52" s="6"/>
      <c r="AN52" s="6"/>
      <c r="AO52" s="6"/>
      <c r="AP52" s="6" t="s">
        <v>12863</v>
      </c>
      <c r="AQ52" s="6"/>
      <c r="AR52" s="6"/>
      <c r="AS52" s="6"/>
      <c r="AT52" s="6" t="s">
        <v>12862</v>
      </c>
      <c r="AU52" s="6"/>
      <c r="AV52" s="6"/>
      <c r="AW52" s="6"/>
      <c r="AX52" s="6"/>
      <c r="AY52" s="6">
        <v>10021248</v>
      </c>
      <c r="AZ52" s="6"/>
      <c r="BA52" s="6"/>
      <c r="BB52" s="6"/>
      <c r="BC52" s="6" t="s">
        <v>12861</v>
      </c>
      <c r="BD52" s="6" t="s">
        <v>12860</v>
      </c>
      <c r="BE52" s="6" t="s">
        <v>56</v>
      </c>
      <c r="BF52" s="6" t="s">
        <v>45</v>
      </c>
      <c r="BG52" s="6"/>
      <c r="BH52" s="6" t="s">
        <v>46</v>
      </c>
      <c r="BI52" s="6" t="s">
        <v>12859</v>
      </c>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row>
    <row r="53" spans="1:119" x14ac:dyDescent="0.3">
      <c r="A53">
        <v>60</v>
      </c>
      <c r="B53" t="s">
        <v>12628</v>
      </c>
      <c r="C53" t="s">
        <v>12627</v>
      </c>
      <c r="D53" t="s">
        <v>1111</v>
      </c>
      <c r="E53">
        <v>2023</v>
      </c>
      <c r="F53" t="s">
        <v>383</v>
      </c>
      <c r="G53">
        <v>3497</v>
      </c>
      <c r="J53">
        <v>102</v>
      </c>
      <c r="K53">
        <v>113</v>
      </c>
      <c r="O53" t="s">
        <v>1112</v>
      </c>
      <c r="P53" t="s">
        <v>1113</v>
      </c>
      <c r="Q53" t="s">
        <v>12626</v>
      </c>
      <c r="R53" t="s">
        <v>1114</v>
      </c>
      <c r="S53" t="s">
        <v>1115</v>
      </c>
      <c r="T53" t="s">
        <v>1116</v>
      </c>
      <c r="AP53" t="s">
        <v>12625</v>
      </c>
      <c r="AR53" t="s">
        <v>12624</v>
      </c>
      <c r="AT53" t="s">
        <v>389</v>
      </c>
      <c r="AU53" t="s">
        <v>12623</v>
      </c>
      <c r="AV53" t="s">
        <v>12622</v>
      </c>
      <c r="AX53">
        <v>193170</v>
      </c>
      <c r="AY53">
        <v>16130073</v>
      </c>
      <c r="BC53" t="s">
        <v>42</v>
      </c>
      <c r="BD53" t="s">
        <v>390</v>
      </c>
      <c r="BE53" t="s">
        <v>12252</v>
      </c>
      <c r="BF53" t="s">
        <v>45</v>
      </c>
      <c r="BH53" t="s">
        <v>46</v>
      </c>
      <c r="BI53" t="s">
        <v>1117</v>
      </c>
    </row>
    <row r="54" spans="1:119" x14ac:dyDescent="0.3">
      <c r="A54">
        <v>61</v>
      </c>
      <c r="B54" t="s">
        <v>12653</v>
      </c>
      <c r="C54" t="s">
        <v>12652</v>
      </c>
      <c r="D54" t="s">
        <v>1385</v>
      </c>
      <c r="E54">
        <v>2023</v>
      </c>
      <c r="F54" t="s">
        <v>383</v>
      </c>
      <c r="G54">
        <v>3516</v>
      </c>
      <c r="J54">
        <v>55</v>
      </c>
      <c r="K54">
        <v>59</v>
      </c>
      <c r="O54" t="s">
        <v>1386</v>
      </c>
      <c r="P54" t="s">
        <v>12651</v>
      </c>
      <c r="Q54" t="s">
        <v>12650</v>
      </c>
      <c r="R54" t="s">
        <v>12649</v>
      </c>
      <c r="S54" t="s">
        <v>1387</v>
      </c>
      <c r="T54" t="s">
        <v>1388</v>
      </c>
      <c r="Z54" t="s">
        <v>12648</v>
      </c>
      <c r="AA54" t="s">
        <v>12647</v>
      </c>
      <c r="AP54" t="s">
        <v>12646</v>
      </c>
      <c r="AQ54" t="s">
        <v>12645</v>
      </c>
      <c r="AR54" t="s">
        <v>12644</v>
      </c>
      <c r="AS54" t="s">
        <v>12643</v>
      </c>
      <c r="AT54" t="s">
        <v>389</v>
      </c>
      <c r="AU54" t="s">
        <v>12642</v>
      </c>
      <c r="AV54" t="s">
        <v>12641</v>
      </c>
      <c r="AX54">
        <v>193703</v>
      </c>
      <c r="AY54">
        <v>16130073</v>
      </c>
      <c r="BC54" t="s">
        <v>42</v>
      </c>
      <c r="BD54" t="s">
        <v>390</v>
      </c>
      <c r="BE54" t="s">
        <v>12252</v>
      </c>
      <c r="BF54" t="s">
        <v>45</v>
      </c>
      <c r="BH54" t="s">
        <v>46</v>
      </c>
      <c r="BI54" t="s">
        <v>1389</v>
      </c>
    </row>
    <row r="55" spans="1:119" x14ac:dyDescent="0.3">
      <c r="A55">
        <v>62</v>
      </c>
      <c r="B55" t="s">
        <v>12504</v>
      </c>
      <c r="C55" t="s">
        <v>12503</v>
      </c>
      <c r="D55" t="s">
        <v>1267</v>
      </c>
      <c r="E55">
        <v>2023</v>
      </c>
      <c r="F55" t="s">
        <v>127</v>
      </c>
      <c r="G55" t="s">
        <v>1268</v>
      </c>
      <c r="J55">
        <v>402</v>
      </c>
      <c r="K55">
        <v>407</v>
      </c>
      <c r="N55" t="s">
        <v>1269</v>
      </c>
      <c r="O55" t="s">
        <v>1270</v>
      </c>
      <c r="P55" t="s">
        <v>12502</v>
      </c>
      <c r="Q55" t="s">
        <v>12501</v>
      </c>
      <c r="R55" t="s">
        <v>1271</v>
      </c>
      <c r="S55" t="s">
        <v>1272</v>
      </c>
      <c r="T55" t="s">
        <v>1273</v>
      </c>
      <c r="AP55" t="s">
        <v>12500</v>
      </c>
      <c r="AQ55" t="s">
        <v>12499</v>
      </c>
      <c r="AR55" t="s">
        <v>12498</v>
      </c>
      <c r="AT55" t="s">
        <v>92</v>
      </c>
      <c r="AU55" t="s">
        <v>12497</v>
      </c>
      <c r="AV55" t="s">
        <v>12496</v>
      </c>
      <c r="AX55">
        <v>299839</v>
      </c>
      <c r="AY55">
        <v>3029743</v>
      </c>
      <c r="AZ55">
        <v>9783031422928</v>
      </c>
      <c r="BC55" t="s">
        <v>42</v>
      </c>
      <c r="BD55" t="s">
        <v>128</v>
      </c>
      <c r="BE55" t="s">
        <v>12252</v>
      </c>
      <c r="BF55" t="s">
        <v>45</v>
      </c>
      <c r="BH55" t="s">
        <v>46</v>
      </c>
      <c r="BI55" t="s">
        <v>1274</v>
      </c>
    </row>
    <row r="56" spans="1:119" x14ac:dyDescent="0.3">
      <c r="A56">
        <v>63</v>
      </c>
      <c r="B56" t="s">
        <v>12804</v>
      </c>
      <c r="C56" t="s">
        <v>12803</v>
      </c>
      <c r="D56" t="s">
        <v>508</v>
      </c>
      <c r="E56">
        <v>2023</v>
      </c>
      <c r="F56" t="s">
        <v>383</v>
      </c>
      <c r="G56">
        <v>3596</v>
      </c>
      <c r="O56" t="s">
        <v>509</v>
      </c>
      <c r="P56" t="s">
        <v>510</v>
      </c>
      <c r="Q56" t="s">
        <v>12802</v>
      </c>
      <c r="R56" t="s">
        <v>511</v>
      </c>
      <c r="S56" t="s">
        <v>512</v>
      </c>
      <c r="T56" t="s">
        <v>513</v>
      </c>
      <c r="Y56" t="s">
        <v>12801</v>
      </c>
      <c r="Z56" t="s">
        <v>12800</v>
      </c>
      <c r="AP56" t="s">
        <v>12799</v>
      </c>
      <c r="AQ56" t="s">
        <v>12798</v>
      </c>
      <c r="AR56" t="s">
        <v>12797</v>
      </c>
      <c r="AT56" t="s">
        <v>389</v>
      </c>
      <c r="AU56" t="s">
        <v>12796</v>
      </c>
      <c r="AV56" t="s">
        <v>12795</v>
      </c>
      <c r="AX56">
        <v>195716</v>
      </c>
      <c r="AY56">
        <v>16130073</v>
      </c>
      <c r="BC56" t="s">
        <v>42</v>
      </c>
      <c r="BD56" t="s">
        <v>390</v>
      </c>
      <c r="BE56" t="s">
        <v>12252</v>
      </c>
      <c r="BF56" t="s">
        <v>45</v>
      </c>
      <c r="BH56" t="s">
        <v>46</v>
      </c>
      <c r="BI56" t="s">
        <v>514</v>
      </c>
    </row>
    <row r="57" spans="1:119" x14ac:dyDescent="0.3">
      <c r="A57">
        <v>64</v>
      </c>
      <c r="B57" t="s">
        <v>12810</v>
      </c>
      <c r="C57" t="s">
        <v>12809</v>
      </c>
      <c r="D57" t="s">
        <v>559</v>
      </c>
      <c r="E57">
        <v>2023</v>
      </c>
      <c r="F57" t="s">
        <v>560</v>
      </c>
      <c r="G57">
        <v>25</v>
      </c>
      <c r="H57">
        <v>1</v>
      </c>
      <c r="I57" t="s">
        <v>561</v>
      </c>
      <c r="M57">
        <v>1</v>
      </c>
      <c r="N57" t="s">
        <v>562</v>
      </c>
      <c r="O57" t="s">
        <v>563</v>
      </c>
      <c r="P57" t="s">
        <v>564</v>
      </c>
      <c r="Q57" t="s">
        <v>12808</v>
      </c>
      <c r="R57" t="s">
        <v>565</v>
      </c>
      <c r="S57" t="s">
        <v>566</v>
      </c>
      <c r="T57" t="s">
        <v>12807</v>
      </c>
      <c r="Z57" t="s">
        <v>1666</v>
      </c>
      <c r="AP57" t="s">
        <v>12806</v>
      </c>
      <c r="AQ57" t="s">
        <v>12805</v>
      </c>
      <c r="AT57" t="s">
        <v>129</v>
      </c>
      <c r="AY57">
        <v>14388871</v>
      </c>
      <c r="BB57">
        <v>38009003</v>
      </c>
      <c r="BC57" t="s">
        <v>42</v>
      </c>
      <c r="BD57" t="s">
        <v>567</v>
      </c>
      <c r="BE57" t="s">
        <v>56</v>
      </c>
      <c r="BF57" t="s">
        <v>45</v>
      </c>
      <c r="BG57" t="s">
        <v>12214</v>
      </c>
      <c r="BH57" t="s">
        <v>46</v>
      </c>
      <c r="BI57" t="s">
        <v>568</v>
      </c>
    </row>
    <row r="58" spans="1:119" x14ac:dyDescent="0.3">
      <c r="A58">
        <v>65</v>
      </c>
      <c r="B58" t="s">
        <v>12395</v>
      </c>
      <c r="C58" t="s">
        <v>12394</v>
      </c>
      <c r="D58" t="s">
        <v>1065</v>
      </c>
      <c r="E58">
        <v>2023</v>
      </c>
      <c r="F58" t="s">
        <v>996</v>
      </c>
      <c r="G58">
        <v>9</v>
      </c>
      <c r="I58" t="s">
        <v>1066</v>
      </c>
      <c r="M58">
        <v>34</v>
      </c>
      <c r="N58" t="s">
        <v>1067</v>
      </c>
      <c r="O58" t="s">
        <v>1068</v>
      </c>
      <c r="P58" t="s">
        <v>1069</v>
      </c>
      <c r="Q58" t="s">
        <v>12393</v>
      </c>
      <c r="R58" t="s">
        <v>1070</v>
      </c>
      <c r="S58" t="s">
        <v>1071</v>
      </c>
      <c r="AP58" t="s">
        <v>12392</v>
      </c>
      <c r="AQ58" t="s">
        <v>12391</v>
      </c>
      <c r="AT58" t="s">
        <v>129</v>
      </c>
      <c r="AY58">
        <v>23693762</v>
      </c>
      <c r="BC58" t="s">
        <v>42</v>
      </c>
      <c r="BD58" t="s">
        <v>1003</v>
      </c>
      <c r="BE58" t="s">
        <v>56</v>
      </c>
      <c r="BF58" t="s">
        <v>45</v>
      </c>
      <c r="BG58" t="s">
        <v>12214</v>
      </c>
      <c r="BH58" t="s">
        <v>46</v>
      </c>
      <c r="BI58" t="s">
        <v>1072</v>
      </c>
    </row>
    <row r="59" spans="1:119" x14ac:dyDescent="0.3">
      <c r="A59">
        <v>67</v>
      </c>
      <c r="B59" t="s">
        <v>13701</v>
      </c>
      <c r="C59" t="s">
        <v>13700</v>
      </c>
      <c r="D59" t="s">
        <v>293</v>
      </c>
      <c r="E59">
        <v>2023</v>
      </c>
      <c r="F59" t="s">
        <v>294</v>
      </c>
      <c r="G59">
        <v>100</v>
      </c>
      <c r="H59">
        <v>12</v>
      </c>
      <c r="J59">
        <v>4876</v>
      </c>
      <c r="K59">
        <v>4883</v>
      </c>
      <c r="M59">
        <v>3</v>
      </c>
      <c r="N59" t="s">
        <v>295</v>
      </c>
      <c r="O59" t="s">
        <v>296</v>
      </c>
      <c r="P59" t="s">
        <v>13699</v>
      </c>
      <c r="Q59" t="s">
        <v>13698</v>
      </c>
      <c r="R59" t="s">
        <v>297</v>
      </c>
      <c r="S59" t="s">
        <v>298</v>
      </c>
      <c r="AJ59" t="s">
        <v>13697</v>
      </c>
      <c r="AK59" t="s">
        <v>13696</v>
      </c>
      <c r="AN59" t="s">
        <v>299</v>
      </c>
      <c r="AS59">
        <v>219584</v>
      </c>
      <c r="AU59" t="s">
        <v>300</v>
      </c>
      <c r="AW59" t="s">
        <v>42</v>
      </c>
      <c r="AX59" t="s">
        <v>301</v>
      </c>
      <c r="AY59" t="s">
        <v>56</v>
      </c>
      <c r="AZ59" t="s">
        <v>45</v>
      </c>
      <c r="BA59" t="s">
        <v>12275</v>
      </c>
      <c r="BB59" t="s">
        <v>46</v>
      </c>
      <c r="BC59" t="s">
        <v>302</v>
      </c>
    </row>
    <row r="60" spans="1:119" x14ac:dyDescent="0.3">
      <c r="A60">
        <v>68</v>
      </c>
      <c r="B60" t="s">
        <v>12775</v>
      </c>
      <c r="C60" t="s">
        <v>12774</v>
      </c>
      <c r="D60" t="s">
        <v>531</v>
      </c>
      <c r="E60">
        <v>2023</v>
      </c>
      <c r="F60" t="s">
        <v>335</v>
      </c>
      <c r="G60">
        <v>8</v>
      </c>
      <c r="I60">
        <v>1272229</v>
      </c>
      <c r="N60" t="s">
        <v>532</v>
      </c>
      <c r="O60" t="s">
        <v>533</v>
      </c>
      <c r="P60" t="s">
        <v>534</v>
      </c>
      <c r="Q60" t="s">
        <v>12773</v>
      </c>
      <c r="R60" t="s">
        <v>535</v>
      </c>
      <c r="S60" t="s">
        <v>536</v>
      </c>
      <c r="Y60" t="s">
        <v>12772</v>
      </c>
      <c r="Z60" t="s">
        <v>12771</v>
      </c>
      <c r="AP60" t="s">
        <v>12770</v>
      </c>
      <c r="AQ60" t="s">
        <v>12769</v>
      </c>
      <c r="AT60" t="s">
        <v>340</v>
      </c>
      <c r="AY60" t="s">
        <v>341</v>
      </c>
      <c r="BC60" t="s">
        <v>42</v>
      </c>
      <c r="BD60" t="s">
        <v>342</v>
      </c>
      <c r="BE60" t="s">
        <v>56</v>
      </c>
      <c r="BF60" t="s">
        <v>45</v>
      </c>
      <c r="BG60" t="s">
        <v>12251</v>
      </c>
      <c r="BH60" t="s">
        <v>46</v>
      </c>
      <c r="BI60" t="s">
        <v>537</v>
      </c>
      <c r="CW60" s="6"/>
      <c r="CX60" s="6"/>
      <c r="CY60" s="6"/>
      <c r="CZ60" s="6"/>
      <c r="DA60" s="6"/>
      <c r="DB60" s="6"/>
      <c r="DC60" s="6"/>
      <c r="DD60" s="6"/>
      <c r="DE60" s="6"/>
      <c r="DF60" s="6"/>
      <c r="DG60" s="6"/>
      <c r="DH60" s="6"/>
      <c r="DI60" s="6"/>
      <c r="DJ60" s="6"/>
      <c r="DK60" s="6"/>
      <c r="DL60" s="6"/>
      <c r="DM60" s="6"/>
      <c r="DN60" s="6"/>
      <c r="DO60" s="6"/>
    </row>
    <row r="61" spans="1:119" x14ac:dyDescent="0.3">
      <c r="A61">
        <v>69</v>
      </c>
      <c r="B61" t="s">
        <v>12662</v>
      </c>
      <c r="C61" t="s">
        <v>12661</v>
      </c>
      <c r="D61" t="s">
        <v>1170</v>
      </c>
      <c r="E61">
        <v>2023</v>
      </c>
      <c r="F61" t="s">
        <v>797</v>
      </c>
      <c r="G61">
        <v>20</v>
      </c>
      <c r="H61">
        <v>7</v>
      </c>
      <c r="I61">
        <v>8</v>
      </c>
      <c r="N61" t="s">
        <v>1171</v>
      </c>
      <c r="O61" t="s">
        <v>1172</v>
      </c>
      <c r="P61" t="s">
        <v>1173</v>
      </c>
      <c r="Q61" t="s">
        <v>12660</v>
      </c>
      <c r="R61" t="s">
        <v>1174</v>
      </c>
      <c r="S61" t="s">
        <v>1175</v>
      </c>
      <c r="AP61" t="s">
        <v>12659</v>
      </c>
      <c r="AT61" t="s">
        <v>803</v>
      </c>
      <c r="AY61">
        <v>14499789</v>
      </c>
      <c r="BC61" t="s">
        <v>42</v>
      </c>
      <c r="BD61" t="s">
        <v>804</v>
      </c>
      <c r="BE61" t="s">
        <v>56</v>
      </c>
      <c r="BF61" t="s">
        <v>45</v>
      </c>
      <c r="BG61" t="s">
        <v>12224</v>
      </c>
      <c r="BH61" t="s">
        <v>46</v>
      </c>
      <c r="BI61" t="s">
        <v>1176</v>
      </c>
    </row>
    <row r="62" spans="1:119" x14ac:dyDescent="0.3">
      <c r="A62">
        <v>71</v>
      </c>
      <c r="B62" t="s">
        <v>12658</v>
      </c>
      <c r="C62" t="s">
        <v>12657</v>
      </c>
      <c r="D62" t="s">
        <v>1275</v>
      </c>
      <c r="E62">
        <v>2023</v>
      </c>
      <c r="F62" t="s">
        <v>1276</v>
      </c>
      <c r="G62">
        <v>11</v>
      </c>
      <c r="I62" t="s">
        <v>1277</v>
      </c>
      <c r="M62">
        <v>7</v>
      </c>
      <c r="N62" t="s">
        <v>1278</v>
      </c>
      <c r="O62" t="s">
        <v>1279</v>
      </c>
      <c r="P62" t="s">
        <v>1280</v>
      </c>
      <c r="Q62" t="s">
        <v>12656</v>
      </c>
      <c r="R62" t="s">
        <v>1281</v>
      </c>
      <c r="S62" t="s">
        <v>1282</v>
      </c>
      <c r="AP62" t="s">
        <v>12655</v>
      </c>
      <c r="AQ62" t="s">
        <v>12654</v>
      </c>
      <c r="AT62" t="s">
        <v>129</v>
      </c>
      <c r="AY62">
        <v>22919694</v>
      </c>
      <c r="BC62" t="s">
        <v>42</v>
      </c>
      <c r="BD62" t="s">
        <v>1283</v>
      </c>
      <c r="BE62" t="s">
        <v>56</v>
      </c>
      <c r="BF62" t="s">
        <v>45</v>
      </c>
      <c r="BG62" t="s">
        <v>12214</v>
      </c>
      <c r="BH62" t="s">
        <v>46</v>
      </c>
      <c r="BI62" t="s">
        <v>1284</v>
      </c>
    </row>
    <row r="63" spans="1:119" x14ac:dyDescent="0.3">
      <c r="A63">
        <v>72</v>
      </c>
      <c r="B63" t="s">
        <v>1213</v>
      </c>
      <c r="C63" t="s">
        <v>12427</v>
      </c>
      <c r="D63" t="s">
        <v>1214</v>
      </c>
      <c r="E63">
        <v>2023</v>
      </c>
      <c r="F63" t="s">
        <v>1215</v>
      </c>
      <c r="J63">
        <v>316</v>
      </c>
      <c r="K63">
        <v>340</v>
      </c>
      <c r="N63" t="s">
        <v>1216</v>
      </c>
      <c r="O63" t="s">
        <v>1217</v>
      </c>
      <c r="Q63" t="s">
        <v>12426</v>
      </c>
      <c r="R63" t="s">
        <v>1218</v>
      </c>
      <c r="AP63" t="s">
        <v>12425</v>
      </c>
      <c r="AT63" t="s">
        <v>401</v>
      </c>
      <c r="AZ63" t="s">
        <v>12424</v>
      </c>
      <c r="BC63" t="s">
        <v>42</v>
      </c>
      <c r="BD63" t="s">
        <v>1219</v>
      </c>
      <c r="BE63" t="s">
        <v>12262</v>
      </c>
      <c r="BF63" t="s">
        <v>45</v>
      </c>
      <c r="BH63" t="s">
        <v>46</v>
      </c>
      <c r="BI63" t="s">
        <v>1220</v>
      </c>
    </row>
    <row r="64" spans="1:119" x14ac:dyDescent="0.3">
      <c r="A64">
        <v>73</v>
      </c>
      <c r="B64" t="s">
        <v>13482</v>
      </c>
      <c r="C64" t="s">
        <v>13481</v>
      </c>
      <c r="D64" t="s">
        <v>485</v>
      </c>
      <c r="E64">
        <v>2023</v>
      </c>
      <c r="F64" t="s">
        <v>486</v>
      </c>
      <c r="G64">
        <v>18</v>
      </c>
      <c r="H64" t="s">
        <v>487</v>
      </c>
      <c r="I64" t="s">
        <v>488</v>
      </c>
      <c r="M64">
        <v>5</v>
      </c>
      <c r="N64" t="s">
        <v>489</v>
      </c>
      <c r="O64" t="s">
        <v>490</v>
      </c>
      <c r="P64" t="s">
        <v>491</v>
      </c>
      <c r="Q64" t="s">
        <v>13480</v>
      </c>
      <c r="R64" t="s">
        <v>492</v>
      </c>
      <c r="T64" t="s">
        <v>13479</v>
      </c>
      <c r="AJ64" t="s">
        <v>13478</v>
      </c>
      <c r="AK64" t="s">
        <v>13477</v>
      </c>
      <c r="AN64" t="s">
        <v>493</v>
      </c>
      <c r="AS64">
        <v>19326203</v>
      </c>
      <c r="AU64" t="s">
        <v>494</v>
      </c>
      <c r="AV64">
        <v>37796786</v>
      </c>
      <c r="AW64" t="s">
        <v>42</v>
      </c>
      <c r="AX64" t="s">
        <v>486</v>
      </c>
      <c r="AY64" t="s">
        <v>56</v>
      </c>
      <c r="AZ64" t="s">
        <v>45</v>
      </c>
      <c r="BA64" t="s">
        <v>12214</v>
      </c>
      <c r="BB64" t="s">
        <v>46</v>
      </c>
      <c r="BC64" t="s">
        <v>495</v>
      </c>
    </row>
    <row r="65" spans="1:119" x14ac:dyDescent="0.3">
      <c r="A65">
        <v>74</v>
      </c>
      <c r="B65" t="s">
        <v>13017</v>
      </c>
      <c r="C65" t="s">
        <v>13016</v>
      </c>
      <c r="D65" t="s">
        <v>13015</v>
      </c>
      <c r="E65">
        <v>2023</v>
      </c>
      <c r="F65" t="s">
        <v>13014</v>
      </c>
      <c r="J65">
        <v>499</v>
      </c>
      <c r="K65">
        <v>505</v>
      </c>
      <c r="N65" t="s">
        <v>13013</v>
      </c>
      <c r="O65" t="s">
        <v>13012</v>
      </c>
      <c r="P65" t="s">
        <v>13011</v>
      </c>
      <c r="Q65" t="s">
        <v>13010</v>
      </c>
      <c r="R65" t="s">
        <v>13009</v>
      </c>
      <c r="S65" t="s">
        <v>13008</v>
      </c>
      <c r="T65" t="s">
        <v>13007</v>
      </c>
      <c r="Y65" t="s">
        <v>13006</v>
      </c>
      <c r="Z65" t="s">
        <v>13005</v>
      </c>
      <c r="AJ65" t="s">
        <v>13004</v>
      </c>
      <c r="AK65" t="s">
        <v>13003</v>
      </c>
      <c r="AL65" t="s">
        <v>13002</v>
      </c>
      <c r="AM65" t="s">
        <v>13001</v>
      </c>
      <c r="AN65" t="s">
        <v>884</v>
      </c>
      <c r="AO65" t="s">
        <v>13000</v>
      </c>
      <c r="AP65" t="s">
        <v>12999</v>
      </c>
      <c r="AR65">
        <v>197121</v>
      </c>
      <c r="AS65">
        <v>23759232</v>
      </c>
      <c r="AT65">
        <v>9798350381641</v>
      </c>
      <c r="AW65" t="s">
        <v>42</v>
      </c>
      <c r="AX65" t="s">
        <v>12998</v>
      </c>
      <c r="AY65" t="s">
        <v>12252</v>
      </c>
      <c r="AZ65" t="s">
        <v>45</v>
      </c>
      <c r="BB65" t="s">
        <v>46</v>
      </c>
      <c r="BC65" t="s">
        <v>12997</v>
      </c>
    </row>
    <row r="66" spans="1:119" x14ac:dyDescent="0.3">
      <c r="A66">
        <v>75</v>
      </c>
      <c r="B66" t="s">
        <v>12667</v>
      </c>
      <c r="C66" t="s">
        <v>12666</v>
      </c>
      <c r="D66" t="s">
        <v>995</v>
      </c>
      <c r="E66">
        <v>2023</v>
      </c>
      <c r="F66" t="s">
        <v>996</v>
      </c>
      <c r="G66">
        <v>9</v>
      </c>
      <c r="I66" t="s">
        <v>997</v>
      </c>
      <c r="M66">
        <v>1</v>
      </c>
      <c r="N66" t="s">
        <v>998</v>
      </c>
      <c r="O66" t="s">
        <v>999</v>
      </c>
      <c r="P66" t="s">
        <v>1000</v>
      </c>
      <c r="Q66" t="s">
        <v>12665</v>
      </c>
      <c r="R66" t="s">
        <v>1001</v>
      </c>
      <c r="S66" t="s">
        <v>1002</v>
      </c>
      <c r="AP66" t="s">
        <v>12664</v>
      </c>
      <c r="AQ66" t="s">
        <v>12663</v>
      </c>
      <c r="AT66" t="s">
        <v>129</v>
      </c>
      <c r="AY66">
        <v>23693762</v>
      </c>
      <c r="BC66" t="s">
        <v>42</v>
      </c>
      <c r="BD66" t="s">
        <v>1003</v>
      </c>
      <c r="BE66" t="s">
        <v>56</v>
      </c>
      <c r="BF66" t="s">
        <v>45</v>
      </c>
      <c r="BG66" t="s">
        <v>12214</v>
      </c>
      <c r="BH66" t="s">
        <v>46</v>
      </c>
      <c r="BI66" t="s">
        <v>1004</v>
      </c>
    </row>
    <row r="67" spans="1:119" x14ac:dyDescent="0.3">
      <c r="A67">
        <v>76</v>
      </c>
      <c r="B67" t="s">
        <v>12495</v>
      </c>
      <c r="C67" t="s">
        <v>12494</v>
      </c>
      <c r="D67" t="s">
        <v>966</v>
      </c>
      <c r="E67">
        <v>2023</v>
      </c>
      <c r="F67" t="s">
        <v>967</v>
      </c>
      <c r="G67">
        <v>13</v>
      </c>
      <c r="I67">
        <v>1265024</v>
      </c>
      <c r="M67">
        <v>6</v>
      </c>
      <c r="N67" t="s">
        <v>968</v>
      </c>
      <c r="O67" t="s">
        <v>969</v>
      </c>
      <c r="P67" t="s">
        <v>970</v>
      </c>
      <c r="Q67" t="s">
        <v>12493</v>
      </c>
      <c r="R67" t="s">
        <v>971</v>
      </c>
      <c r="S67" t="s">
        <v>972</v>
      </c>
      <c r="T67" t="s">
        <v>973</v>
      </c>
      <c r="Z67" t="s">
        <v>12492</v>
      </c>
      <c r="AP67" t="s">
        <v>12491</v>
      </c>
      <c r="AQ67" t="s">
        <v>12490</v>
      </c>
      <c r="AT67" t="s">
        <v>340</v>
      </c>
      <c r="AY67" t="s">
        <v>974</v>
      </c>
      <c r="BC67" t="s">
        <v>42</v>
      </c>
      <c r="BD67" t="s">
        <v>975</v>
      </c>
      <c r="BE67" t="s">
        <v>56</v>
      </c>
      <c r="BF67" t="s">
        <v>45</v>
      </c>
      <c r="BG67" t="s">
        <v>12251</v>
      </c>
      <c r="BH67" t="s">
        <v>46</v>
      </c>
      <c r="BI67" t="s">
        <v>976</v>
      </c>
      <c r="CW67" s="6"/>
      <c r="CX67" s="6"/>
      <c r="CY67" s="6"/>
      <c r="CZ67" s="6"/>
      <c r="DA67" s="6"/>
      <c r="DB67" s="6"/>
      <c r="DC67" s="6"/>
      <c r="DD67" s="6"/>
      <c r="DE67" s="6"/>
      <c r="DF67" s="6"/>
      <c r="DG67" s="6"/>
      <c r="DH67" s="6"/>
      <c r="DI67" s="6"/>
      <c r="DJ67" s="6"/>
      <c r="DK67" s="6"/>
      <c r="DL67" s="6"/>
      <c r="DM67" s="6"/>
      <c r="DN67" s="6"/>
      <c r="DO67" s="6"/>
    </row>
    <row r="68" spans="1:119" x14ac:dyDescent="0.3">
      <c r="A68">
        <v>77</v>
      </c>
      <c r="B68" t="s">
        <v>13581</v>
      </c>
      <c r="C68" t="s">
        <v>13580</v>
      </c>
      <c r="D68" t="s">
        <v>600</v>
      </c>
      <c r="E68">
        <v>2023</v>
      </c>
      <c r="F68" t="s">
        <v>601</v>
      </c>
      <c r="G68">
        <v>5</v>
      </c>
      <c r="H68">
        <v>6</v>
      </c>
      <c r="I68" t="s">
        <v>602</v>
      </c>
      <c r="M68">
        <v>1</v>
      </c>
      <c r="N68" t="s">
        <v>603</v>
      </c>
      <c r="O68" t="s">
        <v>604</v>
      </c>
      <c r="P68" t="s">
        <v>13579</v>
      </c>
      <c r="Q68" t="s">
        <v>13578</v>
      </c>
      <c r="R68" t="s">
        <v>605</v>
      </c>
      <c r="S68" t="s">
        <v>606</v>
      </c>
      <c r="T68" t="s">
        <v>607</v>
      </c>
      <c r="V68" t="s">
        <v>13577</v>
      </c>
      <c r="Y68" t="s">
        <v>13576</v>
      </c>
      <c r="Z68" t="s">
        <v>13575</v>
      </c>
      <c r="AJ68" t="s">
        <v>13574</v>
      </c>
      <c r="AK68" t="s">
        <v>13573</v>
      </c>
      <c r="AN68" t="s">
        <v>372</v>
      </c>
      <c r="AS68">
        <v>26386100</v>
      </c>
      <c r="AW68" t="s">
        <v>42</v>
      </c>
      <c r="AX68" t="s">
        <v>608</v>
      </c>
      <c r="AY68" t="s">
        <v>56</v>
      </c>
      <c r="AZ68" t="s">
        <v>45</v>
      </c>
      <c r="BA68" t="s">
        <v>12245</v>
      </c>
      <c r="BB68" t="s">
        <v>46</v>
      </c>
      <c r="BC68" t="s">
        <v>609</v>
      </c>
    </row>
    <row r="69" spans="1:119" x14ac:dyDescent="0.3">
      <c r="A69">
        <v>78</v>
      </c>
      <c r="B69" t="s">
        <v>13615</v>
      </c>
      <c r="C69" t="s">
        <v>13614</v>
      </c>
      <c r="D69" t="s">
        <v>553</v>
      </c>
      <c r="E69">
        <v>2023</v>
      </c>
      <c r="F69" t="s">
        <v>124</v>
      </c>
      <c r="G69">
        <v>13</v>
      </c>
      <c r="H69">
        <v>1</v>
      </c>
      <c r="I69">
        <v>12187</v>
      </c>
      <c r="M69">
        <v>17</v>
      </c>
      <c r="N69" t="s">
        <v>554</v>
      </c>
      <c r="O69" t="s">
        <v>555</v>
      </c>
      <c r="P69" t="s">
        <v>556</v>
      </c>
      <c r="Q69" t="s">
        <v>13613</v>
      </c>
      <c r="R69" t="s">
        <v>557</v>
      </c>
      <c r="T69" t="s">
        <v>13612</v>
      </c>
      <c r="Y69" t="s">
        <v>13522</v>
      </c>
      <c r="Z69" t="s">
        <v>3306</v>
      </c>
      <c r="AJ69" t="s">
        <v>13611</v>
      </c>
      <c r="AK69" t="s">
        <v>13610</v>
      </c>
      <c r="AN69" t="s">
        <v>125</v>
      </c>
      <c r="AS69">
        <v>20452322</v>
      </c>
      <c r="AV69">
        <v>37620342</v>
      </c>
      <c r="AW69" t="s">
        <v>42</v>
      </c>
      <c r="AX69" t="s">
        <v>126</v>
      </c>
      <c r="AY69" t="s">
        <v>56</v>
      </c>
      <c r="AZ69" t="s">
        <v>45</v>
      </c>
      <c r="BA69" t="s">
        <v>12214</v>
      </c>
      <c r="BB69" t="s">
        <v>46</v>
      </c>
      <c r="BC69" t="s">
        <v>558</v>
      </c>
    </row>
    <row r="70" spans="1:119" x14ac:dyDescent="0.3">
      <c r="A70">
        <v>79</v>
      </c>
      <c r="B70" t="s">
        <v>13681</v>
      </c>
      <c r="C70" t="s">
        <v>13680</v>
      </c>
      <c r="D70" t="s">
        <v>737</v>
      </c>
      <c r="E70">
        <v>2023</v>
      </c>
      <c r="F70" t="s">
        <v>738</v>
      </c>
      <c r="G70">
        <v>7</v>
      </c>
      <c r="H70">
        <v>4</v>
      </c>
      <c r="I70">
        <v>182</v>
      </c>
      <c r="N70" t="s">
        <v>739</v>
      </c>
      <c r="O70" t="s">
        <v>740</v>
      </c>
      <c r="P70" t="s">
        <v>741</v>
      </c>
      <c r="Q70" t="s">
        <v>13679</v>
      </c>
      <c r="R70" t="s">
        <v>742</v>
      </c>
      <c r="S70" t="s">
        <v>743</v>
      </c>
      <c r="T70" t="s">
        <v>744</v>
      </c>
      <c r="Z70" t="s">
        <v>13678</v>
      </c>
      <c r="AJ70" t="s">
        <v>13677</v>
      </c>
      <c r="AK70" t="s">
        <v>13676</v>
      </c>
      <c r="AN70" t="s">
        <v>180</v>
      </c>
      <c r="AS70">
        <v>25042289</v>
      </c>
      <c r="AW70" t="s">
        <v>42</v>
      </c>
      <c r="AX70" t="s">
        <v>745</v>
      </c>
      <c r="AY70" t="s">
        <v>56</v>
      </c>
      <c r="AZ70" t="s">
        <v>45</v>
      </c>
      <c r="BA70" t="s">
        <v>12251</v>
      </c>
      <c r="BB70" t="s">
        <v>46</v>
      </c>
      <c r="BC70" t="s">
        <v>746</v>
      </c>
    </row>
    <row r="71" spans="1:119" x14ac:dyDescent="0.3">
      <c r="A71">
        <v>80</v>
      </c>
      <c r="B71" t="s">
        <v>13293</v>
      </c>
      <c r="C71" t="s">
        <v>13292</v>
      </c>
      <c r="D71" t="s">
        <v>610</v>
      </c>
      <c r="E71">
        <v>2023</v>
      </c>
      <c r="F71" t="s">
        <v>305</v>
      </c>
      <c r="G71">
        <v>6</v>
      </c>
      <c r="H71">
        <v>2</v>
      </c>
      <c r="J71">
        <v>56</v>
      </c>
      <c r="K71">
        <v>63</v>
      </c>
      <c r="M71">
        <v>9</v>
      </c>
      <c r="N71" t="s">
        <v>611</v>
      </c>
      <c r="O71" t="s">
        <v>612</v>
      </c>
      <c r="P71" t="s">
        <v>613</v>
      </c>
      <c r="Q71" t="s">
        <v>13291</v>
      </c>
      <c r="R71" t="s">
        <v>614</v>
      </c>
      <c r="S71" t="s">
        <v>615</v>
      </c>
      <c r="AJ71" t="s">
        <v>13290</v>
      </c>
      <c r="AK71" t="s">
        <v>13289</v>
      </c>
      <c r="AN71" t="s">
        <v>311</v>
      </c>
      <c r="AS71" t="s">
        <v>312</v>
      </c>
      <c r="AW71" t="s">
        <v>42</v>
      </c>
      <c r="AX71" t="s">
        <v>313</v>
      </c>
      <c r="AY71" t="s">
        <v>56</v>
      </c>
      <c r="AZ71" t="s">
        <v>45</v>
      </c>
      <c r="BA71" t="s">
        <v>12349</v>
      </c>
      <c r="BB71" t="s">
        <v>46</v>
      </c>
      <c r="BC71" t="s">
        <v>616</v>
      </c>
    </row>
    <row r="72" spans="1:119" x14ac:dyDescent="0.3">
      <c r="A72">
        <v>81</v>
      </c>
      <c r="B72" t="s">
        <v>13224</v>
      </c>
      <c r="C72" t="s">
        <v>13223</v>
      </c>
      <c r="D72" t="s">
        <v>152</v>
      </c>
      <c r="E72">
        <v>2023</v>
      </c>
      <c r="F72" t="s">
        <v>153</v>
      </c>
      <c r="G72">
        <v>9</v>
      </c>
      <c r="H72">
        <v>2</v>
      </c>
      <c r="J72">
        <v>214</v>
      </c>
      <c r="K72">
        <v>221</v>
      </c>
      <c r="M72">
        <v>50</v>
      </c>
      <c r="N72" t="s">
        <v>154</v>
      </c>
      <c r="O72" t="s">
        <v>155</v>
      </c>
      <c r="P72" t="s">
        <v>156</v>
      </c>
      <c r="Q72" t="s">
        <v>13222</v>
      </c>
      <c r="R72" t="s">
        <v>157</v>
      </c>
      <c r="S72" t="s">
        <v>158</v>
      </c>
      <c r="AJ72" t="s">
        <v>13221</v>
      </c>
      <c r="AK72" t="s">
        <v>13220</v>
      </c>
      <c r="AN72" t="s">
        <v>159</v>
      </c>
      <c r="AS72">
        <v>20555911</v>
      </c>
      <c r="AW72" t="s">
        <v>42</v>
      </c>
      <c r="AX72" t="s">
        <v>160</v>
      </c>
      <c r="AY72" t="s">
        <v>56</v>
      </c>
      <c r="AZ72" t="s">
        <v>45</v>
      </c>
      <c r="BA72" t="s">
        <v>12251</v>
      </c>
      <c r="BB72" t="s">
        <v>46</v>
      </c>
      <c r="BC72" t="s">
        <v>161</v>
      </c>
    </row>
    <row r="73" spans="1:119" x14ac:dyDescent="0.3">
      <c r="A73">
        <v>83</v>
      </c>
      <c r="B73" t="s">
        <v>12762</v>
      </c>
      <c r="C73" t="s">
        <v>12761</v>
      </c>
      <c r="D73" t="s">
        <v>1327</v>
      </c>
      <c r="E73">
        <v>2023</v>
      </c>
      <c r="F73" t="s">
        <v>1328</v>
      </c>
      <c r="J73">
        <v>340</v>
      </c>
      <c r="K73">
        <v>343</v>
      </c>
      <c r="N73" t="s">
        <v>1329</v>
      </c>
      <c r="O73" t="s">
        <v>1330</v>
      </c>
      <c r="P73" t="s">
        <v>1331</v>
      </c>
      <c r="Q73" t="s">
        <v>12760</v>
      </c>
      <c r="R73" t="s">
        <v>1332</v>
      </c>
      <c r="S73" t="s">
        <v>1333</v>
      </c>
      <c r="T73" t="s">
        <v>1334</v>
      </c>
      <c r="Y73" t="s">
        <v>12759</v>
      </c>
      <c r="Z73" t="s">
        <v>12758</v>
      </c>
      <c r="AP73" t="s">
        <v>12757</v>
      </c>
      <c r="AR73" t="s">
        <v>12756</v>
      </c>
      <c r="AT73" t="s">
        <v>88</v>
      </c>
      <c r="AU73" t="s">
        <v>12755</v>
      </c>
      <c r="AV73" t="s">
        <v>12754</v>
      </c>
      <c r="AX73">
        <v>194546</v>
      </c>
      <c r="AZ73">
        <v>9798350347029</v>
      </c>
      <c r="BC73" t="s">
        <v>42</v>
      </c>
      <c r="BD73" t="s">
        <v>1335</v>
      </c>
      <c r="BE73" t="s">
        <v>12252</v>
      </c>
      <c r="BF73" t="s">
        <v>45</v>
      </c>
      <c r="BH73" t="s">
        <v>46</v>
      </c>
      <c r="BI73" t="s">
        <v>1336</v>
      </c>
    </row>
    <row r="74" spans="1:119" x14ac:dyDescent="0.3">
      <c r="A74">
        <v>84</v>
      </c>
      <c r="B74" t="s">
        <v>12379</v>
      </c>
      <c r="C74" t="s">
        <v>12378</v>
      </c>
      <c r="D74" t="s">
        <v>12377</v>
      </c>
      <c r="E74">
        <v>2023</v>
      </c>
      <c r="F74" t="s">
        <v>12376</v>
      </c>
      <c r="M74">
        <v>15</v>
      </c>
      <c r="N74" t="s">
        <v>12375</v>
      </c>
      <c r="O74" t="s">
        <v>12374</v>
      </c>
      <c r="P74" t="s">
        <v>12373</v>
      </c>
      <c r="Q74" t="s">
        <v>12372</v>
      </c>
      <c r="R74" t="s">
        <v>12371</v>
      </c>
      <c r="S74" t="s">
        <v>12370</v>
      </c>
      <c r="AP74" t="s">
        <v>12369</v>
      </c>
      <c r="AQ74" t="s">
        <v>12368</v>
      </c>
      <c r="AT74" t="s">
        <v>251</v>
      </c>
      <c r="AY74">
        <v>10494820</v>
      </c>
      <c r="BC74" t="s">
        <v>42</v>
      </c>
      <c r="BD74" t="s">
        <v>12367</v>
      </c>
      <c r="BE74" t="s">
        <v>12366</v>
      </c>
      <c r="BF74" t="s">
        <v>12365</v>
      </c>
      <c r="BH74" t="s">
        <v>46</v>
      </c>
      <c r="BI74" t="s">
        <v>12364</v>
      </c>
    </row>
    <row r="75" spans="1:119" x14ac:dyDescent="0.3">
      <c r="A75">
        <v>85</v>
      </c>
      <c r="B75" t="s">
        <v>12522</v>
      </c>
      <c r="C75" t="s">
        <v>12521</v>
      </c>
      <c r="D75" t="s">
        <v>12520</v>
      </c>
      <c r="E75">
        <v>2023</v>
      </c>
      <c r="F75" t="s">
        <v>12520</v>
      </c>
      <c r="J75">
        <v>1</v>
      </c>
      <c r="K75">
        <v>237</v>
      </c>
      <c r="N75" t="s">
        <v>12519</v>
      </c>
      <c r="O75" t="s">
        <v>12518</v>
      </c>
      <c r="Q75" t="s">
        <v>12517</v>
      </c>
      <c r="R75" t="s">
        <v>12516</v>
      </c>
      <c r="AT75" t="s">
        <v>12515</v>
      </c>
      <c r="AZ75" t="s">
        <v>12514</v>
      </c>
      <c r="BC75" t="s">
        <v>42</v>
      </c>
      <c r="BD75" t="s">
        <v>12513</v>
      </c>
      <c r="BE75" t="s">
        <v>12512</v>
      </c>
      <c r="BF75" t="s">
        <v>45</v>
      </c>
      <c r="BH75" t="s">
        <v>46</v>
      </c>
      <c r="BI75" t="s">
        <v>12511</v>
      </c>
      <c r="CW75" s="6"/>
      <c r="CX75" s="6"/>
      <c r="CY75" s="6"/>
      <c r="CZ75" s="6"/>
      <c r="DA75" s="6"/>
      <c r="DB75" s="6"/>
      <c r="DC75" s="6"/>
      <c r="DD75" s="6"/>
      <c r="DE75" s="6"/>
      <c r="DF75" s="6"/>
      <c r="DG75" s="6"/>
      <c r="DH75" s="6"/>
      <c r="DI75" s="6"/>
      <c r="DJ75" s="6"/>
      <c r="DK75" s="6"/>
      <c r="DL75" s="6"/>
      <c r="DM75" s="6"/>
      <c r="DN75" s="6"/>
      <c r="DO75" s="6"/>
    </row>
    <row r="76" spans="1:119" x14ac:dyDescent="0.3">
      <c r="A76">
        <v>86</v>
      </c>
      <c r="B76" t="s">
        <v>12462</v>
      </c>
      <c r="C76" t="s">
        <v>12461</v>
      </c>
      <c r="D76" t="s">
        <v>1238</v>
      </c>
      <c r="E76">
        <v>2023</v>
      </c>
      <c r="F76" t="s">
        <v>91</v>
      </c>
      <c r="G76" t="s">
        <v>1239</v>
      </c>
      <c r="J76">
        <v>439</v>
      </c>
      <c r="K76">
        <v>446</v>
      </c>
      <c r="N76" t="s">
        <v>1240</v>
      </c>
      <c r="O76" t="s">
        <v>1241</v>
      </c>
      <c r="P76" t="s">
        <v>1242</v>
      </c>
      <c r="Q76" t="s">
        <v>12460</v>
      </c>
      <c r="R76" t="s">
        <v>1243</v>
      </c>
      <c r="S76" t="s">
        <v>1244</v>
      </c>
      <c r="T76" t="s">
        <v>1245</v>
      </c>
      <c r="Y76" t="s">
        <v>12459</v>
      </c>
      <c r="Z76" t="s">
        <v>12458</v>
      </c>
      <c r="AA76" t="s">
        <v>12457</v>
      </c>
      <c r="AB76" t="s">
        <v>12456</v>
      </c>
      <c r="AC76" t="s">
        <v>12455</v>
      </c>
      <c r="AD76" t="s">
        <v>12454</v>
      </c>
      <c r="AE76" t="s">
        <v>12453</v>
      </c>
      <c r="AF76" t="s">
        <v>12452</v>
      </c>
      <c r="AG76" t="s">
        <v>12451</v>
      </c>
      <c r="AH76" t="s">
        <v>12450</v>
      </c>
      <c r="AP76" t="s">
        <v>12449</v>
      </c>
      <c r="AQ76" t="s">
        <v>12448</v>
      </c>
      <c r="AR76" t="s">
        <v>12447</v>
      </c>
      <c r="AT76" t="s">
        <v>92</v>
      </c>
      <c r="AU76" t="s">
        <v>12446</v>
      </c>
      <c r="AV76" t="s">
        <v>12445</v>
      </c>
      <c r="AX76">
        <v>297769</v>
      </c>
      <c r="AY76">
        <v>18650929</v>
      </c>
      <c r="AZ76">
        <v>9783031360039</v>
      </c>
      <c r="BC76" t="s">
        <v>42</v>
      </c>
      <c r="BD76" t="s">
        <v>93</v>
      </c>
      <c r="BE76" t="s">
        <v>12252</v>
      </c>
      <c r="BF76" t="s">
        <v>45</v>
      </c>
      <c r="BH76" t="s">
        <v>46</v>
      </c>
      <c r="BI76" t="s">
        <v>1246</v>
      </c>
    </row>
    <row r="77" spans="1:119" x14ac:dyDescent="0.3">
      <c r="A77">
        <v>87</v>
      </c>
      <c r="B77" t="s">
        <v>12749</v>
      </c>
      <c r="C77" t="s">
        <v>12748</v>
      </c>
      <c r="D77" t="s">
        <v>497</v>
      </c>
      <c r="E77">
        <v>2023</v>
      </c>
      <c r="F77" t="s">
        <v>498</v>
      </c>
      <c r="G77" t="s">
        <v>499</v>
      </c>
      <c r="J77">
        <v>147</v>
      </c>
      <c r="K77">
        <v>155</v>
      </c>
      <c r="O77" t="s">
        <v>500</v>
      </c>
      <c r="P77" t="s">
        <v>501</v>
      </c>
      <c r="Q77" t="s">
        <v>12747</v>
      </c>
      <c r="R77" t="s">
        <v>502</v>
      </c>
      <c r="S77" t="s">
        <v>503</v>
      </c>
      <c r="T77" t="s">
        <v>504</v>
      </c>
      <c r="AP77" t="s">
        <v>12746</v>
      </c>
      <c r="AR77" t="s">
        <v>12741</v>
      </c>
      <c r="AT77" t="s">
        <v>505</v>
      </c>
      <c r="AU77" t="s">
        <v>12740</v>
      </c>
      <c r="AV77" t="s">
        <v>12731</v>
      </c>
      <c r="AX77">
        <v>194594</v>
      </c>
      <c r="AY77">
        <v>20488637</v>
      </c>
      <c r="AZ77">
        <v>9781914587900</v>
      </c>
      <c r="BC77" t="s">
        <v>42</v>
      </c>
      <c r="BD77" t="s">
        <v>506</v>
      </c>
      <c r="BE77" t="s">
        <v>12252</v>
      </c>
      <c r="BF77" t="s">
        <v>45</v>
      </c>
      <c r="BH77" t="s">
        <v>46</v>
      </c>
      <c r="BI77" t="s">
        <v>507</v>
      </c>
    </row>
    <row r="78" spans="1:119" x14ac:dyDescent="0.3">
      <c r="A78">
        <v>88</v>
      </c>
      <c r="B78" t="s">
        <v>12239</v>
      </c>
      <c r="C78" t="s">
        <v>12238</v>
      </c>
      <c r="D78" t="s">
        <v>895</v>
      </c>
      <c r="E78">
        <v>2018</v>
      </c>
      <c r="F78" t="s">
        <v>896</v>
      </c>
      <c r="G78">
        <v>10</v>
      </c>
      <c r="H78">
        <v>7</v>
      </c>
      <c r="J78">
        <v>925</v>
      </c>
      <c r="K78">
        <v>932</v>
      </c>
      <c r="M78">
        <v>10</v>
      </c>
      <c r="N78" t="s">
        <v>897</v>
      </c>
      <c r="O78" t="s">
        <v>898</v>
      </c>
      <c r="P78" t="s">
        <v>12237</v>
      </c>
      <c r="Q78" t="s">
        <v>12236</v>
      </c>
      <c r="R78" t="s">
        <v>899</v>
      </c>
      <c r="S78" t="s">
        <v>900</v>
      </c>
      <c r="T78" t="s">
        <v>12235</v>
      </c>
      <c r="AJ78" t="s">
        <v>12234</v>
      </c>
      <c r="AK78" t="s">
        <v>12233</v>
      </c>
      <c r="AN78" t="s">
        <v>229</v>
      </c>
      <c r="AS78">
        <v>18771297</v>
      </c>
      <c r="AV78">
        <v>30236430</v>
      </c>
      <c r="AW78" t="s">
        <v>42</v>
      </c>
      <c r="AX78" t="s">
        <v>901</v>
      </c>
      <c r="AY78" t="s">
        <v>56</v>
      </c>
      <c r="AZ78" t="s">
        <v>45</v>
      </c>
      <c r="BB78" t="s">
        <v>46</v>
      </c>
      <c r="BC78" t="s">
        <v>902</v>
      </c>
    </row>
    <row r="79" spans="1:119" x14ac:dyDescent="0.3">
      <c r="A79">
        <v>89</v>
      </c>
      <c r="B79" t="s">
        <v>12348</v>
      </c>
      <c r="C79" t="s">
        <v>12347</v>
      </c>
      <c r="D79" t="s">
        <v>943</v>
      </c>
      <c r="E79">
        <v>2023</v>
      </c>
      <c r="F79" t="s">
        <v>944</v>
      </c>
      <c r="G79">
        <v>112</v>
      </c>
      <c r="H79">
        <v>1</v>
      </c>
      <c r="J79">
        <v>90</v>
      </c>
      <c r="K79">
        <v>107</v>
      </c>
      <c r="M79">
        <v>5</v>
      </c>
      <c r="N79" t="s">
        <v>945</v>
      </c>
      <c r="O79" t="s">
        <v>946</v>
      </c>
      <c r="P79" t="s">
        <v>947</v>
      </c>
      <c r="Q79" t="s">
        <v>12346</v>
      </c>
      <c r="R79" t="s">
        <v>948</v>
      </c>
      <c r="S79" t="s">
        <v>949</v>
      </c>
      <c r="T79" t="s">
        <v>950</v>
      </c>
      <c r="AP79" t="s">
        <v>12345</v>
      </c>
      <c r="AQ79" t="s">
        <v>12344</v>
      </c>
      <c r="AT79" t="s">
        <v>77</v>
      </c>
      <c r="AY79">
        <v>10694730</v>
      </c>
      <c r="BA79" t="s">
        <v>951</v>
      </c>
      <c r="BC79" t="s">
        <v>42</v>
      </c>
      <c r="BD79" t="s">
        <v>952</v>
      </c>
      <c r="BE79" t="s">
        <v>56</v>
      </c>
      <c r="BF79" t="s">
        <v>45</v>
      </c>
      <c r="BG79" t="s">
        <v>12275</v>
      </c>
      <c r="BH79" t="s">
        <v>46</v>
      </c>
      <c r="BI79" t="s">
        <v>953</v>
      </c>
    </row>
    <row r="80" spans="1:119" x14ac:dyDescent="0.3">
      <c r="A80">
        <v>90</v>
      </c>
      <c r="B80" t="s">
        <v>1126</v>
      </c>
      <c r="C80" t="s">
        <v>12300</v>
      </c>
      <c r="D80" t="s">
        <v>1127</v>
      </c>
      <c r="E80">
        <v>2021</v>
      </c>
      <c r="F80" t="s">
        <v>1016</v>
      </c>
      <c r="G80">
        <v>100</v>
      </c>
      <c r="I80">
        <v>102551</v>
      </c>
      <c r="M80">
        <v>6</v>
      </c>
      <c r="N80" t="s">
        <v>1128</v>
      </c>
      <c r="O80" t="s">
        <v>1129</v>
      </c>
      <c r="P80" t="s">
        <v>1130</v>
      </c>
      <c r="Q80" t="s">
        <v>12299</v>
      </c>
      <c r="R80" t="s">
        <v>1131</v>
      </c>
      <c r="S80" t="s">
        <v>1132</v>
      </c>
      <c r="Z80" t="s">
        <v>12298</v>
      </c>
      <c r="AJ80" t="s">
        <v>12297</v>
      </c>
      <c r="AK80" t="s">
        <v>12296</v>
      </c>
      <c r="AN80" t="s">
        <v>1022</v>
      </c>
      <c r="AS80" t="s">
        <v>1023</v>
      </c>
      <c r="AW80" t="s">
        <v>42</v>
      </c>
      <c r="AX80" t="s">
        <v>1016</v>
      </c>
      <c r="AY80" t="s">
        <v>56</v>
      </c>
      <c r="AZ80" t="s">
        <v>45</v>
      </c>
      <c r="BB80" t="s">
        <v>46</v>
      </c>
      <c r="BC80" t="s">
        <v>1133</v>
      </c>
    </row>
    <row r="81" spans="1:119" x14ac:dyDescent="0.3">
      <c r="A81">
        <v>91</v>
      </c>
      <c r="B81" t="s">
        <v>12343</v>
      </c>
      <c r="C81" t="s">
        <v>12342</v>
      </c>
      <c r="D81" t="s">
        <v>1292</v>
      </c>
      <c r="E81">
        <v>2022</v>
      </c>
      <c r="F81" t="s">
        <v>896</v>
      </c>
      <c r="G81">
        <v>14</v>
      </c>
      <c r="H81">
        <v>12</v>
      </c>
      <c r="J81">
        <v>1500</v>
      </c>
      <c r="K81">
        <v>1505</v>
      </c>
      <c r="N81" t="s">
        <v>1293</v>
      </c>
      <c r="O81" t="s">
        <v>1294</v>
      </c>
      <c r="P81" t="s">
        <v>12341</v>
      </c>
      <c r="Q81" t="s">
        <v>12340</v>
      </c>
      <c r="R81" t="s">
        <v>1295</v>
      </c>
      <c r="S81" t="s">
        <v>1296</v>
      </c>
      <c r="T81" t="s">
        <v>12339</v>
      </c>
      <c r="AP81" t="s">
        <v>12338</v>
      </c>
      <c r="AQ81" t="s">
        <v>12337</v>
      </c>
      <c r="AT81" t="s">
        <v>229</v>
      </c>
      <c r="AY81">
        <v>18771297</v>
      </c>
      <c r="BB81">
        <v>36402695</v>
      </c>
      <c r="BC81" t="s">
        <v>42</v>
      </c>
      <c r="BD81" t="s">
        <v>901</v>
      </c>
      <c r="BE81" t="s">
        <v>56</v>
      </c>
      <c r="BF81" t="s">
        <v>45</v>
      </c>
      <c r="BH81" t="s">
        <v>46</v>
      </c>
      <c r="BI81" t="s">
        <v>1297</v>
      </c>
    </row>
    <row r="82" spans="1:119" x14ac:dyDescent="0.3">
      <c r="A82">
        <v>92</v>
      </c>
      <c r="B82" t="s">
        <v>13318</v>
      </c>
      <c r="C82" t="s">
        <v>13317</v>
      </c>
      <c r="D82" t="s">
        <v>456</v>
      </c>
      <c r="E82">
        <v>2023</v>
      </c>
      <c r="F82" t="s">
        <v>457</v>
      </c>
      <c r="G82">
        <v>42</v>
      </c>
      <c r="H82">
        <v>3</v>
      </c>
      <c r="J82">
        <v>385</v>
      </c>
      <c r="K82">
        <v>389</v>
      </c>
      <c r="M82">
        <v>4</v>
      </c>
      <c r="N82" t="s">
        <v>458</v>
      </c>
      <c r="O82" t="s">
        <v>459</v>
      </c>
      <c r="P82" t="s">
        <v>460</v>
      </c>
      <c r="Q82" t="s">
        <v>13316</v>
      </c>
      <c r="R82" t="s">
        <v>461</v>
      </c>
      <c r="S82" t="s">
        <v>462</v>
      </c>
      <c r="AJ82" t="s">
        <v>13315</v>
      </c>
      <c r="AK82" t="s">
        <v>13314</v>
      </c>
      <c r="AN82" t="s">
        <v>463</v>
      </c>
      <c r="AS82">
        <v>2735024</v>
      </c>
      <c r="AW82" t="s">
        <v>42</v>
      </c>
      <c r="AX82" t="s">
        <v>464</v>
      </c>
      <c r="AY82" t="s">
        <v>56</v>
      </c>
      <c r="AZ82" t="s">
        <v>45</v>
      </c>
      <c r="BA82" t="s">
        <v>12224</v>
      </c>
      <c r="BB82" t="s">
        <v>46</v>
      </c>
      <c r="BC82" t="s">
        <v>465</v>
      </c>
    </row>
    <row r="83" spans="1:119" x14ac:dyDescent="0.3">
      <c r="A83">
        <v>93</v>
      </c>
      <c r="B83" t="s">
        <v>1346</v>
      </c>
      <c r="C83" t="s">
        <v>12687</v>
      </c>
      <c r="D83" t="s">
        <v>1347</v>
      </c>
      <c r="E83">
        <v>2023</v>
      </c>
      <c r="F83" t="s">
        <v>1348</v>
      </c>
      <c r="M83">
        <v>1</v>
      </c>
      <c r="N83" t="s">
        <v>1349</v>
      </c>
      <c r="O83" t="s">
        <v>1350</v>
      </c>
      <c r="P83" t="s">
        <v>1351</v>
      </c>
      <c r="Q83" t="s">
        <v>12686</v>
      </c>
      <c r="R83" t="s">
        <v>1352</v>
      </c>
      <c r="S83" t="s">
        <v>1353</v>
      </c>
      <c r="AP83" t="s">
        <v>12685</v>
      </c>
      <c r="AQ83" t="s">
        <v>12684</v>
      </c>
      <c r="AT83" t="s">
        <v>251</v>
      </c>
      <c r="AY83">
        <v>3323315</v>
      </c>
      <c r="BC83" t="s">
        <v>42</v>
      </c>
      <c r="BD83" t="s">
        <v>1354</v>
      </c>
      <c r="BE83" t="s">
        <v>56</v>
      </c>
      <c r="BF83" t="s">
        <v>12365</v>
      </c>
      <c r="BH83" t="s">
        <v>46</v>
      </c>
      <c r="BI83" t="s">
        <v>1355</v>
      </c>
    </row>
    <row r="84" spans="1:119" x14ac:dyDescent="0.3">
      <c r="A84">
        <v>94</v>
      </c>
      <c r="B84" t="s">
        <v>13274</v>
      </c>
      <c r="C84" t="s">
        <v>13273</v>
      </c>
      <c r="D84" t="s">
        <v>276</v>
      </c>
      <c r="E84">
        <v>2023</v>
      </c>
      <c r="F84" t="s">
        <v>277</v>
      </c>
      <c r="G84">
        <v>37</v>
      </c>
      <c r="J84">
        <v>15825</v>
      </c>
      <c r="K84">
        <v>15833</v>
      </c>
      <c r="M84">
        <v>1</v>
      </c>
      <c r="O84" t="s">
        <v>278</v>
      </c>
      <c r="P84" t="s">
        <v>279</v>
      </c>
      <c r="Q84" t="s">
        <v>13272</v>
      </c>
      <c r="R84" t="s">
        <v>280</v>
      </c>
      <c r="T84" t="s">
        <v>281</v>
      </c>
      <c r="AJ84" t="s">
        <v>13271</v>
      </c>
      <c r="AL84" t="s">
        <v>13270</v>
      </c>
      <c r="AM84" t="s">
        <v>13269</v>
      </c>
      <c r="AN84" t="s">
        <v>282</v>
      </c>
      <c r="AO84" t="s">
        <v>13268</v>
      </c>
      <c r="AP84" t="s">
        <v>13267</v>
      </c>
      <c r="AR84">
        <v>190493</v>
      </c>
      <c r="AT84">
        <v>9781577358800</v>
      </c>
      <c r="AW84" t="s">
        <v>42</v>
      </c>
      <c r="AX84" t="s">
        <v>283</v>
      </c>
      <c r="AY84" t="s">
        <v>12252</v>
      </c>
      <c r="AZ84" t="s">
        <v>45</v>
      </c>
      <c r="BB84" t="s">
        <v>46</v>
      </c>
      <c r="BC84" t="s">
        <v>284</v>
      </c>
    </row>
    <row r="85" spans="1:119" s="6" customFormat="1" x14ac:dyDescent="0.3">
      <c r="A85">
        <v>95</v>
      </c>
      <c r="B85" t="s">
        <v>13572</v>
      </c>
      <c r="C85" t="s">
        <v>13571</v>
      </c>
      <c r="D85" t="s">
        <v>748</v>
      </c>
      <c r="E85">
        <v>2023</v>
      </c>
      <c r="F85" t="s">
        <v>749</v>
      </c>
      <c r="G85">
        <v>27</v>
      </c>
      <c r="H85">
        <v>3</v>
      </c>
      <c r="I85"/>
      <c r="J85"/>
      <c r="K85"/>
      <c r="L85"/>
      <c r="M85">
        <v>5</v>
      </c>
      <c r="N85" t="s">
        <v>750</v>
      </c>
      <c r="O85" t="s">
        <v>751</v>
      </c>
      <c r="P85" t="s">
        <v>752</v>
      </c>
      <c r="Q85" t="s">
        <v>13570</v>
      </c>
      <c r="R85" t="s">
        <v>753</v>
      </c>
      <c r="S85" t="s">
        <v>754</v>
      </c>
      <c r="T85"/>
      <c r="U85"/>
      <c r="V85"/>
      <c r="W85"/>
      <c r="X85"/>
      <c r="Y85"/>
      <c r="Z85"/>
      <c r="AA85"/>
      <c r="AB85"/>
      <c r="AC85"/>
      <c r="AD85"/>
      <c r="AE85"/>
      <c r="AF85"/>
      <c r="AG85"/>
      <c r="AH85"/>
      <c r="AI85"/>
      <c r="AJ85" t="s">
        <v>13569</v>
      </c>
      <c r="AK85"/>
      <c r="AL85"/>
      <c r="AM85"/>
      <c r="AN85" t="s">
        <v>755</v>
      </c>
      <c r="AO85"/>
      <c r="AP85"/>
      <c r="AQ85"/>
      <c r="AR85"/>
      <c r="AS85">
        <v>10724303</v>
      </c>
      <c r="AT85"/>
      <c r="AU85"/>
      <c r="AV85"/>
      <c r="AW85" t="s">
        <v>42</v>
      </c>
      <c r="AX85" t="s">
        <v>749</v>
      </c>
      <c r="AY85" t="s">
        <v>56</v>
      </c>
      <c r="AZ85" t="s">
        <v>45</v>
      </c>
      <c r="BA85" t="s">
        <v>12251</v>
      </c>
      <c r="BB85" t="s">
        <v>46</v>
      </c>
      <c r="BC85" t="s">
        <v>756</v>
      </c>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row>
    <row r="86" spans="1:119" x14ac:dyDescent="0.3">
      <c r="A86">
        <v>96</v>
      </c>
      <c r="B86" t="s">
        <v>12935</v>
      </c>
      <c r="C86" t="s">
        <v>12934</v>
      </c>
      <c r="D86" t="s">
        <v>767</v>
      </c>
      <c r="E86">
        <v>2023</v>
      </c>
      <c r="F86" t="s">
        <v>768</v>
      </c>
      <c r="J86">
        <v>12359</v>
      </c>
      <c r="K86">
        <v>12374</v>
      </c>
      <c r="O86" t="s">
        <v>769</v>
      </c>
      <c r="P86" t="s">
        <v>770</v>
      </c>
      <c r="Q86" t="s">
        <v>12933</v>
      </c>
      <c r="R86" t="s">
        <v>771</v>
      </c>
      <c r="T86" t="s">
        <v>772</v>
      </c>
      <c r="AJ86" t="s">
        <v>12932</v>
      </c>
      <c r="AL86" t="s">
        <v>12931</v>
      </c>
      <c r="AM86" t="s">
        <v>12930</v>
      </c>
      <c r="AN86" t="s">
        <v>101</v>
      </c>
      <c r="AO86" t="s">
        <v>12929</v>
      </c>
      <c r="AP86" t="s">
        <v>12898</v>
      </c>
      <c r="AR86">
        <v>196512</v>
      </c>
      <c r="AT86">
        <v>9798891760608</v>
      </c>
      <c r="AW86" t="s">
        <v>42</v>
      </c>
      <c r="AX86" t="s">
        <v>773</v>
      </c>
      <c r="AY86" t="s">
        <v>12252</v>
      </c>
      <c r="AZ86" t="s">
        <v>45</v>
      </c>
      <c r="BB86" t="s">
        <v>46</v>
      </c>
      <c r="BC86" t="s">
        <v>774</v>
      </c>
    </row>
    <row r="87" spans="1:119" x14ac:dyDescent="0.3">
      <c r="A87">
        <v>97</v>
      </c>
      <c r="B87" t="s">
        <v>13184</v>
      </c>
      <c r="C87" t="s">
        <v>13183</v>
      </c>
      <c r="D87" t="s">
        <v>355</v>
      </c>
      <c r="E87">
        <v>2023</v>
      </c>
      <c r="F87" t="s">
        <v>356</v>
      </c>
      <c r="G87">
        <v>2</v>
      </c>
      <c r="J87">
        <v>1339</v>
      </c>
      <c r="M87">
        <v>3</v>
      </c>
      <c r="N87" t="s">
        <v>357</v>
      </c>
      <c r="O87" t="s">
        <v>358</v>
      </c>
      <c r="P87" t="s">
        <v>359</v>
      </c>
      <c r="Q87" t="s">
        <v>13182</v>
      </c>
      <c r="R87" t="s">
        <v>360</v>
      </c>
      <c r="S87" t="s">
        <v>361</v>
      </c>
      <c r="T87" t="s">
        <v>362</v>
      </c>
      <c r="AJ87" t="s">
        <v>13181</v>
      </c>
      <c r="AM87" t="s">
        <v>13180</v>
      </c>
      <c r="AN87" t="s">
        <v>41</v>
      </c>
      <c r="AO87" t="s">
        <v>13179</v>
      </c>
      <c r="AP87" t="s">
        <v>13178</v>
      </c>
      <c r="AR87">
        <v>187022</v>
      </c>
      <c r="AT87">
        <v>9781450394338</v>
      </c>
      <c r="AW87" t="s">
        <v>42</v>
      </c>
      <c r="AX87" t="s">
        <v>363</v>
      </c>
      <c r="AY87" t="s">
        <v>12252</v>
      </c>
      <c r="AZ87" t="s">
        <v>45</v>
      </c>
      <c r="BA87" t="s">
        <v>12349</v>
      </c>
      <c r="BB87" t="s">
        <v>46</v>
      </c>
      <c r="BC87" t="s">
        <v>364</v>
      </c>
    </row>
    <row r="88" spans="1:119" x14ac:dyDescent="0.3">
      <c r="A88">
        <v>98</v>
      </c>
      <c r="B88" t="s">
        <v>13546</v>
      </c>
      <c r="C88" t="s">
        <v>13545</v>
      </c>
      <c r="D88" t="s">
        <v>131</v>
      </c>
      <c r="E88">
        <v>2023</v>
      </c>
      <c r="F88" t="s">
        <v>132</v>
      </c>
      <c r="J88">
        <v>50</v>
      </c>
      <c r="K88">
        <v>59</v>
      </c>
      <c r="N88" t="s">
        <v>133</v>
      </c>
      <c r="O88" t="s">
        <v>134</v>
      </c>
      <c r="P88" t="s">
        <v>135</v>
      </c>
      <c r="Q88" t="s">
        <v>13544</v>
      </c>
      <c r="R88" t="s">
        <v>136</v>
      </c>
      <c r="S88" t="s">
        <v>137</v>
      </c>
      <c r="T88" t="s">
        <v>138</v>
      </c>
      <c r="Y88" t="s">
        <v>13543</v>
      </c>
      <c r="Z88" t="s">
        <v>13542</v>
      </c>
      <c r="AJ88" t="s">
        <v>13541</v>
      </c>
      <c r="AL88" t="s">
        <v>13540</v>
      </c>
      <c r="AM88" t="s">
        <v>13539</v>
      </c>
      <c r="AN88" t="s">
        <v>41</v>
      </c>
      <c r="AO88" t="s">
        <v>13538</v>
      </c>
      <c r="AP88" t="s">
        <v>13537</v>
      </c>
      <c r="AR88">
        <v>194217</v>
      </c>
      <c r="AT88">
        <v>9798400703904</v>
      </c>
      <c r="AW88" t="s">
        <v>42</v>
      </c>
      <c r="AX88" t="s">
        <v>139</v>
      </c>
      <c r="AY88" t="s">
        <v>12252</v>
      </c>
      <c r="AZ88" t="s">
        <v>45</v>
      </c>
      <c r="BB88" t="s">
        <v>46</v>
      </c>
      <c r="BC88" t="s">
        <v>140</v>
      </c>
    </row>
    <row r="89" spans="1:119" x14ac:dyDescent="0.3">
      <c r="A89">
        <v>99</v>
      </c>
      <c r="B89" t="s">
        <v>12565</v>
      </c>
      <c r="C89" t="s">
        <v>12564</v>
      </c>
      <c r="D89" t="s">
        <v>1257</v>
      </c>
      <c r="E89">
        <v>2023</v>
      </c>
      <c r="F89" t="s">
        <v>1258</v>
      </c>
      <c r="J89">
        <v>226</v>
      </c>
      <c r="K89">
        <v>230</v>
      </c>
      <c r="M89">
        <v>3</v>
      </c>
      <c r="N89" t="s">
        <v>1259</v>
      </c>
      <c r="O89" t="s">
        <v>1260</v>
      </c>
      <c r="P89" t="s">
        <v>1261</v>
      </c>
      <c r="Q89" t="s">
        <v>12563</v>
      </c>
      <c r="R89" t="s">
        <v>12562</v>
      </c>
      <c r="S89" t="s">
        <v>1263</v>
      </c>
      <c r="T89" t="s">
        <v>1264</v>
      </c>
      <c r="AP89" t="s">
        <v>12561</v>
      </c>
      <c r="AR89" t="s">
        <v>12560</v>
      </c>
      <c r="AT89" t="s">
        <v>88</v>
      </c>
      <c r="AU89" t="s">
        <v>12559</v>
      </c>
      <c r="AV89" t="s">
        <v>12558</v>
      </c>
      <c r="AX89">
        <v>193030</v>
      </c>
      <c r="AZ89">
        <v>9798350300543</v>
      </c>
      <c r="BC89" t="s">
        <v>42</v>
      </c>
      <c r="BD89" t="s">
        <v>1265</v>
      </c>
      <c r="BE89" t="s">
        <v>12252</v>
      </c>
      <c r="BF89" t="s">
        <v>45</v>
      </c>
      <c r="BH89" t="s">
        <v>46</v>
      </c>
      <c r="BI89" t="s">
        <v>1266</v>
      </c>
    </row>
    <row r="90" spans="1:119" x14ac:dyDescent="0.3">
      <c r="A90">
        <v>100</v>
      </c>
      <c r="B90" t="s">
        <v>13325</v>
      </c>
      <c r="C90" t="s">
        <v>13324</v>
      </c>
      <c r="D90" t="s">
        <v>685</v>
      </c>
      <c r="E90">
        <v>2023</v>
      </c>
      <c r="F90" t="s">
        <v>686</v>
      </c>
      <c r="G90">
        <v>44</v>
      </c>
      <c r="H90">
        <v>3</v>
      </c>
      <c r="J90">
        <v>124</v>
      </c>
      <c r="K90">
        <v>126</v>
      </c>
      <c r="N90" t="s">
        <v>687</v>
      </c>
      <c r="O90" t="s">
        <v>688</v>
      </c>
      <c r="P90" t="s">
        <v>689</v>
      </c>
      <c r="Q90" t="s">
        <v>13323</v>
      </c>
      <c r="R90" t="s">
        <v>13322</v>
      </c>
      <c r="T90" t="s">
        <v>690</v>
      </c>
      <c r="AJ90" t="s">
        <v>13321</v>
      </c>
      <c r="AK90" t="s">
        <v>13320</v>
      </c>
      <c r="AN90" t="s">
        <v>691</v>
      </c>
      <c r="AS90">
        <v>13244272</v>
      </c>
      <c r="AW90" t="s">
        <v>42</v>
      </c>
      <c r="AX90" t="s">
        <v>13319</v>
      </c>
      <c r="AY90" t="s">
        <v>56</v>
      </c>
      <c r="AZ90" t="s">
        <v>45</v>
      </c>
      <c r="BA90" t="s">
        <v>12214</v>
      </c>
      <c r="BB90" t="s">
        <v>46</v>
      </c>
      <c r="BC90" t="s">
        <v>692</v>
      </c>
    </row>
    <row r="91" spans="1:119" x14ac:dyDescent="0.3">
      <c r="A91">
        <v>101</v>
      </c>
      <c r="B91" t="s">
        <v>13377</v>
      </c>
      <c r="C91" t="s">
        <v>13376</v>
      </c>
      <c r="D91" t="s">
        <v>449</v>
      </c>
      <c r="E91">
        <v>2023</v>
      </c>
      <c r="F91" t="s">
        <v>34</v>
      </c>
      <c r="J91">
        <v>106</v>
      </c>
      <c r="K91">
        <v>121</v>
      </c>
      <c r="M91">
        <v>18</v>
      </c>
      <c r="N91" t="s">
        <v>450</v>
      </c>
      <c r="O91" t="s">
        <v>451</v>
      </c>
      <c r="P91" t="s">
        <v>13375</v>
      </c>
      <c r="Q91" t="s">
        <v>13374</v>
      </c>
      <c r="R91" t="s">
        <v>452</v>
      </c>
      <c r="S91" t="s">
        <v>453</v>
      </c>
      <c r="T91" t="s">
        <v>454</v>
      </c>
      <c r="Y91" t="s">
        <v>13373</v>
      </c>
      <c r="Z91" t="s">
        <v>6126</v>
      </c>
      <c r="AJ91" t="s">
        <v>13372</v>
      </c>
      <c r="AM91" t="s">
        <v>13367</v>
      </c>
      <c r="AN91" t="s">
        <v>41</v>
      </c>
      <c r="AO91" t="s">
        <v>13366</v>
      </c>
      <c r="AP91" t="s">
        <v>13365</v>
      </c>
      <c r="AR91">
        <v>192875</v>
      </c>
      <c r="AT91">
        <v>9781450399760</v>
      </c>
      <c r="AW91" t="s">
        <v>42</v>
      </c>
      <c r="AX91" t="s">
        <v>43</v>
      </c>
      <c r="AY91" t="s">
        <v>12252</v>
      </c>
      <c r="AZ91" t="s">
        <v>45</v>
      </c>
      <c r="BB91" t="s">
        <v>46</v>
      </c>
      <c r="BC91" t="s">
        <v>455</v>
      </c>
    </row>
    <row r="92" spans="1:119" s="6" customFormat="1" x14ac:dyDescent="0.3">
      <c r="A92">
        <v>102</v>
      </c>
      <c r="B92" t="s">
        <v>13668</v>
      </c>
      <c r="C92" t="s">
        <v>13667</v>
      </c>
      <c r="D92" t="s">
        <v>344</v>
      </c>
      <c r="E92">
        <v>2023</v>
      </c>
      <c r="F92" t="s">
        <v>345</v>
      </c>
      <c r="G92">
        <v>26</v>
      </c>
      <c r="H92">
        <v>12</v>
      </c>
      <c r="I92"/>
      <c r="J92">
        <v>913</v>
      </c>
      <c r="K92">
        <v>918</v>
      </c>
      <c r="L92"/>
      <c r="M92">
        <v>2</v>
      </c>
      <c r="N92" t="s">
        <v>346</v>
      </c>
      <c r="O92" t="s">
        <v>347</v>
      </c>
      <c r="P92" t="s">
        <v>348</v>
      </c>
      <c r="Q92" t="s">
        <v>13666</v>
      </c>
      <c r="R92" t="s">
        <v>349</v>
      </c>
      <c r="S92" t="s">
        <v>350</v>
      </c>
      <c r="T92" t="s">
        <v>13665</v>
      </c>
      <c r="U92"/>
      <c r="V92"/>
      <c r="W92"/>
      <c r="X92"/>
      <c r="Y92" t="s">
        <v>13664</v>
      </c>
      <c r="Z92" t="s">
        <v>13663</v>
      </c>
      <c r="AA92"/>
      <c r="AB92"/>
      <c r="AC92"/>
      <c r="AD92"/>
      <c r="AE92"/>
      <c r="AF92"/>
      <c r="AG92"/>
      <c r="AH92"/>
      <c r="AI92"/>
      <c r="AJ92" t="s">
        <v>13662</v>
      </c>
      <c r="AK92" t="s">
        <v>13661</v>
      </c>
      <c r="AL92"/>
      <c r="AM92"/>
      <c r="AN92" t="s">
        <v>351</v>
      </c>
      <c r="AO92"/>
      <c r="AP92"/>
      <c r="AQ92"/>
      <c r="AR92"/>
      <c r="AS92">
        <v>21522715</v>
      </c>
      <c r="AT92"/>
      <c r="AU92"/>
      <c r="AV92">
        <v>38090765</v>
      </c>
      <c r="AW92" t="s">
        <v>42</v>
      </c>
      <c r="AX92" t="s">
        <v>352</v>
      </c>
      <c r="AY92" t="s">
        <v>56</v>
      </c>
      <c r="AZ92" t="s">
        <v>45</v>
      </c>
      <c r="BA92"/>
      <c r="BB92" t="s">
        <v>46</v>
      </c>
      <c r="BC92" t="s">
        <v>353</v>
      </c>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row>
    <row r="93" spans="1:119" x14ac:dyDescent="0.3">
      <c r="A93">
        <v>103</v>
      </c>
      <c r="B93" t="s">
        <v>13081</v>
      </c>
      <c r="C93" t="s">
        <v>13080</v>
      </c>
      <c r="D93" t="s">
        <v>13079</v>
      </c>
      <c r="E93">
        <v>2023</v>
      </c>
      <c r="F93" t="s">
        <v>13078</v>
      </c>
      <c r="N93" t="s">
        <v>13077</v>
      </c>
      <c r="O93" t="s">
        <v>13076</v>
      </c>
      <c r="P93" t="s">
        <v>13075</v>
      </c>
      <c r="Q93" t="s">
        <v>13074</v>
      </c>
      <c r="R93" t="s">
        <v>13073</v>
      </c>
      <c r="S93" t="s">
        <v>13072</v>
      </c>
      <c r="T93" t="s">
        <v>13071</v>
      </c>
      <c r="AJ93" t="s">
        <v>13070</v>
      </c>
      <c r="AM93" t="s">
        <v>13069</v>
      </c>
      <c r="AN93" t="s">
        <v>88</v>
      </c>
      <c r="AO93" t="s">
        <v>13068</v>
      </c>
      <c r="AP93" t="s">
        <v>13067</v>
      </c>
      <c r="AR93">
        <v>197291</v>
      </c>
      <c r="AS93">
        <v>28321529</v>
      </c>
      <c r="AT93">
        <v>9798350369533</v>
      </c>
      <c r="AW93" t="s">
        <v>55</v>
      </c>
      <c r="AX93" t="s">
        <v>13066</v>
      </c>
      <c r="AY93" t="s">
        <v>12252</v>
      </c>
      <c r="AZ93" t="s">
        <v>45</v>
      </c>
      <c r="BB93" t="s">
        <v>46</v>
      </c>
      <c r="BC93" t="s">
        <v>13065</v>
      </c>
    </row>
    <row r="94" spans="1:119" x14ac:dyDescent="0.3">
      <c r="A94">
        <v>104</v>
      </c>
      <c r="B94" t="s">
        <v>12745</v>
      </c>
      <c r="C94" t="s">
        <v>12744</v>
      </c>
      <c r="D94" t="s">
        <v>1104</v>
      </c>
      <c r="E94">
        <v>2023</v>
      </c>
      <c r="F94" t="s">
        <v>498</v>
      </c>
      <c r="G94" t="s">
        <v>499</v>
      </c>
      <c r="J94">
        <v>156</v>
      </c>
      <c r="K94">
        <v>164</v>
      </c>
      <c r="O94" t="s">
        <v>1105</v>
      </c>
      <c r="P94" t="s">
        <v>1106</v>
      </c>
      <c r="Q94" t="s">
        <v>12743</v>
      </c>
      <c r="R94" t="s">
        <v>1107</v>
      </c>
      <c r="S94" t="s">
        <v>1108</v>
      </c>
      <c r="T94" t="s">
        <v>1109</v>
      </c>
      <c r="AP94" t="s">
        <v>12742</v>
      </c>
      <c r="AR94" t="s">
        <v>12741</v>
      </c>
      <c r="AT94" t="s">
        <v>505</v>
      </c>
      <c r="AU94" t="s">
        <v>12740</v>
      </c>
      <c r="AV94" t="s">
        <v>12731</v>
      </c>
      <c r="AX94">
        <v>194594</v>
      </c>
      <c r="AY94">
        <v>20488637</v>
      </c>
      <c r="AZ94">
        <v>9781914587900</v>
      </c>
      <c r="BC94" t="s">
        <v>42</v>
      </c>
      <c r="BD94" t="s">
        <v>506</v>
      </c>
      <c r="BE94" t="s">
        <v>12252</v>
      </c>
      <c r="BF94" t="s">
        <v>45</v>
      </c>
      <c r="BH94" t="s">
        <v>46</v>
      </c>
      <c r="BI94" t="s">
        <v>1110</v>
      </c>
    </row>
    <row r="95" spans="1:119" s="6" customFormat="1" x14ac:dyDescent="0.3">
      <c r="A95">
        <v>105</v>
      </c>
      <c r="B95" t="s">
        <v>12480</v>
      </c>
      <c r="C95" t="s">
        <v>12479</v>
      </c>
      <c r="D95" t="s">
        <v>1163</v>
      </c>
      <c r="E95">
        <v>2023</v>
      </c>
      <c r="F95" t="s">
        <v>996</v>
      </c>
      <c r="G95">
        <v>9</v>
      </c>
      <c r="H95"/>
      <c r="I95" t="s">
        <v>1164</v>
      </c>
      <c r="J95"/>
      <c r="K95"/>
      <c r="L95"/>
      <c r="M95">
        <v>1</v>
      </c>
      <c r="N95" t="s">
        <v>1165</v>
      </c>
      <c r="O95" t="s">
        <v>1166</v>
      </c>
      <c r="P95" t="s">
        <v>12478</v>
      </c>
      <c r="Q95" t="s">
        <v>12477</v>
      </c>
      <c r="R95" t="s">
        <v>1167</v>
      </c>
      <c r="S95" t="s">
        <v>1168</v>
      </c>
      <c r="T95"/>
      <c r="U95"/>
      <c r="V95"/>
      <c r="W95"/>
      <c r="X95"/>
      <c r="Y95" t="s">
        <v>12476</v>
      </c>
      <c r="Z95" t="s">
        <v>12475</v>
      </c>
      <c r="AA95"/>
      <c r="AB95"/>
      <c r="AC95"/>
      <c r="AD95"/>
      <c r="AE95"/>
      <c r="AF95"/>
      <c r="AG95"/>
      <c r="AH95"/>
      <c r="AI95"/>
      <c r="AJ95"/>
      <c r="AK95"/>
      <c r="AL95"/>
      <c r="AM95"/>
      <c r="AN95"/>
      <c r="AO95"/>
      <c r="AP95" t="s">
        <v>12474</v>
      </c>
      <c r="AQ95" t="s">
        <v>12473</v>
      </c>
      <c r="AR95"/>
      <c r="AS95"/>
      <c r="AT95" t="s">
        <v>129</v>
      </c>
      <c r="AU95"/>
      <c r="AV95"/>
      <c r="AW95"/>
      <c r="AX95"/>
      <c r="AY95">
        <v>23693762</v>
      </c>
      <c r="AZ95"/>
      <c r="BA95"/>
      <c r="BB95"/>
      <c r="BC95" t="s">
        <v>42</v>
      </c>
      <c r="BD95" t="s">
        <v>1003</v>
      </c>
      <c r="BE95" t="s">
        <v>56</v>
      </c>
      <c r="BF95" t="s">
        <v>45</v>
      </c>
      <c r="BG95" t="s">
        <v>12214</v>
      </c>
      <c r="BH95" t="s">
        <v>46</v>
      </c>
      <c r="BI95" t="s">
        <v>1169</v>
      </c>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row>
    <row r="96" spans="1:119" x14ac:dyDescent="0.3">
      <c r="A96">
        <v>106</v>
      </c>
      <c r="B96" t="s">
        <v>12327</v>
      </c>
      <c r="C96" t="s">
        <v>12326</v>
      </c>
      <c r="D96" t="s">
        <v>1035</v>
      </c>
      <c r="E96">
        <v>2022</v>
      </c>
      <c r="F96" t="s">
        <v>1036</v>
      </c>
      <c r="G96">
        <v>35</v>
      </c>
      <c r="M96">
        <v>27</v>
      </c>
      <c r="O96" t="s">
        <v>1037</v>
      </c>
      <c r="P96" t="s">
        <v>1038</v>
      </c>
      <c r="Q96" t="s">
        <v>12325</v>
      </c>
      <c r="R96" t="s">
        <v>1039</v>
      </c>
      <c r="T96" t="s">
        <v>1040</v>
      </c>
      <c r="Z96" t="s">
        <v>12324</v>
      </c>
      <c r="AP96" t="s">
        <v>12323</v>
      </c>
      <c r="AR96" t="s">
        <v>12322</v>
      </c>
      <c r="AT96" t="s">
        <v>1041</v>
      </c>
      <c r="AU96" t="s">
        <v>12321</v>
      </c>
      <c r="AV96" t="s">
        <v>12320</v>
      </c>
      <c r="AX96">
        <v>189185</v>
      </c>
      <c r="AY96">
        <v>10495258</v>
      </c>
      <c r="AZ96">
        <v>9781713871088</v>
      </c>
      <c r="BC96" t="s">
        <v>42</v>
      </c>
      <c r="BD96" t="s">
        <v>1042</v>
      </c>
      <c r="BE96" t="s">
        <v>12252</v>
      </c>
      <c r="BF96" t="s">
        <v>45</v>
      </c>
      <c r="BH96" t="s">
        <v>46</v>
      </c>
      <c r="BI96" t="s">
        <v>1043</v>
      </c>
    </row>
    <row r="97" spans="1:119" s="6" customFormat="1" x14ac:dyDescent="0.3">
      <c r="A97">
        <v>107</v>
      </c>
      <c r="B97" t="s">
        <v>12739</v>
      </c>
      <c r="C97" t="s">
        <v>12738</v>
      </c>
      <c r="D97" t="s">
        <v>876</v>
      </c>
      <c r="E97">
        <v>2023</v>
      </c>
      <c r="F97" t="s">
        <v>877</v>
      </c>
      <c r="G97"/>
      <c r="H97"/>
      <c r="I97"/>
      <c r="J97"/>
      <c r="K97"/>
      <c r="L97"/>
      <c r="M97">
        <v>1</v>
      </c>
      <c r="N97" t="s">
        <v>878</v>
      </c>
      <c r="O97" t="s">
        <v>879</v>
      </c>
      <c r="P97" t="s">
        <v>880</v>
      </c>
      <c r="Q97" t="s">
        <v>12737</v>
      </c>
      <c r="R97" t="s">
        <v>12736</v>
      </c>
      <c r="S97" t="s">
        <v>882</v>
      </c>
      <c r="T97" t="s">
        <v>883</v>
      </c>
      <c r="U97"/>
      <c r="V97"/>
      <c r="W97"/>
      <c r="X97"/>
      <c r="Y97" t="s">
        <v>12735</v>
      </c>
      <c r="Z97" t="s">
        <v>12734</v>
      </c>
      <c r="AA97"/>
      <c r="AB97"/>
      <c r="AC97"/>
      <c r="AD97"/>
      <c r="AE97"/>
      <c r="AF97"/>
      <c r="AG97"/>
      <c r="AH97"/>
      <c r="AI97"/>
      <c r="AJ97"/>
      <c r="AK97"/>
      <c r="AL97"/>
      <c r="AM97"/>
      <c r="AN97"/>
      <c r="AO97"/>
      <c r="AP97" t="s">
        <v>12733</v>
      </c>
      <c r="AQ97"/>
      <c r="AR97"/>
      <c r="AS97"/>
      <c r="AT97" t="s">
        <v>884</v>
      </c>
      <c r="AU97" t="s">
        <v>12732</v>
      </c>
      <c r="AV97" t="s">
        <v>12731</v>
      </c>
      <c r="AW97"/>
      <c r="AX97">
        <v>194365</v>
      </c>
      <c r="AY97">
        <v>19493770</v>
      </c>
      <c r="AZ97">
        <v>9781665452236</v>
      </c>
      <c r="BA97"/>
      <c r="BB97"/>
      <c r="BC97" t="s">
        <v>42</v>
      </c>
      <c r="BD97" t="s">
        <v>885</v>
      </c>
      <c r="BE97" t="s">
        <v>12252</v>
      </c>
      <c r="BF97" t="s">
        <v>45</v>
      </c>
      <c r="BG97" t="s">
        <v>12245</v>
      </c>
      <c r="BH97" t="s">
        <v>46</v>
      </c>
      <c r="BI97" t="s">
        <v>886</v>
      </c>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row>
    <row r="98" spans="1:119" x14ac:dyDescent="0.3">
      <c r="A98">
        <v>108</v>
      </c>
      <c r="B98" t="s">
        <v>12384</v>
      </c>
      <c r="C98" t="s">
        <v>12383</v>
      </c>
      <c r="D98" t="s">
        <v>888</v>
      </c>
      <c r="E98">
        <v>2023</v>
      </c>
      <c r="F98" t="s">
        <v>252</v>
      </c>
      <c r="G98">
        <v>4</v>
      </c>
      <c r="I98">
        <v>100140</v>
      </c>
      <c r="M98">
        <v>13</v>
      </c>
      <c r="N98" t="s">
        <v>889</v>
      </c>
      <c r="O98" t="s">
        <v>890</v>
      </c>
      <c r="P98" t="s">
        <v>891</v>
      </c>
      <c r="Q98" t="s">
        <v>12382</v>
      </c>
      <c r="R98" t="s">
        <v>892</v>
      </c>
      <c r="S98" t="s">
        <v>893</v>
      </c>
      <c r="AP98" t="s">
        <v>12381</v>
      </c>
      <c r="AQ98" t="s">
        <v>12380</v>
      </c>
      <c r="AT98" t="s">
        <v>253</v>
      </c>
      <c r="AY98" t="s">
        <v>254</v>
      </c>
      <c r="BC98" t="s">
        <v>42</v>
      </c>
      <c r="BD98" t="s">
        <v>255</v>
      </c>
      <c r="BE98" t="s">
        <v>56</v>
      </c>
      <c r="BF98" t="s">
        <v>45</v>
      </c>
      <c r="BG98" t="s">
        <v>12251</v>
      </c>
      <c r="BH98" t="s">
        <v>46</v>
      </c>
      <c r="BI98" t="s">
        <v>894</v>
      </c>
      <c r="CW98" s="6"/>
      <c r="CX98" s="6"/>
      <c r="CY98" s="6"/>
      <c r="CZ98" s="6"/>
      <c r="DA98" s="6"/>
      <c r="DB98" s="6"/>
      <c r="DC98" s="6"/>
      <c r="DD98" s="6"/>
      <c r="DE98" s="6"/>
      <c r="DF98" s="6"/>
      <c r="DG98" s="6"/>
      <c r="DH98" s="6"/>
      <c r="DI98" s="6"/>
      <c r="DJ98" s="6"/>
      <c r="DK98" s="6"/>
      <c r="DL98" s="6"/>
      <c r="DM98" s="6"/>
      <c r="DN98" s="6"/>
      <c r="DO98" s="6"/>
    </row>
    <row r="99" spans="1:119" x14ac:dyDescent="0.3">
      <c r="A99">
        <v>109</v>
      </c>
      <c r="B99" t="s">
        <v>12408</v>
      </c>
      <c r="C99" t="s">
        <v>12407</v>
      </c>
      <c r="D99" t="s">
        <v>1187</v>
      </c>
      <c r="E99">
        <v>2023</v>
      </c>
      <c r="F99" t="s">
        <v>1188</v>
      </c>
      <c r="G99">
        <v>8</v>
      </c>
      <c r="I99">
        <v>1129082</v>
      </c>
      <c r="M99">
        <v>8</v>
      </c>
      <c r="N99" t="s">
        <v>1189</v>
      </c>
      <c r="O99" t="s">
        <v>1190</v>
      </c>
      <c r="P99" t="s">
        <v>1191</v>
      </c>
      <c r="Q99" t="s">
        <v>12406</v>
      </c>
      <c r="R99" t="s">
        <v>1192</v>
      </c>
      <c r="S99" t="s">
        <v>1193</v>
      </c>
      <c r="AP99" t="s">
        <v>12405</v>
      </c>
      <c r="AQ99" t="s">
        <v>12404</v>
      </c>
      <c r="AT99" t="s">
        <v>1194</v>
      </c>
      <c r="AY99" t="s">
        <v>1195</v>
      </c>
      <c r="BC99" t="s">
        <v>42</v>
      </c>
      <c r="BD99" t="s">
        <v>1196</v>
      </c>
      <c r="BE99" t="s">
        <v>56</v>
      </c>
      <c r="BF99" t="s">
        <v>45</v>
      </c>
      <c r="BG99" t="s">
        <v>12251</v>
      </c>
      <c r="BH99" t="s">
        <v>46</v>
      </c>
      <c r="BI99" t="s">
        <v>1197</v>
      </c>
      <c r="CW99" s="6"/>
      <c r="CX99" s="6"/>
      <c r="CY99" s="6"/>
      <c r="CZ99" s="6"/>
      <c r="DA99" s="6"/>
      <c r="DB99" s="6"/>
      <c r="DC99" s="6"/>
      <c r="DD99" s="6"/>
      <c r="DE99" s="6"/>
      <c r="DF99" s="6"/>
      <c r="DG99" s="6"/>
      <c r="DH99" s="6"/>
      <c r="DI99" s="6"/>
      <c r="DJ99" s="6"/>
      <c r="DK99" s="6"/>
      <c r="DL99" s="6"/>
      <c r="DM99" s="6"/>
      <c r="DN99" s="6"/>
      <c r="DO99" s="6"/>
    </row>
    <row r="100" spans="1:119" x14ac:dyDescent="0.3">
      <c r="A100">
        <v>110</v>
      </c>
      <c r="B100" t="s">
        <v>12725</v>
      </c>
      <c r="C100" t="s">
        <v>12724</v>
      </c>
      <c r="D100" t="s">
        <v>806</v>
      </c>
      <c r="E100">
        <v>2023</v>
      </c>
      <c r="F100" t="s">
        <v>807</v>
      </c>
      <c r="G100" t="s">
        <v>808</v>
      </c>
      <c r="J100">
        <v>281</v>
      </c>
      <c r="K100">
        <v>282</v>
      </c>
      <c r="N100" t="s">
        <v>809</v>
      </c>
      <c r="O100" t="s">
        <v>810</v>
      </c>
      <c r="P100" t="s">
        <v>811</v>
      </c>
      <c r="Q100" t="s">
        <v>12723</v>
      </c>
      <c r="R100" t="s">
        <v>812</v>
      </c>
      <c r="S100" t="s">
        <v>813</v>
      </c>
      <c r="T100" t="s">
        <v>814</v>
      </c>
      <c r="AP100" t="s">
        <v>12722</v>
      </c>
      <c r="AR100" t="s">
        <v>12721</v>
      </c>
      <c r="AT100" t="s">
        <v>815</v>
      </c>
      <c r="AU100" t="s">
        <v>12720</v>
      </c>
      <c r="AV100" t="s">
        <v>12719</v>
      </c>
      <c r="AX100">
        <v>193671</v>
      </c>
      <c r="AY100">
        <v>16175468</v>
      </c>
      <c r="AZ100">
        <v>9783885797326</v>
      </c>
      <c r="BC100" t="s">
        <v>42</v>
      </c>
      <c r="BD100" t="s">
        <v>816</v>
      </c>
      <c r="BE100" t="s">
        <v>12252</v>
      </c>
      <c r="BF100" t="s">
        <v>45</v>
      </c>
      <c r="BH100" t="s">
        <v>46</v>
      </c>
      <c r="BI100" t="s">
        <v>817</v>
      </c>
    </row>
    <row r="101" spans="1:119" x14ac:dyDescent="0.3">
      <c r="A101">
        <v>111</v>
      </c>
      <c r="B101" t="s">
        <v>12530</v>
      </c>
      <c r="C101" t="s">
        <v>12529</v>
      </c>
      <c r="D101" t="s">
        <v>1025</v>
      </c>
      <c r="E101">
        <v>2023</v>
      </c>
      <c r="F101" t="s">
        <v>1026</v>
      </c>
      <c r="J101">
        <v>401</v>
      </c>
      <c r="K101">
        <v>405</v>
      </c>
      <c r="M101">
        <v>1</v>
      </c>
      <c r="N101" t="s">
        <v>1027</v>
      </c>
      <c r="O101" t="s">
        <v>1028</v>
      </c>
      <c r="P101" t="s">
        <v>1029</v>
      </c>
      <c r="Q101" t="s">
        <v>12528</v>
      </c>
      <c r="R101" t="s">
        <v>12527</v>
      </c>
      <c r="S101" t="s">
        <v>1030</v>
      </c>
      <c r="T101" t="s">
        <v>1031</v>
      </c>
      <c r="AP101" t="s">
        <v>12526</v>
      </c>
      <c r="AQ101" t="s">
        <v>12525</v>
      </c>
      <c r="AT101" t="s">
        <v>88</v>
      </c>
      <c r="AU101" t="s">
        <v>12524</v>
      </c>
      <c r="AV101" t="s">
        <v>12523</v>
      </c>
      <c r="AX101">
        <v>192823</v>
      </c>
      <c r="AZ101">
        <v>9798350399059</v>
      </c>
      <c r="BC101" t="s">
        <v>42</v>
      </c>
      <c r="BD101" t="s">
        <v>1032</v>
      </c>
      <c r="BE101" t="s">
        <v>12252</v>
      </c>
      <c r="BF101" t="s">
        <v>45</v>
      </c>
      <c r="BH101" t="s">
        <v>46</v>
      </c>
      <c r="BI101" t="s">
        <v>1033</v>
      </c>
    </row>
    <row r="102" spans="1:119" x14ac:dyDescent="0.3">
      <c r="A102">
        <v>112</v>
      </c>
      <c r="B102" t="s">
        <v>12709</v>
      </c>
      <c r="C102" t="s">
        <v>12708</v>
      </c>
      <c r="D102" t="s">
        <v>849</v>
      </c>
      <c r="E102">
        <v>2023</v>
      </c>
      <c r="F102" t="s">
        <v>127</v>
      </c>
      <c r="G102" t="s">
        <v>850</v>
      </c>
      <c r="J102">
        <v>176</v>
      </c>
      <c r="K102">
        <v>190</v>
      </c>
      <c r="N102" t="s">
        <v>851</v>
      </c>
      <c r="O102" t="s">
        <v>852</v>
      </c>
      <c r="P102" t="s">
        <v>853</v>
      </c>
      <c r="Q102" t="s">
        <v>12707</v>
      </c>
      <c r="R102" t="s">
        <v>854</v>
      </c>
      <c r="S102" t="s">
        <v>855</v>
      </c>
      <c r="T102" t="s">
        <v>856</v>
      </c>
      <c r="AP102" t="s">
        <v>12706</v>
      </c>
      <c r="AQ102" t="s">
        <v>12705</v>
      </c>
      <c r="AR102" t="s">
        <v>12704</v>
      </c>
      <c r="AT102" t="s">
        <v>92</v>
      </c>
      <c r="AU102" t="s">
        <v>12446</v>
      </c>
      <c r="AV102" t="s">
        <v>12445</v>
      </c>
      <c r="AX102">
        <v>297769</v>
      </c>
      <c r="AY102">
        <v>3029743</v>
      </c>
      <c r="AZ102">
        <v>9783031480591</v>
      </c>
      <c r="BC102" t="s">
        <v>42</v>
      </c>
      <c r="BD102" t="s">
        <v>128</v>
      </c>
      <c r="BE102" t="s">
        <v>12252</v>
      </c>
      <c r="BF102" t="s">
        <v>45</v>
      </c>
      <c r="BH102" t="s">
        <v>46</v>
      </c>
      <c r="BI102" t="s">
        <v>857</v>
      </c>
    </row>
    <row r="103" spans="1:119" x14ac:dyDescent="0.3">
      <c r="A103">
        <v>114</v>
      </c>
      <c r="B103" t="s">
        <v>394</v>
      </c>
      <c r="C103" t="s">
        <v>13219</v>
      </c>
      <c r="D103" t="s">
        <v>395</v>
      </c>
      <c r="E103">
        <v>2023</v>
      </c>
      <c r="F103" t="s">
        <v>396</v>
      </c>
      <c r="J103">
        <v>326</v>
      </c>
      <c r="K103">
        <v>349</v>
      </c>
      <c r="M103">
        <v>5</v>
      </c>
      <c r="N103" t="s">
        <v>397</v>
      </c>
      <c r="O103" t="s">
        <v>398</v>
      </c>
      <c r="P103" t="s">
        <v>399</v>
      </c>
      <c r="Q103" t="s">
        <v>13218</v>
      </c>
      <c r="R103" t="s">
        <v>400</v>
      </c>
      <c r="AJ103" t="s">
        <v>13217</v>
      </c>
      <c r="AK103" t="s">
        <v>13216</v>
      </c>
      <c r="AN103" t="s">
        <v>401</v>
      </c>
      <c r="AT103" t="s">
        <v>13215</v>
      </c>
      <c r="AW103" t="s">
        <v>42</v>
      </c>
      <c r="AX103" t="s">
        <v>402</v>
      </c>
      <c r="AY103" t="s">
        <v>12262</v>
      </c>
      <c r="AZ103" t="s">
        <v>45</v>
      </c>
      <c r="BB103" t="s">
        <v>46</v>
      </c>
      <c r="BC103" t="s">
        <v>403</v>
      </c>
    </row>
    <row r="104" spans="1:119" x14ac:dyDescent="0.3">
      <c r="A104">
        <v>115</v>
      </c>
      <c r="B104" t="s">
        <v>1367</v>
      </c>
      <c r="C104" t="s">
        <v>12267</v>
      </c>
      <c r="D104" t="s">
        <v>1368</v>
      </c>
      <c r="E104">
        <v>2019</v>
      </c>
      <c r="F104" t="s">
        <v>1369</v>
      </c>
      <c r="J104">
        <v>50</v>
      </c>
      <c r="K104">
        <v>58</v>
      </c>
      <c r="N104" t="s">
        <v>1370</v>
      </c>
      <c r="O104" t="s">
        <v>1371</v>
      </c>
      <c r="P104" t="s">
        <v>1372</v>
      </c>
      <c r="Q104" t="s">
        <v>12266</v>
      </c>
      <c r="R104" t="s">
        <v>1373</v>
      </c>
      <c r="AJ104" t="s">
        <v>12265</v>
      </c>
      <c r="AK104" t="s">
        <v>12264</v>
      </c>
      <c r="AN104" t="s">
        <v>1374</v>
      </c>
      <c r="AT104" t="s">
        <v>12263</v>
      </c>
      <c r="AW104" t="s">
        <v>42</v>
      </c>
      <c r="AX104" t="s">
        <v>1369</v>
      </c>
      <c r="AY104" t="s">
        <v>12262</v>
      </c>
      <c r="AZ104" t="s">
        <v>45</v>
      </c>
      <c r="BB104" t="s">
        <v>46</v>
      </c>
      <c r="BC104" t="s">
        <v>1375</v>
      </c>
    </row>
    <row r="105" spans="1:119" x14ac:dyDescent="0.3">
      <c r="A105">
        <v>116</v>
      </c>
      <c r="B105" t="s">
        <v>13476</v>
      </c>
      <c r="C105" t="s">
        <v>13475</v>
      </c>
      <c r="D105" t="s">
        <v>571</v>
      </c>
      <c r="E105">
        <v>2023</v>
      </c>
      <c r="F105" t="s">
        <v>572</v>
      </c>
      <c r="G105">
        <v>18</v>
      </c>
      <c r="H105">
        <v>10</v>
      </c>
      <c r="J105">
        <v>1219</v>
      </c>
      <c r="K105">
        <v>1223</v>
      </c>
      <c r="M105">
        <v>4</v>
      </c>
      <c r="N105" t="s">
        <v>573</v>
      </c>
      <c r="O105" t="s">
        <v>574</v>
      </c>
      <c r="P105" t="s">
        <v>575</v>
      </c>
      <c r="Q105" t="s">
        <v>13474</v>
      </c>
      <c r="R105" t="s">
        <v>576</v>
      </c>
      <c r="S105" t="s">
        <v>577</v>
      </c>
      <c r="T105" t="s">
        <v>13473</v>
      </c>
      <c r="AJ105" t="s">
        <v>13472</v>
      </c>
      <c r="AK105" t="s">
        <v>13471</v>
      </c>
      <c r="AN105" t="s">
        <v>463</v>
      </c>
      <c r="AS105">
        <v>15550265</v>
      </c>
      <c r="AV105">
        <v>37536678</v>
      </c>
      <c r="AW105" t="s">
        <v>42</v>
      </c>
      <c r="AX105" t="s">
        <v>578</v>
      </c>
      <c r="AY105" t="s">
        <v>56</v>
      </c>
      <c r="AZ105" t="s">
        <v>45</v>
      </c>
      <c r="BB105" t="s">
        <v>46</v>
      </c>
      <c r="BC105" t="s">
        <v>579</v>
      </c>
    </row>
    <row r="106" spans="1:119" x14ac:dyDescent="0.3">
      <c r="A106">
        <v>118</v>
      </c>
      <c r="B106" t="s">
        <v>13177</v>
      </c>
      <c r="C106" t="s">
        <v>13176</v>
      </c>
      <c r="D106" t="s">
        <v>304</v>
      </c>
      <c r="E106">
        <v>2023</v>
      </c>
      <c r="F106" t="s">
        <v>305</v>
      </c>
      <c r="G106">
        <v>6</v>
      </c>
      <c r="H106">
        <v>1</v>
      </c>
      <c r="J106">
        <v>16</v>
      </c>
      <c r="K106">
        <v>30</v>
      </c>
      <c r="M106">
        <v>17</v>
      </c>
      <c r="N106" t="s">
        <v>306</v>
      </c>
      <c r="O106" t="s">
        <v>307</v>
      </c>
      <c r="P106" t="s">
        <v>308</v>
      </c>
      <c r="Q106" t="s">
        <v>13175</v>
      </c>
      <c r="R106" t="s">
        <v>309</v>
      </c>
      <c r="S106" t="s">
        <v>310</v>
      </c>
      <c r="AJ106" t="s">
        <v>13174</v>
      </c>
      <c r="AN106" t="s">
        <v>311</v>
      </c>
      <c r="AS106" t="s">
        <v>312</v>
      </c>
      <c r="AW106" t="s">
        <v>42</v>
      </c>
      <c r="AX106" t="s">
        <v>313</v>
      </c>
      <c r="AY106" t="s">
        <v>56</v>
      </c>
      <c r="AZ106" t="s">
        <v>45</v>
      </c>
      <c r="BA106" t="s">
        <v>12349</v>
      </c>
      <c r="BB106" t="s">
        <v>46</v>
      </c>
      <c r="BC106" t="s">
        <v>314</v>
      </c>
    </row>
    <row r="107" spans="1:119" x14ac:dyDescent="0.3">
      <c r="A107">
        <v>119</v>
      </c>
      <c r="B107" t="s">
        <v>12467</v>
      </c>
      <c r="C107" t="s">
        <v>12466</v>
      </c>
      <c r="D107" t="s">
        <v>977</v>
      </c>
      <c r="E107">
        <v>2023</v>
      </c>
      <c r="F107" t="s">
        <v>335</v>
      </c>
      <c r="G107">
        <v>8</v>
      </c>
      <c r="I107">
        <v>1250461</v>
      </c>
      <c r="N107" t="s">
        <v>978</v>
      </c>
      <c r="O107" t="s">
        <v>979</v>
      </c>
      <c r="P107" t="s">
        <v>980</v>
      </c>
      <c r="Q107" t="s">
        <v>12465</v>
      </c>
      <c r="R107" t="s">
        <v>981</v>
      </c>
      <c r="S107" t="s">
        <v>982</v>
      </c>
      <c r="Z107" t="s">
        <v>4149</v>
      </c>
      <c r="AP107" t="s">
        <v>12464</v>
      </c>
      <c r="AQ107" t="s">
        <v>12463</v>
      </c>
      <c r="AT107" t="s">
        <v>340</v>
      </c>
      <c r="AY107" t="s">
        <v>341</v>
      </c>
      <c r="BC107" t="s">
        <v>42</v>
      </c>
      <c r="BD107" t="s">
        <v>342</v>
      </c>
      <c r="BE107" t="s">
        <v>56</v>
      </c>
      <c r="BF107" t="s">
        <v>45</v>
      </c>
      <c r="BG107" t="s">
        <v>12251</v>
      </c>
      <c r="BH107" t="s">
        <v>46</v>
      </c>
      <c r="BI107" t="s">
        <v>983</v>
      </c>
      <c r="CW107" s="6"/>
      <c r="CX107" s="6"/>
      <c r="CY107" s="6"/>
      <c r="CZ107" s="6"/>
      <c r="DA107" s="6"/>
      <c r="DB107" s="6"/>
      <c r="DC107" s="6"/>
      <c r="DD107" s="6"/>
      <c r="DE107" s="6"/>
      <c r="DF107" s="6"/>
      <c r="DG107" s="6"/>
      <c r="DH107" s="6"/>
      <c r="DI107" s="6"/>
      <c r="DJ107" s="6"/>
      <c r="DK107" s="6"/>
      <c r="DL107" s="6"/>
      <c r="DM107" s="6"/>
      <c r="DN107" s="6"/>
      <c r="DO107" s="6"/>
    </row>
    <row r="108" spans="1:119" x14ac:dyDescent="0.3">
      <c r="A108">
        <v>120</v>
      </c>
      <c r="B108" t="s">
        <v>12889</v>
      </c>
      <c r="C108" t="s">
        <v>12888</v>
      </c>
      <c r="D108" t="s">
        <v>12887</v>
      </c>
      <c r="E108">
        <v>2023</v>
      </c>
      <c r="F108" t="s">
        <v>475</v>
      </c>
      <c r="G108">
        <v>29</v>
      </c>
      <c r="H108">
        <v>2</v>
      </c>
      <c r="I108" t="s">
        <v>476</v>
      </c>
      <c r="N108" t="s">
        <v>477</v>
      </c>
      <c r="O108" t="s">
        <v>478</v>
      </c>
      <c r="P108" t="s">
        <v>479</v>
      </c>
      <c r="Q108" t="s">
        <v>12886</v>
      </c>
      <c r="R108" t="s">
        <v>480</v>
      </c>
      <c r="S108" t="s">
        <v>481</v>
      </c>
      <c r="Y108" t="s">
        <v>12885</v>
      </c>
      <c r="Z108" t="s">
        <v>12884</v>
      </c>
      <c r="AJ108" t="s">
        <v>12883</v>
      </c>
      <c r="AK108" t="s">
        <v>12882</v>
      </c>
      <c r="AN108" t="s">
        <v>482</v>
      </c>
      <c r="AS108">
        <v>11344032</v>
      </c>
      <c r="AW108" t="s">
        <v>12881</v>
      </c>
      <c r="AX108" t="s">
        <v>483</v>
      </c>
      <c r="AY108" t="s">
        <v>56</v>
      </c>
      <c r="AZ108" t="s">
        <v>45</v>
      </c>
      <c r="BA108" t="s">
        <v>12251</v>
      </c>
      <c r="BB108" t="s">
        <v>46</v>
      </c>
      <c r="BC108" t="s">
        <v>484</v>
      </c>
    </row>
    <row r="109" spans="1:119" x14ac:dyDescent="0.3">
      <c r="A109">
        <v>121</v>
      </c>
      <c r="B109" t="s">
        <v>112</v>
      </c>
      <c r="C109" t="s">
        <v>12852</v>
      </c>
      <c r="D109" t="s">
        <v>114</v>
      </c>
      <c r="E109">
        <v>2023</v>
      </c>
      <c r="F109" t="s">
        <v>115</v>
      </c>
      <c r="J109">
        <v>526</v>
      </c>
      <c r="K109">
        <v>533</v>
      </c>
      <c r="N109" t="s">
        <v>116</v>
      </c>
      <c r="O109" t="s">
        <v>117</v>
      </c>
      <c r="P109" t="s">
        <v>118</v>
      </c>
      <c r="Q109" t="s">
        <v>12851</v>
      </c>
      <c r="R109" t="s">
        <v>12850</v>
      </c>
      <c r="S109" t="s">
        <v>120</v>
      </c>
      <c r="T109" t="s">
        <v>121</v>
      </c>
      <c r="AP109" t="s">
        <v>12849</v>
      </c>
      <c r="AQ109" t="s">
        <v>12848</v>
      </c>
      <c r="AS109" t="s">
        <v>12847</v>
      </c>
      <c r="AT109" t="s">
        <v>88</v>
      </c>
      <c r="AU109" t="s">
        <v>12846</v>
      </c>
      <c r="AV109" t="s">
        <v>12845</v>
      </c>
      <c r="AX109">
        <v>195652</v>
      </c>
      <c r="AZ109">
        <v>9798350309188</v>
      </c>
      <c r="BC109" t="s">
        <v>42</v>
      </c>
      <c r="BD109" t="s">
        <v>122</v>
      </c>
      <c r="BE109" t="s">
        <v>12252</v>
      </c>
      <c r="BF109" t="s">
        <v>45</v>
      </c>
      <c r="BH109" t="s">
        <v>46</v>
      </c>
      <c r="BI109" t="s">
        <v>123</v>
      </c>
    </row>
    <row r="110" spans="1:119" x14ac:dyDescent="0.3">
      <c r="A110">
        <v>122</v>
      </c>
      <c r="B110" t="s">
        <v>12444</v>
      </c>
      <c r="C110" t="s">
        <v>12443</v>
      </c>
      <c r="D110" t="s">
        <v>1418</v>
      </c>
      <c r="E110">
        <v>2023</v>
      </c>
      <c r="F110" t="s">
        <v>1419</v>
      </c>
      <c r="J110">
        <v>29</v>
      </c>
      <c r="K110">
        <v>32</v>
      </c>
      <c r="M110">
        <v>11</v>
      </c>
      <c r="N110" t="s">
        <v>1420</v>
      </c>
      <c r="O110" t="s">
        <v>1421</v>
      </c>
      <c r="P110" t="s">
        <v>1422</v>
      </c>
      <c r="Q110" t="s">
        <v>12442</v>
      </c>
      <c r="R110" t="s">
        <v>12441</v>
      </c>
      <c r="S110" t="s">
        <v>1423</v>
      </c>
      <c r="T110" t="s">
        <v>1424</v>
      </c>
      <c r="AP110" t="s">
        <v>12440</v>
      </c>
      <c r="AQ110" t="s">
        <v>12439</v>
      </c>
      <c r="AT110" t="s">
        <v>88</v>
      </c>
      <c r="AU110" t="s">
        <v>12438</v>
      </c>
      <c r="AV110" s="5">
        <v>45062</v>
      </c>
      <c r="AX110">
        <v>191214</v>
      </c>
      <c r="AZ110">
        <v>9798350301861</v>
      </c>
      <c r="BC110" t="s">
        <v>42</v>
      </c>
      <c r="BD110" t="s">
        <v>1425</v>
      </c>
      <c r="BE110" t="s">
        <v>12252</v>
      </c>
      <c r="BF110" t="s">
        <v>45</v>
      </c>
      <c r="BG110" t="s">
        <v>12245</v>
      </c>
      <c r="BH110" t="s">
        <v>46</v>
      </c>
      <c r="BI110" t="s">
        <v>1426</v>
      </c>
    </row>
    <row r="111" spans="1:119" x14ac:dyDescent="0.3">
      <c r="A111">
        <v>123</v>
      </c>
      <c r="B111" t="s">
        <v>12780</v>
      </c>
      <c r="C111" t="s">
        <v>12779</v>
      </c>
      <c r="D111" t="s">
        <v>223</v>
      </c>
      <c r="E111">
        <v>2023</v>
      </c>
      <c r="F111" t="s">
        <v>224</v>
      </c>
      <c r="M111">
        <v>1</v>
      </c>
      <c r="N111" t="s">
        <v>225</v>
      </c>
      <c r="O111" t="s">
        <v>226</v>
      </c>
      <c r="P111" t="s">
        <v>227</v>
      </c>
      <c r="Q111" t="s">
        <v>12778</v>
      </c>
      <c r="R111" t="s">
        <v>228</v>
      </c>
      <c r="AP111" t="s">
        <v>12777</v>
      </c>
      <c r="AQ111" t="s">
        <v>12776</v>
      </c>
      <c r="AT111" t="s">
        <v>229</v>
      </c>
      <c r="AY111">
        <v>10766332</v>
      </c>
      <c r="BA111" t="s">
        <v>230</v>
      </c>
      <c r="BB111">
        <v>38103973</v>
      </c>
      <c r="BC111" t="s">
        <v>42</v>
      </c>
      <c r="BD111" t="s">
        <v>231</v>
      </c>
      <c r="BE111" t="s">
        <v>56</v>
      </c>
      <c r="BF111" t="s">
        <v>12365</v>
      </c>
      <c r="BH111" t="s">
        <v>46</v>
      </c>
      <c r="BI111" t="s">
        <v>232</v>
      </c>
    </row>
    <row r="112" spans="1:119" x14ac:dyDescent="0.3">
      <c r="A112">
        <v>125</v>
      </c>
      <c r="B112" t="s">
        <v>12980</v>
      </c>
      <c r="C112" t="s">
        <v>12979</v>
      </c>
      <c r="D112" t="s">
        <v>12978</v>
      </c>
      <c r="E112">
        <v>2023</v>
      </c>
      <c r="F112" t="s">
        <v>12977</v>
      </c>
      <c r="G112">
        <v>56</v>
      </c>
      <c r="H112">
        <v>1</v>
      </c>
      <c r="I112">
        <v>128</v>
      </c>
      <c r="M112">
        <v>1</v>
      </c>
      <c r="N112" t="s">
        <v>12976</v>
      </c>
      <c r="O112" t="s">
        <v>12975</v>
      </c>
      <c r="P112" t="s">
        <v>12974</v>
      </c>
      <c r="Q112" t="s">
        <v>12973</v>
      </c>
      <c r="R112" t="s">
        <v>12972</v>
      </c>
      <c r="S112" t="s">
        <v>12971</v>
      </c>
      <c r="Y112" t="s">
        <v>12970</v>
      </c>
      <c r="Z112" t="s">
        <v>12969</v>
      </c>
      <c r="AJ112" t="s">
        <v>12968</v>
      </c>
      <c r="AK112" t="s">
        <v>12967</v>
      </c>
      <c r="AN112" t="s">
        <v>180</v>
      </c>
      <c r="AS112">
        <v>26734591</v>
      </c>
      <c r="AW112" t="s">
        <v>42</v>
      </c>
      <c r="AX112" t="s">
        <v>12966</v>
      </c>
      <c r="AY112" t="s">
        <v>56</v>
      </c>
      <c r="AZ112" t="s">
        <v>45</v>
      </c>
      <c r="BA112" t="s">
        <v>12275</v>
      </c>
      <c r="BB112" t="s">
        <v>46</v>
      </c>
      <c r="BC112" t="s">
        <v>12965</v>
      </c>
    </row>
    <row r="113" spans="1:119" x14ac:dyDescent="0.3">
      <c r="A113">
        <v>126</v>
      </c>
      <c r="B113" t="s">
        <v>786</v>
      </c>
      <c r="C113" t="s">
        <v>12553</v>
      </c>
      <c r="D113" t="s">
        <v>788</v>
      </c>
      <c r="E113">
        <v>2023</v>
      </c>
      <c r="F113" t="s">
        <v>383</v>
      </c>
      <c r="G113">
        <v>3487</v>
      </c>
      <c r="J113">
        <v>111</v>
      </c>
      <c r="K113">
        <v>128</v>
      </c>
      <c r="O113" t="s">
        <v>789</v>
      </c>
      <c r="P113" t="s">
        <v>12552</v>
      </c>
      <c r="Q113" t="s">
        <v>12551</v>
      </c>
      <c r="R113" t="s">
        <v>790</v>
      </c>
      <c r="S113" t="s">
        <v>791</v>
      </c>
      <c r="T113" t="s">
        <v>792</v>
      </c>
      <c r="Y113" t="s">
        <v>12550</v>
      </c>
      <c r="Z113" t="s">
        <v>12549</v>
      </c>
      <c r="AP113" t="s">
        <v>12548</v>
      </c>
      <c r="AQ113" t="s">
        <v>12547</v>
      </c>
      <c r="AR113" t="s">
        <v>12418</v>
      </c>
      <c r="AT113" t="s">
        <v>389</v>
      </c>
      <c r="AU113" t="s">
        <v>12417</v>
      </c>
      <c r="AV113" t="s">
        <v>12416</v>
      </c>
      <c r="AX113">
        <v>192705</v>
      </c>
      <c r="AY113">
        <v>16130073</v>
      </c>
      <c r="BC113" t="s">
        <v>42</v>
      </c>
      <c r="BD113" t="s">
        <v>390</v>
      </c>
      <c r="BE113" t="s">
        <v>12252</v>
      </c>
      <c r="BF113" t="s">
        <v>45</v>
      </c>
      <c r="BH113" t="s">
        <v>46</v>
      </c>
      <c r="BI113" t="s">
        <v>793</v>
      </c>
    </row>
    <row r="114" spans="1:119" x14ac:dyDescent="0.3">
      <c r="A114">
        <v>127</v>
      </c>
      <c r="B114" t="s">
        <v>13568</v>
      </c>
      <c r="C114" t="s">
        <v>13567</v>
      </c>
      <c r="D114" t="s">
        <v>704</v>
      </c>
      <c r="E114">
        <v>2023</v>
      </c>
      <c r="F114" t="s">
        <v>705</v>
      </c>
      <c r="G114">
        <v>77</v>
      </c>
      <c r="H114">
        <v>11</v>
      </c>
      <c r="J114">
        <v>597</v>
      </c>
      <c r="K114">
        <v>604</v>
      </c>
      <c r="N114" t="s">
        <v>706</v>
      </c>
      <c r="O114" t="s">
        <v>707</v>
      </c>
      <c r="P114" t="s">
        <v>708</v>
      </c>
      <c r="Q114" t="s">
        <v>13566</v>
      </c>
      <c r="R114" t="s">
        <v>709</v>
      </c>
      <c r="S114" t="s">
        <v>710</v>
      </c>
      <c r="T114" t="s">
        <v>13565</v>
      </c>
      <c r="Y114" t="s">
        <v>13564</v>
      </c>
      <c r="Z114" t="s">
        <v>13563</v>
      </c>
      <c r="AJ114" t="s">
        <v>13562</v>
      </c>
      <c r="AK114" t="s">
        <v>13561</v>
      </c>
      <c r="AN114" t="s">
        <v>77</v>
      </c>
      <c r="AS114">
        <v>13231316</v>
      </c>
      <c r="AU114" t="s">
        <v>711</v>
      </c>
      <c r="AV114">
        <v>37526294</v>
      </c>
      <c r="AW114" t="s">
        <v>42</v>
      </c>
      <c r="AX114" t="s">
        <v>712</v>
      </c>
      <c r="AY114" t="s">
        <v>56</v>
      </c>
      <c r="AZ114" t="s">
        <v>45</v>
      </c>
      <c r="BA114" t="s">
        <v>12275</v>
      </c>
      <c r="BB114" t="s">
        <v>46</v>
      </c>
      <c r="BC114" t="s">
        <v>713</v>
      </c>
    </row>
    <row r="115" spans="1:119" x14ac:dyDescent="0.3">
      <c r="A115">
        <v>128</v>
      </c>
      <c r="B115" t="s">
        <v>13660</v>
      </c>
      <c r="C115" t="s">
        <v>13659</v>
      </c>
      <c r="D115" t="s">
        <v>423</v>
      </c>
      <c r="E115">
        <v>2023</v>
      </c>
      <c r="F115" t="s">
        <v>424</v>
      </c>
      <c r="G115">
        <v>24</v>
      </c>
      <c r="H115">
        <v>1</v>
      </c>
      <c r="I115">
        <v>61</v>
      </c>
      <c r="M115">
        <v>4</v>
      </c>
      <c r="N115" t="s">
        <v>425</v>
      </c>
      <c r="O115" t="s">
        <v>426</v>
      </c>
      <c r="P115" t="s">
        <v>427</v>
      </c>
      <c r="Q115" t="s">
        <v>13658</v>
      </c>
      <c r="R115" t="s">
        <v>428</v>
      </c>
      <c r="S115" t="s">
        <v>429</v>
      </c>
      <c r="T115" t="s">
        <v>13657</v>
      </c>
      <c r="Y115" t="s">
        <v>13656</v>
      </c>
      <c r="AJ115" t="s">
        <v>13655</v>
      </c>
      <c r="AK115" t="s">
        <v>13654</v>
      </c>
      <c r="AN115" t="s">
        <v>92</v>
      </c>
      <c r="AS115">
        <v>15909921</v>
      </c>
      <c r="AU115" t="s">
        <v>430</v>
      </c>
      <c r="AV115">
        <v>38015298</v>
      </c>
      <c r="AW115" t="s">
        <v>42</v>
      </c>
      <c r="AX115" t="s">
        <v>431</v>
      </c>
      <c r="AY115" t="s">
        <v>56</v>
      </c>
      <c r="AZ115" t="s">
        <v>45</v>
      </c>
      <c r="BA115" t="s">
        <v>12251</v>
      </c>
      <c r="BB115" t="s">
        <v>46</v>
      </c>
      <c r="BC115" t="s">
        <v>432</v>
      </c>
    </row>
    <row r="116" spans="1:119" x14ac:dyDescent="0.3">
      <c r="A116">
        <v>129</v>
      </c>
      <c r="B116" t="s">
        <v>13716</v>
      </c>
      <c r="C116" t="s">
        <v>13715</v>
      </c>
      <c r="D116" t="s">
        <v>13714</v>
      </c>
      <c r="E116">
        <v>2023</v>
      </c>
      <c r="F116" t="s">
        <v>636</v>
      </c>
      <c r="J116">
        <v>16</v>
      </c>
      <c r="K116">
        <v>18</v>
      </c>
      <c r="N116" t="s">
        <v>13713</v>
      </c>
      <c r="O116" t="s">
        <v>13712</v>
      </c>
      <c r="P116" t="s">
        <v>13711</v>
      </c>
      <c r="Q116" t="s">
        <v>13710</v>
      </c>
      <c r="R116" t="s">
        <v>13709</v>
      </c>
      <c r="S116" t="s">
        <v>13708</v>
      </c>
      <c r="T116" t="s">
        <v>13707</v>
      </c>
      <c r="AJ116" t="s">
        <v>13706</v>
      </c>
      <c r="AL116" t="s">
        <v>13705</v>
      </c>
      <c r="AM116" t="s">
        <v>13704</v>
      </c>
      <c r="AN116" t="s">
        <v>65</v>
      </c>
      <c r="AO116" t="s">
        <v>13703</v>
      </c>
      <c r="AP116" t="s">
        <v>12936</v>
      </c>
      <c r="AR116">
        <v>197196</v>
      </c>
      <c r="AT116">
        <v>9798400716324</v>
      </c>
      <c r="AW116" t="s">
        <v>42</v>
      </c>
      <c r="AX116" t="s">
        <v>637</v>
      </c>
      <c r="AY116" t="s">
        <v>12252</v>
      </c>
      <c r="AZ116" t="s">
        <v>45</v>
      </c>
      <c r="BB116" t="s">
        <v>46</v>
      </c>
      <c r="BC116" t="s">
        <v>13702</v>
      </c>
    </row>
    <row r="117" spans="1:119" x14ac:dyDescent="0.3">
      <c r="A117">
        <v>130</v>
      </c>
      <c r="B117" t="s">
        <v>13635</v>
      </c>
      <c r="C117" t="s">
        <v>13634</v>
      </c>
      <c r="D117" t="s">
        <v>433</v>
      </c>
      <c r="E117">
        <v>2023</v>
      </c>
      <c r="F117" t="s">
        <v>434</v>
      </c>
      <c r="G117">
        <v>6</v>
      </c>
      <c r="H117">
        <v>1</v>
      </c>
      <c r="I117">
        <v>210</v>
      </c>
      <c r="M117">
        <v>4</v>
      </c>
      <c r="N117" t="s">
        <v>435</v>
      </c>
      <c r="O117" t="s">
        <v>436</v>
      </c>
      <c r="P117" t="s">
        <v>437</v>
      </c>
      <c r="Q117" t="s">
        <v>13633</v>
      </c>
      <c r="R117" t="s">
        <v>438</v>
      </c>
      <c r="T117" t="s">
        <v>13632</v>
      </c>
      <c r="Y117" t="s">
        <v>13631</v>
      </c>
      <c r="Z117" t="s">
        <v>13630</v>
      </c>
      <c r="AA117" t="s">
        <v>13630</v>
      </c>
      <c r="AJ117" t="s">
        <v>13629</v>
      </c>
      <c r="AK117" t="s">
        <v>13628</v>
      </c>
      <c r="AN117" t="s">
        <v>125</v>
      </c>
      <c r="AS117">
        <v>23986352</v>
      </c>
      <c r="AW117" t="s">
        <v>42</v>
      </c>
      <c r="AX117" t="s">
        <v>439</v>
      </c>
      <c r="AY117" t="s">
        <v>56</v>
      </c>
      <c r="AZ117" t="s">
        <v>45</v>
      </c>
      <c r="BA117" t="s">
        <v>12214</v>
      </c>
      <c r="BB117" t="s">
        <v>46</v>
      </c>
      <c r="BC117" t="s">
        <v>440</v>
      </c>
      <c r="CW117" s="6"/>
      <c r="CX117" s="6"/>
      <c r="CY117" s="6"/>
      <c r="CZ117" s="6" t="s">
        <v>311</v>
      </c>
      <c r="DA117" s="6"/>
      <c r="DB117" s="6"/>
      <c r="DC117" s="6"/>
      <c r="DD117" s="6"/>
      <c r="DE117" s="6" t="s">
        <v>312</v>
      </c>
      <c r="DF117" s="6"/>
      <c r="DG117" s="6"/>
      <c r="DH117" s="6"/>
      <c r="DI117" s="6" t="s">
        <v>42</v>
      </c>
      <c r="DJ117" s="6" t="s">
        <v>313</v>
      </c>
      <c r="DK117" s="6" t="s">
        <v>56</v>
      </c>
      <c r="DL117" s="6" t="s">
        <v>45</v>
      </c>
      <c r="DM117" s="6" t="s">
        <v>12349</v>
      </c>
      <c r="DN117" s="6" t="s">
        <v>46</v>
      </c>
      <c r="DO117" s="6" t="s">
        <v>333</v>
      </c>
    </row>
    <row r="118" spans="1:119" x14ac:dyDescent="0.3">
      <c r="A118">
        <v>131</v>
      </c>
      <c r="B118" t="s">
        <v>794</v>
      </c>
      <c r="C118" t="s">
        <v>12353</v>
      </c>
      <c r="D118" t="s">
        <v>796</v>
      </c>
      <c r="E118">
        <v>2023</v>
      </c>
      <c r="F118" t="s">
        <v>797</v>
      </c>
      <c r="G118">
        <v>20</v>
      </c>
      <c r="H118">
        <v>2</v>
      </c>
      <c r="I118">
        <v>7</v>
      </c>
      <c r="M118">
        <v>115</v>
      </c>
      <c r="N118" t="s">
        <v>798</v>
      </c>
      <c r="O118" t="s">
        <v>799</v>
      </c>
      <c r="P118" t="s">
        <v>800</v>
      </c>
      <c r="Q118" t="s">
        <v>12352</v>
      </c>
      <c r="R118" t="s">
        <v>801</v>
      </c>
      <c r="S118" t="s">
        <v>802</v>
      </c>
      <c r="AP118" t="s">
        <v>12351</v>
      </c>
      <c r="AQ118" t="s">
        <v>12350</v>
      </c>
      <c r="AT118" t="s">
        <v>803</v>
      </c>
      <c r="AY118">
        <v>14499789</v>
      </c>
      <c r="BC118" t="s">
        <v>42</v>
      </c>
      <c r="BD118" t="s">
        <v>804</v>
      </c>
      <c r="BE118" t="s">
        <v>56</v>
      </c>
      <c r="BF118" t="s">
        <v>45</v>
      </c>
      <c r="BG118" t="s">
        <v>12349</v>
      </c>
      <c r="BH118" t="s">
        <v>46</v>
      </c>
      <c r="BI118" t="s">
        <v>805</v>
      </c>
    </row>
    <row r="119" spans="1:119" s="6" customFormat="1" x14ac:dyDescent="0.3">
      <c r="A119">
        <v>132</v>
      </c>
      <c r="B119" t="s">
        <v>12413</v>
      </c>
      <c r="C119" t="s">
        <v>12412</v>
      </c>
      <c r="D119" t="s">
        <v>1309</v>
      </c>
      <c r="E119">
        <v>2023</v>
      </c>
      <c r="F119" t="s">
        <v>1310</v>
      </c>
      <c r="G119" t="s">
        <v>1311</v>
      </c>
      <c r="H119"/>
      <c r="I119"/>
      <c r="J119">
        <v>37</v>
      </c>
      <c r="K119">
        <v>51</v>
      </c>
      <c r="L119"/>
      <c r="M119"/>
      <c r="N119" t="s">
        <v>1312</v>
      </c>
      <c r="O119" t="s">
        <v>1313</v>
      </c>
      <c r="P119" t="s">
        <v>1314</v>
      </c>
      <c r="Q119" t="s">
        <v>12411</v>
      </c>
      <c r="R119" t="s">
        <v>1315</v>
      </c>
      <c r="S119" t="s">
        <v>1316</v>
      </c>
      <c r="T119"/>
      <c r="U119"/>
      <c r="V119"/>
      <c r="W119"/>
      <c r="X119"/>
      <c r="Y119"/>
      <c r="Z119"/>
      <c r="AA119"/>
      <c r="AB119"/>
      <c r="AC119"/>
      <c r="AD119"/>
      <c r="AE119"/>
      <c r="AF119"/>
      <c r="AG119"/>
      <c r="AH119"/>
      <c r="AI119"/>
      <c r="AJ119"/>
      <c r="AK119"/>
      <c r="AL119"/>
      <c r="AM119"/>
      <c r="AN119"/>
      <c r="AO119"/>
      <c r="AP119" t="s">
        <v>12410</v>
      </c>
      <c r="AQ119" t="s">
        <v>12409</v>
      </c>
      <c r="AR119"/>
      <c r="AS119"/>
      <c r="AT119" t="s">
        <v>392</v>
      </c>
      <c r="AU119"/>
      <c r="AV119"/>
      <c r="AW119"/>
      <c r="AX119"/>
      <c r="AY119">
        <v>16135113</v>
      </c>
      <c r="AZ119"/>
      <c r="BA119"/>
      <c r="BB119"/>
      <c r="BC119" t="s">
        <v>42</v>
      </c>
      <c r="BD119" t="s">
        <v>1317</v>
      </c>
      <c r="BE119" t="s">
        <v>12262</v>
      </c>
      <c r="BF119" t="s">
        <v>45</v>
      </c>
      <c r="BG119"/>
      <c r="BH119" t="s">
        <v>46</v>
      </c>
      <c r="BI119" t="s">
        <v>1318</v>
      </c>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row>
    <row r="120" spans="1:119" x14ac:dyDescent="0.3">
      <c r="A120">
        <v>133</v>
      </c>
      <c r="B120" t="s">
        <v>12223</v>
      </c>
      <c r="C120" t="s">
        <v>12222</v>
      </c>
      <c r="D120" t="s">
        <v>1073</v>
      </c>
      <c r="E120">
        <v>2018</v>
      </c>
      <c r="F120" t="s">
        <v>1074</v>
      </c>
      <c r="G120">
        <v>14</v>
      </c>
      <c r="J120">
        <v>23</v>
      </c>
      <c r="K120">
        <v>36</v>
      </c>
      <c r="M120">
        <v>4</v>
      </c>
      <c r="N120" t="s">
        <v>1075</v>
      </c>
      <c r="O120" t="s">
        <v>1076</v>
      </c>
      <c r="P120" t="s">
        <v>1077</v>
      </c>
      <c r="Q120" t="s">
        <v>12221</v>
      </c>
      <c r="R120" t="s">
        <v>1078</v>
      </c>
      <c r="S120" t="s">
        <v>1079</v>
      </c>
      <c r="T120" t="s">
        <v>12220</v>
      </c>
      <c r="V120" t="s">
        <v>12219</v>
      </c>
      <c r="Y120" t="s">
        <v>12218</v>
      </c>
      <c r="Z120" t="s">
        <v>12217</v>
      </c>
      <c r="AJ120" t="s">
        <v>12216</v>
      </c>
      <c r="AK120" t="s">
        <v>12215</v>
      </c>
      <c r="AN120" t="s">
        <v>1080</v>
      </c>
      <c r="AS120">
        <v>11766344</v>
      </c>
      <c r="AV120">
        <v>29440909</v>
      </c>
      <c r="AW120" t="s">
        <v>42</v>
      </c>
      <c r="AX120" t="s">
        <v>1081</v>
      </c>
      <c r="AY120" t="s">
        <v>56</v>
      </c>
      <c r="AZ120" t="s">
        <v>45</v>
      </c>
      <c r="BA120" t="s">
        <v>12214</v>
      </c>
      <c r="BB120" t="s">
        <v>46</v>
      </c>
      <c r="BC120" t="s">
        <v>1082</v>
      </c>
    </row>
    <row r="121" spans="1:119" s="6" customFormat="1" x14ac:dyDescent="0.3">
      <c r="A121">
        <v>134</v>
      </c>
      <c r="B121" t="s">
        <v>12827</v>
      </c>
      <c r="C121" t="s">
        <v>12826</v>
      </c>
      <c r="D121" t="s">
        <v>539</v>
      </c>
      <c r="E121">
        <v>2023</v>
      </c>
      <c r="F121" t="s">
        <v>540</v>
      </c>
      <c r="G121"/>
      <c r="H121"/>
      <c r="I121"/>
      <c r="J121"/>
      <c r="K121"/>
      <c r="L121"/>
      <c r="M121"/>
      <c r="N121" t="s">
        <v>541</v>
      </c>
      <c r="O121" t="s">
        <v>542</v>
      </c>
      <c r="P121" t="s">
        <v>543</v>
      </c>
      <c r="Q121" t="s">
        <v>12825</v>
      </c>
      <c r="R121" t="s">
        <v>544</v>
      </c>
      <c r="S121" t="s">
        <v>545</v>
      </c>
      <c r="T121" t="s">
        <v>546</v>
      </c>
      <c r="U121"/>
      <c r="V121"/>
      <c r="W121"/>
      <c r="X121"/>
      <c r="Y121"/>
      <c r="Z121"/>
      <c r="AA121"/>
      <c r="AB121"/>
      <c r="AC121"/>
      <c r="AD121"/>
      <c r="AE121"/>
      <c r="AF121"/>
      <c r="AG121"/>
      <c r="AH121"/>
      <c r="AI121"/>
      <c r="AJ121"/>
      <c r="AK121"/>
      <c r="AL121"/>
      <c r="AM121"/>
      <c r="AN121"/>
      <c r="AO121"/>
      <c r="AP121" t="s">
        <v>12824</v>
      </c>
      <c r="AQ121" t="s">
        <v>12823</v>
      </c>
      <c r="AR121"/>
      <c r="AS121"/>
      <c r="AT121" t="s">
        <v>88</v>
      </c>
      <c r="AU121" t="s">
        <v>540</v>
      </c>
      <c r="AV121" t="s">
        <v>12816</v>
      </c>
      <c r="AW121"/>
      <c r="AX121">
        <v>195501</v>
      </c>
      <c r="AY121"/>
      <c r="AZ121">
        <v>9798350318067</v>
      </c>
      <c r="BA121"/>
      <c r="BB121"/>
      <c r="BC121" t="s">
        <v>42</v>
      </c>
      <c r="BD121" t="s">
        <v>547</v>
      </c>
      <c r="BE121" t="s">
        <v>12252</v>
      </c>
      <c r="BF121" t="s">
        <v>45</v>
      </c>
      <c r="BG121"/>
      <c r="BH121" t="s">
        <v>46</v>
      </c>
      <c r="BI121" t="s">
        <v>548</v>
      </c>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row>
    <row r="122" spans="1:119" x14ac:dyDescent="0.3">
      <c r="A122">
        <v>135</v>
      </c>
      <c r="B122" t="s">
        <v>13263</v>
      </c>
      <c r="C122" t="s">
        <v>13262</v>
      </c>
      <c r="D122" t="s">
        <v>757</v>
      </c>
      <c r="E122">
        <v>2023</v>
      </c>
      <c r="F122" t="s">
        <v>366</v>
      </c>
      <c r="G122">
        <v>307</v>
      </c>
      <c r="H122">
        <v>5</v>
      </c>
      <c r="I122" t="s">
        <v>758</v>
      </c>
      <c r="M122">
        <v>46</v>
      </c>
      <c r="N122" t="s">
        <v>759</v>
      </c>
      <c r="O122" t="s">
        <v>760</v>
      </c>
      <c r="P122" t="s">
        <v>13261</v>
      </c>
      <c r="Q122" t="s">
        <v>13260</v>
      </c>
      <c r="R122" t="s">
        <v>761</v>
      </c>
      <c r="T122" t="s">
        <v>13259</v>
      </c>
      <c r="W122" t="s">
        <v>13258</v>
      </c>
      <c r="AJ122" t="s">
        <v>13257</v>
      </c>
      <c r="AK122" t="s">
        <v>13256</v>
      </c>
      <c r="AN122" t="s">
        <v>372</v>
      </c>
      <c r="AS122">
        <v>338419</v>
      </c>
      <c r="AU122" t="s">
        <v>373</v>
      </c>
      <c r="AV122">
        <v>37310252</v>
      </c>
      <c r="AW122" t="s">
        <v>42</v>
      </c>
      <c r="AX122" t="s">
        <v>366</v>
      </c>
      <c r="AY122" t="s">
        <v>56</v>
      </c>
      <c r="AZ122" t="s">
        <v>45</v>
      </c>
      <c r="BB122" t="s">
        <v>46</v>
      </c>
      <c r="BC122" t="s">
        <v>762</v>
      </c>
    </row>
    <row r="123" spans="1:119" x14ac:dyDescent="0.3">
      <c r="A123">
        <v>137</v>
      </c>
      <c r="B123" t="s">
        <v>13173</v>
      </c>
      <c r="C123" t="s">
        <v>13172</v>
      </c>
      <c r="D123" t="s">
        <v>442</v>
      </c>
      <c r="E123">
        <v>2023</v>
      </c>
      <c r="F123" t="s">
        <v>305</v>
      </c>
      <c r="G123">
        <v>6</v>
      </c>
      <c r="H123">
        <v>1</v>
      </c>
      <c r="J123">
        <v>41</v>
      </c>
      <c r="K123">
        <v>56</v>
      </c>
      <c r="M123">
        <v>43</v>
      </c>
      <c r="N123" t="s">
        <v>443</v>
      </c>
      <c r="O123" t="s">
        <v>444</v>
      </c>
      <c r="P123" t="s">
        <v>445</v>
      </c>
      <c r="Q123" t="s">
        <v>13171</v>
      </c>
      <c r="R123" t="s">
        <v>446</v>
      </c>
      <c r="S123" t="s">
        <v>447</v>
      </c>
      <c r="AJ123" t="s">
        <v>13170</v>
      </c>
      <c r="AK123" t="s">
        <v>13169</v>
      </c>
      <c r="AN123" t="s">
        <v>311</v>
      </c>
      <c r="AS123" t="s">
        <v>312</v>
      </c>
      <c r="AW123" t="s">
        <v>42</v>
      </c>
      <c r="AX123" t="s">
        <v>313</v>
      </c>
      <c r="AY123" t="s">
        <v>56</v>
      </c>
      <c r="AZ123" t="s">
        <v>45</v>
      </c>
      <c r="BA123" t="s">
        <v>12349</v>
      </c>
      <c r="BB123" t="s">
        <v>46</v>
      </c>
      <c r="BC123" t="s">
        <v>448</v>
      </c>
    </row>
    <row r="124" spans="1:119" x14ac:dyDescent="0.3">
      <c r="A124">
        <v>138</v>
      </c>
      <c r="B124" t="s">
        <v>13313</v>
      </c>
      <c r="C124" t="s">
        <v>13312</v>
      </c>
      <c r="D124" t="s">
        <v>365</v>
      </c>
      <c r="E124">
        <v>2023</v>
      </c>
      <c r="F124" t="s">
        <v>366</v>
      </c>
      <c r="G124">
        <v>308</v>
      </c>
      <c r="H124">
        <v>1</v>
      </c>
      <c r="I124" t="s">
        <v>367</v>
      </c>
      <c r="M124">
        <v>10</v>
      </c>
      <c r="N124" t="s">
        <v>368</v>
      </c>
      <c r="O124" t="s">
        <v>369</v>
      </c>
      <c r="P124" t="s">
        <v>370</v>
      </c>
      <c r="Q124" t="s">
        <v>13311</v>
      </c>
      <c r="R124" t="s">
        <v>371</v>
      </c>
      <c r="T124" t="s">
        <v>13310</v>
      </c>
      <c r="Y124" t="s">
        <v>13309</v>
      </c>
      <c r="Z124" t="s">
        <v>4604</v>
      </c>
      <c r="AJ124" t="s">
        <v>13308</v>
      </c>
      <c r="AK124" t="s">
        <v>13307</v>
      </c>
      <c r="AN124" t="s">
        <v>372</v>
      </c>
      <c r="AS124">
        <v>338419</v>
      </c>
      <c r="AU124" t="s">
        <v>373</v>
      </c>
      <c r="AV124">
        <v>37489981</v>
      </c>
      <c r="AW124" t="s">
        <v>42</v>
      </c>
      <c r="AX124" t="s">
        <v>366</v>
      </c>
      <c r="AY124" t="s">
        <v>56</v>
      </c>
      <c r="AZ124" t="s">
        <v>45</v>
      </c>
      <c r="BB124" t="s">
        <v>46</v>
      </c>
      <c r="BC124" t="s">
        <v>374</v>
      </c>
    </row>
    <row r="125" spans="1:119" x14ac:dyDescent="0.3">
      <c r="A125">
        <v>139</v>
      </c>
      <c r="B125" t="s">
        <v>13525</v>
      </c>
      <c r="C125" t="s">
        <v>13524</v>
      </c>
      <c r="D125" t="s">
        <v>590</v>
      </c>
      <c r="E125">
        <v>2023</v>
      </c>
      <c r="F125" t="s">
        <v>591</v>
      </c>
      <c r="J125">
        <v>391</v>
      </c>
      <c r="K125">
        <v>394</v>
      </c>
      <c r="N125" t="s">
        <v>592</v>
      </c>
      <c r="O125" t="s">
        <v>593</v>
      </c>
      <c r="P125" t="s">
        <v>594</v>
      </c>
      <c r="Q125" t="s">
        <v>13523</v>
      </c>
      <c r="R125" t="s">
        <v>595</v>
      </c>
      <c r="S125" t="s">
        <v>596</v>
      </c>
      <c r="T125" t="s">
        <v>597</v>
      </c>
      <c r="Y125" t="s">
        <v>13522</v>
      </c>
      <c r="Z125" t="s">
        <v>13521</v>
      </c>
      <c r="AJ125" t="s">
        <v>13520</v>
      </c>
      <c r="AL125" t="s">
        <v>13519</v>
      </c>
      <c r="AM125" t="s">
        <v>13518</v>
      </c>
      <c r="AN125" t="s">
        <v>65</v>
      </c>
      <c r="AO125" t="s">
        <v>13517</v>
      </c>
      <c r="AP125" t="s">
        <v>13516</v>
      </c>
      <c r="AR125">
        <v>193793</v>
      </c>
      <c r="AT125">
        <v>9798400701290</v>
      </c>
      <c r="AW125" t="s">
        <v>42</v>
      </c>
      <c r="AX125" t="s">
        <v>598</v>
      </c>
      <c r="AY125" t="s">
        <v>12252</v>
      </c>
      <c r="AZ125" t="s">
        <v>45</v>
      </c>
      <c r="BB125" t="s">
        <v>46</v>
      </c>
      <c r="BC125" t="s">
        <v>599</v>
      </c>
      <c r="CW125" s="6"/>
      <c r="CX125" s="6"/>
      <c r="CY125" s="6"/>
      <c r="CZ125" s="6"/>
      <c r="DA125" s="6"/>
      <c r="DB125" s="6"/>
      <c r="DC125" s="6"/>
      <c r="DD125" s="6"/>
      <c r="DE125" s="6"/>
      <c r="DF125" s="6"/>
      <c r="DG125" s="6"/>
      <c r="DH125" s="6"/>
      <c r="DI125" s="6"/>
      <c r="DJ125" s="6"/>
      <c r="DK125" s="6"/>
      <c r="DL125" s="6"/>
      <c r="DM125" s="6"/>
      <c r="DN125" s="6"/>
      <c r="DO125" s="6"/>
    </row>
    <row r="126" spans="1:119" x14ac:dyDescent="0.3">
      <c r="A126">
        <v>140</v>
      </c>
      <c r="B126" t="s">
        <v>12786</v>
      </c>
      <c r="C126" t="s">
        <v>12785</v>
      </c>
      <c r="D126" t="s">
        <v>617</v>
      </c>
      <c r="E126">
        <v>2023</v>
      </c>
      <c r="F126" t="s">
        <v>618</v>
      </c>
      <c r="G126">
        <v>10</v>
      </c>
      <c r="I126">
        <v>1296615</v>
      </c>
      <c r="N126" t="s">
        <v>619</v>
      </c>
      <c r="O126" t="s">
        <v>620</v>
      </c>
      <c r="P126" t="s">
        <v>621</v>
      </c>
      <c r="Q126" t="s">
        <v>12784</v>
      </c>
      <c r="R126" t="s">
        <v>622</v>
      </c>
      <c r="S126" t="s">
        <v>623</v>
      </c>
      <c r="T126" t="s">
        <v>624</v>
      </c>
      <c r="Z126" t="s">
        <v>12783</v>
      </c>
      <c r="AP126" t="s">
        <v>12782</v>
      </c>
      <c r="AQ126" t="s">
        <v>12781</v>
      </c>
      <c r="AT126" t="s">
        <v>340</v>
      </c>
      <c r="AY126" t="s">
        <v>625</v>
      </c>
      <c r="BC126" t="s">
        <v>42</v>
      </c>
      <c r="BD126" t="s">
        <v>626</v>
      </c>
      <c r="BE126" t="s">
        <v>56</v>
      </c>
      <c r="BF126" t="s">
        <v>45</v>
      </c>
      <c r="BG126" t="s">
        <v>12214</v>
      </c>
      <c r="BH126" t="s">
        <v>46</v>
      </c>
      <c r="BI126" t="s">
        <v>627</v>
      </c>
      <c r="CW126" s="6"/>
      <c r="CX126" s="6"/>
      <c r="CY126" s="6"/>
      <c r="CZ126" s="6"/>
      <c r="DA126" s="6"/>
      <c r="DB126" s="6"/>
      <c r="DC126" s="6"/>
      <c r="DD126" s="6"/>
      <c r="DE126" s="6"/>
      <c r="DF126" s="6"/>
      <c r="DG126" s="6"/>
      <c r="DH126" s="6"/>
      <c r="DI126" s="6"/>
      <c r="DJ126" s="6"/>
      <c r="DK126" s="6"/>
      <c r="DL126" s="6"/>
      <c r="DM126" s="6"/>
      <c r="DN126" s="6"/>
      <c r="DO126" s="6"/>
    </row>
    <row r="127" spans="1:119" x14ac:dyDescent="0.3">
      <c r="A127">
        <v>142</v>
      </c>
      <c r="B127" t="s">
        <v>13168</v>
      </c>
      <c r="C127" t="s">
        <v>13167</v>
      </c>
      <c r="D127" t="s">
        <v>327</v>
      </c>
      <c r="E127">
        <v>2023</v>
      </c>
      <c r="F127" t="s">
        <v>305</v>
      </c>
      <c r="G127">
        <v>6</v>
      </c>
      <c r="H127">
        <v>1</v>
      </c>
      <c r="J127">
        <v>364</v>
      </c>
      <c r="K127">
        <v>389</v>
      </c>
      <c r="M127">
        <v>150</v>
      </c>
      <c r="N127" t="s">
        <v>328</v>
      </c>
      <c r="O127" t="s">
        <v>329</v>
      </c>
      <c r="P127" t="s">
        <v>330</v>
      </c>
      <c r="Q127" t="s">
        <v>13166</v>
      </c>
      <c r="R127" t="s">
        <v>331</v>
      </c>
      <c r="S127" t="s">
        <v>332</v>
      </c>
      <c r="AJ127" t="s">
        <v>13165</v>
      </c>
    </row>
    <row r="128" spans="1:119" x14ac:dyDescent="0.3">
      <c r="A128">
        <v>143</v>
      </c>
      <c r="B128" t="s">
        <v>12541</v>
      </c>
      <c r="C128" t="s">
        <v>12540</v>
      </c>
      <c r="D128" t="s">
        <v>1057</v>
      </c>
      <c r="E128">
        <v>2023</v>
      </c>
      <c r="F128" t="s">
        <v>996</v>
      </c>
      <c r="G128">
        <v>9</v>
      </c>
      <c r="H128">
        <v>1</v>
      </c>
      <c r="I128" t="s">
        <v>1058</v>
      </c>
      <c r="M128">
        <v>14</v>
      </c>
      <c r="N128" t="s">
        <v>1059</v>
      </c>
      <c r="O128" t="s">
        <v>1060</v>
      </c>
      <c r="P128" t="s">
        <v>1061</v>
      </c>
      <c r="Q128" t="s">
        <v>12539</v>
      </c>
      <c r="R128" t="s">
        <v>1062</v>
      </c>
      <c r="S128" t="s">
        <v>1063</v>
      </c>
      <c r="Z128" t="s">
        <v>12538</v>
      </c>
      <c r="AP128" t="s">
        <v>12537</v>
      </c>
      <c r="AQ128" t="s">
        <v>12536</v>
      </c>
      <c r="AT128" t="s">
        <v>129</v>
      </c>
      <c r="AY128">
        <v>23693762</v>
      </c>
      <c r="BC128" t="s">
        <v>42</v>
      </c>
      <c r="BD128" t="s">
        <v>1003</v>
      </c>
      <c r="BE128" t="s">
        <v>56</v>
      </c>
      <c r="BF128" t="s">
        <v>45</v>
      </c>
      <c r="BG128" t="s">
        <v>12214</v>
      </c>
      <c r="BH128" t="s">
        <v>46</v>
      </c>
      <c r="BI128" t="s">
        <v>1064</v>
      </c>
    </row>
    <row r="129" spans="1:119" s="6" customFormat="1" x14ac:dyDescent="0.3">
      <c r="A129">
        <v>144</v>
      </c>
      <c r="B129" t="s">
        <v>13371</v>
      </c>
      <c r="C129" t="s">
        <v>13370</v>
      </c>
      <c r="D129" t="s">
        <v>33</v>
      </c>
      <c r="E129">
        <v>2023</v>
      </c>
      <c r="F129" t="s">
        <v>34</v>
      </c>
      <c r="G129"/>
      <c r="H129"/>
      <c r="I129"/>
      <c r="J129">
        <v>78</v>
      </c>
      <c r="K129">
        <v>92</v>
      </c>
      <c r="L129"/>
      <c r="M129">
        <v>10</v>
      </c>
      <c r="N129" t="s">
        <v>35</v>
      </c>
      <c r="O129" t="s">
        <v>36</v>
      </c>
      <c r="P129" t="s">
        <v>37</v>
      </c>
      <c r="Q129" t="s">
        <v>13369</v>
      </c>
      <c r="R129" t="s">
        <v>38</v>
      </c>
      <c r="S129" t="s">
        <v>39</v>
      </c>
      <c r="T129" t="s">
        <v>40</v>
      </c>
      <c r="U129"/>
      <c r="V129"/>
      <c r="W129"/>
      <c r="X129"/>
      <c r="Y129"/>
      <c r="Z129"/>
      <c r="AA129"/>
      <c r="AB129"/>
      <c r="AC129"/>
      <c r="AD129"/>
      <c r="AE129"/>
      <c r="AF129"/>
      <c r="AG129"/>
      <c r="AH129"/>
      <c r="AI129"/>
      <c r="AJ129" t="s">
        <v>13368</v>
      </c>
      <c r="AK129"/>
      <c r="AL129"/>
      <c r="AM129" t="s">
        <v>13367</v>
      </c>
      <c r="AN129" t="s">
        <v>41</v>
      </c>
      <c r="AO129" t="s">
        <v>13366</v>
      </c>
      <c r="AP129" t="s">
        <v>13365</v>
      </c>
      <c r="AQ129"/>
      <c r="AR129">
        <v>192875</v>
      </c>
      <c r="AS129"/>
      <c r="AT129">
        <v>9781450399760</v>
      </c>
      <c r="AU129"/>
      <c r="AV129"/>
      <c r="AW129" t="s">
        <v>42</v>
      </c>
      <c r="AX129" t="s">
        <v>43</v>
      </c>
      <c r="AY129" t="s">
        <v>12252</v>
      </c>
      <c r="AZ129" t="s">
        <v>45</v>
      </c>
      <c r="BA129" t="s">
        <v>12310</v>
      </c>
      <c r="BB129" t="s">
        <v>46</v>
      </c>
      <c r="BC129" t="s">
        <v>47</v>
      </c>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row>
    <row r="130" spans="1:119" x14ac:dyDescent="0.3">
      <c r="A130">
        <v>145</v>
      </c>
      <c r="B130" t="s">
        <v>13588</v>
      </c>
      <c r="C130" t="s">
        <v>13587</v>
      </c>
      <c r="D130" t="s">
        <v>729</v>
      </c>
      <c r="E130">
        <v>2023</v>
      </c>
      <c r="F130" t="s">
        <v>636</v>
      </c>
      <c r="J130">
        <v>704</v>
      </c>
      <c r="K130">
        <v>707</v>
      </c>
      <c r="N130" t="s">
        <v>730</v>
      </c>
      <c r="O130" t="s">
        <v>731</v>
      </c>
      <c r="P130" t="s">
        <v>732</v>
      </c>
      <c r="Q130" t="s">
        <v>13586</v>
      </c>
      <c r="R130" t="s">
        <v>733</v>
      </c>
      <c r="S130" t="s">
        <v>734</v>
      </c>
      <c r="T130" t="s">
        <v>735</v>
      </c>
      <c r="AJ130" t="s">
        <v>13585</v>
      </c>
      <c r="AM130" t="s">
        <v>13584</v>
      </c>
      <c r="AN130" t="s">
        <v>65</v>
      </c>
      <c r="AO130" t="s">
        <v>13583</v>
      </c>
      <c r="AP130" t="s">
        <v>13582</v>
      </c>
      <c r="AR130">
        <v>194341</v>
      </c>
      <c r="AT130">
        <v>9798400707858</v>
      </c>
      <c r="AW130" t="s">
        <v>42</v>
      </c>
      <c r="AX130" t="s">
        <v>637</v>
      </c>
      <c r="AY130" t="s">
        <v>12252</v>
      </c>
      <c r="AZ130" t="s">
        <v>45</v>
      </c>
      <c r="BB130" t="s">
        <v>46</v>
      </c>
      <c r="BC130" t="s">
        <v>736</v>
      </c>
    </row>
    <row r="131" spans="1:119" x14ac:dyDescent="0.3">
      <c r="A131">
        <v>146</v>
      </c>
      <c r="B131" t="s">
        <v>12697</v>
      </c>
      <c r="C131" t="s">
        <v>12696</v>
      </c>
      <c r="D131" t="s">
        <v>1119</v>
      </c>
      <c r="E131">
        <v>2023</v>
      </c>
      <c r="F131" t="s">
        <v>383</v>
      </c>
      <c r="G131">
        <v>3551</v>
      </c>
      <c r="O131" t="s">
        <v>1120</v>
      </c>
      <c r="P131" t="s">
        <v>1121</v>
      </c>
      <c r="Q131" t="s">
        <v>12695</v>
      </c>
      <c r="R131" t="s">
        <v>12694</v>
      </c>
      <c r="S131" t="s">
        <v>1123</v>
      </c>
      <c r="T131" t="s">
        <v>1124</v>
      </c>
      <c r="Z131" t="s">
        <v>12693</v>
      </c>
      <c r="AP131" t="s">
        <v>12692</v>
      </c>
      <c r="AQ131" t="s">
        <v>12691</v>
      </c>
      <c r="AR131" t="s">
        <v>12690</v>
      </c>
      <c r="AT131" t="s">
        <v>389</v>
      </c>
      <c r="AU131" t="s">
        <v>12689</v>
      </c>
      <c r="AV131" t="s">
        <v>12688</v>
      </c>
      <c r="AX131">
        <v>194401</v>
      </c>
      <c r="AY131">
        <v>16130073</v>
      </c>
      <c r="BC131" t="s">
        <v>42</v>
      </c>
      <c r="BD131" t="s">
        <v>390</v>
      </c>
      <c r="BE131" t="s">
        <v>12252</v>
      </c>
      <c r="BF131" t="s">
        <v>45</v>
      </c>
      <c r="BH131" t="s">
        <v>46</v>
      </c>
      <c r="BI131" t="s">
        <v>1125</v>
      </c>
    </row>
    <row r="132" spans="1:119" x14ac:dyDescent="0.3">
      <c r="A132">
        <v>148</v>
      </c>
      <c r="B132" t="s">
        <v>521</v>
      </c>
      <c r="C132" t="s">
        <v>13266</v>
      </c>
      <c r="D132" t="s">
        <v>522</v>
      </c>
      <c r="E132">
        <v>2023</v>
      </c>
      <c r="F132" t="s">
        <v>523</v>
      </c>
      <c r="G132">
        <v>95</v>
      </c>
      <c r="H132">
        <v>2</v>
      </c>
      <c r="J132">
        <v>205</v>
      </c>
      <c r="K132">
        <v>227</v>
      </c>
      <c r="N132" t="s">
        <v>524</v>
      </c>
      <c r="O132" t="s">
        <v>525</v>
      </c>
      <c r="Q132" t="s">
        <v>13265</v>
      </c>
      <c r="R132" t="s">
        <v>526</v>
      </c>
      <c r="S132" t="s">
        <v>527</v>
      </c>
      <c r="AJ132" t="s">
        <v>13264</v>
      </c>
      <c r="AN132" t="s">
        <v>528</v>
      </c>
      <c r="AS132">
        <v>29831</v>
      </c>
      <c r="AW132" t="s">
        <v>42</v>
      </c>
      <c r="AX132" t="s">
        <v>529</v>
      </c>
      <c r="AY132" t="s">
        <v>56</v>
      </c>
      <c r="AZ132" t="s">
        <v>45</v>
      </c>
      <c r="BB132" t="s">
        <v>46</v>
      </c>
      <c r="BC132" t="s">
        <v>530</v>
      </c>
    </row>
    <row r="133" spans="1:119" x14ac:dyDescent="0.3">
      <c r="A133">
        <v>149</v>
      </c>
      <c r="B133" t="s">
        <v>12580</v>
      </c>
      <c r="C133" t="s">
        <v>12579</v>
      </c>
      <c r="D133" t="s">
        <v>1247</v>
      </c>
      <c r="E133">
        <v>2023</v>
      </c>
      <c r="F133" t="s">
        <v>127</v>
      </c>
      <c r="G133" t="s">
        <v>1248</v>
      </c>
      <c r="J133">
        <v>198</v>
      </c>
      <c r="K133">
        <v>206</v>
      </c>
      <c r="M133">
        <v>1</v>
      </c>
      <c r="N133" t="s">
        <v>1249</v>
      </c>
      <c r="O133" t="s">
        <v>1250</v>
      </c>
      <c r="P133" t="s">
        <v>1251</v>
      </c>
      <c r="Q133" t="s">
        <v>12578</v>
      </c>
      <c r="R133" t="s">
        <v>1252</v>
      </c>
      <c r="S133" t="s">
        <v>1253</v>
      </c>
      <c r="T133" t="s">
        <v>1254</v>
      </c>
      <c r="Y133" t="s">
        <v>12577</v>
      </c>
      <c r="Z133" t="s">
        <v>12576</v>
      </c>
      <c r="AA133" t="s">
        <v>12575</v>
      </c>
      <c r="AB133" t="s">
        <v>12574</v>
      </c>
      <c r="AC133" t="s">
        <v>12573</v>
      </c>
      <c r="AD133" t="s">
        <v>12572</v>
      </c>
      <c r="AE133" t="s">
        <v>12571</v>
      </c>
      <c r="AP133" t="s">
        <v>12570</v>
      </c>
      <c r="AQ133" t="s">
        <v>12569</v>
      </c>
      <c r="AR133" t="s">
        <v>12568</v>
      </c>
      <c r="AT133" t="s">
        <v>92</v>
      </c>
      <c r="AU133" t="s">
        <v>12567</v>
      </c>
      <c r="AV133" t="s">
        <v>12566</v>
      </c>
      <c r="AX133">
        <v>301619</v>
      </c>
      <c r="AY133">
        <v>3029743</v>
      </c>
      <c r="AZ133">
        <v>9783031426070</v>
      </c>
      <c r="BC133" t="s">
        <v>42</v>
      </c>
      <c r="BD133" t="s">
        <v>128</v>
      </c>
      <c r="BE133" t="s">
        <v>12252</v>
      </c>
      <c r="BF133" t="s">
        <v>45</v>
      </c>
      <c r="BG133" t="s">
        <v>12245</v>
      </c>
      <c r="BH133" t="s">
        <v>46</v>
      </c>
      <c r="BI133" t="s">
        <v>1255</v>
      </c>
    </row>
    <row r="134" spans="1:119" x14ac:dyDescent="0.3">
      <c r="A134">
        <v>150</v>
      </c>
      <c r="B134" t="s">
        <v>12906</v>
      </c>
      <c r="C134" t="s">
        <v>12905</v>
      </c>
      <c r="D134" t="s">
        <v>95</v>
      </c>
      <c r="E134">
        <v>2023</v>
      </c>
      <c r="F134" t="s">
        <v>96</v>
      </c>
      <c r="J134">
        <v>1941</v>
      </c>
      <c r="K134">
        <v>1961</v>
      </c>
      <c r="M134">
        <v>1</v>
      </c>
      <c r="O134" t="s">
        <v>97</v>
      </c>
      <c r="P134" t="s">
        <v>98</v>
      </c>
      <c r="Q134" t="s">
        <v>12904</v>
      </c>
      <c r="R134" t="s">
        <v>99</v>
      </c>
      <c r="T134" t="s">
        <v>100</v>
      </c>
      <c r="Y134" t="s">
        <v>12903</v>
      </c>
      <c r="Z134" t="s">
        <v>12902</v>
      </c>
      <c r="AJ134" t="s">
        <v>12901</v>
      </c>
      <c r="AM134" t="s">
        <v>12900</v>
      </c>
      <c r="AN134" t="s">
        <v>101</v>
      </c>
      <c r="AO134" t="s">
        <v>12899</v>
      </c>
      <c r="AP134" t="s">
        <v>12898</v>
      </c>
      <c r="AR134">
        <v>196127</v>
      </c>
      <c r="AT134">
        <v>9798891760615</v>
      </c>
      <c r="AW134" t="s">
        <v>42</v>
      </c>
      <c r="AX134" t="s">
        <v>102</v>
      </c>
      <c r="AY134" t="s">
        <v>12252</v>
      </c>
      <c r="AZ134" t="s">
        <v>45</v>
      </c>
      <c r="BB134" t="s">
        <v>46</v>
      </c>
      <c r="BC134" t="s">
        <v>103</v>
      </c>
    </row>
    <row r="135" spans="1:119" x14ac:dyDescent="0.3">
      <c r="A135">
        <v>151</v>
      </c>
      <c r="B135" t="s">
        <v>12423</v>
      </c>
      <c r="C135" t="s">
        <v>12422</v>
      </c>
      <c r="D135" t="s">
        <v>1391</v>
      </c>
      <c r="E135">
        <v>2023</v>
      </c>
      <c r="F135" t="s">
        <v>383</v>
      </c>
      <c r="G135">
        <v>3487</v>
      </c>
      <c r="J135">
        <v>139</v>
      </c>
      <c r="K135">
        <v>150</v>
      </c>
      <c r="M135">
        <v>1</v>
      </c>
      <c r="O135" t="s">
        <v>1392</v>
      </c>
      <c r="P135" t="s">
        <v>1393</v>
      </c>
      <c r="Q135" t="s">
        <v>12421</v>
      </c>
      <c r="R135" t="s">
        <v>1394</v>
      </c>
      <c r="S135" t="s">
        <v>1395</v>
      </c>
      <c r="T135" t="s">
        <v>1396</v>
      </c>
      <c r="AP135" t="s">
        <v>12420</v>
      </c>
      <c r="AQ135" t="s">
        <v>12419</v>
      </c>
      <c r="AR135" t="s">
        <v>12418</v>
      </c>
      <c r="AT135" t="s">
        <v>389</v>
      </c>
      <c r="AU135" t="s">
        <v>12417</v>
      </c>
      <c r="AV135" t="s">
        <v>12416</v>
      </c>
      <c r="AX135">
        <v>192705</v>
      </c>
      <c r="AY135">
        <v>16130073</v>
      </c>
      <c r="BC135" t="s">
        <v>42</v>
      </c>
      <c r="BD135" t="s">
        <v>390</v>
      </c>
      <c r="BE135" t="s">
        <v>12252</v>
      </c>
      <c r="BF135" t="s">
        <v>45</v>
      </c>
      <c r="BH135" t="s">
        <v>46</v>
      </c>
      <c r="BI135" t="s">
        <v>1397</v>
      </c>
    </row>
    <row r="136" spans="1:119" x14ac:dyDescent="0.3">
      <c r="A136">
        <v>152</v>
      </c>
      <c r="B136" t="s">
        <v>12921</v>
      </c>
      <c r="C136" t="s">
        <v>12920</v>
      </c>
      <c r="D136" t="s">
        <v>256</v>
      </c>
      <c r="E136">
        <v>2023</v>
      </c>
      <c r="F136" t="s">
        <v>257</v>
      </c>
      <c r="G136">
        <v>225</v>
      </c>
      <c r="J136">
        <v>4750</v>
      </c>
      <c r="K136">
        <v>4757</v>
      </c>
      <c r="N136" t="s">
        <v>258</v>
      </c>
      <c r="O136" t="s">
        <v>259</v>
      </c>
      <c r="P136" t="s">
        <v>260</v>
      </c>
      <c r="Q136" t="s">
        <v>12919</v>
      </c>
      <c r="R136" t="s">
        <v>261</v>
      </c>
      <c r="S136" t="s">
        <v>262</v>
      </c>
      <c r="AJ136" t="s">
        <v>12918</v>
      </c>
      <c r="AK136" t="s">
        <v>12917</v>
      </c>
      <c r="AL136" t="s">
        <v>12916</v>
      </c>
      <c r="AN136" t="s">
        <v>253</v>
      </c>
      <c r="AO136" t="s">
        <v>12915</v>
      </c>
      <c r="AP136" t="s">
        <v>12914</v>
      </c>
      <c r="AR136">
        <v>196245</v>
      </c>
      <c r="AS136">
        <v>18770509</v>
      </c>
      <c r="AW136" t="s">
        <v>42</v>
      </c>
      <c r="AX136" t="s">
        <v>263</v>
      </c>
      <c r="AY136" t="s">
        <v>12252</v>
      </c>
      <c r="AZ136" t="s">
        <v>45</v>
      </c>
      <c r="BA136" t="s">
        <v>12251</v>
      </c>
      <c r="BB136" t="s">
        <v>46</v>
      </c>
      <c r="BC136" t="s">
        <v>264</v>
      </c>
    </row>
    <row r="137" spans="1:119" x14ac:dyDescent="0.3">
      <c r="A137">
        <v>153</v>
      </c>
      <c r="B137" t="s">
        <v>912</v>
      </c>
      <c r="C137" t="s">
        <v>12261</v>
      </c>
      <c r="D137" t="s">
        <v>913</v>
      </c>
      <c r="E137">
        <v>2019</v>
      </c>
      <c r="F137" t="s">
        <v>914</v>
      </c>
      <c r="G137">
        <v>1171</v>
      </c>
      <c r="H137">
        <v>1</v>
      </c>
      <c r="I137">
        <v>12004</v>
      </c>
      <c r="M137">
        <v>1</v>
      </c>
      <c r="N137" t="s">
        <v>915</v>
      </c>
      <c r="O137" t="s">
        <v>916</v>
      </c>
      <c r="P137" t="s">
        <v>917</v>
      </c>
      <c r="Q137" t="s">
        <v>12260</v>
      </c>
      <c r="R137" t="s">
        <v>918</v>
      </c>
      <c r="T137" t="s">
        <v>919</v>
      </c>
      <c r="Y137" t="s">
        <v>12259</v>
      </c>
      <c r="Z137" t="s">
        <v>12258</v>
      </c>
      <c r="AJ137" t="s">
        <v>12257</v>
      </c>
      <c r="AK137" t="s">
        <v>12256</v>
      </c>
      <c r="AM137" t="s">
        <v>12255</v>
      </c>
      <c r="AN137" t="s">
        <v>920</v>
      </c>
      <c r="AO137" t="s">
        <v>12254</v>
      </c>
      <c r="AP137" t="s">
        <v>12253</v>
      </c>
      <c r="AR137">
        <v>145895</v>
      </c>
      <c r="AS137">
        <v>17426588</v>
      </c>
      <c r="AW137" t="s">
        <v>42</v>
      </c>
      <c r="AX137" t="s">
        <v>921</v>
      </c>
      <c r="AY137" t="s">
        <v>12252</v>
      </c>
      <c r="AZ137" t="s">
        <v>45</v>
      </c>
      <c r="BA137" t="s">
        <v>12251</v>
      </c>
      <c r="BB137" t="s">
        <v>46</v>
      </c>
      <c r="BC137" t="s">
        <v>922</v>
      </c>
    </row>
    <row r="138" spans="1:119" x14ac:dyDescent="0.3">
      <c r="A138">
        <v>154</v>
      </c>
      <c r="B138" t="s">
        <v>12844</v>
      </c>
      <c r="C138" t="s">
        <v>12843</v>
      </c>
      <c r="D138" t="s">
        <v>163</v>
      </c>
      <c r="E138">
        <v>2023</v>
      </c>
      <c r="F138" t="s">
        <v>164</v>
      </c>
      <c r="N138" t="s">
        <v>165</v>
      </c>
      <c r="O138" t="s">
        <v>166</v>
      </c>
      <c r="P138" t="s">
        <v>167</v>
      </c>
      <c r="Q138" t="s">
        <v>12842</v>
      </c>
      <c r="R138" t="s">
        <v>12841</v>
      </c>
      <c r="S138" t="s">
        <v>169</v>
      </c>
      <c r="T138" t="s">
        <v>170</v>
      </c>
      <c r="Z138" t="s">
        <v>12840</v>
      </c>
      <c r="AP138" t="s">
        <v>12839</v>
      </c>
      <c r="AQ138" t="s">
        <v>12838</v>
      </c>
      <c r="AT138" t="s">
        <v>88</v>
      </c>
      <c r="AU138" t="s">
        <v>12837</v>
      </c>
      <c r="AV138" t="s">
        <v>12836</v>
      </c>
      <c r="AX138">
        <v>195656</v>
      </c>
      <c r="AZ138">
        <v>9798350369489</v>
      </c>
      <c r="BC138" t="s">
        <v>42</v>
      </c>
      <c r="BD138" t="s">
        <v>171</v>
      </c>
      <c r="BE138" t="s">
        <v>12252</v>
      </c>
      <c r="BF138" t="s">
        <v>45</v>
      </c>
      <c r="BH138" t="s">
        <v>46</v>
      </c>
      <c r="BI138" t="s">
        <v>172</v>
      </c>
    </row>
    <row r="139" spans="1:119" x14ac:dyDescent="0.3">
      <c r="A139">
        <v>155</v>
      </c>
      <c r="B139" t="s">
        <v>12768</v>
      </c>
      <c r="C139" t="s">
        <v>12767</v>
      </c>
      <c r="D139" t="s">
        <v>81</v>
      </c>
      <c r="E139">
        <v>2023</v>
      </c>
      <c r="F139" t="s">
        <v>82</v>
      </c>
      <c r="J139">
        <v>1357</v>
      </c>
      <c r="K139">
        <v>1364</v>
      </c>
      <c r="N139" t="s">
        <v>83</v>
      </c>
      <c r="O139" t="s">
        <v>84</v>
      </c>
      <c r="P139" t="s">
        <v>85</v>
      </c>
      <c r="Q139" t="s">
        <v>12766</v>
      </c>
      <c r="R139" t="s">
        <v>86</v>
      </c>
      <c r="T139" t="s">
        <v>87</v>
      </c>
      <c r="AP139" t="s">
        <v>12765</v>
      </c>
      <c r="AQ139" t="s">
        <v>12764</v>
      </c>
      <c r="AT139" t="s">
        <v>88</v>
      </c>
      <c r="AU139" t="s">
        <v>82</v>
      </c>
      <c r="AV139" t="s">
        <v>12763</v>
      </c>
      <c r="AX139">
        <v>194597</v>
      </c>
      <c r="AZ139">
        <v>9798350300673</v>
      </c>
      <c r="BC139" t="s">
        <v>42</v>
      </c>
      <c r="BD139" t="s">
        <v>89</v>
      </c>
      <c r="BE139" t="s">
        <v>12252</v>
      </c>
      <c r="BF139" t="s">
        <v>45</v>
      </c>
      <c r="BH139" t="s">
        <v>46</v>
      </c>
      <c r="BI139" t="s">
        <v>90</v>
      </c>
    </row>
    <row r="140" spans="1:119" x14ac:dyDescent="0.3">
      <c r="A140">
        <v>156</v>
      </c>
      <c r="B140" t="s">
        <v>13675</v>
      </c>
      <c r="C140" t="s">
        <v>13674</v>
      </c>
      <c r="D140" t="s">
        <v>243</v>
      </c>
      <c r="E140">
        <v>2023</v>
      </c>
      <c r="F140" t="s">
        <v>244</v>
      </c>
      <c r="G140">
        <v>10</v>
      </c>
      <c r="H140">
        <v>4</v>
      </c>
      <c r="I140">
        <v>81</v>
      </c>
      <c r="M140">
        <v>1</v>
      </c>
      <c r="N140" t="s">
        <v>245</v>
      </c>
      <c r="O140" t="s">
        <v>246</v>
      </c>
      <c r="P140" t="s">
        <v>247</v>
      </c>
      <c r="Q140" t="s">
        <v>13673</v>
      </c>
      <c r="R140" t="s">
        <v>248</v>
      </c>
      <c r="S140" t="s">
        <v>249</v>
      </c>
      <c r="Y140" t="s">
        <v>13672</v>
      </c>
      <c r="Z140" t="s">
        <v>13671</v>
      </c>
      <c r="AJ140" t="s">
        <v>13670</v>
      </c>
      <c r="AK140" t="s">
        <v>13669</v>
      </c>
      <c r="AN140" t="s">
        <v>180</v>
      </c>
      <c r="AS140">
        <v>22279709</v>
      </c>
      <c r="AW140" t="s">
        <v>42</v>
      </c>
      <c r="AX140" t="s">
        <v>244</v>
      </c>
      <c r="AY140" t="s">
        <v>56</v>
      </c>
      <c r="AZ140" t="s">
        <v>45</v>
      </c>
      <c r="BA140" t="s">
        <v>12214</v>
      </c>
      <c r="BB140" t="s">
        <v>46</v>
      </c>
      <c r="BC140" t="s">
        <v>250</v>
      </c>
    </row>
    <row r="141" spans="1:119" x14ac:dyDescent="0.3">
      <c r="A141">
        <v>157</v>
      </c>
      <c r="B141" t="s">
        <v>903</v>
      </c>
      <c r="C141" t="s">
        <v>12472</v>
      </c>
      <c r="D141" t="s">
        <v>904</v>
      </c>
      <c r="E141">
        <v>2023</v>
      </c>
      <c r="F141" t="s">
        <v>287</v>
      </c>
      <c r="G141">
        <v>14</v>
      </c>
      <c r="H141">
        <v>8</v>
      </c>
      <c r="J141">
        <v>937</v>
      </c>
      <c r="K141">
        <v>946</v>
      </c>
      <c r="N141" t="s">
        <v>905</v>
      </c>
      <c r="O141" t="s">
        <v>906</v>
      </c>
      <c r="P141" t="s">
        <v>907</v>
      </c>
      <c r="Q141" t="s">
        <v>12471</v>
      </c>
      <c r="R141" t="s">
        <v>908</v>
      </c>
      <c r="S141" t="s">
        <v>909</v>
      </c>
      <c r="T141" t="s">
        <v>910</v>
      </c>
      <c r="Z141" t="s">
        <v>12470</v>
      </c>
      <c r="AP141" t="s">
        <v>12469</v>
      </c>
      <c r="AT141" t="s">
        <v>291</v>
      </c>
      <c r="AY141" t="s">
        <v>292</v>
      </c>
      <c r="BC141" t="s">
        <v>42</v>
      </c>
      <c r="BD141" t="s">
        <v>12468</v>
      </c>
      <c r="BE141" t="s">
        <v>56</v>
      </c>
      <c r="BF141" t="s">
        <v>45</v>
      </c>
      <c r="BG141" t="s">
        <v>12251</v>
      </c>
      <c r="BH141" t="s">
        <v>46</v>
      </c>
      <c r="BI141" t="s">
        <v>911</v>
      </c>
      <c r="CW141" s="6"/>
      <c r="CX141" s="6"/>
      <c r="CY141" s="6"/>
      <c r="CZ141" s="6"/>
      <c r="DA141" s="6"/>
      <c r="DB141" s="6"/>
      <c r="DC141" s="6"/>
      <c r="DD141" s="6"/>
      <c r="DE141" s="6"/>
      <c r="DF141" s="6"/>
      <c r="DG141" s="6"/>
      <c r="DH141" s="6"/>
      <c r="DI141" s="6"/>
      <c r="DJ141" s="6"/>
      <c r="DK141" s="6"/>
      <c r="DL141" s="6"/>
      <c r="DM141" s="6"/>
      <c r="DN141" s="6"/>
      <c r="DO141" s="6"/>
    </row>
    <row r="142" spans="1:119" x14ac:dyDescent="0.3">
      <c r="A142">
        <v>158</v>
      </c>
      <c r="B142" t="s">
        <v>12390</v>
      </c>
      <c r="C142" t="s">
        <v>12389</v>
      </c>
      <c r="D142" t="s">
        <v>1377</v>
      </c>
      <c r="E142">
        <v>2023</v>
      </c>
      <c r="F142" t="s">
        <v>996</v>
      </c>
      <c r="G142">
        <v>9</v>
      </c>
      <c r="I142" t="s">
        <v>1378</v>
      </c>
      <c r="M142">
        <v>44</v>
      </c>
      <c r="N142" t="s">
        <v>1379</v>
      </c>
      <c r="O142" t="s">
        <v>1380</v>
      </c>
      <c r="P142" t="s">
        <v>1381</v>
      </c>
      <c r="Q142" t="s">
        <v>12388</v>
      </c>
      <c r="R142" t="s">
        <v>1382</v>
      </c>
      <c r="S142" t="s">
        <v>1383</v>
      </c>
      <c r="Z142" t="s">
        <v>12387</v>
      </c>
      <c r="AP142" t="s">
        <v>12386</v>
      </c>
      <c r="AQ142" t="s">
        <v>12385</v>
      </c>
      <c r="AT142" t="s">
        <v>129</v>
      </c>
      <c r="AY142">
        <v>23693762</v>
      </c>
      <c r="BC142" t="s">
        <v>42</v>
      </c>
      <c r="BD142" t="s">
        <v>1003</v>
      </c>
      <c r="BE142" t="s">
        <v>56</v>
      </c>
      <c r="BF142" t="s">
        <v>45</v>
      </c>
      <c r="BG142" t="s">
        <v>12214</v>
      </c>
      <c r="BH142" t="s">
        <v>46</v>
      </c>
      <c r="BI142" t="s">
        <v>1384</v>
      </c>
      <c r="CW142" s="6"/>
      <c r="CX142" s="6"/>
      <c r="CY142" s="6"/>
      <c r="CZ142" s="6"/>
      <c r="DA142" s="6"/>
      <c r="DB142" s="6"/>
      <c r="DC142" s="6"/>
      <c r="DD142" s="6"/>
      <c r="DE142" s="6"/>
      <c r="DF142" s="6"/>
      <c r="DG142" s="6"/>
      <c r="DH142" s="6"/>
      <c r="DI142" s="6"/>
      <c r="DJ142" s="6"/>
      <c r="DK142" s="6"/>
      <c r="DL142" s="6"/>
      <c r="DM142" s="6"/>
      <c r="DN142" s="6"/>
      <c r="DO142" s="6"/>
    </row>
    <row r="143" spans="1:119" x14ac:dyDescent="0.3">
      <c r="A143">
        <v>159</v>
      </c>
      <c r="B143" t="s">
        <v>13306</v>
      </c>
      <c r="C143" t="s">
        <v>13305</v>
      </c>
      <c r="D143" t="s">
        <v>316</v>
      </c>
      <c r="E143">
        <v>2023</v>
      </c>
      <c r="F143" t="s">
        <v>317</v>
      </c>
      <c r="G143">
        <v>44</v>
      </c>
      <c r="J143">
        <v>71</v>
      </c>
      <c r="K143">
        <v>95</v>
      </c>
      <c r="M143">
        <v>18</v>
      </c>
      <c r="N143" t="s">
        <v>318</v>
      </c>
      <c r="O143" t="s">
        <v>319</v>
      </c>
      <c r="P143" t="s">
        <v>320</v>
      </c>
      <c r="Q143" t="s">
        <v>13304</v>
      </c>
      <c r="R143" t="s">
        <v>321</v>
      </c>
      <c r="S143" t="s">
        <v>322</v>
      </c>
      <c r="T143" t="s">
        <v>323</v>
      </c>
      <c r="Y143" t="s">
        <v>13303</v>
      </c>
      <c r="Z143" t="s">
        <v>13302</v>
      </c>
      <c r="AJ143" t="s">
        <v>13301</v>
      </c>
      <c r="AK143" t="s">
        <v>13300</v>
      </c>
      <c r="AN143" t="s">
        <v>253</v>
      </c>
      <c r="AS143">
        <v>17497728</v>
      </c>
      <c r="AW143" t="s">
        <v>42</v>
      </c>
      <c r="AX143" t="s">
        <v>324</v>
      </c>
      <c r="AY143" t="s">
        <v>56</v>
      </c>
      <c r="AZ143" t="s">
        <v>45</v>
      </c>
      <c r="BB143" t="s">
        <v>46</v>
      </c>
      <c r="BC143" t="s">
        <v>325</v>
      </c>
    </row>
    <row r="144" spans="1:119" x14ac:dyDescent="0.3">
      <c r="A144">
        <v>160</v>
      </c>
      <c r="B144" t="s">
        <v>12437</v>
      </c>
      <c r="C144" t="s">
        <v>12436</v>
      </c>
      <c r="D144" t="s">
        <v>1228</v>
      </c>
      <c r="E144">
        <v>2023</v>
      </c>
      <c r="F144" t="s">
        <v>1229</v>
      </c>
      <c r="G144">
        <v>1425</v>
      </c>
      <c r="J144">
        <v>609</v>
      </c>
      <c r="K144">
        <v>618</v>
      </c>
      <c r="N144" t="s">
        <v>1230</v>
      </c>
      <c r="O144" t="s">
        <v>1231</v>
      </c>
      <c r="P144" t="s">
        <v>1232</v>
      </c>
      <c r="Q144" t="s">
        <v>12435</v>
      </c>
      <c r="R144" t="s">
        <v>1233</v>
      </c>
      <c r="S144" t="s">
        <v>1234</v>
      </c>
      <c r="T144" t="s">
        <v>12434</v>
      </c>
      <c r="Y144" t="s">
        <v>12433</v>
      </c>
      <c r="Z144" t="s">
        <v>12432</v>
      </c>
      <c r="AA144" t="s">
        <v>12431</v>
      </c>
      <c r="AB144" t="s">
        <v>12430</v>
      </c>
      <c r="AP144" t="s">
        <v>12429</v>
      </c>
      <c r="AQ144" t="s">
        <v>12428</v>
      </c>
      <c r="AT144" t="s">
        <v>392</v>
      </c>
      <c r="AY144">
        <v>652598</v>
      </c>
      <c r="BA144" t="s">
        <v>1235</v>
      </c>
      <c r="BB144">
        <v>37581834</v>
      </c>
      <c r="BC144" t="s">
        <v>42</v>
      </c>
      <c r="BD144" t="s">
        <v>1236</v>
      </c>
      <c r="BE144" t="s">
        <v>12262</v>
      </c>
      <c r="BF144" t="s">
        <v>45</v>
      </c>
      <c r="BH144" t="s">
        <v>46</v>
      </c>
      <c r="BI144" t="s">
        <v>1237</v>
      </c>
    </row>
    <row r="145" spans="1:119" x14ac:dyDescent="0.3">
      <c r="A145">
        <v>161</v>
      </c>
      <c r="B145" t="s">
        <v>13560</v>
      </c>
      <c r="C145" t="s">
        <v>13559</v>
      </c>
      <c r="D145" t="s">
        <v>13558</v>
      </c>
      <c r="E145">
        <v>2023</v>
      </c>
      <c r="F145" t="s">
        <v>13557</v>
      </c>
      <c r="G145">
        <v>19</v>
      </c>
      <c r="H145">
        <v>4</v>
      </c>
      <c r="J145">
        <v>21</v>
      </c>
      <c r="K145">
        <v>34</v>
      </c>
      <c r="N145" t="s">
        <v>6482</v>
      </c>
      <c r="O145" t="s">
        <v>13556</v>
      </c>
      <c r="P145" t="s">
        <v>13555</v>
      </c>
      <c r="Q145" t="s">
        <v>13554</v>
      </c>
      <c r="R145" t="s">
        <v>13553</v>
      </c>
      <c r="S145" t="s">
        <v>13552</v>
      </c>
      <c r="AJ145" t="s">
        <v>13551</v>
      </c>
      <c r="AK145" t="s">
        <v>13550</v>
      </c>
      <c r="AN145" t="s">
        <v>13549</v>
      </c>
      <c r="AS145">
        <v>21828458</v>
      </c>
      <c r="AW145" t="s">
        <v>42</v>
      </c>
      <c r="AX145" t="s">
        <v>13548</v>
      </c>
      <c r="AY145" t="s">
        <v>56</v>
      </c>
      <c r="AZ145" t="s">
        <v>45</v>
      </c>
      <c r="BA145" t="s">
        <v>12251</v>
      </c>
      <c r="BB145" t="s">
        <v>46</v>
      </c>
      <c r="BC145" t="s">
        <v>13547</v>
      </c>
    </row>
    <row r="146" spans="1:119" x14ac:dyDescent="0.3">
      <c r="A146">
        <v>162</v>
      </c>
      <c r="B146" t="s">
        <v>13299</v>
      </c>
      <c r="C146" t="s">
        <v>13298</v>
      </c>
      <c r="D146" t="s">
        <v>214</v>
      </c>
      <c r="E146">
        <v>2023</v>
      </c>
      <c r="F146" t="s">
        <v>215</v>
      </c>
      <c r="G146">
        <v>26</v>
      </c>
      <c r="H146">
        <v>7</v>
      </c>
      <c r="J146">
        <v>1343</v>
      </c>
      <c r="K146">
        <v>1349</v>
      </c>
      <c r="M146">
        <v>8</v>
      </c>
      <c r="N146" t="s">
        <v>216</v>
      </c>
      <c r="O146" t="s">
        <v>217</v>
      </c>
      <c r="P146" t="s">
        <v>218</v>
      </c>
      <c r="Q146" t="s">
        <v>13297</v>
      </c>
      <c r="R146" t="s">
        <v>219</v>
      </c>
      <c r="S146" t="s">
        <v>220</v>
      </c>
      <c r="T146" t="s">
        <v>13296</v>
      </c>
      <c r="AJ146" t="s">
        <v>13295</v>
      </c>
      <c r="AK146" t="s">
        <v>13294</v>
      </c>
      <c r="AN146" t="s">
        <v>77</v>
      </c>
      <c r="AS146">
        <v>17561841</v>
      </c>
      <c r="AV146">
        <v>37218530</v>
      </c>
      <c r="AW146" t="s">
        <v>42</v>
      </c>
      <c r="AX146" t="s">
        <v>221</v>
      </c>
      <c r="AY146" t="s">
        <v>56</v>
      </c>
      <c r="AZ146" t="s">
        <v>45</v>
      </c>
      <c r="BB146" t="s">
        <v>46</v>
      </c>
      <c r="BC146" t="s">
        <v>222</v>
      </c>
    </row>
    <row r="147" spans="1:119" x14ac:dyDescent="0.3">
      <c r="A147">
        <v>163</v>
      </c>
      <c r="B147" t="s">
        <v>12484</v>
      </c>
      <c r="C147" t="s">
        <v>12483</v>
      </c>
      <c r="D147" t="s">
        <v>1408</v>
      </c>
      <c r="E147">
        <v>2023</v>
      </c>
      <c r="F147" t="s">
        <v>1409</v>
      </c>
      <c r="G147">
        <v>60</v>
      </c>
      <c r="H147">
        <v>1</v>
      </c>
      <c r="J147">
        <v>95</v>
      </c>
      <c r="K147">
        <v>134</v>
      </c>
      <c r="M147">
        <v>1</v>
      </c>
      <c r="N147" t="s">
        <v>1410</v>
      </c>
      <c r="O147" t="s">
        <v>1411</v>
      </c>
      <c r="P147" t="s">
        <v>1412</v>
      </c>
      <c r="Q147" t="s">
        <v>12482</v>
      </c>
      <c r="R147" t="s">
        <v>1413</v>
      </c>
      <c r="S147" t="s">
        <v>1414</v>
      </c>
      <c r="AP147" t="s">
        <v>12481</v>
      </c>
      <c r="AT147" t="s">
        <v>1415</v>
      </c>
      <c r="AY147">
        <v>5822351</v>
      </c>
      <c r="BC147" t="s">
        <v>42</v>
      </c>
      <c r="BD147" t="s">
        <v>1416</v>
      </c>
      <c r="BE147" t="s">
        <v>56</v>
      </c>
      <c r="BF147" t="s">
        <v>45</v>
      </c>
      <c r="BH147" t="s">
        <v>46</v>
      </c>
      <c r="BI147" t="s">
        <v>1417</v>
      </c>
    </row>
    <row r="148" spans="1:119" x14ac:dyDescent="0.3">
      <c r="A148">
        <v>164</v>
      </c>
      <c r="B148" t="s">
        <v>12336</v>
      </c>
      <c r="C148" t="s">
        <v>12335</v>
      </c>
      <c r="D148" t="s">
        <v>1203</v>
      </c>
      <c r="E148">
        <v>2022</v>
      </c>
      <c r="F148" t="s">
        <v>1204</v>
      </c>
      <c r="G148">
        <v>10</v>
      </c>
      <c r="H148">
        <v>4</v>
      </c>
      <c r="I148" t="s">
        <v>1205</v>
      </c>
      <c r="M148">
        <v>6</v>
      </c>
      <c r="N148" t="s">
        <v>1206</v>
      </c>
      <c r="O148" t="s">
        <v>1207</v>
      </c>
      <c r="P148" t="s">
        <v>1208</v>
      </c>
      <c r="Q148" t="s">
        <v>12334</v>
      </c>
      <c r="R148" t="s">
        <v>12333</v>
      </c>
      <c r="S148" t="s">
        <v>1209</v>
      </c>
      <c r="T148" t="s">
        <v>12332</v>
      </c>
      <c r="V148" t="s">
        <v>12331</v>
      </c>
      <c r="Y148" t="s">
        <v>12330</v>
      </c>
      <c r="Z148" t="s">
        <v>7184</v>
      </c>
      <c r="AP148" t="s">
        <v>12329</v>
      </c>
      <c r="AQ148" t="s">
        <v>12328</v>
      </c>
      <c r="AT148" t="s">
        <v>1210</v>
      </c>
      <c r="AY148">
        <v>20524897</v>
      </c>
      <c r="BB148">
        <v>35858715</v>
      </c>
      <c r="BC148" t="s">
        <v>42</v>
      </c>
      <c r="BD148" t="s">
        <v>1211</v>
      </c>
      <c r="BE148" t="s">
        <v>56</v>
      </c>
      <c r="BF148" t="s">
        <v>45</v>
      </c>
      <c r="BG148" t="s">
        <v>12214</v>
      </c>
      <c r="BH148" t="s">
        <v>46</v>
      </c>
      <c r="BI148" t="s">
        <v>1212</v>
      </c>
    </row>
    <row r="149" spans="1:119" x14ac:dyDescent="0.3">
      <c r="A149">
        <v>165</v>
      </c>
      <c r="B149" t="s">
        <v>12822</v>
      </c>
      <c r="C149" t="s">
        <v>12821</v>
      </c>
      <c r="D149" t="s">
        <v>656</v>
      </c>
      <c r="E149">
        <v>2023</v>
      </c>
      <c r="F149" t="s">
        <v>540</v>
      </c>
      <c r="N149" t="s">
        <v>657</v>
      </c>
      <c r="O149" t="s">
        <v>658</v>
      </c>
      <c r="P149" t="s">
        <v>659</v>
      </c>
      <c r="Q149" t="s">
        <v>12820</v>
      </c>
      <c r="R149" t="s">
        <v>660</v>
      </c>
      <c r="S149" t="s">
        <v>661</v>
      </c>
      <c r="T149" t="s">
        <v>662</v>
      </c>
      <c r="Y149" t="s">
        <v>12819</v>
      </c>
      <c r="Z149" t="s">
        <v>12818</v>
      </c>
      <c r="AP149" t="s">
        <v>12817</v>
      </c>
      <c r="AT149" t="s">
        <v>88</v>
      </c>
      <c r="AU149" t="s">
        <v>540</v>
      </c>
      <c r="AV149" t="s">
        <v>12816</v>
      </c>
      <c r="AX149">
        <v>195501</v>
      </c>
      <c r="AZ149">
        <v>9798350318067</v>
      </c>
      <c r="BC149" t="s">
        <v>42</v>
      </c>
      <c r="BD149" t="s">
        <v>547</v>
      </c>
      <c r="BE149" t="s">
        <v>12252</v>
      </c>
      <c r="BF149" t="s">
        <v>45</v>
      </c>
      <c r="BH149" t="s">
        <v>46</v>
      </c>
      <c r="BI149" t="s">
        <v>663</v>
      </c>
    </row>
    <row r="150" spans="1:119" s="6" customFormat="1" x14ac:dyDescent="0.3">
      <c r="A150">
        <v>167</v>
      </c>
      <c r="B150" t="s">
        <v>12928</v>
      </c>
      <c r="C150" t="s">
        <v>12927</v>
      </c>
      <c r="D150" t="s">
        <v>334</v>
      </c>
      <c r="E150">
        <v>2023</v>
      </c>
      <c r="F150" t="s">
        <v>335</v>
      </c>
      <c r="G150">
        <v>8</v>
      </c>
      <c r="H150"/>
      <c r="I150">
        <v>1330486</v>
      </c>
      <c r="J150"/>
      <c r="K150"/>
      <c r="L150"/>
      <c r="M150"/>
      <c r="N150" t="s">
        <v>336</v>
      </c>
      <c r="O150" t="s">
        <v>337</v>
      </c>
      <c r="P150" t="s">
        <v>12926</v>
      </c>
      <c r="Q150" t="s">
        <v>12925</v>
      </c>
      <c r="R150" t="s">
        <v>338</v>
      </c>
      <c r="S150" t="s">
        <v>339</v>
      </c>
      <c r="T150"/>
      <c r="U150"/>
      <c r="V150"/>
      <c r="W150"/>
      <c r="X150"/>
      <c r="Y150" t="s">
        <v>12924</v>
      </c>
      <c r="Z150" t="s">
        <v>1563</v>
      </c>
      <c r="AA150"/>
      <c r="AB150"/>
      <c r="AC150"/>
      <c r="AD150"/>
      <c r="AE150"/>
      <c r="AF150"/>
      <c r="AG150"/>
      <c r="AH150"/>
      <c r="AI150"/>
      <c r="AJ150" t="s">
        <v>12923</v>
      </c>
      <c r="AK150" t="s">
        <v>12922</v>
      </c>
      <c r="AL150"/>
      <c r="AM150"/>
      <c r="AN150" t="s">
        <v>340</v>
      </c>
      <c r="AO150"/>
      <c r="AP150"/>
      <c r="AQ150"/>
      <c r="AR150"/>
      <c r="AS150" t="s">
        <v>341</v>
      </c>
      <c r="AT150"/>
      <c r="AU150"/>
      <c r="AV150"/>
      <c r="AW150" t="s">
        <v>42</v>
      </c>
      <c r="AX150" t="s">
        <v>342</v>
      </c>
      <c r="AY150" t="s">
        <v>56</v>
      </c>
      <c r="AZ150" t="s">
        <v>45</v>
      </c>
      <c r="BA150" t="s">
        <v>12214</v>
      </c>
      <c r="BB150" t="s">
        <v>46</v>
      </c>
      <c r="BC150" t="s">
        <v>343</v>
      </c>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row>
    <row r="151" spans="1:119" s="6" customFormat="1" x14ac:dyDescent="0.3">
      <c r="A151">
        <v>168</v>
      </c>
      <c r="B151" t="s">
        <v>12615</v>
      </c>
      <c r="C151" t="s">
        <v>12614</v>
      </c>
      <c r="D151" t="s">
        <v>1084</v>
      </c>
      <c r="E151">
        <v>2023</v>
      </c>
      <c r="F151" t="s">
        <v>1085</v>
      </c>
      <c r="G151"/>
      <c r="H151"/>
      <c r="I151"/>
      <c r="J151">
        <v>315</v>
      </c>
      <c r="K151">
        <v>351</v>
      </c>
      <c r="L151"/>
      <c r="M151"/>
      <c r="N151"/>
      <c r="O151" t="s">
        <v>1086</v>
      </c>
      <c r="P151" t="s">
        <v>1087</v>
      </c>
      <c r="Q151" t="s">
        <v>12613</v>
      </c>
      <c r="R151" t="s">
        <v>1088</v>
      </c>
      <c r="S151"/>
      <c r="T151" t="s">
        <v>1089</v>
      </c>
      <c r="U151"/>
      <c r="V151"/>
      <c r="W151"/>
      <c r="X151"/>
      <c r="Y151" t="s">
        <v>12612</v>
      </c>
      <c r="Z151" t="s">
        <v>12611</v>
      </c>
      <c r="AA151"/>
      <c r="AB151"/>
      <c r="AC151"/>
      <c r="AD151"/>
      <c r="AE151"/>
      <c r="AF151"/>
      <c r="AG151"/>
      <c r="AH151"/>
      <c r="AI151"/>
      <c r="AJ151"/>
      <c r="AK151"/>
      <c r="AL151"/>
      <c r="AM151"/>
      <c r="AN151"/>
      <c r="AO151"/>
      <c r="AP151" t="s">
        <v>12610</v>
      </c>
      <c r="AQ151"/>
      <c r="AR151" t="s">
        <v>12609</v>
      </c>
      <c r="AS151" t="s">
        <v>12608</v>
      </c>
      <c r="AT151" t="s">
        <v>101</v>
      </c>
      <c r="AU151" t="s">
        <v>12607</v>
      </c>
      <c r="AV151" t="s">
        <v>12606</v>
      </c>
      <c r="AW151"/>
      <c r="AX151">
        <v>193152</v>
      </c>
      <c r="AY151" t="s">
        <v>1090</v>
      </c>
      <c r="AZ151">
        <v>9781959429807</v>
      </c>
      <c r="BA151"/>
      <c r="BB151"/>
      <c r="BC151" t="s">
        <v>42</v>
      </c>
      <c r="BD151" t="s">
        <v>1091</v>
      </c>
      <c r="BE151" t="s">
        <v>12252</v>
      </c>
      <c r="BF151" t="s">
        <v>45</v>
      </c>
      <c r="BG151"/>
      <c r="BH151" t="s">
        <v>46</v>
      </c>
      <c r="BI151" t="s">
        <v>1092</v>
      </c>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row>
    <row r="152" spans="1:119" s="6" customFormat="1" x14ac:dyDescent="0.3">
      <c r="A152">
        <v>169</v>
      </c>
      <c r="B152" t="s">
        <v>12640</v>
      </c>
      <c r="C152" t="s">
        <v>12639</v>
      </c>
      <c r="D152" t="s">
        <v>818</v>
      </c>
      <c r="E152">
        <v>2023</v>
      </c>
      <c r="F152" t="s">
        <v>819</v>
      </c>
      <c r="G152"/>
      <c r="H152"/>
      <c r="I152"/>
      <c r="J152"/>
      <c r="K152"/>
      <c r="L152"/>
      <c r="M152">
        <v>6</v>
      </c>
      <c r="N152" t="s">
        <v>820</v>
      </c>
      <c r="O152" t="s">
        <v>821</v>
      </c>
      <c r="P152" t="s">
        <v>822</v>
      </c>
      <c r="Q152" t="s">
        <v>12638</v>
      </c>
      <c r="R152" t="s">
        <v>823</v>
      </c>
      <c r="S152" t="s">
        <v>824</v>
      </c>
      <c r="T152"/>
      <c r="U152"/>
      <c r="V152"/>
      <c r="W152"/>
      <c r="X152"/>
      <c r="Y152"/>
      <c r="Z152"/>
      <c r="AA152"/>
      <c r="AB152"/>
      <c r="AC152"/>
      <c r="AD152"/>
      <c r="AE152"/>
      <c r="AF152"/>
      <c r="AG152"/>
      <c r="AH152"/>
      <c r="AI152"/>
      <c r="AJ152"/>
      <c r="AK152"/>
      <c r="AL152"/>
      <c r="AM152"/>
      <c r="AN152"/>
      <c r="AO152"/>
      <c r="AP152" t="s">
        <v>12637</v>
      </c>
      <c r="AQ152" t="s">
        <v>12636</v>
      </c>
      <c r="AR152"/>
      <c r="AS152"/>
      <c r="AT152" t="s">
        <v>825</v>
      </c>
      <c r="AU152"/>
      <c r="AV152"/>
      <c r="AW152"/>
      <c r="AX152"/>
      <c r="AY152" t="s">
        <v>826</v>
      </c>
      <c r="AZ152"/>
      <c r="BA152"/>
      <c r="BB152"/>
      <c r="BC152" t="s">
        <v>42</v>
      </c>
      <c r="BD152" t="s">
        <v>827</v>
      </c>
      <c r="BE152" t="s">
        <v>56</v>
      </c>
      <c r="BF152" t="s">
        <v>12365</v>
      </c>
      <c r="BG152" t="s">
        <v>12275</v>
      </c>
      <c r="BH152" t="s">
        <v>46</v>
      </c>
      <c r="BI152" t="s">
        <v>828</v>
      </c>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row>
    <row r="153" spans="1:119" s="6" customFormat="1" x14ac:dyDescent="0.3">
      <c r="A153">
        <v>170</v>
      </c>
      <c r="B153" t="s">
        <v>12489</v>
      </c>
      <c r="C153" t="s">
        <v>12488</v>
      </c>
      <c r="D153" t="s">
        <v>1153</v>
      </c>
      <c r="E153">
        <v>2023</v>
      </c>
      <c r="F153" t="s">
        <v>1154</v>
      </c>
      <c r="G153">
        <v>19</v>
      </c>
      <c r="H153">
        <v>3</v>
      </c>
      <c r="I153"/>
      <c r="J153">
        <v>201</v>
      </c>
      <c r="K153">
        <v>207</v>
      </c>
      <c r="L153"/>
      <c r="M153">
        <v>1</v>
      </c>
      <c r="N153" t="s">
        <v>1155</v>
      </c>
      <c r="O153" t="s">
        <v>1156</v>
      </c>
      <c r="P153" t="s">
        <v>1157</v>
      </c>
      <c r="Q153" t="s">
        <v>12487</v>
      </c>
      <c r="R153" t="s">
        <v>1158</v>
      </c>
      <c r="S153" t="s">
        <v>1159</v>
      </c>
      <c r="T153"/>
      <c r="U153"/>
      <c r="V153"/>
      <c r="W153"/>
      <c r="X153"/>
      <c r="Y153"/>
      <c r="Z153"/>
      <c r="AA153"/>
      <c r="AB153"/>
      <c r="AC153"/>
      <c r="AD153"/>
      <c r="AE153"/>
      <c r="AF153"/>
      <c r="AG153"/>
      <c r="AH153"/>
      <c r="AI153"/>
      <c r="AJ153"/>
      <c r="AK153"/>
      <c r="AL153"/>
      <c r="AM153"/>
      <c r="AN153"/>
      <c r="AO153"/>
      <c r="AP153" t="s">
        <v>12486</v>
      </c>
      <c r="AQ153" t="s">
        <v>12485</v>
      </c>
      <c r="AR153"/>
      <c r="AS153"/>
      <c r="AT153" t="s">
        <v>251</v>
      </c>
      <c r="AU153"/>
      <c r="AV153"/>
      <c r="AW153"/>
      <c r="AX153"/>
      <c r="AY153">
        <v>15228959</v>
      </c>
      <c r="AZ153"/>
      <c r="BA153"/>
      <c r="BB153"/>
      <c r="BC153" t="s">
        <v>42</v>
      </c>
      <c r="BD153" t="s">
        <v>1160</v>
      </c>
      <c r="BE153" t="s">
        <v>56</v>
      </c>
      <c r="BF153" t="s">
        <v>45</v>
      </c>
      <c r="BG153"/>
      <c r="BH153" t="s">
        <v>46</v>
      </c>
      <c r="BI153" t="s">
        <v>1161</v>
      </c>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row>
    <row r="154" spans="1:119" s="6" customFormat="1" x14ac:dyDescent="0.3">
      <c r="A154">
        <v>171</v>
      </c>
      <c r="B154" t="s">
        <v>12557</v>
      </c>
      <c r="C154" t="s">
        <v>12556</v>
      </c>
      <c r="D154" t="s">
        <v>1142</v>
      </c>
      <c r="E154">
        <v>2023</v>
      </c>
      <c r="F154" t="s">
        <v>1143</v>
      </c>
      <c r="G154">
        <v>24</v>
      </c>
      <c r="H154">
        <v>2</v>
      </c>
      <c r="I154"/>
      <c r="J154">
        <v>123</v>
      </c>
      <c r="K154">
        <v>138</v>
      </c>
      <c r="L154"/>
      <c r="M154">
        <v>1</v>
      </c>
      <c r="N154" t="s">
        <v>1144</v>
      </c>
      <c r="O154" t="s">
        <v>1145</v>
      </c>
      <c r="P154" t="s">
        <v>1146</v>
      </c>
      <c r="Q154" t="s">
        <v>12555</v>
      </c>
      <c r="R154" t="s">
        <v>1147</v>
      </c>
      <c r="S154" t="s">
        <v>1148</v>
      </c>
      <c r="T154"/>
      <c r="U154"/>
      <c r="V154"/>
      <c r="W154"/>
      <c r="X154"/>
      <c r="Y154"/>
      <c r="Z154"/>
      <c r="AA154"/>
      <c r="AB154"/>
      <c r="AC154"/>
      <c r="AD154"/>
      <c r="AE154"/>
      <c r="AF154"/>
      <c r="AG154"/>
      <c r="AH154"/>
      <c r="AI154"/>
      <c r="AJ154"/>
      <c r="AK154"/>
      <c r="AL154"/>
      <c r="AM154"/>
      <c r="AN154"/>
      <c r="AO154"/>
      <c r="AP154" t="s">
        <v>12554</v>
      </c>
      <c r="AQ154"/>
      <c r="AR154"/>
      <c r="AS154"/>
      <c r="AT154" t="s">
        <v>1149</v>
      </c>
      <c r="AU154"/>
      <c r="AV154"/>
      <c r="AW154"/>
      <c r="AX154"/>
      <c r="AY154">
        <v>15297314</v>
      </c>
      <c r="AZ154"/>
      <c r="BA154"/>
      <c r="BB154"/>
      <c r="BC154" t="s">
        <v>42</v>
      </c>
      <c r="BD154" t="s">
        <v>1150</v>
      </c>
      <c r="BE154" t="s">
        <v>56</v>
      </c>
      <c r="BF154" t="s">
        <v>45</v>
      </c>
      <c r="BG154" t="s">
        <v>12251</v>
      </c>
      <c r="BH154" t="s">
        <v>46</v>
      </c>
      <c r="BI154" t="s">
        <v>1151</v>
      </c>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row>
    <row r="155" spans="1:119" s="6" customFormat="1" x14ac:dyDescent="0.3">
      <c r="A155">
        <v>172</v>
      </c>
      <c r="B155" t="s">
        <v>13356</v>
      </c>
      <c r="C155" t="s">
        <v>13355</v>
      </c>
      <c r="D155" t="s">
        <v>204</v>
      </c>
      <c r="E155">
        <v>2023</v>
      </c>
      <c r="F155" t="s">
        <v>205</v>
      </c>
      <c r="G155">
        <v>33</v>
      </c>
      <c r="H155">
        <v>8</v>
      </c>
      <c r="I155"/>
      <c r="J155">
        <v>606</v>
      </c>
      <c r="K155">
        <v>614</v>
      </c>
      <c r="L155"/>
      <c r="M155"/>
      <c r="N155" t="s">
        <v>206</v>
      </c>
      <c r="O155" t="s">
        <v>207</v>
      </c>
      <c r="P155" t="s">
        <v>208</v>
      </c>
      <c r="Q155" t="s">
        <v>13354</v>
      </c>
      <c r="R155" t="s">
        <v>209</v>
      </c>
      <c r="S155" t="s">
        <v>210</v>
      </c>
      <c r="T155" t="s">
        <v>13353</v>
      </c>
      <c r="U155"/>
      <c r="V155"/>
      <c r="W155"/>
      <c r="X155"/>
      <c r="Y155"/>
      <c r="Z155" t="s">
        <v>13352</v>
      </c>
      <c r="AA155"/>
      <c r="AB155"/>
      <c r="AC155"/>
      <c r="AD155"/>
      <c r="AE155"/>
      <c r="AF155"/>
      <c r="AG155"/>
      <c r="AH155"/>
      <c r="AI155"/>
      <c r="AJ155" t="s">
        <v>13351</v>
      </c>
      <c r="AK155" t="s">
        <v>13350</v>
      </c>
      <c r="AL155"/>
      <c r="AM155"/>
      <c r="AN155" t="s">
        <v>211</v>
      </c>
      <c r="AO155"/>
      <c r="AP155"/>
      <c r="AQ155"/>
      <c r="AR155"/>
      <c r="AS155">
        <v>9596658</v>
      </c>
      <c r="AT155"/>
      <c r="AU155" t="s">
        <v>212</v>
      </c>
      <c r="AV155">
        <v>37531256</v>
      </c>
      <c r="AW155" t="s">
        <v>42</v>
      </c>
      <c r="AX155" t="s">
        <v>205</v>
      </c>
      <c r="AY155" t="s">
        <v>56</v>
      </c>
      <c r="AZ155" t="s">
        <v>45</v>
      </c>
      <c r="BA155" t="s">
        <v>12245</v>
      </c>
      <c r="BB155" t="s">
        <v>46</v>
      </c>
      <c r="BC155" t="s">
        <v>213</v>
      </c>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row>
    <row r="156" spans="1:119" s="6" customFormat="1" x14ac:dyDescent="0.3">
      <c r="A156">
        <v>173</v>
      </c>
      <c r="B156" t="s">
        <v>13034</v>
      </c>
      <c r="C156" t="s">
        <v>13033</v>
      </c>
      <c r="D156" t="s">
        <v>13032</v>
      </c>
      <c r="E156">
        <v>2023</v>
      </c>
      <c r="F156" t="s">
        <v>13031</v>
      </c>
      <c r="G156"/>
      <c r="H156"/>
      <c r="I156"/>
      <c r="J156">
        <v>14</v>
      </c>
      <c r="K156">
        <v>18</v>
      </c>
      <c r="L156"/>
      <c r="M156"/>
      <c r="N156" t="s">
        <v>13030</v>
      </c>
      <c r="O156" t="s">
        <v>13029</v>
      </c>
      <c r="P156" t="s">
        <v>13028</v>
      </c>
      <c r="Q156" t="s">
        <v>13027</v>
      </c>
      <c r="R156" t="s">
        <v>13026</v>
      </c>
      <c r="S156" t="s">
        <v>13025</v>
      </c>
      <c r="T156" t="s">
        <v>13024</v>
      </c>
      <c r="U156"/>
      <c r="V156"/>
      <c r="W156"/>
      <c r="X156"/>
      <c r="Y156"/>
      <c r="Z156"/>
      <c r="AA156"/>
      <c r="AB156"/>
      <c r="AC156"/>
      <c r="AD156"/>
      <c r="AE156"/>
      <c r="AF156"/>
      <c r="AG156"/>
      <c r="AH156"/>
      <c r="AI156"/>
      <c r="AJ156" t="s">
        <v>13023</v>
      </c>
      <c r="AK156" t="s">
        <v>13022</v>
      </c>
      <c r="AL156"/>
      <c r="AM156"/>
      <c r="AN156" t="s">
        <v>88</v>
      </c>
      <c r="AO156" t="s">
        <v>13021</v>
      </c>
      <c r="AP156" t="s">
        <v>13020</v>
      </c>
      <c r="AQ156"/>
      <c r="AR156">
        <v>197355</v>
      </c>
      <c r="AS156"/>
      <c r="AT156">
        <v>9798350331264</v>
      </c>
      <c r="AU156"/>
      <c r="AV156"/>
      <c r="AW156" t="s">
        <v>42</v>
      </c>
      <c r="AX156" t="s">
        <v>13019</v>
      </c>
      <c r="AY156" t="s">
        <v>12252</v>
      </c>
      <c r="AZ156" t="s">
        <v>45</v>
      </c>
      <c r="BA156"/>
      <c r="BB156" t="s">
        <v>46</v>
      </c>
      <c r="BC156" t="s">
        <v>13018</v>
      </c>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row>
    <row r="157" spans="1:119" s="6" customFormat="1" x14ac:dyDescent="0.3">
      <c r="A157">
        <v>174</v>
      </c>
      <c r="B157" t="s">
        <v>12858</v>
      </c>
      <c r="C157" t="s">
        <v>12857</v>
      </c>
      <c r="D157" t="s">
        <v>675</v>
      </c>
      <c r="E157">
        <v>2023</v>
      </c>
      <c r="F157" t="s">
        <v>676</v>
      </c>
      <c r="G157">
        <v>2023</v>
      </c>
      <c r="H157">
        <v>8</v>
      </c>
      <c r="I157"/>
      <c r="J157">
        <v>194</v>
      </c>
      <c r="K157">
        <v>201</v>
      </c>
      <c r="L157"/>
      <c r="M157"/>
      <c r="N157" t="s">
        <v>677</v>
      </c>
      <c r="O157" t="s">
        <v>678</v>
      </c>
      <c r="P157" t="s">
        <v>679</v>
      </c>
      <c r="Q157" t="s">
        <v>12856</v>
      </c>
      <c r="R157" t="s">
        <v>680</v>
      </c>
      <c r="S157" t="s">
        <v>681</v>
      </c>
      <c r="T157"/>
      <c r="U157"/>
      <c r="V157"/>
      <c r="W157"/>
      <c r="X157"/>
      <c r="Y157"/>
      <c r="Z157"/>
      <c r="AA157"/>
      <c r="AB157"/>
      <c r="AC157"/>
      <c r="AD157"/>
      <c r="AE157"/>
      <c r="AF157"/>
      <c r="AG157"/>
      <c r="AH157"/>
      <c r="AI157"/>
      <c r="AJ157"/>
      <c r="AK157"/>
      <c r="AL157"/>
      <c r="AM157"/>
      <c r="AN157"/>
      <c r="AO157"/>
      <c r="AP157" t="s">
        <v>12855</v>
      </c>
      <c r="AQ157"/>
      <c r="AR157"/>
      <c r="AS157"/>
      <c r="AT157" t="s">
        <v>682</v>
      </c>
      <c r="AU157" t="s">
        <v>12854</v>
      </c>
      <c r="AV157" t="s">
        <v>12853</v>
      </c>
      <c r="AW157"/>
      <c r="AX157">
        <v>306699</v>
      </c>
      <c r="AY157">
        <v>27070476</v>
      </c>
      <c r="AZ157"/>
      <c r="BA157"/>
      <c r="BB157"/>
      <c r="BC157" t="s">
        <v>42</v>
      </c>
      <c r="BD157" t="s">
        <v>683</v>
      </c>
      <c r="BE157" t="s">
        <v>12252</v>
      </c>
      <c r="BF157" t="s">
        <v>45</v>
      </c>
      <c r="BG157" t="s">
        <v>12251</v>
      </c>
      <c r="BH157" t="s">
        <v>46</v>
      </c>
      <c r="BI157" t="s">
        <v>684</v>
      </c>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row>
    <row r="158" spans="1:119" s="6" customFormat="1" x14ac:dyDescent="0.3">
      <c r="A158">
        <v>175</v>
      </c>
      <c r="B158" t="s">
        <v>12309</v>
      </c>
      <c r="C158" t="s">
        <v>12308</v>
      </c>
      <c r="D158" t="s">
        <v>1093</v>
      </c>
      <c r="E158">
        <v>2021</v>
      </c>
      <c r="F158" t="s">
        <v>1094</v>
      </c>
      <c r="G158">
        <v>11</v>
      </c>
      <c r="H158">
        <v>9</v>
      </c>
      <c r="I158">
        <v>1268</v>
      </c>
      <c r="J158"/>
      <c r="K158"/>
      <c r="L158"/>
      <c r="M158">
        <v>3</v>
      </c>
      <c r="N158" t="s">
        <v>1095</v>
      </c>
      <c r="O158" t="s">
        <v>1096</v>
      </c>
      <c r="P158" t="s">
        <v>1097</v>
      </c>
      <c r="Q158" t="s">
        <v>12307</v>
      </c>
      <c r="R158" t="s">
        <v>1098</v>
      </c>
      <c r="S158" t="s">
        <v>1099</v>
      </c>
      <c r="T158" t="s">
        <v>12306</v>
      </c>
      <c r="U158"/>
      <c r="V158" t="s">
        <v>12305</v>
      </c>
      <c r="W158"/>
      <c r="X158"/>
      <c r="Y158" t="s">
        <v>12304</v>
      </c>
      <c r="Z158" t="s">
        <v>12303</v>
      </c>
      <c r="AA158"/>
      <c r="AB158"/>
      <c r="AC158"/>
      <c r="AD158"/>
      <c r="AE158"/>
      <c r="AF158"/>
      <c r="AG158"/>
      <c r="AH158"/>
      <c r="AI158"/>
      <c r="AJ158" t="s">
        <v>12302</v>
      </c>
      <c r="AK158" t="s">
        <v>12301</v>
      </c>
      <c r="AL158"/>
      <c r="AM158"/>
      <c r="AN158" t="s">
        <v>1100</v>
      </c>
      <c r="AO158"/>
      <c r="AP158"/>
      <c r="AQ158"/>
      <c r="AR158"/>
      <c r="AS158" t="s">
        <v>1101</v>
      </c>
      <c r="AT158"/>
      <c r="AU158"/>
      <c r="AV158">
        <v>34572480</v>
      </c>
      <c r="AW158" t="s">
        <v>42</v>
      </c>
      <c r="AX158" t="s">
        <v>1094</v>
      </c>
      <c r="AY158" t="s">
        <v>56</v>
      </c>
      <c r="AZ158" t="s">
        <v>45</v>
      </c>
      <c r="BA158" t="s">
        <v>12214</v>
      </c>
      <c r="BB158" t="s">
        <v>46</v>
      </c>
      <c r="BC158" t="s">
        <v>1102</v>
      </c>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row>
    <row r="159" spans="1:119" s="6" customFormat="1" x14ac:dyDescent="0.3">
      <c r="A159">
        <v>176</v>
      </c>
      <c r="B159" t="s">
        <v>12996</v>
      </c>
      <c r="C159" t="s">
        <v>12995</v>
      </c>
      <c r="D159" t="s">
        <v>12994</v>
      </c>
      <c r="E159">
        <v>2023</v>
      </c>
      <c r="F159" t="s">
        <v>12984</v>
      </c>
      <c r="G159"/>
      <c r="H159"/>
      <c r="I159"/>
      <c r="J159"/>
      <c r="K159"/>
      <c r="L159"/>
      <c r="M159"/>
      <c r="N159" t="s">
        <v>12993</v>
      </c>
      <c r="O159" t="s">
        <v>12992</v>
      </c>
      <c r="P159" t="s">
        <v>12991</v>
      </c>
      <c r="Q159" t="s">
        <v>12990</v>
      </c>
      <c r="R159" t="s">
        <v>12989</v>
      </c>
      <c r="S159" t="s">
        <v>12988</v>
      </c>
      <c r="T159" t="s">
        <v>12987</v>
      </c>
      <c r="U159"/>
      <c r="V159"/>
      <c r="W159"/>
      <c r="X159"/>
      <c r="Y159"/>
      <c r="Z159"/>
      <c r="AA159"/>
      <c r="AB159"/>
      <c r="AC159"/>
      <c r="AD159"/>
      <c r="AE159"/>
      <c r="AF159"/>
      <c r="AG159"/>
      <c r="AH159"/>
      <c r="AI159"/>
      <c r="AJ159" t="s">
        <v>12986</v>
      </c>
      <c r="AK159"/>
      <c r="AL159" t="s">
        <v>12985</v>
      </c>
      <c r="AM159"/>
      <c r="AN159" t="s">
        <v>88</v>
      </c>
      <c r="AO159" t="s">
        <v>12984</v>
      </c>
      <c r="AP159" t="s">
        <v>12983</v>
      </c>
      <c r="AQ159"/>
      <c r="AR159">
        <v>197174</v>
      </c>
      <c r="AS159"/>
      <c r="AT159">
        <v>9798350329315</v>
      </c>
      <c r="AU159"/>
      <c r="AV159"/>
      <c r="AW159" t="s">
        <v>42</v>
      </c>
      <c r="AX159" t="s">
        <v>12982</v>
      </c>
      <c r="AY159" t="s">
        <v>12252</v>
      </c>
      <c r="AZ159" t="s">
        <v>45</v>
      </c>
      <c r="BA159"/>
      <c r="BB159" t="s">
        <v>46</v>
      </c>
      <c r="BC159" t="s">
        <v>12981</v>
      </c>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row>
    <row r="160" spans="1:119" s="6" customFormat="1" x14ac:dyDescent="0.3">
      <c r="A160">
        <v>177</v>
      </c>
      <c r="B160" t="s">
        <v>12835</v>
      </c>
      <c r="C160" t="s">
        <v>12834</v>
      </c>
      <c r="D160" t="s">
        <v>141</v>
      </c>
      <c r="E160">
        <v>2023</v>
      </c>
      <c r="F160" t="s">
        <v>142</v>
      </c>
      <c r="G160"/>
      <c r="H160"/>
      <c r="I160"/>
      <c r="J160">
        <v>483</v>
      </c>
      <c r="K160">
        <v>490</v>
      </c>
      <c r="L160"/>
      <c r="M160"/>
      <c r="N160" t="s">
        <v>143</v>
      </c>
      <c r="O160" t="s">
        <v>144</v>
      </c>
      <c r="P160" t="s">
        <v>145</v>
      </c>
      <c r="Q160" t="s">
        <v>12833</v>
      </c>
      <c r="R160" t="s">
        <v>146</v>
      </c>
      <c r="S160" t="s">
        <v>147</v>
      </c>
      <c r="T160" t="s">
        <v>148</v>
      </c>
      <c r="U160"/>
      <c r="V160"/>
      <c r="W160"/>
      <c r="X160"/>
      <c r="Y160"/>
      <c r="Z160"/>
      <c r="AA160"/>
      <c r="AB160"/>
      <c r="AC160"/>
      <c r="AD160"/>
      <c r="AE160"/>
      <c r="AF160"/>
      <c r="AG160"/>
      <c r="AH160"/>
      <c r="AI160"/>
      <c r="AJ160"/>
      <c r="AK160"/>
      <c r="AL160"/>
      <c r="AM160"/>
      <c r="AN160"/>
      <c r="AO160"/>
      <c r="AP160" t="s">
        <v>12832</v>
      </c>
      <c r="AQ160" t="s">
        <v>12831</v>
      </c>
      <c r="AR160"/>
      <c r="AS160" t="s">
        <v>12830</v>
      </c>
      <c r="AT160" t="s">
        <v>88</v>
      </c>
      <c r="AU160" t="s">
        <v>12829</v>
      </c>
      <c r="AV160" t="s">
        <v>12828</v>
      </c>
      <c r="AW160"/>
      <c r="AX160">
        <v>195515</v>
      </c>
      <c r="AY160"/>
      <c r="AZ160">
        <v>9798350324303</v>
      </c>
      <c r="BA160"/>
      <c r="BB160"/>
      <c r="BC160" t="s">
        <v>42</v>
      </c>
      <c r="BD160" t="s">
        <v>149</v>
      </c>
      <c r="BE160" t="s">
        <v>12252</v>
      </c>
      <c r="BF160" t="s">
        <v>45</v>
      </c>
      <c r="BG160"/>
      <c r="BH160" t="s">
        <v>46</v>
      </c>
      <c r="BI160" t="s">
        <v>150</v>
      </c>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row>
    <row r="161" spans="1:119" s="6" customFormat="1" x14ac:dyDescent="0.3">
      <c r="A161" s="6" t="s">
        <v>16063</v>
      </c>
      <c r="B161" s="6" t="s">
        <v>13164</v>
      </c>
      <c r="C161" s="6" t="s">
        <v>13087</v>
      </c>
      <c r="D161" s="6" t="s">
        <v>13163</v>
      </c>
      <c r="E161" s="6" t="s">
        <v>13162</v>
      </c>
      <c r="F161" s="6" t="s">
        <v>13084</v>
      </c>
      <c r="G161" s="6" t="s">
        <v>13161</v>
      </c>
      <c r="H161" s="6" t="s">
        <v>13160</v>
      </c>
      <c r="I161" s="6" t="s">
        <v>13108</v>
      </c>
      <c r="J161" s="6" t="s">
        <v>13112</v>
      </c>
      <c r="K161" s="6" t="s">
        <v>13159</v>
      </c>
      <c r="L161" s="6" t="s">
        <v>13158</v>
      </c>
      <c r="M161" s="6" t="s">
        <v>13157</v>
      </c>
      <c r="N161" s="6" t="s">
        <v>13156</v>
      </c>
      <c r="O161" s="6" t="s">
        <v>13155</v>
      </c>
      <c r="P161" s="6" t="s">
        <v>13095</v>
      </c>
      <c r="Q161" s="6" t="s">
        <v>13154</v>
      </c>
      <c r="R161" s="6" t="s">
        <v>13153</v>
      </c>
      <c r="S161" s="6" t="s">
        <v>13152</v>
      </c>
      <c r="T161" s="6" t="s">
        <v>13151</v>
      </c>
      <c r="U161" s="6" t="s">
        <v>13150</v>
      </c>
      <c r="V161" s="6" t="s">
        <v>13149</v>
      </c>
      <c r="W161" s="6" t="s">
        <v>13148</v>
      </c>
      <c r="X161" s="6" t="s">
        <v>13147</v>
      </c>
      <c r="Y161" s="6" t="s">
        <v>13084</v>
      </c>
      <c r="Z161" s="6" t="s">
        <v>13146</v>
      </c>
      <c r="AA161" s="6" t="s">
        <v>13087</v>
      </c>
      <c r="AB161" s="6" t="s">
        <v>13145</v>
      </c>
      <c r="AC161" s="6" t="s">
        <v>13144</v>
      </c>
      <c r="AD161" s="6" t="s">
        <v>13137</v>
      </c>
      <c r="AE161" s="6" t="s">
        <v>13143</v>
      </c>
      <c r="AF161" s="6" t="s">
        <v>13087</v>
      </c>
      <c r="AG161" s="6" t="s">
        <v>13142</v>
      </c>
      <c r="AH161" s="6" t="s">
        <v>13141</v>
      </c>
      <c r="AI161" s="6" t="s">
        <v>13137</v>
      </c>
      <c r="AJ161" s="6" t="s">
        <v>13140</v>
      </c>
      <c r="AK161" s="6" t="s">
        <v>13087</v>
      </c>
      <c r="AL161" s="6" t="s">
        <v>13139</v>
      </c>
      <c r="AM161" s="6" t="s">
        <v>13138</v>
      </c>
      <c r="AN161" s="6" t="s">
        <v>13137</v>
      </c>
      <c r="AO161" s="6" t="s">
        <v>13136</v>
      </c>
      <c r="AP161" s="6" t="s">
        <v>13087</v>
      </c>
      <c r="AQ161" s="6" t="s">
        <v>13135</v>
      </c>
      <c r="AR161" s="6" t="s">
        <v>13134</v>
      </c>
      <c r="AS161" s="6" t="s">
        <v>13133</v>
      </c>
      <c r="AT161" s="6" t="s">
        <v>13132</v>
      </c>
      <c r="AU161" s="6" t="s">
        <v>13131</v>
      </c>
      <c r="AV161" s="6" t="s">
        <v>13130</v>
      </c>
      <c r="AW161" s="6" t="s">
        <v>13129</v>
      </c>
      <c r="AX161" s="6" t="s">
        <v>13087</v>
      </c>
      <c r="AY161" s="6" t="s">
        <v>13128</v>
      </c>
      <c r="AZ161" s="6" t="s">
        <v>13127</v>
      </c>
      <c r="BA161" s="6" t="s">
        <v>13126</v>
      </c>
      <c r="BB161" s="6" t="s">
        <v>13125</v>
      </c>
      <c r="BC161" s="6" t="s">
        <v>13124</v>
      </c>
      <c r="BD161" s="6" t="s">
        <v>13123</v>
      </c>
      <c r="BE161" s="6" t="s">
        <v>13121</v>
      </c>
      <c r="BF161" s="6" t="s">
        <v>13122</v>
      </c>
      <c r="BG161" s="6" t="s">
        <v>13121</v>
      </c>
      <c r="BH161" s="6" t="s">
        <v>13120</v>
      </c>
      <c r="BI161" s="6" t="s">
        <v>13119</v>
      </c>
      <c r="BJ161" s="6" t="s">
        <v>13118</v>
      </c>
      <c r="BK161" s="6" t="s">
        <v>13117</v>
      </c>
      <c r="BL161" s="6" t="s">
        <v>13116</v>
      </c>
      <c r="BM161" s="6" t="s">
        <v>13115</v>
      </c>
      <c r="BN161" s="6" t="s">
        <v>13114</v>
      </c>
      <c r="BO161" s="6" t="s">
        <v>13113</v>
      </c>
      <c r="BP161" s="6" t="s">
        <v>13112</v>
      </c>
      <c r="BQ161" s="6" t="s">
        <v>13111</v>
      </c>
      <c r="BR161" s="6" t="s">
        <v>13087</v>
      </c>
      <c r="BS161" s="6" t="s">
        <v>13110</v>
      </c>
      <c r="BT161" s="6" t="s">
        <v>13109</v>
      </c>
      <c r="BU161" s="6" t="s">
        <v>13108</v>
      </c>
      <c r="BV161" s="6" t="s">
        <v>13107</v>
      </c>
      <c r="BW161" s="6" t="s">
        <v>13106</v>
      </c>
      <c r="BX161" s="6" t="s">
        <v>13105</v>
      </c>
      <c r="BY161" s="6" t="s">
        <v>13104</v>
      </c>
      <c r="BZ161" s="6" t="s">
        <v>13103</v>
      </c>
      <c r="CA161" s="6" t="s">
        <v>13102</v>
      </c>
      <c r="CB161" s="6" t="s">
        <v>13101</v>
      </c>
      <c r="CC161" s="6" t="s">
        <v>13100</v>
      </c>
      <c r="CD161" s="6" t="s">
        <v>13099</v>
      </c>
      <c r="CE161" s="6" t="s">
        <v>13098</v>
      </c>
      <c r="CF161" s="6" t="s">
        <v>13097</v>
      </c>
      <c r="CG161" s="6" t="s">
        <v>13096</v>
      </c>
      <c r="CH161" s="6" t="s">
        <v>13095</v>
      </c>
      <c r="CI161" s="6" t="s">
        <v>13094</v>
      </c>
      <c r="CJ161" s="6" t="s">
        <v>13093</v>
      </c>
      <c r="CK161" s="6" t="s">
        <v>13092</v>
      </c>
      <c r="CL161" s="6" t="s">
        <v>13091</v>
      </c>
      <c r="CM161" s="6" t="s">
        <v>13087</v>
      </c>
      <c r="CN161" s="6" t="s">
        <v>13090</v>
      </c>
      <c r="CO161" s="6" t="s">
        <v>13089</v>
      </c>
      <c r="CP161" s="6" t="s">
        <v>13088</v>
      </c>
      <c r="CQ161" s="6" t="s">
        <v>13087</v>
      </c>
      <c r="CR161" s="6" t="s">
        <v>13086</v>
      </c>
      <c r="CS161" s="6" t="s">
        <v>13085</v>
      </c>
      <c r="CT161" s="6" t="s">
        <v>13084</v>
      </c>
      <c r="CU161" s="6" t="s">
        <v>13083</v>
      </c>
      <c r="CV161" s="6" t="s">
        <v>13082</v>
      </c>
      <c r="CW161"/>
      <c r="CX161"/>
      <c r="CY161"/>
      <c r="CZ161"/>
      <c r="DA161"/>
      <c r="DB161"/>
      <c r="DC161"/>
      <c r="DD161"/>
      <c r="DE161"/>
      <c r="DF161"/>
      <c r="DG161"/>
      <c r="DH161"/>
      <c r="DI161"/>
      <c r="DJ161"/>
      <c r="DK161"/>
      <c r="DL161"/>
      <c r="DM161"/>
      <c r="DN161"/>
      <c r="DO161"/>
    </row>
    <row r="162" spans="1:119" s="6" customFormat="1" x14ac:dyDescent="0.3">
      <c r="A162" s="6" t="s">
        <v>16063</v>
      </c>
      <c r="B162" s="6" t="s">
        <v>13426</v>
      </c>
      <c r="C162" s="6" t="s">
        <v>13121</v>
      </c>
      <c r="D162" s="6" t="s">
        <v>13425</v>
      </c>
      <c r="E162" s="6" t="s">
        <v>13121</v>
      </c>
      <c r="F162" s="6" t="s">
        <v>13424</v>
      </c>
      <c r="G162" s="6" t="s">
        <v>13423</v>
      </c>
      <c r="H162" s="6" t="s">
        <v>13422</v>
      </c>
      <c r="I162" s="6" t="s">
        <v>13421</v>
      </c>
      <c r="J162" s="6" t="s">
        <v>13420</v>
      </c>
      <c r="K162" s="6" t="s">
        <v>13419</v>
      </c>
      <c r="L162" s="6" t="s">
        <v>13150</v>
      </c>
      <c r="M162" s="6" t="s">
        <v>13418</v>
      </c>
      <c r="N162" s="6" t="s">
        <v>13417</v>
      </c>
      <c r="O162" s="6" t="s">
        <v>13416</v>
      </c>
      <c r="P162" s="6" t="s">
        <v>13415</v>
      </c>
      <c r="Q162" s="6">
        <v>62</v>
      </c>
      <c r="R162" s="6" t="s">
        <v>13414</v>
      </c>
      <c r="S162" s="6" t="s">
        <v>13084</v>
      </c>
      <c r="T162" s="6" t="s">
        <v>13413</v>
      </c>
      <c r="U162" s="6" t="s">
        <v>13121</v>
      </c>
      <c r="V162" s="6" t="s">
        <v>13412</v>
      </c>
      <c r="W162" s="6" t="s">
        <v>13401</v>
      </c>
      <c r="X162" s="6" t="s">
        <v>13411</v>
      </c>
      <c r="Y162" s="6" t="s">
        <v>13410</v>
      </c>
      <c r="Z162" s="6" t="s">
        <v>13409</v>
      </c>
      <c r="AA162" s="6" t="s">
        <v>13408</v>
      </c>
      <c r="AB162" s="6" t="s">
        <v>13407</v>
      </c>
      <c r="AC162" s="6" t="s">
        <v>13406</v>
      </c>
      <c r="AD162" s="6" t="s">
        <v>13405</v>
      </c>
      <c r="AE162" s="6" t="s">
        <v>13390</v>
      </c>
      <c r="AF162" s="6" t="s">
        <v>13385</v>
      </c>
      <c r="AG162" s="6" t="s">
        <v>13404</v>
      </c>
      <c r="AH162" s="6" t="s">
        <v>13403</v>
      </c>
      <c r="AI162" s="6" t="s">
        <v>13402</v>
      </c>
      <c r="AJ162" s="6" t="s">
        <v>13401</v>
      </c>
      <c r="AK162" s="6" t="s">
        <v>13395</v>
      </c>
      <c r="AL162" s="6" t="s">
        <v>13084</v>
      </c>
      <c r="AM162" s="6" t="s">
        <v>13400</v>
      </c>
      <c r="AN162" s="6" t="s">
        <v>13399</v>
      </c>
      <c r="AO162" s="6" t="s">
        <v>13398</v>
      </c>
      <c r="AP162" s="6" t="s">
        <v>13397</v>
      </c>
      <c r="AQ162" s="6" t="s">
        <v>13396</v>
      </c>
      <c r="AR162" s="6" t="s">
        <v>13390</v>
      </c>
      <c r="AS162" s="6" t="s">
        <v>13160</v>
      </c>
      <c r="AT162" s="6" t="s">
        <v>13395</v>
      </c>
      <c r="AU162" s="6" t="s">
        <v>13084</v>
      </c>
      <c r="AV162" s="6" t="s">
        <v>13394</v>
      </c>
      <c r="AW162" s="6" t="s">
        <v>13393</v>
      </c>
      <c r="AX162" s="6" t="s">
        <v>13392</v>
      </c>
      <c r="AY162" s="6" t="s">
        <v>13391</v>
      </c>
      <c r="AZ162" s="6" t="s">
        <v>13390</v>
      </c>
      <c r="BA162" s="6" t="s">
        <v>13389</v>
      </c>
      <c r="BB162" s="6" t="s">
        <v>13388</v>
      </c>
      <c r="BC162" s="6" t="s">
        <v>13387</v>
      </c>
      <c r="BD162" s="6" t="s">
        <v>13386</v>
      </c>
      <c r="BE162" s="6" t="s">
        <v>13385</v>
      </c>
      <c r="BF162" s="6" t="s">
        <v>13384</v>
      </c>
      <c r="BG162" s="6" t="s">
        <v>13383</v>
      </c>
      <c r="BH162" s="6" t="s">
        <v>13382</v>
      </c>
      <c r="BI162" s="6" t="s">
        <v>13150</v>
      </c>
      <c r="BJ162" s="6" t="s">
        <v>13381</v>
      </c>
      <c r="BK162" s="6" t="s">
        <v>13087</v>
      </c>
      <c r="BL162" s="6" t="s">
        <v>13380</v>
      </c>
      <c r="BM162" s="6" t="s">
        <v>13379</v>
      </c>
      <c r="BN162" s="6" t="s">
        <v>13378</v>
      </c>
      <c r="BQ162" s="6" t="s">
        <v>77</v>
      </c>
      <c r="BV162" s="6">
        <v>71013</v>
      </c>
      <c r="BX162" s="6" t="s">
        <v>78</v>
      </c>
      <c r="BZ162" s="6" t="s">
        <v>42</v>
      </c>
      <c r="CA162" s="6" t="s">
        <v>79</v>
      </c>
      <c r="CB162" s="6" t="s">
        <v>56</v>
      </c>
      <c r="CC162" s="6" t="s">
        <v>45</v>
      </c>
      <c r="CD162" s="6" t="s">
        <v>12310</v>
      </c>
      <c r="CE162" s="6" t="s">
        <v>46</v>
      </c>
      <c r="CF162" s="6" t="s">
        <v>80</v>
      </c>
      <c r="CW162"/>
      <c r="CX162"/>
      <c r="CY162"/>
      <c r="CZ162"/>
      <c r="DA162"/>
      <c r="DB162"/>
      <c r="DC162"/>
      <c r="DD162"/>
      <c r="DE162"/>
      <c r="DF162"/>
      <c r="DG162"/>
      <c r="DH162"/>
      <c r="DI162"/>
      <c r="DJ162"/>
      <c r="DK162"/>
      <c r="DL162"/>
      <c r="DM162"/>
      <c r="DN162"/>
      <c r="DO162"/>
    </row>
    <row r="163" spans="1:119" s="6" customFormat="1" x14ac:dyDescent="0.3">
      <c r="A163" s="6" t="s">
        <v>16063</v>
      </c>
      <c r="B163" s="6" t="s">
        <v>12295</v>
      </c>
      <c r="C163" s="6" t="s">
        <v>12294</v>
      </c>
      <c r="D163" s="6" t="s">
        <v>12293</v>
      </c>
      <c r="E163" s="6">
        <v>2020</v>
      </c>
      <c r="F163" s="6" t="s">
        <v>12292</v>
      </c>
      <c r="G163" s="6">
        <v>27</v>
      </c>
      <c r="H163" s="6">
        <v>1</v>
      </c>
      <c r="J163" s="6">
        <v>35</v>
      </c>
      <c r="K163" s="6">
        <v>36</v>
      </c>
      <c r="O163" s="6" t="s">
        <v>12291</v>
      </c>
      <c r="P163" s="6" t="s">
        <v>12290</v>
      </c>
      <c r="Q163" s="6" t="s">
        <v>12289</v>
      </c>
      <c r="R163" s="6" t="s">
        <v>12288</v>
      </c>
      <c r="AJ163" s="6" t="s">
        <v>12287</v>
      </c>
      <c r="AK163" s="6" t="s">
        <v>12286</v>
      </c>
      <c r="AN163" s="6" t="s">
        <v>12285</v>
      </c>
      <c r="AS163" s="6">
        <v>14785277</v>
      </c>
      <c r="AW163" s="6" t="s">
        <v>42</v>
      </c>
      <c r="AX163" s="6" t="s">
        <v>12284</v>
      </c>
      <c r="AY163" s="6" t="s">
        <v>12283</v>
      </c>
      <c r="AZ163" s="6" t="s">
        <v>45</v>
      </c>
      <c r="BB163" s="6" t="s">
        <v>46</v>
      </c>
      <c r="BC163" s="6" t="s">
        <v>12282</v>
      </c>
      <c r="CW163"/>
      <c r="CX163"/>
      <c r="CY163"/>
      <c r="CZ163"/>
      <c r="DA163"/>
      <c r="DB163"/>
      <c r="DC163"/>
      <c r="DD163"/>
      <c r="DE163"/>
      <c r="DF163"/>
      <c r="DG163"/>
      <c r="DH163"/>
      <c r="DI163"/>
      <c r="DJ163"/>
      <c r="DK163"/>
      <c r="DL163"/>
      <c r="DM163"/>
      <c r="DN163"/>
      <c r="DO163"/>
    </row>
    <row r="164" spans="1:119" s="6" customFormat="1" x14ac:dyDescent="0.3">
      <c r="A164" s="6" t="s">
        <v>16063</v>
      </c>
      <c r="B164" s="6" t="s">
        <v>12319</v>
      </c>
      <c r="C164" s="6" t="s">
        <v>12318</v>
      </c>
      <c r="D164" s="6" t="s">
        <v>863</v>
      </c>
      <c r="E164" s="6">
        <v>2022</v>
      </c>
      <c r="F164" s="6" t="s">
        <v>127</v>
      </c>
      <c r="G164" s="6" t="s">
        <v>864</v>
      </c>
      <c r="L164" s="6">
        <v>1386</v>
      </c>
      <c r="O164" s="6" t="s">
        <v>865</v>
      </c>
      <c r="R164" s="6" t="s">
        <v>866</v>
      </c>
      <c r="AL164" s="6" t="s">
        <v>12317</v>
      </c>
      <c r="AN164" s="6" t="s">
        <v>92</v>
      </c>
      <c r="AO164" s="6" t="s">
        <v>863</v>
      </c>
      <c r="AP164" s="6" t="s">
        <v>12316</v>
      </c>
      <c r="AR164" s="6">
        <v>281319</v>
      </c>
      <c r="AS164" s="6">
        <v>3029743</v>
      </c>
      <c r="AT164" s="6">
        <v>9783031116438</v>
      </c>
      <c r="AW164" s="6" t="s">
        <v>42</v>
      </c>
      <c r="AX164" s="6" t="s">
        <v>128</v>
      </c>
      <c r="AY164" s="6" t="s">
        <v>12315</v>
      </c>
      <c r="AZ164" s="6" t="s">
        <v>45</v>
      </c>
      <c r="BB164" s="6" t="s">
        <v>46</v>
      </c>
      <c r="BC164" s="6" t="s">
        <v>867</v>
      </c>
      <c r="CW164"/>
      <c r="CX164"/>
      <c r="CY164"/>
      <c r="CZ164"/>
      <c r="DA164"/>
      <c r="DB164"/>
      <c r="DC164"/>
      <c r="DD164"/>
      <c r="DE164"/>
      <c r="DF164"/>
      <c r="DG164"/>
      <c r="DH164"/>
      <c r="DI164"/>
      <c r="DJ164"/>
      <c r="DK164"/>
      <c r="DL164"/>
      <c r="DM164"/>
      <c r="DN164"/>
      <c r="DO164"/>
    </row>
    <row r="165" spans="1:119" x14ac:dyDescent="0.3">
      <c r="A165" s="6" t="s">
        <v>16063</v>
      </c>
      <c r="B165" s="6" t="s">
        <v>13214</v>
      </c>
      <c r="C165" s="6" t="s">
        <v>13213</v>
      </c>
      <c r="D165" s="6" t="s">
        <v>13212</v>
      </c>
      <c r="E165" s="6">
        <v>2023</v>
      </c>
      <c r="F165" s="6" t="s">
        <v>13211</v>
      </c>
      <c r="G165" s="6">
        <v>39</v>
      </c>
      <c r="H165" s="6">
        <v>5</v>
      </c>
      <c r="I165" s="6"/>
      <c r="J165" s="6">
        <v>314</v>
      </c>
      <c r="K165" s="6">
        <v>316</v>
      </c>
      <c r="L165" s="6"/>
      <c r="M165" s="6">
        <v>12</v>
      </c>
      <c r="N165" s="6" t="s">
        <v>13210</v>
      </c>
      <c r="O165" s="6" t="s">
        <v>13209</v>
      </c>
      <c r="P165" s="6" t="s">
        <v>13208</v>
      </c>
      <c r="Q165" s="6" t="s">
        <v>13207</v>
      </c>
      <c r="R165" s="6" t="s">
        <v>13206</v>
      </c>
      <c r="S165" s="6" t="s">
        <v>13205</v>
      </c>
      <c r="T165" s="6" t="s">
        <v>13204</v>
      </c>
      <c r="U165" s="6"/>
      <c r="V165" s="6"/>
      <c r="W165" s="6"/>
      <c r="X165" s="6"/>
      <c r="Y165" s="6"/>
      <c r="Z165" s="6" t="s">
        <v>13203</v>
      </c>
      <c r="AA165" s="6"/>
      <c r="AB165" s="6"/>
      <c r="AC165" s="6"/>
      <c r="AD165" s="6"/>
      <c r="AE165" s="6"/>
      <c r="AF165" s="6"/>
      <c r="AG165" s="6"/>
      <c r="AH165" s="6"/>
      <c r="AI165" s="6"/>
      <c r="AJ165" s="6" t="s">
        <v>13202</v>
      </c>
      <c r="AK165" s="6" t="s">
        <v>13201</v>
      </c>
      <c r="AL165" s="6"/>
      <c r="AM165" s="6"/>
      <c r="AN165" s="6" t="s">
        <v>1022</v>
      </c>
      <c r="AO165" s="6"/>
      <c r="AP165" s="6"/>
      <c r="AQ165" s="6"/>
      <c r="AR165" s="6"/>
      <c r="AS165" s="6">
        <v>14714922</v>
      </c>
      <c r="AT165" s="6"/>
      <c r="AU165" s="6" t="s">
        <v>13200</v>
      </c>
      <c r="AV165" s="6">
        <v>36872153</v>
      </c>
      <c r="AW165" s="6" t="s">
        <v>42</v>
      </c>
      <c r="AX165" s="6" t="s">
        <v>13199</v>
      </c>
      <c r="AY165" s="6" t="s">
        <v>12283</v>
      </c>
      <c r="AZ165" s="6" t="s">
        <v>45</v>
      </c>
      <c r="BA165" s="6"/>
      <c r="BB165" s="6" t="s">
        <v>46</v>
      </c>
      <c r="BC165" s="6" t="s">
        <v>13198</v>
      </c>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row>
    <row r="166" spans="1:119" x14ac:dyDescent="0.3">
      <c r="A166" s="6" t="s">
        <v>16063</v>
      </c>
      <c r="B166" s="6" t="s">
        <v>13197</v>
      </c>
      <c r="C166" s="6" t="s">
        <v>13196</v>
      </c>
      <c r="D166" s="6" t="s">
        <v>13195</v>
      </c>
      <c r="E166" s="6">
        <v>2023</v>
      </c>
      <c r="F166" s="6" t="s">
        <v>13194</v>
      </c>
      <c r="G166" s="6">
        <v>5</v>
      </c>
      <c r="H166" s="6">
        <v>4</v>
      </c>
      <c r="I166" s="6"/>
      <c r="J166" s="6">
        <v>333</v>
      </c>
      <c r="K166" s="6">
        <v>334</v>
      </c>
      <c r="L166" s="6"/>
      <c r="M166" s="6">
        <v>23</v>
      </c>
      <c r="N166" s="6" t="s">
        <v>13193</v>
      </c>
      <c r="O166" s="6" t="s">
        <v>13192</v>
      </c>
      <c r="P166" s="6" t="s">
        <v>13191</v>
      </c>
      <c r="Q166" s="6" t="s">
        <v>13190</v>
      </c>
      <c r="R166" s="6" t="s">
        <v>13189</v>
      </c>
      <c r="S166" s="6"/>
      <c r="T166" s="6"/>
      <c r="U166" s="6"/>
      <c r="V166" s="6"/>
      <c r="W166" s="6"/>
      <c r="X166" s="6"/>
      <c r="Y166" s="6"/>
      <c r="Z166" s="6"/>
      <c r="AA166" s="6"/>
      <c r="AB166" s="6"/>
      <c r="AC166" s="6"/>
      <c r="AD166" s="6"/>
      <c r="AE166" s="6"/>
      <c r="AF166" s="6"/>
      <c r="AG166" s="6"/>
      <c r="AH166" s="6"/>
      <c r="AI166" s="6"/>
      <c r="AJ166" s="6" t="s">
        <v>13188</v>
      </c>
      <c r="AK166" s="6" t="s">
        <v>13187</v>
      </c>
      <c r="AL166" s="6"/>
      <c r="AM166" s="6"/>
      <c r="AN166" s="6" t="s">
        <v>125</v>
      </c>
      <c r="AO166" s="6"/>
      <c r="AP166" s="6"/>
      <c r="AQ166" s="6"/>
      <c r="AR166" s="6"/>
      <c r="AS166" s="6">
        <v>25225839</v>
      </c>
      <c r="AT166" s="6"/>
      <c r="AU166" s="6"/>
      <c r="AV166" s="6"/>
      <c r="AW166" s="6" t="s">
        <v>42</v>
      </c>
      <c r="AX166" s="6" t="s">
        <v>3486</v>
      </c>
      <c r="AY166" s="6" t="s">
        <v>13186</v>
      </c>
      <c r="AZ166" s="6" t="s">
        <v>45</v>
      </c>
      <c r="BA166" s="6" t="s">
        <v>12349</v>
      </c>
      <c r="BB166" s="6" t="s">
        <v>46</v>
      </c>
      <c r="BC166" s="6" t="s">
        <v>13185</v>
      </c>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row>
    <row r="167" spans="1:119" x14ac:dyDescent="0.3">
      <c r="A167" s="6" t="s">
        <v>16063</v>
      </c>
      <c r="B167" s="6" t="s">
        <v>13606</v>
      </c>
      <c r="C167" s="6" t="s">
        <v>13605</v>
      </c>
      <c r="D167" s="6" t="s">
        <v>13604</v>
      </c>
      <c r="E167" s="6">
        <v>2023</v>
      </c>
      <c r="F167" s="6" t="s">
        <v>13603</v>
      </c>
      <c r="G167" s="6">
        <v>37</v>
      </c>
      <c r="H167" s="6">
        <v>17</v>
      </c>
      <c r="I167" s="6"/>
      <c r="J167" s="6">
        <v>3530</v>
      </c>
      <c r="K167" s="6">
        <v>3533</v>
      </c>
      <c r="L167" s="6"/>
      <c r="M167" s="6">
        <v>16</v>
      </c>
      <c r="N167" s="6" t="s">
        <v>13602</v>
      </c>
      <c r="O167" s="6" t="s">
        <v>13601</v>
      </c>
      <c r="P167" s="6" t="s">
        <v>13600</v>
      </c>
      <c r="Q167" s="6" t="s">
        <v>13599</v>
      </c>
      <c r="R167" s="6" t="s">
        <v>13189</v>
      </c>
      <c r="S167" s="6"/>
      <c r="T167" s="6" t="s">
        <v>13598</v>
      </c>
      <c r="U167" s="6"/>
      <c r="V167" s="6"/>
      <c r="W167" s="6"/>
      <c r="X167" s="6"/>
      <c r="Y167" s="6" t="s">
        <v>13597</v>
      </c>
      <c r="Z167" s="6" t="s">
        <v>13596</v>
      </c>
      <c r="AA167" s="6"/>
      <c r="AB167" s="6"/>
      <c r="AC167" s="6"/>
      <c r="AD167" s="6"/>
      <c r="AE167" s="6"/>
      <c r="AF167" s="6"/>
      <c r="AG167" s="6"/>
      <c r="AH167" s="6"/>
      <c r="AI167" s="6"/>
      <c r="AJ167" s="6" t="s">
        <v>13595</v>
      </c>
      <c r="AK167" s="6" t="s">
        <v>13594</v>
      </c>
      <c r="AL167" s="6"/>
      <c r="AM167" s="6"/>
      <c r="AN167" s="6" t="s">
        <v>13593</v>
      </c>
      <c r="AO167" s="6"/>
      <c r="AP167" s="6"/>
      <c r="AQ167" s="6"/>
      <c r="AR167" s="6"/>
      <c r="AS167" s="6" t="s">
        <v>13592</v>
      </c>
      <c r="AT167" s="6"/>
      <c r="AU167" s="6" t="s">
        <v>13591</v>
      </c>
      <c r="AV167" s="6">
        <v>37161074</v>
      </c>
      <c r="AW167" s="6" t="s">
        <v>42</v>
      </c>
      <c r="AX167" s="6" t="s">
        <v>13590</v>
      </c>
      <c r="AY167" s="6" t="s">
        <v>12283</v>
      </c>
      <c r="AZ167" s="6" t="s">
        <v>45</v>
      </c>
      <c r="BA167" s="6" t="s">
        <v>12310</v>
      </c>
      <c r="BB167" s="6" t="s">
        <v>46</v>
      </c>
      <c r="BC167" s="6" t="s">
        <v>13589</v>
      </c>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row>
    <row r="168" spans="1:119" x14ac:dyDescent="0.3">
      <c r="A168" s="6" t="s">
        <v>16063</v>
      </c>
      <c r="B168" s="6" t="s">
        <v>13338</v>
      </c>
      <c r="C168" s="6" t="s">
        <v>13337</v>
      </c>
      <c r="D168" s="6" t="s">
        <v>4395</v>
      </c>
      <c r="E168" s="6">
        <v>2023</v>
      </c>
      <c r="F168" s="6" t="s">
        <v>13336</v>
      </c>
      <c r="G168" s="6">
        <v>19</v>
      </c>
      <c r="H168" s="6">
        <v>8</v>
      </c>
      <c r="I168" s="6"/>
      <c r="J168" s="6">
        <v>1236</v>
      </c>
      <c r="K168" s="6">
        <v>1242</v>
      </c>
      <c r="L168" s="6"/>
      <c r="M168" s="6">
        <v>29</v>
      </c>
      <c r="N168" s="6" t="s">
        <v>4407</v>
      </c>
      <c r="O168" s="6" t="s">
        <v>13335</v>
      </c>
      <c r="P168" s="6" t="s">
        <v>13334</v>
      </c>
      <c r="Q168" s="6" t="s">
        <v>13333</v>
      </c>
      <c r="R168" s="6" t="s">
        <v>13332</v>
      </c>
      <c r="S168" s="6" t="s">
        <v>13331</v>
      </c>
      <c r="T168" s="6" t="s">
        <v>13330</v>
      </c>
      <c r="U168" s="6"/>
      <c r="V168" s="6"/>
      <c r="W168" s="6"/>
      <c r="X168" s="6"/>
      <c r="Y168" s="6"/>
      <c r="Z168" s="6" t="s">
        <v>13329</v>
      </c>
      <c r="AA168" s="6"/>
      <c r="AB168" s="6"/>
      <c r="AC168" s="6"/>
      <c r="AD168" s="6"/>
      <c r="AE168" s="6"/>
      <c r="AF168" s="6"/>
      <c r="AG168" s="6"/>
      <c r="AH168" s="6"/>
      <c r="AI168" s="6"/>
      <c r="AJ168" s="6" t="s">
        <v>13328</v>
      </c>
      <c r="AK168" s="6" t="s">
        <v>13327</v>
      </c>
      <c r="AL168" s="6"/>
      <c r="AM168" s="6"/>
      <c r="AN168" s="6" t="s">
        <v>229</v>
      </c>
      <c r="AO168" s="6"/>
      <c r="AP168" s="6"/>
      <c r="AQ168" s="6"/>
      <c r="AR168" s="6"/>
      <c r="AS168" s="6">
        <v>15517411</v>
      </c>
      <c r="AT168" s="6"/>
      <c r="AU168" s="6"/>
      <c r="AV168" s="6">
        <v>37321925</v>
      </c>
      <c r="AW168" s="6" t="s">
        <v>42</v>
      </c>
      <c r="AX168" s="6" t="s">
        <v>4406</v>
      </c>
      <c r="AY168" s="6" t="s">
        <v>12366</v>
      </c>
      <c r="AZ168" s="6" t="s">
        <v>45</v>
      </c>
      <c r="BA168" s="6" t="s">
        <v>12275</v>
      </c>
      <c r="BB168" s="6" t="s">
        <v>46</v>
      </c>
      <c r="BC168" s="6" t="s">
        <v>13326</v>
      </c>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row>
    <row r="169" spans="1:119" x14ac:dyDescent="0.3">
      <c r="A169" s="6" t="s">
        <v>16063</v>
      </c>
      <c r="B169" s="6" t="s">
        <v>13248</v>
      </c>
      <c r="C169" s="6" t="s">
        <v>13247</v>
      </c>
      <c r="D169" s="6" t="s">
        <v>13246</v>
      </c>
      <c r="E169" s="6">
        <v>2023</v>
      </c>
      <c r="F169" s="6" t="s">
        <v>13245</v>
      </c>
      <c r="G169" s="6">
        <v>30</v>
      </c>
      <c r="H169" s="6">
        <v>2</v>
      </c>
      <c r="I169" s="6"/>
      <c r="J169" s="6">
        <v>4</v>
      </c>
      <c r="K169" s="6"/>
      <c r="L169" s="6"/>
      <c r="M169" s="6"/>
      <c r="N169" s="6" t="s">
        <v>13244</v>
      </c>
      <c r="O169" s="6" t="s">
        <v>13243</v>
      </c>
      <c r="P169" s="6" t="s">
        <v>13242</v>
      </c>
      <c r="Q169" s="6" t="s">
        <v>13241</v>
      </c>
      <c r="R169" s="6" t="s">
        <v>13240</v>
      </c>
      <c r="S169" s="6"/>
      <c r="T169" s="6" t="s">
        <v>13239</v>
      </c>
      <c r="U169" s="6"/>
      <c r="V169" s="6"/>
      <c r="W169" s="6"/>
      <c r="X169" s="6"/>
      <c r="Y169" s="6"/>
      <c r="Z169" s="6"/>
      <c r="AA169" s="6"/>
      <c r="AB169" s="6"/>
      <c r="AC169" s="6"/>
      <c r="AD169" s="6"/>
      <c r="AE169" s="6"/>
      <c r="AF169" s="6"/>
      <c r="AG169" s="6"/>
      <c r="AH169" s="6"/>
      <c r="AI169" s="6"/>
      <c r="AJ169" s="6" t="s">
        <v>13238</v>
      </c>
      <c r="AK169" s="6" t="s">
        <v>13237</v>
      </c>
      <c r="AL169" s="6"/>
      <c r="AM169" s="6"/>
      <c r="AN169" s="6" t="s">
        <v>88</v>
      </c>
      <c r="AO169" s="6"/>
      <c r="AP169" s="6"/>
      <c r="AQ169" s="6"/>
      <c r="AR169" s="6"/>
      <c r="AS169" s="6">
        <v>10709932</v>
      </c>
      <c r="AT169" s="6"/>
      <c r="AU169" s="6" t="s">
        <v>13236</v>
      </c>
      <c r="AV169" s="6"/>
      <c r="AW169" s="6" t="s">
        <v>42</v>
      </c>
      <c r="AX169" s="6" t="s">
        <v>13235</v>
      </c>
      <c r="AY169" s="6" t="s">
        <v>12366</v>
      </c>
      <c r="AZ169" s="6" t="s">
        <v>45</v>
      </c>
      <c r="BA169" s="6" t="s">
        <v>12349</v>
      </c>
      <c r="BB169" s="6" t="s">
        <v>46</v>
      </c>
      <c r="BC169" s="6" t="s">
        <v>13234</v>
      </c>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row>
    <row r="170" spans="1:119" x14ac:dyDescent="0.3">
      <c r="A170" s="6" t="s">
        <v>16063</v>
      </c>
      <c r="B170" s="6" t="s">
        <v>13454</v>
      </c>
      <c r="C170" s="6" t="s">
        <v>13453</v>
      </c>
      <c r="D170" s="6" t="s">
        <v>13452</v>
      </c>
      <c r="E170" s="6">
        <v>2023</v>
      </c>
      <c r="F170" s="6" t="s">
        <v>13451</v>
      </c>
      <c r="G170" s="6">
        <v>98</v>
      </c>
      <c r="H170" s="6">
        <v>9</v>
      </c>
      <c r="I170" s="6"/>
      <c r="J170" s="6">
        <v>978</v>
      </c>
      <c r="K170" s="6">
        <v>982</v>
      </c>
      <c r="L170" s="6"/>
      <c r="M170" s="6">
        <v>2</v>
      </c>
      <c r="N170" s="6" t="s">
        <v>13450</v>
      </c>
      <c r="O170" s="6" t="s">
        <v>13449</v>
      </c>
      <c r="P170" s="6" t="s">
        <v>13448</v>
      </c>
      <c r="Q170" s="6" t="s">
        <v>13447</v>
      </c>
      <c r="R170" s="6" t="s">
        <v>13446</v>
      </c>
      <c r="S170" s="6"/>
      <c r="T170" s="6" t="s">
        <v>13445</v>
      </c>
      <c r="U170" s="6"/>
      <c r="V170" s="6"/>
      <c r="W170" s="6"/>
      <c r="X170" s="6"/>
      <c r="Y170" s="6"/>
      <c r="Z170" s="6"/>
      <c r="AA170" s="6"/>
      <c r="AB170" s="6"/>
      <c r="AC170" s="6"/>
      <c r="AD170" s="6"/>
      <c r="AE170" s="6"/>
      <c r="AF170" s="6"/>
      <c r="AG170" s="6"/>
      <c r="AH170" s="6"/>
      <c r="AI170" s="6"/>
      <c r="AJ170" s="6" t="s">
        <v>13444</v>
      </c>
      <c r="AK170" s="6" t="s">
        <v>13443</v>
      </c>
      <c r="AL170" s="6"/>
      <c r="AM170" s="6"/>
      <c r="AN170" s="6" t="s">
        <v>13442</v>
      </c>
      <c r="AO170" s="6"/>
      <c r="AP170" s="6"/>
      <c r="AQ170" s="6"/>
      <c r="AR170" s="6"/>
      <c r="AS170" s="6">
        <v>10402446</v>
      </c>
      <c r="AT170" s="6"/>
      <c r="AU170" s="6" t="s">
        <v>13441</v>
      </c>
      <c r="AV170" s="6">
        <v>37369073</v>
      </c>
      <c r="AW170" s="6" t="s">
        <v>42</v>
      </c>
      <c r="AX170" s="6" t="s">
        <v>13440</v>
      </c>
      <c r="AY170" s="6" t="s">
        <v>12366</v>
      </c>
      <c r="AZ170" s="6" t="s">
        <v>45</v>
      </c>
      <c r="BA170" s="6" t="s">
        <v>12349</v>
      </c>
      <c r="BB170" s="6" t="s">
        <v>46</v>
      </c>
      <c r="BC170" s="6" t="s">
        <v>13439</v>
      </c>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row>
    <row r="171" spans="1:119" x14ac:dyDescent="0.3">
      <c r="A171" s="6" t="s">
        <v>16063</v>
      </c>
      <c r="B171" s="6" t="s">
        <v>12319</v>
      </c>
      <c r="C171" s="6" t="s">
        <v>12318</v>
      </c>
      <c r="D171" s="6" t="s">
        <v>13470</v>
      </c>
      <c r="E171" s="6">
        <v>2023</v>
      </c>
      <c r="F171" s="6" t="s">
        <v>1772</v>
      </c>
      <c r="G171" s="6">
        <v>621</v>
      </c>
      <c r="H171" s="6">
        <v>7980</v>
      </c>
      <c r="I171" s="6"/>
      <c r="J171" s="6">
        <v>658</v>
      </c>
      <c r="K171" s="6"/>
      <c r="L171" s="6"/>
      <c r="M171" s="6">
        <v>1</v>
      </c>
      <c r="N171" s="6" t="s">
        <v>13469</v>
      </c>
      <c r="O171" s="6" t="s">
        <v>13468</v>
      </c>
      <c r="P171" s="6"/>
      <c r="Q171" s="6"/>
      <c r="R171" s="6" t="s">
        <v>13189</v>
      </c>
      <c r="S171" s="6" t="s">
        <v>13467</v>
      </c>
      <c r="T171" s="6" t="s">
        <v>13466</v>
      </c>
      <c r="U171" s="6"/>
      <c r="V171" s="6" t="s">
        <v>13465</v>
      </c>
      <c r="W171" s="6"/>
      <c r="X171" s="6"/>
      <c r="Y171" s="6"/>
      <c r="Z171" s="6"/>
      <c r="AA171" s="6"/>
      <c r="AB171" s="6"/>
      <c r="AC171" s="6"/>
      <c r="AD171" s="6"/>
      <c r="AE171" s="6"/>
      <c r="AF171" s="6"/>
      <c r="AG171" s="6"/>
      <c r="AH171" s="6"/>
      <c r="AI171" s="6"/>
      <c r="AJ171" s="6"/>
      <c r="AK171" s="6"/>
      <c r="AL171" s="6"/>
      <c r="AM171" s="6"/>
      <c r="AN171" s="6" t="s">
        <v>125</v>
      </c>
      <c r="AO171" s="6"/>
      <c r="AP171" s="6"/>
      <c r="AQ171" s="6"/>
      <c r="AR171" s="6"/>
      <c r="AS171" s="6">
        <v>280836</v>
      </c>
      <c r="AT171" s="6"/>
      <c r="AU171" s="6" t="s">
        <v>13464</v>
      </c>
      <c r="AV171" s="6">
        <v>37758895</v>
      </c>
      <c r="AW171" s="6" t="s">
        <v>42</v>
      </c>
      <c r="AX171" s="6" t="s">
        <v>1772</v>
      </c>
      <c r="AY171" s="6" t="s">
        <v>12669</v>
      </c>
      <c r="AZ171" s="6" t="s">
        <v>45</v>
      </c>
      <c r="BA171" s="6" t="s">
        <v>12349</v>
      </c>
      <c r="BB171" s="6" t="s">
        <v>46</v>
      </c>
      <c r="BC171" s="6" t="s">
        <v>13463</v>
      </c>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row>
    <row r="172" spans="1:119" x14ac:dyDescent="0.3">
      <c r="A172" s="6" t="s">
        <v>16063</v>
      </c>
      <c r="B172" s="6" t="s">
        <v>13536</v>
      </c>
      <c r="C172" s="6" t="s">
        <v>13535</v>
      </c>
      <c r="D172" s="6" t="s">
        <v>13534</v>
      </c>
      <c r="E172" s="6">
        <v>2023</v>
      </c>
      <c r="F172" s="6" t="s">
        <v>13527</v>
      </c>
      <c r="G172" s="6">
        <v>330</v>
      </c>
      <c r="H172" s="6">
        <v>15</v>
      </c>
      <c r="I172" s="6"/>
      <c r="J172" s="6">
        <v>1416</v>
      </c>
      <c r="K172" s="6">
        <v>1419</v>
      </c>
      <c r="L172" s="6"/>
      <c r="M172" s="6"/>
      <c r="N172" s="6" t="s">
        <v>13533</v>
      </c>
      <c r="O172" s="6" t="s">
        <v>13532</v>
      </c>
      <c r="P172" s="6"/>
      <c r="Q172" s="6" t="s">
        <v>13531</v>
      </c>
      <c r="R172" s="6" t="s">
        <v>13189</v>
      </c>
      <c r="S172" s="6"/>
      <c r="T172" s="6" t="s">
        <v>13530</v>
      </c>
      <c r="U172" s="6"/>
      <c r="V172" s="6" t="s">
        <v>13529</v>
      </c>
      <c r="W172" s="6"/>
      <c r="X172" s="6"/>
      <c r="Y172" s="6"/>
      <c r="Z172" s="6"/>
      <c r="AA172" s="6"/>
      <c r="AB172" s="6"/>
      <c r="AC172" s="6"/>
      <c r="AD172" s="6"/>
      <c r="AE172" s="6"/>
      <c r="AF172" s="6"/>
      <c r="AG172" s="6"/>
      <c r="AH172" s="6"/>
      <c r="AI172" s="6"/>
      <c r="AJ172" s="6"/>
      <c r="AK172" s="6"/>
      <c r="AL172" s="6"/>
      <c r="AM172" s="6"/>
      <c r="AN172" s="6" t="s">
        <v>1405</v>
      </c>
      <c r="AO172" s="6"/>
      <c r="AP172" s="6"/>
      <c r="AQ172" s="6"/>
      <c r="AR172" s="6"/>
      <c r="AS172" s="6">
        <v>987484</v>
      </c>
      <c r="AT172" s="6"/>
      <c r="AU172" s="6" t="s">
        <v>13528</v>
      </c>
      <c r="AV172" s="6">
        <v>37755919</v>
      </c>
      <c r="AW172" s="6" t="s">
        <v>42</v>
      </c>
      <c r="AX172" s="6" t="s">
        <v>13527</v>
      </c>
      <c r="AY172" s="6" t="s">
        <v>12283</v>
      </c>
      <c r="AZ172" s="6" t="s">
        <v>45</v>
      </c>
      <c r="BA172" s="6"/>
      <c r="BB172" s="6" t="s">
        <v>46</v>
      </c>
      <c r="BC172" s="6" t="s">
        <v>13526</v>
      </c>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row>
    <row r="173" spans="1:119" x14ac:dyDescent="0.3">
      <c r="A173" s="6" t="s">
        <v>16063</v>
      </c>
      <c r="B173" s="6" t="s">
        <v>13653</v>
      </c>
      <c r="C173" s="6" t="s">
        <v>13652</v>
      </c>
      <c r="D173" s="6" t="s">
        <v>13651</v>
      </c>
      <c r="E173" s="6">
        <v>2023</v>
      </c>
      <c r="F173" s="6" t="s">
        <v>13650</v>
      </c>
      <c r="G173" s="6">
        <v>53</v>
      </c>
      <c r="H173" s="6">
        <v>12</v>
      </c>
      <c r="I173" s="6"/>
      <c r="J173" s="6">
        <v>728</v>
      </c>
      <c r="K173" s="6">
        <v>734</v>
      </c>
      <c r="L173" s="6"/>
      <c r="M173" s="6">
        <v>2</v>
      </c>
      <c r="N173" s="6" t="s">
        <v>13649</v>
      </c>
      <c r="O173" s="6" t="s">
        <v>13648</v>
      </c>
      <c r="P173" s="6" t="s">
        <v>13647</v>
      </c>
      <c r="Q173" s="6" t="s">
        <v>13646</v>
      </c>
      <c r="R173" s="6" t="s">
        <v>13645</v>
      </c>
      <c r="S173" s="6" t="s">
        <v>13644</v>
      </c>
      <c r="T173" s="6" t="s">
        <v>13643</v>
      </c>
      <c r="U173" s="6"/>
      <c r="V173" s="6"/>
      <c r="W173" s="6"/>
      <c r="X173" s="6"/>
      <c r="Y173" s="6"/>
      <c r="Z173" s="6" t="s">
        <v>13642</v>
      </c>
      <c r="AA173" s="6"/>
      <c r="AB173" s="6"/>
      <c r="AC173" s="6"/>
      <c r="AD173" s="6"/>
      <c r="AE173" s="6"/>
      <c r="AF173" s="6"/>
      <c r="AG173" s="6"/>
      <c r="AH173" s="6"/>
      <c r="AI173" s="6"/>
      <c r="AJ173" s="6" t="s">
        <v>13641</v>
      </c>
      <c r="AK173" s="6" t="s">
        <v>13640</v>
      </c>
      <c r="AL173" s="6"/>
      <c r="AM173" s="6"/>
      <c r="AN173" s="6" t="s">
        <v>13639</v>
      </c>
      <c r="AO173" s="6"/>
      <c r="AP173" s="6"/>
      <c r="AQ173" s="6"/>
      <c r="AR173" s="6"/>
      <c r="AS173" s="6">
        <v>1906011</v>
      </c>
      <c r="AT173" s="6"/>
      <c r="AU173" s="6" t="s">
        <v>13638</v>
      </c>
      <c r="AV173" s="6">
        <v>37707390</v>
      </c>
      <c r="AW173" s="6" t="s">
        <v>42</v>
      </c>
      <c r="AX173" s="6" t="s">
        <v>13637</v>
      </c>
      <c r="AY173" s="6" t="s">
        <v>12366</v>
      </c>
      <c r="AZ173" s="6" t="s">
        <v>45</v>
      </c>
      <c r="BA173" s="6"/>
      <c r="BB173" s="6" t="s">
        <v>46</v>
      </c>
      <c r="BC173" s="6" t="s">
        <v>13636</v>
      </c>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row>
    <row r="174" spans="1:119" x14ac:dyDescent="0.3">
      <c r="A174" s="6" t="s">
        <v>16063</v>
      </c>
      <c r="B174" s="6" t="s">
        <v>13695</v>
      </c>
      <c r="C174" s="6" t="s">
        <v>13694</v>
      </c>
      <c r="D174" s="6" t="s">
        <v>2109</v>
      </c>
      <c r="E174" s="6">
        <v>2023</v>
      </c>
      <c r="F174" s="6" t="s">
        <v>13693</v>
      </c>
      <c r="G174" s="6">
        <v>3</v>
      </c>
      <c r="H174" s="6">
        <v>1</v>
      </c>
      <c r="I174" s="6"/>
      <c r="J174" s="6">
        <v>23</v>
      </c>
      <c r="K174" s="6">
        <v>33</v>
      </c>
      <c r="L174" s="6"/>
      <c r="M174" s="6"/>
      <c r="N174" s="6" t="s">
        <v>2118</v>
      </c>
      <c r="O174" s="6" t="s">
        <v>13692</v>
      </c>
      <c r="P174" s="6" t="s">
        <v>13691</v>
      </c>
      <c r="Q174" s="6" t="s">
        <v>13690</v>
      </c>
      <c r="R174" s="6" t="s">
        <v>13689</v>
      </c>
      <c r="S174" s="6"/>
      <c r="T174" s="6"/>
      <c r="U174" s="6"/>
      <c r="V174" s="6"/>
      <c r="W174" s="6"/>
      <c r="X174" s="6"/>
      <c r="Y174" s="6" t="s">
        <v>13688</v>
      </c>
      <c r="Z174" s="6" t="s">
        <v>13687</v>
      </c>
      <c r="AA174" s="6"/>
      <c r="AB174" s="6"/>
      <c r="AC174" s="6"/>
      <c r="AD174" s="6"/>
      <c r="AE174" s="6"/>
      <c r="AF174" s="6"/>
      <c r="AG174" s="6"/>
      <c r="AH174" s="6"/>
      <c r="AI174" s="6"/>
      <c r="AJ174" s="6" t="s">
        <v>13686</v>
      </c>
      <c r="AK174" s="6" t="s">
        <v>13685</v>
      </c>
      <c r="AL174" s="6"/>
      <c r="AM174" s="6"/>
      <c r="AN174" s="6" t="s">
        <v>13684</v>
      </c>
      <c r="AO174" s="6"/>
      <c r="AP174" s="6"/>
      <c r="AQ174" s="6"/>
      <c r="AR174" s="6"/>
      <c r="AS174" s="6" t="s">
        <v>13683</v>
      </c>
      <c r="AT174" s="6"/>
      <c r="AU174" s="6"/>
      <c r="AV174" s="6"/>
      <c r="AW174" s="6" t="s">
        <v>42</v>
      </c>
      <c r="AX174" s="6" t="s">
        <v>1527</v>
      </c>
      <c r="AY174" s="6" t="s">
        <v>12366</v>
      </c>
      <c r="AZ174" s="6" t="s">
        <v>45</v>
      </c>
      <c r="BA174" s="6" t="s">
        <v>12214</v>
      </c>
      <c r="BB174" s="6" t="s">
        <v>46</v>
      </c>
      <c r="BC174" s="6" t="s">
        <v>13682</v>
      </c>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row>
    <row r="175" spans="1:119" x14ac:dyDescent="0.3">
      <c r="A175" s="6" t="s">
        <v>16063</v>
      </c>
      <c r="B175" s="6" t="s">
        <v>13515</v>
      </c>
      <c r="C175" s="6" t="s">
        <v>13514</v>
      </c>
      <c r="D175" s="6" t="s">
        <v>13513</v>
      </c>
      <c r="E175" s="6">
        <v>2023</v>
      </c>
      <c r="F175" s="6" t="s">
        <v>13512</v>
      </c>
      <c r="G175" s="6">
        <v>30</v>
      </c>
      <c r="H175" s="6">
        <v>4</v>
      </c>
      <c r="I175" s="6"/>
      <c r="J175" s="6">
        <v>228</v>
      </c>
      <c r="K175" s="6">
        <v>234</v>
      </c>
      <c r="L175" s="6"/>
      <c r="M175" s="6"/>
      <c r="N175" s="6" t="s">
        <v>13511</v>
      </c>
      <c r="O175" s="6" t="s">
        <v>13510</v>
      </c>
      <c r="P175" s="6" t="s">
        <v>13509</v>
      </c>
      <c r="Q175" s="6" t="s">
        <v>13508</v>
      </c>
      <c r="R175" s="6" t="s">
        <v>13507</v>
      </c>
      <c r="S175" s="6" t="s">
        <v>13506</v>
      </c>
      <c r="T175" s="6"/>
      <c r="U175" s="6"/>
      <c r="V175" s="6"/>
      <c r="W175" s="6"/>
      <c r="X175" s="6"/>
      <c r="Y175" s="6"/>
      <c r="Z175" s="6"/>
      <c r="AA175" s="6"/>
      <c r="AB175" s="6"/>
      <c r="AC175" s="6"/>
      <c r="AD175" s="6"/>
      <c r="AE175" s="6"/>
      <c r="AF175" s="6"/>
      <c r="AG175" s="6"/>
      <c r="AH175" s="6"/>
      <c r="AI175" s="6"/>
      <c r="AJ175" s="6" t="s">
        <v>13505</v>
      </c>
      <c r="AK175" s="6" t="s">
        <v>13504</v>
      </c>
      <c r="AL175" s="6"/>
      <c r="AM175" s="6"/>
      <c r="AN175" s="6" t="s">
        <v>77</v>
      </c>
      <c r="AO175" s="6"/>
      <c r="AP175" s="6"/>
      <c r="AQ175" s="6"/>
      <c r="AR175" s="6"/>
      <c r="AS175" s="6">
        <v>15501949</v>
      </c>
      <c r="AT175" s="6"/>
      <c r="AU175" s="6"/>
      <c r="AV175" s="6"/>
      <c r="AW175" s="6" t="s">
        <v>42</v>
      </c>
      <c r="AX175" s="6" t="s">
        <v>13503</v>
      </c>
      <c r="AY175" s="6" t="s">
        <v>12669</v>
      </c>
      <c r="AZ175" s="6" t="s">
        <v>45</v>
      </c>
      <c r="BA175" s="6" t="s">
        <v>12275</v>
      </c>
      <c r="BB175" s="6" t="s">
        <v>46</v>
      </c>
      <c r="BC175" s="6" t="s">
        <v>13502</v>
      </c>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row>
    <row r="176" spans="1:119" x14ac:dyDescent="0.3">
      <c r="A176" s="6" t="s">
        <v>16063</v>
      </c>
      <c r="B176" s="6" t="s">
        <v>12319</v>
      </c>
      <c r="C176" s="6" t="s">
        <v>12318</v>
      </c>
      <c r="D176" s="6" t="s">
        <v>549</v>
      </c>
      <c r="E176" s="6">
        <v>2023</v>
      </c>
      <c r="F176" s="6" t="s">
        <v>383</v>
      </c>
      <c r="G176" s="6">
        <v>3605</v>
      </c>
      <c r="H176" s="6"/>
      <c r="I176" s="6"/>
      <c r="J176" s="6"/>
      <c r="K176" s="6"/>
      <c r="L176" s="6">
        <v>110</v>
      </c>
      <c r="M176" s="6"/>
      <c r="N176" s="6"/>
      <c r="O176" s="6" t="s">
        <v>550</v>
      </c>
      <c r="P176" s="6"/>
      <c r="Q176" s="6"/>
      <c r="R176" s="6" t="s">
        <v>551</v>
      </c>
      <c r="S176" s="6"/>
      <c r="T176" s="6"/>
      <c r="U176" s="6"/>
      <c r="V176" s="6"/>
      <c r="W176" s="6"/>
      <c r="X176" s="6"/>
      <c r="Y176" s="6"/>
      <c r="Z176" s="6"/>
      <c r="AA176" s="6"/>
      <c r="AB176" s="6"/>
      <c r="AC176" s="6"/>
      <c r="AD176" s="6"/>
      <c r="AE176" s="6"/>
      <c r="AF176" s="6"/>
      <c r="AG176" s="6"/>
      <c r="AH176" s="6"/>
      <c r="AI176" s="6"/>
      <c r="AJ176" s="6"/>
      <c r="AK176" s="6"/>
      <c r="AL176" s="6" t="s">
        <v>12892</v>
      </c>
      <c r="AM176" s="6"/>
      <c r="AN176" s="6" t="s">
        <v>389</v>
      </c>
      <c r="AO176" s="6" t="s">
        <v>12891</v>
      </c>
      <c r="AP176" s="6" t="s">
        <v>12890</v>
      </c>
      <c r="AQ176" s="6"/>
      <c r="AR176" s="6">
        <v>196077</v>
      </c>
      <c r="AS176" s="6">
        <v>16130073</v>
      </c>
      <c r="AT176" s="6"/>
      <c r="AU176" s="6"/>
      <c r="AV176" s="6"/>
      <c r="AW176" s="6" t="s">
        <v>42</v>
      </c>
      <c r="AX176" s="6" t="s">
        <v>390</v>
      </c>
      <c r="AY176" s="6" t="s">
        <v>12315</v>
      </c>
      <c r="AZ176" s="6" t="s">
        <v>45</v>
      </c>
      <c r="BA176" s="6"/>
      <c r="BB176" s="6" t="s">
        <v>46</v>
      </c>
      <c r="BC176" s="6" t="s">
        <v>552</v>
      </c>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row>
    <row r="177" spans="1:100" x14ac:dyDescent="0.3">
      <c r="A177" s="6" t="s">
        <v>16063</v>
      </c>
      <c r="B177" s="6" t="s">
        <v>12319</v>
      </c>
      <c r="C177" s="6" t="s">
        <v>12318</v>
      </c>
      <c r="D177" s="6" t="s">
        <v>12984</v>
      </c>
      <c r="E177" s="6">
        <v>2023</v>
      </c>
      <c r="F177" s="6" t="s">
        <v>12984</v>
      </c>
      <c r="G177" s="6"/>
      <c r="H177" s="6"/>
      <c r="I177" s="6"/>
      <c r="J177" s="6"/>
      <c r="K177" s="6"/>
      <c r="L177" s="6">
        <v>281</v>
      </c>
      <c r="M177" s="6"/>
      <c r="N177" s="6"/>
      <c r="O177" s="6" t="s">
        <v>13037</v>
      </c>
      <c r="P177" s="6"/>
      <c r="Q177" s="6"/>
      <c r="R177" s="6" t="s">
        <v>13036</v>
      </c>
      <c r="S177" s="6"/>
      <c r="T177" s="6"/>
      <c r="U177" s="6"/>
      <c r="V177" s="6"/>
      <c r="W177" s="6"/>
      <c r="X177" s="6"/>
      <c r="Y177" s="6"/>
      <c r="Z177" s="6"/>
      <c r="AA177" s="6"/>
      <c r="AB177" s="6"/>
      <c r="AC177" s="6"/>
      <c r="AD177" s="6"/>
      <c r="AE177" s="6"/>
      <c r="AF177" s="6"/>
      <c r="AG177" s="6"/>
      <c r="AH177" s="6"/>
      <c r="AI177" s="6"/>
      <c r="AJ177" s="6"/>
      <c r="AK177" s="6"/>
      <c r="AL177" s="6" t="s">
        <v>12985</v>
      </c>
      <c r="AM177" s="6"/>
      <c r="AN177" s="6" t="s">
        <v>88</v>
      </c>
      <c r="AO177" s="6" t="s">
        <v>12984</v>
      </c>
      <c r="AP177" s="6" t="s">
        <v>12983</v>
      </c>
      <c r="AQ177" s="6"/>
      <c r="AR177" s="6">
        <v>197174</v>
      </c>
      <c r="AS177" s="6"/>
      <c r="AT177" s="6">
        <v>9798350329315</v>
      </c>
      <c r="AU177" s="6"/>
      <c r="AV177" s="6"/>
      <c r="AW177" s="6" t="s">
        <v>42</v>
      </c>
      <c r="AX177" s="6" t="s">
        <v>12982</v>
      </c>
      <c r="AY177" s="6" t="s">
        <v>12315</v>
      </c>
      <c r="AZ177" s="6" t="s">
        <v>45</v>
      </c>
      <c r="BA177" s="6"/>
      <c r="BB177" s="6" t="s">
        <v>46</v>
      </c>
      <c r="BC177" s="6" t="s">
        <v>13035</v>
      </c>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row>
    <row r="178" spans="1:100" x14ac:dyDescent="0.3">
      <c r="A178" s="6" t="s">
        <v>16063</v>
      </c>
      <c r="B178" s="6" t="s">
        <v>12319</v>
      </c>
      <c r="C178" s="6" t="s">
        <v>12318</v>
      </c>
      <c r="D178" s="6" t="s">
        <v>13064</v>
      </c>
      <c r="E178" s="6">
        <v>2023</v>
      </c>
      <c r="F178" s="6" t="s">
        <v>13063</v>
      </c>
      <c r="G178" s="6"/>
      <c r="H178" s="6"/>
      <c r="I178" s="6"/>
      <c r="J178" s="6"/>
      <c r="K178" s="6"/>
      <c r="L178" s="6">
        <v>900</v>
      </c>
      <c r="M178" s="6"/>
      <c r="N178" s="6"/>
      <c r="O178" s="6" t="s">
        <v>13062</v>
      </c>
      <c r="P178" s="6"/>
      <c r="Q178" s="6"/>
      <c r="R178" s="6" t="s">
        <v>13061</v>
      </c>
      <c r="S178" s="6"/>
      <c r="T178" s="6"/>
      <c r="U178" s="6"/>
      <c r="V178" s="6"/>
      <c r="W178" s="6"/>
      <c r="X178" s="6"/>
      <c r="Y178" s="6"/>
      <c r="Z178" s="6"/>
      <c r="AA178" s="6"/>
      <c r="AB178" s="6"/>
      <c r="AC178" s="6"/>
      <c r="AD178" s="6"/>
      <c r="AE178" s="6"/>
      <c r="AF178" s="6"/>
      <c r="AG178" s="6"/>
      <c r="AH178" s="6"/>
      <c r="AI178" s="6"/>
      <c r="AJ178" s="6"/>
      <c r="AK178" s="6"/>
      <c r="AL178" s="6" t="s">
        <v>13060</v>
      </c>
      <c r="AM178" s="6" t="s">
        <v>13059</v>
      </c>
      <c r="AN178" s="6" t="s">
        <v>88</v>
      </c>
      <c r="AO178" s="6" t="s">
        <v>13058</v>
      </c>
      <c r="AP178" s="6" t="s">
        <v>13057</v>
      </c>
      <c r="AQ178" s="6"/>
      <c r="AR178" s="6">
        <v>198346</v>
      </c>
      <c r="AS178" s="6">
        <v>21611343</v>
      </c>
      <c r="AT178" s="6">
        <v>9798350381344</v>
      </c>
      <c r="AU178" s="6"/>
      <c r="AV178" s="6"/>
      <c r="AW178" s="6" t="s">
        <v>42</v>
      </c>
      <c r="AX178" s="6" t="s">
        <v>13056</v>
      </c>
      <c r="AY178" s="6" t="s">
        <v>12315</v>
      </c>
      <c r="AZ178" s="6" t="s">
        <v>45</v>
      </c>
      <c r="BA178" s="6"/>
      <c r="BB178" s="6" t="s">
        <v>46</v>
      </c>
      <c r="BC178" s="6" t="s">
        <v>13055</v>
      </c>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row>
  </sheetData>
  <autoFilter ref="A1:DO1" xr:uid="{F03A5794-9ED6-4767-B885-ED2BC3414C2F}">
    <sortState xmlns:xlrd2="http://schemas.microsoft.com/office/spreadsheetml/2017/richdata2" ref="A2:DO179">
      <sortCondition ref="A1"/>
    </sortState>
  </autoFilter>
  <sortState xmlns:xlrd2="http://schemas.microsoft.com/office/spreadsheetml/2017/richdata2" ref="A3:DO178">
    <sortCondition ref="A98:A178"/>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62ED8-E1CE-4ECA-8426-00F75A7B4FD0}">
  <dimension ref="A1:BU632"/>
  <sheetViews>
    <sheetView topLeftCell="A567" workbookViewId="0">
      <selection activeCell="A527" sqref="A527"/>
    </sheetView>
  </sheetViews>
  <sheetFormatPr baseColWidth="10" defaultColWidth="8.88671875" defaultRowHeight="13.2" x14ac:dyDescent="0.25"/>
  <cols>
    <col min="1" max="1" width="11.5546875" style="1" customWidth="1"/>
    <col min="2" max="14" width="8.88671875" style="1" customWidth="1"/>
    <col min="15" max="15" width="32.5546875" style="1" customWidth="1"/>
    <col min="16" max="16" width="8.88671875" style="1" customWidth="1"/>
    <col min="17" max="16384" width="8.88671875" style="1"/>
  </cols>
  <sheetData>
    <row r="1" spans="1:73" x14ac:dyDescent="0.25">
      <c r="A1" s="1" t="s">
        <v>13738</v>
      </c>
      <c r="B1" s="1" t="s">
        <v>1446</v>
      </c>
      <c r="C1" s="1" t="s">
        <v>0</v>
      </c>
      <c r="D1" s="1" t="s">
        <v>1447</v>
      </c>
      <c r="E1" s="1" t="s">
        <v>1448</v>
      </c>
      <c r="F1" s="1" t="s">
        <v>1449</v>
      </c>
      <c r="G1" s="1" t="s">
        <v>1450</v>
      </c>
      <c r="H1" s="1" t="s">
        <v>1451</v>
      </c>
      <c r="I1" s="1" t="s">
        <v>1452</v>
      </c>
      <c r="J1" s="1" t="s">
        <v>1453</v>
      </c>
      <c r="K1" s="1" t="s">
        <v>1454</v>
      </c>
      <c r="L1" s="1" t="s">
        <v>1455</v>
      </c>
      <c r="M1" s="1" t="s">
        <v>1456</v>
      </c>
      <c r="N1" s="1" t="s">
        <v>1457</v>
      </c>
      <c r="O1" s="1" t="s">
        <v>28</v>
      </c>
      <c r="P1" s="1" t="s">
        <v>1458</v>
      </c>
      <c r="Q1" s="1" t="s">
        <v>1459</v>
      </c>
      <c r="R1" s="1" t="s">
        <v>1460</v>
      </c>
      <c r="S1" s="1" t="s">
        <v>1461</v>
      </c>
      <c r="T1" s="1" t="s">
        <v>1462</v>
      </c>
      <c r="U1" s="1" t="s">
        <v>17</v>
      </c>
      <c r="V1" s="1" t="s">
        <v>1463</v>
      </c>
      <c r="W1" s="1" t="s">
        <v>16</v>
      </c>
      <c r="X1" s="1" t="s">
        <v>1464</v>
      </c>
      <c r="Y1" s="1" t="s">
        <v>14</v>
      </c>
      <c r="Z1" s="1" t="s">
        <v>1465</v>
      </c>
      <c r="AA1" s="1" t="s">
        <v>1466</v>
      </c>
      <c r="AB1" s="1" t="s">
        <v>1467</v>
      </c>
      <c r="AC1" s="1" t="s">
        <v>1468</v>
      </c>
      <c r="AD1" s="1" t="s">
        <v>1469</v>
      </c>
      <c r="AE1" s="1" t="s">
        <v>1470</v>
      </c>
      <c r="AF1" s="1" t="s">
        <v>1471</v>
      </c>
      <c r="AG1" s="1" t="s">
        <v>1472</v>
      </c>
      <c r="AH1" s="1" t="s">
        <v>1473</v>
      </c>
      <c r="AI1" s="1" t="s">
        <v>1474</v>
      </c>
      <c r="AJ1" s="1" t="s">
        <v>1475</v>
      </c>
      <c r="AK1" s="1" t="s">
        <v>1476</v>
      </c>
      <c r="AL1" s="1" t="s">
        <v>1477</v>
      </c>
      <c r="AM1" s="1" t="s">
        <v>21</v>
      </c>
      <c r="AN1" s="1" t="s">
        <v>1478</v>
      </c>
      <c r="AO1" s="1" t="s">
        <v>1479</v>
      </c>
      <c r="AP1" s="1" t="s">
        <v>22</v>
      </c>
      <c r="AQ1" s="1" t="s">
        <v>1480</v>
      </c>
      <c r="AR1" s="1" t="s">
        <v>23</v>
      </c>
      <c r="AS1" s="1" t="s">
        <v>1481</v>
      </c>
      <c r="AT1" s="1" t="s">
        <v>1482</v>
      </c>
      <c r="AU1" s="1" t="s">
        <v>1483</v>
      </c>
      <c r="AV1" s="1" t="s">
        <v>1484</v>
      </c>
      <c r="AW1" s="1" t="s">
        <v>5</v>
      </c>
      <c r="AX1" s="1" t="s">
        <v>6</v>
      </c>
      <c r="AY1" s="1" t="s">
        <v>1485</v>
      </c>
      <c r="AZ1" s="1" t="s">
        <v>1486</v>
      </c>
      <c r="BA1" s="1" t="s">
        <v>841</v>
      </c>
      <c r="BB1" s="1" t="s">
        <v>1487</v>
      </c>
      <c r="BC1" s="1" t="s">
        <v>1488</v>
      </c>
      <c r="BD1" s="1" t="s">
        <v>1489</v>
      </c>
      <c r="BE1" s="1" t="s">
        <v>1490</v>
      </c>
      <c r="BF1" s="1" t="s">
        <v>12</v>
      </c>
      <c r="BG1" s="1" t="s">
        <v>1491</v>
      </c>
      <c r="BH1" s="1" t="s">
        <v>1492</v>
      </c>
      <c r="BI1" s="1" t="s">
        <v>1493</v>
      </c>
      <c r="BJ1" s="1" t="s">
        <v>1494</v>
      </c>
      <c r="BK1" s="1" t="s">
        <v>1495</v>
      </c>
      <c r="BL1" s="1" t="s">
        <v>1496</v>
      </c>
      <c r="BM1" s="1" t="s">
        <v>1497</v>
      </c>
      <c r="BN1" s="1" t="s">
        <v>1498</v>
      </c>
      <c r="BO1" s="1" t="s">
        <v>1499</v>
      </c>
      <c r="BP1" s="1" t="s">
        <v>1500</v>
      </c>
      <c r="BQ1" s="1" t="s">
        <v>1501</v>
      </c>
      <c r="BR1" s="1" t="s">
        <v>1502</v>
      </c>
      <c r="BS1" s="1" t="s">
        <v>1503</v>
      </c>
      <c r="BT1" s="1" t="s">
        <v>1504</v>
      </c>
      <c r="BU1" s="1" t="s">
        <v>1505</v>
      </c>
    </row>
    <row r="2" spans="1:73" x14ac:dyDescent="0.25">
      <c r="A2" s="1">
        <v>1</v>
      </c>
      <c r="B2" s="1" t="s">
        <v>1506</v>
      </c>
      <c r="C2" s="1" t="s">
        <v>5519</v>
      </c>
      <c r="D2" s="1" t="s">
        <v>1507</v>
      </c>
      <c r="E2" s="1" t="s">
        <v>1507</v>
      </c>
      <c r="F2" s="1" t="s">
        <v>1507</v>
      </c>
      <c r="G2" s="1" t="s">
        <v>5520</v>
      </c>
      <c r="H2" s="1" t="s">
        <v>1507</v>
      </c>
      <c r="I2" s="1" t="s">
        <v>1507</v>
      </c>
      <c r="J2" s="1" t="s">
        <v>5521</v>
      </c>
      <c r="K2" s="1" t="s">
        <v>5522</v>
      </c>
      <c r="L2" s="1" t="s">
        <v>1507</v>
      </c>
      <c r="M2" s="1" t="s">
        <v>1507</v>
      </c>
      <c r="N2" s="1" t="s">
        <v>42</v>
      </c>
      <c r="O2" s="1" t="s">
        <v>56</v>
      </c>
      <c r="P2" s="1" t="s">
        <v>1507</v>
      </c>
      <c r="Q2" s="1" t="s">
        <v>1507</v>
      </c>
      <c r="R2" s="1" t="s">
        <v>1507</v>
      </c>
      <c r="S2" s="1" t="s">
        <v>1507</v>
      </c>
      <c r="T2" s="1" t="s">
        <v>1507</v>
      </c>
      <c r="U2" s="1" t="s">
        <v>5523</v>
      </c>
      <c r="V2" s="1" t="s">
        <v>5524</v>
      </c>
      <c r="W2" s="1" t="s">
        <v>5525</v>
      </c>
      <c r="X2" s="1" t="s">
        <v>5526</v>
      </c>
      <c r="Y2" s="1" t="s">
        <v>5527</v>
      </c>
      <c r="Z2" s="1" t="s">
        <v>5528</v>
      </c>
      <c r="AA2" s="1" t="s">
        <v>5529</v>
      </c>
      <c r="AB2" s="1" t="s">
        <v>14817</v>
      </c>
      <c r="AC2" s="1" t="s">
        <v>5530</v>
      </c>
      <c r="AD2" s="1" t="s">
        <v>5531</v>
      </c>
      <c r="AE2" s="1" t="s">
        <v>5532</v>
      </c>
      <c r="AF2" s="1" t="s">
        <v>5533</v>
      </c>
      <c r="AG2" s="1" t="s">
        <v>1507</v>
      </c>
      <c r="AH2" s="1">
        <v>24</v>
      </c>
      <c r="AI2" s="1">
        <v>0</v>
      </c>
      <c r="AJ2" s="1">
        <v>0</v>
      </c>
      <c r="AK2" s="1">
        <v>2</v>
      </c>
      <c r="AL2" s="1">
        <v>2</v>
      </c>
      <c r="AM2" s="1" t="s">
        <v>5534</v>
      </c>
      <c r="AN2" s="1" t="s">
        <v>5535</v>
      </c>
      <c r="AO2" s="1" t="s">
        <v>5536</v>
      </c>
      <c r="AP2" s="1" t="s">
        <v>5537</v>
      </c>
      <c r="AQ2" s="1" t="s">
        <v>5538</v>
      </c>
      <c r="AR2" s="1" t="s">
        <v>1507</v>
      </c>
      <c r="AS2" s="1" t="s">
        <v>5539</v>
      </c>
      <c r="AT2" s="1" t="s">
        <v>5540</v>
      </c>
      <c r="AU2" s="1" t="s">
        <v>1507</v>
      </c>
      <c r="AV2" s="1">
        <v>2023</v>
      </c>
      <c r="AW2" s="1">
        <v>76</v>
      </c>
      <c r="AX2" s="1">
        <v>3</v>
      </c>
      <c r="AY2" s="1" t="s">
        <v>1507</v>
      </c>
      <c r="AZ2" s="1" t="s">
        <v>1507</v>
      </c>
      <c r="BA2" s="1" t="s">
        <v>1507</v>
      </c>
      <c r="BB2" s="1" t="s">
        <v>1507</v>
      </c>
      <c r="BC2" s="1" t="s">
        <v>1507</v>
      </c>
      <c r="BD2" s="1" t="s">
        <v>1507</v>
      </c>
      <c r="BE2" s="1" t="s">
        <v>5541</v>
      </c>
      <c r="BF2" s="1" t="s">
        <v>5542</v>
      </c>
      <c r="BG2" s="1" t="str">
        <f>HYPERLINK("http://dx.doi.org/10.1590/0034-7167-2022-0366","http://dx.doi.org/10.1590/0034-7167-2022-0366")</f>
        <v>http://dx.doi.org/10.1590/0034-7167-2022-0366</v>
      </c>
      <c r="BH2" s="1" t="s">
        <v>1507</v>
      </c>
      <c r="BI2" s="1" t="s">
        <v>1507</v>
      </c>
      <c r="BJ2" s="1">
        <v>6</v>
      </c>
      <c r="BK2" s="1" t="s">
        <v>5543</v>
      </c>
      <c r="BL2" s="1" t="s">
        <v>1529</v>
      </c>
      <c r="BM2" s="1" t="s">
        <v>5543</v>
      </c>
      <c r="BN2" s="1" t="s">
        <v>5544</v>
      </c>
      <c r="BO2" s="1">
        <v>37377315</v>
      </c>
      <c r="BP2" s="1" t="s">
        <v>1952</v>
      </c>
      <c r="BQ2" s="1" t="s">
        <v>1507</v>
      </c>
      <c r="BR2" s="1" t="s">
        <v>1507</v>
      </c>
      <c r="BS2" s="1" t="s">
        <v>13744</v>
      </c>
      <c r="BT2" s="1" t="s">
        <v>5545</v>
      </c>
      <c r="BU2" s="1" t="str">
        <f>HYPERLINK("https%3A%2F%2Fwww.webofscience.com%2Fwos%2Fwoscc%2Ffull-record%2FWOS:001028195600005","View Full Record in Web of Science")</f>
        <v>View Full Record in Web of Science</v>
      </c>
    </row>
    <row r="3" spans="1:73" x14ac:dyDescent="0.25">
      <c r="A3" s="1">
        <v>2</v>
      </c>
      <c r="B3" s="1" t="s">
        <v>1506</v>
      </c>
      <c r="C3" s="1" t="s">
        <v>14164</v>
      </c>
      <c r="D3" s="1" t="s">
        <v>1507</v>
      </c>
      <c r="E3" s="1" t="s">
        <v>1507</v>
      </c>
      <c r="F3" s="1" t="s">
        <v>1507</v>
      </c>
      <c r="G3" s="1" t="s">
        <v>14165</v>
      </c>
      <c r="H3" s="1" t="s">
        <v>1507</v>
      </c>
      <c r="I3" s="1" t="s">
        <v>1507</v>
      </c>
      <c r="J3" s="1" t="s">
        <v>14166</v>
      </c>
      <c r="K3" s="1" t="s">
        <v>3251</v>
      </c>
      <c r="L3" s="1" t="s">
        <v>1507</v>
      </c>
      <c r="M3" s="1" t="s">
        <v>1507</v>
      </c>
      <c r="N3" s="1" t="s">
        <v>42</v>
      </c>
      <c r="O3" s="1" t="s">
        <v>56</v>
      </c>
      <c r="P3" s="1" t="s">
        <v>1507</v>
      </c>
      <c r="Q3" s="1" t="s">
        <v>1507</v>
      </c>
      <c r="R3" s="1" t="s">
        <v>1507</v>
      </c>
      <c r="S3" s="1" t="s">
        <v>1507</v>
      </c>
      <c r="T3" s="1" t="s">
        <v>1507</v>
      </c>
      <c r="U3" s="1" t="s">
        <v>14167</v>
      </c>
      <c r="V3" s="1" t="s">
        <v>14168</v>
      </c>
      <c r="W3" s="1" t="s">
        <v>14169</v>
      </c>
      <c r="X3" s="1" t="s">
        <v>14170</v>
      </c>
      <c r="Y3" s="1" t="s">
        <v>14171</v>
      </c>
      <c r="Z3" s="1" t="s">
        <v>14172</v>
      </c>
      <c r="AA3" s="1" t="s">
        <v>14173</v>
      </c>
      <c r="AB3" s="1" t="s">
        <v>1507</v>
      </c>
      <c r="AC3" s="1" t="s">
        <v>14174</v>
      </c>
      <c r="AD3" s="1" t="s">
        <v>14175</v>
      </c>
      <c r="AE3" s="1" t="s">
        <v>14175</v>
      </c>
      <c r="AF3" s="1" t="s">
        <v>14176</v>
      </c>
      <c r="AG3" s="1" t="s">
        <v>1507</v>
      </c>
      <c r="AH3" s="1">
        <v>27</v>
      </c>
      <c r="AI3" s="1">
        <v>2</v>
      </c>
      <c r="AJ3" s="1">
        <v>2</v>
      </c>
      <c r="AK3" s="1">
        <v>13</v>
      </c>
      <c r="AL3" s="1">
        <v>13</v>
      </c>
      <c r="AM3" s="1" t="s">
        <v>3263</v>
      </c>
      <c r="AN3" s="1" t="s">
        <v>2300</v>
      </c>
      <c r="AO3" s="1" t="s">
        <v>3264</v>
      </c>
      <c r="AP3" s="1" t="s">
        <v>3265</v>
      </c>
      <c r="AQ3" s="1" t="s">
        <v>3266</v>
      </c>
      <c r="AR3" s="1" t="s">
        <v>1507</v>
      </c>
      <c r="AS3" s="1" t="s">
        <v>3267</v>
      </c>
      <c r="AT3" s="1" t="s">
        <v>3268</v>
      </c>
      <c r="AU3" s="1" t="s">
        <v>14177</v>
      </c>
      <c r="AV3" s="1">
        <v>2023</v>
      </c>
      <c r="AW3" s="1">
        <v>120</v>
      </c>
      <c r="AX3" s="1">
        <v>44</v>
      </c>
      <c r="AY3" s="1" t="s">
        <v>1507</v>
      </c>
      <c r="AZ3" s="1" t="s">
        <v>1507</v>
      </c>
      <c r="BA3" s="1" t="s">
        <v>1507</v>
      </c>
      <c r="BB3" s="1" t="s">
        <v>1507</v>
      </c>
      <c r="BC3" s="1" t="s">
        <v>1507</v>
      </c>
      <c r="BD3" s="1" t="s">
        <v>1507</v>
      </c>
      <c r="BE3" s="1" t="s">
        <v>14178</v>
      </c>
      <c r="BF3" s="1" t="s">
        <v>14179</v>
      </c>
      <c r="BG3" s="1" t="str">
        <f>HYPERLINK("http://dx.doi.org/10.1073/pnas.2313790120","http://dx.doi.org/10.1073/pnas.2313790120")</f>
        <v>http://dx.doi.org/10.1073/pnas.2313790120</v>
      </c>
      <c r="BH3" s="1" t="s">
        <v>1507</v>
      </c>
      <c r="BI3" s="1" t="s">
        <v>1507</v>
      </c>
      <c r="BJ3" s="1">
        <v>5</v>
      </c>
      <c r="BK3" s="1" t="s">
        <v>1776</v>
      </c>
      <c r="BL3" s="1" t="s">
        <v>1573</v>
      </c>
      <c r="BM3" s="1" t="s">
        <v>1777</v>
      </c>
      <c r="BN3" s="1" t="s">
        <v>14180</v>
      </c>
      <c r="BO3" s="1">
        <v>37883432</v>
      </c>
      <c r="BP3" s="1" t="s">
        <v>2574</v>
      </c>
      <c r="BQ3" s="1" t="s">
        <v>1507</v>
      </c>
      <c r="BR3" s="1" t="s">
        <v>1507</v>
      </c>
      <c r="BS3" s="1" t="s">
        <v>13744</v>
      </c>
      <c r="BT3" s="1" t="s">
        <v>14181</v>
      </c>
      <c r="BU3" s="1" t="str">
        <f>HYPERLINK("https%3A%2F%2Fwww.webofscience.com%2Fwos%2Fwoscc%2Ffull-record%2FWOS:001127129700010","View Full Record in Web of Science")</f>
        <v>View Full Record in Web of Science</v>
      </c>
    </row>
    <row r="4" spans="1:73" x14ac:dyDescent="0.25">
      <c r="A4" s="1">
        <v>3</v>
      </c>
      <c r="B4" s="1" t="s">
        <v>1506</v>
      </c>
      <c r="C4" s="1" t="s">
        <v>11225</v>
      </c>
      <c r="D4" s="1" t="s">
        <v>1507</v>
      </c>
      <c r="E4" s="1" t="s">
        <v>1507</v>
      </c>
      <c r="F4" s="1" t="s">
        <v>1507</v>
      </c>
      <c r="G4" s="1" t="s">
        <v>11226</v>
      </c>
      <c r="H4" s="1" t="s">
        <v>1507</v>
      </c>
      <c r="I4" s="1" t="s">
        <v>1507</v>
      </c>
      <c r="J4" s="1" t="s">
        <v>11227</v>
      </c>
      <c r="K4" s="1" t="s">
        <v>11228</v>
      </c>
      <c r="L4" s="1" t="s">
        <v>1507</v>
      </c>
      <c r="M4" s="1" t="s">
        <v>1507</v>
      </c>
      <c r="N4" s="1" t="s">
        <v>42</v>
      </c>
      <c r="O4" s="1" t="s">
        <v>56</v>
      </c>
      <c r="P4" s="1" t="s">
        <v>1507</v>
      </c>
      <c r="Q4" s="1" t="s">
        <v>1507</v>
      </c>
      <c r="R4" s="1" t="s">
        <v>1507</v>
      </c>
      <c r="S4" s="1" t="s">
        <v>1507</v>
      </c>
      <c r="T4" s="1" t="s">
        <v>1507</v>
      </c>
      <c r="U4" s="1" t="s">
        <v>1507</v>
      </c>
      <c r="V4" s="1" t="s">
        <v>1507</v>
      </c>
      <c r="W4" s="1" t="s">
        <v>11229</v>
      </c>
      <c r="X4" s="1" t="s">
        <v>11230</v>
      </c>
      <c r="Y4" s="1" t="s">
        <v>11231</v>
      </c>
      <c r="Z4" s="1" t="s">
        <v>11232</v>
      </c>
      <c r="AA4" s="1" t="s">
        <v>1507</v>
      </c>
      <c r="AB4" s="1" t="s">
        <v>1507</v>
      </c>
      <c r="AC4" s="1" t="s">
        <v>1507</v>
      </c>
      <c r="AD4" s="1" t="s">
        <v>11233</v>
      </c>
      <c r="AE4" s="1" t="s">
        <v>11234</v>
      </c>
      <c r="AF4" s="1" t="s">
        <v>11235</v>
      </c>
      <c r="AG4" s="1" t="s">
        <v>1507</v>
      </c>
      <c r="AH4" s="1">
        <v>22</v>
      </c>
      <c r="AI4" s="1">
        <v>1</v>
      </c>
      <c r="AJ4" s="1">
        <v>1</v>
      </c>
      <c r="AK4" s="1">
        <v>0</v>
      </c>
      <c r="AL4" s="1">
        <v>2</v>
      </c>
      <c r="AM4" s="1" t="s">
        <v>11236</v>
      </c>
      <c r="AN4" s="1" t="s">
        <v>11237</v>
      </c>
      <c r="AO4" s="1" t="s">
        <v>11238</v>
      </c>
      <c r="AP4" s="1" t="s">
        <v>11239</v>
      </c>
      <c r="AQ4" s="1" t="s">
        <v>1507</v>
      </c>
      <c r="AR4" s="1" t="s">
        <v>1507</v>
      </c>
      <c r="AS4" s="1" t="s">
        <v>11240</v>
      </c>
      <c r="AT4" s="1" t="s">
        <v>11241</v>
      </c>
      <c r="AU4" s="1" t="s">
        <v>1507</v>
      </c>
      <c r="AV4" s="1">
        <v>2019</v>
      </c>
      <c r="AW4" s="1">
        <v>12</v>
      </c>
      <c r="AX4" s="1">
        <v>2</v>
      </c>
      <c r="AY4" s="1" t="s">
        <v>1507</v>
      </c>
      <c r="AZ4" s="1" t="s">
        <v>1507</v>
      </c>
      <c r="BA4" s="1" t="s">
        <v>1507</v>
      </c>
      <c r="BB4" s="1" t="s">
        <v>1507</v>
      </c>
      <c r="BC4" s="1">
        <v>205</v>
      </c>
      <c r="BD4" s="1">
        <v>226</v>
      </c>
      <c r="BE4" s="1" t="s">
        <v>1507</v>
      </c>
      <c r="BF4" s="1" t="s">
        <v>1507</v>
      </c>
      <c r="BG4" s="1" t="s">
        <v>1507</v>
      </c>
      <c r="BH4" s="1" t="s">
        <v>1507</v>
      </c>
      <c r="BI4" s="1" t="s">
        <v>1507</v>
      </c>
      <c r="BJ4" s="1">
        <v>22</v>
      </c>
      <c r="BK4" s="1" t="s">
        <v>1535</v>
      </c>
      <c r="BL4" s="1" t="s">
        <v>1529</v>
      </c>
      <c r="BM4" s="1" t="s">
        <v>1536</v>
      </c>
      <c r="BN4" s="1" t="s">
        <v>11242</v>
      </c>
      <c r="BO4" s="1" t="s">
        <v>1507</v>
      </c>
      <c r="BP4" s="1" t="s">
        <v>1507</v>
      </c>
      <c r="BQ4" s="1" t="s">
        <v>1507</v>
      </c>
      <c r="BR4" s="1" t="s">
        <v>1507</v>
      </c>
      <c r="BS4" s="1" t="s">
        <v>13744</v>
      </c>
      <c r="BT4" s="1" t="s">
        <v>11243</v>
      </c>
      <c r="BU4" s="1" t="str">
        <f>HYPERLINK("https%3A%2F%2Fwww.webofscience.com%2Fwos%2Fwoscc%2Ffull-record%2FWOS:000482757900002","View Full Record in Web of Science")</f>
        <v>View Full Record in Web of Science</v>
      </c>
    </row>
    <row r="5" spans="1:73" x14ac:dyDescent="0.25">
      <c r="A5" s="1">
        <v>4</v>
      </c>
      <c r="B5" s="1" t="s">
        <v>1506</v>
      </c>
      <c r="C5" s="1" t="s">
        <v>1866</v>
      </c>
      <c r="D5" s="1" t="s">
        <v>1507</v>
      </c>
      <c r="E5" s="1" t="s">
        <v>1507</v>
      </c>
      <c r="F5" s="1" t="s">
        <v>1507</v>
      </c>
      <c r="G5" s="1" t="s">
        <v>1867</v>
      </c>
      <c r="H5" s="1" t="s">
        <v>1507</v>
      </c>
      <c r="I5" s="1" t="s">
        <v>1507</v>
      </c>
      <c r="J5" s="1" t="s">
        <v>1868</v>
      </c>
      <c r="K5" s="1" t="s">
        <v>1869</v>
      </c>
      <c r="L5" s="1" t="s">
        <v>1507</v>
      </c>
      <c r="M5" s="1" t="s">
        <v>1507</v>
      </c>
      <c r="N5" s="1" t="s">
        <v>42</v>
      </c>
      <c r="O5" s="1" t="s">
        <v>56</v>
      </c>
      <c r="P5" s="1" t="s">
        <v>1507</v>
      </c>
      <c r="Q5" s="1" t="s">
        <v>1507</v>
      </c>
      <c r="R5" s="1" t="s">
        <v>1507</v>
      </c>
      <c r="S5" s="1" t="s">
        <v>1507</v>
      </c>
      <c r="T5" s="1" t="s">
        <v>1507</v>
      </c>
      <c r="U5" s="1" t="s">
        <v>1507</v>
      </c>
      <c r="V5" s="1" t="s">
        <v>1507</v>
      </c>
      <c r="W5" s="1" t="s">
        <v>1870</v>
      </c>
      <c r="X5" s="1" t="s">
        <v>1871</v>
      </c>
      <c r="Y5" s="1" t="s">
        <v>1872</v>
      </c>
      <c r="Z5" s="1" t="s">
        <v>1873</v>
      </c>
      <c r="AA5" s="1" t="s">
        <v>1874</v>
      </c>
      <c r="AB5" s="1" t="s">
        <v>1507</v>
      </c>
      <c r="AC5" s="1" t="s">
        <v>1875</v>
      </c>
      <c r="AD5" s="1" t="s">
        <v>1876</v>
      </c>
      <c r="AE5" s="1" t="s">
        <v>1877</v>
      </c>
      <c r="AF5" s="1" t="s">
        <v>1878</v>
      </c>
      <c r="AG5" s="1" t="s">
        <v>1507</v>
      </c>
      <c r="AH5" s="1">
        <v>37</v>
      </c>
      <c r="AI5" s="1">
        <v>0</v>
      </c>
      <c r="AJ5" s="1">
        <v>0</v>
      </c>
      <c r="AK5" s="1">
        <v>1</v>
      </c>
      <c r="AL5" s="1">
        <v>1</v>
      </c>
      <c r="AM5" s="1" t="s">
        <v>1591</v>
      </c>
      <c r="AN5" s="1" t="s">
        <v>1592</v>
      </c>
      <c r="AO5" s="1" t="s">
        <v>1593</v>
      </c>
      <c r="AP5" s="1" t="s">
        <v>1507</v>
      </c>
      <c r="AQ5" s="1" t="s">
        <v>1879</v>
      </c>
      <c r="AR5" s="1" t="s">
        <v>1507</v>
      </c>
      <c r="AS5" s="1" t="s">
        <v>1880</v>
      </c>
      <c r="AT5" s="1" t="s">
        <v>1881</v>
      </c>
      <c r="AU5" s="1" t="s">
        <v>1882</v>
      </c>
      <c r="AV5" s="1">
        <v>2023</v>
      </c>
      <c r="AW5" s="1">
        <v>9</v>
      </c>
      <c r="AX5" s="1">
        <v>1</v>
      </c>
      <c r="AY5" s="1" t="s">
        <v>1507</v>
      </c>
      <c r="AZ5" s="1" t="s">
        <v>1507</v>
      </c>
      <c r="BA5" s="1" t="s">
        <v>1507</v>
      </c>
      <c r="BB5" s="1" t="s">
        <v>1507</v>
      </c>
      <c r="BC5" s="1" t="s">
        <v>1507</v>
      </c>
      <c r="BD5" s="1" t="s">
        <v>1507</v>
      </c>
      <c r="BE5" s="1">
        <v>63</v>
      </c>
      <c r="BF5" s="1" t="s">
        <v>1883</v>
      </c>
      <c r="BG5" s="1" t="str">
        <f>HYPERLINK("http://dx.doi.org/10.1038/s41540-023-00324-2","http://dx.doi.org/10.1038/s41540-023-00324-2")</f>
        <v>http://dx.doi.org/10.1038/s41540-023-00324-2</v>
      </c>
      <c r="BH5" s="1" t="s">
        <v>1507</v>
      </c>
      <c r="BI5" s="1" t="s">
        <v>1507</v>
      </c>
      <c r="BJ5" s="1">
        <v>9</v>
      </c>
      <c r="BK5" s="1" t="s">
        <v>1884</v>
      </c>
      <c r="BL5" s="1" t="s">
        <v>1573</v>
      </c>
      <c r="BM5" s="1" t="s">
        <v>1884</v>
      </c>
      <c r="BN5" s="1" t="s">
        <v>1885</v>
      </c>
      <c r="BO5" s="1">
        <v>38110446</v>
      </c>
      <c r="BP5" s="1" t="s">
        <v>1507</v>
      </c>
      <c r="BQ5" s="1" t="s">
        <v>1507</v>
      </c>
      <c r="BR5" s="1" t="s">
        <v>1507</v>
      </c>
      <c r="BS5" s="1" t="s">
        <v>13744</v>
      </c>
      <c r="BT5" s="1" t="s">
        <v>1886</v>
      </c>
      <c r="BU5" s="1" t="str">
        <f>HYPERLINK("https%3A%2F%2Fwww.webofscience.com%2Fwos%2Fwoscc%2Ffull-record%2FWOS:001127253400001","View Full Record in Web of Science")</f>
        <v>View Full Record in Web of Science</v>
      </c>
    </row>
    <row r="6" spans="1:73" x14ac:dyDescent="0.25">
      <c r="A6" s="1">
        <v>5</v>
      </c>
      <c r="B6" s="1" t="s">
        <v>1506</v>
      </c>
      <c r="C6" s="1" t="s">
        <v>5031</v>
      </c>
      <c r="D6" s="1" t="s">
        <v>1507</v>
      </c>
      <c r="E6" s="1" t="s">
        <v>1507</v>
      </c>
      <c r="F6" s="1" t="s">
        <v>1507</v>
      </c>
      <c r="G6" s="1" t="s">
        <v>5032</v>
      </c>
      <c r="H6" s="1" t="s">
        <v>1507</v>
      </c>
      <c r="I6" s="1" t="s">
        <v>1507</v>
      </c>
      <c r="J6" s="1" t="s">
        <v>5033</v>
      </c>
      <c r="K6" s="1" t="s">
        <v>5034</v>
      </c>
      <c r="L6" s="1" t="s">
        <v>1507</v>
      </c>
      <c r="M6" s="1" t="s">
        <v>1507</v>
      </c>
      <c r="N6" s="1" t="s">
        <v>42</v>
      </c>
      <c r="O6" s="1" t="s">
        <v>56</v>
      </c>
      <c r="P6" s="1" t="s">
        <v>1507</v>
      </c>
      <c r="Q6" s="1" t="s">
        <v>1507</v>
      </c>
      <c r="R6" s="1" t="s">
        <v>1507</v>
      </c>
      <c r="S6" s="1" t="s">
        <v>1507</v>
      </c>
      <c r="T6" s="1" t="s">
        <v>1507</v>
      </c>
      <c r="U6" s="1" t="s">
        <v>1507</v>
      </c>
      <c r="V6" s="1" t="s">
        <v>5035</v>
      </c>
      <c r="W6" s="1" t="s">
        <v>1507</v>
      </c>
      <c r="X6" s="1" t="s">
        <v>5036</v>
      </c>
      <c r="Y6" s="1" t="s">
        <v>5037</v>
      </c>
      <c r="Z6" s="1" t="s">
        <v>5038</v>
      </c>
      <c r="AA6" s="1" t="s">
        <v>1507</v>
      </c>
      <c r="AB6" s="1" t="s">
        <v>1507</v>
      </c>
      <c r="AC6" s="1" t="s">
        <v>1507</v>
      </c>
      <c r="AD6" s="1" t="s">
        <v>5039</v>
      </c>
      <c r="AE6" s="1" t="s">
        <v>5039</v>
      </c>
      <c r="AF6" s="1" t="s">
        <v>5040</v>
      </c>
      <c r="AG6" s="1" t="s">
        <v>1507</v>
      </c>
      <c r="AH6" s="1">
        <v>49</v>
      </c>
      <c r="AI6" s="1">
        <v>0</v>
      </c>
      <c r="AJ6" s="1">
        <v>0</v>
      </c>
      <c r="AK6" s="1">
        <v>0</v>
      </c>
      <c r="AL6" s="1">
        <v>0</v>
      </c>
      <c r="AM6" s="1" t="s">
        <v>3500</v>
      </c>
      <c r="AN6" s="1" t="s">
        <v>3501</v>
      </c>
      <c r="AO6" s="1" t="s">
        <v>3502</v>
      </c>
      <c r="AP6" s="1" t="s">
        <v>5041</v>
      </c>
      <c r="AQ6" s="1" t="s">
        <v>5042</v>
      </c>
      <c r="AR6" s="1" t="s">
        <v>1507</v>
      </c>
      <c r="AS6" s="1" t="s">
        <v>5043</v>
      </c>
      <c r="AT6" s="1" t="s">
        <v>5044</v>
      </c>
      <c r="AU6" s="1" t="s">
        <v>5045</v>
      </c>
      <c r="AV6" s="1">
        <v>2023</v>
      </c>
      <c r="AW6" s="1">
        <v>31</v>
      </c>
      <c r="AX6" s="1">
        <v>2</v>
      </c>
      <c r="AY6" s="1" t="s">
        <v>1507</v>
      </c>
      <c r="AZ6" s="1" t="s">
        <v>1507</v>
      </c>
      <c r="BA6" s="1" t="s">
        <v>1507</v>
      </c>
      <c r="BB6" s="1" t="s">
        <v>1507</v>
      </c>
      <c r="BC6" s="1">
        <v>153</v>
      </c>
      <c r="BD6" s="1">
        <v>175</v>
      </c>
      <c r="BE6" s="1" t="s">
        <v>1507</v>
      </c>
      <c r="BF6" s="1" t="s">
        <v>5046</v>
      </c>
      <c r="BG6" s="1" t="str">
        <f>HYPERLINK("http://dx.doi.org/10.3366/ajicl.2023.0441","http://dx.doi.org/10.3366/ajicl.2023.0441")</f>
        <v>http://dx.doi.org/10.3366/ajicl.2023.0441</v>
      </c>
      <c r="BH6" s="1" t="s">
        <v>1507</v>
      </c>
      <c r="BI6" s="1" t="s">
        <v>1507</v>
      </c>
      <c r="BJ6" s="1">
        <v>23</v>
      </c>
      <c r="BK6" s="1" t="s">
        <v>1535</v>
      </c>
      <c r="BL6" s="1" t="s">
        <v>1529</v>
      </c>
      <c r="BM6" s="1" t="s">
        <v>1536</v>
      </c>
      <c r="BN6" s="1" t="s">
        <v>5047</v>
      </c>
      <c r="BO6" s="1" t="s">
        <v>1507</v>
      </c>
      <c r="BP6" s="1" t="s">
        <v>1507</v>
      </c>
      <c r="BQ6" s="1" t="s">
        <v>1507</v>
      </c>
      <c r="BR6" s="1" t="s">
        <v>1507</v>
      </c>
      <c r="BS6" s="1" t="s">
        <v>13744</v>
      </c>
      <c r="BT6" s="1" t="s">
        <v>5048</v>
      </c>
      <c r="BU6" s="1" t="str">
        <f>HYPERLINK("https%3A%2F%2Fwww.webofscience.com%2Fwos%2Fwoscc%2Ffull-record%2FWOS:001021931900002","View Full Record in Web of Science")</f>
        <v>View Full Record in Web of Science</v>
      </c>
    </row>
    <row r="7" spans="1:73" x14ac:dyDescent="0.25">
      <c r="A7" s="1">
        <v>7</v>
      </c>
      <c r="B7" s="1" t="s">
        <v>1506</v>
      </c>
      <c r="C7" s="1" t="s">
        <v>4611</v>
      </c>
      <c r="D7" s="1" t="s">
        <v>1507</v>
      </c>
      <c r="E7" s="1" t="s">
        <v>1507</v>
      </c>
      <c r="F7" s="1" t="s">
        <v>1507</v>
      </c>
      <c r="G7" s="1" t="s">
        <v>4612</v>
      </c>
      <c r="H7" s="1" t="s">
        <v>1507</v>
      </c>
      <c r="I7" s="1" t="s">
        <v>1507</v>
      </c>
      <c r="J7" s="1" t="s">
        <v>4613</v>
      </c>
      <c r="K7" s="1" t="s">
        <v>4614</v>
      </c>
      <c r="L7" s="1" t="s">
        <v>1507</v>
      </c>
      <c r="M7" s="1" t="s">
        <v>1507</v>
      </c>
      <c r="N7" s="1" t="s">
        <v>42</v>
      </c>
      <c r="O7" s="1" t="s">
        <v>56</v>
      </c>
      <c r="P7" s="1" t="s">
        <v>1507</v>
      </c>
      <c r="Q7" s="1" t="s">
        <v>1507</v>
      </c>
      <c r="R7" s="1" t="s">
        <v>1507</v>
      </c>
      <c r="S7" s="1" t="s">
        <v>1507</v>
      </c>
      <c r="T7" s="1" t="s">
        <v>1507</v>
      </c>
      <c r="U7" s="1" t="s">
        <v>4615</v>
      </c>
      <c r="V7" s="1" t="s">
        <v>4616</v>
      </c>
      <c r="W7" s="1" t="s">
        <v>4617</v>
      </c>
      <c r="X7" s="1" t="s">
        <v>4618</v>
      </c>
      <c r="Y7" s="1" t="s">
        <v>4619</v>
      </c>
      <c r="Z7" s="1" t="s">
        <v>4620</v>
      </c>
      <c r="AA7" s="1" t="s">
        <v>4621</v>
      </c>
      <c r="AB7" s="1" t="s">
        <v>14653</v>
      </c>
      <c r="AC7" s="1" t="s">
        <v>14654</v>
      </c>
      <c r="AD7" s="1" t="s">
        <v>4622</v>
      </c>
      <c r="AE7" s="1" t="s">
        <v>4623</v>
      </c>
      <c r="AF7" s="1" t="s">
        <v>4624</v>
      </c>
      <c r="AG7" s="1" t="s">
        <v>1507</v>
      </c>
      <c r="AH7" s="1">
        <v>93</v>
      </c>
      <c r="AI7" s="1">
        <v>2</v>
      </c>
      <c r="AJ7" s="1">
        <v>2</v>
      </c>
      <c r="AK7" s="1">
        <v>5</v>
      </c>
      <c r="AL7" s="1">
        <v>5</v>
      </c>
      <c r="AM7" s="1" t="s">
        <v>1511</v>
      </c>
      <c r="AN7" s="1" t="s">
        <v>1512</v>
      </c>
      <c r="AO7" s="1" t="s">
        <v>1513</v>
      </c>
      <c r="AP7" s="1" t="s">
        <v>4625</v>
      </c>
      <c r="AQ7" s="1" t="s">
        <v>4626</v>
      </c>
      <c r="AR7" s="1" t="s">
        <v>1507</v>
      </c>
      <c r="AS7" s="1" t="s">
        <v>4627</v>
      </c>
      <c r="AT7" s="1" t="s">
        <v>4628</v>
      </c>
      <c r="AU7" s="1" t="s">
        <v>4556</v>
      </c>
      <c r="AV7" s="1">
        <v>2023</v>
      </c>
      <c r="AW7" s="1">
        <v>15</v>
      </c>
      <c r="AX7" s="1">
        <v>4</v>
      </c>
      <c r="AY7" s="1" t="s">
        <v>1507</v>
      </c>
      <c r="AZ7" s="1" t="s">
        <v>1507</v>
      </c>
      <c r="BA7" s="1" t="s">
        <v>1507</v>
      </c>
      <c r="BB7" s="1" t="s">
        <v>1507</v>
      </c>
      <c r="BC7" s="1">
        <v>1391</v>
      </c>
      <c r="BD7" s="1">
        <v>1406</v>
      </c>
      <c r="BE7" s="1" t="s">
        <v>1507</v>
      </c>
      <c r="BF7" s="1" t="s">
        <v>4629</v>
      </c>
      <c r="BG7" s="1" t="str">
        <f>HYPERLINK("http://dx.doi.org/10.1007/s12559-023-10165-0","http://dx.doi.org/10.1007/s12559-023-10165-0")</f>
        <v>http://dx.doi.org/10.1007/s12559-023-10165-0</v>
      </c>
      <c r="BH7" s="1" t="s">
        <v>1507</v>
      </c>
      <c r="BI7" s="1" t="s">
        <v>4630</v>
      </c>
      <c r="BJ7" s="1">
        <v>16</v>
      </c>
      <c r="BK7" s="1" t="s">
        <v>4631</v>
      </c>
      <c r="BL7" s="1" t="s">
        <v>1573</v>
      </c>
      <c r="BM7" s="1" t="s">
        <v>4632</v>
      </c>
      <c r="BN7" s="1" t="s">
        <v>4633</v>
      </c>
      <c r="BO7" s="1" t="s">
        <v>1507</v>
      </c>
      <c r="BP7" s="1" t="s">
        <v>1507</v>
      </c>
      <c r="BQ7" s="1" t="s">
        <v>1507</v>
      </c>
      <c r="BR7" s="1" t="s">
        <v>1507</v>
      </c>
      <c r="BS7" s="1" t="s">
        <v>13744</v>
      </c>
      <c r="BT7" s="1" t="s">
        <v>4634</v>
      </c>
      <c r="BU7" s="1" t="str">
        <f>HYPERLINK("https%3A%2F%2Fwww.webofscience.com%2Fwos%2Fwoscc%2Ffull-record%2FWOS:001020154100001","View Full Record in Web of Science")</f>
        <v>View Full Record in Web of Science</v>
      </c>
    </row>
    <row r="8" spans="1:73" x14ac:dyDescent="0.25">
      <c r="A8" s="1">
        <v>8</v>
      </c>
      <c r="B8" s="1" t="s">
        <v>5546</v>
      </c>
      <c r="C8" s="1" t="s">
        <v>5547</v>
      </c>
      <c r="D8" s="1" t="s">
        <v>1507</v>
      </c>
      <c r="E8" s="1" t="s">
        <v>1507</v>
      </c>
      <c r="F8" s="1" t="s">
        <v>5548</v>
      </c>
      <c r="G8" s="1" t="s">
        <v>5549</v>
      </c>
      <c r="H8" s="1" t="s">
        <v>1507</v>
      </c>
      <c r="I8" s="1" t="s">
        <v>1507</v>
      </c>
      <c r="J8" s="1" t="s">
        <v>5550</v>
      </c>
      <c r="K8" s="1" t="s">
        <v>5551</v>
      </c>
      <c r="L8" s="1" t="s">
        <v>1507</v>
      </c>
      <c r="M8" s="1" t="s">
        <v>1507</v>
      </c>
      <c r="N8" s="1" t="s">
        <v>42</v>
      </c>
      <c r="O8" s="1" t="s">
        <v>5552</v>
      </c>
      <c r="P8" s="1" t="s">
        <v>5553</v>
      </c>
      <c r="Q8" s="1" t="s">
        <v>5554</v>
      </c>
      <c r="R8" s="1" t="s">
        <v>5555</v>
      </c>
      <c r="S8" s="1" t="s">
        <v>1507</v>
      </c>
      <c r="T8" s="1" t="s">
        <v>1507</v>
      </c>
      <c r="U8" s="1" t="s">
        <v>5556</v>
      </c>
      <c r="V8" s="1" t="s">
        <v>1507</v>
      </c>
      <c r="W8" s="1" t="s">
        <v>5557</v>
      </c>
      <c r="X8" s="1" t="s">
        <v>5558</v>
      </c>
      <c r="Y8" s="1" t="s">
        <v>5559</v>
      </c>
      <c r="Z8" s="1" t="s">
        <v>5560</v>
      </c>
      <c r="AA8" s="1" t="s">
        <v>5561</v>
      </c>
      <c r="AB8" s="1" t="s">
        <v>1507</v>
      </c>
      <c r="AC8" s="1" t="s">
        <v>14818</v>
      </c>
      <c r="AD8" s="1" t="s">
        <v>5562</v>
      </c>
      <c r="AE8" s="1" t="s">
        <v>5563</v>
      </c>
      <c r="AF8" s="1" t="s">
        <v>5564</v>
      </c>
      <c r="AG8" s="1" t="s">
        <v>1507</v>
      </c>
      <c r="AH8" s="1">
        <v>19</v>
      </c>
      <c r="AI8" s="1">
        <v>6</v>
      </c>
      <c r="AJ8" s="1">
        <v>8</v>
      </c>
      <c r="AK8" s="1">
        <v>7</v>
      </c>
      <c r="AL8" s="1">
        <v>7</v>
      </c>
      <c r="AM8" s="1" t="s">
        <v>5565</v>
      </c>
      <c r="AN8" s="1" t="s">
        <v>1512</v>
      </c>
      <c r="AO8" s="1" t="s">
        <v>5566</v>
      </c>
      <c r="AP8" s="1" t="s">
        <v>1507</v>
      </c>
      <c r="AQ8" s="1" t="s">
        <v>1507</v>
      </c>
      <c r="AR8" s="1" t="s">
        <v>5567</v>
      </c>
      <c r="AS8" s="1" t="s">
        <v>1507</v>
      </c>
      <c r="AT8" s="1" t="s">
        <v>1507</v>
      </c>
      <c r="AU8" s="1" t="s">
        <v>1507</v>
      </c>
      <c r="AV8" s="1">
        <v>2023</v>
      </c>
      <c r="AW8" s="1" t="s">
        <v>1507</v>
      </c>
      <c r="AX8" s="1" t="s">
        <v>1507</v>
      </c>
      <c r="AY8" s="1" t="s">
        <v>1507</v>
      </c>
      <c r="AZ8" s="1" t="s">
        <v>1507</v>
      </c>
      <c r="BA8" s="1" t="s">
        <v>1507</v>
      </c>
      <c r="BB8" s="1" t="s">
        <v>1507</v>
      </c>
      <c r="BC8" s="1">
        <v>279</v>
      </c>
      <c r="BD8" s="1">
        <v>285</v>
      </c>
      <c r="BE8" s="1" t="s">
        <v>1507</v>
      </c>
      <c r="BF8" s="1" t="s">
        <v>5568</v>
      </c>
      <c r="BG8" s="1" t="str">
        <f>HYPERLINK("http://dx.doi.org/10.1145/3593434.3593468","http://dx.doi.org/10.1145/3593434.3593468")</f>
        <v>http://dx.doi.org/10.1145/3593434.3593468</v>
      </c>
      <c r="BH8" s="1" t="s">
        <v>1507</v>
      </c>
      <c r="BI8" s="1" t="s">
        <v>1507</v>
      </c>
      <c r="BJ8" s="1">
        <v>7</v>
      </c>
      <c r="BK8" s="1" t="s">
        <v>5569</v>
      </c>
      <c r="BL8" s="1" t="s">
        <v>5570</v>
      </c>
      <c r="BM8" s="1" t="s">
        <v>1577</v>
      </c>
      <c r="BN8" s="1" t="s">
        <v>5571</v>
      </c>
      <c r="BO8" s="1" t="s">
        <v>1507</v>
      </c>
      <c r="BP8" s="1" t="s">
        <v>9343</v>
      </c>
      <c r="BQ8" s="1" t="s">
        <v>1507</v>
      </c>
      <c r="BR8" s="1" t="s">
        <v>1507</v>
      </c>
      <c r="BS8" s="1" t="s">
        <v>13744</v>
      </c>
      <c r="BT8" s="1" t="s">
        <v>5572</v>
      </c>
      <c r="BU8" s="1" t="str">
        <f>HYPERLINK("https%3A%2F%2Fwww.webofscience.com%2Fwos%2Fwoscc%2Ffull-record%2FWOS:001112128800039","View Full Record in Web of Science")</f>
        <v>View Full Record in Web of Science</v>
      </c>
    </row>
    <row r="9" spans="1:73" x14ac:dyDescent="0.25">
      <c r="A9" s="1">
        <v>9</v>
      </c>
      <c r="B9" s="1" t="s">
        <v>1506</v>
      </c>
      <c r="C9" s="1" t="s">
        <v>7626</v>
      </c>
      <c r="D9" s="1" t="s">
        <v>1507</v>
      </c>
      <c r="E9" s="1" t="s">
        <v>1507</v>
      </c>
      <c r="F9" s="1" t="s">
        <v>1507</v>
      </c>
      <c r="G9" s="1" t="s">
        <v>7627</v>
      </c>
      <c r="H9" s="1" t="s">
        <v>1507</v>
      </c>
      <c r="I9" s="1" t="s">
        <v>1507</v>
      </c>
      <c r="J9" s="1" t="s">
        <v>7628</v>
      </c>
      <c r="K9" s="1" t="s">
        <v>7629</v>
      </c>
      <c r="L9" s="1" t="s">
        <v>1507</v>
      </c>
      <c r="M9" s="1" t="s">
        <v>1507</v>
      </c>
      <c r="N9" s="1" t="s">
        <v>42</v>
      </c>
      <c r="O9" s="1" t="s">
        <v>56</v>
      </c>
      <c r="P9" s="1" t="s">
        <v>1507</v>
      </c>
      <c r="Q9" s="1" t="s">
        <v>1507</v>
      </c>
      <c r="R9" s="1" t="s">
        <v>1507</v>
      </c>
      <c r="S9" s="1" t="s">
        <v>1507</v>
      </c>
      <c r="T9" s="1" t="s">
        <v>1507</v>
      </c>
      <c r="U9" s="1" t="s">
        <v>7630</v>
      </c>
      <c r="V9" s="1" t="s">
        <v>7631</v>
      </c>
      <c r="W9" s="1" t="s">
        <v>7632</v>
      </c>
      <c r="X9" s="1" t="s">
        <v>7633</v>
      </c>
      <c r="Y9" s="1" t="s">
        <v>7634</v>
      </c>
      <c r="Z9" s="1" t="s">
        <v>7635</v>
      </c>
      <c r="AA9" s="1" t="s">
        <v>7636</v>
      </c>
      <c r="AB9" s="1" t="s">
        <v>15666</v>
      </c>
      <c r="AC9" s="1" t="s">
        <v>15667</v>
      </c>
      <c r="AD9" s="1" t="s">
        <v>7637</v>
      </c>
      <c r="AE9" s="1" t="s">
        <v>7637</v>
      </c>
      <c r="AF9" s="1" t="s">
        <v>7638</v>
      </c>
      <c r="AG9" s="1" t="s">
        <v>1507</v>
      </c>
      <c r="AH9" s="1">
        <v>35</v>
      </c>
      <c r="AI9" s="1">
        <v>4</v>
      </c>
      <c r="AJ9" s="1">
        <v>4</v>
      </c>
      <c r="AK9" s="1">
        <v>1</v>
      </c>
      <c r="AL9" s="1">
        <v>4</v>
      </c>
      <c r="AM9" s="1" t="s">
        <v>1532</v>
      </c>
      <c r="AN9" s="1" t="s">
        <v>1533</v>
      </c>
      <c r="AO9" s="1" t="s">
        <v>1534</v>
      </c>
      <c r="AP9" s="1" t="s">
        <v>7639</v>
      </c>
      <c r="AQ9" s="1" t="s">
        <v>7640</v>
      </c>
      <c r="AR9" s="1" t="s">
        <v>1507</v>
      </c>
      <c r="AS9" s="1" t="s">
        <v>7641</v>
      </c>
      <c r="AT9" s="1" t="s">
        <v>7642</v>
      </c>
      <c r="AU9" s="1" t="s">
        <v>3992</v>
      </c>
      <c r="AV9" s="1">
        <v>2022</v>
      </c>
      <c r="AW9" s="1">
        <v>8</v>
      </c>
      <c r="AX9" s="1">
        <v>3</v>
      </c>
      <c r="AY9" s="1" t="s">
        <v>1507</v>
      </c>
      <c r="AZ9" s="1" t="s">
        <v>1507</v>
      </c>
      <c r="BA9" s="1" t="s">
        <v>1507</v>
      </c>
      <c r="BB9" s="1" t="s">
        <v>1507</v>
      </c>
      <c r="BC9" s="1">
        <v>4075</v>
      </c>
      <c r="BD9" s="1">
        <v>4091</v>
      </c>
      <c r="BE9" s="1" t="s">
        <v>1507</v>
      </c>
      <c r="BF9" s="1" t="s">
        <v>7643</v>
      </c>
      <c r="BG9" s="1" t="str">
        <f>HYPERLINK("http://dx.doi.org/10.1007/s40808-021-01292-4","http://dx.doi.org/10.1007/s40808-021-01292-4")</f>
        <v>http://dx.doi.org/10.1007/s40808-021-01292-4</v>
      </c>
      <c r="BH9" s="1" t="s">
        <v>1507</v>
      </c>
      <c r="BI9" s="1" t="s">
        <v>7623</v>
      </c>
      <c r="BJ9" s="1">
        <v>17</v>
      </c>
      <c r="BK9" s="1" t="s">
        <v>7038</v>
      </c>
      <c r="BL9" s="1" t="s">
        <v>1529</v>
      </c>
      <c r="BM9" s="1" t="s">
        <v>1839</v>
      </c>
      <c r="BN9" s="1" t="s">
        <v>7644</v>
      </c>
      <c r="BO9" s="1" t="s">
        <v>1507</v>
      </c>
      <c r="BP9" s="1" t="s">
        <v>1507</v>
      </c>
      <c r="BQ9" s="1" t="s">
        <v>1507</v>
      </c>
      <c r="BR9" s="1" t="s">
        <v>1507</v>
      </c>
      <c r="BS9" s="1" t="s">
        <v>13744</v>
      </c>
      <c r="BT9" s="1" t="s">
        <v>7645</v>
      </c>
      <c r="BU9" s="1" t="str">
        <f>HYPERLINK("https%3A%2F%2Fwww.webofscience.com%2Fwos%2Fwoscc%2Ffull-record%2FWOS:000744438500001","View Full Record in Web of Science")</f>
        <v>View Full Record in Web of Science</v>
      </c>
    </row>
    <row r="10" spans="1:73" x14ac:dyDescent="0.25">
      <c r="A10" s="1">
        <v>10</v>
      </c>
      <c r="B10" s="1" t="s">
        <v>1506</v>
      </c>
      <c r="C10" s="1" t="s">
        <v>7510</v>
      </c>
      <c r="D10" s="1" t="s">
        <v>1507</v>
      </c>
      <c r="E10" s="1" t="s">
        <v>1507</v>
      </c>
      <c r="F10" s="1" t="s">
        <v>1507</v>
      </c>
      <c r="G10" s="1" t="s">
        <v>7511</v>
      </c>
      <c r="H10" s="1" t="s">
        <v>1507</v>
      </c>
      <c r="I10" s="1" t="s">
        <v>1507</v>
      </c>
      <c r="J10" s="1" t="s">
        <v>7512</v>
      </c>
      <c r="K10" s="1" t="s">
        <v>7513</v>
      </c>
      <c r="L10" s="1" t="s">
        <v>1507</v>
      </c>
      <c r="M10" s="1" t="s">
        <v>1507</v>
      </c>
      <c r="N10" s="1" t="s">
        <v>42</v>
      </c>
      <c r="O10" s="1" t="s">
        <v>56</v>
      </c>
      <c r="P10" s="1" t="s">
        <v>1507</v>
      </c>
      <c r="Q10" s="1" t="s">
        <v>1507</v>
      </c>
      <c r="R10" s="1" t="s">
        <v>1507</v>
      </c>
      <c r="S10" s="1" t="s">
        <v>1507</v>
      </c>
      <c r="T10" s="1" t="s">
        <v>1507</v>
      </c>
      <c r="U10" s="1" t="s">
        <v>1507</v>
      </c>
      <c r="V10" s="1" t="s">
        <v>1507</v>
      </c>
      <c r="W10" s="1" t="s">
        <v>7514</v>
      </c>
      <c r="X10" s="1" t="s">
        <v>7515</v>
      </c>
      <c r="Y10" s="1" t="s">
        <v>7516</v>
      </c>
      <c r="Z10" s="1" t="s">
        <v>7517</v>
      </c>
      <c r="AA10" s="1" t="s">
        <v>7518</v>
      </c>
      <c r="AB10" s="1" t="s">
        <v>7519</v>
      </c>
      <c r="AC10" s="1" t="s">
        <v>7520</v>
      </c>
      <c r="AD10" s="1" t="s">
        <v>7521</v>
      </c>
      <c r="AE10" s="1" t="s">
        <v>7522</v>
      </c>
      <c r="AF10" s="1" t="s">
        <v>7523</v>
      </c>
      <c r="AG10" s="1" t="s">
        <v>1507</v>
      </c>
      <c r="AH10" s="1">
        <v>28</v>
      </c>
      <c r="AI10" s="1">
        <v>4</v>
      </c>
      <c r="AJ10" s="1">
        <v>4</v>
      </c>
      <c r="AK10" s="1">
        <v>9</v>
      </c>
      <c r="AL10" s="1">
        <v>26</v>
      </c>
      <c r="AM10" s="1" t="s">
        <v>7524</v>
      </c>
      <c r="AN10" s="1" t="s">
        <v>7525</v>
      </c>
      <c r="AO10" s="1" t="s">
        <v>7526</v>
      </c>
      <c r="AP10" s="1" t="s">
        <v>7527</v>
      </c>
      <c r="AQ10" s="1" t="s">
        <v>7528</v>
      </c>
      <c r="AR10" s="1" t="s">
        <v>1507</v>
      </c>
      <c r="AS10" s="1" t="s">
        <v>7529</v>
      </c>
      <c r="AT10" s="1" t="s">
        <v>7530</v>
      </c>
      <c r="AU10" s="1" t="s">
        <v>5424</v>
      </c>
      <c r="AV10" s="1">
        <v>2022</v>
      </c>
      <c r="AW10" s="1">
        <v>131</v>
      </c>
      <c r="AX10" s="1">
        <v>6</v>
      </c>
      <c r="AY10" s="1" t="s">
        <v>1507</v>
      </c>
      <c r="AZ10" s="1" t="s">
        <v>1507</v>
      </c>
      <c r="BA10" s="1" t="s">
        <v>1507</v>
      </c>
      <c r="BB10" s="1" t="s">
        <v>1507</v>
      </c>
      <c r="BC10" s="1" t="s">
        <v>1507</v>
      </c>
      <c r="BD10" s="1" t="s">
        <v>1507</v>
      </c>
      <c r="BE10" s="1">
        <v>65103</v>
      </c>
      <c r="BF10" s="1" t="s">
        <v>7531</v>
      </c>
      <c r="BG10" s="1" t="str">
        <f>HYPERLINK("http://dx.doi.org/10.1063/5.0082085","http://dx.doi.org/10.1063/5.0082085")</f>
        <v>http://dx.doi.org/10.1063/5.0082085</v>
      </c>
      <c r="BH10" s="1" t="s">
        <v>1507</v>
      </c>
      <c r="BI10" s="1" t="s">
        <v>1507</v>
      </c>
      <c r="BJ10" s="1">
        <v>11</v>
      </c>
      <c r="BK10" s="1" t="s">
        <v>7532</v>
      </c>
      <c r="BL10" s="1" t="s">
        <v>1573</v>
      </c>
      <c r="BM10" s="1" t="s">
        <v>2104</v>
      </c>
      <c r="BN10" s="1" t="s">
        <v>7533</v>
      </c>
      <c r="BO10" s="1" t="s">
        <v>1507</v>
      </c>
      <c r="BP10" s="1" t="s">
        <v>1537</v>
      </c>
      <c r="BQ10" s="1" t="s">
        <v>1507</v>
      </c>
      <c r="BR10" s="1" t="s">
        <v>1507</v>
      </c>
      <c r="BS10" s="1" t="s">
        <v>13744</v>
      </c>
      <c r="BT10" s="1" t="s">
        <v>7534</v>
      </c>
      <c r="BU10" s="1" t="str">
        <f>HYPERLINK("https%3A%2F%2Fwww.webofscience.com%2Fwos%2Fwoscc%2Ffull-record%2FWOS:000755065500004","View Full Record in Web of Science")</f>
        <v>View Full Record in Web of Science</v>
      </c>
    </row>
    <row r="11" spans="1:73" x14ac:dyDescent="0.25">
      <c r="A11" s="1">
        <v>11</v>
      </c>
      <c r="B11" s="1" t="s">
        <v>1506</v>
      </c>
      <c r="C11" s="1" t="s">
        <v>3979</v>
      </c>
      <c r="D11" s="1" t="s">
        <v>1507</v>
      </c>
      <c r="E11" s="1" t="s">
        <v>1507</v>
      </c>
      <c r="F11" s="1" t="s">
        <v>1507</v>
      </c>
      <c r="G11" s="1" t="s">
        <v>3980</v>
      </c>
      <c r="H11" s="1" t="s">
        <v>1507</v>
      </c>
      <c r="I11" s="1" t="s">
        <v>1507</v>
      </c>
      <c r="J11" s="1" t="s">
        <v>3981</v>
      </c>
      <c r="K11" s="1" t="s">
        <v>3982</v>
      </c>
      <c r="L11" s="1" t="s">
        <v>1507</v>
      </c>
      <c r="M11" s="1" t="s">
        <v>1507</v>
      </c>
      <c r="N11" s="1" t="s">
        <v>42</v>
      </c>
      <c r="O11" s="1" t="s">
        <v>56</v>
      </c>
      <c r="P11" s="1" t="s">
        <v>1507</v>
      </c>
      <c r="Q11" s="1" t="s">
        <v>1507</v>
      </c>
      <c r="R11" s="1" t="s">
        <v>1507</v>
      </c>
      <c r="S11" s="1" t="s">
        <v>1507</v>
      </c>
      <c r="T11" s="1" t="s">
        <v>1507</v>
      </c>
      <c r="U11" s="1" t="s">
        <v>420</v>
      </c>
      <c r="V11" s="1" t="s">
        <v>1507</v>
      </c>
      <c r="W11" s="1" t="s">
        <v>3983</v>
      </c>
      <c r="X11" s="1" t="s">
        <v>3984</v>
      </c>
      <c r="Y11" s="1" t="s">
        <v>3985</v>
      </c>
      <c r="Z11" s="1" t="s">
        <v>3986</v>
      </c>
      <c r="AA11" s="1" t="s">
        <v>3987</v>
      </c>
      <c r="AB11" s="1" t="s">
        <v>1507</v>
      </c>
      <c r="AC11" s="1" t="s">
        <v>3988</v>
      </c>
      <c r="AD11" s="1" t="s">
        <v>3989</v>
      </c>
      <c r="AE11" s="1" t="s">
        <v>3989</v>
      </c>
      <c r="AF11" s="1" t="s">
        <v>3989</v>
      </c>
      <c r="AG11" s="1" t="s">
        <v>1507</v>
      </c>
      <c r="AH11" s="1">
        <v>40</v>
      </c>
      <c r="AI11" s="1">
        <v>3</v>
      </c>
      <c r="AJ11" s="1">
        <v>3</v>
      </c>
      <c r="AK11" s="1">
        <v>66</v>
      </c>
      <c r="AL11" s="1">
        <v>66</v>
      </c>
      <c r="AM11" s="1" t="s">
        <v>1610</v>
      </c>
      <c r="AN11" s="1" t="s">
        <v>1611</v>
      </c>
      <c r="AO11" s="1" t="s">
        <v>1612</v>
      </c>
      <c r="AP11" s="1" t="s">
        <v>1507</v>
      </c>
      <c r="AQ11" s="1" t="s">
        <v>3990</v>
      </c>
      <c r="AR11" s="1" t="s">
        <v>1507</v>
      </c>
      <c r="AS11" s="1" t="s">
        <v>3991</v>
      </c>
      <c r="AT11" s="1" t="s">
        <v>421</v>
      </c>
      <c r="AU11" s="1" t="s">
        <v>3992</v>
      </c>
      <c r="AV11" s="1">
        <v>2023</v>
      </c>
      <c r="AW11" s="1">
        <v>13</v>
      </c>
      <c r="AX11" s="1">
        <v>9</v>
      </c>
      <c r="AY11" s="1" t="s">
        <v>1507</v>
      </c>
      <c r="AZ11" s="1" t="s">
        <v>1507</v>
      </c>
      <c r="BA11" s="1" t="s">
        <v>1507</v>
      </c>
      <c r="BB11" s="1" t="s">
        <v>1507</v>
      </c>
      <c r="BC11" s="1" t="s">
        <v>1507</v>
      </c>
      <c r="BD11" s="1" t="s">
        <v>1507</v>
      </c>
      <c r="BE11" s="1">
        <v>885</v>
      </c>
      <c r="BF11" s="1" t="s">
        <v>417</v>
      </c>
      <c r="BG11" s="1" t="str">
        <f>HYPERLINK("http://dx.doi.org/10.3390/educsci13090885","http://dx.doi.org/10.3390/educsci13090885")</f>
        <v>http://dx.doi.org/10.3390/educsci13090885</v>
      </c>
      <c r="BH11" s="1" t="s">
        <v>1507</v>
      </c>
      <c r="BI11" s="1" t="s">
        <v>1507</v>
      </c>
      <c r="BJ11" s="1">
        <v>19</v>
      </c>
      <c r="BK11" s="1" t="s">
        <v>1558</v>
      </c>
      <c r="BL11" s="1" t="s">
        <v>1529</v>
      </c>
      <c r="BM11" s="1" t="s">
        <v>1558</v>
      </c>
      <c r="BN11" s="1" t="s">
        <v>3993</v>
      </c>
      <c r="BO11" s="1" t="s">
        <v>1507</v>
      </c>
      <c r="BP11" s="1" t="s">
        <v>1547</v>
      </c>
      <c r="BQ11" s="1" t="s">
        <v>1507</v>
      </c>
      <c r="BR11" s="1" t="s">
        <v>1507</v>
      </c>
      <c r="BS11" s="1" t="s">
        <v>13744</v>
      </c>
      <c r="BT11" s="1" t="s">
        <v>3994</v>
      </c>
      <c r="BU11" s="1" t="str">
        <f>HYPERLINK("https%3A%2F%2Fwww.webofscience.com%2Fwos%2Fwoscc%2Ffull-record%2FWOS:001074344200001","View Full Record in Web of Science")</f>
        <v>View Full Record in Web of Science</v>
      </c>
    </row>
    <row r="12" spans="1:73" x14ac:dyDescent="0.25">
      <c r="A12" s="1">
        <v>12</v>
      </c>
      <c r="B12" s="1" t="s">
        <v>5546</v>
      </c>
      <c r="C12" s="1" t="s">
        <v>5573</v>
      </c>
      <c r="D12" s="1" t="s">
        <v>1507</v>
      </c>
      <c r="E12" s="1" t="s">
        <v>1507</v>
      </c>
      <c r="F12" s="1" t="s">
        <v>5548</v>
      </c>
      <c r="G12" s="1" t="s">
        <v>5574</v>
      </c>
      <c r="H12" s="1" t="s">
        <v>1507</v>
      </c>
      <c r="I12" s="1" t="s">
        <v>1507</v>
      </c>
      <c r="J12" s="1" t="s">
        <v>5575</v>
      </c>
      <c r="K12" s="1" t="s">
        <v>5576</v>
      </c>
      <c r="L12" s="1" t="s">
        <v>1507</v>
      </c>
      <c r="M12" s="1" t="s">
        <v>1507</v>
      </c>
      <c r="N12" s="1" t="s">
        <v>42</v>
      </c>
      <c r="O12" s="1" t="s">
        <v>5552</v>
      </c>
      <c r="P12" s="1" t="s">
        <v>5577</v>
      </c>
      <c r="Q12" s="1" t="s">
        <v>5578</v>
      </c>
      <c r="R12" s="1" t="s">
        <v>5579</v>
      </c>
      <c r="S12" s="1" t="s">
        <v>5580</v>
      </c>
      <c r="T12" s="1" t="s">
        <v>1507</v>
      </c>
      <c r="U12" s="1" t="s">
        <v>5581</v>
      </c>
      <c r="V12" s="1" t="s">
        <v>1507</v>
      </c>
      <c r="W12" s="1" t="s">
        <v>5582</v>
      </c>
      <c r="X12" s="1" t="s">
        <v>5583</v>
      </c>
      <c r="Y12" s="1" t="s">
        <v>5584</v>
      </c>
      <c r="Z12" s="1" t="s">
        <v>5585</v>
      </c>
      <c r="AA12" s="1" t="s">
        <v>5586</v>
      </c>
      <c r="AB12" s="1" t="s">
        <v>1507</v>
      </c>
      <c r="AC12" s="1" t="s">
        <v>14819</v>
      </c>
      <c r="AD12" s="1" t="s">
        <v>5587</v>
      </c>
      <c r="AE12" s="1" t="s">
        <v>5588</v>
      </c>
      <c r="AF12" s="1" t="s">
        <v>5589</v>
      </c>
      <c r="AG12" s="1" t="s">
        <v>1507</v>
      </c>
      <c r="AH12" s="1">
        <v>22</v>
      </c>
      <c r="AI12" s="1">
        <v>1</v>
      </c>
      <c r="AJ12" s="1">
        <v>1</v>
      </c>
      <c r="AK12" s="1">
        <v>2</v>
      </c>
      <c r="AL12" s="1">
        <v>2</v>
      </c>
      <c r="AM12" s="1" t="s">
        <v>5565</v>
      </c>
      <c r="AN12" s="1" t="s">
        <v>1512</v>
      </c>
      <c r="AO12" s="1" t="s">
        <v>5566</v>
      </c>
      <c r="AP12" s="1" t="s">
        <v>1507</v>
      </c>
      <c r="AQ12" s="1" t="s">
        <v>1507</v>
      </c>
      <c r="AR12" s="1" t="s">
        <v>5590</v>
      </c>
      <c r="AS12" s="1" t="s">
        <v>1507</v>
      </c>
      <c r="AT12" s="1" t="s">
        <v>1507</v>
      </c>
      <c r="AU12" s="1" t="s">
        <v>1507</v>
      </c>
      <c r="AV12" s="1">
        <v>2023</v>
      </c>
      <c r="AW12" s="1" t="s">
        <v>1507</v>
      </c>
      <c r="AX12" s="1" t="s">
        <v>1507</v>
      </c>
      <c r="AY12" s="1" t="s">
        <v>1507</v>
      </c>
      <c r="AZ12" s="1" t="s">
        <v>1507</v>
      </c>
      <c r="BA12" s="1" t="s">
        <v>1507</v>
      </c>
      <c r="BB12" s="1" t="s">
        <v>1507</v>
      </c>
      <c r="BC12" s="1">
        <v>1869</v>
      </c>
      <c r="BD12" s="1">
        <v>1873</v>
      </c>
      <c r="BE12" s="1" t="s">
        <v>1507</v>
      </c>
      <c r="BF12" s="1" t="s">
        <v>5591</v>
      </c>
      <c r="BG12" s="1" t="str">
        <f>HYPERLINK("http://dx.doi.org/10.1145/3539618.3591960","http://dx.doi.org/10.1145/3539618.3591960")</f>
        <v>http://dx.doi.org/10.1145/3539618.3591960</v>
      </c>
      <c r="BH12" s="1" t="s">
        <v>1507</v>
      </c>
      <c r="BI12" s="1" t="s">
        <v>1507</v>
      </c>
      <c r="BJ12" s="1">
        <v>5</v>
      </c>
      <c r="BK12" s="1" t="s">
        <v>5160</v>
      </c>
      <c r="BL12" s="1" t="s">
        <v>5570</v>
      </c>
      <c r="BM12" s="1" t="s">
        <v>1577</v>
      </c>
      <c r="BN12" s="1" t="s">
        <v>5592</v>
      </c>
      <c r="BO12" s="1" t="s">
        <v>1507</v>
      </c>
      <c r="BP12" s="1" t="s">
        <v>1507</v>
      </c>
      <c r="BQ12" s="1" t="s">
        <v>1507</v>
      </c>
      <c r="BR12" s="1" t="s">
        <v>1507</v>
      </c>
      <c r="BS12" s="1" t="s">
        <v>13744</v>
      </c>
      <c r="BT12" s="1" t="s">
        <v>5593</v>
      </c>
      <c r="BU12" s="1" t="str">
        <f>HYPERLINK("https%3A%2F%2Fwww.webofscience.com%2Fwos%2Fwoscc%2Ffull-record%2FWOS:001118084001102","View Full Record in Web of Science")</f>
        <v>View Full Record in Web of Science</v>
      </c>
    </row>
    <row r="13" spans="1:73" x14ac:dyDescent="0.25">
      <c r="A13" s="1">
        <v>13</v>
      </c>
      <c r="B13" s="1" t="s">
        <v>5546</v>
      </c>
      <c r="C13" s="1" t="s">
        <v>5594</v>
      </c>
      <c r="D13" s="1" t="s">
        <v>1507</v>
      </c>
      <c r="E13" s="1" t="s">
        <v>1507</v>
      </c>
      <c r="F13" s="1" t="s">
        <v>5548</v>
      </c>
      <c r="G13" s="1" t="s">
        <v>5595</v>
      </c>
      <c r="H13" s="1" t="s">
        <v>1507</v>
      </c>
      <c r="I13" s="1" t="s">
        <v>1507</v>
      </c>
      <c r="J13" s="1" t="s">
        <v>5596</v>
      </c>
      <c r="K13" s="1" t="s">
        <v>5576</v>
      </c>
      <c r="L13" s="1" t="s">
        <v>1507</v>
      </c>
      <c r="M13" s="1" t="s">
        <v>1507</v>
      </c>
      <c r="N13" s="1" t="s">
        <v>42</v>
      </c>
      <c r="O13" s="1" t="s">
        <v>5552</v>
      </c>
      <c r="P13" s="1" t="s">
        <v>5577</v>
      </c>
      <c r="Q13" s="1" t="s">
        <v>5578</v>
      </c>
      <c r="R13" s="1" t="s">
        <v>5579</v>
      </c>
      <c r="S13" s="1" t="s">
        <v>5580</v>
      </c>
      <c r="T13" s="1" t="s">
        <v>1507</v>
      </c>
      <c r="U13" s="1" t="s">
        <v>5597</v>
      </c>
      <c r="V13" s="1" t="s">
        <v>1507</v>
      </c>
      <c r="W13" s="1" t="s">
        <v>5598</v>
      </c>
      <c r="X13" s="1" t="s">
        <v>5599</v>
      </c>
      <c r="Y13" s="1" t="s">
        <v>5600</v>
      </c>
      <c r="Z13" s="1" t="s">
        <v>5601</v>
      </c>
      <c r="AA13" s="1" t="s">
        <v>5602</v>
      </c>
      <c r="AB13" s="1" t="s">
        <v>14820</v>
      </c>
      <c r="AC13" s="1" t="s">
        <v>14821</v>
      </c>
      <c r="AD13" s="1" t="s">
        <v>5603</v>
      </c>
      <c r="AE13" s="1" t="s">
        <v>5603</v>
      </c>
      <c r="AF13" s="1" t="s">
        <v>5604</v>
      </c>
      <c r="AG13" s="1" t="s">
        <v>1507</v>
      </c>
      <c r="AH13" s="1">
        <v>59</v>
      </c>
      <c r="AI13" s="1">
        <v>0</v>
      </c>
      <c r="AJ13" s="1">
        <v>0</v>
      </c>
      <c r="AK13" s="1">
        <v>1</v>
      </c>
      <c r="AL13" s="1">
        <v>1</v>
      </c>
      <c r="AM13" s="1" t="s">
        <v>5565</v>
      </c>
      <c r="AN13" s="1" t="s">
        <v>1512</v>
      </c>
      <c r="AO13" s="1" t="s">
        <v>5566</v>
      </c>
      <c r="AP13" s="1" t="s">
        <v>1507</v>
      </c>
      <c r="AQ13" s="1" t="s">
        <v>1507</v>
      </c>
      <c r="AR13" s="1" t="s">
        <v>5590</v>
      </c>
      <c r="AS13" s="1" t="s">
        <v>1507</v>
      </c>
      <c r="AT13" s="1" t="s">
        <v>1507</v>
      </c>
      <c r="AU13" s="1" t="s">
        <v>1507</v>
      </c>
      <c r="AV13" s="1">
        <v>2023</v>
      </c>
      <c r="AW13" s="1" t="s">
        <v>1507</v>
      </c>
      <c r="AX13" s="1" t="s">
        <v>1507</v>
      </c>
      <c r="AY13" s="1" t="s">
        <v>1507</v>
      </c>
      <c r="AZ13" s="1" t="s">
        <v>1507</v>
      </c>
      <c r="BA13" s="1" t="s">
        <v>1507</v>
      </c>
      <c r="BB13" s="1" t="s">
        <v>1507</v>
      </c>
      <c r="BC13" s="1">
        <v>3075</v>
      </c>
      <c r="BD13" s="1">
        <v>3085</v>
      </c>
      <c r="BE13" s="1" t="s">
        <v>1507</v>
      </c>
      <c r="BF13" s="1" t="s">
        <v>5605</v>
      </c>
      <c r="BG13" s="1" t="str">
        <f>HYPERLINK("http://dx.doi.org/10.1145/3539618.3591913","http://dx.doi.org/10.1145/3539618.3591913")</f>
        <v>http://dx.doi.org/10.1145/3539618.3591913</v>
      </c>
      <c r="BH13" s="1" t="s">
        <v>1507</v>
      </c>
      <c r="BI13" s="1" t="s">
        <v>1507</v>
      </c>
      <c r="BJ13" s="1">
        <v>11</v>
      </c>
      <c r="BK13" s="1" t="s">
        <v>5160</v>
      </c>
      <c r="BL13" s="1" t="s">
        <v>5570</v>
      </c>
      <c r="BM13" s="1" t="s">
        <v>1577</v>
      </c>
      <c r="BN13" s="1" t="s">
        <v>5592</v>
      </c>
      <c r="BO13" s="1" t="s">
        <v>1507</v>
      </c>
      <c r="BP13" s="1" t="s">
        <v>1507</v>
      </c>
      <c r="BQ13" s="1" t="s">
        <v>1507</v>
      </c>
      <c r="BR13" s="1" t="s">
        <v>1507</v>
      </c>
      <c r="BS13" s="1" t="s">
        <v>13744</v>
      </c>
      <c r="BT13" s="1" t="s">
        <v>5606</v>
      </c>
      <c r="BU13" s="1" t="str">
        <f>HYPERLINK("https%3A%2F%2Fwww.webofscience.com%2Fwos%2Fwoscc%2Ffull-record%2FWOS:001118084003012","View Full Record in Web of Science")</f>
        <v>View Full Record in Web of Science</v>
      </c>
    </row>
    <row r="14" spans="1:73" x14ac:dyDescent="0.25">
      <c r="A14" s="1">
        <v>14</v>
      </c>
      <c r="B14" s="1" t="s">
        <v>5546</v>
      </c>
      <c r="C14" s="1" t="s">
        <v>7646</v>
      </c>
      <c r="D14" s="1" t="s">
        <v>1507</v>
      </c>
      <c r="E14" s="1" t="s">
        <v>1507</v>
      </c>
      <c r="F14" s="1" t="s">
        <v>7647</v>
      </c>
      <c r="G14" s="1" t="s">
        <v>7648</v>
      </c>
      <c r="H14" s="1" t="s">
        <v>1507</v>
      </c>
      <c r="I14" s="1" t="s">
        <v>1507</v>
      </c>
      <c r="J14" s="1" t="s">
        <v>7649</v>
      </c>
      <c r="K14" s="1" t="s">
        <v>7650</v>
      </c>
      <c r="L14" s="1" t="s">
        <v>1507</v>
      </c>
      <c r="M14" s="1" t="s">
        <v>1507</v>
      </c>
      <c r="N14" s="1" t="s">
        <v>42</v>
      </c>
      <c r="O14" s="1" t="s">
        <v>5552</v>
      </c>
      <c r="P14" s="1" t="s">
        <v>7651</v>
      </c>
      <c r="Q14" s="1" t="s">
        <v>7652</v>
      </c>
      <c r="R14" s="1" t="s">
        <v>7653</v>
      </c>
      <c r="S14" s="1" t="s">
        <v>7654</v>
      </c>
      <c r="T14" s="1" t="s">
        <v>1507</v>
      </c>
      <c r="U14" s="1" t="s">
        <v>1507</v>
      </c>
      <c r="V14" s="1" t="s">
        <v>1507</v>
      </c>
      <c r="W14" s="1" t="s">
        <v>7655</v>
      </c>
      <c r="X14" s="1" t="s">
        <v>7656</v>
      </c>
      <c r="Y14" s="1" t="s">
        <v>7657</v>
      </c>
      <c r="Z14" s="1" t="s">
        <v>7658</v>
      </c>
      <c r="AA14" s="1" t="s">
        <v>7659</v>
      </c>
      <c r="AB14" s="1" t="s">
        <v>1507</v>
      </c>
      <c r="AC14" s="1" t="s">
        <v>1507</v>
      </c>
      <c r="AD14" s="1" t="s">
        <v>7660</v>
      </c>
      <c r="AE14" s="1" t="s">
        <v>7661</v>
      </c>
      <c r="AF14" s="1" t="s">
        <v>7662</v>
      </c>
      <c r="AG14" s="1" t="s">
        <v>1507</v>
      </c>
      <c r="AH14" s="1">
        <v>8</v>
      </c>
      <c r="AI14" s="1">
        <v>0</v>
      </c>
      <c r="AJ14" s="1">
        <v>0</v>
      </c>
      <c r="AK14" s="1">
        <v>0</v>
      </c>
      <c r="AL14" s="1">
        <v>1</v>
      </c>
      <c r="AM14" s="1" t="s">
        <v>7663</v>
      </c>
      <c r="AN14" s="1" t="s">
        <v>7664</v>
      </c>
      <c r="AO14" s="1" t="s">
        <v>7665</v>
      </c>
      <c r="AP14" s="1" t="s">
        <v>1507</v>
      </c>
      <c r="AQ14" s="1" t="s">
        <v>1507</v>
      </c>
      <c r="AR14" s="1" t="s">
        <v>7666</v>
      </c>
      <c r="AS14" s="1" t="s">
        <v>1507</v>
      </c>
      <c r="AT14" s="1" t="s">
        <v>1507</v>
      </c>
      <c r="AU14" s="1" t="s">
        <v>1507</v>
      </c>
      <c r="AV14" s="1">
        <v>2022</v>
      </c>
      <c r="AW14" s="1" t="s">
        <v>1507</v>
      </c>
      <c r="AX14" s="1" t="s">
        <v>1507</v>
      </c>
      <c r="AY14" s="1" t="s">
        <v>1507</v>
      </c>
      <c r="AZ14" s="1" t="s">
        <v>1507</v>
      </c>
      <c r="BA14" s="1" t="s">
        <v>1507</v>
      </c>
      <c r="BB14" s="1" t="s">
        <v>1507</v>
      </c>
      <c r="BC14" s="1">
        <v>159</v>
      </c>
      <c r="BD14" s="1">
        <v>164</v>
      </c>
      <c r="BE14" s="1" t="s">
        <v>1507</v>
      </c>
      <c r="BF14" s="1" t="s">
        <v>1507</v>
      </c>
      <c r="BG14" s="1" t="s">
        <v>1507</v>
      </c>
      <c r="BH14" s="1" t="s">
        <v>1507</v>
      </c>
      <c r="BI14" s="1" t="s">
        <v>1507</v>
      </c>
      <c r="BJ14" s="1">
        <v>6</v>
      </c>
      <c r="BK14" s="1" t="s">
        <v>7667</v>
      </c>
      <c r="BL14" s="1" t="s">
        <v>5695</v>
      </c>
      <c r="BM14" s="1" t="s">
        <v>7668</v>
      </c>
      <c r="BN14" s="1" t="s">
        <v>7669</v>
      </c>
      <c r="BO14" s="1" t="s">
        <v>1507</v>
      </c>
      <c r="BP14" s="1" t="s">
        <v>1507</v>
      </c>
      <c r="BQ14" s="1" t="s">
        <v>1507</v>
      </c>
      <c r="BR14" s="1" t="s">
        <v>1507</v>
      </c>
      <c r="BS14" s="1" t="s">
        <v>13744</v>
      </c>
      <c r="BT14" s="1" t="s">
        <v>7670</v>
      </c>
      <c r="BU14" s="1" t="str">
        <f>HYPERLINK("https%3A%2F%2Fwww.webofscience.com%2Fwos%2Fwoscc%2Ffull-record%2FWOS:000846896600022","View Full Record in Web of Science")</f>
        <v>View Full Record in Web of Science</v>
      </c>
    </row>
    <row r="15" spans="1:73" x14ac:dyDescent="0.25">
      <c r="A15" s="1">
        <v>15</v>
      </c>
      <c r="B15" s="1" t="s">
        <v>5882</v>
      </c>
      <c r="C15" s="1" t="s">
        <v>11869</v>
      </c>
      <c r="D15" s="1" t="s">
        <v>1507</v>
      </c>
      <c r="E15" s="1" t="s">
        <v>11870</v>
      </c>
      <c r="F15" s="1" t="s">
        <v>1507</v>
      </c>
      <c r="G15" s="1" t="s">
        <v>11871</v>
      </c>
      <c r="H15" s="1" t="s">
        <v>1507</v>
      </c>
      <c r="I15" s="1" t="s">
        <v>1507</v>
      </c>
      <c r="J15" s="1" t="s">
        <v>11872</v>
      </c>
      <c r="K15" s="1" t="s">
        <v>11873</v>
      </c>
      <c r="L15" s="1" t="s">
        <v>1507</v>
      </c>
      <c r="M15" s="1" t="s">
        <v>1507</v>
      </c>
      <c r="N15" s="1" t="s">
        <v>42</v>
      </c>
      <c r="O15" s="1" t="s">
        <v>5888</v>
      </c>
      <c r="P15" s="1" t="s">
        <v>1507</v>
      </c>
      <c r="Q15" s="1" t="s">
        <v>1507</v>
      </c>
      <c r="R15" s="1" t="s">
        <v>1507</v>
      </c>
      <c r="S15" s="1" t="s">
        <v>1507</v>
      </c>
      <c r="T15" s="1" t="s">
        <v>1507</v>
      </c>
      <c r="U15" s="1" t="s">
        <v>1507</v>
      </c>
      <c r="V15" s="1" t="s">
        <v>1507</v>
      </c>
      <c r="W15" s="1" t="s">
        <v>1507</v>
      </c>
      <c r="X15" s="1" t="s">
        <v>11874</v>
      </c>
      <c r="Y15" s="1" t="s">
        <v>7146</v>
      </c>
      <c r="Z15" s="1" t="s">
        <v>11875</v>
      </c>
      <c r="AA15" s="1" t="s">
        <v>1507</v>
      </c>
      <c r="AB15" s="1" t="s">
        <v>1507</v>
      </c>
      <c r="AC15" s="1" t="s">
        <v>1507</v>
      </c>
      <c r="AD15" s="1" t="s">
        <v>11876</v>
      </c>
      <c r="AE15" s="1" t="s">
        <v>11877</v>
      </c>
      <c r="AF15" s="1" t="s">
        <v>11878</v>
      </c>
      <c r="AG15" s="1" t="s">
        <v>1507</v>
      </c>
      <c r="AH15" s="1">
        <v>2</v>
      </c>
      <c r="AI15" s="1">
        <v>0</v>
      </c>
      <c r="AJ15" s="1">
        <v>0</v>
      </c>
      <c r="AK15" s="1">
        <v>0</v>
      </c>
      <c r="AL15" s="1">
        <v>0</v>
      </c>
      <c r="AM15" s="1" t="s">
        <v>3564</v>
      </c>
      <c r="AN15" s="1" t="s">
        <v>1523</v>
      </c>
      <c r="AO15" s="1" t="s">
        <v>11879</v>
      </c>
      <c r="AP15" s="1" t="s">
        <v>1507</v>
      </c>
      <c r="AQ15" s="1" t="s">
        <v>1507</v>
      </c>
      <c r="AR15" s="1" t="s">
        <v>11880</v>
      </c>
      <c r="AS15" s="1" t="s">
        <v>1507</v>
      </c>
      <c r="AT15" s="1" t="s">
        <v>1507</v>
      </c>
      <c r="AU15" s="1" t="s">
        <v>1507</v>
      </c>
      <c r="AV15" s="1">
        <v>2018</v>
      </c>
      <c r="AW15" s="1" t="s">
        <v>1507</v>
      </c>
      <c r="AX15" s="1" t="s">
        <v>1507</v>
      </c>
      <c r="AY15" s="1" t="s">
        <v>1507</v>
      </c>
      <c r="AZ15" s="1" t="s">
        <v>1507</v>
      </c>
      <c r="BA15" s="1" t="s">
        <v>1507</v>
      </c>
      <c r="BB15" s="1" t="s">
        <v>1507</v>
      </c>
      <c r="BC15" s="1">
        <v>9</v>
      </c>
      <c r="BD15" s="1">
        <v>28</v>
      </c>
      <c r="BE15" s="1" t="s">
        <v>1507</v>
      </c>
      <c r="BF15" s="1" t="s">
        <v>1507</v>
      </c>
      <c r="BG15" s="1" t="s">
        <v>1507</v>
      </c>
      <c r="BH15" s="1" t="s">
        <v>11881</v>
      </c>
      <c r="BI15" s="1" t="s">
        <v>1507</v>
      </c>
      <c r="BJ15" s="1">
        <v>20</v>
      </c>
      <c r="BK15" s="1" t="s">
        <v>11882</v>
      </c>
      <c r="BL15" s="1" t="s">
        <v>5899</v>
      </c>
      <c r="BM15" s="1" t="s">
        <v>9056</v>
      </c>
      <c r="BN15" s="1" t="s">
        <v>11883</v>
      </c>
      <c r="BO15" s="1" t="s">
        <v>1507</v>
      </c>
      <c r="BP15" s="1" t="s">
        <v>1507</v>
      </c>
      <c r="BQ15" s="1" t="s">
        <v>1507</v>
      </c>
      <c r="BR15" s="1" t="s">
        <v>1507</v>
      </c>
      <c r="BS15" s="1" t="s">
        <v>13744</v>
      </c>
      <c r="BT15" s="1" t="s">
        <v>11884</v>
      </c>
      <c r="BU15" s="1" t="str">
        <f>HYPERLINK("https%3A%2F%2Fwww.webofscience.com%2Fwos%2Fwoscc%2Ffull-record%2FWOS:000606981800003","View Full Record in Web of Science")</f>
        <v>View Full Record in Web of Science</v>
      </c>
    </row>
    <row r="16" spans="1:73" x14ac:dyDescent="0.25">
      <c r="A16" s="1">
        <v>16</v>
      </c>
      <c r="B16" s="1" t="s">
        <v>1506</v>
      </c>
      <c r="C16" s="1" t="s">
        <v>9613</v>
      </c>
      <c r="D16" s="1" t="s">
        <v>1507</v>
      </c>
      <c r="E16" s="1" t="s">
        <v>1507</v>
      </c>
      <c r="F16" s="1" t="s">
        <v>1507</v>
      </c>
      <c r="G16" s="1" t="s">
        <v>9614</v>
      </c>
      <c r="H16" s="1" t="s">
        <v>1507</v>
      </c>
      <c r="I16" s="1" t="s">
        <v>1507</v>
      </c>
      <c r="J16" s="1" t="s">
        <v>9615</v>
      </c>
      <c r="K16" s="1" t="s">
        <v>9616</v>
      </c>
      <c r="L16" s="1" t="s">
        <v>1507</v>
      </c>
      <c r="M16" s="1" t="s">
        <v>1507</v>
      </c>
      <c r="N16" s="1" t="s">
        <v>42</v>
      </c>
      <c r="O16" s="1" t="s">
        <v>56</v>
      </c>
      <c r="P16" s="1" t="s">
        <v>1507</v>
      </c>
      <c r="Q16" s="1" t="s">
        <v>1507</v>
      </c>
      <c r="R16" s="1" t="s">
        <v>1507</v>
      </c>
      <c r="S16" s="1" t="s">
        <v>1507</v>
      </c>
      <c r="T16" s="1" t="s">
        <v>1507</v>
      </c>
      <c r="U16" s="1" t="s">
        <v>9617</v>
      </c>
      <c r="V16" s="1" t="s">
        <v>9618</v>
      </c>
      <c r="W16" s="1" t="s">
        <v>9619</v>
      </c>
      <c r="X16" s="1" t="s">
        <v>9620</v>
      </c>
      <c r="Y16" s="1" t="s">
        <v>9621</v>
      </c>
      <c r="Z16" s="1" t="s">
        <v>9622</v>
      </c>
      <c r="AA16" s="1" t="s">
        <v>9623</v>
      </c>
      <c r="AB16" s="1" t="s">
        <v>9624</v>
      </c>
      <c r="AC16" s="1" t="s">
        <v>9625</v>
      </c>
      <c r="AD16" s="1" t="s">
        <v>9626</v>
      </c>
      <c r="AE16" s="1" t="s">
        <v>8697</v>
      </c>
      <c r="AF16" s="1" t="s">
        <v>9627</v>
      </c>
      <c r="AG16" s="1" t="s">
        <v>1507</v>
      </c>
      <c r="AH16" s="1">
        <v>30</v>
      </c>
      <c r="AI16" s="1">
        <v>6</v>
      </c>
      <c r="AJ16" s="1">
        <v>6</v>
      </c>
      <c r="AK16" s="1">
        <v>0</v>
      </c>
      <c r="AL16" s="1">
        <v>11</v>
      </c>
      <c r="AM16" s="1" t="s">
        <v>1745</v>
      </c>
      <c r="AN16" s="1" t="s">
        <v>1746</v>
      </c>
      <c r="AO16" s="1" t="s">
        <v>1747</v>
      </c>
      <c r="AP16" s="1" t="s">
        <v>9628</v>
      </c>
      <c r="AQ16" s="1" t="s">
        <v>9629</v>
      </c>
      <c r="AR16" s="1" t="s">
        <v>1507</v>
      </c>
      <c r="AS16" s="1" t="s">
        <v>9630</v>
      </c>
      <c r="AT16" s="1" t="s">
        <v>9631</v>
      </c>
      <c r="AU16" s="1" t="s">
        <v>15797</v>
      </c>
      <c r="AV16" s="1">
        <v>2022</v>
      </c>
      <c r="AW16" s="1">
        <v>51</v>
      </c>
      <c r="AX16" s="1">
        <v>12</v>
      </c>
      <c r="AY16" s="1" t="s">
        <v>1507</v>
      </c>
      <c r="AZ16" s="1" t="s">
        <v>1507</v>
      </c>
      <c r="BA16" s="1" t="s">
        <v>1507</v>
      </c>
      <c r="BB16" s="1" t="s">
        <v>1507</v>
      </c>
      <c r="BC16" s="1">
        <v>4196</v>
      </c>
      <c r="BD16" s="1">
        <v>4209</v>
      </c>
      <c r="BE16" s="1" t="s">
        <v>1507</v>
      </c>
      <c r="BF16" s="1" t="s">
        <v>9632</v>
      </c>
      <c r="BG16" s="1" t="str">
        <f>HYPERLINK("http://dx.doi.org/10.1080/03610926.2020.1811870","http://dx.doi.org/10.1080/03610926.2020.1811870")</f>
        <v>http://dx.doi.org/10.1080/03610926.2020.1811870</v>
      </c>
      <c r="BH16" s="1" t="s">
        <v>1507</v>
      </c>
      <c r="BI16" s="1" t="s">
        <v>9633</v>
      </c>
      <c r="BJ16" s="1">
        <v>14</v>
      </c>
      <c r="BK16" s="1" t="s">
        <v>9634</v>
      </c>
      <c r="BL16" s="1" t="s">
        <v>1573</v>
      </c>
      <c r="BM16" s="1" t="s">
        <v>1615</v>
      </c>
      <c r="BN16" s="1" t="s">
        <v>9635</v>
      </c>
      <c r="BO16" s="1" t="s">
        <v>1507</v>
      </c>
      <c r="BP16" s="1" t="s">
        <v>1507</v>
      </c>
      <c r="BQ16" s="1" t="s">
        <v>1507</v>
      </c>
      <c r="BR16" s="1" t="s">
        <v>1507</v>
      </c>
      <c r="BS16" s="1" t="s">
        <v>13744</v>
      </c>
      <c r="BT16" s="1" t="s">
        <v>9636</v>
      </c>
      <c r="BU16" s="1" t="str">
        <f>HYPERLINK("https%3A%2F%2Fwww.webofscience.com%2Fwos%2Fwoscc%2Ffull-record%2FWOS:000566635400001","View Full Record in Web of Science")</f>
        <v>View Full Record in Web of Science</v>
      </c>
    </row>
    <row r="17" spans="1:73" x14ac:dyDescent="0.25">
      <c r="A17" s="1">
        <v>17</v>
      </c>
      <c r="B17" s="1" t="s">
        <v>1506</v>
      </c>
      <c r="C17" s="1" t="s">
        <v>11025</v>
      </c>
      <c r="D17" s="1" t="s">
        <v>1507</v>
      </c>
      <c r="E17" s="1" t="s">
        <v>1507</v>
      </c>
      <c r="F17" s="1" t="s">
        <v>1507</v>
      </c>
      <c r="G17" s="1" t="s">
        <v>11026</v>
      </c>
      <c r="H17" s="1" t="s">
        <v>1507</v>
      </c>
      <c r="I17" s="1" t="s">
        <v>1507</v>
      </c>
      <c r="J17" s="1" t="s">
        <v>11027</v>
      </c>
      <c r="K17" s="1" t="s">
        <v>9616</v>
      </c>
      <c r="L17" s="1" t="s">
        <v>1507</v>
      </c>
      <c r="M17" s="1" t="s">
        <v>1507</v>
      </c>
      <c r="N17" s="1" t="s">
        <v>42</v>
      </c>
      <c r="O17" s="1" t="s">
        <v>56</v>
      </c>
      <c r="P17" s="1" t="s">
        <v>1507</v>
      </c>
      <c r="Q17" s="1" t="s">
        <v>1507</v>
      </c>
      <c r="R17" s="1" t="s">
        <v>1507</v>
      </c>
      <c r="S17" s="1" t="s">
        <v>1507</v>
      </c>
      <c r="T17" s="1" t="s">
        <v>1507</v>
      </c>
      <c r="U17" s="1" t="s">
        <v>9617</v>
      </c>
      <c r="V17" s="1" t="s">
        <v>11028</v>
      </c>
      <c r="W17" s="1" t="s">
        <v>11029</v>
      </c>
      <c r="X17" s="1" t="s">
        <v>11030</v>
      </c>
      <c r="Y17" s="1" t="s">
        <v>11031</v>
      </c>
      <c r="Z17" s="1" t="s">
        <v>11032</v>
      </c>
      <c r="AA17" s="1" t="s">
        <v>11033</v>
      </c>
      <c r="AB17" s="1" t="s">
        <v>11034</v>
      </c>
      <c r="AC17" s="1" t="s">
        <v>11035</v>
      </c>
      <c r="AD17" s="1" t="s">
        <v>11036</v>
      </c>
      <c r="AE17" s="1" t="s">
        <v>8697</v>
      </c>
      <c r="AF17" s="1" t="s">
        <v>11037</v>
      </c>
      <c r="AG17" s="1" t="s">
        <v>1507</v>
      </c>
      <c r="AH17" s="1">
        <v>40</v>
      </c>
      <c r="AI17" s="1">
        <v>3</v>
      </c>
      <c r="AJ17" s="1">
        <v>3</v>
      </c>
      <c r="AK17" s="1">
        <v>0</v>
      </c>
      <c r="AL17" s="1">
        <v>9</v>
      </c>
      <c r="AM17" s="1" t="s">
        <v>1745</v>
      </c>
      <c r="AN17" s="1" t="s">
        <v>1746</v>
      </c>
      <c r="AO17" s="1" t="s">
        <v>1747</v>
      </c>
      <c r="AP17" s="1" t="s">
        <v>9628</v>
      </c>
      <c r="AQ17" s="1" t="s">
        <v>9629</v>
      </c>
      <c r="AR17" s="1" t="s">
        <v>1507</v>
      </c>
      <c r="AS17" s="1" t="s">
        <v>9630</v>
      </c>
      <c r="AT17" s="1" t="s">
        <v>9631</v>
      </c>
      <c r="AU17" s="1" t="s">
        <v>6775</v>
      </c>
      <c r="AV17" s="1">
        <v>2020</v>
      </c>
      <c r="AW17" s="1">
        <v>49</v>
      </c>
      <c r="AX17" s="1">
        <v>23</v>
      </c>
      <c r="AY17" s="1" t="s">
        <v>1507</v>
      </c>
      <c r="AZ17" s="1" t="s">
        <v>1507</v>
      </c>
      <c r="BA17" s="1" t="s">
        <v>1507</v>
      </c>
      <c r="BB17" s="1" t="s">
        <v>1507</v>
      </c>
      <c r="BC17" s="1">
        <v>5666</v>
      </c>
      <c r="BD17" s="1">
        <v>5685</v>
      </c>
      <c r="BE17" s="1" t="s">
        <v>1507</v>
      </c>
      <c r="BF17" s="1" t="s">
        <v>11038</v>
      </c>
      <c r="BG17" s="1" t="str">
        <f>HYPERLINK("http://dx.doi.org/10.1080/03610926.2019.1620781","http://dx.doi.org/10.1080/03610926.2019.1620781")</f>
        <v>http://dx.doi.org/10.1080/03610926.2019.1620781</v>
      </c>
      <c r="BH17" s="1" t="s">
        <v>1507</v>
      </c>
      <c r="BI17" s="1" t="s">
        <v>11021</v>
      </c>
      <c r="BJ17" s="1">
        <v>20</v>
      </c>
      <c r="BK17" s="1" t="s">
        <v>9634</v>
      </c>
      <c r="BL17" s="1" t="s">
        <v>1573</v>
      </c>
      <c r="BM17" s="1" t="s">
        <v>1615</v>
      </c>
      <c r="BN17" s="1" t="s">
        <v>11039</v>
      </c>
      <c r="BO17" s="1" t="s">
        <v>1507</v>
      </c>
      <c r="BP17" s="1" t="s">
        <v>1507</v>
      </c>
      <c r="BQ17" s="1" t="s">
        <v>1507</v>
      </c>
      <c r="BR17" s="1" t="s">
        <v>1507</v>
      </c>
      <c r="BS17" s="1" t="s">
        <v>13744</v>
      </c>
      <c r="BT17" s="1" t="s">
        <v>11040</v>
      </c>
      <c r="BU17" s="1" t="str">
        <f>HYPERLINK("https%3A%2F%2Fwww.webofscience.com%2Fwos%2Fwoscc%2Ffull-record%2FWOS:000471394700001","View Full Record in Web of Science")</f>
        <v>View Full Record in Web of Science</v>
      </c>
    </row>
    <row r="18" spans="1:73" x14ac:dyDescent="0.25">
      <c r="A18" s="1">
        <v>18</v>
      </c>
      <c r="B18" s="1" t="s">
        <v>1506</v>
      </c>
      <c r="C18" s="1" t="s">
        <v>8685</v>
      </c>
      <c r="D18" s="1" t="s">
        <v>1507</v>
      </c>
      <c r="E18" s="1" t="s">
        <v>1507</v>
      </c>
      <c r="F18" s="1" t="s">
        <v>1507</v>
      </c>
      <c r="G18" s="1" t="s">
        <v>8686</v>
      </c>
      <c r="H18" s="1" t="s">
        <v>1507</v>
      </c>
      <c r="I18" s="1" t="s">
        <v>1507</v>
      </c>
      <c r="J18" s="1" t="s">
        <v>8687</v>
      </c>
      <c r="K18" s="1" t="s">
        <v>1609</v>
      </c>
      <c r="L18" s="1" t="s">
        <v>1507</v>
      </c>
      <c r="M18" s="1" t="s">
        <v>1507</v>
      </c>
      <c r="N18" s="1" t="s">
        <v>42</v>
      </c>
      <c r="O18" s="1" t="s">
        <v>56</v>
      </c>
      <c r="P18" s="1" t="s">
        <v>1507</v>
      </c>
      <c r="Q18" s="1" t="s">
        <v>1507</v>
      </c>
      <c r="R18" s="1" t="s">
        <v>1507</v>
      </c>
      <c r="S18" s="1" t="s">
        <v>1507</v>
      </c>
      <c r="T18" s="1" t="s">
        <v>1507</v>
      </c>
      <c r="U18" s="1" t="s">
        <v>8688</v>
      </c>
      <c r="V18" s="1" t="s">
        <v>8689</v>
      </c>
      <c r="W18" s="1" t="s">
        <v>8690</v>
      </c>
      <c r="X18" s="1" t="s">
        <v>8691</v>
      </c>
      <c r="Y18" s="1" t="s">
        <v>8692</v>
      </c>
      <c r="Z18" s="1" t="s">
        <v>8693</v>
      </c>
      <c r="AA18" s="1" t="s">
        <v>8694</v>
      </c>
      <c r="AB18" s="1" t="s">
        <v>15745</v>
      </c>
      <c r="AC18" s="1" t="s">
        <v>8695</v>
      </c>
      <c r="AD18" s="1" t="s">
        <v>8696</v>
      </c>
      <c r="AE18" s="1" t="s">
        <v>8697</v>
      </c>
      <c r="AF18" s="1" t="s">
        <v>8698</v>
      </c>
      <c r="AG18" s="1" t="s">
        <v>1507</v>
      </c>
      <c r="AH18" s="1">
        <v>19</v>
      </c>
      <c r="AI18" s="1">
        <v>0</v>
      </c>
      <c r="AJ18" s="1">
        <v>0</v>
      </c>
      <c r="AK18" s="1">
        <v>0</v>
      </c>
      <c r="AL18" s="1">
        <v>14</v>
      </c>
      <c r="AM18" s="1" t="s">
        <v>1610</v>
      </c>
      <c r="AN18" s="1" t="s">
        <v>1611</v>
      </c>
      <c r="AO18" s="1" t="s">
        <v>1612</v>
      </c>
      <c r="AP18" s="1" t="s">
        <v>1507</v>
      </c>
      <c r="AQ18" s="1" t="s">
        <v>1613</v>
      </c>
      <c r="AR18" s="1" t="s">
        <v>1507</v>
      </c>
      <c r="AS18" s="1" t="s">
        <v>1614</v>
      </c>
      <c r="AT18" s="1" t="s">
        <v>1615</v>
      </c>
      <c r="AU18" s="1" t="s">
        <v>5045</v>
      </c>
      <c r="AV18" s="1">
        <v>2021</v>
      </c>
      <c r="AW18" s="1">
        <v>9</v>
      </c>
      <c r="AX18" s="1">
        <v>10</v>
      </c>
      <c r="AY18" s="1" t="s">
        <v>1507</v>
      </c>
      <c r="AZ18" s="1" t="s">
        <v>1507</v>
      </c>
      <c r="BA18" s="1" t="s">
        <v>1507</v>
      </c>
      <c r="BB18" s="1" t="s">
        <v>1507</v>
      </c>
      <c r="BC18" s="1" t="s">
        <v>1507</v>
      </c>
      <c r="BD18" s="1" t="s">
        <v>1507</v>
      </c>
      <c r="BE18" s="1">
        <v>1102</v>
      </c>
      <c r="BF18" s="1" t="s">
        <v>8699</v>
      </c>
      <c r="BG18" s="1" t="str">
        <f>HYPERLINK("http://dx.doi.org/10.3390/math9101102","http://dx.doi.org/10.3390/math9101102")</f>
        <v>http://dx.doi.org/10.3390/math9101102</v>
      </c>
      <c r="BH18" s="1" t="s">
        <v>1507</v>
      </c>
      <c r="BI18" s="1" t="s">
        <v>1507</v>
      </c>
      <c r="BJ18" s="1">
        <v>14</v>
      </c>
      <c r="BK18" s="1" t="s">
        <v>1615</v>
      </c>
      <c r="BL18" s="1" t="s">
        <v>1573</v>
      </c>
      <c r="BM18" s="1" t="s">
        <v>1615</v>
      </c>
      <c r="BN18" s="1" t="s">
        <v>8700</v>
      </c>
      <c r="BO18" s="1" t="s">
        <v>1507</v>
      </c>
      <c r="BP18" s="1" t="s">
        <v>1531</v>
      </c>
      <c r="BQ18" s="1" t="s">
        <v>1507</v>
      </c>
      <c r="BR18" s="1" t="s">
        <v>1507</v>
      </c>
      <c r="BS18" s="1" t="s">
        <v>13744</v>
      </c>
      <c r="BT18" s="1" t="s">
        <v>8701</v>
      </c>
      <c r="BU18" s="1" t="str">
        <f>HYPERLINK("https%3A%2F%2Fwww.webofscience.com%2Fwos%2Fwoscc%2Ffull-record%2FWOS:000655197500001","View Full Record in Web of Science")</f>
        <v>View Full Record in Web of Science</v>
      </c>
    </row>
    <row r="19" spans="1:73" x14ac:dyDescent="0.25">
      <c r="A19" s="1">
        <v>19</v>
      </c>
      <c r="B19" s="1" t="s">
        <v>1506</v>
      </c>
      <c r="C19" s="1" t="s">
        <v>4393</v>
      </c>
      <c r="D19" s="1" t="s">
        <v>1507</v>
      </c>
      <c r="E19" s="1" t="s">
        <v>1507</v>
      </c>
      <c r="F19" s="1" t="s">
        <v>1507</v>
      </c>
      <c r="G19" s="1" t="s">
        <v>4394</v>
      </c>
      <c r="H19" s="1" t="s">
        <v>1507</v>
      </c>
      <c r="I19" s="1" t="s">
        <v>1507</v>
      </c>
      <c r="J19" s="1" t="s">
        <v>4395</v>
      </c>
      <c r="K19" s="1" t="s">
        <v>4396</v>
      </c>
      <c r="L19" s="1" t="s">
        <v>1507</v>
      </c>
      <c r="M19" s="1" t="s">
        <v>1507</v>
      </c>
      <c r="N19" s="1" t="s">
        <v>42</v>
      </c>
      <c r="O19" s="1" t="s">
        <v>56</v>
      </c>
      <c r="P19" s="1" t="s">
        <v>1507</v>
      </c>
      <c r="Q19" s="1" t="s">
        <v>1507</v>
      </c>
      <c r="R19" s="1" t="s">
        <v>1507</v>
      </c>
      <c r="S19" s="1" t="s">
        <v>1507</v>
      </c>
      <c r="T19" s="1" t="s">
        <v>1507</v>
      </c>
      <c r="U19" s="1" t="s">
        <v>4397</v>
      </c>
      <c r="V19" s="1" t="s">
        <v>4398</v>
      </c>
      <c r="W19" s="1" t="s">
        <v>4399</v>
      </c>
      <c r="X19" s="1" t="s">
        <v>4400</v>
      </c>
      <c r="Y19" s="1" t="s">
        <v>14598</v>
      </c>
      <c r="Z19" s="1" t="s">
        <v>4401</v>
      </c>
      <c r="AA19" s="1" t="s">
        <v>4402</v>
      </c>
      <c r="AB19" s="1" t="s">
        <v>1507</v>
      </c>
      <c r="AC19" s="1" t="s">
        <v>14599</v>
      </c>
      <c r="AD19" s="1" t="s">
        <v>1507</v>
      </c>
      <c r="AE19" s="1" t="s">
        <v>1507</v>
      </c>
      <c r="AF19" s="1" t="s">
        <v>1507</v>
      </c>
      <c r="AG19" s="1" t="s">
        <v>1507</v>
      </c>
      <c r="AH19" s="1">
        <v>74</v>
      </c>
      <c r="AI19" s="1">
        <v>16</v>
      </c>
      <c r="AJ19" s="1">
        <v>16</v>
      </c>
      <c r="AK19" s="1">
        <v>94</v>
      </c>
      <c r="AL19" s="1">
        <v>117</v>
      </c>
      <c r="AM19" s="1" t="s">
        <v>2883</v>
      </c>
      <c r="AN19" s="1" t="s">
        <v>1512</v>
      </c>
      <c r="AO19" s="1" t="s">
        <v>2884</v>
      </c>
      <c r="AP19" s="1" t="s">
        <v>4403</v>
      </c>
      <c r="AQ19" s="1" t="s">
        <v>4404</v>
      </c>
      <c r="AR19" s="1" t="s">
        <v>1507</v>
      </c>
      <c r="AS19" s="1" t="s">
        <v>4405</v>
      </c>
      <c r="AT19" s="1" t="s">
        <v>4406</v>
      </c>
      <c r="AU19" s="1" t="s">
        <v>4336</v>
      </c>
      <c r="AV19" s="1">
        <v>2023</v>
      </c>
      <c r="AW19" s="1">
        <v>19</v>
      </c>
      <c r="AX19" s="1">
        <v>8</v>
      </c>
      <c r="AY19" s="1" t="s">
        <v>1507</v>
      </c>
      <c r="AZ19" s="1" t="s">
        <v>1507</v>
      </c>
      <c r="BA19" s="1" t="s">
        <v>1507</v>
      </c>
      <c r="BB19" s="1" t="s">
        <v>1507</v>
      </c>
      <c r="BC19" s="1">
        <v>1236</v>
      </c>
      <c r="BD19" s="1">
        <v>1242</v>
      </c>
      <c r="BE19" s="1" t="s">
        <v>1507</v>
      </c>
      <c r="BF19" s="1" t="s">
        <v>4407</v>
      </c>
      <c r="BG19" s="1" t="str">
        <f>HYPERLINK("http://dx.doi.org/10.1016/j.sapharm.2023.05.016","http://dx.doi.org/10.1016/j.sapharm.2023.05.016")</f>
        <v>http://dx.doi.org/10.1016/j.sapharm.2023.05.016</v>
      </c>
      <c r="BH19" s="1" t="s">
        <v>1507</v>
      </c>
      <c r="BI19" s="1" t="s">
        <v>4389</v>
      </c>
      <c r="BJ19" s="1">
        <v>7</v>
      </c>
      <c r="BK19" s="1" t="s">
        <v>4408</v>
      </c>
      <c r="BL19" s="1" t="s">
        <v>1518</v>
      </c>
      <c r="BM19" s="1" t="s">
        <v>4408</v>
      </c>
      <c r="BN19" s="1" t="s">
        <v>4409</v>
      </c>
      <c r="BO19" s="1">
        <v>37321925</v>
      </c>
      <c r="BP19" s="1" t="s">
        <v>1537</v>
      </c>
      <c r="BQ19" s="1" t="s">
        <v>1507</v>
      </c>
      <c r="BR19" s="1" t="s">
        <v>1507</v>
      </c>
      <c r="BS19" s="1" t="s">
        <v>13744</v>
      </c>
      <c r="BT19" s="1" t="s">
        <v>4410</v>
      </c>
      <c r="BU19" s="1" t="str">
        <f>HYPERLINK("https%3A%2F%2Fwww.webofscience.com%2Fwos%2Fwoscc%2Ffull-record%2FWOS:001050843100001","View Full Record in Web of Science")</f>
        <v>View Full Record in Web of Science</v>
      </c>
    </row>
    <row r="20" spans="1:73" x14ac:dyDescent="0.25">
      <c r="A20" s="1">
        <v>20</v>
      </c>
      <c r="B20" s="1" t="s">
        <v>1506</v>
      </c>
      <c r="C20" s="1" t="s">
        <v>4692</v>
      </c>
      <c r="D20" s="1" t="s">
        <v>1507</v>
      </c>
      <c r="E20" s="1" t="s">
        <v>1507</v>
      </c>
      <c r="F20" s="1" t="s">
        <v>1507</v>
      </c>
      <c r="G20" s="1" t="s">
        <v>4693</v>
      </c>
      <c r="H20" s="1" t="s">
        <v>1507</v>
      </c>
      <c r="I20" s="1" t="s">
        <v>1507</v>
      </c>
      <c r="J20" s="1" t="s">
        <v>4694</v>
      </c>
      <c r="K20" s="1" t="s">
        <v>4695</v>
      </c>
      <c r="L20" s="1" t="s">
        <v>1507</v>
      </c>
      <c r="M20" s="1" t="s">
        <v>1507</v>
      </c>
      <c r="N20" s="1" t="s">
        <v>42</v>
      </c>
      <c r="O20" s="1" t="s">
        <v>1509</v>
      </c>
      <c r="P20" s="1" t="s">
        <v>1507</v>
      </c>
      <c r="Q20" s="1" t="s">
        <v>1507</v>
      </c>
      <c r="R20" s="1" t="s">
        <v>1507</v>
      </c>
      <c r="S20" s="1" t="s">
        <v>1507</v>
      </c>
      <c r="T20" s="1" t="s">
        <v>1507</v>
      </c>
      <c r="U20" s="1" t="s">
        <v>1507</v>
      </c>
      <c r="V20" s="1" t="s">
        <v>4696</v>
      </c>
      <c r="W20" s="1" t="s">
        <v>4697</v>
      </c>
      <c r="X20" s="1" t="s">
        <v>4698</v>
      </c>
      <c r="Y20" s="1" t="s">
        <v>4699</v>
      </c>
      <c r="Z20" s="1" t="s">
        <v>4700</v>
      </c>
      <c r="AA20" s="1" t="s">
        <v>4701</v>
      </c>
      <c r="AB20" s="1" t="s">
        <v>1507</v>
      </c>
      <c r="AC20" s="1" t="s">
        <v>1507</v>
      </c>
      <c r="AD20" s="1" t="s">
        <v>4702</v>
      </c>
      <c r="AE20" s="1" t="s">
        <v>4703</v>
      </c>
      <c r="AF20" s="1" t="s">
        <v>4704</v>
      </c>
      <c r="AG20" s="1" t="s">
        <v>1507</v>
      </c>
      <c r="AH20" s="1">
        <v>31</v>
      </c>
      <c r="AI20" s="1">
        <v>0</v>
      </c>
      <c r="AJ20" s="1">
        <v>0</v>
      </c>
      <c r="AK20" s="1">
        <v>0</v>
      </c>
      <c r="AL20" s="1">
        <v>2</v>
      </c>
      <c r="AM20" s="1" t="s">
        <v>1559</v>
      </c>
      <c r="AN20" s="1" t="s">
        <v>1560</v>
      </c>
      <c r="AO20" s="1" t="s">
        <v>1561</v>
      </c>
      <c r="AP20" s="1" t="s">
        <v>4705</v>
      </c>
      <c r="AQ20" s="1" t="s">
        <v>4706</v>
      </c>
      <c r="AR20" s="1" t="s">
        <v>1507</v>
      </c>
      <c r="AS20" s="1" t="s">
        <v>4707</v>
      </c>
      <c r="AT20" s="1" t="s">
        <v>4708</v>
      </c>
      <c r="AU20" s="1" t="s">
        <v>4709</v>
      </c>
      <c r="AV20" s="1">
        <v>2023</v>
      </c>
      <c r="AW20" s="1" t="s">
        <v>1507</v>
      </c>
      <c r="AX20" s="1" t="s">
        <v>1507</v>
      </c>
      <c r="AY20" s="1" t="s">
        <v>1507</v>
      </c>
      <c r="AZ20" s="1" t="s">
        <v>1507</v>
      </c>
      <c r="BA20" s="1" t="s">
        <v>1507</v>
      </c>
      <c r="BB20" s="1" t="s">
        <v>1507</v>
      </c>
      <c r="BC20" s="1" t="s">
        <v>1507</v>
      </c>
      <c r="BD20" s="1" t="s">
        <v>1507</v>
      </c>
      <c r="BE20" s="1" t="s">
        <v>1507</v>
      </c>
      <c r="BF20" s="1" t="s">
        <v>4710</v>
      </c>
      <c r="BG20" s="1" t="str">
        <f>HYPERLINK("http://dx.doi.org/10.1002/naaq.10290","http://dx.doi.org/10.1002/naaq.10290")</f>
        <v>http://dx.doi.org/10.1002/naaq.10290</v>
      </c>
      <c r="BH20" s="1" t="s">
        <v>1507</v>
      </c>
      <c r="BI20" s="1" t="s">
        <v>4630</v>
      </c>
      <c r="BJ20" s="1">
        <v>6</v>
      </c>
      <c r="BK20" s="1" t="s">
        <v>4711</v>
      </c>
      <c r="BL20" s="1" t="s">
        <v>1573</v>
      </c>
      <c r="BM20" s="1" t="s">
        <v>4711</v>
      </c>
      <c r="BN20" s="1" t="s">
        <v>4712</v>
      </c>
      <c r="BO20" s="1" t="s">
        <v>1507</v>
      </c>
      <c r="BP20" s="1" t="s">
        <v>1507</v>
      </c>
      <c r="BQ20" s="1" t="s">
        <v>1507</v>
      </c>
      <c r="BR20" s="1" t="s">
        <v>1507</v>
      </c>
      <c r="BS20" s="1" t="s">
        <v>13744</v>
      </c>
      <c r="BT20" s="1" t="s">
        <v>4713</v>
      </c>
      <c r="BU20" s="1" t="str">
        <f>HYPERLINK("https%3A%2F%2Fwww.webofscience.com%2Fwos%2Fwoscc%2Ffull-record%2FWOS:001000018800001","View Full Record in Web of Science")</f>
        <v>View Full Record in Web of Science</v>
      </c>
    </row>
    <row r="21" spans="1:73" x14ac:dyDescent="0.25">
      <c r="A21" s="1">
        <v>21</v>
      </c>
      <c r="B21" s="1" t="s">
        <v>1506</v>
      </c>
      <c r="C21" s="1" t="s">
        <v>11244</v>
      </c>
      <c r="D21" s="1" t="s">
        <v>1507</v>
      </c>
      <c r="E21" s="1" t="s">
        <v>1507</v>
      </c>
      <c r="F21" s="1" t="s">
        <v>1507</v>
      </c>
      <c r="G21" s="1" t="s">
        <v>11245</v>
      </c>
      <c r="H21" s="1" t="s">
        <v>1507</v>
      </c>
      <c r="I21" s="1" t="s">
        <v>1507</v>
      </c>
      <c r="J21" s="1" t="s">
        <v>11246</v>
      </c>
      <c r="K21" s="1" t="s">
        <v>11247</v>
      </c>
      <c r="L21" s="1" t="s">
        <v>1507</v>
      </c>
      <c r="M21" s="1" t="s">
        <v>1507</v>
      </c>
      <c r="N21" s="1" t="s">
        <v>42</v>
      </c>
      <c r="O21" s="1" t="s">
        <v>56</v>
      </c>
      <c r="P21" s="1" t="s">
        <v>1507</v>
      </c>
      <c r="Q21" s="1" t="s">
        <v>1507</v>
      </c>
      <c r="R21" s="1" t="s">
        <v>1507</v>
      </c>
      <c r="S21" s="1" t="s">
        <v>1507</v>
      </c>
      <c r="T21" s="1" t="s">
        <v>1507</v>
      </c>
      <c r="U21" s="1" t="s">
        <v>11248</v>
      </c>
      <c r="V21" s="1" t="s">
        <v>1507</v>
      </c>
      <c r="W21" s="1" t="s">
        <v>11249</v>
      </c>
      <c r="X21" s="1" t="s">
        <v>11250</v>
      </c>
      <c r="Y21" s="1" t="s">
        <v>15942</v>
      </c>
      <c r="Z21" s="1" t="s">
        <v>11251</v>
      </c>
      <c r="AA21" s="1" t="s">
        <v>1507</v>
      </c>
      <c r="AB21" s="1" t="s">
        <v>1507</v>
      </c>
      <c r="AC21" s="1" t="s">
        <v>11252</v>
      </c>
      <c r="AD21" s="1" t="s">
        <v>11253</v>
      </c>
      <c r="AE21" s="1" t="s">
        <v>11254</v>
      </c>
      <c r="AF21" s="1" t="s">
        <v>11255</v>
      </c>
      <c r="AG21" s="1" t="s">
        <v>1507</v>
      </c>
      <c r="AH21" s="1">
        <v>41</v>
      </c>
      <c r="AI21" s="1">
        <v>15</v>
      </c>
      <c r="AJ21" s="1">
        <v>16</v>
      </c>
      <c r="AK21" s="1">
        <v>0</v>
      </c>
      <c r="AL21" s="1">
        <v>7</v>
      </c>
      <c r="AM21" s="1" t="s">
        <v>3564</v>
      </c>
      <c r="AN21" s="1" t="s">
        <v>1523</v>
      </c>
      <c r="AO21" s="1" t="s">
        <v>3565</v>
      </c>
      <c r="AP21" s="1" t="s">
        <v>11256</v>
      </c>
      <c r="AQ21" s="1" t="s">
        <v>11257</v>
      </c>
      <c r="AR21" s="1" t="s">
        <v>1507</v>
      </c>
      <c r="AS21" s="1" t="s">
        <v>11258</v>
      </c>
      <c r="AT21" s="1" t="s">
        <v>11259</v>
      </c>
      <c r="AU21" s="1" t="s">
        <v>1616</v>
      </c>
      <c r="AV21" s="1">
        <v>2019</v>
      </c>
      <c r="AW21" s="1">
        <v>68</v>
      </c>
      <c r="AX21" s="1">
        <v>1</v>
      </c>
      <c r="AY21" s="1" t="s">
        <v>1507</v>
      </c>
      <c r="AZ21" s="1" t="s">
        <v>1507</v>
      </c>
      <c r="BA21" s="1" t="s">
        <v>1507</v>
      </c>
      <c r="BB21" s="1" t="s">
        <v>1507</v>
      </c>
      <c r="BC21" s="1">
        <v>111</v>
      </c>
      <c r="BD21" s="1">
        <v>140</v>
      </c>
      <c r="BE21" s="1" t="s">
        <v>11260</v>
      </c>
      <c r="BF21" s="1" t="s">
        <v>11261</v>
      </c>
      <c r="BG21" s="1" t="str">
        <f>HYPERLINK("http://dx.doi.org/10.1017/S0020589318000398","http://dx.doi.org/10.1017/S0020589318000398")</f>
        <v>http://dx.doi.org/10.1017/S0020589318000398</v>
      </c>
      <c r="BH21" s="1" t="s">
        <v>1507</v>
      </c>
      <c r="BI21" s="1" t="s">
        <v>1507</v>
      </c>
      <c r="BJ21" s="1">
        <v>30</v>
      </c>
      <c r="BK21" s="1" t="s">
        <v>1535</v>
      </c>
      <c r="BL21" s="1" t="s">
        <v>1518</v>
      </c>
      <c r="BM21" s="1" t="s">
        <v>1536</v>
      </c>
      <c r="BN21" s="1" t="s">
        <v>11262</v>
      </c>
      <c r="BO21" s="1" t="s">
        <v>1507</v>
      </c>
      <c r="BP21" s="1" t="s">
        <v>15943</v>
      </c>
      <c r="BQ21" s="1" t="s">
        <v>1507</v>
      </c>
      <c r="BR21" s="1" t="s">
        <v>1507</v>
      </c>
      <c r="BS21" s="1" t="s">
        <v>13744</v>
      </c>
      <c r="BT21" s="1" t="s">
        <v>11263</v>
      </c>
      <c r="BU21" s="1" t="str">
        <f>HYPERLINK("https%3A%2F%2Fwww.webofscience.com%2Fwos%2Fwoscc%2Ffull-record%2FWOS:000458497300005","View Full Record in Web of Science")</f>
        <v>View Full Record in Web of Science</v>
      </c>
    </row>
    <row r="22" spans="1:73" x14ac:dyDescent="0.25">
      <c r="A22" s="1">
        <v>22</v>
      </c>
      <c r="B22" s="1" t="s">
        <v>1506</v>
      </c>
      <c r="C22" s="1" t="s">
        <v>11264</v>
      </c>
      <c r="D22" s="1" t="s">
        <v>1507</v>
      </c>
      <c r="E22" s="1" t="s">
        <v>1507</v>
      </c>
      <c r="F22" s="1" t="s">
        <v>1507</v>
      </c>
      <c r="G22" s="1" t="s">
        <v>11265</v>
      </c>
      <c r="H22" s="1" t="s">
        <v>1507</v>
      </c>
      <c r="I22" s="1" t="s">
        <v>1507</v>
      </c>
      <c r="J22" s="1" t="s">
        <v>11266</v>
      </c>
      <c r="K22" s="1" t="s">
        <v>11267</v>
      </c>
      <c r="L22" s="1" t="s">
        <v>1507</v>
      </c>
      <c r="M22" s="1" t="s">
        <v>1507</v>
      </c>
      <c r="N22" s="1" t="s">
        <v>42</v>
      </c>
      <c r="O22" s="1" t="s">
        <v>56</v>
      </c>
      <c r="P22" s="1" t="s">
        <v>1507</v>
      </c>
      <c r="Q22" s="1" t="s">
        <v>1507</v>
      </c>
      <c r="R22" s="1" t="s">
        <v>1507</v>
      </c>
      <c r="S22" s="1" t="s">
        <v>1507</v>
      </c>
      <c r="T22" s="1" t="s">
        <v>1507</v>
      </c>
      <c r="U22" s="1" t="s">
        <v>1507</v>
      </c>
      <c r="V22" s="1" t="s">
        <v>11268</v>
      </c>
      <c r="W22" s="1" t="s">
        <v>11269</v>
      </c>
      <c r="X22" s="1" t="s">
        <v>11270</v>
      </c>
      <c r="Y22" s="1" t="s">
        <v>15829</v>
      </c>
      <c r="Z22" s="1" t="s">
        <v>11271</v>
      </c>
      <c r="AA22" s="1" t="s">
        <v>1507</v>
      </c>
      <c r="AB22" s="1" t="s">
        <v>1507</v>
      </c>
      <c r="AC22" s="1" t="s">
        <v>1507</v>
      </c>
      <c r="AD22" s="1" t="s">
        <v>11272</v>
      </c>
      <c r="AE22" s="1" t="s">
        <v>10125</v>
      </c>
      <c r="AF22" s="1" t="s">
        <v>11273</v>
      </c>
      <c r="AG22" s="1" t="s">
        <v>1507</v>
      </c>
      <c r="AH22" s="1">
        <v>71</v>
      </c>
      <c r="AI22" s="1">
        <v>3</v>
      </c>
      <c r="AJ22" s="1">
        <v>3</v>
      </c>
      <c r="AK22" s="1">
        <v>0</v>
      </c>
      <c r="AL22" s="1">
        <v>1</v>
      </c>
      <c r="AM22" s="1" t="s">
        <v>11274</v>
      </c>
      <c r="AN22" s="1" t="s">
        <v>11275</v>
      </c>
      <c r="AO22" s="1" t="s">
        <v>11276</v>
      </c>
      <c r="AP22" s="1" t="s">
        <v>11277</v>
      </c>
      <c r="AQ22" s="1" t="s">
        <v>11278</v>
      </c>
      <c r="AR22" s="1" t="s">
        <v>1507</v>
      </c>
      <c r="AS22" s="1" t="s">
        <v>11279</v>
      </c>
      <c r="AT22" s="1" t="s">
        <v>11280</v>
      </c>
      <c r="AU22" s="1" t="s">
        <v>1507</v>
      </c>
      <c r="AV22" s="1">
        <v>2019</v>
      </c>
      <c r="AW22" s="1">
        <v>43</v>
      </c>
      <c r="AX22" s="1">
        <v>1</v>
      </c>
      <c r="AY22" s="1" t="s">
        <v>1507</v>
      </c>
      <c r="AZ22" s="1" t="s">
        <v>1507</v>
      </c>
      <c r="BA22" s="1" t="s">
        <v>1507</v>
      </c>
      <c r="BB22" s="1" t="s">
        <v>1507</v>
      </c>
      <c r="BC22" s="1">
        <v>1</v>
      </c>
      <c r="BD22" s="1">
        <v>43</v>
      </c>
      <c r="BE22" s="1" t="s">
        <v>1507</v>
      </c>
      <c r="BF22" s="1" t="s">
        <v>1507</v>
      </c>
      <c r="BG22" s="1" t="s">
        <v>1507</v>
      </c>
      <c r="BH22" s="1" t="s">
        <v>1507</v>
      </c>
      <c r="BI22" s="1" t="s">
        <v>1507</v>
      </c>
      <c r="BJ22" s="1">
        <v>43</v>
      </c>
      <c r="BK22" s="1" t="s">
        <v>1535</v>
      </c>
      <c r="BL22" s="1" t="s">
        <v>1518</v>
      </c>
      <c r="BM22" s="1" t="s">
        <v>1536</v>
      </c>
      <c r="BN22" s="1" t="s">
        <v>11281</v>
      </c>
      <c r="BO22" s="1" t="s">
        <v>1507</v>
      </c>
      <c r="BP22" s="1" t="s">
        <v>1507</v>
      </c>
      <c r="BQ22" s="1" t="s">
        <v>1507</v>
      </c>
      <c r="BR22" s="1" t="s">
        <v>1507</v>
      </c>
      <c r="BS22" s="1" t="s">
        <v>13744</v>
      </c>
      <c r="BT22" s="1" t="s">
        <v>11282</v>
      </c>
      <c r="BU22" s="1" t="str">
        <f>HYPERLINK("https%3A%2F%2Fwww.webofscience.com%2Fwos%2Fwoscc%2Ffull-record%2FWOS:000503409400001","View Full Record in Web of Science")</f>
        <v>View Full Record in Web of Science</v>
      </c>
    </row>
    <row r="23" spans="1:73" x14ac:dyDescent="0.25">
      <c r="A23" s="1">
        <v>23</v>
      </c>
      <c r="B23" s="1" t="s">
        <v>1506</v>
      </c>
      <c r="C23" s="1" t="s">
        <v>9345</v>
      </c>
      <c r="D23" s="1" t="s">
        <v>1507</v>
      </c>
      <c r="E23" s="1" t="s">
        <v>1507</v>
      </c>
      <c r="F23" s="1" t="s">
        <v>1507</v>
      </c>
      <c r="G23" s="1" t="s">
        <v>9346</v>
      </c>
      <c r="H23" s="1" t="s">
        <v>1507</v>
      </c>
      <c r="I23" s="1" t="s">
        <v>1507</v>
      </c>
      <c r="J23" s="1" t="s">
        <v>9347</v>
      </c>
      <c r="K23" s="1" t="s">
        <v>9348</v>
      </c>
      <c r="L23" s="1" t="s">
        <v>1507</v>
      </c>
      <c r="M23" s="1" t="s">
        <v>1507</v>
      </c>
      <c r="N23" s="1" t="s">
        <v>42</v>
      </c>
      <c r="O23" s="1" t="s">
        <v>56</v>
      </c>
      <c r="P23" s="1" t="s">
        <v>1507</v>
      </c>
      <c r="Q23" s="1" t="s">
        <v>1507</v>
      </c>
      <c r="R23" s="1" t="s">
        <v>1507</v>
      </c>
      <c r="S23" s="1" t="s">
        <v>1507</v>
      </c>
      <c r="T23" s="1" t="s">
        <v>1507</v>
      </c>
      <c r="U23" s="1" t="s">
        <v>9349</v>
      </c>
      <c r="V23" s="1" t="s">
        <v>9350</v>
      </c>
      <c r="W23" s="1" t="s">
        <v>9351</v>
      </c>
      <c r="X23" s="1" t="s">
        <v>9352</v>
      </c>
      <c r="Y23" s="1" t="s">
        <v>9353</v>
      </c>
      <c r="Z23" s="1" t="s">
        <v>9354</v>
      </c>
      <c r="AA23" s="1" t="s">
        <v>9355</v>
      </c>
      <c r="AB23" s="1" t="s">
        <v>15784</v>
      </c>
      <c r="AC23" s="1" t="s">
        <v>15785</v>
      </c>
      <c r="AD23" s="1" t="s">
        <v>9356</v>
      </c>
      <c r="AE23" s="1" t="s">
        <v>9356</v>
      </c>
      <c r="AF23" s="1" t="s">
        <v>9357</v>
      </c>
      <c r="AG23" s="1" t="s">
        <v>1507</v>
      </c>
      <c r="AH23" s="1">
        <v>166</v>
      </c>
      <c r="AI23" s="1">
        <v>23</v>
      </c>
      <c r="AJ23" s="1">
        <v>23</v>
      </c>
      <c r="AK23" s="1">
        <v>0</v>
      </c>
      <c r="AL23" s="1">
        <v>42</v>
      </c>
      <c r="AM23" s="1" t="s">
        <v>1511</v>
      </c>
      <c r="AN23" s="1" t="s">
        <v>1570</v>
      </c>
      <c r="AO23" s="1" t="s">
        <v>1571</v>
      </c>
      <c r="AP23" s="1" t="s">
        <v>9358</v>
      </c>
      <c r="AQ23" s="1" t="s">
        <v>9359</v>
      </c>
      <c r="AR23" s="1" t="s">
        <v>1507</v>
      </c>
      <c r="AS23" s="1" t="s">
        <v>9360</v>
      </c>
      <c r="AT23" s="1" t="s">
        <v>9361</v>
      </c>
      <c r="AU23" s="1" t="s">
        <v>9054</v>
      </c>
      <c r="AV23" s="1">
        <v>2021</v>
      </c>
      <c r="AW23" s="1">
        <v>36</v>
      </c>
      <c r="AX23" s="1">
        <v>2</v>
      </c>
      <c r="AY23" s="1" t="s">
        <v>1507</v>
      </c>
      <c r="AZ23" s="1" t="s">
        <v>1507</v>
      </c>
      <c r="BA23" s="1" t="s">
        <v>1507</v>
      </c>
      <c r="BB23" s="1" t="s">
        <v>1507</v>
      </c>
      <c r="BC23" s="1">
        <v>637</v>
      </c>
      <c r="BD23" s="1">
        <v>663</v>
      </c>
      <c r="BE23" s="1" t="s">
        <v>1507</v>
      </c>
      <c r="BF23" s="1" t="s">
        <v>9362</v>
      </c>
      <c r="BG23" s="1" t="str">
        <f>HYPERLINK("http://dx.doi.org/10.1007/s10980-020-01161-y","http://dx.doi.org/10.1007/s10980-020-01161-y")</f>
        <v>http://dx.doi.org/10.1007/s10980-020-01161-y</v>
      </c>
      <c r="BH23" s="1" t="s">
        <v>1507</v>
      </c>
      <c r="BI23" s="1" t="s">
        <v>9363</v>
      </c>
      <c r="BJ23" s="1">
        <v>27</v>
      </c>
      <c r="BK23" s="1" t="s">
        <v>9364</v>
      </c>
      <c r="BL23" s="1" t="s">
        <v>1598</v>
      </c>
      <c r="BM23" s="1" t="s">
        <v>9365</v>
      </c>
      <c r="BN23" s="1" t="s">
        <v>9366</v>
      </c>
      <c r="BO23" s="1" t="s">
        <v>1507</v>
      </c>
      <c r="BP23" s="1" t="s">
        <v>2309</v>
      </c>
      <c r="BQ23" s="1" t="s">
        <v>1507</v>
      </c>
      <c r="BR23" s="1" t="s">
        <v>1507</v>
      </c>
      <c r="BS23" s="1" t="s">
        <v>13744</v>
      </c>
      <c r="BT23" s="1" t="s">
        <v>9367</v>
      </c>
      <c r="BU23" s="1" t="str">
        <f>HYPERLINK("https%3A%2F%2Fwww.webofscience.com%2Fwos%2Fwoscc%2Ffull-record%2FWOS:000599036400001","View Full Record in Web of Science")</f>
        <v>View Full Record in Web of Science</v>
      </c>
    </row>
    <row r="24" spans="1:73" x14ac:dyDescent="0.25">
      <c r="A24" s="1">
        <v>24</v>
      </c>
      <c r="B24" s="1" t="s">
        <v>1506</v>
      </c>
      <c r="C24" s="1" t="s">
        <v>3248</v>
      </c>
      <c r="D24" s="1" t="s">
        <v>1507</v>
      </c>
      <c r="E24" s="1" t="s">
        <v>1507</v>
      </c>
      <c r="F24" s="1" t="s">
        <v>1507</v>
      </c>
      <c r="G24" s="1" t="s">
        <v>3249</v>
      </c>
      <c r="H24" s="1" t="s">
        <v>1507</v>
      </c>
      <c r="I24" s="1" t="s">
        <v>1507</v>
      </c>
      <c r="J24" s="1" t="s">
        <v>3250</v>
      </c>
      <c r="K24" s="1" t="s">
        <v>3251</v>
      </c>
      <c r="L24" s="1" t="s">
        <v>1507</v>
      </c>
      <c r="M24" s="1" t="s">
        <v>1507</v>
      </c>
      <c r="N24" s="1" t="s">
        <v>42</v>
      </c>
      <c r="O24" s="1" t="s">
        <v>56</v>
      </c>
      <c r="P24" s="1" t="s">
        <v>1507</v>
      </c>
      <c r="Q24" s="1" t="s">
        <v>1507</v>
      </c>
      <c r="R24" s="1" t="s">
        <v>1507</v>
      </c>
      <c r="S24" s="1" t="s">
        <v>1507</v>
      </c>
      <c r="T24" s="1" t="s">
        <v>1507</v>
      </c>
      <c r="U24" s="1" t="s">
        <v>3252</v>
      </c>
      <c r="V24" s="1" t="s">
        <v>3253</v>
      </c>
      <c r="W24" s="1" t="s">
        <v>3254</v>
      </c>
      <c r="X24" s="1" t="s">
        <v>3255</v>
      </c>
      <c r="Y24" s="1" t="s">
        <v>3256</v>
      </c>
      <c r="Z24" s="1" t="s">
        <v>3257</v>
      </c>
      <c r="AA24" s="1" t="s">
        <v>3258</v>
      </c>
      <c r="AB24" s="1" t="s">
        <v>3259</v>
      </c>
      <c r="AC24" s="1" t="s">
        <v>14296</v>
      </c>
      <c r="AD24" s="1" t="s">
        <v>3260</v>
      </c>
      <c r="AE24" s="1" t="s">
        <v>3261</v>
      </c>
      <c r="AF24" s="1" t="s">
        <v>3262</v>
      </c>
      <c r="AG24" s="1" t="s">
        <v>1507</v>
      </c>
      <c r="AH24" s="1">
        <v>75</v>
      </c>
      <c r="AI24" s="1">
        <v>2</v>
      </c>
      <c r="AJ24" s="1">
        <v>2</v>
      </c>
      <c r="AK24" s="1">
        <v>16</v>
      </c>
      <c r="AL24" s="1">
        <v>16</v>
      </c>
      <c r="AM24" s="1" t="s">
        <v>3263</v>
      </c>
      <c r="AN24" s="1" t="s">
        <v>2300</v>
      </c>
      <c r="AO24" s="1" t="s">
        <v>3264</v>
      </c>
      <c r="AP24" s="1" t="s">
        <v>3265</v>
      </c>
      <c r="AQ24" s="1" t="s">
        <v>3266</v>
      </c>
      <c r="AR24" s="1" t="s">
        <v>1507</v>
      </c>
      <c r="AS24" s="1" t="s">
        <v>3267</v>
      </c>
      <c r="AT24" s="1" t="s">
        <v>3268</v>
      </c>
      <c r="AU24" s="1" t="s">
        <v>3269</v>
      </c>
      <c r="AV24" s="1">
        <v>2023</v>
      </c>
      <c r="AW24" s="1">
        <v>120</v>
      </c>
      <c r="AX24" s="1">
        <v>41</v>
      </c>
      <c r="AY24" s="1" t="s">
        <v>1507</v>
      </c>
      <c r="AZ24" s="1" t="s">
        <v>1507</v>
      </c>
      <c r="BA24" s="1" t="s">
        <v>1507</v>
      </c>
      <c r="BB24" s="1" t="s">
        <v>1507</v>
      </c>
      <c r="BC24" s="1" t="s">
        <v>1507</v>
      </c>
      <c r="BD24" s="1" t="s">
        <v>1507</v>
      </c>
      <c r="BE24" s="1" t="s">
        <v>3270</v>
      </c>
      <c r="BF24" s="1" t="s">
        <v>3271</v>
      </c>
      <c r="BG24" s="1" t="str">
        <f>HYPERLINK("http://dx.doi.org/10.1073/pnas.2311627120","http://dx.doi.org/10.1073/pnas.2311627120")</f>
        <v>http://dx.doi.org/10.1073/pnas.2311627120</v>
      </c>
      <c r="BH24" s="1" t="s">
        <v>1507</v>
      </c>
      <c r="BI24" s="1" t="s">
        <v>1507</v>
      </c>
      <c r="BJ24" s="1">
        <v>8</v>
      </c>
      <c r="BK24" s="1" t="s">
        <v>1776</v>
      </c>
      <c r="BL24" s="1" t="s">
        <v>1573</v>
      </c>
      <c r="BM24" s="1" t="s">
        <v>1777</v>
      </c>
      <c r="BN24" s="1" t="s">
        <v>3272</v>
      </c>
      <c r="BO24" s="1">
        <v>37788311</v>
      </c>
      <c r="BP24" s="1" t="s">
        <v>2309</v>
      </c>
      <c r="BQ24" s="1" t="s">
        <v>1507</v>
      </c>
      <c r="BR24" s="1" t="s">
        <v>1507</v>
      </c>
      <c r="BS24" s="1" t="s">
        <v>13744</v>
      </c>
      <c r="BT24" s="1" t="s">
        <v>3273</v>
      </c>
      <c r="BU24" s="1" t="str">
        <f>HYPERLINK("https%3A%2F%2Fwww.webofscience.com%2Fwos%2Fwoscc%2Ffull-record%2FWOS:001088928400004","View Full Record in Web of Science")</f>
        <v>View Full Record in Web of Science</v>
      </c>
    </row>
    <row r="25" spans="1:73" x14ac:dyDescent="0.25">
      <c r="A25" s="1">
        <v>26</v>
      </c>
      <c r="B25" s="1" t="s">
        <v>1506</v>
      </c>
      <c r="C25" s="1" t="s">
        <v>9871</v>
      </c>
      <c r="D25" s="1" t="s">
        <v>1507</v>
      </c>
      <c r="E25" s="1" t="s">
        <v>1507</v>
      </c>
      <c r="F25" s="1" t="s">
        <v>1507</v>
      </c>
      <c r="G25" s="1" t="s">
        <v>9872</v>
      </c>
      <c r="H25" s="1" t="s">
        <v>1507</v>
      </c>
      <c r="I25" s="1" t="s">
        <v>1507</v>
      </c>
      <c r="J25" s="1" t="s">
        <v>9873</v>
      </c>
      <c r="K25" s="1" t="s">
        <v>9874</v>
      </c>
      <c r="L25" s="1" t="s">
        <v>1507</v>
      </c>
      <c r="M25" s="1" t="s">
        <v>1507</v>
      </c>
      <c r="N25" s="1" t="s">
        <v>42</v>
      </c>
      <c r="O25" s="1" t="s">
        <v>56</v>
      </c>
      <c r="P25" s="1" t="s">
        <v>1507</v>
      </c>
      <c r="Q25" s="1" t="s">
        <v>1507</v>
      </c>
      <c r="R25" s="1" t="s">
        <v>1507</v>
      </c>
      <c r="S25" s="1" t="s">
        <v>1507</v>
      </c>
      <c r="T25" s="1" t="s">
        <v>1507</v>
      </c>
      <c r="U25" s="1" t="s">
        <v>9875</v>
      </c>
      <c r="V25" s="1" t="s">
        <v>9876</v>
      </c>
      <c r="W25" s="1" t="s">
        <v>9877</v>
      </c>
      <c r="X25" s="1" t="s">
        <v>9878</v>
      </c>
      <c r="Y25" s="1" t="s">
        <v>9879</v>
      </c>
      <c r="Z25" s="1" t="s">
        <v>9880</v>
      </c>
      <c r="AA25" s="1" t="s">
        <v>9881</v>
      </c>
      <c r="AB25" s="1" t="s">
        <v>1507</v>
      </c>
      <c r="AC25" s="1" t="s">
        <v>15814</v>
      </c>
      <c r="AD25" s="1" t="s">
        <v>9882</v>
      </c>
      <c r="AE25" s="1" t="s">
        <v>9883</v>
      </c>
      <c r="AF25" s="1" t="s">
        <v>9884</v>
      </c>
      <c r="AG25" s="1" t="s">
        <v>1507</v>
      </c>
      <c r="AH25" s="1">
        <v>77</v>
      </c>
      <c r="AI25" s="1">
        <v>6</v>
      </c>
      <c r="AJ25" s="1">
        <v>6</v>
      </c>
      <c r="AK25" s="1">
        <v>4</v>
      </c>
      <c r="AL25" s="1">
        <v>25</v>
      </c>
      <c r="AM25" s="1" t="s">
        <v>1511</v>
      </c>
      <c r="AN25" s="1" t="s">
        <v>1512</v>
      </c>
      <c r="AO25" s="1" t="s">
        <v>1513</v>
      </c>
      <c r="AP25" s="1" t="s">
        <v>9885</v>
      </c>
      <c r="AQ25" s="1" t="s">
        <v>9886</v>
      </c>
      <c r="AR25" s="1" t="s">
        <v>1507</v>
      </c>
      <c r="AS25" s="1" t="s">
        <v>9887</v>
      </c>
      <c r="AT25" s="1" t="s">
        <v>9888</v>
      </c>
      <c r="AU25" s="1" t="s">
        <v>1616</v>
      </c>
      <c r="AV25" s="1">
        <v>2021</v>
      </c>
      <c r="AW25" s="1">
        <v>44</v>
      </c>
      <c r="AX25" s="1">
        <v>1</v>
      </c>
      <c r="AY25" s="1" t="s">
        <v>1507</v>
      </c>
      <c r="AZ25" s="1" t="s">
        <v>1507</v>
      </c>
      <c r="BA25" s="1" t="s">
        <v>1507</v>
      </c>
      <c r="BB25" s="1" t="s">
        <v>1507</v>
      </c>
      <c r="BC25" s="1">
        <v>178</v>
      </c>
      <c r="BD25" s="1">
        <v>188</v>
      </c>
      <c r="BE25" s="1" t="s">
        <v>1507</v>
      </c>
      <c r="BF25" s="1" t="s">
        <v>9889</v>
      </c>
      <c r="BG25" s="1" t="str">
        <f>HYPERLINK("http://dx.doi.org/10.1007/s12237-020-00765-6","http://dx.doi.org/10.1007/s12237-020-00765-6")</f>
        <v>http://dx.doi.org/10.1007/s12237-020-00765-6</v>
      </c>
      <c r="BH25" s="1" t="s">
        <v>1507</v>
      </c>
      <c r="BI25" s="1" t="s">
        <v>9890</v>
      </c>
      <c r="BJ25" s="1">
        <v>11</v>
      </c>
      <c r="BK25" s="1" t="s">
        <v>9891</v>
      </c>
      <c r="BL25" s="1" t="s">
        <v>1573</v>
      </c>
      <c r="BM25" s="1" t="s">
        <v>9892</v>
      </c>
      <c r="BN25" s="1" t="s">
        <v>9893</v>
      </c>
      <c r="BO25" s="1" t="s">
        <v>1507</v>
      </c>
      <c r="BP25" s="1" t="s">
        <v>1507</v>
      </c>
      <c r="BQ25" s="1" t="s">
        <v>1507</v>
      </c>
      <c r="BR25" s="1" t="s">
        <v>1507</v>
      </c>
      <c r="BS25" s="1" t="s">
        <v>13744</v>
      </c>
      <c r="BT25" s="1" t="s">
        <v>9894</v>
      </c>
      <c r="BU25" s="1" t="str">
        <f>HYPERLINK("https%3A%2F%2Fwww.webofscience.com%2Fwos%2Fwoscc%2Ffull-record%2FWOS:000536447900001","View Full Record in Web of Science")</f>
        <v>View Full Record in Web of Science</v>
      </c>
    </row>
    <row r="26" spans="1:73" x14ac:dyDescent="0.25">
      <c r="A26" s="1">
        <v>28</v>
      </c>
      <c r="B26" s="1" t="s">
        <v>1506</v>
      </c>
      <c r="C26" s="1" t="s">
        <v>10964</v>
      </c>
      <c r="D26" s="1" t="s">
        <v>1507</v>
      </c>
      <c r="E26" s="1" t="s">
        <v>1507</v>
      </c>
      <c r="F26" s="1" t="s">
        <v>1507</v>
      </c>
      <c r="G26" s="1" t="s">
        <v>10965</v>
      </c>
      <c r="H26" s="1" t="s">
        <v>1507</v>
      </c>
      <c r="I26" s="1" t="s">
        <v>1507</v>
      </c>
      <c r="J26" s="1" t="s">
        <v>10966</v>
      </c>
      <c r="K26" s="1" t="s">
        <v>3555</v>
      </c>
      <c r="L26" s="1" t="s">
        <v>1507</v>
      </c>
      <c r="M26" s="1" t="s">
        <v>1507</v>
      </c>
      <c r="N26" s="1" t="s">
        <v>42</v>
      </c>
      <c r="O26" s="1" t="s">
        <v>56</v>
      </c>
      <c r="P26" s="1" t="s">
        <v>1507</v>
      </c>
      <c r="Q26" s="1" t="s">
        <v>1507</v>
      </c>
      <c r="R26" s="1" t="s">
        <v>1507</v>
      </c>
      <c r="S26" s="1" t="s">
        <v>1507</v>
      </c>
      <c r="T26" s="1" t="s">
        <v>1507</v>
      </c>
      <c r="U26" s="1" t="s">
        <v>10967</v>
      </c>
      <c r="V26" s="1" t="s">
        <v>1507</v>
      </c>
      <c r="W26" s="1" t="s">
        <v>10968</v>
      </c>
      <c r="X26" s="1" t="s">
        <v>10969</v>
      </c>
      <c r="Y26" s="1" t="s">
        <v>5170</v>
      </c>
      <c r="Z26" s="1" t="s">
        <v>10970</v>
      </c>
      <c r="AA26" s="1" t="s">
        <v>10971</v>
      </c>
      <c r="AB26" s="1" t="s">
        <v>15929</v>
      </c>
      <c r="AC26" s="1" t="s">
        <v>15930</v>
      </c>
      <c r="AD26" s="1" t="s">
        <v>10973</v>
      </c>
      <c r="AE26" s="1" t="s">
        <v>10973</v>
      </c>
      <c r="AF26" s="1" t="s">
        <v>10974</v>
      </c>
      <c r="AG26" s="1" t="s">
        <v>1507</v>
      </c>
      <c r="AH26" s="1">
        <v>87</v>
      </c>
      <c r="AI26" s="1">
        <v>4</v>
      </c>
      <c r="AJ26" s="1">
        <v>4</v>
      </c>
      <c r="AK26" s="1">
        <v>0</v>
      </c>
      <c r="AL26" s="1">
        <v>1</v>
      </c>
      <c r="AM26" s="1" t="s">
        <v>3564</v>
      </c>
      <c r="AN26" s="1" t="s">
        <v>1523</v>
      </c>
      <c r="AO26" s="1" t="s">
        <v>3565</v>
      </c>
      <c r="AP26" s="1" t="s">
        <v>3566</v>
      </c>
      <c r="AQ26" s="1" t="s">
        <v>3567</v>
      </c>
      <c r="AR26" s="1" t="s">
        <v>1507</v>
      </c>
      <c r="AS26" s="1" t="s">
        <v>3568</v>
      </c>
      <c r="AT26" s="1" t="s">
        <v>3569</v>
      </c>
      <c r="AU26" s="1" t="s">
        <v>4721</v>
      </c>
      <c r="AV26" s="1">
        <v>2019</v>
      </c>
      <c r="AW26" s="1">
        <v>63</v>
      </c>
      <c r="AX26" s="1">
        <v>2</v>
      </c>
      <c r="AY26" s="1" t="s">
        <v>1507</v>
      </c>
      <c r="AZ26" s="1" t="s">
        <v>1507</v>
      </c>
      <c r="BA26" s="1" t="s">
        <v>1507</v>
      </c>
      <c r="BB26" s="1" t="s">
        <v>1507</v>
      </c>
      <c r="BC26" s="1">
        <v>163</v>
      </c>
      <c r="BD26" s="1">
        <v>191</v>
      </c>
      <c r="BE26" s="1" t="s">
        <v>10975</v>
      </c>
      <c r="BF26" s="1" t="s">
        <v>10976</v>
      </c>
      <c r="BG26" s="1" t="str">
        <f>HYPERLINK("http://dx.doi.org/10.1017/S0021855319000196","http://dx.doi.org/10.1017/S0021855319000196")</f>
        <v>http://dx.doi.org/10.1017/S0021855319000196</v>
      </c>
      <c r="BH26" s="1" t="s">
        <v>1507</v>
      </c>
      <c r="BI26" s="1" t="s">
        <v>1507</v>
      </c>
      <c r="BJ26" s="1">
        <v>29</v>
      </c>
      <c r="BK26" s="1" t="s">
        <v>1535</v>
      </c>
      <c r="BL26" s="1" t="s">
        <v>1518</v>
      </c>
      <c r="BM26" s="1" t="s">
        <v>1536</v>
      </c>
      <c r="BN26" s="1" t="s">
        <v>10977</v>
      </c>
      <c r="BO26" s="1" t="s">
        <v>1507</v>
      </c>
      <c r="BP26" s="1" t="s">
        <v>1507</v>
      </c>
      <c r="BQ26" s="1" t="s">
        <v>1507</v>
      </c>
      <c r="BR26" s="1" t="s">
        <v>1507</v>
      </c>
      <c r="BS26" s="1" t="s">
        <v>13744</v>
      </c>
      <c r="BT26" s="1" t="s">
        <v>10978</v>
      </c>
      <c r="BU26" s="1" t="str">
        <f>HYPERLINK("https%3A%2F%2Fwww.webofscience.com%2Fwos%2Fwoscc%2Ffull-record%2FWOS:000484283500002","View Full Record in Web of Science")</f>
        <v>View Full Record in Web of Science</v>
      </c>
    </row>
    <row r="27" spans="1:73" x14ac:dyDescent="0.25">
      <c r="A27" s="1">
        <v>29</v>
      </c>
      <c r="B27" s="1" t="s">
        <v>1506</v>
      </c>
      <c r="C27" s="1" t="s">
        <v>10964</v>
      </c>
      <c r="D27" s="1" t="s">
        <v>1507</v>
      </c>
      <c r="E27" s="1" t="s">
        <v>1507</v>
      </c>
      <c r="F27" s="1" t="s">
        <v>1507</v>
      </c>
      <c r="G27" s="1" t="s">
        <v>10965</v>
      </c>
      <c r="H27" s="1" t="s">
        <v>1507</v>
      </c>
      <c r="I27" s="1" t="s">
        <v>1507</v>
      </c>
      <c r="J27" s="1" t="s">
        <v>11041</v>
      </c>
      <c r="K27" s="1" t="s">
        <v>5034</v>
      </c>
      <c r="L27" s="1" t="s">
        <v>1507</v>
      </c>
      <c r="M27" s="1" t="s">
        <v>1507</v>
      </c>
      <c r="N27" s="1" t="s">
        <v>42</v>
      </c>
      <c r="O27" s="1" t="s">
        <v>56</v>
      </c>
      <c r="P27" s="1" t="s">
        <v>1507</v>
      </c>
      <c r="Q27" s="1" t="s">
        <v>1507</v>
      </c>
      <c r="R27" s="1" t="s">
        <v>1507</v>
      </c>
      <c r="S27" s="1" t="s">
        <v>1507</v>
      </c>
      <c r="T27" s="1" t="s">
        <v>1507</v>
      </c>
      <c r="U27" s="1" t="s">
        <v>1507</v>
      </c>
      <c r="V27" s="1" t="s">
        <v>1507</v>
      </c>
      <c r="W27" s="1" t="s">
        <v>1507</v>
      </c>
      <c r="X27" s="1" t="s">
        <v>10969</v>
      </c>
      <c r="Y27" s="1" t="s">
        <v>5170</v>
      </c>
      <c r="Z27" s="1" t="s">
        <v>10970</v>
      </c>
      <c r="AA27" s="1" t="s">
        <v>1507</v>
      </c>
      <c r="AB27" s="1" t="s">
        <v>15929</v>
      </c>
      <c r="AC27" s="1" t="s">
        <v>15930</v>
      </c>
      <c r="AD27" s="1" t="s">
        <v>10973</v>
      </c>
      <c r="AE27" s="1" t="s">
        <v>10973</v>
      </c>
      <c r="AF27" s="1" t="s">
        <v>11042</v>
      </c>
      <c r="AG27" s="1" t="s">
        <v>1507</v>
      </c>
      <c r="AH27" s="1">
        <v>36</v>
      </c>
      <c r="AI27" s="1">
        <v>5</v>
      </c>
      <c r="AJ27" s="1">
        <v>5</v>
      </c>
      <c r="AK27" s="1">
        <v>0</v>
      </c>
      <c r="AL27" s="1">
        <v>1</v>
      </c>
      <c r="AM27" s="1" t="s">
        <v>3500</v>
      </c>
      <c r="AN27" s="1" t="s">
        <v>3501</v>
      </c>
      <c r="AO27" s="1" t="s">
        <v>3502</v>
      </c>
      <c r="AP27" s="1" t="s">
        <v>5041</v>
      </c>
      <c r="AQ27" s="1" t="s">
        <v>5042</v>
      </c>
      <c r="AR27" s="1" t="s">
        <v>1507</v>
      </c>
      <c r="AS27" s="1" t="s">
        <v>5043</v>
      </c>
      <c r="AT27" s="1" t="s">
        <v>5044</v>
      </c>
      <c r="AU27" s="1" t="s">
        <v>5045</v>
      </c>
      <c r="AV27" s="1">
        <v>2019</v>
      </c>
      <c r="AW27" s="1">
        <v>27</v>
      </c>
      <c r="AX27" s="1">
        <v>2</v>
      </c>
      <c r="AY27" s="1" t="s">
        <v>1507</v>
      </c>
      <c r="AZ27" s="1" t="s">
        <v>1507</v>
      </c>
      <c r="BA27" s="1" t="s">
        <v>1507</v>
      </c>
      <c r="BB27" s="1" t="s">
        <v>1507</v>
      </c>
      <c r="BC27" s="1">
        <v>268</v>
      </c>
      <c r="BD27" s="1">
        <v>291</v>
      </c>
      <c r="BE27" s="1" t="s">
        <v>1507</v>
      </c>
      <c r="BF27" s="1" t="s">
        <v>11043</v>
      </c>
      <c r="BG27" s="1" t="str">
        <f>HYPERLINK("http://dx.doi.org/10.3366/ajicl.2019.0272","http://dx.doi.org/10.3366/ajicl.2019.0272")</f>
        <v>http://dx.doi.org/10.3366/ajicl.2019.0272</v>
      </c>
      <c r="BH27" s="1" t="s">
        <v>1507</v>
      </c>
      <c r="BI27" s="1" t="s">
        <v>1507</v>
      </c>
      <c r="BJ27" s="1">
        <v>24</v>
      </c>
      <c r="BK27" s="1" t="s">
        <v>1535</v>
      </c>
      <c r="BL27" s="1" t="s">
        <v>1529</v>
      </c>
      <c r="BM27" s="1" t="s">
        <v>1536</v>
      </c>
      <c r="BN27" s="1" t="s">
        <v>11044</v>
      </c>
      <c r="BO27" s="1" t="s">
        <v>1507</v>
      </c>
      <c r="BP27" s="1" t="s">
        <v>1507</v>
      </c>
      <c r="BQ27" s="1" t="s">
        <v>1507</v>
      </c>
      <c r="BR27" s="1" t="s">
        <v>1507</v>
      </c>
      <c r="BS27" s="1" t="s">
        <v>13744</v>
      </c>
      <c r="BT27" s="1" t="s">
        <v>11045</v>
      </c>
      <c r="BU27" s="1" t="str">
        <f>HYPERLINK("https%3A%2F%2Fwww.webofscience.com%2Fwos%2Fwoscc%2Ffull-record%2FWOS:000467271000005","View Full Record in Web of Science")</f>
        <v>View Full Record in Web of Science</v>
      </c>
    </row>
    <row r="28" spans="1:73" x14ac:dyDescent="0.25">
      <c r="A28" s="1">
        <v>30</v>
      </c>
      <c r="B28" s="1" t="s">
        <v>1506</v>
      </c>
      <c r="C28" s="1" t="s">
        <v>10964</v>
      </c>
      <c r="D28" s="1" t="s">
        <v>1507</v>
      </c>
      <c r="E28" s="1" t="s">
        <v>1507</v>
      </c>
      <c r="F28" s="1" t="s">
        <v>1507</v>
      </c>
      <c r="G28" s="1" t="s">
        <v>10965</v>
      </c>
      <c r="H28" s="1" t="s">
        <v>1507</v>
      </c>
      <c r="I28" s="1" t="s">
        <v>1507</v>
      </c>
      <c r="J28" s="1" t="s">
        <v>11109</v>
      </c>
      <c r="K28" s="1" t="s">
        <v>11110</v>
      </c>
      <c r="L28" s="1" t="s">
        <v>1507</v>
      </c>
      <c r="M28" s="1" t="s">
        <v>1507</v>
      </c>
      <c r="N28" s="1" t="s">
        <v>42</v>
      </c>
      <c r="O28" s="1" t="s">
        <v>56</v>
      </c>
      <c r="P28" s="1" t="s">
        <v>1507</v>
      </c>
      <c r="Q28" s="1" t="s">
        <v>1507</v>
      </c>
      <c r="R28" s="1" t="s">
        <v>1507</v>
      </c>
      <c r="S28" s="1" t="s">
        <v>1507</v>
      </c>
      <c r="T28" s="1" t="s">
        <v>1507</v>
      </c>
      <c r="U28" s="1" t="s">
        <v>1507</v>
      </c>
      <c r="V28" s="1" t="s">
        <v>1507</v>
      </c>
      <c r="W28" s="1" t="s">
        <v>11111</v>
      </c>
      <c r="X28" s="1" t="s">
        <v>10969</v>
      </c>
      <c r="Y28" s="1" t="s">
        <v>5170</v>
      </c>
      <c r="Z28" s="1" t="s">
        <v>10970</v>
      </c>
      <c r="AA28" s="1" t="s">
        <v>1507</v>
      </c>
      <c r="AB28" s="1" t="s">
        <v>10972</v>
      </c>
      <c r="AC28" s="1" t="s">
        <v>1507</v>
      </c>
      <c r="AD28" s="1" t="s">
        <v>11112</v>
      </c>
      <c r="AE28" s="1" t="s">
        <v>11112</v>
      </c>
      <c r="AF28" s="1" t="s">
        <v>11113</v>
      </c>
      <c r="AG28" s="1" t="s">
        <v>1507</v>
      </c>
      <c r="AH28" s="1">
        <v>53</v>
      </c>
      <c r="AI28" s="1">
        <v>0</v>
      </c>
      <c r="AJ28" s="1">
        <v>0</v>
      </c>
      <c r="AK28" s="1">
        <v>0</v>
      </c>
      <c r="AL28" s="1">
        <v>0</v>
      </c>
      <c r="AM28" s="1" t="s">
        <v>11114</v>
      </c>
      <c r="AN28" s="1" t="s">
        <v>11115</v>
      </c>
      <c r="AO28" s="1" t="s">
        <v>11116</v>
      </c>
      <c r="AP28" s="1" t="s">
        <v>11117</v>
      </c>
      <c r="AQ28" s="1" t="s">
        <v>1507</v>
      </c>
      <c r="AR28" s="1" t="s">
        <v>1507</v>
      </c>
      <c r="AS28" s="1" t="s">
        <v>11118</v>
      </c>
      <c r="AT28" s="1" t="s">
        <v>11119</v>
      </c>
      <c r="AU28" s="1" t="s">
        <v>5362</v>
      </c>
      <c r="AV28" s="1">
        <v>2019</v>
      </c>
      <c r="AW28" s="1">
        <v>52</v>
      </c>
      <c r="AX28" s="1">
        <v>1</v>
      </c>
      <c r="AY28" s="1" t="s">
        <v>1507</v>
      </c>
      <c r="AZ28" s="1" t="s">
        <v>1507</v>
      </c>
      <c r="BA28" s="1" t="s">
        <v>1507</v>
      </c>
      <c r="BB28" s="1" t="s">
        <v>1507</v>
      </c>
      <c r="BC28" s="1">
        <v>42</v>
      </c>
      <c r="BD28" s="1">
        <v>74</v>
      </c>
      <c r="BE28" s="1" t="s">
        <v>1507</v>
      </c>
      <c r="BF28" s="1" t="s">
        <v>1507</v>
      </c>
      <c r="BG28" s="1" t="s">
        <v>1507</v>
      </c>
      <c r="BH28" s="1" t="s">
        <v>1507</v>
      </c>
      <c r="BI28" s="1" t="s">
        <v>1507</v>
      </c>
      <c r="BJ28" s="1">
        <v>33</v>
      </c>
      <c r="BK28" s="1" t="s">
        <v>1535</v>
      </c>
      <c r="BL28" s="1" t="s">
        <v>1529</v>
      </c>
      <c r="BM28" s="1" t="s">
        <v>1536</v>
      </c>
      <c r="BN28" s="1" t="s">
        <v>11120</v>
      </c>
      <c r="BO28" s="1" t="s">
        <v>1507</v>
      </c>
      <c r="BP28" s="1" t="s">
        <v>1507</v>
      </c>
      <c r="BQ28" s="1" t="s">
        <v>1507</v>
      </c>
      <c r="BR28" s="1" t="s">
        <v>1507</v>
      </c>
      <c r="BS28" s="1" t="s">
        <v>13744</v>
      </c>
      <c r="BT28" s="1" t="s">
        <v>11121</v>
      </c>
      <c r="BU28" s="1" t="str">
        <f>HYPERLINK("https%3A%2F%2Fwww.webofscience.com%2Fwos%2Fwoscc%2Ffull-record%2FWOS:000632633200003","View Full Record in Web of Science")</f>
        <v>View Full Record in Web of Science</v>
      </c>
    </row>
    <row r="29" spans="1:73" x14ac:dyDescent="0.25">
      <c r="A29" s="1">
        <v>31</v>
      </c>
      <c r="B29" s="1" t="s">
        <v>1506</v>
      </c>
      <c r="C29" s="1" t="s">
        <v>5607</v>
      </c>
      <c r="D29" s="1" t="s">
        <v>1507</v>
      </c>
      <c r="E29" s="1" t="s">
        <v>1507</v>
      </c>
      <c r="F29" s="1" t="s">
        <v>1507</v>
      </c>
      <c r="G29" s="1" t="s">
        <v>5608</v>
      </c>
      <c r="H29" s="1" t="s">
        <v>1507</v>
      </c>
      <c r="I29" s="1" t="s">
        <v>1507</v>
      </c>
      <c r="J29" s="1" t="s">
        <v>266</v>
      </c>
      <c r="K29" s="1" t="s">
        <v>5609</v>
      </c>
      <c r="L29" s="1" t="s">
        <v>1507</v>
      </c>
      <c r="M29" s="1" t="s">
        <v>1507</v>
      </c>
      <c r="N29" s="1" t="s">
        <v>42</v>
      </c>
      <c r="O29" s="1" t="s">
        <v>56</v>
      </c>
      <c r="P29" s="1" t="s">
        <v>1507</v>
      </c>
      <c r="Q29" s="1" t="s">
        <v>1507</v>
      </c>
      <c r="R29" s="1" t="s">
        <v>1507</v>
      </c>
      <c r="S29" s="1" t="s">
        <v>1507</v>
      </c>
      <c r="T29" s="1" t="s">
        <v>1507</v>
      </c>
      <c r="U29" s="1" t="s">
        <v>5610</v>
      </c>
      <c r="V29" s="1" t="s">
        <v>1507</v>
      </c>
      <c r="W29" s="1" t="s">
        <v>5611</v>
      </c>
      <c r="X29" s="1" t="s">
        <v>5612</v>
      </c>
      <c r="Y29" s="1" t="s">
        <v>5613</v>
      </c>
      <c r="Z29" s="1" t="s">
        <v>5614</v>
      </c>
      <c r="AA29" s="1" t="s">
        <v>5615</v>
      </c>
      <c r="AB29" s="1" t="s">
        <v>1507</v>
      </c>
      <c r="AC29" s="1" t="s">
        <v>14822</v>
      </c>
      <c r="AD29" s="1" t="s">
        <v>5616</v>
      </c>
      <c r="AE29" s="1" t="s">
        <v>5617</v>
      </c>
      <c r="AF29" s="1" t="s">
        <v>5618</v>
      </c>
      <c r="AG29" s="1" t="s">
        <v>1507</v>
      </c>
      <c r="AH29" s="1">
        <v>28</v>
      </c>
      <c r="AI29" s="1">
        <v>0</v>
      </c>
      <c r="AJ29" s="1">
        <v>0</v>
      </c>
      <c r="AK29" s="1">
        <v>13</v>
      </c>
      <c r="AL29" s="1">
        <v>13</v>
      </c>
      <c r="AM29" s="1" t="s">
        <v>5619</v>
      </c>
      <c r="AN29" s="1" t="s">
        <v>5620</v>
      </c>
      <c r="AO29" s="1" t="s">
        <v>5621</v>
      </c>
      <c r="AP29" s="1" t="s">
        <v>5622</v>
      </c>
      <c r="AQ29" s="1" t="s">
        <v>1507</v>
      </c>
      <c r="AR29" s="1" t="s">
        <v>1507</v>
      </c>
      <c r="AS29" s="1" t="s">
        <v>5623</v>
      </c>
      <c r="AT29" s="1" t="s">
        <v>5624</v>
      </c>
      <c r="AU29" s="1" t="s">
        <v>1507</v>
      </c>
      <c r="AV29" s="1">
        <v>2023</v>
      </c>
      <c r="AW29" s="1">
        <v>13</v>
      </c>
      <c r="AX29" s="1">
        <v>8</v>
      </c>
      <c r="AY29" s="1" t="s">
        <v>1507</v>
      </c>
      <c r="AZ29" s="1" t="s">
        <v>1507</v>
      </c>
      <c r="BA29" s="1" t="s">
        <v>1507</v>
      </c>
      <c r="BB29" s="1" t="s">
        <v>1507</v>
      </c>
      <c r="BC29" s="1">
        <v>67</v>
      </c>
      <c r="BD29" s="1">
        <v>83</v>
      </c>
      <c r="BE29" s="1" t="s">
        <v>1507</v>
      </c>
      <c r="BF29" s="1" t="s">
        <v>268</v>
      </c>
      <c r="BG29" s="1" t="str">
        <f>HYPERLINK("http://dx.doi.org/10.3991/ijep.v13i8.45621","http://dx.doi.org/10.3991/ijep.v13i8.45621")</f>
        <v>http://dx.doi.org/10.3991/ijep.v13i8.45621</v>
      </c>
      <c r="BH29" s="1" t="s">
        <v>1507</v>
      </c>
      <c r="BI29" s="1" t="s">
        <v>1507</v>
      </c>
      <c r="BJ29" s="1">
        <v>17</v>
      </c>
      <c r="BK29" s="1" t="s">
        <v>2721</v>
      </c>
      <c r="BL29" s="1" t="s">
        <v>1529</v>
      </c>
      <c r="BM29" s="1" t="s">
        <v>1558</v>
      </c>
      <c r="BN29" s="1" t="s">
        <v>5625</v>
      </c>
      <c r="BO29" s="1" t="s">
        <v>1507</v>
      </c>
      <c r="BP29" s="1" t="s">
        <v>1553</v>
      </c>
      <c r="BQ29" s="1" t="s">
        <v>1507</v>
      </c>
      <c r="BR29" s="1" t="s">
        <v>1507</v>
      </c>
      <c r="BS29" s="1" t="s">
        <v>13744</v>
      </c>
      <c r="BT29" s="1" t="s">
        <v>5626</v>
      </c>
      <c r="BU29" s="1" t="str">
        <f>HYPERLINK("https%3A%2F%2Fwww.webofscience.com%2Fwos%2Fwoscc%2Ffull-record%2FWOS:001126694600008","View Full Record in Web of Science")</f>
        <v>View Full Record in Web of Science</v>
      </c>
    </row>
    <row r="30" spans="1:73" x14ac:dyDescent="0.25">
      <c r="A30" s="1">
        <v>32</v>
      </c>
      <c r="B30" s="1" t="s">
        <v>1506</v>
      </c>
      <c r="C30" s="1" t="s">
        <v>8513</v>
      </c>
      <c r="D30" s="1" t="s">
        <v>1507</v>
      </c>
      <c r="E30" s="1" t="s">
        <v>1507</v>
      </c>
      <c r="F30" s="1" t="s">
        <v>1507</v>
      </c>
      <c r="G30" s="1" t="s">
        <v>8514</v>
      </c>
      <c r="H30" s="1" t="s">
        <v>1507</v>
      </c>
      <c r="I30" s="1" t="s">
        <v>1507</v>
      </c>
      <c r="J30" s="1" t="s">
        <v>8515</v>
      </c>
      <c r="K30" s="1" t="s">
        <v>8516</v>
      </c>
      <c r="L30" s="1" t="s">
        <v>1507</v>
      </c>
      <c r="M30" s="1" t="s">
        <v>1507</v>
      </c>
      <c r="N30" s="1" t="s">
        <v>42</v>
      </c>
      <c r="O30" s="1" t="s">
        <v>56</v>
      </c>
      <c r="P30" s="1" t="s">
        <v>1507</v>
      </c>
      <c r="Q30" s="1" t="s">
        <v>1507</v>
      </c>
      <c r="R30" s="1" t="s">
        <v>1507</v>
      </c>
      <c r="S30" s="1" t="s">
        <v>1507</v>
      </c>
      <c r="T30" s="1" t="s">
        <v>1507</v>
      </c>
      <c r="U30" s="1" t="s">
        <v>8517</v>
      </c>
      <c r="V30" s="1" t="s">
        <v>8518</v>
      </c>
      <c r="W30" s="1" t="s">
        <v>8519</v>
      </c>
      <c r="X30" s="1" t="s">
        <v>8520</v>
      </c>
      <c r="Y30" s="1" t="s">
        <v>4898</v>
      </c>
      <c r="Z30" s="1" t="s">
        <v>8521</v>
      </c>
      <c r="AA30" s="1" t="s">
        <v>8522</v>
      </c>
      <c r="AB30" s="1" t="s">
        <v>15737</v>
      </c>
      <c r="AC30" s="1" t="s">
        <v>15738</v>
      </c>
      <c r="AD30" s="1" t="s">
        <v>8523</v>
      </c>
      <c r="AE30" s="1" t="s">
        <v>8524</v>
      </c>
      <c r="AF30" s="1" t="s">
        <v>8525</v>
      </c>
      <c r="AG30" s="1" t="s">
        <v>1507</v>
      </c>
      <c r="AH30" s="1">
        <v>17</v>
      </c>
      <c r="AI30" s="1">
        <v>1</v>
      </c>
      <c r="AJ30" s="1">
        <v>1</v>
      </c>
      <c r="AK30" s="1">
        <v>0</v>
      </c>
      <c r="AL30" s="1">
        <v>3</v>
      </c>
      <c r="AM30" s="1" t="s">
        <v>8516</v>
      </c>
      <c r="AN30" s="1" t="s">
        <v>8526</v>
      </c>
      <c r="AO30" s="1" t="s">
        <v>8527</v>
      </c>
      <c r="AP30" s="1" t="s">
        <v>8528</v>
      </c>
      <c r="AQ30" s="1" t="s">
        <v>8529</v>
      </c>
      <c r="AR30" s="1" t="s">
        <v>1507</v>
      </c>
      <c r="AS30" s="1" t="s">
        <v>8530</v>
      </c>
      <c r="AT30" s="1" t="s">
        <v>8531</v>
      </c>
      <c r="AU30" s="1" t="s">
        <v>4721</v>
      </c>
      <c r="AV30" s="1">
        <v>2021</v>
      </c>
      <c r="AW30" s="1">
        <v>14</v>
      </c>
      <c r="AX30" s="1">
        <v>6</v>
      </c>
      <c r="AY30" s="1" t="s">
        <v>1507</v>
      </c>
      <c r="AZ30" s="1" t="s">
        <v>1507</v>
      </c>
      <c r="BA30" s="1" t="s">
        <v>1507</v>
      </c>
      <c r="BB30" s="1" t="s">
        <v>1507</v>
      </c>
      <c r="BC30" s="1">
        <v>1638</v>
      </c>
      <c r="BD30" s="1">
        <v>1643</v>
      </c>
      <c r="BE30" s="1" t="s">
        <v>1507</v>
      </c>
      <c r="BF30" s="1" t="s">
        <v>8532</v>
      </c>
      <c r="BG30" s="1" t="str">
        <f>HYPERLINK("http://dx.doi.org/10.14202/vetworld.2021.1638-1643","http://dx.doi.org/10.14202/vetworld.2021.1638-1643")</f>
        <v>http://dx.doi.org/10.14202/vetworld.2021.1638-1643</v>
      </c>
      <c r="BH30" s="1" t="s">
        <v>1507</v>
      </c>
      <c r="BI30" s="1" t="s">
        <v>1507</v>
      </c>
      <c r="BJ30" s="1">
        <v>6</v>
      </c>
      <c r="BK30" s="1" t="s">
        <v>8533</v>
      </c>
      <c r="BL30" s="1" t="s">
        <v>1529</v>
      </c>
      <c r="BM30" s="1" t="s">
        <v>8534</v>
      </c>
      <c r="BN30" s="1" t="s">
        <v>8535</v>
      </c>
      <c r="BO30" s="1">
        <v>34316214</v>
      </c>
      <c r="BP30" s="1" t="s">
        <v>1674</v>
      </c>
      <c r="BQ30" s="1" t="s">
        <v>1507</v>
      </c>
      <c r="BR30" s="1" t="s">
        <v>1507</v>
      </c>
      <c r="BS30" s="1" t="s">
        <v>13744</v>
      </c>
      <c r="BT30" s="1" t="s">
        <v>8536</v>
      </c>
      <c r="BU30" s="1" t="str">
        <f>HYPERLINK("https%3A%2F%2Fwww.webofscience.com%2Fwos%2Fwoscc%2Ffull-record%2FWOS:000671534100024","View Full Record in Web of Science")</f>
        <v>View Full Record in Web of Science</v>
      </c>
    </row>
    <row r="31" spans="1:73" x14ac:dyDescent="0.25">
      <c r="A31" s="1">
        <v>35</v>
      </c>
      <c r="B31" s="1" t="s">
        <v>1506</v>
      </c>
      <c r="C31" s="1" t="s">
        <v>2107</v>
      </c>
      <c r="D31" s="1" t="s">
        <v>1507</v>
      </c>
      <c r="E31" s="1" t="s">
        <v>1507</v>
      </c>
      <c r="F31" s="1" t="s">
        <v>1507</v>
      </c>
      <c r="G31" s="1" t="s">
        <v>2108</v>
      </c>
      <c r="H31" s="1" t="s">
        <v>1507</v>
      </c>
      <c r="I31" s="1" t="s">
        <v>1507</v>
      </c>
      <c r="J31" s="1" t="s">
        <v>2109</v>
      </c>
      <c r="K31" s="1" t="s">
        <v>1520</v>
      </c>
      <c r="L31" s="1" t="s">
        <v>1507</v>
      </c>
      <c r="M31" s="1" t="s">
        <v>1507</v>
      </c>
      <c r="N31" s="1" t="s">
        <v>42</v>
      </c>
      <c r="O31" s="1" t="s">
        <v>56</v>
      </c>
      <c r="P31" s="1" t="s">
        <v>1507</v>
      </c>
      <c r="Q31" s="1" t="s">
        <v>1507</v>
      </c>
      <c r="R31" s="1" t="s">
        <v>1507</v>
      </c>
      <c r="S31" s="1" t="s">
        <v>1507</v>
      </c>
      <c r="T31" s="1" t="s">
        <v>1507</v>
      </c>
      <c r="U31" s="1" t="s">
        <v>1507</v>
      </c>
      <c r="V31" s="1" t="s">
        <v>2110</v>
      </c>
      <c r="W31" s="1" t="s">
        <v>2111</v>
      </c>
      <c r="X31" s="1" t="s">
        <v>2112</v>
      </c>
      <c r="Y31" s="1" t="s">
        <v>13869</v>
      </c>
      <c r="Z31" s="1" t="s">
        <v>2113</v>
      </c>
      <c r="AA31" s="1" t="s">
        <v>2114</v>
      </c>
      <c r="AB31" s="1" t="s">
        <v>13870</v>
      </c>
      <c r="AC31" s="1" t="s">
        <v>13871</v>
      </c>
      <c r="AD31" s="1" t="s">
        <v>2115</v>
      </c>
      <c r="AE31" s="1" t="s">
        <v>2116</v>
      </c>
      <c r="AF31" s="1" t="s">
        <v>2117</v>
      </c>
      <c r="AG31" s="1" t="s">
        <v>1507</v>
      </c>
      <c r="AH31" s="1">
        <v>128</v>
      </c>
      <c r="AI31" s="1">
        <v>0</v>
      </c>
      <c r="AJ31" s="1">
        <v>0</v>
      </c>
      <c r="AK31" s="1">
        <v>9</v>
      </c>
      <c r="AL31" s="1">
        <v>9</v>
      </c>
      <c r="AM31" s="1" t="s">
        <v>1522</v>
      </c>
      <c r="AN31" s="1" t="s">
        <v>1523</v>
      </c>
      <c r="AO31" s="1" t="s">
        <v>1524</v>
      </c>
      <c r="AP31" s="1" t="s">
        <v>1507</v>
      </c>
      <c r="AQ31" s="1" t="s">
        <v>1525</v>
      </c>
      <c r="AR31" s="1" t="s">
        <v>1507</v>
      </c>
      <c r="AS31" s="1" t="s">
        <v>1526</v>
      </c>
      <c r="AT31" s="1" t="s">
        <v>1527</v>
      </c>
      <c r="AU31" s="1" t="s">
        <v>11221</v>
      </c>
      <c r="AV31" s="1">
        <v>2024</v>
      </c>
      <c r="AW31" s="1">
        <v>3</v>
      </c>
      <c r="AX31" s="1">
        <v>1</v>
      </c>
      <c r="AY31" s="1" t="s">
        <v>1507</v>
      </c>
      <c r="AZ31" s="1" t="s">
        <v>1507</v>
      </c>
      <c r="BA31" s="1" t="s">
        <v>1507</v>
      </c>
      <c r="BB31" s="1" t="s">
        <v>1507</v>
      </c>
      <c r="BC31" s="1">
        <v>23</v>
      </c>
      <c r="BD31" s="1">
        <v>33</v>
      </c>
      <c r="BE31" s="1" t="s">
        <v>1507</v>
      </c>
      <c r="BF31" s="1" t="s">
        <v>2118</v>
      </c>
      <c r="BG31" s="1" t="str">
        <f>HYPERLINK("http://dx.doi.org/10.1039/d3dd00213f","http://dx.doi.org/10.1039/d3dd00213f")</f>
        <v>http://dx.doi.org/10.1039/d3dd00213f</v>
      </c>
      <c r="BH31" s="1" t="s">
        <v>1507</v>
      </c>
      <c r="BI31" s="1" t="s">
        <v>1652</v>
      </c>
      <c r="BJ31" s="1">
        <v>11</v>
      </c>
      <c r="BK31" s="1" t="s">
        <v>1528</v>
      </c>
      <c r="BL31" s="1" t="s">
        <v>1529</v>
      </c>
      <c r="BM31" s="1" t="s">
        <v>1530</v>
      </c>
      <c r="BN31" s="1" t="s">
        <v>2119</v>
      </c>
      <c r="BO31" s="1">
        <v>38239898</v>
      </c>
      <c r="BP31" s="1" t="s">
        <v>1674</v>
      </c>
      <c r="BQ31" s="1" t="s">
        <v>1507</v>
      </c>
      <c r="BR31" s="1" t="s">
        <v>1507</v>
      </c>
      <c r="BS31" s="1" t="s">
        <v>13744</v>
      </c>
      <c r="BT31" s="1" t="s">
        <v>2120</v>
      </c>
      <c r="BU31" s="1" t="str">
        <f>HYPERLINK("https%3A%2F%2Fwww.webofscience.com%2Fwos%2Fwoscc%2Ffull-record%2FWOS:001129394000001","View Full Record in Web of Science")</f>
        <v>View Full Record in Web of Science</v>
      </c>
    </row>
    <row r="32" spans="1:73" x14ac:dyDescent="0.25">
      <c r="A32" s="1">
        <v>36</v>
      </c>
      <c r="B32" s="1" t="s">
        <v>1506</v>
      </c>
      <c r="C32" s="1" t="s">
        <v>7579</v>
      </c>
      <c r="D32" s="1" t="s">
        <v>1507</v>
      </c>
      <c r="E32" s="1" t="s">
        <v>1507</v>
      </c>
      <c r="F32" s="1" t="s">
        <v>1507</v>
      </c>
      <c r="G32" s="1" t="s">
        <v>7580</v>
      </c>
      <c r="H32" s="1" t="s">
        <v>1507</v>
      </c>
      <c r="I32" s="1" t="s">
        <v>1507</v>
      </c>
      <c r="J32" s="1" t="s">
        <v>7581</v>
      </c>
      <c r="K32" s="1" t="s">
        <v>6825</v>
      </c>
      <c r="L32" s="1" t="s">
        <v>1507</v>
      </c>
      <c r="M32" s="1" t="s">
        <v>1507</v>
      </c>
      <c r="N32" s="1" t="s">
        <v>42</v>
      </c>
      <c r="O32" s="1" t="s">
        <v>56</v>
      </c>
      <c r="P32" s="1" t="s">
        <v>1507</v>
      </c>
      <c r="Q32" s="1" t="s">
        <v>1507</v>
      </c>
      <c r="R32" s="1" t="s">
        <v>1507</v>
      </c>
      <c r="S32" s="1" t="s">
        <v>1507</v>
      </c>
      <c r="T32" s="1" t="s">
        <v>1507</v>
      </c>
      <c r="U32" s="1" t="s">
        <v>7582</v>
      </c>
      <c r="V32" s="1" t="s">
        <v>7583</v>
      </c>
      <c r="W32" s="1" t="s">
        <v>7584</v>
      </c>
      <c r="X32" s="1" t="s">
        <v>7585</v>
      </c>
      <c r="Y32" s="1" t="s">
        <v>7586</v>
      </c>
      <c r="Z32" s="1" t="s">
        <v>7587</v>
      </c>
      <c r="AA32" s="1" t="s">
        <v>7588</v>
      </c>
      <c r="AB32" s="1" t="s">
        <v>15661</v>
      </c>
      <c r="AC32" s="1" t="s">
        <v>15662</v>
      </c>
      <c r="AD32" s="1" t="s">
        <v>7589</v>
      </c>
      <c r="AE32" s="1" t="s">
        <v>7590</v>
      </c>
      <c r="AF32" s="1" t="s">
        <v>7591</v>
      </c>
      <c r="AG32" s="1" t="s">
        <v>1507</v>
      </c>
      <c r="AH32" s="1">
        <v>43</v>
      </c>
      <c r="AI32" s="1">
        <v>6</v>
      </c>
      <c r="AJ32" s="1">
        <v>6</v>
      </c>
      <c r="AK32" s="1">
        <v>1</v>
      </c>
      <c r="AL32" s="1">
        <v>3</v>
      </c>
      <c r="AM32" s="1" t="s">
        <v>1725</v>
      </c>
      <c r="AN32" s="1" t="s">
        <v>1551</v>
      </c>
      <c r="AO32" s="1" t="s">
        <v>1726</v>
      </c>
      <c r="AP32" s="1" t="s">
        <v>1507</v>
      </c>
      <c r="AQ32" s="1" t="s">
        <v>6837</v>
      </c>
      <c r="AR32" s="1" t="s">
        <v>1507</v>
      </c>
      <c r="AS32" s="1" t="s">
        <v>6825</v>
      </c>
      <c r="AT32" s="1" t="s">
        <v>6838</v>
      </c>
      <c r="AU32" s="1" t="s">
        <v>7592</v>
      </c>
      <c r="AV32" s="1">
        <v>2022</v>
      </c>
      <c r="AW32" s="1">
        <v>22</v>
      </c>
      <c r="AX32" s="1">
        <v>1</v>
      </c>
      <c r="AY32" s="1" t="s">
        <v>1507</v>
      </c>
      <c r="AZ32" s="1" t="s">
        <v>1507</v>
      </c>
      <c r="BA32" s="1" t="s">
        <v>1507</v>
      </c>
      <c r="BB32" s="1" t="s">
        <v>1507</v>
      </c>
      <c r="BC32" s="1" t="s">
        <v>1507</v>
      </c>
      <c r="BD32" s="1" t="s">
        <v>1507</v>
      </c>
      <c r="BE32" s="1">
        <v>228</v>
      </c>
      <c r="BF32" s="1" t="s">
        <v>7593</v>
      </c>
      <c r="BG32" s="1" t="str">
        <f>HYPERLINK("http://dx.doi.org/10.1186/s12889-022-12595-1","http://dx.doi.org/10.1186/s12889-022-12595-1")</f>
        <v>http://dx.doi.org/10.1186/s12889-022-12595-1</v>
      </c>
      <c r="BH32" s="1" t="s">
        <v>1507</v>
      </c>
      <c r="BI32" s="1" t="s">
        <v>1507</v>
      </c>
      <c r="BJ32" s="1">
        <v>12</v>
      </c>
      <c r="BK32" s="1" t="s">
        <v>6841</v>
      </c>
      <c r="BL32" s="1" t="s">
        <v>1573</v>
      </c>
      <c r="BM32" s="1" t="s">
        <v>6841</v>
      </c>
      <c r="BN32" s="1" t="s">
        <v>7594</v>
      </c>
      <c r="BO32" s="1">
        <v>35120488</v>
      </c>
      <c r="BP32" s="1" t="s">
        <v>1674</v>
      </c>
      <c r="BQ32" s="1" t="s">
        <v>1507</v>
      </c>
      <c r="BR32" s="1" t="s">
        <v>1507</v>
      </c>
      <c r="BS32" s="1" t="s">
        <v>13744</v>
      </c>
      <c r="BT32" s="1" t="s">
        <v>7595</v>
      </c>
      <c r="BU32" s="1" t="str">
        <f>HYPERLINK("https%3A%2F%2Fwww.webofscience.com%2Fwos%2Fwoscc%2Ffull-record%2FWOS:000751326100002","View Full Record in Web of Science")</f>
        <v>View Full Record in Web of Science</v>
      </c>
    </row>
    <row r="33" spans="1:73" x14ac:dyDescent="0.25">
      <c r="A33" s="1">
        <v>37</v>
      </c>
      <c r="B33" s="1" t="s">
        <v>5546</v>
      </c>
      <c r="C33" s="1" t="s">
        <v>9138</v>
      </c>
      <c r="D33" s="1" t="s">
        <v>1507</v>
      </c>
      <c r="E33" s="1" t="s">
        <v>1507</v>
      </c>
      <c r="F33" s="1" t="s">
        <v>7647</v>
      </c>
      <c r="G33" s="1" t="s">
        <v>9139</v>
      </c>
      <c r="H33" s="1" t="s">
        <v>1507</v>
      </c>
      <c r="I33" s="1" t="s">
        <v>1507</v>
      </c>
      <c r="J33" s="1" t="s">
        <v>9140</v>
      </c>
      <c r="K33" s="1" t="s">
        <v>9141</v>
      </c>
      <c r="L33" s="1" t="s">
        <v>1507</v>
      </c>
      <c r="M33" s="1" t="s">
        <v>1507</v>
      </c>
      <c r="N33" s="1" t="s">
        <v>42</v>
      </c>
      <c r="O33" s="1" t="s">
        <v>5552</v>
      </c>
      <c r="P33" s="1" t="s">
        <v>9142</v>
      </c>
      <c r="Q33" s="1" t="s">
        <v>9143</v>
      </c>
      <c r="R33" s="1" t="s">
        <v>6272</v>
      </c>
      <c r="S33" s="1" t="s">
        <v>9144</v>
      </c>
      <c r="T33" s="1" t="s">
        <v>1507</v>
      </c>
      <c r="U33" s="1" t="s">
        <v>1507</v>
      </c>
      <c r="V33" s="1" t="s">
        <v>1507</v>
      </c>
      <c r="W33" s="1" t="s">
        <v>9145</v>
      </c>
      <c r="X33" s="1" t="s">
        <v>9146</v>
      </c>
      <c r="Y33" s="1" t="s">
        <v>9147</v>
      </c>
      <c r="Z33" s="1" t="s">
        <v>9148</v>
      </c>
      <c r="AA33" s="1" t="s">
        <v>9149</v>
      </c>
      <c r="AB33" s="1" t="s">
        <v>9150</v>
      </c>
      <c r="AC33" s="1" t="s">
        <v>1507</v>
      </c>
      <c r="AD33" s="1" t="s">
        <v>9151</v>
      </c>
      <c r="AE33" s="1" t="s">
        <v>9151</v>
      </c>
      <c r="AF33" s="1" t="s">
        <v>9152</v>
      </c>
      <c r="AG33" s="1" t="s">
        <v>1507</v>
      </c>
      <c r="AH33" s="1">
        <v>30</v>
      </c>
      <c r="AI33" s="1">
        <v>1</v>
      </c>
      <c r="AJ33" s="1">
        <v>1</v>
      </c>
      <c r="AK33" s="1">
        <v>4</v>
      </c>
      <c r="AL33" s="1">
        <v>4</v>
      </c>
      <c r="AM33" s="1" t="s">
        <v>7663</v>
      </c>
      <c r="AN33" s="1" t="s">
        <v>7664</v>
      </c>
      <c r="AO33" s="1" t="s">
        <v>7665</v>
      </c>
      <c r="AP33" s="1" t="s">
        <v>1507</v>
      </c>
      <c r="AQ33" s="1" t="s">
        <v>1507</v>
      </c>
      <c r="AR33" s="1" t="s">
        <v>9153</v>
      </c>
      <c r="AS33" s="1" t="s">
        <v>1507</v>
      </c>
      <c r="AT33" s="1" t="s">
        <v>1507</v>
      </c>
      <c r="AU33" s="1" t="s">
        <v>1507</v>
      </c>
      <c r="AV33" s="1">
        <v>2021</v>
      </c>
      <c r="AW33" s="1" t="s">
        <v>1507</v>
      </c>
      <c r="AX33" s="1" t="s">
        <v>1507</v>
      </c>
      <c r="AY33" s="1" t="s">
        <v>1507</v>
      </c>
      <c r="AZ33" s="1" t="s">
        <v>1507</v>
      </c>
      <c r="BA33" s="1" t="s">
        <v>1507</v>
      </c>
      <c r="BB33" s="1" t="s">
        <v>1507</v>
      </c>
      <c r="BC33" s="1">
        <v>322</v>
      </c>
      <c r="BD33" s="1">
        <v>330</v>
      </c>
      <c r="BE33" s="1" t="s">
        <v>1507</v>
      </c>
      <c r="BF33" s="1" t="s">
        <v>1507</v>
      </c>
      <c r="BG33" s="1" t="s">
        <v>1507</v>
      </c>
      <c r="BH33" s="1" t="s">
        <v>1507</v>
      </c>
      <c r="BI33" s="1" t="s">
        <v>1507</v>
      </c>
      <c r="BJ33" s="1">
        <v>9</v>
      </c>
      <c r="BK33" s="1" t="s">
        <v>7862</v>
      </c>
      <c r="BL33" s="1" t="s">
        <v>5695</v>
      </c>
      <c r="BM33" s="1" t="s">
        <v>1546</v>
      </c>
      <c r="BN33" s="1" t="s">
        <v>9154</v>
      </c>
      <c r="BO33" s="1" t="s">
        <v>1507</v>
      </c>
      <c r="BP33" s="1" t="s">
        <v>1507</v>
      </c>
      <c r="BQ33" s="1" t="s">
        <v>1507</v>
      </c>
      <c r="BR33" s="1" t="s">
        <v>1507</v>
      </c>
      <c r="BS33" s="1" t="s">
        <v>13744</v>
      </c>
      <c r="BT33" s="1" t="s">
        <v>9155</v>
      </c>
      <c r="BU33" s="1" t="str">
        <f>HYPERLINK("https%3A%2F%2Fwww.webofscience.com%2Fwos%2Fwoscc%2Ffull-record%2FWOS:000694699300032","View Full Record in Web of Science")</f>
        <v>View Full Record in Web of Science</v>
      </c>
    </row>
    <row r="34" spans="1:73" x14ac:dyDescent="0.25">
      <c r="A34" s="1">
        <v>38</v>
      </c>
      <c r="B34" s="1" t="s">
        <v>1506</v>
      </c>
      <c r="C34" s="1" t="s">
        <v>4101</v>
      </c>
      <c r="D34" s="1" t="s">
        <v>1507</v>
      </c>
      <c r="E34" s="1" t="s">
        <v>1507</v>
      </c>
      <c r="F34" s="1" t="s">
        <v>1507</v>
      </c>
      <c r="G34" s="1" t="s">
        <v>4102</v>
      </c>
      <c r="H34" s="1" t="s">
        <v>1507</v>
      </c>
      <c r="I34" s="1" t="s">
        <v>1507</v>
      </c>
      <c r="J34" s="1" t="s">
        <v>4103</v>
      </c>
      <c r="K34" s="1" t="s">
        <v>4104</v>
      </c>
      <c r="L34" s="1" t="s">
        <v>1507</v>
      </c>
      <c r="M34" s="1" t="s">
        <v>1507</v>
      </c>
      <c r="N34" s="1" t="s">
        <v>42</v>
      </c>
      <c r="O34" s="1" t="s">
        <v>1509</v>
      </c>
      <c r="P34" s="1" t="s">
        <v>1507</v>
      </c>
      <c r="Q34" s="1" t="s">
        <v>1507</v>
      </c>
      <c r="R34" s="1" t="s">
        <v>1507</v>
      </c>
      <c r="S34" s="1" t="s">
        <v>1507</v>
      </c>
      <c r="T34" s="1" t="s">
        <v>1507</v>
      </c>
      <c r="U34" s="1" t="s">
        <v>4105</v>
      </c>
      <c r="V34" s="1" t="s">
        <v>4106</v>
      </c>
      <c r="W34" s="1" t="s">
        <v>4107</v>
      </c>
      <c r="X34" s="1" t="s">
        <v>4108</v>
      </c>
      <c r="Y34" s="1" t="s">
        <v>4109</v>
      </c>
      <c r="Z34" s="1" t="s">
        <v>4110</v>
      </c>
      <c r="AA34" s="1" t="s">
        <v>4111</v>
      </c>
      <c r="AB34" s="1" t="s">
        <v>1507</v>
      </c>
      <c r="AC34" s="1" t="s">
        <v>1507</v>
      </c>
      <c r="AD34" s="1" t="s">
        <v>4112</v>
      </c>
      <c r="AE34" s="1" t="s">
        <v>4112</v>
      </c>
      <c r="AF34" s="1" t="s">
        <v>4113</v>
      </c>
      <c r="AG34" s="1" t="s">
        <v>1507</v>
      </c>
      <c r="AH34" s="1">
        <v>56</v>
      </c>
      <c r="AI34" s="1">
        <v>2</v>
      </c>
      <c r="AJ34" s="1">
        <v>2</v>
      </c>
      <c r="AK34" s="1">
        <v>36</v>
      </c>
      <c r="AL34" s="1">
        <v>36</v>
      </c>
      <c r="AM34" s="1" t="s">
        <v>3564</v>
      </c>
      <c r="AN34" s="1" t="s">
        <v>1523</v>
      </c>
      <c r="AO34" s="1" t="s">
        <v>3565</v>
      </c>
      <c r="AP34" s="1" t="s">
        <v>4114</v>
      </c>
      <c r="AQ34" s="1" t="s">
        <v>4115</v>
      </c>
      <c r="AR34" s="1" t="s">
        <v>1507</v>
      </c>
      <c r="AS34" s="1" t="s">
        <v>4116</v>
      </c>
      <c r="AT34" s="1" t="s">
        <v>4117</v>
      </c>
      <c r="AU34" s="1" t="s">
        <v>4118</v>
      </c>
      <c r="AV34" s="1">
        <v>2023</v>
      </c>
      <c r="AW34" s="1" t="s">
        <v>1507</v>
      </c>
      <c r="AX34" s="1" t="s">
        <v>1507</v>
      </c>
      <c r="AY34" s="1" t="s">
        <v>1507</v>
      </c>
      <c r="AZ34" s="1" t="s">
        <v>1507</v>
      </c>
      <c r="BA34" s="1" t="s">
        <v>1507</v>
      </c>
      <c r="BB34" s="1" t="s">
        <v>1507</v>
      </c>
      <c r="BC34" s="1" t="s">
        <v>1507</v>
      </c>
      <c r="BD34" s="1" t="s">
        <v>1507</v>
      </c>
      <c r="BE34" s="1" t="s">
        <v>1507</v>
      </c>
      <c r="BF34" s="1" t="s">
        <v>4119</v>
      </c>
      <c r="BG34" s="1" t="str">
        <f>HYPERLINK("http://dx.doi.org/10.1017/S1351324923000438","http://dx.doi.org/10.1017/S1351324923000438")</f>
        <v>http://dx.doi.org/10.1017/S1351324923000438</v>
      </c>
      <c r="BH34" s="1" t="s">
        <v>1507</v>
      </c>
      <c r="BI34" s="1" t="s">
        <v>4056</v>
      </c>
      <c r="BJ34" s="1">
        <v>30</v>
      </c>
      <c r="BK34" s="1" t="s">
        <v>1544</v>
      </c>
      <c r="BL34" s="1" t="s">
        <v>1545</v>
      </c>
      <c r="BM34" s="1" t="s">
        <v>1546</v>
      </c>
      <c r="BN34" s="1" t="s">
        <v>4120</v>
      </c>
      <c r="BO34" s="1" t="s">
        <v>1507</v>
      </c>
      <c r="BP34" s="1" t="s">
        <v>1574</v>
      </c>
      <c r="BQ34" s="1" t="s">
        <v>1507</v>
      </c>
      <c r="BR34" s="1" t="s">
        <v>1507</v>
      </c>
      <c r="BS34" s="1" t="s">
        <v>13744</v>
      </c>
      <c r="BT34" s="1" t="s">
        <v>4121</v>
      </c>
      <c r="BU34" s="1" t="str">
        <f>HYPERLINK("https%3A%2F%2Fwww.webofscience.com%2Fwos%2Fwoscc%2Ffull-record%2FWOS:001077062200001","View Full Record in Web of Science")</f>
        <v>View Full Record in Web of Science</v>
      </c>
    </row>
    <row r="35" spans="1:73" x14ac:dyDescent="0.25">
      <c r="A35" s="1">
        <v>39</v>
      </c>
      <c r="B35" s="1" t="s">
        <v>1506</v>
      </c>
      <c r="C35" s="1" t="s">
        <v>10748</v>
      </c>
      <c r="D35" s="1" t="s">
        <v>1507</v>
      </c>
      <c r="E35" s="1" t="s">
        <v>1507</v>
      </c>
      <c r="F35" s="1" t="s">
        <v>1507</v>
      </c>
      <c r="G35" s="1" t="s">
        <v>10749</v>
      </c>
      <c r="H35" s="1" t="s">
        <v>1507</v>
      </c>
      <c r="I35" s="1" t="s">
        <v>1507</v>
      </c>
      <c r="J35" s="1" t="s">
        <v>10750</v>
      </c>
      <c r="K35" s="1" t="s">
        <v>10751</v>
      </c>
      <c r="L35" s="1" t="s">
        <v>1507</v>
      </c>
      <c r="M35" s="1" t="s">
        <v>1507</v>
      </c>
      <c r="N35" s="1" t="s">
        <v>42</v>
      </c>
      <c r="O35" s="1" t="s">
        <v>56</v>
      </c>
      <c r="P35" s="1" t="s">
        <v>1507</v>
      </c>
      <c r="Q35" s="1" t="s">
        <v>1507</v>
      </c>
      <c r="R35" s="1" t="s">
        <v>1507</v>
      </c>
      <c r="S35" s="1" t="s">
        <v>1507</v>
      </c>
      <c r="T35" s="1" t="s">
        <v>1507</v>
      </c>
      <c r="U35" s="1" t="s">
        <v>1507</v>
      </c>
      <c r="V35" s="1" t="s">
        <v>10752</v>
      </c>
      <c r="W35" s="1" t="s">
        <v>10753</v>
      </c>
      <c r="X35" s="1" t="s">
        <v>10754</v>
      </c>
      <c r="Y35" s="1" t="s">
        <v>10755</v>
      </c>
      <c r="Z35" s="1" t="s">
        <v>10756</v>
      </c>
      <c r="AA35" s="1" t="s">
        <v>10757</v>
      </c>
      <c r="AB35" s="1" t="s">
        <v>1507</v>
      </c>
      <c r="AC35" s="1" t="s">
        <v>10758</v>
      </c>
      <c r="AD35" s="1" t="s">
        <v>10759</v>
      </c>
      <c r="AE35" s="1" t="s">
        <v>10759</v>
      </c>
      <c r="AF35" s="1" t="s">
        <v>10760</v>
      </c>
      <c r="AG35" s="1" t="s">
        <v>1507</v>
      </c>
      <c r="AH35" s="1">
        <v>92</v>
      </c>
      <c r="AI35" s="1">
        <v>15</v>
      </c>
      <c r="AJ35" s="1">
        <v>16</v>
      </c>
      <c r="AK35" s="1">
        <v>0</v>
      </c>
      <c r="AL35" s="1">
        <v>3</v>
      </c>
      <c r="AM35" s="1" t="s">
        <v>3564</v>
      </c>
      <c r="AN35" s="1" t="s">
        <v>1523</v>
      </c>
      <c r="AO35" s="1" t="s">
        <v>3565</v>
      </c>
      <c r="AP35" s="1" t="s">
        <v>10761</v>
      </c>
      <c r="AQ35" s="1" t="s">
        <v>10762</v>
      </c>
      <c r="AR35" s="1" t="s">
        <v>1507</v>
      </c>
      <c r="AS35" s="1" t="s">
        <v>10763</v>
      </c>
      <c r="AT35" s="1" t="s">
        <v>10764</v>
      </c>
      <c r="AU35" s="1" t="s">
        <v>4336</v>
      </c>
      <c r="AV35" s="1">
        <v>2019</v>
      </c>
      <c r="AW35" s="1">
        <v>44</v>
      </c>
      <c r="AX35" s="1">
        <v>3</v>
      </c>
      <c r="AY35" s="1" t="s">
        <v>1507</v>
      </c>
      <c r="AZ35" s="1" t="s">
        <v>1507</v>
      </c>
      <c r="BA35" s="1" t="s">
        <v>1507</v>
      </c>
      <c r="BB35" s="1" t="s">
        <v>1507</v>
      </c>
      <c r="BC35" s="1">
        <v>647</v>
      </c>
      <c r="BD35" s="1">
        <v>678</v>
      </c>
      <c r="BE35" s="1" t="s">
        <v>10765</v>
      </c>
      <c r="BF35" s="1" t="s">
        <v>10766</v>
      </c>
      <c r="BG35" s="1" t="str">
        <f>HYPERLINK("http://dx.doi.org/10.1017/lsi.2018.12","http://dx.doi.org/10.1017/lsi.2018.12")</f>
        <v>http://dx.doi.org/10.1017/lsi.2018.12</v>
      </c>
      <c r="BH35" s="1" t="s">
        <v>1507</v>
      </c>
      <c r="BI35" s="1" t="s">
        <v>1507</v>
      </c>
      <c r="BJ35" s="1">
        <v>32</v>
      </c>
      <c r="BK35" s="1" t="s">
        <v>1535</v>
      </c>
      <c r="BL35" s="1" t="s">
        <v>1518</v>
      </c>
      <c r="BM35" s="1" t="s">
        <v>1536</v>
      </c>
      <c r="BN35" s="1" t="s">
        <v>10767</v>
      </c>
      <c r="BO35" s="1" t="s">
        <v>1507</v>
      </c>
      <c r="BP35" s="1" t="s">
        <v>1600</v>
      </c>
      <c r="BQ35" s="1" t="s">
        <v>1507</v>
      </c>
      <c r="BR35" s="1" t="s">
        <v>1507</v>
      </c>
      <c r="BS35" s="1" t="s">
        <v>13744</v>
      </c>
      <c r="BT35" s="1" t="s">
        <v>10768</v>
      </c>
      <c r="BU35" s="1" t="str">
        <f>HYPERLINK("https%3A%2F%2Fwww.webofscience.com%2Fwos%2Fwoscc%2Ffull-record%2FWOS:000488857600004","View Full Record in Web of Science")</f>
        <v>View Full Record in Web of Science</v>
      </c>
    </row>
    <row r="36" spans="1:73" x14ac:dyDescent="0.25">
      <c r="A36" s="1">
        <v>40</v>
      </c>
      <c r="B36" s="1" t="s">
        <v>5546</v>
      </c>
      <c r="C36" s="1" t="s">
        <v>5627</v>
      </c>
      <c r="D36" s="1" t="s">
        <v>1507</v>
      </c>
      <c r="E36" s="1" t="s">
        <v>1507</v>
      </c>
      <c r="F36" s="1" t="s">
        <v>5628</v>
      </c>
      <c r="G36" s="1" t="s">
        <v>5629</v>
      </c>
      <c r="H36" s="1" t="s">
        <v>1507</v>
      </c>
      <c r="I36" s="1" t="s">
        <v>1507</v>
      </c>
      <c r="J36" s="1" t="s">
        <v>5630</v>
      </c>
      <c r="K36" s="1" t="s">
        <v>5631</v>
      </c>
      <c r="L36" s="1" t="s">
        <v>1507</v>
      </c>
      <c r="M36" s="1" t="s">
        <v>1507</v>
      </c>
      <c r="N36" s="1" t="s">
        <v>42</v>
      </c>
      <c r="O36" s="1" t="s">
        <v>5552</v>
      </c>
      <c r="P36" s="1" t="s">
        <v>5632</v>
      </c>
      <c r="Q36" s="1" t="s">
        <v>5633</v>
      </c>
      <c r="R36" s="1" t="s">
        <v>5634</v>
      </c>
      <c r="S36" s="1" t="s">
        <v>5635</v>
      </c>
      <c r="T36" s="1" t="s">
        <v>1507</v>
      </c>
      <c r="U36" s="1" t="s">
        <v>5636</v>
      </c>
      <c r="V36" s="1" t="s">
        <v>1507</v>
      </c>
      <c r="W36" s="1" t="s">
        <v>5637</v>
      </c>
      <c r="X36" s="1" t="s">
        <v>5638</v>
      </c>
      <c r="Y36" s="1" t="s">
        <v>5639</v>
      </c>
      <c r="Z36" s="1" t="s">
        <v>5640</v>
      </c>
      <c r="AA36" s="1" t="s">
        <v>5641</v>
      </c>
      <c r="AB36" s="1" t="s">
        <v>1507</v>
      </c>
      <c r="AC36" s="1" t="s">
        <v>1507</v>
      </c>
      <c r="AD36" s="1" t="s">
        <v>5642</v>
      </c>
      <c r="AE36" s="1" t="s">
        <v>5643</v>
      </c>
      <c r="AF36" s="1" t="s">
        <v>5644</v>
      </c>
      <c r="AG36" s="1" t="s">
        <v>1507</v>
      </c>
      <c r="AH36" s="1">
        <v>11</v>
      </c>
      <c r="AI36" s="1">
        <v>1</v>
      </c>
      <c r="AJ36" s="1">
        <v>1</v>
      </c>
      <c r="AK36" s="1">
        <v>0</v>
      </c>
      <c r="AL36" s="1">
        <v>0</v>
      </c>
      <c r="AM36" s="1" t="s">
        <v>5645</v>
      </c>
      <c r="AN36" s="1" t="s">
        <v>5646</v>
      </c>
      <c r="AO36" s="1" t="s">
        <v>5647</v>
      </c>
      <c r="AP36" s="1" t="s">
        <v>1507</v>
      </c>
      <c r="AQ36" s="1" t="s">
        <v>1507</v>
      </c>
      <c r="AR36" s="1" t="s">
        <v>5648</v>
      </c>
      <c r="AS36" s="1" t="s">
        <v>1507</v>
      </c>
      <c r="AT36" s="1" t="s">
        <v>1507</v>
      </c>
      <c r="AU36" s="1" t="s">
        <v>1507</v>
      </c>
      <c r="AV36" s="1">
        <v>2023</v>
      </c>
      <c r="AW36" s="1" t="s">
        <v>1507</v>
      </c>
      <c r="AX36" s="1" t="s">
        <v>1507</v>
      </c>
      <c r="AY36" s="1" t="s">
        <v>1507</v>
      </c>
      <c r="AZ36" s="1" t="s">
        <v>1507</v>
      </c>
      <c r="BA36" s="1" t="s">
        <v>1507</v>
      </c>
      <c r="BB36" s="1" t="s">
        <v>1507</v>
      </c>
      <c r="BC36" s="1">
        <v>264</v>
      </c>
      <c r="BD36" s="1">
        <v>265</v>
      </c>
      <c r="BE36" s="1" t="s">
        <v>1507</v>
      </c>
      <c r="BF36" s="1" t="s">
        <v>5649</v>
      </c>
      <c r="BG36" s="1" t="str">
        <f>HYPERLINK("http://dx.doi.org/10.1109/CAI54212.2023.00118","http://dx.doi.org/10.1109/CAI54212.2023.00118")</f>
        <v>http://dx.doi.org/10.1109/CAI54212.2023.00118</v>
      </c>
      <c r="BH36" s="1" t="s">
        <v>1507</v>
      </c>
      <c r="BI36" s="1" t="s">
        <v>1507</v>
      </c>
      <c r="BJ36" s="1">
        <v>2</v>
      </c>
      <c r="BK36" s="1" t="s">
        <v>5650</v>
      </c>
      <c r="BL36" s="1" t="s">
        <v>5570</v>
      </c>
      <c r="BM36" s="1" t="s">
        <v>1577</v>
      </c>
      <c r="BN36" s="1" t="s">
        <v>5651</v>
      </c>
      <c r="BO36" s="1" t="s">
        <v>1507</v>
      </c>
      <c r="BP36" s="1" t="s">
        <v>1507</v>
      </c>
      <c r="BQ36" s="1" t="s">
        <v>1507</v>
      </c>
      <c r="BR36" s="1" t="s">
        <v>1507</v>
      </c>
      <c r="BS36" s="1" t="s">
        <v>13744</v>
      </c>
      <c r="BT36" s="1" t="s">
        <v>5652</v>
      </c>
      <c r="BU36" s="1" t="str">
        <f>HYPERLINK("https%3A%2F%2Fwww.webofscience.com%2Fwos%2Fwoscc%2Ffull-record%2FWOS:001046447800108","View Full Record in Web of Science")</f>
        <v>View Full Record in Web of Science</v>
      </c>
    </row>
    <row r="37" spans="1:73" x14ac:dyDescent="0.25">
      <c r="A37" s="1">
        <v>41</v>
      </c>
      <c r="B37" s="1" t="s">
        <v>1506</v>
      </c>
      <c r="C37" s="1" t="s">
        <v>2871</v>
      </c>
      <c r="D37" s="1" t="s">
        <v>1507</v>
      </c>
      <c r="E37" s="1" t="s">
        <v>1507</v>
      </c>
      <c r="F37" s="1" t="s">
        <v>1507</v>
      </c>
      <c r="G37" s="1" t="s">
        <v>2872</v>
      </c>
      <c r="H37" s="1" t="s">
        <v>1507</v>
      </c>
      <c r="I37" s="1" t="s">
        <v>1507</v>
      </c>
      <c r="J37" s="1" t="s">
        <v>2873</v>
      </c>
      <c r="K37" s="1" t="s">
        <v>2874</v>
      </c>
      <c r="L37" s="1" t="s">
        <v>1507</v>
      </c>
      <c r="M37" s="1" t="s">
        <v>1507</v>
      </c>
      <c r="N37" s="1" t="s">
        <v>42</v>
      </c>
      <c r="O37" s="1" t="s">
        <v>56</v>
      </c>
      <c r="P37" s="1" t="s">
        <v>1507</v>
      </c>
      <c r="Q37" s="1" t="s">
        <v>1507</v>
      </c>
      <c r="R37" s="1" t="s">
        <v>1507</v>
      </c>
      <c r="S37" s="1" t="s">
        <v>1507</v>
      </c>
      <c r="T37" s="1" t="s">
        <v>1507</v>
      </c>
      <c r="U37" s="1" t="s">
        <v>2875</v>
      </c>
      <c r="V37" s="1" t="s">
        <v>2876</v>
      </c>
      <c r="W37" s="1" t="s">
        <v>2877</v>
      </c>
      <c r="X37" s="1" t="s">
        <v>2878</v>
      </c>
      <c r="Y37" s="1" t="s">
        <v>14223</v>
      </c>
      <c r="Z37" s="1" t="s">
        <v>2879</v>
      </c>
      <c r="AA37" s="1" t="s">
        <v>2880</v>
      </c>
      <c r="AB37" s="1" t="s">
        <v>2881</v>
      </c>
      <c r="AC37" s="1" t="s">
        <v>2882</v>
      </c>
      <c r="AD37" s="1" t="s">
        <v>1507</v>
      </c>
      <c r="AE37" s="1" t="s">
        <v>1507</v>
      </c>
      <c r="AF37" s="1" t="s">
        <v>1507</v>
      </c>
      <c r="AG37" s="1" t="s">
        <v>1507</v>
      </c>
      <c r="AH37" s="1">
        <v>18</v>
      </c>
      <c r="AI37" s="1">
        <v>9</v>
      </c>
      <c r="AJ37" s="1">
        <v>9</v>
      </c>
      <c r="AK37" s="1">
        <v>4</v>
      </c>
      <c r="AL37" s="1">
        <v>7</v>
      </c>
      <c r="AM37" s="1" t="s">
        <v>2883</v>
      </c>
      <c r="AN37" s="1" t="s">
        <v>1512</v>
      </c>
      <c r="AO37" s="1" t="s">
        <v>2884</v>
      </c>
      <c r="AP37" s="1" t="s">
        <v>2885</v>
      </c>
      <c r="AQ37" s="1" t="s">
        <v>2886</v>
      </c>
      <c r="AR37" s="1" t="s">
        <v>1507</v>
      </c>
      <c r="AS37" s="1" t="s">
        <v>2887</v>
      </c>
      <c r="AT37" s="1" t="s">
        <v>2888</v>
      </c>
      <c r="AU37" s="1" t="s">
        <v>2889</v>
      </c>
      <c r="AV37" s="1">
        <v>2023</v>
      </c>
      <c r="AW37" s="1">
        <v>20</v>
      </c>
      <c r="AX37" s="1">
        <v>10</v>
      </c>
      <c r="AY37" s="1" t="s">
        <v>1507</v>
      </c>
      <c r="AZ37" s="1" t="s">
        <v>1507</v>
      </c>
      <c r="BA37" s="1" t="s">
        <v>1507</v>
      </c>
      <c r="BB37" s="1" t="s">
        <v>1507</v>
      </c>
      <c r="BC37" s="1">
        <v>998</v>
      </c>
      <c r="BD37" s="1">
        <v>1003</v>
      </c>
      <c r="BE37" s="1" t="s">
        <v>1507</v>
      </c>
      <c r="BF37" s="1" t="s">
        <v>2890</v>
      </c>
      <c r="BG37" s="1" t="str">
        <f>HYPERLINK("http://dx.doi.org/10.1016/j.jacr.2023.06.009","http://dx.doi.org/10.1016/j.jacr.2023.06.009")</f>
        <v>http://dx.doi.org/10.1016/j.jacr.2023.06.009</v>
      </c>
      <c r="BH37" s="1" t="s">
        <v>1507</v>
      </c>
      <c r="BI37" s="1" t="s">
        <v>2891</v>
      </c>
      <c r="BJ37" s="1">
        <v>6</v>
      </c>
      <c r="BK37" s="1" t="s">
        <v>1653</v>
      </c>
      <c r="BL37" s="1" t="s">
        <v>1573</v>
      </c>
      <c r="BM37" s="1" t="s">
        <v>1653</v>
      </c>
      <c r="BN37" s="1" t="s">
        <v>2892</v>
      </c>
      <c r="BO37" s="1">
        <v>37423350</v>
      </c>
      <c r="BP37" s="1" t="s">
        <v>1507</v>
      </c>
      <c r="BQ37" s="1" t="s">
        <v>1507</v>
      </c>
      <c r="BR37" s="1" t="s">
        <v>1507</v>
      </c>
      <c r="BS37" s="1" t="s">
        <v>13744</v>
      </c>
      <c r="BT37" s="1" t="s">
        <v>2893</v>
      </c>
      <c r="BU37" s="1" t="str">
        <f>HYPERLINK("https%3A%2F%2Fwww.webofscience.com%2Fwos%2Fwoscc%2Ffull-record%2FWOS:001101353300001","View Full Record in Web of Science")</f>
        <v>View Full Record in Web of Science</v>
      </c>
    </row>
    <row r="38" spans="1:73" x14ac:dyDescent="0.25">
      <c r="A38" s="1">
        <v>42</v>
      </c>
      <c r="B38" s="1" t="s">
        <v>1506</v>
      </c>
      <c r="C38" s="1" t="s">
        <v>2576</v>
      </c>
      <c r="D38" s="1" t="s">
        <v>1507</v>
      </c>
      <c r="E38" s="1" t="s">
        <v>1507</v>
      </c>
      <c r="F38" s="1" t="s">
        <v>1507</v>
      </c>
      <c r="G38" s="1" t="s">
        <v>2577</v>
      </c>
      <c r="H38" s="1" t="s">
        <v>1507</v>
      </c>
      <c r="I38" s="1" t="s">
        <v>1507</v>
      </c>
      <c r="J38" s="1" t="s">
        <v>2578</v>
      </c>
      <c r="K38" s="1" t="s">
        <v>2579</v>
      </c>
      <c r="L38" s="1" t="s">
        <v>1507</v>
      </c>
      <c r="M38" s="1" t="s">
        <v>1507</v>
      </c>
      <c r="N38" s="1" t="s">
        <v>42</v>
      </c>
      <c r="O38" s="1" t="s">
        <v>56</v>
      </c>
      <c r="P38" s="1" t="s">
        <v>1507</v>
      </c>
      <c r="Q38" s="1" t="s">
        <v>1507</v>
      </c>
      <c r="R38" s="1" t="s">
        <v>1507</v>
      </c>
      <c r="S38" s="1" t="s">
        <v>1507</v>
      </c>
      <c r="T38" s="1" t="s">
        <v>1507</v>
      </c>
      <c r="U38" s="1" t="s">
        <v>2580</v>
      </c>
      <c r="V38" s="1" t="s">
        <v>2581</v>
      </c>
      <c r="W38" s="1" t="s">
        <v>2582</v>
      </c>
      <c r="X38" s="1" t="s">
        <v>2583</v>
      </c>
      <c r="Y38" s="1" t="s">
        <v>2584</v>
      </c>
      <c r="Z38" s="1" t="s">
        <v>2585</v>
      </c>
      <c r="AA38" s="1" t="s">
        <v>2586</v>
      </c>
      <c r="AB38" s="1" t="s">
        <v>1507</v>
      </c>
      <c r="AC38" s="1" t="s">
        <v>2587</v>
      </c>
      <c r="AD38" s="1" t="s">
        <v>2588</v>
      </c>
      <c r="AE38" s="1" t="s">
        <v>2588</v>
      </c>
      <c r="AF38" s="1" t="s">
        <v>2588</v>
      </c>
      <c r="AG38" s="1" t="s">
        <v>1507</v>
      </c>
      <c r="AH38" s="1">
        <v>52</v>
      </c>
      <c r="AI38" s="1">
        <v>2</v>
      </c>
      <c r="AJ38" s="1">
        <v>2</v>
      </c>
      <c r="AK38" s="1">
        <v>169</v>
      </c>
      <c r="AL38" s="1">
        <v>169</v>
      </c>
      <c r="AM38" s="1" t="s">
        <v>1511</v>
      </c>
      <c r="AN38" s="1" t="s">
        <v>1512</v>
      </c>
      <c r="AO38" s="1" t="s">
        <v>1513</v>
      </c>
      <c r="AP38" s="1" t="s">
        <v>2589</v>
      </c>
      <c r="AQ38" s="1" t="s">
        <v>1507</v>
      </c>
      <c r="AR38" s="1" t="s">
        <v>1507</v>
      </c>
      <c r="AS38" s="1" t="s">
        <v>2590</v>
      </c>
      <c r="AT38" s="1" t="s">
        <v>2591</v>
      </c>
      <c r="AU38" s="1" t="s">
        <v>2592</v>
      </c>
      <c r="AV38" s="1">
        <v>2023</v>
      </c>
      <c r="AW38" s="1">
        <v>20</v>
      </c>
      <c r="AX38" s="1">
        <v>1</v>
      </c>
      <c r="AY38" s="1" t="s">
        <v>1507</v>
      </c>
      <c r="AZ38" s="1" t="s">
        <v>1507</v>
      </c>
      <c r="BA38" s="1" t="s">
        <v>1507</v>
      </c>
      <c r="BB38" s="1" t="s">
        <v>1507</v>
      </c>
      <c r="BC38" s="1" t="s">
        <v>1507</v>
      </c>
      <c r="BD38" s="1" t="s">
        <v>1507</v>
      </c>
      <c r="BE38" s="1">
        <v>59</v>
      </c>
      <c r="BF38" s="1" t="s">
        <v>106</v>
      </c>
      <c r="BG38" s="1" t="str">
        <f>HYPERLINK("http://dx.doi.org/10.1186/s41239-023-00427-0","http://dx.doi.org/10.1186/s41239-023-00427-0")</f>
        <v>http://dx.doi.org/10.1186/s41239-023-00427-0</v>
      </c>
      <c r="BH38" s="1" t="s">
        <v>1507</v>
      </c>
      <c r="BI38" s="1" t="s">
        <v>1507</v>
      </c>
      <c r="BJ38" s="1">
        <v>24</v>
      </c>
      <c r="BK38" s="1" t="s">
        <v>1558</v>
      </c>
      <c r="BL38" s="1" t="s">
        <v>1518</v>
      </c>
      <c r="BM38" s="1" t="s">
        <v>1558</v>
      </c>
      <c r="BN38" s="1" t="s">
        <v>2593</v>
      </c>
      <c r="BO38" s="1" t="s">
        <v>1507</v>
      </c>
      <c r="BP38" s="1" t="s">
        <v>1531</v>
      </c>
      <c r="BQ38" s="1" t="s">
        <v>1507</v>
      </c>
      <c r="BR38" s="1" t="s">
        <v>1507</v>
      </c>
      <c r="BS38" s="1" t="s">
        <v>13744</v>
      </c>
      <c r="BT38" s="1" t="s">
        <v>2594</v>
      </c>
      <c r="BU38" s="1" t="str">
        <f>HYPERLINK("https%3A%2F%2Fwww.webofscience.com%2Fwos%2Fwoscc%2Ffull-record%2FWOS:001099156200001","View Full Record in Web of Science")</f>
        <v>View Full Record in Web of Science</v>
      </c>
    </row>
    <row r="39" spans="1:73" x14ac:dyDescent="0.25">
      <c r="A39" s="1">
        <v>43</v>
      </c>
      <c r="B39" s="1" t="s">
        <v>1506</v>
      </c>
      <c r="C39" s="1" t="s">
        <v>11816</v>
      </c>
      <c r="D39" s="1" t="s">
        <v>1507</v>
      </c>
      <c r="E39" s="1" t="s">
        <v>1507</v>
      </c>
      <c r="F39" s="1" t="s">
        <v>1507</v>
      </c>
      <c r="G39" s="1" t="s">
        <v>11817</v>
      </c>
      <c r="H39" s="1" t="s">
        <v>1507</v>
      </c>
      <c r="I39" s="1" t="s">
        <v>1507</v>
      </c>
      <c r="J39" s="1" t="s">
        <v>11818</v>
      </c>
      <c r="K39" s="1" t="s">
        <v>11819</v>
      </c>
      <c r="L39" s="1" t="s">
        <v>1507</v>
      </c>
      <c r="M39" s="1" t="s">
        <v>1507</v>
      </c>
      <c r="N39" s="1" t="s">
        <v>42</v>
      </c>
      <c r="O39" s="1" t="s">
        <v>56</v>
      </c>
      <c r="P39" s="1" t="s">
        <v>1507</v>
      </c>
      <c r="Q39" s="1" t="s">
        <v>1507</v>
      </c>
      <c r="R39" s="1" t="s">
        <v>1507</v>
      </c>
      <c r="S39" s="1" t="s">
        <v>1507</v>
      </c>
      <c r="T39" s="1" t="s">
        <v>1507</v>
      </c>
      <c r="U39" s="1" t="s">
        <v>1507</v>
      </c>
      <c r="V39" s="1" t="s">
        <v>11820</v>
      </c>
      <c r="W39" s="1" t="s">
        <v>1507</v>
      </c>
      <c r="X39" s="1" t="s">
        <v>11821</v>
      </c>
      <c r="Y39" s="1" t="s">
        <v>11822</v>
      </c>
      <c r="Z39" s="1" t="s">
        <v>11823</v>
      </c>
      <c r="AA39" s="1" t="s">
        <v>11824</v>
      </c>
      <c r="AB39" s="1" t="s">
        <v>11825</v>
      </c>
      <c r="AC39" s="1" t="s">
        <v>11826</v>
      </c>
      <c r="AD39" s="1" t="s">
        <v>11827</v>
      </c>
      <c r="AE39" s="1" t="s">
        <v>11828</v>
      </c>
      <c r="AF39" s="1" t="s">
        <v>11829</v>
      </c>
      <c r="AG39" s="1" t="s">
        <v>1507</v>
      </c>
      <c r="AH39" s="1">
        <v>57</v>
      </c>
      <c r="AI39" s="1">
        <v>41</v>
      </c>
      <c r="AJ39" s="1">
        <v>45</v>
      </c>
      <c r="AK39" s="1">
        <v>4</v>
      </c>
      <c r="AL39" s="1">
        <v>31</v>
      </c>
      <c r="AM39" s="1" t="s">
        <v>11830</v>
      </c>
      <c r="AN39" s="1" t="s">
        <v>11831</v>
      </c>
      <c r="AO39" s="1" t="s">
        <v>11832</v>
      </c>
      <c r="AP39" s="1" t="s">
        <v>11833</v>
      </c>
      <c r="AQ39" s="1" t="s">
        <v>11834</v>
      </c>
      <c r="AR39" s="1" t="s">
        <v>1507</v>
      </c>
      <c r="AS39" s="1" t="s">
        <v>11819</v>
      </c>
      <c r="AT39" s="1" t="s">
        <v>11835</v>
      </c>
      <c r="AU39" s="1" t="s">
        <v>5362</v>
      </c>
      <c r="AV39" s="1">
        <v>2018</v>
      </c>
      <c r="AW39" s="1">
        <v>30</v>
      </c>
      <c r="AX39" s="1">
        <v>3</v>
      </c>
      <c r="AY39" s="1" t="s">
        <v>1507</v>
      </c>
      <c r="AZ39" s="1" t="s">
        <v>1507</v>
      </c>
      <c r="BA39" s="1" t="s">
        <v>1507</v>
      </c>
      <c r="BB39" s="1" t="s">
        <v>1507</v>
      </c>
      <c r="BC39" s="1">
        <v>582</v>
      </c>
      <c r="BD39" s="1">
        <v>599</v>
      </c>
      <c r="BE39" s="1" t="s">
        <v>1507</v>
      </c>
      <c r="BF39" s="1" t="s">
        <v>11836</v>
      </c>
      <c r="BG39" s="1" t="str">
        <f>HYPERLINK("http://dx.doi.org/10.1105/tpc.17.00947","http://dx.doi.org/10.1105/tpc.17.00947")</f>
        <v>http://dx.doi.org/10.1105/tpc.17.00947</v>
      </c>
      <c r="BH39" s="1" t="s">
        <v>1507</v>
      </c>
      <c r="BI39" s="1" t="s">
        <v>1507</v>
      </c>
      <c r="BJ39" s="1">
        <v>18</v>
      </c>
      <c r="BK39" s="1" t="s">
        <v>11837</v>
      </c>
      <c r="BL39" s="1" t="s">
        <v>1573</v>
      </c>
      <c r="BM39" s="1" t="s">
        <v>11837</v>
      </c>
      <c r="BN39" s="1" t="s">
        <v>11838</v>
      </c>
      <c r="BO39" s="1">
        <v>29453227</v>
      </c>
      <c r="BP39" s="1" t="s">
        <v>9713</v>
      </c>
      <c r="BQ39" s="1" t="s">
        <v>1507</v>
      </c>
      <c r="BR39" s="1" t="s">
        <v>1507</v>
      </c>
      <c r="BS39" s="1" t="s">
        <v>13744</v>
      </c>
      <c r="BT39" s="1" t="s">
        <v>11839</v>
      </c>
      <c r="BU39" s="1" t="str">
        <f>HYPERLINK("https%3A%2F%2Fwww.webofscience.com%2Fwos%2Fwoscc%2Ffull-record%2FWOS:000429441400011","View Full Record in Web of Science")</f>
        <v>View Full Record in Web of Science</v>
      </c>
    </row>
    <row r="40" spans="1:73" x14ac:dyDescent="0.25">
      <c r="A40" s="1">
        <v>44</v>
      </c>
      <c r="B40" s="1" t="s">
        <v>1506</v>
      </c>
      <c r="C40" s="1" t="s">
        <v>9656</v>
      </c>
      <c r="D40" s="1" t="s">
        <v>1507</v>
      </c>
      <c r="E40" s="1" t="s">
        <v>1507</v>
      </c>
      <c r="F40" s="1" t="s">
        <v>1507</v>
      </c>
      <c r="G40" s="1" t="s">
        <v>9657</v>
      </c>
      <c r="H40" s="1" t="s">
        <v>1507</v>
      </c>
      <c r="I40" s="1" t="s">
        <v>1507</v>
      </c>
      <c r="J40" s="1" t="s">
        <v>9658</v>
      </c>
      <c r="K40" s="1" t="s">
        <v>9659</v>
      </c>
      <c r="L40" s="1" t="s">
        <v>1507</v>
      </c>
      <c r="M40" s="1" t="s">
        <v>1507</v>
      </c>
      <c r="N40" s="1" t="s">
        <v>42</v>
      </c>
      <c r="O40" s="1" t="s">
        <v>56</v>
      </c>
      <c r="P40" s="1" t="s">
        <v>1507</v>
      </c>
      <c r="Q40" s="1" t="s">
        <v>1507</v>
      </c>
      <c r="R40" s="1" t="s">
        <v>1507</v>
      </c>
      <c r="S40" s="1" t="s">
        <v>1507</v>
      </c>
      <c r="T40" s="1" t="s">
        <v>1507</v>
      </c>
      <c r="U40" s="1" t="s">
        <v>9660</v>
      </c>
      <c r="V40" s="1" t="s">
        <v>9661</v>
      </c>
      <c r="W40" s="1" t="s">
        <v>9662</v>
      </c>
      <c r="X40" s="1" t="s">
        <v>9663</v>
      </c>
      <c r="Y40" s="1" t="s">
        <v>9664</v>
      </c>
      <c r="Z40" s="1" t="s">
        <v>9665</v>
      </c>
      <c r="AA40" s="1" t="s">
        <v>9666</v>
      </c>
      <c r="AB40" s="1" t="s">
        <v>15801</v>
      </c>
      <c r="AC40" s="1" t="s">
        <v>15802</v>
      </c>
      <c r="AD40" s="1" t="s">
        <v>9667</v>
      </c>
      <c r="AE40" s="1" t="s">
        <v>9668</v>
      </c>
      <c r="AF40" s="1" t="s">
        <v>9669</v>
      </c>
      <c r="AG40" s="1" t="s">
        <v>1507</v>
      </c>
      <c r="AH40" s="1">
        <v>46</v>
      </c>
      <c r="AI40" s="1">
        <v>5</v>
      </c>
      <c r="AJ40" s="1">
        <v>5</v>
      </c>
      <c r="AK40" s="1">
        <v>1</v>
      </c>
      <c r="AL40" s="1">
        <v>11</v>
      </c>
      <c r="AM40" s="1" t="s">
        <v>9670</v>
      </c>
      <c r="AN40" s="1" t="s">
        <v>3501</v>
      </c>
      <c r="AO40" s="1" t="s">
        <v>9671</v>
      </c>
      <c r="AP40" s="1" t="s">
        <v>9672</v>
      </c>
      <c r="AQ40" s="1" t="s">
        <v>9673</v>
      </c>
      <c r="AR40" s="1" t="s">
        <v>1507</v>
      </c>
      <c r="AS40" s="1" t="s">
        <v>9674</v>
      </c>
      <c r="AT40" s="1" t="s">
        <v>9675</v>
      </c>
      <c r="AU40" s="1" t="s">
        <v>4336</v>
      </c>
      <c r="AV40" s="1">
        <v>2020</v>
      </c>
      <c r="AW40" s="1">
        <v>39</v>
      </c>
      <c r="AX40" s="1">
        <v>8</v>
      </c>
      <c r="AY40" s="1" t="s">
        <v>1507</v>
      </c>
      <c r="AZ40" s="1" t="s">
        <v>1507</v>
      </c>
      <c r="BA40" s="1" t="s">
        <v>1507</v>
      </c>
      <c r="BB40" s="1" t="s">
        <v>1507</v>
      </c>
      <c r="BC40" s="1">
        <v>2463</v>
      </c>
      <c r="BD40" s="1">
        <v>2470</v>
      </c>
      <c r="BE40" s="1" t="s">
        <v>1507</v>
      </c>
      <c r="BF40" s="1" t="s">
        <v>9676</v>
      </c>
      <c r="BG40" s="1" t="str">
        <f>HYPERLINK("http://dx.doi.org/10.1016/j.clnu.2019.10.032","http://dx.doi.org/10.1016/j.clnu.2019.10.032")</f>
        <v>http://dx.doi.org/10.1016/j.clnu.2019.10.032</v>
      </c>
      <c r="BH40" s="1" t="s">
        <v>1507</v>
      </c>
      <c r="BI40" s="1" t="s">
        <v>1507</v>
      </c>
      <c r="BJ40" s="1">
        <v>8</v>
      </c>
      <c r="BK40" s="1" t="s">
        <v>7211</v>
      </c>
      <c r="BL40" s="1" t="s">
        <v>1598</v>
      </c>
      <c r="BM40" s="1" t="s">
        <v>7211</v>
      </c>
      <c r="BN40" s="1" t="s">
        <v>9677</v>
      </c>
      <c r="BO40" s="1">
        <v>31727381</v>
      </c>
      <c r="BP40" s="1" t="s">
        <v>5957</v>
      </c>
      <c r="BQ40" s="1" t="s">
        <v>1507</v>
      </c>
      <c r="BR40" s="1" t="s">
        <v>1507</v>
      </c>
      <c r="BS40" s="1" t="s">
        <v>13744</v>
      </c>
      <c r="BT40" s="1" t="s">
        <v>9678</v>
      </c>
      <c r="BU40" s="1" t="str">
        <f>HYPERLINK("https%3A%2F%2Fwww.webofscience.com%2Fwos%2Fwoscc%2Ffull-record%2FWOS:000553453200016","View Full Record in Web of Science")</f>
        <v>View Full Record in Web of Science</v>
      </c>
    </row>
    <row r="41" spans="1:73" x14ac:dyDescent="0.25">
      <c r="A41" s="1">
        <v>45</v>
      </c>
      <c r="B41" s="1" t="s">
        <v>1506</v>
      </c>
      <c r="C41" s="1" t="s">
        <v>4965</v>
      </c>
      <c r="D41" s="1" t="s">
        <v>1507</v>
      </c>
      <c r="E41" s="1" t="s">
        <v>1507</v>
      </c>
      <c r="F41" s="1" t="s">
        <v>1507</v>
      </c>
      <c r="G41" s="1" t="s">
        <v>4966</v>
      </c>
      <c r="H41" s="1" t="s">
        <v>1507</v>
      </c>
      <c r="I41" s="1" t="s">
        <v>1507</v>
      </c>
      <c r="J41" s="1" t="s">
        <v>69</v>
      </c>
      <c r="K41" s="1" t="s">
        <v>4967</v>
      </c>
      <c r="L41" s="1" t="s">
        <v>1507</v>
      </c>
      <c r="M41" s="1" t="s">
        <v>1507</v>
      </c>
      <c r="N41" s="1" t="s">
        <v>42</v>
      </c>
      <c r="O41" s="1" t="s">
        <v>1509</v>
      </c>
      <c r="P41" s="1" t="s">
        <v>1507</v>
      </c>
      <c r="Q41" s="1" t="s">
        <v>1507</v>
      </c>
      <c r="R41" s="1" t="s">
        <v>1507</v>
      </c>
      <c r="S41" s="1" t="s">
        <v>1507</v>
      </c>
      <c r="T41" s="1" t="s">
        <v>1507</v>
      </c>
      <c r="U41" s="1" t="s">
        <v>75</v>
      </c>
      <c r="V41" s="1" t="s">
        <v>4968</v>
      </c>
      <c r="W41" s="1" t="s">
        <v>4969</v>
      </c>
      <c r="X41" s="1" t="s">
        <v>4970</v>
      </c>
      <c r="Y41" s="1" t="s">
        <v>4971</v>
      </c>
      <c r="Z41" s="1" t="s">
        <v>4972</v>
      </c>
      <c r="AA41" s="1" t="s">
        <v>4973</v>
      </c>
      <c r="AB41" s="1" t="s">
        <v>1507</v>
      </c>
      <c r="AC41" s="1" t="s">
        <v>14710</v>
      </c>
      <c r="AD41" s="1" t="s">
        <v>4974</v>
      </c>
      <c r="AE41" s="1" t="s">
        <v>4975</v>
      </c>
      <c r="AF41" s="1" t="s">
        <v>4976</v>
      </c>
      <c r="AG41" s="1" t="s">
        <v>1507</v>
      </c>
      <c r="AH41" s="1">
        <v>122</v>
      </c>
      <c r="AI41" s="1">
        <v>12</v>
      </c>
      <c r="AJ41" s="1">
        <v>12</v>
      </c>
      <c r="AK41" s="1">
        <v>111</v>
      </c>
      <c r="AL41" s="1">
        <v>213</v>
      </c>
      <c r="AM41" s="1" t="s">
        <v>1559</v>
      </c>
      <c r="AN41" s="1" t="s">
        <v>1560</v>
      </c>
      <c r="AO41" s="1" t="s">
        <v>1561</v>
      </c>
      <c r="AP41" s="1" t="s">
        <v>4977</v>
      </c>
      <c r="AQ41" s="1" t="s">
        <v>4978</v>
      </c>
      <c r="AR41" s="1" t="s">
        <v>1507</v>
      </c>
      <c r="AS41" s="1" t="s">
        <v>4979</v>
      </c>
      <c r="AT41" s="1" t="s">
        <v>4980</v>
      </c>
      <c r="AU41" s="1" t="s">
        <v>4981</v>
      </c>
      <c r="AV41" s="1">
        <v>2023</v>
      </c>
      <c r="AW41" s="1" t="s">
        <v>1507</v>
      </c>
      <c r="AX41" s="1" t="s">
        <v>1507</v>
      </c>
      <c r="AY41" s="1" t="s">
        <v>1507</v>
      </c>
      <c r="AZ41" s="1" t="s">
        <v>1507</v>
      </c>
      <c r="BA41" s="1" t="s">
        <v>1507</v>
      </c>
      <c r="BB41" s="1" t="s">
        <v>1507</v>
      </c>
      <c r="BC41" s="1" t="s">
        <v>1507</v>
      </c>
      <c r="BD41" s="1" t="s">
        <v>1507</v>
      </c>
      <c r="BE41" s="1" t="s">
        <v>1507</v>
      </c>
      <c r="BF41" s="1" t="s">
        <v>71</v>
      </c>
      <c r="BG41" s="1" t="str">
        <f>HYPERLINK("http://dx.doi.org/10.1111/bjet.13336","http://dx.doi.org/10.1111/bjet.13336")</f>
        <v>http://dx.doi.org/10.1111/bjet.13336</v>
      </c>
      <c r="BH41" s="1" t="s">
        <v>1507</v>
      </c>
      <c r="BI41" s="1" t="s">
        <v>4832</v>
      </c>
      <c r="BJ41" s="1">
        <v>24</v>
      </c>
      <c r="BK41" s="1" t="s">
        <v>1558</v>
      </c>
      <c r="BL41" s="1" t="s">
        <v>1518</v>
      </c>
      <c r="BM41" s="1" t="s">
        <v>1558</v>
      </c>
      <c r="BN41" s="1" t="s">
        <v>4982</v>
      </c>
      <c r="BO41" s="1" t="s">
        <v>1507</v>
      </c>
      <c r="BP41" s="1" t="s">
        <v>4214</v>
      </c>
      <c r="BQ41" s="1" t="s">
        <v>1507</v>
      </c>
      <c r="BR41" s="1" t="s">
        <v>1507</v>
      </c>
      <c r="BS41" s="1" t="s">
        <v>13744</v>
      </c>
      <c r="BT41" s="1" t="s">
        <v>4983</v>
      </c>
      <c r="BU41" s="1" t="str">
        <f>HYPERLINK("https%3A%2F%2Fwww.webofscience.com%2Fwos%2Fwoscc%2Ffull-record%2FWOS:000992259800001","View Full Record in Web of Science")</f>
        <v>View Full Record in Web of Science</v>
      </c>
    </row>
    <row r="42" spans="1:73" x14ac:dyDescent="0.25">
      <c r="A42" s="1">
        <v>46</v>
      </c>
      <c r="B42" s="1" t="s">
        <v>1506</v>
      </c>
      <c r="C42" s="1" t="s">
        <v>10769</v>
      </c>
      <c r="D42" s="1" t="s">
        <v>1507</v>
      </c>
      <c r="E42" s="1" t="s">
        <v>1507</v>
      </c>
      <c r="F42" s="1" t="s">
        <v>1507</v>
      </c>
      <c r="G42" s="1" t="s">
        <v>10770</v>
      </c>
      <c r="H42" s="1" t="s">
        <v>1507</v>
      </c>
      <c r="I42" s="1" t="s">
        <v>1507</v>
      </c>
      <c r="J42" s="1" t="s">
        <v>10771</v>
      </c>
      <c r="K42" s="1" t="s">
        <v>10772</v>
      </c>
      <c r="L42" s="1" t="s">
        <v>1507</v>
      </c>
      <c r="M42" s="1" t="s">
        <v>1507</v>
      </c>
      <c r="N42" s="1" t="s">
        <v>42</v>
      </c>
      <c r="O42" s="1" t="s">
        <v>56</v>
      </c>
      <c r="P42" s="1" t="s">
        <v>1507</v>
      </c>
      <c r="Q42" s="1" t="s">
        <v>1507</v>
      </c>
      <c r="R42" s="1" t="s">
        <v>1507</v>
      </c>
      <c r="S42" s="1" t="s">
        <v>1507</v>
      </c>
      <c r="T42" s="1" t="s">
        <v>1507</v>
      </c>
      <c r="U42" s="1" t="s">
        <v>1507</v>
      </c>
      <c r="V42" s="1" t="s">
        <v>10773</v>
      </c>
      <c r="W42" s="1" t="s">
        <v>10774</v>
      </c>
      <c r="X42" s="1" t="s">
        <v>10775</v>
      </c>
      <c r="Y42" s="1" t="s">
        <v>10776</v>
      </c>
      <c r="Z42" s="1" t="s">
        <v>10777</v>
      </c>
      <c r="AA42" s="1" t="s">
        <v>10778</v>
      </c>
      <c r="AB42" s="1" t="s">
        <v>15914</v>
      </c>
      <c r="AC42" s="1" t="s">
        <v>15915</v>
      </c>
      <c r="AD42" s="1" t="s">
        <v>10779</v>
      </c>
      <c r="AE42" s="1" t="s">
        <v>10780</v>
      </c>
      <c r="AF42" s="1" t="s">
        <v>10781</v>
      </c>
      <c r="AG42" s="1" t="s">
        <v>1507</v>
      </c>
      <c r="AH42" s="1">
        <v>53</v>
      </c>
      <c r="AI42" s="1">
        <v>32</v>
      </c>
      <c r="AJ42" s="1">
        <v>35</v>
      </c>
      <c r="AK42" s="1">
        <v>0</v>
      </c>
      <c r="AL42" s="1">
        <v>33</v>
      </c>
      <c r="AM42" s="1" t="s">
        <v>10620</v>
      </c>
      <c r="AN42" s="1" t="s">
        <v>1551</v>
      </c>
      <c r="AO42" s="1" t="s">
        <v>10621</v>
      </c>
      <c r="AP42" s="1" t="s">
        <v>10782</v>
      </c>
      <c r="AQ42" s="1" t="s">
        <v>10783</v>
      </c>
      <c r="AR42" s="1" t="s">
        <v>1507</v>
      </c>
      <c r="AS42" s="1" t="s">
        <v>10784</v>
      </c>
      <c r="AT42" s="1" t="s">
        <v>10785</v>
      </c>
      <c r="AU42" s="1" t="s">
        <v>4336</v>
      </c>
      <c r="AV42" s="1">
        <v>2019</v>
      </c>
      <c r="AW42" s="1">
        <v>15</v>
      </c>
      <c r="AX42" s="1">
        <v>8</v>
      </c>
      <c r="AY42" s="1" t="s">
        <v>1507</v>
      </c>
      <c r="AZ42" s="1" t="s">
        <v>1507</v>
      </c>
      <c r="BA42" s="1" t="s">
        <v>1507</v>
      </c>
      <c r="BB42" s="1" t="s">
        <v>1507</v>
      </c>
      <c r="BC42" s="1">
        <v>848</v>
      </c>
      <c r="BD42" s="1">
        <v>857</v>
      </c>
      <c r="BE42" s="1" t="s">
        <v>1507</v>
      </c>
      <c r="BF42" s="1" t="s">
        <v>10786</v>
      </c>
      <c r="BG42" s="1" t="str">
        <f>HYPERLINK("http://dx.doi.org/10.1038/s41567-019-0505-9","http://dx.doi.org/10.1038/s41567-019-0505-9")</f>
        <v>http://dx.doi.org/10.1038/s41567-019-0505-9</v>
      </c>
      <c r="BH42" s="1" t="s">
        <v>1507</v>
      </c>
      <c r="BI42" s="1" t="s">
        <v>1507</v>
      </c>
      <c r="BJ42" s="1">
        <v>10</v>
      </c>
      <c r="BK42" s="1" t="s">
        <v>10787</v>
      </c>
      <c r="BL42" s="1" t="s">
        <v>1573</v>
      </c>
      <c r="BM42" s="1" t="s">
        <v>2104</v>
      </c>
      <c r="BN42" s="1" t="s">
        <v>10788</v>
      </c>
      <c r="BO42" s="1" t="s">
        <v>1507</v>
      </c>
      <c r="BP42" s="1" t="s">
        <v>1507</v>
      </c>
      <c r="BQ42" s="1" t="s">
        <v>1507</v>
      </c>
      <c r="BR42" s="1" t="s">
        <v>1507</v>
      </c>
      <c r="BS42" s="1" t="s">
        <v>13744</v>
      </c>
      <c r="BT42" s="1" t="s">
        <v>10789</v>
      </c>
      <c r="BU42" s="1" t="str">
        <f>HYPERLINK("https%3A%2F%2Fwww.webofscience.com%2Fwos%2Fwoscc%2Ffull-record%2FWOS:000478082100033","View Full Record in Web of Science")</f>
        <v>View Full Record in Web of Science</v>
      </c>
    </row>
    <row r="43" spans="1:73" x14ac:dyDescent="0.25">
      <c r="A43" s="1">
        <v>47</v>
      </c>
      <c r="B43" s="1" t="s">
        <v>1506</v>
      </c>
      <c r="C43" s="1" t="s">
        <v>8749</v>
      </c>
      <c r="D43" s="1" t="s">
        <v>1507</v>
      </c>
      <c r="E43" s="1" t="s">
        <v>1507</v>
      </c>
      <c r="F43" s="1" t="s">
        <v>1507</v>
      </c>
      <c r="G43" s="1" t="s">
        <v>8750</v>
      </c>
      <c r="H43" s="1" t="s">
        <v>1507</v>
      </c>
      <c r="I43" s="1" t="s">
        <v>1507</v>
      </c>
      <c r="J43" s="1" t="s">
        <v>8751</v>
      </c>
      <c r="K43" s="1" t="s">
        <v>8752</v>
      </c>
      <c r="L43" s="1" t="s">
        <v>1507</v>
      </c>
      <c r="M43" s="1" t="s">
        <v>1507</v>
      </c>
      <c r="N43" s="1" t="s">
        <v>42</v>
      </c>
      <c r="O43" s="1" t="s">
        <v>56</v>
      </c>
      <c r="P43" s="1" t="s">
        <v>1507</v>
      </c>
      <c r="Q43" s="1" t="s">
        <v>1507</v>
      </c>
      <c r="R43" s="1" t="s">
        <v>1507</v>
      </c>
      <c r="S43" s="1" t="s">
        <v>1507</v>
      </c>
      <c r="T43" s="1" t="s">
        <v>1507</v>
      </c>
      <c r="U43" s="1" t="s">
        <v>8753</v>
      </c>
      <c r="V43" s="1" t="s">
        <v>8754</v>
      </c>
      <c r="W43" s="1" t="s">
        <v>8755</v>
      </c>
      <c r="X43" s="1" t="s">
        <v>8756</v>
      </c>
      <c r="Y43" s="1" t="s">
        <v>8757</v>
      </c>
      <c r="Z43" s="1" t="s">
        <v>8758</v>
      </c>
      <c r="AA43" s="1" t="s">
        <v>8759</v>
      </c>
      <c r="AB43" s="1" t="s">
        <v>15749</v>
      </c>
      <c r="AC43" s="1" t="s">
        <v>15750</v>
      </c>
      <c r="AD43" s="1" t="s">
        <v>8760</v>
      </c>
      <c r="AE43" s="1" t="s">
        <v>8761</v>
      </c>
      <c r="AF43" s="1" t="s">
        <v>8762</v>
      </c>
      <c r="AG43" s="1" t="s">
        <v>1507</v>
      </c>
      <c r="AH43" s="1">
        <v>136</v>
      </c>
      <c r="AI43" s="1">
        <v>9</v>
      </c>
      <c r="AJ43" s="1">
        <v>9</v>
      </c>
      <c r="AK43" s="1">
        <v>0</v>
      </c>
      <c r="AL43" s="1">
        <v>0</v>
      </c>
      <c r="AM43" s="1" t="s">
        <v>1564</v>
      </c>
      <c r="AN43" s="1" t="s">
        <v>1565</v>
      </c>
      <c r="AO43" s="1" t="s">
        <v>1566</v>
      </c>
      <c r="AP43" s="1" t="s">
        <v>1507</v>
      </c>
      <c r="AQ43" s="1" t="s">
        <v>8763</v>
      </c>
      <c r="AR43" s="1" t="s">
        <v>1507</v>
      </c>
      <c r="AS43" s="1" t="s">
        <v>8764</v>
      </c>
      <c r="AT43" s="1" t="s">
        <v>8765</v>
      </c>
      <c r="AU43" s="1" t="s">
        <v>8766</v>
      </c>
      <c r="AV43" s="1">
        <v>2021</v>
      </c>
      <c r="AW43" s="1">
        <v>12</v>
      </c>
      <c r="AX43" s="1" t="s">
        <v>1507</v>
      </c>
      <c r="AY43" s="1" t="s">
        <v>1507</v>
      </c>
      <c r="AZ43" s="1" t="s">
        <v>1507</v>
      </c>
      <c r="BA43" s="1" t="s">
        <v>1507</v>
      </c>
      <c r="BB43" s="1" t="s">
        <v>1507</v>
      </c>
      <c r="BC43" s="1" t="s">
        <v>1507</v>
      </c>
      <c r="BD43" s="1" t="s">
        <v>1507</v>
      </c>
      <c r="BE43" s="1">
        <v>651497</v>
      </c>
      <c r="BF43" s="1" t="s">
        <v>8767</v>
      </c>
      <c r="BG43" s="1" t="str">
        <f>HYPERLINK("http://dx.doi.org/10.3389/fphar.2021.651497","http://dx.doi.org/10.3389/fphar.2021.651497")</f>
        <v>http://dx.doi.org/10.3389/fphar.2021.651497</v>
      </c>
      <c r="BH43" s="1" t="s">
        <v>1507</v>
      </c>
      <c r="BI43" s="1" t="s">
        <v>1507</v>
      </c>
      <c r="BJ43" s="1">
        <v>15</v>
      </c>
      <c r="BK43" s="1" t="s">
        <v>8768</v>
      </c>
      <c r="BL43" s="1" t="s">
        <v>1573</v>
      </c>
      <c r="BM43" s="1" t="s">
        <v>8768</v>
      </c>
      <c r="BN43" s="1" t="s">
        <v>8769</v>
      </c>
      <c r="BO43" s="1">
        <v>33986679</v>
      </c>
      <c r="BP43" s="1" t="s">
        <v>1674</v>
      </c>
      <c r="BQ43" s="1" t="s">
        <v>1507</v>
      </c>
      <c r="BR43" s="1" t="s">
        <v>1507</v>
      </c>
      <c r="BS43" s="1" t="s">
        <v>13744</v>
      </c>
      <c r="BT43" s="1" t="s">
        <v>8770</v>
      </c>
      <c r="BU43" s="1" t="str">
        <f>HYPERLINK("https%3A%2F%2Fwww.webofscience.com%2Fwos%2Fwoscc%2Ffull-record%2FWOS:000648898300001","View Full Record in Web of Science")</f>
        <v>View Full Record in Web of Science</v>
      </c>
    </row>
    <row r="44" spans="1:73" x14ac:dyDescent="0.25">
      <c r="A44" s="1">
        <v>48</v>
      </c>
      <c r="B44" s="1" t="s">
        <v>1506</v>
      </c>
      <c r="C44" s="1" t="s">
        <v>3036</v>
      </c>
      <c r="D44" s="1" t="s">
        <v>1507</v>
      </c>
      <c r="E44" s="1" t="s">
        <v>1507</v>
      </c>
      <c r="F44" s="1" t="s">
        <v>1507</v>
      </c>
      <c r="G44" s="1" t="s">
        <v>3037</v>
      </c>
      <c r="H44" s="1" t="s">
        <v>1507</v>
      </c>
      <c r="I44" s="1" t="s">
        <v>1507</v>
      </c>
      <c r="J44" s="1" t="s">
        <v>3038</v>
      </c>
      <c r="K44" s="1" t="s">
        <v>3039</v>
      </c>
      <c r="L44" s="1" t="s">
        <v>1507</v>
      </c>
      <c r="M44" s="1" t="s">
        <v>1507</v>
      </c>
      <c r="N44" s="1" t="s">
        <v>42</v>
      </c>
      <c r="O44" s="1" t="s">
        <v>1509</v>
      </c>
      <c r="P44" s="1" t="s">
        <v>1507</v>
      </c>
      <c r="Q44" s="1" t="s">
        <v>1507</v>
      </c>
      <c r="R44" s="1" t="s">
        <v>1507</v>
      </c>
      <c r="S44" s="1" t="s">
        <v>1507</v>
      </c>
      <c r="T44" s="1" t="s">
        <v>1507</v>
      </c>
      <c r="U44" s="1" t="s">
        <v>3040</v>
      </c>
      <c r="V44" s="1" t="s">
        <v>3041</v>
      </c>
      <c r="W44" s="1" t="s">
        <v>3042</v>
      </c>
      <c r="X44" s="1" t="s">
        <v>3043</v>
      </c>
      <c r="Y44" s="1" t="s">
        <v>1507</v>
      </c>
      <c r="Z44" s="1" t="s">
        <v>3044</v>
      </c>
      <c r="AA44" s="1" t="s">
        <v>3045</v>
      </c>
      <c r="AB44" s="1" t="s">
        <v>1507</v>
      </c>
      <c r="AC44" s="1" t="s">
        <v>14249</v>
      </c>
      <c r="AD44" s="1" t="s">
        <v>3046</v>
      </c>
      <c r="AE44" s="1" t="s">
        <v>3046</v>
      </c>
      <c r="AF44" s="1" t="s">
        <v>3047</v>
      </c>
      <c r="AG44" s="1" t="s">
        <v>1507</v>
      </c>
      <c r="AH44" s="1">
        <v>129</v>
      </c>
      <c r="AI44" s="1">
        <v>0</v>
      </c>
      <c r="AJ44" s="1">
        <v>0</v>
      </c>
      <c r="AK44" s="1">
        <v>13</v>
      </c>
      <c r="AL44" s="1">
        <v>13</v>
      </c>
      <c r="AM44" s="1" t="s">
        <v>3048</v>
      </c>
      <c r="AN44" s="1" t="s">
        <v>1551</v>
      </c>
      <c r="AO44" s="1" t="s">
        <v>3049</v>
      </c>
      <c r="AP44" s="1" t="s">
        <v>3050</v>
      </c>
      <c r="AQ44" s="1" t="s">
        <v>3051</v>
      </c>
      <c r="AR44" s="1" t="s">
        <v>1507</v>
      </c>
      <c r="AS44" s="1" t="s">
        <v>3052</v>
      </c>
      <c r="AT44" s="1" t="s">
        <v>3053</v>
      </c>
      <c r="AU44" s="1" t="s">
        <v>3054</v>
      </c>
      <c r="AV44" s="1">
        <v>2023</v>
      </c>
      <c r="AW44" s="1" t="s">
        <v>1507</v>
      </c>
      <c r="AX44" s="1" t="s">
        <v>1507</v>
      </c>
      <c r="AY44" s="1" t="s">
        <v>1507</v>
      </c>
      <c r="AZ44" s="1" t="s">
        <v>1507</v>
      </c>
      <c r="BA44" s="1" t="s">
        <v>1507</v>
      </c>
      <c r="BB44" s="1" t="s">
        <v>1507</v>
      </c>
      <c r="BC44" s="1" t="s">
        <v>1507</v>
      </c>
      <c r="BD44" s="1" t="s">
        <v>1507</v>
      </c>
      <c r="BE44" s="1" t="s">
        <v>1507</v>
      </c>
      <c r="BF44" s="1" t="s">
        <v>3055</v>
      </c>
      <c r="BG44" s="1" t="str">
        <f>HYPERLINK("http://dx.doi.org/10.1177/10597123231206604","http://dx.doi.org/10.1177/10597123231206604")</f>
        <v>http://dx.doi.org/10.1177/10597123231206604</v>
      </c>
      <c r="BH44" s="1" t="s">
        <v>1507</v>
      </c>
      <c r="BI44" s="1" t="s">
        <v>2891</v>
      </c>
      <c r="BJ44" s="1">
        <v>15</v>
      </c>
      <c r="BK44" s="1" t="s">
        <v>3056</v>
      </c>
      <c r="BL44" s="1" t="s">
        <v>1598</v>
      </c>
      <c r="BM44" s="1" t="s">
        <v>3057</v>
      </c>
      <c r="BN44" s="1" t="s">
        <v>3058</v>
      </c>
      <c r="BO44" s="1" t="s">
        <v>1507</v>
      </c>
      <c r="BP44" s="1" t="s">
        <v>1507</v>
      </c>
      <c r="BQ44" s="1" t="s">
        <v>1507</v>
      </c>
      <c r="BR44" s="1" t="s">
        <v>1507</v>
      </c>
      <c r="BS44" s="1" t="s">
        <v>13744</v>
      </c>
      <c r="BT44" s="1" t="s">
        <v>3059</v>
      </c>
      <c r="BU44" s="1" t="str">
        <f>HYPERLINK("https%3A%2F%2Fwww.webofscience.com%2Fwos%2Fwoscc%2Ffull-record%2FWOS:001090820300001","View Full Record in Web of Science")</f>
        <v>View Full Record in Web of Science</v>
      </c>
    </row>
    <row r="45" spans="1:73" x14ac:dyDescent="0.25">
      <c r="A45" s="1">
        <v>49</v>
      </c>
      <c r="B45" s="1" t="s">
        <v>1506</v>
      </c>
      <c r="C45" s="1" t="s">
        <v>4122</v>
      </c>
      <c r="D45" s="1" t="s">
        <v>1507</v>
      </c>
      <c r="E45" s="1" t="s">
        <v>1507</v>
      </c>
      <c r="F45" s="1" t="s">
        <v>1507</v>
      </c>
      <c r="G45" s="1" t="s">
        <v>4123</v>
      </c>
      <c r="H45" s="1" t="s">
        <v>1507</v>
      </c>
      <c r="I45" s="1" t="s">
        <v>1507</v>
      </c>
      <c r="J45" s="1" t="s">
        <v>4124</v>
      </c>
      <c r="K45" s="1" t="s">
        <v>3315</v>
      </c>
      <c r="L45" s="1" t="s">
        <v>1507</v>
      </c>
      <c r="M45" s="1" t="s">
        <v>1507</v>
      </c>
      <c r="N45" s="1" t="s">
        <v>42</v>
      </c>
      <c r="O45" s="1" t="s">
        <v>56</v>
      </c>
      <c r="P45" s="1" t="s">
        <v>1507</v>
      </c>
      <c r="Q45" s="1" t="s">
        <v>1507</v>
      </c>
      <c r="R45" s="1" t="s">
        <v>1507</v>
      </c>
      <c r="S45" s="1" t="s">
        <v>1507</v>
      </c>
      <c r="T45" s="1" t="s">
        <v>1507</v>
      </c>
      <c r="U45" s="1" t="s">
        <v>1507</v>
      </c>
      <c r="V45" s="1" t="s">
        <v>1507</v>
      </c>
      <c r="W45" s="1" t="s">
        <v>4125</v>
      </c>
      <c r="X45" s="1" t="s">
        <v>4126</v>
      </c>
      <c r="Y45" s="1" t="s">
        <v>4127</v>
      </c>
      <c r="Z45" s="1" t="s">
        <v>4128</v>
      </c>
      <c r="AA45" s="1" t="s">
        <v>4129</v>
      </c>
      <c r="AB45" s="1" t="s">
        <v>14558</v>
      </c>
      <c r="AC45" s="1" t="s">
        <v>14559</v>
      </c>
      <c r="AD45" s="1" t="s">
        <v>4130</v>
      </c>
      <c r="AE45" s="1" t="s">
        <v>4131</v>
      </c>
      <c r="AF45" s="1" t="s">
        <v>4132</v>
      </c>
      <c r="AG45" s="1" t="s">
        <v>1507</v>
      </c>
      <c r="AH45" s="1">
        <v>36</v>
      </c>
      <c r="AI45" s="1">
        <v>12</v>
      </c>
      <c r="AJ45" s="1">
        <v>12</v>
      </c>
      <c r="AK45" s="1">
        <v>22</v>
      </c>
      <c r="AL45" s="1">
        <v>26</v>
      </c>
      <c r="AM45" s="1" t="s">
        <v>3324</v>
      </c>
      <c r="AN45" s="1" t="s">
        <v>3325</v>
      </c>
      <c r="AO45" s="1" t="s">
        <v>3326</v>
      </c>
      <c r="AP45" s="1" t="s">
        <v>3327</v>
      </c>
      <c r="AQ45" s="1" t="s">
        <v>1507</v>
      </c>
      <c r="AR45" s="1" t="s">
        <v>1507</v>
      </c>
      <c r="AS45" s="1" t="s">
        <v>3328</v>
      </c>
      <c r="AT45" s="1" t="s">
        <v>1406</v>
      </c>
      <c r="AU45" s="1" t="s">
        <v>4133</v>
      </c>
      <c r="AV45" s="1">
        <v>2023</v>
      </c>
      <c r="AW45" s="1">
        <v>6</v>
      </c>
      <c r="AX45" s="1">
        <v>8</v>
      </c>
      <c r="AY45" s="1" t="s">
        <v>1507</v>
      </c>
      <c r="AZ45" s="1" t="s">
        <v>1507</v>
      </c>
      <c r="BA45" s="1" t="s">
        <v>1507</v>
      </c>
      <c r="BB45" s="1" t="s">
        <v>1507</v>
      </c>
      <c r="BC45" s="1" t="s">
        <v>1507</v>
      </c>
      <c r="BD45" s="1" t="s">
        <v>1507</v>
      </c>
      <c r="BE45" s="1" t="s">
        <v>4134</v>
      </c>
      <c r="BF45" s="1" t="s">
        <v>4135</v>
      </c>
      <c r="BG45" s="1" t="str">
        <f>HYPERLINK("http://dx.doi.org/10.1001/jamanetworkopen.2023.30320","http://dx.doi.org/10.1001/jamanetworkopen.2023.30320")</f>
        <v>http://dx.doi.org/10.1001/jamanetworkopen.2023.30320</v>
      </c>
      <c r="BH45" s="1" t="s">
        <v>1507</v>
      </c>
      <c r="BI45" s="1" t="s">
        <v>1507</v>
      </c>
      <c r="BJ45" s="1">
        <v>11</v>
      </c>
      <c r="BK45" s="1" t="s">
        <v>1949</v>
      </c>
      <c r="BL45" s="1" t="s">
        <v>1573</v>
      </c>
      <c r="BM45" s="1" t="s">
        <v>1950</v>
      </c>
      <c r="BN45" s="1" t="s">
        <v>4136</v>
      </c>
      <c r="BO45" s="1">
        <v>37606922</v>
      </c>
      <c r="BP45" s="1" t="s">
        <v>1952</v>
      </c>
      <c r="BQ45" s="1" t="s">
        <v>1507</v>
      </c>
      <c r="BR45" s="1" t="s">
        <v>1507</v>
      </c>
      <c r="BS45" s="1" t="s">
        <v>13744</v>
      </c>
      <c r="BT45" s="1" t="s">
        <v>4137</v>
      </c>
      <c r="BU45" s="1" t="str">
        <f>HYPERLINK("https%3A%2F%2Fwww.webofscience.com%2Fwos%2Fwoscc%2Ffull-record%2FWOS:001059499000003","View Full Record in Web of Science")</f>
        <v>View Full Record in Web of Science</v>
      </c>
    </row>
    <row r="46" spans="1:73" x14ac:dyDescent="0.25">
      <c r="A46" s="1">
        <v>50</v>
      </c>
      <c r="B46" s="1" t="s">
        <v>1506</v>
      </c>
      <c r="C46" s="1" t="s">
        <v>10245</v>
      </c>
      <c r="D46" s="1" t="s">
        <v>1507</v>
      </c>
      <c r="E46" s="1" t="s">
        <v>1507</v>
      </c>
      <c r="F46" s="1" t="s">
        <v>1507</v>
      </c>
      <c r="G46" s="1" t="s">
        <v>10246</v>
      </c>
      <c r="H46" s="1" t="s">
        <v>1507</v>
      </c>
      <c r="I46" s="1" t="s">
        <v>1507</v>
      </c>
      <c r="J46" s="1" t="s">
        <v>10247</v>
      </c>
      <c r="K46" s="1" t="s">
        <v>10248</v>
      </c>
      <c r="L46" s="1" t="s">
        <v>1507</v>
      </c>
      <c r="M46" s="1" t="s">
        <v>1507</v>
      </c>
      <c r="N46" s="1" t="s">
        <v>42</v>
      </c>
      <c r="O46" s="1" t="s">
        <v>56</v>
      </c>
      <c r="P46" s="1" t="s">
        <v>1507</v>
      </c>
      <c r="Q46" s="1" t="s">
        <v>1507</v>
      </c>
      <c r="R46" s="1" t="s">
        <v>1507</v>
      </c>
      <c r="S46" s="1" t="s">
        <v>1507</v>
      </c>
      <c r="T46" s="1" t="s">
        <v>1507</v>
      </c>
      <c r="U46" s="1" t="s">
        <v>10249</v>
      </c>
      <c r="V46" s="1" t="s">
        <v>1507</v>
      </c>
      <c r="W46" s="1" t="s">
        <v>10250</v>
      </c>
      <c r="X46" s="1" t="s">
        <v>10251</v>
      </c>
      <c r="Y46" s="1" t="s">
        <v>10252</v>
      </c>
      <c r="Z46" s="1" t="s">
        <v>10253</v>
      </c>
      <c r="AA46" s="1" t="s">
        <v>10254</v>
      </c>
      <c r="AB46" s="1" t="s">
        <v>15835</v>
      </c>
      <c r="AC46" s="1" t="s">
        <v>10255</v>
      </c>
      <c r="AD46" s="1" t="s">
        <v>10256</v>
      </c>
      <c r="AE46" s="1" t="s">
        <v>10257</v>
      </c>
      <c r="AF46" s="1" t="s">
        <v>10258</v>
      </c>
      <c r="AG46" s="1" t="s">
        <v>1507</v>
      </c>
      <c r="AH46" s="1">
        <v>17</v>
      </c>
      <c r="AI46" s="1">
        <v>1</v>
      </c>
      <c r="AJ46" s="1">
        <v>1</v>
      </c>
      <c r="AK46" s="1">
        <v>0</v>
      </c>
      <c r="AL46" s="1">
        <v>12</v>
      </c>
      <c r="AM46" s="1" t="s">
        <v>10259</v>
      </c>
      <c r="AN46" s="1" t="s">
        <v>10260</v>
      </c>
      <c r="AO46" s="1" t="s">
        <v>10261</v>
      </c>
      <c r="AP46" s="1" t="s">
        <v>10262</v>
      </c>
      <c r="AQ46" s="1" t="s">
        <v>1507</v>
      </c>
      <c r="AR46" s="1" t="s">
        <v>1507</v>
      </c>
      <c r="AS46" s="1" t="s">
        <v>10263</v>
      </c>
      <c r="AT46" s="1" t="s">
        <v>10264</v>
      </c>
      <c r="AU46" s="1" t="s">
        <v>1507</v>
      </c>
      <c r="AV46" s="1">
        <v>2020</v>
      </c>
      <c r="AW46" s="1">
        <v>22</v>
      </c>
      <c r="AX46" s="1">
        <v>1</v>
      </c>
      <c r="AY46" s="1" t="s">
        <v>1507</v>
      </c>
      <c r="AZ46" s="1" t="s">
        <v>1507</v>
      </c>
      <c r="BA46" s="1" t="s">
        <v>1507</v>
      </c>
      <c r="BB46" s="1" t="s">
        <v>1507</v>
      </c>
      <c r="BC46" s="1">
        <v>181</v>
      </c>
      <c r="BD46" s="1">
        <v>195</v>
      </c>
      <c r="BE46" s="1" t="s">
        <v>1507</v>
      </c>
      <c r="BF46" s="1" t="s">
        <v>1507</v>
      </c>
      <c r="BG46" s="1" t="s">
        <v>1507</v>
      </c>
      <c r="BH46" s="1" t="s">
        <v>1507</v>
      </c>
      <c r="BI46" s="1" t="s">
        <v>1507</v>
      </c>
      <c r="BJ46" s="1">
        <v>15</v>
      </c>
      <c r="BK46" s="1" t="s">
        <v>7038</v>
      </c>
      <c r="BL46" s="1" t="s">
        <v>1573</v>
      </c>
      <c r="BM46" s="1" t="s">
        <v>1839</v>
      </c>
      <c r="BN46" s="1" t="s">
        <v>10265</v>
      </c>
      <c r="BO46" s="1" t="s">
        <v>1507</v>
      </c>
      <c r="BP46" s="1" t="s">
        <v>1507</v>
      </c>
      <c r="BQ46" s="1" t="s">
        <v>1507</v>
      </c>
      <c r="BR46" s="1" t="s">
        <v>1507</v>
      </c>
      <c r="BS46" s="1" t="s">
        <v>13744</v>
      </c>
      <c r="BT46" s="1" t="s">
        <v>10266</v>
      </c>
      <c r="BU46" s="1" t="str">
        <f>HYPERLINK("https%3A%2F%2Fwww.webofscience.com%2Fwos%2Fwoscc%2Ffull-record%2FWOS:000593301200011","View Full Record in Web of Science")</f>
        <v>View Full Record in Web of Science</v>
      </c>
    </row>
    <row r="47" spans="1:73" x14ac:dyDescent="0.25">
      <c r="A47" s="1">
        <v>51</v>
      </c>
      <c r="B47" s="1" t="s">
        <v>5546</v>
      </c>
      <c r="C47" s="1" t="s">
        <v>14823</v>
      </c>
      <c r="D47" s="1" t="s">
        <v>1507</v>
      </c>
      <c r="E47" s="1" t="s">
        <v>14824</v>
      </c>
      <c r="F47" s="1" t="s">
        <v>1507</v>
      </c>
      <c r="G47" s="1" t="s">
        <v>14825</v>
      </c>
      <c r="H47" s="1" t="s">
        <v>1507</v>
      </c>
      <c r="I47" s="1" t="s">
        <v>1507</v>
      </c>
      <c r="J47" s="1" t="s">
        <v>14826</v>
      </c>
      <c r="K47" s="1" t="s">
        <v>14827</v>
      </c>
      <c r="L47" s="1" t="s">
        <v>1507</v>
      </c>
      <c r="M47" s="1" t="s">
        <v>1507</v>
      </c>
      <c r="N47" s="1" t="s">
        <v>42</v>
      </c>
      <c r="O47" s="1" t="s">
        <v>5552</v>
      </c>
      <c r="P47" s="1" t="s">
        <v>14828</v>
      </c>
      <c r="Q47" s="1" t="s">
        <v>14829</v>
      </c>
      <c r="R47" s="1" t="s">
        <v>6057</v>
      </c>
      <c r="S47" s="1" t="s">
        <v>14830</v>
      </c>
      <c r="T47" s="1" t="s">
        <v>1507</v>
      </c>
      <c r="U47" s="1" t="s">
        <v>14831</v>
      </c>
      <c r="V47" s="1" t="s">
        <v>1507</v>
      </c>
      <c r="W47" s="1" t="s">
        <v>14832</v>
      </c>
      <c r="X47" s="1" t="s">
        <v>14833</v>
      </c>
      <c r="Y47" s="1" t="s">
        <v>14834</v>
      </c>
      <c r="Z47" s="1" t="s">
        <v>14835</v>
      </c>
      <c r="AA47" s="1" t="s">
        <v>14836</v>
      </c>
      <c r="AB47" s="1" t="s">
        <v>1507</v>
      </c>
      <c r="AC47" s="1" t="s">
        <v>14837</v>
      </c>
      <c r="AD47" s="1" t="s">
        <v>14838</v>
      </c>
      <c r="AE47" s="1" t="s">
        <v>14839</v>
      </c>
      <c r="AF47" s="1" t="s">
        <v>14840</v>
      </c>
      <c r="AG47" s="1" t="s">
        <v>1507</v>
      </c>
      <c r="AH47" s="1">
        <v>10</v>
      </c>
      <c r="AI47" s="1">
        <v>0</v>
      </c>
      <c r="AJ47" s="1">
        <v>0</v>
      </c>
      <c r="AK47" s="1">
        <v>0</v>
      </c>
      <c r="AL47" s="1">
        <v>0</v>
      </c>
      <c r="AM47" s="1" t="s">
        <v>5565</v>
      </c>
      <c r="AN47" s="1" t="s">
        <v>1512</v>
      </c>
      <c r="AO47" s="1" t="s">
        <v>5566</v>
      </c>
      <c r="AP47" s="1" t="s">
        <v>1507</v>
      </c>
      <c r="AQ47" s="1" t="s">
        <v>1507</v>
      </c>
      <c r="AR47" s="1" t="s">
        <v>14841</v>
      </c>
      <c r="AS47" s="1" t="s">
        <v>1507</v>
      </c>
      <c r="AT47" s="1" t="s">
        <v>1507</v>
      </c>
      <c r="AU47" s="1" t="s">
        <v>1507</v>
      </c>
      <c r="AV47" s="1">
        <v>2023</v>
      </c>
      <c r="AW47" s="1" t="s">
        <v>1507</v>
      </c>
      <c r="AX47" s="1" t="s">
        <v>1507</v>
      </c>
      <c r="AY47" s="1" t="s">
        <v>1507</v>
      </c>
      <c r="AZ47" s="1" t="s">
        <v>1507</v>
      </c>
      <c r="BA47" s="1" t="s">
        <v>1507</v>
      </c>
      <c r="BB47" s="1" t="s">
        <v>1507</v>
      </c>
      <c r="BC47" s="1">
        <v>424</v>
      </c>
      <c r="BD47" s="1">
        <v>427</v>
      </c>
      <c r="BE47" s="1" t="s">
        <v>1507</v>
      </c>
      <c r="BF47" s="1" t="s">
        <v>14842</v>
      </c>
      <c r="BG47" s="1" t="str">
        <f>HYPERLINK("http://dx.doi.org/10.1145/3589132.3625625","http://dx.doi.org/10.1145/3589132.3625625")</f>
        <v>http://dx.doi.org/10.1145/3589132.3625625</v>
      </c>
      <c r="BH47" s="1" t="s">
        <v>1507</v>
      </c>
      <c r="BI47" s="1" t="s">
        <v>1507</v>
      </c>
      <c r="BJ47" s="1">
        <v>4</v>
      </c>
      <c r="BK47" s="1" t="s">
        <v>14843</v>
      </c>
      <c r="BL47" s="1" t="s">
        <v>5570</v>
      </c>
      <c r="BM47" s="1" t="s">
        <v>14844</v>
      </c>
      <c r="BN47" s="1" t="s">
        <v>14845</v>
      </c>
      <c r="BO47" s="1" t="s">
        <v>1507</v>
      </c>
      <c r="BP47" s="1" t="s">
        <v>1574</v>
      </c>
      <c r="BQ47" s="1" t="s">
        <v>1507</v>
      </c>
      <c r="BR47" s="1" t="s">
        <v>1507</v>
      </c>
      <c r="BS47" s="1" t="s">
        <v>13744</v>
      </c>
      <c r="BT47" s="1" t="s">
        <v>14846</v>
      </c>
      <c r="BU47" s="1" t="str">
        <f>HYPERLINK("https%3A%2F%2Fwww.webofscience.com%2Fwos%2Fwoscc%2Ffull-record%2FWOS:001156830400075","View Full Record in Web of Science")</f>
        <v>View Full Record in Web of Science</v>
      </c>
    </row>
    <row r="48" spans="1:73" x14ac:dyDescent="0.25">
      <c r="A48" s="1">
        <v>53</v>
      </c>
      <c r="B48" s="1" t="s">
        <v>1506</v>
      </c>
      <c r="C48" s="1" t="s">
        <v>4714</v>
      </c>
      <c r="D48" s="1" t="s">
        <v>1507</v>
      </c>
      <c r="E48" s="1" t="s">
        <v>1507</v>
      </c>
      <c r="F48" s="1" t="s">
        <v>1507</v>
      </c>
      <c r="G48" s="1" t="s">
        <v>4715</v>
      </c>
      <c r="H48" s="1" t="s">
        <v>1507</v>
      </c>
      <c r="I48" s="1" t="s">
        <v>1507</v>
      </c>
      <c r="J48" s="1" t="s">
        <v>723</v>
      </c>
      <c r="K48" s="1" t="s">
        <v>4595</v>
      </c>
      <c r="L48" s="1" t="s">
        <v>1507</v>
      </c>
      <c r="M48" s="1" t="s">
        <v>1507</v>
      </c>
      <c r="N48" s="1" t="s">
        <v>42</v>
      </c>
      <c r="O48" s="1" t="s">
        <v>56</v>
      </c>
      <c r="P48" s="1" t="s">
        <v>1507</v>
      </c>
      <c r="Q48" s="1" t="s">
        <v>1507</v>
      </c>
      <c r="R48" s="1" t="s">
        <v>1507</v>
      </c>
      <c r="S48" s="1" t="s">
        <v>1507</v>
      </c>
      <c r="T48" s="1" t="s">
        <v>1507</v>
      </c>
      <c r="U48" s="1" t="s">
        <v>1507</v>
      </c>
      <c r="V48" s="1" t="s">
        <v>1507</v>
      </c>
      <c r="W48" s="1" t="s">
        <v>4716</v>
      </c>
      <c r="X48" s="1" t="s">
        <v>4717</v>
      </c>
      <c r="Y48" s="1" t="s">
        <v>4718</v>
      </c>
      <c r="Z48" s="1" t="s">
        <v>4719</v>
      </c>
      <c r="AA48" s="1" t="s">
        <v>4720</v>
      </c>
      <c r="AB48" s="1" t="s">
        <v>14679</v>
      </c>
      <c r="AC48" s="1" t="s">
        <v>14680</v>
      </c>
      <c r="AD48" s="1" t="s">
        <v>1507</v>
      </c>
      <c r="AE48" s="1" t="s">
        <v>1507</v>
      </c>
      <c r="AF48" s="1" t="s">
        <v>1507</v>
      </c>
      <c r="AG48" s="1" t="s">
        <v>1507</v>
      </c>
      <c r="AH48" s="1">
        <v>30</v>
      </c>
      <c r="AI48" s="1">
        <v>61</v>
      </c>
      <c r="AJ48" s="1">
        <v>62</v>
      </c>
      <c r="AK48" s="1">
        <v>29</v>
      </c>
      <c r="AL48" s="1">
        <v>39</v>
      </c>
      <c r="AM48" s="1" t="s">
        <v>4605</v>
      </c>
      <c r="AN48" s="1" t="s">
        <v>4606</v>
      </c>
      <c r="AO48" s="1" t="s">
        <v>4607</v>
      </c>
      <c r="AP48" s="1" t="s">
        <v>4608</v>
      </c>
      <c r="AQ48" s="1" t="s">
        <v>1507</v>
      </c>
      <c r="AR48" s="1" t="s">
        <v>1507</v>
      </c>
      <c r="AS48" s="1" t="s">
        <v>4595</v>
      </c>
      <c r="AT48" s="1" t="s">
        <v>366</v>
      </c>
      <c r="AU48" s="1" t="s">
        <v>4721</v>
      </c>
      <c r="AV48" s="1">
        <v>2023</v>
      </c>
      <c r="AW48" s="1">
        <v>307</v>
      </c>
      <c r="AX48" s="1">
        <v>5</v>
      </c>
      <c r="AY48" s="1" t="s">
        <v>1507</v>
      </c>
      <c r="AZ48" s="1" t="s">
        <v>1507</v>
      </c>
      <c r="BA48" s="1" t="s">
        <v>1507</v>
      </c>
      <c r="BB48" s="1" t="s">
        <v>1507</v>
      </c>
      <c r="BC48" s="1" t="s">
        <v>1507</v>
      </c>
      <c r="BD48" s="1" t="s">
        <v>1507</v>
      </c>
      <c r="BE48" s="1" t="s">
        <v>724</v>
      </c>
      <c r="BF48" s="1" t="s">
        <v>725</v>
      </c>
      <c r="BG48" s="1" t="str">
        <f>HYPERLINK("http://dx.doi.org/10.1148/radiol.230582","http://dx.doi.org/10.1148/radiol.230582")</f>
        <v>http://dx.doi.org/10.1148/radiol.230582</v>
      </c>
      <c r="BH48" s="1" t="s">
        <v>1507</v>
      </c>
      <c r="BI48" s="1" t="s">
        <v>1507</v>
      </c>
      <c r="BJ48" s="1">
        <v>8</v>
      </c>
      <c r="BK48" s="1" t="s">
        <v>1653</v>
      </c>
      <c r="BL48" s="1" t="s">
        <v>1573</v>
      </c>
      <c r="BM48" s="1" t="s">
        <v>1653</v>
      </c>
      <c r="BN48" s="1" t="s">
        <v>4722</v>
      </c>
      <c r="BO48" s="1">
        <v>37191485</v>
      </c>
      <c r="BP48" s="1" t="s">
        <v>1507</v>
      </c>
      <c r="BQ48" s="1" t="s">
        <v>1507</v>
      </c>
      <c r="BR48" s="1" t="s">
        <v>1507</v>
      </c>
      <c r="BS48" s="1" t="s">
        <v>13744</v>
      </c>
      <c r="BT48" s="1" t="s">
        <v>4723</v>
      </c>
      <c r="BU48" s="1" t="str">
        <f>HYPERLINK("https%3A%2F%2Fwww.webofscience.com%2Fwos%2Fwoscc%2Ffull-record%2FWOS:001038622300007","View Full Record in Web of Science")</f>
        <v>View Full Record in Web of Science</v>
      </c>
    </row>
    <row r="49" spans="1:73" x14ac:dyDescent="0.25">
      <c r="A49" s="1">
        <v>54</v>
      </c>
      <c r="B49" s="1" t="s">
        <v>1506</v>
      </c>
      <c r="C49" s="1" t="s">
        <v>10728</v>
      </c>
      <c r="D49" s="1" t="s">
        <v>1507</v>
      </c>
      <c r="E49" s="1" t="s">
        <v>1507</v>
      </c>
      <c r="F49" s="1" t="s">
        <v>1507</v>
      </c>
      <c r="G49" s="1" t="s">
        <v>10729</v>
      </c>
      <c r="H49" s="1" t="s">
        <v>1507</v>
      </c>
      <c r="I49" s="1" t="s">
        <v>1507</v>
      </c>
      <c r="J49" s="1" t="s">
        <v>10730</v>
      </c>
      <c r="K49" s="1" t="s">
        <v>10731</v>
      </c>
      <c r="L49" s="1" t="s">
        <v>1507</v>
      </c>
      <c r="M49" s="1" t="s">
        <v>1507</v>
      </c>
      <c r="N49" s="1" t="s">
        <v>42</v>
      </c>
      <c r="O49" s="1" t="s">
        <v>56</v>
      </c>
      <c r="P49" s="1" t="s">
        <v>1507</v>
      </c>
      <c r="Q49" s="1" t="s">
        <v>1507</v>
      </c>
      <c r="R49" s="1" t="s">
        <v>1507</v>
      </c>
      <c r="S49" s="1" t="s">
        <v>1507</v>
      </c>
      <c r="T49" s="1" t="s">
        <v>1507</v>
      </c>
      <c r="U49" s="1" t="s">
        <v>1507</v>
      </c>
      <c r="V49" s="1" t="s">
        <v>10732</v>
      </c>
      <c r="W49" s="1" t="s">
        <v>10733</v>
      </c>
      <c r="X49" s="1" t="s">
        <v>10734</v>
      </c>
      <c r="Y49" s="1" t="s">
        <v>10735</v>
      </c>
      <c r="Z49" s="1" t="s">
        <v>10736</v>
      </c>
      <c r="AA49" s="1" t="s">
        <v>10737</v>
      </c>
      <c r="AB49" s="1" t="s">
        <v>10738</v>
      </c>
      <c r="AC49" s="1" t="s">
        <v>10739</v>
      </c>
      <c r="AD49" s="1" t="s">
        <v>10740</v>
      </c>
      <c r="AE49" s="1" t="s">
        <v>10741</v>
      </c>
      <c r="AF49" s="1" t="s">
        <v>10742</v>
      </c>
      <c r="AG49" s="1" t="s">
        <v>1507</v>
      </c>
      <c r="AH49" s="1">
        <v>20</v>
      </c>
      <c r="AI49" s="1">
        <v>2</v>
      </c>
      <c r="AJ49" s="1">
        <v>2</v>
      </c>
      <c r="AK49" s="1">
        <v>0</v>
      </c>
      <c r="AL49" s="1">
        <v>5</v>
      </c>
      <c r="AM49" s="1" t="s">
        <v>1559</v>
      </c>
      <c r="AN49" s="1" t="s">
        <v>1560</v>
      </c>
      <c r="AO49" s="1" t="s">
        <v>1561</v>
      </c>
      <c r="AP49" s="1" t="s">
        <v>10743</v>
      </c>
      <c r="AQ49" s="1" t="s">
        <v>10744</v>
      </c>
      <c r="AR49" s="1" t="s">
        <v>1507</v>
      </c>
      <c r="AS49" s="1" t="s">
        <v>10745</v>
      </c>
      <c r="AT49" s="1" t="s">
        <v>963</v>
      </c>
      <c r="AU49" s="1" t="s">
        <v>2771</v>
      </c>
      <c r="AV49" s="1">
        <v>2019</v>
      </c>
      <c r="AW49" s="1">
        <v>48</v>
      </c>
      <c r="AX49" s="1">
        <v>6</v>
      </c>
      <c r="AY49" s="1" t="s">
        <v>1507</v>
      </c>
      <c r="AZ49" s="1" t="s">
        <v>1507</v>
      </c>
      <c r="BA49" s="1" t="s">
        <v>1507</v>
      </c>
      <c r="BB49" s="1" t="s">
        <v>1507</v>
      </c>
      <c r="BC49" s="1">
        <v>696</v>
      </c>
      <c r="BD49" s="1">
        <v>699</v>
      </c>
      <c r="BE49" s="1" t="s">
        <v>1507</v>
      </c>
      <c r="BF49" s="1" t="s">
        <v>956</v>
      </c>
      <c r="BG49" s="1" t="str">
        <f>HYPERLINK("http://dx.doi.org/10.1002/xrs.3110","http://dx.doi.org/10.1002/xrs.3110")</f>
        <v>http://dx.doi.org/10.1002/xrs.3110</v>
      </c>
      <c r="BH49" s="1" t="s">
        <v>1507</v>
      </c>
      <c r="BI49" s="1" t="s">
        <v>10724</v>
      </c>
      <c r="BJ49" s="1">
        <v>4</v>
      </c>
      <c r="BK49" s="1" t="s">
        <v>4390</v>
      </c>
      <c r="BL49" s="1" t="s">
        <v>1573</v>
      </c>
      <c r="BM49" s="1" t="s">
        <v>4390</v>
      </c>
      <c r="BN49" s="1" t="s">
        <v>10746</v>
      </c>
      <c r="BO49" s="1" t="s">
        <v>1507</v>
      </c>
      <c r="BP49" s="1" t="s">
        <v>1507</v>
      </c>
      <c r="BQ49" s="1" t="s">
        <v>1507</v>
      </c>
      <c r="BR49" s="1" t="s">
        <v>1507</v>
      </c>
      <c r="BS49" s="1" t="s">
        <v>13744</v>
      </c>
      <c r="BT49" s="1" t="s">
        <v>10747</v>
      </c>
      <c r="BU49" s="1" t="str">
        <f>HYPERLINK("https%3A%2F%2Fwww.webofscience.com%2Fwos%2Fwoscc%2Ffull-record%2FWOS:000480162200001","View Full Record in Web of Science")</f>
        <v>View Full Record in Web of Science</v>
      </c>
    </row>
    <row r="50" spans="1:73" x14ac:dyDescent="0.25">
      <c r="A50" s="1">
        <v>56</v>
      </c>
      <c r="B50" s="1" t="s">
        <v>1506</v>
      </c>
      <c r="C50" s="1" t="s">
        <v>3080</v>
      </c>
      <c r="D50" s="1" t="s">
        <v>1507</v>
      </c>
      <c r="E50" s="1" t="s">
        <v>1507</v>
      </c>
      <c r="F50" s="1" t="s">
        <v>1507</v>
      </c>
      <c r="G50" s="1" t="s">
        <v>3081</v>
      </c>
      <c r="H50" s="1" t="s">
        <v>1507</v>
      </c>
      <c r="I50" s="1" t="s">
        <v>1507</v>
      </c>
      <c r="J50" s="1" t="s">
        <v>3082</v>
      </c>
      <c r="K50" s="1" t="s">
        <v>3083</v>
      </c>
      <c r="L50" s="1" t="s">
        <v>1507</v>
      </c>
      <c r="M50" s="1" t="s">
        <v>1507</v>
      </c>
      <c r="N50" s="1" t="s">
        <v>42</v>
      </c>
      <c r="O50" s="1" t="s">
        <v>56</v>
      </c>
      <c r="P50" s="1" t="s">
        <v>1507</v>
      </c>
      <c r="Q50" s="1" t="s">
        <v>1507</v>
      </c>
      <c r="R50" s="1" t="s">
        <v>1507</v>
      </c>
      <c r="S50" s="1" t="s">
        <v>1507</v>
      </c>
      <c r="T50" s="1" t="s">
        <v>1507</v>
      </c>
      <c r="U50" s="1" t="s">
        <v>3084</v>
      </c>
      <c r="V50" s="1" t="s">
        <v>1507</v>
      </c>
      <c r="W50" s="1" t="s">
        <v>3085</v>
      </c>
      <c r="X50" s="1" t="s">
        <v>3086</v>
      </c>
      <c r="Y50" s="1" t="s">
        <v>1507</v>
      </c>
      <c r="Z50" s="1" t="s">
        <v>3087</v>
      </c>
      <c r="AA50" s="1" t="s">
        <v>3088</v>
      </c>
      <c r="AB50" s="1" t="s">
        <v>3089</v>
      </c>
      <c r="AC50" s="1" t="s">
        <v>3090</v>
      </c>
      <c r="AD50" s="1" t="s">
        <v>1507</v>
      </c>
      <c r="AE50" s="1" t="s">
        <v>1507</v>
      </c>
      <c r="AF50" s="1" t="s">
        <v>1507</v>
      </c>
      <c r="AG50" s="1" t="s">
        <v>1507</v>
      </c>
      <c r="AH50" s="1">
        <v>20</v>
      </c>
      <c r="AI50" s="1">
        <v>0</v>
      </c>
      <c r="AJ50" s="1">
        <v>0</v>
      </c>
      <c r="AK50" s="1">
        <v>7</v>
      </c>
      <c r="AL50" s="1">
        <v>7</v>
      </c>
      <c r="AM50" s="1" t="s">
        <v>1601</v>
      </c>
      <c r="AN50" s="1" t="s">
        <v>1551</v>
      </c>
      <c r="AO50" s="1" t="s">
        <v>1602</v>
      </c>
      <c r="AP50" s="1" t="s">
        <v>1507</v>
      </c>
      <c r="AQ50" s="1" t="s">
        <v>3091</v>
      </c>
      <c r="AR50" s="1" t="s">
        <v>1507</v>
      </c>
      <c r="AS50" s="1" t="s">
        <v>3092</v>
      </c>
      <c r="AT50" s="1" t="s">
        <v>3093</v>
      </c>
      <c r="AU50" s="1" t="s">
        <v>3094</v>
      </c>
      <c r="AV50" s="1">
        <v>2023</v>
      </c>
      <c r="AW50" s="1">
        <v>15</v>
      </c>
      <c r="AX50" s="1">
        <v>10</v>
      </c>
      <c r="AY50" s="1" t="s">
        <v>1507</v>
      </c>
      <c r="AZ50" s="1" t="s">
        <v>1507</v>
      </c>
      <c r="BA50" s="1" t="s">
        <v>1507</v>
      </c>
      <c r="BB50" s="1" t="s">
        <v>1507</v>
      </c>
      <c r="BC50" s="1" t="s">
        <v>1507</v>
      </c>
      <c r="BD50" s="1" t="s">
        <v>1507</v>
      </c>
      <c r="BE50" s="1" t="s">
        <v>3095</v>
      </c>
      <c r="BF50" s="1" t="s">
        <v>3096</v>
      </c>
      <c r="BG50" s="1" t="str">
        <f>HYPERLINK("http://dx.doi.org/10.7759/cureus.47468","http://dx.doi.org/10.7759/cureus.47468")</f>
        <v>http://dx.doi.org/10.7759/cureus.47468</v>
      </c>
      <c r="BH50" s="1" t="s">
        <v>1507</v>
      </c>
      <c r="BI50" s="1" t="s">
        <v>1507</v>
      </c>
      <c r="BJ50" s="1">
        <v>8</v>
      </c>
      <c r="BK50" s="1" t="s">
        <v>1949</v>
      </c>
      <c r="BL50" s="1" t="s">
        <v>1529</v>
      </c>
      <c r="BM50" s="1" t="s">
        <v>1950</v>
      </c>
      <c r="BN50" s="1" t="s">
        <v>3097</v>
      </c>
      <c r="BO50" s="1">
        <v>38021810</v>
      </c>
      <c r="BP50" s="1" t="s">
        <v>1952</v>
      </c>
      <c r="BQ50" s="1" t="s">
        <v>1507</v>
      </c>
      <c r="BR50" s="1" t="s">
        <v>1507</v>
      </c>
      <c r="BS50" s="1" t="s">
        <v>13744</v>
      </c>
      <c r="BT50" s="1" t="s">
        <v>3098</v>
      </c>
      <c r="BU50" s="1" t="str">
        <f>HYPERLINK("https%3A%2F%2Fwww.webofscience.com%2Fwos%2Fwoscc%2Ffull-record%2FWOS:001109606100002","View Full Record in Web of Science")</f>
        <v>View Full Record in Web of Science</v>
      </c>
    </row>
    <row r="51" spans="1:73" x14ac:dyDescent="0.25">
      <c r="A51" s="1">
        <v>57</v>
      </c>
      <c r="B51" s="1" t="s">
        <v>1506</v>
      </c>
      <c r="C51" s="1" t="s">
        <v>11885</v>
      </c>
      <c r="D51" s="1" t="s">
        <v>1507</v>
      </c>
      <c r="E51" s="1" t="s">
        <v>1507</v>
      </c>
      <c r="F51" s="1" t="s">
        <v>1507</v>
      </c>
      <c r="G51" s="1" t="s">
        <v>11886</v>
      </c>
      <c r="H51" s="1" t="s">
        <v>1507</v>
      </c>
      <c r="I51" s="1" t="s">
        <v>1507</v>
      </c>
      <c r="J51" s="1" t="s">
        <v>11887</v>
      </c>
      <c r="K51" s="1" t="s">
        <v>11888</v>
      </c>
      <c r="L51" s="1" t="s">
        <v>1507</v>
      </c>
      <c r="M51" s="1" t="s">
        <v>1507</v>
      </c>
      <c r="N51" s="1" t="s">
        <v>42</v>
      </c>
      <c r="O51" s="1" t="s">
        <v>56</v>
      </c>
      <c r="P51" s="1" t="s">
        <v>1507</v>
      </c>
      <c r="Q51" s="1" t="s">
        <v>1507</v>
      </c>
      <c r="R51" s="1" t="s">
        <v>1507</v>
      </c>
      <c r="S51" s="1" t="s">
        <v>1507</v>
      </c>
      <c r="T51" s="1" t="s">
        <v>1507</v>
      </c>
      <c r="U51" s="1" t="s">
        <v>1507</v>
      </c>
      <c r="V51" s="1" t="s">
        <v>11889</v>
      </c>
      <c r="W51" s="1" t="s">
        <v>11890</v>
      </c>
      <c r="X51" s="1" t="s">
        <v>11891</v>
      </c>
      <c r="Y51" s="1" t="s">
        <v>11892</v>
      </c>
      <c r="Z51" s="1" t="s">
        <v>11893</v>
      </c>
      <c r="AA51" s="1" t="s">
        <v>1507</v>
      </c>
      <c r="AB51" s="1" t="s">
        <v>11894</v>
      </c>
      <c r="AC51" s="1" t="s">
        <v>1507</v>
      </c>
      <c r="AD51" s="1" t="s">
        <v>1507</v>
      </c>
      <c r="AE51" s="1" t="s">
        <v>1507</v>
      </c>
      <c r="AF51" s="1" t="s">
        <v>1507</v>
      </c>
      <c r="AG51" s="1" t="s">
        <v>1507</v>
      </c>
      <c r="AH51" s="1">
        <v>122</v>
      </c>
      <c r="AI51" s="1">
        <v>0</v>
      </c>
      <c r="AJ51" s="1">
        <v>1</v>
      </c>
      <c r="AK51" s="1">
        <v>0</v>
      </c>
      <c r="AL51" s="1">
        <v>1</v>
      </c>
      <c r="AM51" s="1" t="s">
        <v>11895</v>
      </c>
      <c r="AN51" s="1" t="s">
        <v>1746</v>
      </c>
      <c r="AO51" s="1" t="s">
        <v>11896</v>
      </c>
      <c r="AP51" s="1" t="s">
        <v>11897</v>
      </c>
      <c r="AQ51" s="1" t="s">
        <v>1507</v>
      </c>
      <c r="AR51" s="1" t="s">
        <v>1507</v>
      </c>
      <c r="AS51" s="1" t="s">
        <v>11898</v>
      </c>
      <c r="AT51" s="1" t="s">
        <v>11899</v>
      </c>
      <c r="AU51" s="1" t="s">
        <v>1507</v>
      </c>
      <c r="AV51" s="1">
        <v>2018</v>
      </c>
      <c r="AW51" s="1">
        <v>39</v>
      </c>
      <c r="AX51" s="1">
        <v>3</v>
      </c>
      <c r="AY51" s="1" t="s">
        <v>1507</v>
      </c>
      <c r="AZ51" s="1" t="s">
        <v>1507</v>
      </c>
      <c r="BA51" s="1" t="s">
        <v>1507</v>
      </c>
      <c r="BB51" s="1" t="s">
        <v>1507</v>
      </c>
      <c r="BC51" s="1">
        <v>707</v>
      </c>
      <c r="BD51" s="1" t="s">
        <v>1774</v>
      </c>
      <c r="BE51" s="1" t="s">
        <v>1507</v>
      </c>
      <c r="BF51" s="1" t="s">
        <v>1507</v>
      </c>
      <c r="BG51" s="1" t="s">
        <v>1507</v>
      </c>
      <c r="BH51" s="1" t="s">
        <v>1507</v>
      </c>
      <c r="BI51" s="1" t="s">
        <v>1507</v>
      </c>
      <c r="BJ51" s="1">
        <v>43</v>
      </c>
      <c r="BK51" s="1" t="s">
        <v>1535</v>
      </c>
      <c r="BL51" s="1" t="s">
        <v>1518</v>
      </c>
      <c r="BM51" s="1" t="s">
        <v>1536</v>
      </c>
      <c r="BN51" s="1" t="s">
        <v>11900</v>
      </c>
      <c r="BO51" s="1" t="s">
        <v>1507</v>
      </c>
      <c r="BP51" s="1" t="s">
        <v>1507</v>
      </c>
      <c r="BQ51" s="1" t="s">
        <v>1507</v>
      </c>
      <c r="BR51" s="1" t="s">
        <v>1507</v>
      </c>
      <c r="BS51" s="1" t="s">
        <v>13744</v>
      </c>
      <c r="BT51" s="1" t="s">
        <v>11901</v>
      </c>
      <c r="BU51" s="1" t="str">
        <f>HYPERLINK("https%3A%2F%2Fwww.webofscience.com%2Fwos%2Fwoscc%2Ffull-record%2FWOS:000442155800003","View Full Record in Web of Science")</f>
        <v>View Full Record in Web of Science</v>
      </c>
    </row>
    <row r="52" spans="1:73" x14ac:dyDescent="0.25">
      <c r="A52" s="1">
        <v>58</v>
      </c>
      <c r="B52" s="1" t="s">
        <v>1506</v>
      </c>
      <c r="C52" s="1" t="s">
        <v>1996</v>
      </c>
      <c r="D52" s="1" t="s">
        <v>1507</v>
      </c>
      <c r="E52" s="1" t="s">
        <v>1507</v>
      </c>
      <c r="F52" s="1" t="s">
        <v>1507</v>
      </c>
      <c r="G52" s="1" t="s">
        <v>1997</v>
      </c>
      <c r="H52" s="1" t="s">
        <v>1507</v>
      </c>
      <c r="I52" s="1" t="s">
        <v>1507</v>
      </c>
      <c r="J52" s="1" t="s">
        <v>1998</v>
      </c>
      <c r="K52" s="1" t="s">
        <v>1999</v>
      </c>
      <c r="L52" s="1" t="s">
        <v>1507</v>
      </c>
      <c r="M52" s="1" t="s">
        <v>1507</v>
      </c>
      <c r="N52" s="1" t="s">
        <v>42</v>
      </c>
      <c r="O52" s="1" t="s">
        <v>56</v>
      </c>
      <c r="P52" s="1" t="s">
        <v>1507</v>
      </c>
      <c r="Q52" s="1" t="s">
        <v>1507</v>
      </c>
      <c r="R52" s="1" t="s">
        <v>1507</v>
      </c>
      <c r="S52" s="1" t="s">
        <v>1507</v>
      </c>
      <c r="T52" s="1" t="s">
        <v>1507</v>
      </c>
      <c r="U52" s="1" t="s">
        <v>1507</v>
      </c>
      <c r="V52" s="1" t="s">
        <v>2000</v>
      </c>
      <c r="W52" s="1" t="s">
        <v>2001</v>
      </c>
      <c r="X52" s="1" t="s">
        <v>2002</v>
      </c>
      <c r="Y52" s="1" t="s">
        <v>2003</v>
      </c>
      <c r="Z52" s="1" t="s">
        <v>2004</v>
      </c>
      <c r="AA52" s="1" t="s">
        <v>2005</v>
      </c>
      <c r="AB52" s="1" t="s">
        <v>13866</v>
      </c>
      <c r="AC52" s="1" t="s">
        <v>13867</v>
      </c>
      <c r="AD52" s="1" t="s">
        <v>2006</v>
      </c>
      <c r="AE52" s="1" t="s">
        <v>2007</v>
      </c>
      <c r="AF52" s="1" t="s">
        <v>2008</v>
      </c>
      <c r="AG52" s="1" t="s">
        <v>1507</v>
      </c>
      <c r="AH52" s="1">
        <v>42</v>
      </c>
      <c r="AI52" s="1">
        <v>0</v>
      </c>
      <c r="AJ52" s="1">
        <v>0</v>
      </c>
      <c r="AK52" s="1">
        <v>0</v>
      </c>
      <c r="AL52" s="1">
        <v>0</v>
      </c>
      <c r="AM52" s="1" t="s">
        <v>2009</v>
      </c>
      <c r="AN52" s="1" t="s">
        <v>2010</v>
      </c>
      <c r="AO52" s="1" t="s">
        <v>2011</v>
      </c>
      <c r="AP52" s="1" t="s">
        <v>2012</v>
      </c>
      <c r="AQ52" s="1" t="s">
        <v>1507</v>
      </c>
      <c r="AR52" s="1" t="s">
        <v>1507</v>
      </c>
      <c r="AS52" s="1" t="s">
        <v>1999</v>
      </c>
      <c r="AT52" s="1" t="s">
        <v>2013</v>
      </c>
      <c r="AU52" s="1" t="s">
        <v>2014</v>
      </c>
      <c r="AV52" s="1">
        <v>2023</v>
      </c>
      <c r="AW52" s="1">
        <v>18</v>
      </c>
      <c r="AX52" s="1">
        <v>12</v>
      </c>
      <c r="AY52" s="1" t="s">
        <v>1507</v>
      </c>
      <c r="AZ52" s="1" t="s">
        <v>1507</v>
      </c>
      <c r="BA52" s="1" t="s">
        <v>1507</v>
      </c>
      <c r="BB52" s="1" t="s">
        <v>1507</v>
      </c>
      <c r="BC52" s="1" t="s">
        <v>1507</v>
      </c>
      <c r="BD52" s="1" t="s">
        <v>1507</v>
      </c>
      <c r="BE52" s="1" t="s">
        <v>2015</v>
      </c>
      <c r="BF52" s="1" t="s">
        <v>2016</v>
      </c>
      <c r="BG52" s="1" t="str">
        <f>HYPERLINK("http://dx.doi.org/10.1371/journal.pone.0295383","http://dx.doi.org/10.1371/journal.pone.0295383")</f>
        <v>http://dx.doi.org/10.1371/journal.pone.0295383</v>
      </c>
      <c r="BH52" s="1" t="s">
        <v>1507</v>
      </c>
      <c r="BI52" s="1" t="s">
        <v>1507</v>
      </c>
      <c r="BJ52" s="1">
        <v>18</v>
      </c>
      <c r="BK52" s="1" t="s">
        <v>1776</v>
      </c>
      <c r="BL52" s="1" t="s">
        <v>1573</v>
      </c>
      <c r="BM52" s="1" t="s">
        <v>1777</v>
      </c>
      <c r="BN52" s="1" t="s">
        <v>2017</v>
      </c>
      <c r="BO52" s="1">
        <v>38064436</v>
      </c>
      <c r="BP52" s="1" t="s">
        <v>1952</v>
      </c>
      <c r="BQ52" s="1" t="s">
        <v>1507</v>
      </c>
      <c r="BR52" s="1" t="s">
        <v>1507</v>
      </c>
      <c r="BS52" s="1" t="s">
        <v>13744</v>
      </c>
      <c r="BT52" s="1" t="s">
        <v>2018</v>
      </c>
      <c r="BU52" s="1" t="str">
        <f>HYPERLINK("https%3A%2F%2Fwww.webofscience.com%2Fwos%2Fwoscc%2Ffull-record%2FWOS:001121859600027","View Full Record in Web of Science")</f>
        <v>View Full Record in Web of Science</v>
      </c>
    </row>
    <row r="53" spans="1:73" x14ac:dyDescent="0.25">
      <c r="A53" s="1">
        <v>59</v>
      </c>
      <c r="B53" s="1" t="s">
        <v>1506</v>
      </c>
      <c r="C53" s="1" t="s">
        <v>9982</v>
      </c>
      <c r="D53" s="1" t="s">
        <v>1507</v>
      </c>
      <c r="E53" s="1" t="s">
        <v>1507</v>
      </c>
      <c r="F53" s="1" t="s">
        <v>1507</v>
      </c>
      <c r="G53" s="1" t="s">
        <v>9983</v>
      </c>
      <c r="H53" s="1" t="s">
        <v>1507</v>
      </c>
      <c r="I53" s="1" t="s">
        <v>1507</v>
      </c>
      <c r="J53" s="1" t="s">
        <v>9984</v>
      </c>
      <c r="K53" s="1" t="s">
        <v>9985</v>
      </c>
      <c r="L53" s="1" t="s">
        <v>1507</v>
      </c>
      <c r="M53" s="1" t="s">
        <v>1507</v>
      </c>
      <c r="N53" s="1" t="s">
        <v>42</v>
      </c>
      <c r="O53" s="1" t="s">
        <v>56</v>
      </c>
      <c r="P53" s="1" t="s">
        <v>1507</v>
      </c>
      <c r="Q53" s="1" t="s">
        <v>1507</v>
      </c>
      <c r="R53" s="1" t="s">
        <v>1507</v>
      </c>
      <c r="S53" s="1" t="s">
        <v>1507</v>
      </c>
      <c r="T53" s="1" t="s">
        <v>1507</v>
      </c>
      <c r="U53" s="1" t="s">
        <v>9986</v>
      </c>
      <c r="V53" s="1" t="s">
        <v>9987</v>
      </c>
      <c r="W53" s="1" t="s">
        <v>9988</v>
      </c>
      <c r="X53" s="1" t="s">
        <v>9989</v>
      </c>
      <c r="Y53" s="1" t="s">
        <v>9990</v>
      </c>
      <c r="Z53" s="1" t="s">
        <v>9991</v>
      </c>
      <c r="AA53" s="1" t="s">
        <v>2005</v>
      </c>
      <c r="AB53" s="1" t="s">
        <v>15824</v>
      </c>
      <c r="AC53" s="1" t="s">
        <v>15825</v>
      </c>
      <c r="AD53" s="1" t="s">
        <v>9992</v>
      </c>
      <c r="AE53" s="1" t="s">
        <v>9993</v>
      </c>
      <c r="AF53" s="1" t="s">
        <v>9994</v>
      </c>
      <c r="AG53" s="1" t="s">
        <v>1507</v>
      </c>
      <c r="AH53" s="1">
        <v>77</v>
      </c>
      <c r="AI53" s="1">
        <v>8</v>
      </c>
      <c r="AJ53" s="1">
        <v>8</v>
      </c>
      <c r="AK53" s="1">
        <v>1</v>
      </c>
      <c r="AL53" s="1">
        <v>7</v>
      </c>
      <c r="AM53" s="1" t="s">
        <v>1579</v>
      </c>
      <c r="AN53" s="1" t="s">
        <v>1580</v>
      </c>
      <c r="AO53" s="1" t="s">
        <v>8485</v>
      </c>
      <c r="AP53" s="1" t="s">
        <v>9995</v>
      </c>
      <c r="AQ53" s="1" t="s">
        <v>9996</v>
      </c>
      <c r="AR53" s="1" t="s">
        <v>1507</v>
      </c>
      <c r="AS53" s="1" t="s">
        <v>9997</v>
      </c>
      <c r="AT53" s="1" t="s">
        <v>9998</v>
      </c>
      <c r="AU53" s="1" t="s">
        <v>9999</v>
      </c>
      <c r="AV53" s="1">
        <v>2020</v>
      </c>
      <c r="AW53" s="1">
        <v>266</v>
      </c>
      <c r="AX53" s="1" t="s">
        <v>1507</v>
      </c>
      <c r="AY53" s="1" t="s">
        <v>1507</v>
      </c>
      <c r="AZ53" s="1" t="s">
        <v>1507</v>
      </c>
      <c r="BA53" s="1" t="s">
        <v>1507</v>
      </c>
      <c r="BB53" s="1" t="s">
        <v>1507</v>
      </c>
      <c r="BC53" s="1">
        <v>215</v>
      </c>
      <c r="BD53" s="1">
        <v>222</v>
      </c>
      <c r="BE53" s="1" t="s">
        <v>1507</v>
      </c>
      <c r="BF53" s="1" t="s">
        <v>10000</v>
      </c>
      <c r="BG53" s="1" t="str">
        <f>HYPERLINK("http://dx.doi.org/10.1016/j.jad.2020.01.078","http://dx.doi.org/10.1016/j.jad.2020.01.078")</f>
        <v>http://dx.doi.org/10.1016/j.jad.2020.01.078</v>
      </c>
      <c r="BH53" s="1" t="s">
        <v>1507</v>
      </c>
      <c r="BI53" s="1" t="s">
        <v>1507</v>
      </c>
      <c r="BJ53" s="1">
        <v>8</v>
      </c>
      <c r="BK53" s="1" t="s">
        <v>10001</v>
      </c>
      <c r="BL53" s="1" t="s">
        <v>1598</v>
      </c>
      <c r="BM53" s="1" t="s">
        <v>10002</v>
      </c>
      <c r="BN53" s="1" t="s">
        <v>10003</v>
      </c>
      <c r="BO53" s="1">
        <v>32056879</v>
      </c>
      <c r="BP53" s="1" t="s">
        <v>1537</v>
      </c>
      <c r="BQ53" s="1" t="s">
        <v>1507</v>
      </c>
      <c r="BR53" s="1" t="s">
        <v>1507</v>
      </c>
      <c r="BS53" s="1" t="s">
        <v>13744</v>
      </c>
      <c r="BT53" s="1" t="s">
        <v>10004</v>
      </c>
      <c r="BU53" s="1" t="str">
        <f>HYPERLINK("https%3A%2F%2Fwww.webofscience.com%2Fwos%2Fwoscc%2Ffull-record%2FWOS:000520892700029","View Full Record in Web of Science")</f>
        <v>View Full Record in Web of Science</v>
      </c>
    </row>
    <row r="54" spans="1:73" x14ac:dyDescent="0.25">
      <c r="A54" s="1">
        <v>60</v>
      </c>
      <c r="B54" s="1" t="s">
        <v>1506</v>
      </c>
      <c r="C54" s="1" t="s">
        <v>7402</v>
      </c>
      <c r="D54" s="1" t="s">
        <v>1507</v>
      </c>
      <c r="E54" s="1" t="s">
        <v>1507</v>
      </c>
      <c r="F54" s="1" t="s">
        <v>1507</v>
      </c>
      <c r="G54" s="1" t="s">
        <v>7403</v>
      </c>
      <c r="H54" s="1" t="s">
        <v>1507</v>
      </c>
      <c r="I54" s="1" t="s">
        <v>1507</v>
      </c>
      <c r="J54" s="1" t="s">
        <v>7404</v>
      </c>
      <c r="K54" s="1" t="s">
        <v>7405</v>
      </c>
      <c r="L54" s="1" t="s">
        <v>1507</v>
      </c>
      <c r="M54" s="1" t="s">
        <v>1507</v>
      </c>
      <c r="N54" s="1" t="s">
        <v>42</v>
      </c>
      <c r="O54" s="1" t="s">
        <v>56</v>
      </c>
      <c r="P54" s="1" t="s">
        <v>1507</v>
      </c>
      <c r="Q54" s="1" t="s">
        <v>1507</v>
      </c>
      <c r="R54" s="1" t="s">
        <v>1507</v>
      </c>
      <c r="S54" s="1" t="s">
        <v>1507</v>
      </c>
      <c r="T54" s="1" t="s">
        <v>1507</v>
      </c>
      <c r="U54" s="1" t="s">
        <v>7406</v>
      </c>
      <c r="V54" s="1" t="s">
        <v>7407</v>
      </c>
      <c r="W54" s="1" t="s">
        <v>7408</v>
      </c>
      <c r="X54" s="1" t="s">
        <v>7409</v>
      </c>
      <c r="Y54" s="1" t="s">
        <v>7410</v>
      </c>
      <c r="Z54" s="1" t="s">
        <v>7411</v>
      </c>
      <c r="AA54" s="1" t="s">
        <v>7412</v>
      </c>
      <c r="AB54" s="1" t="s">
        <v>7413</v>
      </c>
      <c r="AC54" s="1" t="s">
        <v>7414</v>
      </c>
      <c r="AD54" s="1" t="s">
        <v>7415</v>
      </c>
      <c r="AE54" s="1" t="s">
        <v>7416</v>
      </c>
      <c r="AF54" s="1" t="s">
        <v>7417</v>
      </c>
      <c r="AG54" s="1" t="s">
        <v>1507</v>
      </c>
      <c r="AH54" s="1">
        <v>33</v>
      </c>
      <c r="AI54" s="1">
        <v>13</v>
      </c>
      <c r="AJ54" s="1">
        <v>13</v>
      </c>
      <c r="AK54" s="1">
        <v>0</v>
      </c>
      <c r="AL54" s="1">
        <v>3</v>
      </c>
      <c r="AM54" s="1" t="s">
        <v>2883</v>
      </c>
      <c r="AN54" s="1" t="s">
        <v>1512</v>
      </c>
      <c r="AO54" s="1" t="s">
        <v>2884</v>
      </c>
      <c r="AP54" s="1" t="s">
        <v>7418</v>
      </c>
      <c r="AQ54" s="1" t="s">
        <v>7419</v>
      </c>
      <c r="AR54" s="1" t="s">
        <v>1507</v>
      </c>
      <c r="AS54" s="1" t="s">
        <v>7420</v>
      </c>
      <c r="AT54" s="1" t="s">
        <v>7421</v>
      </c>
      <c r="AU54" s="1" t="s">
        <v>5362</v>
      </c>
      <c r="AV54" s="1">
        <v>2022</v>
      </c>
      <c r="AW54" s="1">
        <v>102</v>
      </c>
      <c r="AX54" s="1">
        <v>3</v>
      </c>
      <c r="AY54" s="1" t="s">
        <v>1507</v>
      </c>
      <c r="AZ54" s="1" t="s">
        <v>1507</v>
      </c>
      <c r="BA54" s="1" t="s">
        <v>1507</v>
      </c>
      <c r="BB54" s="1" t="s">
        <v>1507</v>
      </c>
      <c r="BC54" s="1" t="s">
        <v>1507</v>
      </c>
      <c r="BD54" s="1" t="s">
        <v>1507</v>
      </c>
      <c r="BE54" s="1">
        <v>115597</v>
      </c>
      <c r="BF54" s="1" t="s">
        <v>7422</v>
      </c>
      <c r="BG54" s="1" t="str">
        <f>HYPERLINK("http://dx.doi.org/10.1016/j.diagmicrobio.2021.115597","http://dx.doi.org/10.1016/j.diagmicrobio.2021.115597")</f>
        <v>http://dx.doi.org/10.1016/j.diagmicrobio.2021.115597</v>
      </c>
      <c r="BH54" s="1" t="s">
        <v>1507</v>
      </c>
      <c r="BI54" s="1" t="s">
        <v>1507</v>
      </c>
      <c r="BJ54" s="1">
        <v>6</v>
      </c>
      <c r="BK54" s="1" t="s">
        <v>7423</v>
      </c>
      <c r="BL54" s="1" t="s">
        <v>1573</v>
      </c>
      <c r="BM54" s="1" t="s">
        <v>7423</v>
      </c>
      <c r="BN54" s="1" t="s">
        <v>7424</v>
      </c>
      <c r="BO54" s="1">
        <v>34902621</v>
      </c>
      <c r="BP54" s="1" t="s">
        <v>7508</v>
      </c>
      <c r="BQ54" s="1" t="s">
        <v>1507</v>
      </c>
      <c r="BR54" s="1" t="s">
        <v>1507</v>
      </c>
      <c r="BS54" s="1" t="s">
        <v>13744</v>
      </c>
      <c r="BT54" s="1" t="s">
        <v>7425</v>
      </c>
      <c r="BU54" s="1" t="str">
        <f>HYPERLINK("https%3A%2F%2Fwww.webofscience.com%2Fwos%2Fwoscc%2Ffull-record%2FWOS:000820488700003","View Full Record in Web of Science")</f>
        <v>View Full Record in Web of Science</v>
      </c>
    </row>
    <row r="55" spans="1:73" x14ac:dyDescent="0.25">
      <c r="A55" s="1">
        <v>61</v>
      </c>
      <c r="B55" s="1" t="s">
        <v>1506</v>
      </c>
      <c r="C55" s="1" t="s">
        <v>10450</v>
      </c>
      <c r="D55" s="1" t="s">
        <v>1507</v>
      </c>
      <c r="E55" s="1" t="s">
        <v>1507</v>
      </c>
      <c r="F55" s="1" t="s">
        <v>1507</v>
      </c>
      <c r="G55" s="1" t="s">
        <v>10451</v>
      </c>
      <c r="H55" s="1" t="s">
        <v>1507</v>
      </c>
      <c r="I55" s="1" t="s">
        <v>1507</v>
      </c>
      <c r="J55" s="1" t="s">
        <v>10452</v>
      </c>
      <c r="K55" s="1" t="s">
        <v>2159</v>
      </c>
      <c r="L55" s="1" t="s">
        <v>1507</v>
      </c>
      <c r="M55" s="1" t="s">
        <v>1507</v>
      </c>
      <c r="N55" s="1" t="s">
        <v>42</v>
      </c>
      <c r="O55" s="1" t="s">
        <v>56</v>
      </c>
      <c r="P55" s="1" t="s">
        <v>1507</v>
      </c>
      <c r="Q55" s="1" t="s">
        <v>1507</v>
      </c>
      <c r="R55" s="1" t="s">
        <v>1507</v>
      </c>
      <c r="S55" s="1" t="s">
        <v>1507</v>
      </c>
      <c r="T55" s="1" t="s">
        <v>1507</v>
      </c>
      <c r="U55" s="1" t="s">
        <v>1507</v>
      </c>
      <c r="V55" s="1" t="s">
        <v>10453</v>
      </c>
      <c r="W55" s="1" t="s">
        <v>10454</v>
      </c>
      <c r="X55" s="1" t="s">
        <v>10455</v>
      </c>
      <c r="Y55" s="1" t="s">
        <v>10456</v>
      </c>
      <c r="Z55" s="1" t="s">
        <v>10457</v>
      </c>
      <c r="AA55" s="1" t="s">
        <v>10458</v>
      </c>
      <c r="AB55" s="1" t="s">
        <v>15856</v>
      </c>
      <c r="AC55" s="1" t="s">
        <v>15857</v>
      </c>
      <c r="AD55" s="1" t="s">
        <v>10459</v>
      </c>
      <c r="AE55" s="1" t="s">
        <v>10460</v>
      </c>
      <c r="AF55" s="1" t="s">
        <v>10461</v>
      </c>
      <c r="AG55" s="1" t="s">
        <v>1507</v>
      </c>
      <c r="AH55" s="1">
        <v>46</v>
      </c>
      <c r="AI55" s="1">
        <v>46</v>
      </c>
      <c r="AJ55" s="1">
        <v>51</v>
      </c>
      <c r="AK55" s="1">
        <v>2</v>
      </c>
      <c r="AL55" s="1">
        <v>25</v>
      </c>
      <c r="AM55" s="1" t="s">
        <v>10462</v>
      </c>
      <c r="AN55" s="1" t="s">
        <v>1592</v>
      </c>
      <c r="AO55" s="1" t="s">
        <v>1593</v>
      </c>
      <c r="AP55" s="1" t="s">
        <v>2169</v>
      </c>
      <c r="AQ55" s="1" t="s">
        <v>1507</v>
      </c>
      <c r="AR55" s="1" t="s">
        <v>1507</v>
      </c>
      <c r="AS55" s="1" t="s">
        <v>2170</v>
      </c>
      <c r="AT55" s="1" t="s">
        <v>439</v>
      </c>
      <c r="AU55" s="1" t="s">
        <v>2191</v>
      </c>
      <c r="AV55" s="1">
        <v>2019</v>
      </c>
      <c r="AW55" s="1">
        <v>2</v>
      </c>
      <c r="AX55" s="1">
        <v>1</v>
      </c>
      <c r="AY55" s="1" t="s">
        <v>1507</v>
      </c>
      <c r="AZ55" s="1" t="s">
        <v>1507</v>
      </c>
      <c r="BA55" s="1" t="s">
        <v>1507</v>
      </c>
      <c r="BB55" s="1" t="s">
        <v>1507</v>
      </c>
      <c r="BC55" s="1" t="s">
        <v>1507</v>
      </c>
      <c r="BD55" s="1" t="s">
        <v>1507</v>
      </c>
      <c r="BE55" s="1">
        <v>131</v>
      </c>
      <c r="BF55" s="1" t="s">
        <v>10463</v>
      </c>
      <c r="BG55" s="1" t="str">
        <f>HYPERLINK("http://dx.doi.org/10.1038/s41746-019-0210-1","http://dx.doi.org/10.1038/s41746-019-0210-1")</f>
        <v>http://dx.doi.org/10.1038/s41746-019-0210-1</v>
      </c>
      <c r="BH55" s="1" t="s">
        <v>1507</v>
      </c>
      <c r="BI55" s="1" t="s">
        <v>1507</v>
      </c>
      <c r="BJ55" s="1">
        <v>9</v>
      </c>
      <c r="BK55" s="1" t="s">
        <v>1585</v>
      </c>
      <c r="BL55" s="1" t="s">
        <v>1573</v>
      </c>
      <c r="BM55" s="1" t="s">
        <v>1585</v>
      </c>
      <c r="BN55" s="1" t="s">
        <v>10464</v>
      </c>
      <c r="BO55" s="1" t="s">
        <v>1507</v>
      </c>
      <c r="BP55" s="1" t="s">
        <v>1952</v>
      </c>
      <c r="BQ55" s="1" t="s">
        <v>1507</v>
      </c>
      <c r="BR55" s="1" t="s">
        <v>1507</v>
      </c>
      <c r="BS55" s="1" t="s">
        <v>13744</v>
      </c>
      <c r="BT55" s="1" t="s">
        <v>10465</v>
      </c>
      <c r="BU55" s="1" t="str">
        <f>HYPERLINK("https%3A%2F%2Fwww.webofscience.com%2Fwos%2Fwoscc%2Ffull-record%2FWOS:000509571300001","View Full Record in Web of Science")</f>
        <v>View Full Record in Web of Science</v>
      </c>
    </row>
    <row r="56" spans="1:73" x14ac:dyDescent="0.25">
      <c r="A56" s="1">
        <v>62</v>
      </c>
      <c r="B56" s="1" t="s">
        <v>1506</v>
      </c>
      <c r="C56" s="1" t="s">
        <v>1757</v>
      </c>
      <c r="D56" s="1" t="s">
        <v>1507</v>
      </c>
      <c r="E56" s="1" t="s">
        <v>1507</v>
      </c>
      <c r="F56" s="1" t="s">
        <v>1507</v>
      </c>
      <c r="G56" s="1" t="s">
        <v>1758</v>
      </c>
      <c r="H56" s="1" t="s">
        <v>1507</v>
      </c>
      <c r="I56" s="1" t="s">
        <v>1507</v>
      </c>
      <c r="J56" s="1" t="s">
        <v>1759</v>
      </c>
      <c r="K56" s="1" t="s">
        <v>1760</v>
      </c>
      <c r="L56" s="1" t="s">
        <v>1507</v>
      </c>
      <c r="M56" s="1" t="s">
        <v>1507</v>
      </c>
      <c r="N56" s="1" t="s">
        <v>42</v>
      </c>
      <c r="O56" s="1" t="s">
        <v>56</v>
      </c>
      <c r="P56" s="1" t="s">
        <v>1507</v>
      </c>
      <c r="Q56" s="1" t="s">
        <v>1507</v>
      </c>
      <c r="R56" s="1" t="s">
        <v>1507</v>
      </c>
      <c r="S56" s="1" t="s">
        <v>1507</v>
      </c>
      <c r="T56" s="1" t="s">
        <v>1507</v>
      </c>
      <c r="U56" s="1" t="s">
        <v>1507</v>
      </c>
      <c r="V56" s="1" t="s">
        <v>13794</v>
      </c>
      <c r="W56" s="1" t="s">
        <v>1761</v>
      </c>
      <c r="X56" s="1" t="s">
        <v>1762</v>
      </c>
      <c r="Y56" s="1" t="s">
        <v>1763</v>
      </c>
      <c r="Z56" s="1" t="s">
        <v>1764</v>
      </c>
      <c r="AA56" s="1" t="s">
        <v>1765</v>
      </c>
      <c r="AB56" s="1" t="s">
        <v>1507</v>
      </c>
      <c r="AC56" s="1" t="s">
        <v>1766</v>
      </c>
      <c r="AD56" s="1" t="s">
        <v>1767</v>
      </c>
      <c r="AE56" s="1" t="s">
        <v>1768</v>
      </c>
      <c r="AF56" s="1" t="s">
        <v>1769</v>
      </c>
      <c r="AG56" s="1" t="s">
        <v>1507</v>
      </c>
      <c r="AH56" s="1">
        <v>77</v>
      </c>
      <c r="AI56" s="1">
        <v>13</v>
      </c>
      <c r="AJ56" s="1">
        <v>13</v>
      </c>
      <c r="AK56" s="1">
        <v>60</v>
      </c>
      <c r="AL56" s="1">
        <v>60</v>
      </c>
      <c r="AM56" s="1" t="s">
        <v>1591</v>
      </c>
      <c r="AN56" s="1" t="s">
        <v>1592</v>
      </c>
      <c r="AO56" s="1" t="s">
        <v>1593</v>
      </c>
      <c r="AP56" s="1" t="s">
        <v>1770</v>
      </c>
      <c r="AQ56" s="1" t="s">
        <v>1771</v>
      </c>
      <c r="AR56" s="1" t="s">
        <v>1507</v>
      </c>
      <c r="AS56" s="1" t="s">
        <v>1760</v>
      </c>
      <c r="AT56" s="1" t="s">
        <v>1772</v>
      </c>
      <c r="AU56" s="1" t="s">
        <v>1773</v>
      </c>
      <c r="AV56" s="1">
        <v>2023</v>
      </c>
      <c r="AW56" s="1">
        <v>624</v>
      </c>
      <c r="AX56" s="1">
        <v>7992</v>
      </c>
      <c r="AY56" s="1" t="s">
        <v>1507</v>
      </c>
      <c r="AZ56" s="1" t="s">
        <v>1507</v>
      </c>
      <c r="BA56" s="1" t="s">
        <v>1507</v>
      </c>
      <c r="BB56" s="1" t="s">
        <v>1507</v>
      </c>
      <c r="BC56" s="1">
        <v>570</v>
      </c>
      <c r="BD56" s="1" t="s">
        <v>1774</v>
      </c>
      <c r="BE56" s="1" t="s">
        <v>1507</v>
      </c>
      <c r="BF56" s="1" t="s">
        <v>1775</v>
      </c>
      <c r="BG56" s="1" t="str">
        <f>HYPERLINK("http://dx.doi.org/10.1038/s41586-023-06792-0","http://dx.doi.org/10.1038/s41586-023-06792-0")</f>
        <v>http://dx.doi.org/10.1038/s41586-023-06792-0</v>
      </c>
      <c r="BH56" s="1" t="s">
        <v>1507</v>
      </c>
      <c r="BI56" s="1" t="s">
        <v>1507</v>
      </c>
      <c r="BJ56" s="1">
        <v>13</v>
      </c>
      <c r="BK56" s="1" t="s">
        <v>1776</v>
      </c>
      <c r="BL56" s="1" t="s">
        <v>1573</v>
      </c>
      <c r="BM56" s="1" t="s">
        <v>1777</v>
      </c>
      <c r="BN56" s="1" t="s">
        <v>1778</v>
      </c>
      <c r="BO56" s="1">
        <v>38123806</v>
      </c>
      <c r="BP56" s="1" t="s">
        <v>1537</v>
      </c>
      <c r="BQ56" s="1" t="s">
        <v>1507</v>
      </c>
      <c r="BR56" s="1" t="s">
        <v>1507</v>
      </c>
      <c r="BS56" s="1" t="s">
        <v>13744</v>
      </c>
      <c r="BT56" s="1" t="s">
        <v>13795</v>
      </c>
      <c r="BU56" s="1" t="str">
        <f>HYPERLINK("https%3A%2F%2Fwww.webofscience.com%2Fwos%2Fwoscc%2Ffull-record%2FWOS:001128871300010","View Full Record in Web of Science")</f>
        <v>View Full Record in Web of Science</v>
      </c>
    </row>
    <row r="57" spans="1:73" x14ac:dyDescent="0.25">
      <c r="A57" s="1">
        <v>63</v>
      </c>
      <c r="B57" s="1" t="s">
        <v>1506</v>
      </c>
      <c r="C57" s="1" t="s">
        <v>7671</v>
      </c>
      <c r="D57" s="1" t="s">
        <v>1507</v>
      </c>
      <c r="E57" s="1" t="s">
        <v>1507</v>
      </c>
      <c r="F57" s="1" t="s">
        <v>1507</v>
      </c>
      <c r="G57" s="1" t="s">
        <v>7672</v>
      </c>
      <c r="H57" s="1" t="s">
        <v>1507</v>
      </c>
      <c r="I57" s="1" t="s">
        <v>1507</v>
      </c>
      <c r="J57" s="1" t="s">
        <v>7673</v>
      </c>
      <c r="K57" s="1" t="s">
        <v>7674</v>
      </c>
      <c r="L57" s="1" t="s">
        <v>1507</v>
      </c>
      <c r="M57" s="1" t="s">
        <v>1507</v>
      </c>
      <c r="N57" s="1" t="s">
        <v>42</v>
      </c>
      <c r="O57" s="1" t="s">
        <v>56</v>
      </c>
      <c r="P57" s="1" t="s">
        <v>1507</v>
      </c>
      <c r="Q57" s="1" t="s">
        <v>1507</v>
      </c>
      <c r="R57" s="1" t="s">
        <v>1507</v>
      </c>
      <c r="S57" s="1" t="s">
        <v>1507</v>
      </c>
      <c r="T57" s="1" t="s">
        <v>1507</v>
      </c>
      <c r="U57" s="1" t="s">
        <v>1507</v>
      </c>
      <c r="V57" s="1" t="s">
        <v>7675</v>
      </c>
      <c r="W57" s="1" t="s">
        <v>7676</v>
      </c>
      <c r="X57" s="1" t="s">
        <v>7677</v>
      </c>
      <c r="Y57" s="1" t="s">
        <v>7678</v>
      </c>
      <c r="Z57" s="1" t="s">
        <v>7679</v>
      </c>
      <c r="AA57" s="1" t="s">
        <v>7680</v>
      </c>
      <c r="AB57" s="1" t="s">
        <v>1507</v>
      </c>
      <c r="AC57" s="1" t="s">
        <v>15668</v>
      </c>
      <c r="AD57" s="1" t="s">
        <v>7681</v>
      </c>
      <c r="AE57" s="1" t="s">
        <v>7682</v>
      </c>
      <c r="AF57" s="1" t="s">
        <v>7683</v>
      </c>
      <c r="AG57" s="1" t="s">
        <v>1507</v>
      </c>
      <c r="AH57" s="1">
        <v>34</v>
      </c>
      <c r="AI57" s="1">
        <v>5</v>
      </c>
      <c r="AJ57" s="1">
        <v>7</v>
      </c>
      <c r="AK57" s="1">
        <v>3</v>
      </c>
      <c r="AL57" s="1">
        <v>11</v>
      </c>
      <c r="AM57" s="1" t="s">
        <v>2009</v>
      </c>
      <c r="AN57" s="1" t="s">
        <v>2010</v>
      </c>
      <c r="AO57" s="1" t="s">
        <v>2011</v>
      </c>
      <c r="AP57" s="1" t="s">
        <v>7684</v>
      </c>
      <c r="AQ57" s="1" t="s">
        <v>7685</v>
      </c>
      <c r="AR57" s="1" t="s">
        <v>1507</v>
      </c>
      <c r="AS57" s="1" t="s">
        <v>7686</v>
      </c>
      <c r="AT57" s="1" t="s">
        <v>7687</v>
      </c>
      <c r="AU57" s="1" t="s">
        <v>1616</v>
      </c>
      <c r="AV57" s="1">
        <v>2022</v>
      </c>
      <c r="AW57" s="1">
        <v>20</v>
      </c>
      <c r="AX57" s="1">
        <v>1</v>
      </c>
      <c r="AY57" s="1" t="s">
        <v>1507</v>
      </c>
      <c r="AZ57" s="1" t="s">
        <v>1507</v>
      </c>
      <c r="BA57" s="1" t="s">
        <v>1507</v>
      </c>
      <c r="BB57" s="1" t="s">
        <v>1507</v>
      </c>
      <c r="BC57" s="1" t="s">
        <v>1507</v>
      </c>
      <c r="BD57" s="1" t="s">
        <v>1507</v>
      </c>
      <c r="BE57" s="1" t="s">
        <v>7688</v>
      </c>
      <c r="BF57" s="1" t="s">
        <v>7689</v>
      </c>
      <c r="BG57" s="1" t="str">
        <f>HYPERLINK("http://dx.doi.org/10.1371/journal.pbio.3001527","http://dx.doi.org/10.1371/journal.pbio.3001527")</f>
        <v>http://dx.doi.org/10.1371/journal.pbio.3001527</v>
      </c>
      <c r="BH57" s="1" t="s">
        <v>1507</v>
      </c>
      <c r="BI57" s="1" t="s">
        <v>1507</v>
      </c>
      <c r="BJ57" s="1">
        <v>16</v>
      </c>
      <c r="BK57" s="1" t="s">
        <v>7690</v>
      </c>
      <c r="BL57" s="1" t="s">
        <v>1573</v>
      </c>
      <c r="BM57" s="1" t="s">
        <v>7691</v>
      </c>
      <c r="BN57" s="1" t="s">
        <v>7692</v>
      </c>
      <c r="BO57" s="1">
        <v>35089911</v>
      </c>
      <c r="BP57" s="1" t="s">
        <v>1674</v>
      </c>
      <c r="BQ57" s="1" t="s">
        <v>1507</v>
      </c>
      <c r="BR57" s="1" t="s">
        <v>1507</v>
      </c>
      <c r="BS57" s="1" t="s">
        <v>13744</v>
      </c>
      <c r="BT57" s="1" t="s">
        <v>7693</v>
      </c>
      <c r="BU57" s="1" t="str">
        <f>HYPERLINK("https%3A%2F%2Fwww.webofscience.com%2Fwos%2Fwoscc%2Ffull-record%2FWOS:000754811500001","View Full Record in Web of Science")</f>
        <v>View Full Record in Web of Science</v>
      </c>
    </row>
    <row r="58" spans="1:73" x14ac:dyDescent="0.25">
      <c r="A58" s="1">
        <v>64</v>
      </c>
      <c r="B58" s="1" t="s">
        <v>1506</v>
      </c>
      <c r="C58" s="1" t="s">
        <v>7426</v>
      </c>
      <c r="D58" s="1" t="s">
        <v>1507</v>
      </c>
      <c r="E58" s="1" t="s">
        <v>1507</v>
      </c>
      <c r="F58" s="1" t="s">
        <v>1507</v>
      </c>
      <c r="G58" s="1" t="s">
        <v>7427</v>
      </c>
      <c r="H58" s="1" t="s">
        <v>1507</v>
      </c>
      <c r="I58" s="1" t="s">
        <v>1507</v>
      </c>
      <c r="J58" s="1" t="s">
        <v>7428</v>
      </c>
      <c r="K58" s="1" t="s">
        <v>7429</v>
      </c>
      <c r="L58" s="1" t="s">
        <v>1507</v>
      </c>
      <c r="M58" s="1" t="s">
        <v>1507</v>
      </c>
      <c r="N58" s="1" t="s">
        <v>42</v>
      </c>
      <c r="O58" s="1" t="s">
        <v>56</v>
      </c>
      <c r="P58" s="1" t="s">
        <v>1507</v>
      </c>
      <c r="Q58" s="1" t="s">
        <v>1507</v>
      </c>
      <c r="R58" s="1" t="s">
        <v>1507</v>
      </c>
      <c r="S58" s="1" t="s">
        <v>1507</v>
      </c>
      <c r="T58" s="1" t="s">
        <v>1507</v>
      </c>
      <c r="U58" s="1" t="s">
        <v>7430</v>
      </c>
      <c r="V58" s="1" t="s">
        <v>1507</v>
      </c>
      <c r="W58" s="1" t="s">
        <v>7431</v>
      </c>
      <c r="X58" s="1" t="s">
        <v>7432</v>
      </c>
      <c r="Y58" s="1" t="s">
        <v>5613</v>
      </c>
      <c r="Z58" s="1" t="s">
        <v>7433</v>
      </c>
      <c r="AA58" s="1" t="s">
        <v>7434</v>
      </c>
      <c r="AB58" s="1" t="s">
        <v>15628</v>
      </c>
      <c r="AC58" s="1" t="s">
        <v>15629</v>
      </c>
      <c r="AD58" s="1" t="s">
        <v>7435</v>
      </c>
      <c r="AE58" s="1" t="s">
        <v>7436</v>
      </c>
      <c r="AF58" s="1" t="s">
        <v>7437</v>
      </c>
      <c r="AG58" s="1" t="s">
        <v>1507</v>
      </c>
      <c r="AH58" s="1">
        <v>29</v>
      </c>
      <c r="AI58" s="1">
        <v>5</v>
      </c>
      <c r="AJ58" s="1">
        <v>5</v>
      </c>
      <c r="AK58" s="1">
        <v>5</v>
      </c>
      <c r="AL58" s="1">
        <v>11</v>
      </c>
      <c r="AM58" s="1" t="s">
        <v>3385</v>
      </c>
      <c r="AN58" s="1" t="s">
        <v>3386</v>
      </c>
      <c r="AO58" s="1" t="s">
        <v>3387</v>
      </c>
      <c r="AP58" s="1" t="s">
        <v>7438</v>
      </c>
      <c r="AQ58" s="1" t="s">
        <v>1507</v>
      </c>
      <c r="AR58" s="1" t="s">
        <v>1507</v>
      </c>
      <c r="AS58" s="1" t="s">
        <v>7429</v>
      </c>
      <c r="AT58" s="1" t="s">
        <v>7439</v>
      </c>
      <c r="AU58" s="1" t="s">
        <v>5362</v>
      </c>
      <c r="AV58" s="1">
        <v>2022</v>
      </c>
      <c r="AW58" s="1">
        <v>87</v>
      </c>
      <c r="AX58" s="1">
        <v>3</v>
      </c>
      <c r="AY58" s="1" t="s">
        <v>1507</v>
      </c>
      <c r="AZ58" s="1" t="s">
        <v>1507</v>
      </c>
      <c r="BA58" s="1" t="s">
        <v>1507</v>
      </c>
      <c r="BB58" s="1" t="s">
        <v>1507</v>
      </c>
      <c r="BC58" s="1" t="s">
        <v>1507</v>
      </c>
      <c r="BD58" s="1" t="s">
        <v>1507</v>
      </c>
      <c r="BE58" s="1" t="s">
        <v>7440</v>
      </c>
      <c r="BF58" s="1" t="s">
        <v>7441</v>
      </c>
      <c r="BG58" s="1" t="str">
        <f>HYPERLINK("http://dx.doi.org/10.1002/cplu.202200049","http://dx.doi.org/10.1002/cplu.202200049")</f>
        <v>http://dx.doi.org/10.1002/cplu.202200049</v>
      </c>
      <c r="BH58" s="1" t="s">
        <v>1507</v>
      </c>
      <c r="BI58" s="1" t="s">
        <v>1507</v>
      </c>
      <c r="BJ58" s="1">
        <v>9</v>
      </c>
      <c r="BK58" s="1" t="s">
        <v>2634</v>
      </c>
      <c r="BL58" s="1" t="s">
        <v>1573</v>
      </c>
      <c r="BM58" s="1" t="s">
        <v>2380</v>
      </c>
      <c r="BN58" s="1" t="s">
        <v>7442</v>
      </c>
      <c r="BO58" s="1">
        <v>35324090</v>
      </c>
      <c r="BP58" s="1" t="s">
        <v>2309</v>
      </c>
      <c r="BQ58" s="1" t="s">
        <v>1507</v>
      </c>
      <c r="BR58" s="1" t="s">
        <v>1507</v>
      </c>
      <c r="BS58" s="1" t="s">
        <v>13744</v>
      </c>
      <c r="BT58" s="1" t="s">
        <v>7443</v>
      </c>
      <c r="BU58" s="1" t="str">
        <f>HYPERLINK("https%3A%2F%2Fwww.webofscience.com%2Fwos%2Fwoscc%2Ffull-record%2FWOS:000772496600001","View Full Record in Web of Science")</f>
        <v>View Full Record in Web of Science</v>
      </c>
    </row>
    <row r="59" spans="1:73" x14ac:dyDescent="0.25">
      <c r="A59" s="1">
        <v>65</v>
      </c>
      <c r="B59" s="1" t="s">
        <v>1506</v>
      </c>
      <c r="C59" s="1" t="s">
        <v>5496</v>
      </c>
      <c r="D59" s="1" t="s">
        <v>1507</v>
      </c>
      <c r="E59" s="1" t="s">
        <v>1507</v>
      </c>
      <c r="F59" s="1" t="s">
        <v>1507</v>
      </c>
      <c r="G59" s="1" t="s">
        <v>5497</v>
      </c>
      <c r="H59" s="1" t="s">
        <v>1507</v>
      </c>
      <c r="I59" s="1" t="s">
        <v>1507</v>
      </c>
      <c r="J59" s="1" t="s">
        <v>5498</v>
      </c>
      <c r="K59" s="1" t="s">
        <v>5499</v>
      </c>
      <c r="L59" s="1" t="s">
        <v>1507</v>
      </c>
      <c r="M59" s="1" t="s">
        <v>1507</v>
      </c>
      <c r="N59" s="1" t="s">
        <v>42</v>
      </c>
      <c r="O59" s="1" t="s">
        <v>56</v>
      </c>
      <c r="P59" s="1" t="s">
        <v>1507</v>
      </c>
      <c r="Q59" s="1" t="s">
        <v>1507</v>
      </c>
      <c r="R59" s="1" t="s">
        <v>1507</v>
      </c>
      <c r="S59" s="1" t="s">
        <v>1507</v>
      </c>
      <c r="T59" s="1" t="s">
        <v>1507</v>
      </c>
      <c r="U59" s="1" t="s">
        <v>5500</v>
      </c>
      <c r="V59" s="1" t="s">
        <v>5501</v>
      </c>
      <c r="W59" s="1" t="s">
        <v>5502</v>
      </c>
      <c r="X59" s="1" t="s">
        <v>5503</v>
      </c>
      <c r="Y59" s="1" t="s">
        <v>5504</v>
      </c>
      <c r="Z59" s="1" t="s">
        <v>5505</v>
      </c>
      <c r="AA59" s="1" t="s">
        <v>5506</v>
      </c>
      <c r="AB59" s="1" t="s">
        <v>14815</v>
      </c>
      <c r="AC59" s="1" t="s">
        <v>14816</v>
      </c>
      <c r="AD59" s="1" t="s">
        <v>5507</v>
      </c>
      <c r="AE59" s="1" t="s">
        <v>5508</v>
      </c>
      <c r="AF59" s="1" t="s">
        <v>5509</v>
      </c>
      <c r="AG59" s="1" t="s">
        <v>1507</v>
      </c>
      <c r="AH59" s="1">
        <v>40</v>
      </c>
      <c r="AI59" s="1">
        <v>0</v>
      </c>
      <c r="AJ59" s="1">
        <v>0</v>
      </c>
      <c r="AK59" s="1">
        <v>0</v>
      </c>
      <c r="AL59" s="1">
        <v>0</v>
      </c>
      <c r="AM59" s="1" t="s">
        <v>5510</v>
      </c>
      <c r="AN59" s="1" t="s">
        <v>1856</v>
      </c>
      <c r="AO59" s="1" t="s">
        <v>5511</v>
      </c>
      <c r="AP59" s="1" t="s">
        <v>1507</v>
      </c>
      <c r="AQ59" s="1" t="s">
        <v>5512</v>
      </c>
      <c r="AR59" s="1" t="s">
        <v>1507</v>
      </c>
      <c r="AS59" s="1" t="s">
        <v>5513</v>
      </c>
      <c r="AT59" s="1" t="s">
        <v>5514</v>
      </c>
      <c r="AU59" s="1" t="s">
        <v>5362</v>
      </c>
      <c r="AV59" s="1">
        <v>2023</v>
      </c>
      <c r="AW59" s="1">
        <v>8</v>
      </c>
      <c r="AX59" s="1">
        <v>1</v>
      </c>
      <c r="AY59" s="1" t="s">
        <v>1507</v>
      </c>
      <c r="AZ59" s="1" t="s">
        <v>1507</v>
      </c>
      <c r="BA59" s="1" t="s">
        <v>1507</v>
      </c>
      <c r="BB59" s="1" t="s">
        <v>1507</v>
      </c>
      <c r="BC59" s="1">
        <v>145</v>
      </c>
      <c r="BD59" s="1">
        <v>158</v>
      </c>
      <c r="BE59" s="1" t="s">
        <v>1507</v>
      </c>
      <c r="BF59" s="1" t="s">
        <v>5515</v>
      </c>
      <c r="BG59" s="1" t="str">
        <f>HYPERLINK("http://dx.doi.org/10.1016/j.idm.2022.12.005","http://dx.doi.org/10.1016/j.idm.2022.12.005")</f>
        <v>http://dx.doi.org/10.1016/j.idm.2022.12.005</v>
      </c>
      <c r="BH59" s="1" t="s">
        <v>1507</v>
      </c>
      <c r="BI59" s="1" t="s">
        <v>5446</v>
      </c>
      <c r="BJ59" s="1">
        <v>14</v>
      </c>
      <c r="BK59" s="1" t="s">
        <v>5516</v>
      </c>
      <c r="BL59" s="1" t="s">
        <v>1529</v>
      </c>
      <c r="BM59" s="1" t="s">
        <v>5516</v>
      </c>
      <c r="BN59" s="1" t="s">
        <v>5517</v>
      </c>
      <c r="BO59" s="1">
        <v>36589597</v>
      </c>
      <c r="BP59" s="1" t="s">
        <v>4312</v>
      </c>
      <c r="BQ59" s="1" t="s">
        <v>1507</v>
      </c>
      <c r="BR59" s="1" t="s">
        <v>1507</v>
      </c>
      <c r="BS59" s="1" t="s">
        <v>13744</v>
      </c>
      <c r="BT59" s="1" t="s">
        <v>5518</v>
      </c>
      <c r="BU59" s="1" t="str">
        <f>HYPERLINK("https%3A%2F%2Fwww.webofscience.com%2Fwos%2Fwoscc%2Ffull-record%2FWOS:000926629200001","View Full Record in Web of Science")</f>
        <v>View Full Record in Web of Science</v>
      </c>
    </row>
    <row r="60" spans="1:73" x14ac:dyDescent="0.25">
      <c r="A60" s="1">
        <v>66</v>
      </c>
      <c r="B60" s="1" t="s">
        <v>1506</v>
      </c>
      <c r="C60" s="1" t="s">
        <v>2175</v>
      </c>
      <c r="D60" s="1" t="s">
        <v>1507</v>
      </c>
      <c r="E60" s="1" t="s">
        <v>1507</v>
      </c>
      <c r="F60" s="1" t="s">
        <v>1507</v>
      </c>
      <c r="G60" s="1" t="s">
        <v>2176</v>
      </c>
      <c r="H60" s="1" t="s">
        <v>1507</v>
      </c>
      <c r="I60" s="1" t="s">
        <v>1507</v>
      </c>
      <c r="J60" s="1" t="s">
        <v>2177</v>
      </c>
      <c r="K60" s="1" t="s">
        <v>2178</v>
      </c>
      <c r="L60" s="1" t="s">
        <v>1507</v>
      </c>
      <c r="M60" s="1" t="s">
        <v>1507</v>
      </c>
      <c r="N60" s="1" t="s">
        <v>42</v>
      </c>
      <c r="O60" s="1" t="s">
        <v>56</v>
      </c>
      <c r="P60" s="1" t="s">
        <v>1507</v>
      </c>
      <c r="Q60" s="1" t="s">
        <v>1507</v>
      </c>
      <c r="R60" s="1" t="s">
        <v>1507</v>
      </c>
      <c r="S60" s="1" t="s">
        <v>1507</v>
      </c>
      <c r="T60" s="1" t="s">
        <v>1507</v>
      </c>
      <c r="U60" s="1" t="s">
        <v>2179</v>
      </c>
      <c r="V60" s="1" t="s">
        <v>2461</v>
      </c>
      <c r="W60" s="1" t="s">
        <v>2180</v>
      </c>
      <c r="X60" s="1" t="s">
        <v>2181</v>
      </c>
      <c r="Y60" s="1" t="s">
        <v>2182</v>
      </c>
      <c r="Z60" s="1" t="s">
        <v>2183</v>
      </c>
      <c r="AA60" s="1" t="s">
        <v>2184</v>
      </c>
      <c r="AB60" s="1" t="s">
        <v>1507</v>
      </c>
      <c r="AC60" s="1" t="s">
        <v>1507</v>
      </c>
      <c r="AD60" s="1" t="s">
        <v>2185</v>
      </c>
      <c r="AE60" s="1" t="s">
        <v>2185</v>
      </c>
      <c r="AF60" s="1" t="s">
        <v>2186</v>
      </c>
      <c r="AG60" s="1" t="s">
        <v>1507</v>
      </c>
      <c r="AH60" s="1">
        <v>44</v>
      </c>
      <c r="AI60" s="1">
        <v>0</v>
      </c>
      <c r="AJ60" s="1">
        <v>0</v>
      </c>
      <c r="AK60" s="1">
        <v>8</v>
      </c>
      <c r="AL60" s="1">
        <v>8</v>
      </c>
      <c r="AM60" s="1" t="s">
        <v>1511</v>
      </c>
      <c r="AN60" s="1" t="s">
        <v>1570</v>
      </c>
      <c r="AO60" s="1" t="s">
        <v>1571</v>
      </c>
      <c r="AP60" s="1" t="s">
        <v>2187</v>
      </c>
      <c r="AQ60" s="1" t="s">
        <v>2188</v>
      </c>
      <c r="AR60" s="1" t="s">
        <v>1507</v>
      </c>
      <c r="AS60" s="1" t="s">
        <v>2189</v>
      </c>
      <c r="AT60" s="1" t="s">
        <v>2190</v>
      </c>
      <c r="AU60" s="1" t="s">
        <v>2191</v>
      </c>
      <c r="AV60" s="1">
        <v>2023</v>
      </c>
      <c r="AW60" s="1">
        <v>109</v>
      </c>
      <c r="AX60" s="1">
        <v>4</v>
      </c>
      <c r="AY60" s="1" t="s">
        <v>1507</v>
      </c>
      <c r="AZ60" s="1" t="s">
        <v>1507</v>
      </c>
      <c r="BA60" s="1" t="s">
        <v>1507</v>
      </c>
      <c r="BB60" s="1" t="s">
        <v>1507</v>
      </c>
      <c r="BC60" s="1" t="s">
        <v>1507</v>
      </c>
      <c r="BD60" s="1" t="s">
        <v>1507</v>
      </c>
      <c r="BE60" s="1">
        <v>91</v>
      </c>
      <c r="BF60" s="1" t="s">
        <v>2192</v>
      </c>
      <c r="BG60" s="1" t="str">
        <f>HYPERLINK("http://dx.doi.org/10.1007/s10846-023-01991-3","http://dx.doi.org/10.1007/s10846-023-01991-3")</f>
        <v>http://dx.doi.org/10.1007/s10846-023-01991-3</v>
      </c>
      <c r="BH60" s="1" t="s">
        <v>1507</v>
      </c>
      <c r="BI60" s="1" t="s">
        <v>1507</v>
      </c>
      <c r="BJ60" s="1">
        <v>13</v>
      </c>
      <c r="BK60" s="1" t="s">
        <v>2193</v>
      </c>
      <c r="BL60" s="1" t="s">
        <v>1573</v>
      </c>
      <c r="BM60" s="1" t="s">
        <v>2194</v>
      </c>
      <c r="BN60" s="1" t="s">
        <v>2195</v>
      </c>
      <c r="BO60" s="1" t="s">
        <v>1507</v>
      </c>
      <c r="BP60" s="1" t="s">
        <v>1507</v>
      </c>
      <c r="BQ60" s="1" t="s">
        <v>1507</v>
      </c>
      <c r="BR60" s="1" t="s">
        <v>1507</v>
      </c>
      <c r="BS60" s="1" t="s">
        <v>13744</v>
      </c>
      <c r="BT60" s="1" t="s">
        <v>2196</v>
      </c>
      <c r="BU60" s="1" t="str">
        <f>HYPERLINK("https%3A%2F%2Fwww.webofscience.com%2Fwos%2Fwoscc%2Ffull-record%2FWOS:001117621200001","View Full Record in Web of Science")</f>
        <v>View Full Record in Web of Science</v>
      </c>
    </row>
    <row r="61" spans="1:73" x14ac:dyDescent="0.25">
      <c r="A61" s="1">
        <v>67</v>
      </c>
      <c r="B61" s="1" t="s">
        <v>1506</v>
      </c>
      <c r="C61" s="1" t="s">
        <v>11283</v>
      </c>
      <c r="D61" s="1" t="s">
        <v>1507</v>
      </c>
      <c r="E61" s="1" t="s">
        <v>1507</v>
      </c>
      <c r="F61" s="1" t="s">
        <v>1507</v>
      </c>
      <c r="G61" s="1" t="s">
        <v>11284</v>
      </c>
      <c r="H61" s="1" t="s">
        <v>1507</v>
      </c>
      <c r="I61" s="1" t="s">
        <v>1507</v>
      </c>
      <c r="J61" s="1" t="s">
        <v>11285</v>
      </c>
      <c r="K61" s="1" t="s">
        <v>11228</v>
      </c>
      <c r="L61" s="1" t="s">
        <v>1507</v>
      </c>
      <c r="M61" s="1" t="s">
        <v>1507</v>
      </c>
      <c r="N61" s="1" t="s">
        <v>42</v>
      </c>
      <c r="O61" s="1" t="s">
        <v>56</v>
      </c>
      <c r="P61" s="1" t="s">
        <v>1507</v>
      </c>
      <c r="Q61" s="1" t="s">
        <v>1507</v>
      </c>
      <c r="R61" s="1" t="s">
        <v>1507</v>
      </c>
      <c r="S61" s="1" t="s">
        <v>1507</v>
      </c>
      <c r="T61" s="1" t="s">
        <v>1507</v>
      </c>
      <c r="U61" s="1" t="s">
        <v>1507</v>
      </c>
      <c r="V61" s="1" t="s">
        <v>1507</v>
      </c>
      <c r="W61" s="1" t="s">
        <v>1507</v>
      </c>
      <c r="X61" s="1" t="s">
        <v>11286</v>
      </c>
      <c r="Y61" s="1" t="s">
        <v>5341</v>
      </c>
      <c r="Z61" s="1" t="s">
        <v>11287</v>
      </c>
      <c r="AA61" s="1" t="s">
        <v>11288</v>
      </c>
      <c r="AB61" s="1" t="s">
        <v>1507</v>
      </c>
      <c r="AC61" s="1" t="s">
        <v>1507</v>
      </c>
      <c r="AD61" s="1" t="s">
        <v>11289</v>
      </c>
      <c r="AE61" s="1" t="s">
        <v>11289</v>
      </c>
      <c r="AF61" s="1" t="s">
        <v>11290</v>
      </c>
      <c r="AG61" s="1" t="s">
        <v>1507</v>
      </c>
      <c r="AH61" s="1">
        <v>50</v>
      </c>
      <c r="AI61" s="1">
        <v>4</v>
      </c>
      <c r="AJ61" s="1">
        <v>4</v>
      </c>
      <c r="AK61" s="1">
        <v>0</v>
      </c>
      <c r="AL61" s="1">
        <v>0</v>
      </c>
      <c r="AM61" s="1" t="s">
        <v>11236</v>
      </c>
      <c r="AN61" s="1" t="s">
        <v>11237</v>
      </c>
      <c r="AO61" s="1" t="s">
        <v>11238</v>
      </c>
      <c r="AP61" s="1" t="s">
        <v>11239</v>
      </c>
      <c r="AQ61" s="1" t="s">
        <v>1507</v>
      </c>
      <c r="AR61" s="1" t="s">
        <v>1507</v>
      </c>
      <c r="AS61" s="1" t="s">
        <v>11240</v>
      </c>
      <c r="AT61" s="1" t="s">
        <v>11241</v>
      </c>
      <c r="AU61" s="1" t="s">
        <v>1507</v>
      </c>
      <c r="AV61" s="1">
        <v>2019</v>
      </c>
      <c r="AW61" s="1">
        <v>13</v>
      </c>
      <c r="AX61" s="1">
        <v>1</v>
      </c>
      <c r="AY61" s="1" t="s">
        <v>1507</v>
      </c>
      <c r="AZ61" s="1" t="s">
        <v>1507</v>
      </c>
      <c r="BA61" s="1" t="s">
        <v>1507</v>
      </c>
      <c r="BB61" s="1" t="s">
        <v>1507</v>
      </c>
      <c r="BC61" s="1">
        <v>27</v>
      </c>
      <c r="BD61" s="1">
        <v>71</v>
      </c>
      <c r="BE61" s="1" t="s">
        <v>1507</v>
      </c>
      <c r="BF61" s="1" t="s">
        <v>1507</v>
      </c>
      <c r="BG61" s="1" t="s">
        <v>1507</v>
      </c>
      <c r="BH61" s="1" t="s">
        <v>1507</v>
      </c>
      <c r="BI61" s="1" t="s">
        <v>1507</v>
      </c>
      <c r="BJ61" s="1">
        <v>45</v>
      </c>
      <c r="BK61" s="1" t="s">
        <v>1535</v>
      </c>
      <c r="BL61" s="1" t="s">
        <v>1529</v>
      </c>
      <c r="BM61" s="1" t="s">
        <v>1536</v>
      </c>
      <c r="BN61" s="1" t="s">
        <v>11291</v>
      </c>
      <c r="BO61" s="1" t="s">
        <v>1507</v>
      </c>
      <c r="BP61" s="1" t="s">
        <v>1507</v>
      </c>
      <c r="BQ61" s="1" t="s">
        <v>1507</v>
      </c>
      <c r="BR61" s="1" t="s">
        <v>1507</v>
      </c>
      <c r="BS61" s="1" t="s">
        <v>13744</v>
      </c>
      <c r="BT61" s="1" t="s">
        <v>11292</v>
      </c>
      <c r="BU61" s="1" t="str">
        <f>HYPERLINK("https%3A%2F%2Fwww.webofscience.com%2Fwos%2Fwoscc%2Ffull-record%2FWOS:000502789400002","View Full Record in Web of Science")</f>
        <v>View Full Record in Web of Science</v>
      </c>
    </row>
    <row r="62" spans="1:73" x14ac:dyDescent="0.25">
      <c r="A62" s="1">
        <v>69</v>
      </c>
      <c r="B62" s="1" t="s">
        <v>1506</v>
      </c>
      <c r="C62" s="1" t="s">
        <v>11293</v>
      </c>
      <c r="D62" s="1" t="s">
        <v>1507</v>
      </c>
      <c r="E62" s="1" t="s">
        <v>1507</v>
      </c>
      <c r="F62" s="1" t="s">
        <v>1507</v>
      </c>
      <c r="G62" s="1" t="s">
        <v>11294</v>
      </c>
      <c r="H62" s="1" t="s">
        <v>1507</v>
      </c>
      <c r="I62" s="1" t="s">
        <v>1507</v>
      </c>
      <c r="J62" s="1" t="s">
        <v>11295</v>
      </c>
      <c r="K62" s="1" t="s">
        <v>11296</v>
      </c>
      <c r="L62" s="1" t="s">
        <v>1507</v>
      </c>
      <c r="M62" s="1" t="s">
        <v>1507</v>
      </c>
      <c r="N62" s="1" t="s">
        <v>42</v>
      </c>
      <c r="O62" s="1" t="s">
        <v>56</v>
      </c>
      <c r="P62" s="1" t="s">
        <v>1507</v>
      </c>
      <c r="Q62" s="1" t="s">
        <v>1507</v>
      </c>
      <c r="R62" s="1" t="s">
        <v>1507</v>
      </c>
      <c r="S62" s="1" t="s">
        <v>1507</v>
      </c>
      <c r="T62" s="1" t="s">
        <v>1507</v>
      </c>
      <c r="U62" s="1" t="s">
        <v>11297</v>
      </c>
      <c r="V62" s="1" t="s">
        <v>11298</v>
      </c>
      <c r="W62" s="1" t="s">
        <v>11299</v>
      </c>
      <c r="X62" s="1" t="s">
        <v>11300</v>
      </c>
      <c r="Y62" s="1" t="s">
        <v>11301</v>
      </c>
      <c r="Z62" s="1" t="s">
        <v>11302</v>
      </c>
      <c r="AA62" s="1" t="s">
        <v>11303</v>
      </c>
      <c r="AB62" s="1" t="s">
        <v>1507</v>
      </c>
      <c r="AC62" s="1" t="s">
        <v>1507</v>
      </c>
      <c r="AD62" s="1" t="s">
        <v>1507</v>
      </c>
      <c r="AE62" s="1" t="s">
        <v>1507</v>
      </c>
      <c r="AF62" s="1" t="s">
        <v>1507</v>
      </c>
      <c r="AG62" s="1" t="s">
        <v>1507</v>
      </c>
      <c r="AH62" s="1">
        <v>38</v>
      </c>
      <c r="AI62" s="1">
        <v>1</v>
      </c>
      <c r="AJ62" s="1">
        <v>1</v>
      </c>
      <c r="AK62" s="1">
        <v>1</v>
      </c>
      <c r="AL62" s="1">
        <v>1</v>
      </c>
      <c r="AM62" s="1" t="s">
        <v>1555</v>
      </c>
      <c r="AN62" s="1" t="s">
        <v>1556</v>
      </c>
      <c r="AO62" s="1" t="s">
        <v>1557</v>
      </c>
      <c r="AP62" s="1" t="s">
        <v>11304</v>
      </c>
      <c r="AQ62" s="1" t="s">
        <v>11305</v>
      </c>
      <c r="AR62" s="1" t="s">
        <v>1507</v>
      </c>
      <c r="AS62" s="1" t="s">
        <v>11306</v>
      </c>
      <c r="AT62" s="1" t="s">
        <v>837</v>
      </c>
      <c r="AU62" s="1" t="s">
        <v>1507</v>
      </c>
      <c r="AV62" s="1">
        <v>2019</v>
      </c>
      <c r="AW62" s="1">
        <v>53</v>
      </c>
      <c r="AX62" s="1">
        <v>1</v>
      </c>
      <c r="AY62" s="1" t="s">
        <v>1507</v>
      </c>
      <c r="AZ62" s="1" t="s">
        <v>1507</v>
      </c>
      <c r="BA62" s="1" t="s">
        <v>1507</v>
      </c>
      <c r="BB62" s="1" t="s">
        <v>1507</v>
      </c>
      <c r="BC62" s="1">
        <v>70</v>
      </c>
      <c r="BD62" s="1">
        <v>89</v>
      </c>
      <c r="BE62" s="1" t="s">
        <v>1507</v>
      </c>
      <c r="BF62" s="1" t="s">
        <v>869</v>
      </c>
      <c r="BG62" s="1" t="str">
        <f>HYPERLINK("http://dx.doi.org/10.1080/03069400.2018.1489995","http://dx.doi.org/10.1080/03069400.2018.1489995")</f>
        <v>http://dx.doi.org/10.1080/03069400.2018.1489995</v>
      </c>
      <c r="BH62" s="1" t="s">
        <v>1507</v>
      </c>
      <c r="BI62" s="1" t="s">
        <v>1507</v>
      </c>
      <c r="BJ62" s="1">
        <v>20</v>
      </c>
      <c r="BK62" s="1" t="s">
        <v>1558</v>
      </c>
      <c r="BL62" s="1" t="s">
        <v>1529</v>
      </c>
      <c r="BM62" s="1" t="s">
        <v>1558</v>
      </c>
      <c r="BN62" s="1" t="s">
        <v>11307</v>
      </c>
      <c r="BO62" s="1" t="s">
        <v>1507</v>
      </c>
      <c r="BP62" s="1" t="s">
        <v>5957</v>
      </c>
      <c r="BQ62" s="1" t="s">
        <v>1507</v>
      </c>
      <c r="BR62" s="1" t="s">
        <v>1507</v>
      </c>
      <c r="BS62" s="1" t="s">
        <v>13744</v>
      </c>
      <c r="BT62" s="1" t="s">
        <v>11308</v>
      </c>
      <c r="BU62" s="1" t="str">
        <f>HYPERLINK("https%3A%2F%2Fwww.webofscience.com%2Fwos%2Fwoscc%2Ffull-record%2FWOS:000470653300004","View Full Record in Web of Science")</f>
        <v>View Full Record in Web of Science</v>
      </c>
    </row>
    <row r="63" spans="1:73" x14ac:dyDescent="0.25">
      <c r="A63" s="1">
        <v>71</v>
      </c>
      <c r="B63" s="1" t="s">
        <v>1506</v>
      </c>
      <c r="C63" s="1" t="s">
        <v>11046</v>
      </c>
      <c r="D63" s="1" t="s">
        <v>1507</v>
      </c>
      <c r="E63" s="1" t="s">
        <v>1507</v>
      </c>
      <c r="F63" s="1" t="s">
        <v>1507</v>
      </c>
      <c r="G63" s="1" t="s">
        <v>11047</v>
      </c>
      <c r="H63" s="1" t="s">
        <v>1507</v>
      </c>
      <c r="I63" s="1" t="s">
        <v>1507</v>
      </c>
      <c r="J63" s="1" t="s">
        <v>11048</v>
      </c>
      <c r="K63" s="1" t="s">
        <v>11049</v>
      </c>
      <c r="L63" s="1" t="s">
        <v>1507</v>
      </c>
      <c r="M63" s="1" t="s">
        <v>1507</v>
      </c>
      <c r="N63" s="1" t="s">
        <v>42</v>
      </c>
      <c r="O63" s="1" t="s">
        <v>56</v>
      </c>
      <c r="P63" s="1" t="s">
        <v>1507</v>
      </c>
      <c r="Q63" s="1" t="s">
        <v>1507</v>
      </c>
      <c r="R63" s="1" t="s">
        <v>1507</v>
      </c>
      <c r="S63" s="1" t="s">
        <v>1507</v>
      </c>
      <c r="T63" s="1" t="s">
        <v>1507</v>
      </c>
      <c r="U63" s="1" t="s">
        <v>11050</v>
      </c>
      <c r="V63" s="1" t="s">
        <v>11051</v>
      </c>
      <c r="W63" s="1" t="s">
        <v>11052</v>
      </c>
      <c r="X63" s="1" t="s">
        <v>11053</v>
      </c>
      <c r="Y63" s="1" t="s">
        <v>11054</v>
      </c>
      <c r="Z63" s="1" t="s">
        <v>11055</v>
      </c>
      <c r="AA63" s="1" t="s">
        <v>11056</v>
      </c>
      <c r="AB63" s="1" t="s">
        <v>1507</v>
      </c>
      <c r="AC63" s="1" t="s">
        <v>15933</v>
      </c>
      <c r="AD63" s="1" t="s">
        <v>11057</v>
      </c>
      <c r="AE63" s="1" t="s">
        <v>11058</v>
      </c>
      <c r="AF63" s="1" t="s">
        <v>11059</v>
      </c>
      <c r="AG63" s="1" t="s">
        <v>1507</v>
      </c>
      <c r="AH63" s="1">
        <v>81</v>
      </c>
      <c r="AI63" s="1">
        <v>18</v>
      </c>
      <c r="AJ63" s="1">
        <v>20</v>
      </c>
      <c r="AK63" s="1">
        <v>1</v>
      </c>
      <c r="AL63" s="1">
        <v>10</v>
      </c>
      <c r="AM63" s="1" t="s">
        <v>1559</v>
      </c>
      <c r="AN63" s="1" t="s">
        <v>1560</v>
      </c>
      <c r="AO63" s="1" t="s">
        <v>1561</v>
      </c>
      <c r="AP63" s="1" t="s">
        <v>11060</v>
      </c>
      <c r="AQ63" s="1" t="s">
        <v>1507</v>
      </c>
      <c r="AR63" s="1" t="s">
        <v>1507</v>
      </c>
      <c r="AS63" s="1" t="s">
        <v>11061</v>
      </c>
      <c r="AT63" s="1" t="s">
        <v>11062</v>
      </c>
      <c r="AU63" s="1" t="s">
        <v>5045</v>
      </c>
      <c r="AV63" s="1">
        <v>2019</v>
      </c>
      <c r="AW63" s="1">
        <v>9</v>
      </c>
      <c r="AX63" s="1">
        <v>10</v>
      </c>
      <c r="AY63" s="1" t="s">
        <v>1507</v>
      </c>
      <c r="AZ63" s="1" t="s">
        <v>1507</v>
      </c>
      <c r="BA63" s="1" t="s">
        <v>1507</v>
      </c>
      <c r="BB63" s="1" t="s">
        <v>1507</v>
      </c>
      <c r="BC63" s="1">
        <v>6082</v>
      </c>
      <c r="BD63" s="1">
        <v>6095</v>
      </c>
      <c r="BE63" s="1" t="s">
        <v>1507</v>
      </c>
      <c r="BF63" s="1" t="s">
        <v>11063</v>
      </c>
      <c r="BG63" s="1" t="str">
        <f>HYPERLINK("http://dx.doi.org/10.1002/ece3.5192","http://dx.doi.org/10.1002/ece3.5192")</f>
        <v>http://dx.doi.org/10.1002/ece3.5192</v>
      </c>
      <c r="BH63" s="1" t="s">
        <v>1507</v>
      </c>
      <c r="BI63" s="1" t="s">
        <v>1507</v>
      </c>
      <c r="BJ63" s="1">
        <v>14</v>
      </c>
      <c r="BK63" s="1" t="s">
        <v>11064</v>
      </c>
      <c r="BL63" s="1" t="s">
        <v>1573</v>
      </c>
      <c r="BM63" s="1" t="s">
        <v>11065</v>
      </c>
      <c r="BN63" s="1" t="s">
        <v>11066</v>
      </c>
      <c r="BO63" s="1">
        <v>31161020</v>
      </c>
      <c r="BP63" s="1" t="s">
        <v>1674</v>
      </c>
      <c r="BQ63" s="1" t="s">
        <v>1507</v>
      </c>
      <c r="BR63" s="1" t="s">
        <v>1507</v>
      </c>
      <c r="BS63" s="1" t="s">
        <v>13744</v>
      </c>
      <c r="BT63" s="1" t="s">
        <v>11067</v>
      </c>
      <c r="BU63" s="1" t="str">
        <f>HYPERLINK("https%3A%2F%2Fwww.webofscience.com%2Fwos%2Fwoscc%2Ffull-record%2FWOS:000470923500042","View Full Record in Web of Science")</f>
        <v>View Full Record in Web of Science</v>
      </c>
    </row>
    <row r="64" spans="1:73" x14ac:dyDescent="0.25">
      <c r="A64" s="1">
        <v>72</v>
      </c>
      <c r="B64" s="1" t="s">
        <v>1506</v>
      </c>
      <c r="C64" s="1" t="s">
        <v>3274</v>
      </c>
      <c r="D64" s="1" t="s">
        <v>1507</v>
      </c>
      <c r="E64" s="1" t="s">
        <v>1507</v>
      </c>
      <c r="F64" s="1" t="s">
        <v>1507</v>
      </c>
      <c r="G64" s="1" t="s">
        <v>3275</v>
      </c>
      <c r="H64" s="1" t="s">
        <v>1507</v>
      </c>
      <c r="I64" s="1" t="s">
        <v>1507</v>
      </c>
      <c r="J64" s="1" t="s">
        <v>3276</v>
      </c>
      <c r="K64" s="1" t="s">
        <v>3277</v>
      </c>
      <c r="L64" s="1" t="s">
        <v>1507</v>
      </c>
      <c r="M64" s="1" t="s">
        <v>1507</v>
      </c>
      <c r="N64" s="1" t="s">
        <v>42</v>
      </c>
      <c r="O64" s="1" t="s">
        <v>1509</v>
      </c>
      <c r="P64" s="1" t="s">
        <v>1507</v>
      </c>
      <c r="Q64" s="1" t="s">
        <v>1507</v>
      </c>
      <c r="R64" s="1" t="s">
        <v>1507</v>
      </c>
      <c r="S64" s="1" t="s">
        <v>1507</v>
      </c>
      <c r="T64" s="1" t="s">
        <v>1507</v>
      </c>
      <c r="U64" s="1" t="s">
        <v>3278</v>
      </c>
      <c r="V64" s="1" t="s">
        <v>1507</v>
      </c>
      <c r="W64" s="1" t="s">
        <v>3279</v>
      </c>
      <c r="X64" s="1" t="s">
        <v>3280</v>
      </c>
      <c r="Y64" s="1" t="s">
        <v>3281</v>
      </c>
      <c r="Z64" s="1" t="s">
        <v>3282</v>
      </c>
      <c r="AA64" s="1" t="s">
        <v>3283</v>
      </c>
      <c r="AB64" s="1" t="s">
        <v>1507</v>
      </c>
      <c r="AC64" s="1" t="s">
        <v>1507</v>
      </c>
      <c r="AD64" s="1" t="s">
        <v>3281</v>
      </c>
      <c r="AE64" s="1" t="s">
        <v>3281</v>
      </c>
      <c r="AF64" s="1" t="s">
        <v>3284</v>
      </c>
      <c r="AG64" s="1" t="s">
        <v>1507</v>
      </c>
      <c r="AH64" s="1">
        <v>16</v>
      </c>
      <c r="AI64" s="1">
        <v>1</v>
      </c>
      <c r="AJ64" s="1">
        <v>1</v>
      </c>
      <c r="AK64" s="1">
        <v>10</v>
      </c>
      <c r="AL64" s="1">
        <v>10</v>
      </c>
      <c r="AM64" s="1" t="s">
        <v>1511</v>
      </c>
      <c r="AN64" s="1" t="s">
        <v>1570</v>
      </c>
      <c r="AO64" s="1" t="s">
        <v>1571</v>
      </c>
      <c r="AP64" s="1" t="s">
        <v>3285</v>
      </c>
      <c r="AQ64" s="1" t="s">
        <v>3286</v>
      </c>
      <c r="AR64" s="1" t="s">
        <v>1507</v>
      </c>
      <c r="AS64" s="1" t="s">
        <v>3287</v>
      </c>
      <c r="AT64" s="1" t="s">
        <v>3288</v>
      </c>
      <c r="AU64" s="1" t="s">
        <v>3289</v>
      </c>
      <c r="AV64" s="1">
        <v>2023</v>
      </c>
      <c r="AW64" s="1" t="s">
        <v>1507</v>
      </c>
      <c r="AX64" s="1" t="s">
        <v>1507</v>
      </c>
      <c r="AY64" s="1" t="s">
        <v>1507</v>
      </c>
      <c r="AZ64" s="1" t="s">
        <v>1507</v>
      </c>
      <c r="BA64" s="1" t="s">
        <v>1507</v>
      </c>
      <c r="BB64" s="1" t="s">
        <v>1507</v>
      </c>
      <c r="BC64" s="1" t="s">
        <v>1507</v>
      </c>
      <c r="BD64" s="1" t="s">
        <v>1507</v>
      </c>
      <c r="BE64" s="1" t="s">
        <v>1507</v>
      </c>
      <c r="BF64" s="1" t="s">
        <v>3290</v>
      </c>
      <c r="BG64" s="1" t="str">
        <f>HYPERLINK("http://dx.doi.org/10.1007/s10472-023-09894-7","http://dx.doi.org/10.1007/s10472-023-09894-7")</f>
        <v>http://dx.doi.org/10.1007/s10472-023-09894-7</v>
      </c>
      <c r="BH64" s="1" t="s">
        <v>1507</v>
      </c>
      <c r="BI64" s="1" t="s">
        <v>2891</v>
      </c>
      <c r="BJ64" s="1">
        <v>21</v>
      </c>
      <c r="BK64" s="1" t="s">
        <v>3291</v>
      </c>
      <c r="BL64" s="1" t="s">
        <v>1573</v>
      </c>
      <c r="BM64" s="1" t="s">
        <v>3292</v>
      </c>
      <c r="BN64" s="1" t="s">
        <v>3293</v>
      </c>
      <c r="BO64" s="1" t="s">
        <v>1507</v>
      </c>
      <c r="BP64" s="1" t="s">
        <v>1537</v>
      </c>
      <c r="BQ64" s="1" t="s">
        <v>1507</v>
      </c>
      <c r="BR64" s="1" t="s">
        <v>1507</v>
      </c>
      <c r="BS64" s="1" t="s">
        <v>13744</v>
      </c>
      <c r="BT64" s="1" t="s">
        <v>3294</v>
      </c>
      <c r="BU64" s="1" t="str">
        <f>HYPERLINK("https%3A%2F%2Fwww.webofscience.com%2Fwos%2Fwoscc%2Ffull-record%2FWOS:001080562200001","View Full Record in Web of Science")</f>
        <v>View Full Record in Web of Science</v>
      </c>
    </row>
    <row r="65" spans="1:73" x14ac:dyDescent="0.25">
      <c r="A65" s="1">
        <v>73</v>
      </c>
      <c r="B65" s="1" t="s">
        <v>1506</v>
      </c>
      <c r="C65" s="1" t="s">
        <v>7321</v>
      </c>
      <c r="D65" s="1" t="s">
        <v>1507</v>
      </c>
      <c r="E65" s="1" t="s">
        <v>1507</v>
      </c>
      <c r="F65" s="1" t="s">
        <v>1507</v>
      </c>
      <c r="G65" s="1" t="s">
        <v>7322</v>
      </c>
      <c r="H65" s="1" t="s">
        <v>1507</v>
      </c>
      <c r="I65" s="1" t="s">
        <v>1507</v>
      </c>
      <c r="J65" s="1" t="s">
        <v>7323</v>
      </c>
      <c r="K65" s="1" t="s">
        <v>3922</v>
      </c>
      <c r="L65" s="1" t="s">
        <v>1507</v>
      </c>
      <c r="M65" s="1" t="s">
        <v>1507</v>
      </c>
      <c r="N65" s="1" t="s">
        <v>42</v>
      </c>
      <c r="O65" s="1" t="s">
        <v>56</v>
      </c>
      <c r="P65" s="1" t="s">
        <v>1507</v>
      </c>
      <c r="Q65" s="1" t="s">
        <v>1507</v>
      </c>
      <c r="R65" s="1" t="s">
        <v>1507</v>
      </c>
      <c r="S65" s="1" t="s">
        <v>1507</v>
      </c>
      <c r="T65" s="1" t="s">
        <v>1507</v>
      </c>
      <c r="U65" s="1" t="s">
        <v>1507</v>
      </c>
      <c r="V65" s="1" t="s">
        <v>7324</v>
      </c>
      <c r="W65" s="1" t="s">
        <v>7325</v>
      </c>
      <c r="X65" s="1" t="s">
        <v>7326</v>
      </c>
      <c r="Y65" s="1" t="s">
        <v>15621</v>
      </c>
      <c r="Z65" s="1" t="s">
        <v>7327</v>
      </c>
      <c r="AA65" s="1" t="s">
        <v>7328</v>
      </c>
      <c r="AB65" s="1" t="s">
        <v>7329</v>
      </c>
      <c r="AC65" s="1" t="s">
        <v>7330</v>
      </c>
      <c r="AD65" s="1" t="s">
        <v>7331</v>
      </c>
      <c r="AE65" s="1" t="s">
        <v>7332</v>
      </c>
      <c r="AF65" s="1" t="s">
        <v>7333</v>
      </c>
      <c r="AG65" s="1" t="s">
        <v>1507</v>
      </c>
      <c r="AH65" s="1">
        <v>60</v>
      </c>
      <c r="AI65" s="1">
        <v>4</v>
      </c>
      <c r="AJ65" s="1">
        <v>4</v>
      </c>
      <c r="AK65" s="1">
        <v>0</v>
      </c>
      <c r="AL65" s="1">
        <v>3</v>
      </c>
      <c r="AM65" s="1" t="s">
        <v>3766</v>
      </c>
      <c r="AN65" s="1" t="s">
        <v>2300</v>
      </c>
      <c r="AO65" s="1" t="s">
        <v>3767</v>
      </c>
      <c r="AP65" s="1" t="s">
        <v>3932</v>
      </c>
      <c r="AQ65" s="1" t="s">
        <v>1507</v>
      </c>
      <c r="AR65" s="1" t="s">
        <v>1507</v>
      </c>
      <c r="AS65" s="1" t="s">
        <v>3933</v>
      </c>
      <c r="AT65" s="1" t="s">
        <v>3934</v>
      </c>
      <c r="AU65" s="1" t="s">
        <v>5201</v>
      </c>
      <c r="AV65" s="1">
        <v>2022</v>
      </c>
      <c r="AW65" s="1">
        <v>8</v>
      </c>
      <c r="AX65" s="1">
        <v>14</v>
      </c>
      <c r="AY65" s="1" t="s">
        <v>1507</v>
      </c>
      <c r="AZ65" s="1" t="s">
        <v>1507</v>
      </c>
      <c r="BA65" s="1" t="s">
        <v>1507</v>
      </c>
      <c r="BB65" s="1" t="s">
        <v>1507</v>
      </c>
      <c r="BC65" s="1" t="s">
        <v>1507</v>
      </c>
      <c r="BD65" s="1" t="s">
        <v>1507</v>
      </c>
      <c r="BE65" s="1" t="s">
        <v>7334</v>
      </c>
      <c r="BF65" s="1" t="s">
        <v>7335</v>
      </c>
      <c r="BG65" s="1" t="str">
        <f>HYPERLINK("http://dx.doi.org/10.1126/sciadv.abl5209","http://dx.doi.org/10.1126/sciadv.abl5209")</f>
        <v>http://dx.doi.org/10.1126/sciadv.abl5209</v>
      </c>
      <c r="BH65" s="1" t="s">
        <v>1507</v>
      </c>
      <c r="BI65" s="1" t="s">
        <v>1507</v>
      </c>
      <c r="BJ65" s="1">
        <v>15</v>
      </c>
      <c r="BK65" s="1" t="s">
        <v>1776</v>
      </c>
      <c r="BL65" s="1" t="s">
        <v>1573</v>
      </c>
      <c r="BM65" s="1" t="s">
        <v>1777</v>
      </c>
      <c r="BN65" s="1" t="s">
        <v>7336</v>
      </c>
      <c r="BO65" s="1">
        <v>35385318</v>
      </c>
      <c r="BP65" s="1" t="s">
        <v>5071</v>
      </c>
      <c r="BQ65" s="1" t="s">
        <v>1507</v>
      </c>
      <c r="BR65" s="1" t="s">
        <v>1507</v>
      </c>
      <c r="BS65" s="1" t="s">
        <v>13744</v>
      </c>
      <c r="BT65" s="1" t="s">
        <v>7337</v>
      </c>
      <c r="BU65" s="1" t="str">
        <f>HYPERLINK("https%3A%2F%2Fwww.webofscience.com%2Fwos%2Fwoscc%2Ffull-record%2FWOS:000778897800019","View Full Record in Web of Science")</f>
        <v>View Full Record in Web of Science</v>
      </c>
    </row>
    <row r="66" spans="1:73" x14ac:dyDescent="0.25">
      <c r="A66" s="1">
        <v>74</v>
      </c>
      <c r="B66" s="1" t="s">
        <v>1506</v>
      </c>
      <c r="C66" s="1" t="s">
        <v>4510</v>
      </c>
      <c r="D66" s="1" t="s">
        <v>1507</v>
      </c>
      <c r="E66" s="1" t="s">
        <v>1507</v>
      </c>
      <c r="F66" s="1" t="s">
        <v>1507</v>
      </c>
      <c r="G66" s="1" t="s">
        <v>4511</v>
      </c>
      <c r="H66" s="1" t="s">
        <v>1507</v>
      </c>
      <c r="I66" s="1" t="s">
        <v>1507</v>
      </c>
      <c r="J66" s="1" t="s">
        <v>405</v>
      </c>
      <c r="K66" s="1" t="s">
        <v>4512</v>
      </c>
      <c r="L66" s="1" t="s">
        <v>1507</v>
      </c>
      <c r="M66" s="1" t="s">
        <v>1507</v>
      </c>
      <c r="N66" s="1" t="s">
        <v>42</v>
      </c>
      <c r="O66" s="1" t="s">
        <v>56</v>
      </c>
      <c r="P66" s="1" t="s">
        <v>1507</v>
      </c>
      <c r="Q66" s="1" t="s">
        <v>1507</v>
      </c>
      <c r="R66" s="1" t="s">
        <v>1507</v>
      </c>
      <c r="S66" s="1" t="s">
        <v>1507</v>
      </c>
      <c r="T66" s="1" t="s">
        <v>1507</v>
      </c>
      <c r="U66" s="1" t="s">
        <v>4513</v>
      </c>
      <c r="V66" s="1" t="s">
        <v>4514</v>
      </c>
      <c r="W66" s="1" t="s">
        <v>4515</v>
      </c>
      <c r="X66" s="1" t="s">
        <v>4516</v>
      </c>
      <c r="Y66" s="1" t="s">
        <v>4517</v>
      </c>
      <c r="Z66" s="1" t="s">
        <v>4518</v>
      </c>
      <c r="AA66" s="1" t="s">
        <v>4519</v>
      </c>
      <c r="AB66" s="1" t="s">
        <v>4520</v>
      </c>
      <c r="AC66" s="1" t="s">
        <v>4521</v>
      </c>
      <c r="AD66" s="1" t="s">
        <v>1507</v>
      </c>
      <c r="AE66" s="1" t="s">
        <v>1507</v>
      </c>
      <c r="AF66" s="1" t="s">
        <v>1507</v>
      </c>
      <c r="AG66" s="1" t="s">
        <v>1507</v>
      </c>
      <c r="AH66" s="1">
        <v>57</v>
      </c>
      <c r="AI66" s="1">
        <v>2</v>
      </c>
      <c r="AJ66" s="1">
        <v>2</v>
      </c>
      <c r="AK66" s="1">
        <v>9</v>
      </c>
      <c r="AL66" s="1">
        <v>10</v>
      </c>
      <c r="AM66" s="1" t="s">
        <v>1511</v>
      </c>
      <c r="AN66" s="1" t="s">
        <v>1512</v>
      </c>
      <c r="AO66" s="1" t="s">
        <v>1513</v>
      </c>
      <c r="AP66" s="1" t="s">
        <v>1507</v>
      </c>
      <c r="AQ66" s="1" t="s">
        <v>4522</v>
      </c>
      <c r="AR66" s="1" t="s">
        <v>1507</v>
      </c>
      <c r="AS66" s="1" t="s">
        <v>4523</v>
      </c>
      <c r="AT66" s="1" t="s">
        <v>4524</v>
      </c>
      <c r="AU66" s="1" t="s">
        <v>4525</v>
      </c>
      <c r="AV66" s="1">
        <v>2023</v>
      </c>
      <c r="AW66" s="1">
        <v>8</v>
      </c>
      <c r="AX66" s="1">
        <v>1</v>
      </c>
      <c r="AY66" s="1" t="s">
        <v>1507</v>
      </c>
      <c r="AZ66" s="1" t="s">
        <v>1507</v>
      </c>
      <c r="BA66" s="1" t="s">
        <v>1507</v>
      </c>
      <c r="BB66" s="1" t="s">
        <v>1507</v>
      </c>
      <c r="BC66" s="1" t="s">
        <v>1507</v>
      </c>
      <c r="BD66" s="1" t="s">
        <v>1507</v>
      </c>
      <c r="BE66" s="1">
        <v>20</v>
      </c>
      <c r="BF66" s="1" t="s">
        <v>407</v>
      </c>
      <c r="BG66" s="1" t="str">
        <f>HYPERLINK("http://dx.doi.org/10.1186/s40862-023-00194-5","http://dx.doi.org/10.1186/s40862-023-00194-5")</f>
        <v>http://dx.doi.org/10.1186/s40862-023-00194-5</v>
      </c>
      <c r="BH66" s="1" t="s">
        <v>1507</v>
      </c>
      <c r="BI66" s="1" t="s">
        <v>1507</v>
      </c>
      <c r="BJ66" s="1">
        <v>22</v>
      </c>
      <c r="BK66" s="1" t="s">
        <v>4526</v>
      </c>
      <c r="BL66" s="1" t="s">
        <v>1529</v>
      </c>
      <c r="BM66" s="1" t="s">
        <v>4526</v>
      </c>
      <c r="BN66" s="1" t="s">
        <v>4527</v>
      </c>
      <c r="BO66" s="1" t="s">
        <v>1507</v>
      </c>
      <c r="BP66" s="1" t="s">
        <v>1531</v>
      </c>
      <c r="BQ66" s="1" t="s">
        <v>1507</v>
      </c>
      <c r="BR66" s="1" t="s">
        <v>1507</v>
      </c>
      <c r="BS66" s="1" t="s">
        <v>13744</v>
      </c>
      <c r="BT66" s="1" t="s">
        <v>4528</v>
      </c>
      <c r="BU66" s="1" t="str">
        <f>HYPERLINK("https%3A%2F%2Fwww.webofscience.com%2Fwos%2Fwoscc%2Ffull-record%2FWOS:001022419300001","View Full Record in Web of Science")</f>
        <v>View Full Record in Web of Science</v>
      </c>
    </row>
    <row r="67" spans="1:73" x14ac:dyDescent="0.25">
      <c r="A67" s="1">
        <v>75</v>
      </c>
      <c r="B67" s="1" t="s">
        <v>1506</v>
      </c>
      <c r="C67" s="1" t="s">
        <v>4510</v>
      </c>
      <c r="D67" s="1" t="s">
        <v>1507</v>
      </c>
      <c r="E67" s="1" t="s">
        <v>1507</v>
      </c>
      <c r="F67" s="1" t="s">
        <v>1507</v>
      </c>
      <c r="G67" s="1" t="s">
        <v>4511</v>
      </c>
      <c r="H67" s="1" t="s">
        <v>1507</v>
      </c>
      <c r="I67" s="1" t="s">
        <v>1507</v>
      </c>
      <c r="J67" s="1" t="s">
        <v>8176</v>
      </c>
      <c r="K67" s="1" t="s">
        <v>5077</v>
      </c>
      <c r="L67" s="1" t="s">
        <v>1507</v>
      </c>
      <c r="M67" s="1" t="s">
        <v>1507</v>
      </c>
      <c r="N67" s="1" t="s">
        <v>42</v>
      </c>
      <c r="O67" s="1" t="s">
        <v>56</v>
      </c>
      <c r="P67" s="1" t="s">
        <v>1507</v>
      </c>
      <c r="Q67" s="1" t="s">
        <v>1507</v>
      </c>
      <c r="R67" s="1" t="s">
        <v>1507</v>
      </c>
      <c r="S67" s="1" t="s">
        <v>1507</v>
      </c>
      <c r="T67" s="1" t="s">
        <v>1507</v>
      </c>
      <c r="U67" s="1" t="s">
        <v>8177</v>
      </c>
      <c r="V67" s="1" t="s">
        <v>8178</v>
      </c>
      <c r="W67" s="1" t="s">
        <v>8179</v>
      </c>
      <c r="X67" s="1" t="s">
        <v>8180</v>
      </c>
      <c r="Y67" s="1" t="s">
        <v>8181</v>
      </c>
      <c r="Z67" s="1" t="s">
        <v>8182</v>
      </c>
      <c r="AA67" s="1" t="s">
        <v>8183</v>
      </c>
      <c r="AB67" s="1" t="s">
        <v>4520</v>
      </c>
      <c r="AC67" s="1" t="s">
        <v>4521</v>
      </c>
      <c r="AD67" s="1" t="s">
        <v>1507</v>
      </c>
      <c r="AE67" s="1" t="s">
        <v>1507</v>
      </c>
      <c r="AF67" s="1" t="s">
        <v>1507</v>
      </c>
      <c r="AG67" s="1" t="s">
        <v>1507</v>
      </c>
      <c r="AH67" s="1">
        <v>84</v>
      </c>
      <c r="AI67" s="1">
        <v>14</v>
      </c>
      <c r="AJ67" s="1">
        <v>14</v>
      </c>
      <c r="AK67" s="1">
        <v>7</v>
      </c>
      <c r="AL67" s="1">
        <v>56</v>
      </c>
      <c r="AM67" s="1" t="s">
        <v>1586</v>
      </c>
      <c r="AN67" s="1" t="s">
        <v>1583</v>
      </c>
      <c r="AO67" s="1" t="s">
        <v>3684</v>
      </c>
      <c r="AP67" s="1" t="s">
        <v>8184</v>
      </c>
      <c r="AQ67" s="1" t="s">
        <v>8185</v>
      </c>
      <c r="AR67" s="1" t="s">
        <v>1507</v>
      </c>
      <c r="AS67" s="1" t="s">
        <v>5077</v>
      </c>
      <c r="AT67" s="1" t="s">
        <v>1016</v>
      </c>
      <c r="AU67" s="1" t="s">
        <v>2191</v>
      </c>
      <c r="AV67" s="1">
        <v>2021</v>
      </c>
      <c r="AW67" s="1">
        <v>103</v>
      </c>
      <c r="AX67" s="1" t="s">
        <v>1507</v>
      </c>
      <c r="AY67" s="1" t="s">
        <v>1507</v>
      </c>
      <c r="AZ67" s="1" t="s">
        <v>1507</v>
      </c>
      <c r="BA67" s="1" t="s">
        <v>1507</v>
      </c>
      <c r="BB67" s="1" t="s">
        <v>1507</v>
      </c>
      <c r="BC67" s="1" t="s">
        <v>1507</v>
      </c>
      <c r="BD67" s="1" t="s">
        <v>1507</v>
      </c>
      <c r="BE67" s="1">
        <v>102645</v>
      </c>
      <c r="BF67" s="1" t="s">
        <v>1017</v>
      </c>
      <c r="BG67" s="1" t="str">
        <f>HYPERLINK("http://dx.doi.org/10.1016/j.system.2021.102645","http://dx.doi.org/10.1016/j.system.2021.102645")</f>
        <v>http://dx.doi.org/10.1016/j.system.2021.102645</v>
      </c>
      <c r="BH67" s="1" t="s">
        <v>1507</v>
      </c>
      <c r="BI67" s="1" t="s">
        <v>8170</v>
      </c>
      <c r="BJ67" s="1">
        <v>15</v>
      </c>
      <c r="BK67" s="1" t="s">
        <v>4526</v>
      </c>
      <c r="BL67" s="1" t="s">
        <v>1518</v>
      </c>
      <c r="BM67" s="1" t="s">
        <v>4526</v>
      </c>
      <c r="BN67" s="1" t="s">
        <v>8186</v>
      </c>
      <c r="BO67" s="1" t="s">
        <v>1507</v>
      </c>
      <c r="BP67" s="1" t="s">
        <v>4214</v>
      </c>
      <c r="BQ67" s="1" t="s">
        <v>1507</v>
      </c>
      <c r="BR67" s="1" t="s">
        <v>1507</v>
      </c>
      <c r="BS67" s="1" t="s">
        <v>13744</v>
      </c>
      <c r="BT67" s="1" t="s">
        <v>8187</v>
      </c>
      <c r="BU67" s="1" t="str">
        <f>HYPERLINK("https%3A%2F%2Fwww.webofscience.com%2Fwos%2Fwoscc%2Ffull-record%2FWOS:000697046100001","View Full Record in Web of Science")</f>
        <v>View Full Record in Web of Science</v>
      </c>
    </row>
    <row r="68" spans="1:73" x14ac:dyDescent="0.25">
      <c r="A68" s="1">
        <v>76</v>
      </c>
      <c r="B68" s="1" t="s">
        <v>11902</v>
      </c>
      <c r="C68" s="1" t="s">
        <v>11903</v>
      </c>
      <c r="D68" s="1" t="s">
        <v>1507</v>
      </c>
      <c r="E68" s="1" t="s">
        <v>11904</v>
      </c>
      <c r="F68" s="1" t="s">
        <v>1507</v>
      </c>
      <c r="G68" s="1" t="s">
        <v>11905</v>
      </c>
      <c r="H68" s="1" t="s">
        <v>1507</v>
      </c>
      <c r="I68" s="1" t="s">
        <v>1507</v>
      </c>
      <c r="J68" s="1" t="s">
        <v>11906</v>
      </c>
      <c r="K68" s="1" t="s">
        <v>11907</v>
      </c>
      <c r="L68" s="1" t="s">
        <v>11908</v>
      </c>
      <c r="M68" s="1" t="s">
        <v>1507</v>
      </c>
      <c r="N68" s="1" t="s">
        <v>42</v>
      </c>
      <c r="O68" s="1" t="s">
        <v>5888</v>
      </c>
      <c r="P68" s="1" t="s">
        <v>1507</v>
      </c>
      <c r="Q68" s="1" t="s">
        <v>1507</v>
      </c>
      <c r="R68" s="1" t="s">
        <v>1507</v>
      </c>
      <c r="S68" s="1" t="s">
        <v>1507</v>
      </c>
      <c r="T68" s="1" t="s">
        <v>1507</v>
      </c>
      <c r="U68" s="1" t="s">
        <v>1507</v>
      </c>
      <c r="V68" s="1" t="s">
        <v>1507</v>
      </c>
      <c r="W68" s="1" t="s">
        <v>1507</v>
      </c>
      <c r="X68" s="1" t="s">
        <v>11909</v>
      </c>
      <c r="Y68" s="1" t="s">
        <v>11910</v>
      </c>
      <c r="Z68" s="1" t="s">
        <v>11911</v>
      </c>
      <c r="AA68" s="1" t="s">
        <v>11912</v>
      </c>
      <c r="AB68" s="1" t="s">
        <v>11913</v>
      </c>
      <c r="AC68" s="1" t="s">
        <v>11914</v>
      </c>
      <c r="AD68" s="1" t="s">
        <v>1507</v>
      </c>
      <c r="AE68" s="1" t="s">
        <v>1507</v>
      </c>
      <c r="AF68" s="1" t="s">
        <v>1507</v>
      </c>
      <c r="AG68" s="1" t="s">
        <v>1507</v>
      </c>
      <c r="AH68" s="1">
        <v>20</v>
      </c>
      <c r="AI68" s="1">
        <v>2</v>
      </c>
      <c r="AJ68" s="1">
        <v>2</v>
      </c>
      <c r="AK68" s="1">
        <v>0</v>
      </c>
      <c r="AL68" s="1">
        <v>1</v>
      </c>
      <c r="AM68" s="1" t="s">
        <v>11915</v>
      </c>
      <c r="AN68" s="1" t="s">
        <v>1592</v>
      </c>
      <c r="AO68" s="1" t="s">
        <v>11916</v>
      </c>
      <c r="AP68" s="1" t="s">
        <v>11917</v>
      </c>
      <c r="AQ68" s="1" t="s">
        <v>1507</v>
      </c>
      <c r="AR68" s="1" t="s">
        <v>11918</v>
      </c>
      <c r="AS68" s="1" t="s">
        <v>11919</v>
      </c>
      <c r="AT68" s="1" t="s">
        <v>1507</v>
      </c>
      <c r="AU68" s="1" t="s">
        <v>1507</v>
      </c>
      <c r="AV68" s="1">
        <v>2018</v>
      </c>
      <c r="AW68" s="1" t="s">
        <v>1507</v>
      </c>
      <c r="AX68" s="1" t="s">
        <v>1507</v>
      </c>
      <c r="AY68" s="1" t="s">
        <v>1507</v>
      </c>
      <c r="AZ68" s="1" t="s">
        <v>1507</v>
      </c>
      <c r="BA68" s="1" t="s">
        <v>1507</v>
      </c>
      <c r="BB68" s="1" t="s">
        <v>1507</v>
      </c>
      <c r="BC68" s="1">
        <v>241</v>
      </c>
      <c r="BD68" s="1">
        <v>255</v>
      </c>
      <c r="BE68" s="1" t="s">
        <v>1507</v>
      </c>
      <c r="BF68" s="1" t="s">
        <v>11920</v>
      </c>
      <c r="BG68" s="1" t="str">
        <f>HYPERLINK("http://dx.doi.org/10.1007/978-3-319-70479-1_15","http://dx.doi.org/10.1007/978-3-319-70479-1_15")</f>
        <v>http://dx.doi.org/10.1007/978-3-319-70479-1_15</v>
      </c>
      <c r="BH68" s="1" t="s">
        <v>11921</v>
      </c>
      <c r="BI68" s="1" t="s">
        <v>1507</v>
      </c>
      <c r="BJ68" s="1">
        <v>15</v>
      </c>
      <c r="BK68" s="1" t="s">
        <v>11922</v>
      </c>
      <c r="BL68" s="1" t="s">
        <v>5899</v>
      </c>
      <c r="BM68" s="1" t="s">
        <v>11923</v>
      </c>
      <c r="BN68" s="1" t="s">
        <v>11924</v>
      </c>
      <c r="BO68" s="1" t="s">
        <v>1507</v>
      </c>
      <c r="BP68" s="1" t="s">
        <v>1507</v>
      </c>
      <c r="BQ68" s="1" t="s">
        <v>1507</v>
      </c>
      <c r="BR68" s="1" t="s">
        <v>1507</v>
      </c>
      <c r="BS68" s="1" t="s">
        <v>13744</v>
      </c>
      <c r="BT68" s="1" t="s">
        <v>11925</v>
      </c>
      <c r="BU68" s="1" t="str">
        <f>HYPERLINK("https%3A%2F%2Fwww.webofscience.com%2Fwos%2Fwoscc%2Ffull-record%2FWOS:000446842600016","View Full Record in Web of Science")</f>
        <v>View Full Record in Web of Science</v>
      </c>
    </row>
    <row r="69" spans="1:73" x14ac:dyDescent="0.25">
      <c r="A69" s="1">
        <v>77</v>
      </c>
      <c r="B69" s="1" t="s">
        <v>1506</v>
      </c>
      <c r="C69" s="1" t="s">
        <v>6695</v>
      </c>
      <c r="D69" s="1" t="s">
        <v>1507</v>
      </c>
      <c r="E69" s="1" t="s">
        <v>1507</v>
      </c>
      <c r="F69" s="1" t="s">
        <v>1507</v>
      </c>
      <c r="G69" s="1" t="s">
        <v>6696</v>
      </c>
      <c r="H69" s="1" t="s">
        <v>1507</v>
      </c>
      <c r="I69" s="1" t="s">
        <v>1507</v>
      </c>
      <c r="J69" s="1" t="s">
        <v>6697</v>
      </c>
      <c r="K69" s="1" t="s">
        <v>6698</v>
      </c>
      <c r="L69" s="1" t="s">
        <v>1507</v>
      </c>
      <c r="M69" s="1" t="s">
        <v>1507</v>
      </c>
      <c r="N69" s="1" t="s">
        <v>42</v>
      </c>
      <c r="O69" s="1" t="s">
        <v>56</v>
      </c>
      <c r="P69" s="1" t="s">
        <v>1507</v>
      </c>
      <c r="Q69" s="1" t="s">
        <v>1507</v>
      </c>
      <c r="R69" s="1" t="s">
        <v>1507</v>
      </c>
      <c r="S69" s="1" t="s">
        <v>1507</v>
      </c>
      <c r="T69" s="1" t="s">
        <v>1507</v>
      </c>
      <c r="U69" s="1" t="s">
        <v>6699</v>
      </c>
      <c r="V69" s="1" t="s">
        <v>6700</v>
      </c>
      <c r="W69" s="1" t="s">
        <v>6701</v>
      </c>
      <c r="X69" s="1" t="s">
        <v>6702</v>
      </c>
      <c r="Y69" s="1" t="s">
        <v>6703</v>
      </c>
      <c r="Z69" s="1" t="s">
        <v>6704</v>
      </c>
      <c r="AA69" s="1" t="s">
        <v>6705</v>
      </c>
      <c r="AB69" s="1" t="s">
        <v>1507</v>
      </c>
      <c r="AC69" s="1" t="s">
        <v>6706</v>
      </c>
      <c r="AD69" s="1" t="s">
        <v>6707</v>
      </c>
      <c r="AE69" s="1" t="s">
        <v>6708</v>
      </c>
      <c r="AF69" s="1" t="s">
        <v>6709</v>
      </c>
      <c r="AG69" s="1" t="s">
        <v>1507</v>
      </c>
      <c r="AH69" s="1">
        <v>66</v>
      </c>
      <c r="AI69" s="1">
        <v>2</v>
      </c>
      <c r="AJ69" s="1">
        <v>2</v>
      </c>
      <c r="AK69" s="1">
        <v>1</v>
      </c>
      <c r="AL69" s="1">
        <v>1</v>
      </c>
      <c r="AM69" s="1" t="s">
        <v>2053</v>
      </c>
      <c r="AN69" s="1" t="s">
        <v>1556</v>
      </c>
      <c r="AO69" s="1" t="s">
        <v>2054</v>
      </c>
      <c r="AP69" s="1" t="s">
        <v>6710</v>
      </c>
      <c r="AQ69" s="1" t="s">
        <v>6711</v>
      </c>
      <c r="AR69" s="1" t="s">
        <v>1507</v>
      </c>
      <c r="AS69" s="1" t="s">
        <v>6712</v>
      </c>
      <c r="AT69" s="1" t="s">
        <v>6713</v>
      </c>
      <c r="AU69" s="1" t="s">
        <v>6714</v>
      </c>
      <c r="AV69" s="1">
        <v>2022</v>
      </c>
      <c r="AW69" s="1">
        <v>50</v>
      </c>
      <c r="AX69" s="1">
        <v>1</v>
      </c>
      <c r="AY69" s="1" t="s">
        <v>1507</v>
      </c>
      <c r="AZ69" s="1" t="s">
        <v>1507</v>
      </c>
      <c r="BA69" s="1" t="s">
        <v>1507</v>
      </c>
      <c r="BB69" s="1" t="s">
        <v>1507</v>
      </c>
      <c r="BC69" s="1">
        <v>702</v>
      </c>
      <c r="BD69" s="1">
        <v>707</v>
      </c>
      <c r="BE69" s="1" t="s">
        <v>1507</v>
      </c>
      <c r="BF69" s="1" t="s">
        <v>6715</v>
      </c>
      <c r="BG69" s="1" t="str">
        <f>HYPERLINK("http://dx.doi.org/10.1080/09712119.2022.2147184","http://dx.doi.org/10.1080/09712119.2022.2147184")</f>
        <v>http://dx.doi.org/10.1080/09712119.2022.2147184</v>
      </c>
      <c r="BH69" s="1" t="s">
        <v>1507</v>
      </c>
      <c r="BI69" s="1" t="s">
        <v>1507</v>
      </c>
      <c r="BJ69" s="1">
        <v>6</v>
      </c>
      <c r="BK69" s="1" t="s">
        <v>6716</v>
      </c>
      <c r="BL69" s="1" t="s">
        <v>1573</v>
      </c>
      <c r="BM69" s="1" t="s">
        <v>6512</v>
      </c>
      <c r="BN69" s="1" t="s">
        <v>6717</v>
      </c>
      <c r="BO69" s="1" t="s">
        <v>1507</v>
      </c>
      <c r="BP69" s="1" t="s">
        <v>1531</v>
      </c>
      <c r="BQ69" s="1" t="s">
        <v>1507</v>
      </c>
      <c r="BR69" s="1" t="s">
        <v>1507</v>
      </c>
      <c r="BS69" s="1" t="s">
        <v>13744</v>
      </c>
      <c r="BT69" s="1" t="s">
        <v>6718</v>
      </c>
      <c r="BU69" s="1" t="str">
        <f>HYPERLINK("https%3A%2F%2Fwww.webofscience.com%2Fwos%2Fwoscc%2Ffull-record%2FWOS:000894206700001","View Full Record in Web of Science")</f>
        <v>View Full Record in Web of Science</v>
      </c>
    </row>
    <row r="70" spans="1:73" x14ac:dyDescent="0.25">
      <c r="A70" s="1">
        <v>80</v>
      </c>
      <c r="B70" s="1" t="s">
        <v>1506</v>
      </c>
      <c r="C70" s="1" t="s">
        <v>4449</v>
      </c>
      <c r="D70" s="1" t="s">
        <v>1507</v>
      </c>
      <c r="E70" s="1" t="s">
        <v>1507</v>
      </c>
      <c r="F70" s="1" t="s">
        <v>1507</v>
      </c>
      <c r="G70" s="1" t="s">
        <v>4450</v>
      </c>
      <c r="H70" s="1" t="s">
        <v>1507</v>
      </c>
      <c r="I70" s="1" t="s">
        <v>1507</v>
      </c>
      <c r="J70" s="1" t="s">
        <v>4451</v>
      </c>
      <c r="K70" s="1" t="s">
        <v>4452</v>
      </c>
      <c r="L70" s="1" t="s">
        <v>1507</v>
      </c>
      <c r="M70" s="1" t="s">
        <v>1507</v>
      </c>
      <c r="N70" s="1" t="s">
        <v>42</v>
      </c>
      <c r="O70" s="1" t="s">
        <v>1509</v>
      </c>
      <c r="P70" s="1" t="s">
        <v>1507</v>
      </c>
      <c r="Q70" s="1" t="s">
        <v>1507</v>
      </c>
      <c r="R70" s="1" t="s">
        <v>1507</v>
      </c>
      <c r="S70" s="1" t="s">
        <v>1507</v>
      </c>
      <c r="T70" s="1" t="s">
        <v>1507</v>
      </c>
      <c r="U70" s="1" t="s">
        <v>4453</v>
      </c>
      <c r="V70" s="1" t="s">
        <v>4454</v>
      </c>
      <c r="W70" s="1" t="s">
        <v>4455</v>
      </c>
      <c r="X70" s="1" t="s">
        <v>4456</v>
      </c>
      <c r="Y70" s="1" t="s">
        <v>4457</v>
      </c>
      <c r="Z70" s="1" t="s">
        <v>4458</v>
      </c>
      <c r="AA70" s="1" t="s">
        <v>4459</v>
      </c>
      <c r="AB70" s="1" t="s">
        <v>1507</v>
      </c>
      <c r="AC70" s="1" t="s">
        <v>1507</v>
      </c>
      <c r="AD70" s="1" t="s">
        <v>4460</v>
      </c>
      <c r="AE70" s="1" t="s">
        <v>4461</v>
      </c>
      <c r="AF70" s="1" t="s">
        <v>4462</v>
      </c>
      <c r="AG70" s="1" t="s">
        <v>1507</v>
      </c>
      <c r="AH70" s="1">
        <v>51</v>
      </c>
      <c r="AI70" s="1">
        <v>1</v>
      </c>
      <c r="AJ70" s="1">
        <v>1</v>
      </c>
      <c r="AK70" s="1">
        <v>2</v>
      </c>
      <c r="AL70" s="1">
        <v>5</v>
      </c>
      <c r="AM70" s="1" t="s">
        <v>1511</v>
      </c>
      <c r="AN70" s="1" t="s">
        <v>1512</v>
      </c>
      <c r="AO70" s="1" t="s">
        <v>1513</v>
      </c>
      <c r="AP70" s="1" t="s">
        <v>4463</v>
      </c>
      <c r="AQ70" s="1" t="s">
        <v>1507</v>
      </c>
      <c r="AR70" s="1" t="s">
        <v>1507</v>
      </c>
      <c r="AS70" s="1" t="s">
        <v>4464</v>
      </c>
      <c r="AT70" s="1" t="s">
        <v>4465</v>
      </c>
      <c r="AU70" s="1" t="s">
        <v>4466</v>
      </c>
      <c r="AV70" s="1">
        <v>2023</v>
      </c>
      <c r="AW70" s="1" t="s">
        <v>1507</v>
      </c>
      <c r="AX70" s="1" t="s">
        <v>1507</v>
      </c>
      <c r="AY70" s="1" t="s">
        <v>1507</v>
      </c>
      <c r="AZ70" s="1" t="s">
        <v>1507</v>
      </c>
      <c r="BA70" s="1" t="s">
        <v>1507</v>
      </c>
      <c r="BB70" s="1" t="s">
        <v>1507</v>
      </c>
      <c r="BC70" s="1" t="s">
        <v>1507</v>
      </c>
      <c r="BD70" s="1" t="s">
        <v>1507</v>
      </c>
      <c r="BE70" s="1" t="s">
        <v>1507</v>
      </c>
      <c r="BF70" s="1" t="s">
        <v>4467</v>
      </c>
      <c r="BG70" s="1" t="str">
        <f>HYPERLINK("http://dx.doi.org/10.1007/s40858-023-00594-5","http://dx.doi.org/10.1007/s40858-023-00594-5")</f>
        <v>http://dx.doi.org/10.1007/s40858-023-00594-5</v>
      </c>
      <c r="BH70" s="1" t="s">
        <v>1507</v>
      </c>
      <c r="BI70" s="1" t="s">
        <v>4389</v>
      </c>
      <c r="BJ70" s="1">
        <v>16</v>
      </c>
      <c r="BK70" s="1" t="s">
        <v>2914</v>
      </c>
      <c r="BL70" s="1" t="s">
        <v>1573</v>
      </c>
      <c r="BM70" s="1" t="s">
        <v>2914</v>
      </c>
      <c r="BN70" s="1" t="s">
        <v>4468</v>
      </c>
      <c r="BO70" s="1" t="s">
        <v>1507</v>
      </c>
      <c r="BP70" s="1" t="s">
        <v>1507</v>
      </c>
      <c r="BQ70" s="1" t="s">
        <v>1507</v>
      </c>
      <c r="BR70" s="1" t="s">
        <v>1507</v>
      </c>
      <c r="BS70" s="1" t="s">
        <v>13744</v>
      </c>
      <c r="BT70" s="1" t="s">
        <v>4469</v>
      </c>
      <c r="BU70" s="1" t="str">
        <f>HYPERLINK("https%3A%2F%2Fwww.webofscience.com%2Fwos%2Fwoscc%2Ffull-record%2FWOS:001031413900002","View Full Record in Web of Science")</f>
        <v>View Full Record in Web of Science</v>
      </c>
    </row>
    <row r="71" spans="1:73" x14ac:dyDescent="0.25">
      <c r="A71" s="1">
        <v>83</v>
      </c>
      <c r="B71" s="1" t="s">
        <v>1506</v>
      </c>
      <c r="C71" s="1" t="s">
        <v>8771</v>
      </c>
      <c r="D71" s="1" t="s">
        <v>1507</v>
      </c>
      <c r="E71" s="1" t="s">
        <v>1507</v>
      </c>
      <c r="F71" s="1" t="s">
        <v>1507</v>
      </c>
      <c r="G71" s="1" t="s">
        <v>8772</v>
      </c>
      <c r="H71" s="1" t="s">
        <v>1507</v>
      </c>
      <c r="I71" s="1" t="s">
        <v>1507</v>
      </c>
      <c r="J71" s="1" t="s">
        <v>8773</v>
      </c>
      <c r="K71" s="1" t="s">
        <v>8774</v>
      </c>
      <c r="L71" s="1" t="s">
        <v>1507</v>
      </c>
      <c r="M71" s="1" t="s">
        <v>1507</v>
      </c>
      <c r="N71" s="1" t="s">
        <v>42</v>
      </c>
      <c r="O71" s="1" t="s">
        <v>56</v>
      </c>
      <c r="P71" s="1" t="s">
        <v>1507</v>
      </c>
      <c r="Q71" s="1" t="s">
        <v>1507</v>
      </c>
      <c r="R71" s="1" t="s">
        <v>1507</v>
      </c>
      <c r="S71" s="1" t="s">
        <v>1507</v>
      </c>
      <c r="T71" s="1" t="s">
        <v>1507</v>
      </c>
      <c r="U71" s="1" t="s">
        <v>1507</v>
      </c>
      <c r="V71" s="1" t="s">
        <v>8775</v>
      </c>
      <c r="W71" s="1" t="s">
        <v>8776</v>
      </c>
      <c r="X71" s="1" t="s">
        <v>8777</v>
      </c>
      <c r="Y71" s="1" t="s">
        <v>8778</v>
      </c>
      <c r="Z71" s="1" t="s">
        <v>8779</v>
      </c>
      <c r="AA71" s="1" t="s">
        <v>1507</v>
      </c>
      <c r="AB71" s="1" t="s">
        <v>8780</v>
      </c>
      <c r="AC71" s="1" t="s">
        <v>8781</v>
      </c>
      <c r="AD71" s="1" t="s">
        <v>8782</v>
      </c>
      <c r="AE71" s="1" t="s">
        <v>8783</v>
      </c>
      <c r="AF71" s="1" t="s">
        <v>8784</v>
      </c>
      <c r="AG71" s="1" t="s">
        <v>1507</v>
      </c>
      <c r="AH71" s="1">
        <v>360</v>
      </c>
      <c r="AI71" s="1">
        <v>4</v>
      </c>
      <c r="AJ71" s="1">
        <v>4</v>
      </c>
      <c r="AK71" s="1">
        <v>0</v>
      </c>
      <c r="AL71" s="1">
        <v>8</v>
      </c>
      <c r="AM71" s="1" t="s">
        <v>8785</v>
      </c>
      <c r="AN71" s="1" t="s">
        <v>2010</v>
      </c>
      <c r="AO71" s="1" t="s">
        <v>8786</v>
      </c>
      <c r="AP71" s="1" t="s">
        <v>8787</v>
      </c>
      <c r="AQ71" s="1" t="s">
        <v>1507</v>
      </c>
      <c r="AR71" s="1" t="s">
        <v>1507</v>
      </c>
      <c r="AS71" s="1" t="s">
        <v>8788</v>
      </c>
      <c r="AT71" s="1" t="s">
        <v>8789</v>
      </c>
      <c r="AU71" s="1" t="s">
        <v>8790</v>
      </c>
      <c r="AV71" s="1">
        <v>2021</v>
      </c>
      <c r="AW71" s="1">
        <v>72</v>
      </c>
      <c r="AX71" s="1">
        <v>4</v>
      </c>
      <c r="AY71" s="1" t="s">
        <v>1507</v>
      </c>
      <c r="AZ71" s="1" t="s">
        <v>1507</v>
      </c>
      <c r="BA71" s="1" t="s">
        <v>1507</v>
      </c>
      <c r="BB71" s="1" t="s">
        <v>1507</v>
      </c>
      <c r="BC71" s="1">
        <v>999</v>
      </c>
      <c r="BD71" s="1">
        <v>1053</v>
      </c>
      <c r="BE71" s="1" t="s">
        <v>1507</v>
      </c>
      <c r="BF71" s="1" t="s">
        <v>1507</v>
      </c>
      <c r="BG71" s="1" t="s">
        <v>1507</v>
      </c>
      <c r="BH71" s="1" t="s">
        <v>1507</v>
      </c>
      <c r="BI71" s="1" t="s">
        <v>1507</v>
      </c>
      <c r="BJ71" s="1">
        <v>55</v>
      </c>
      <c r="BK71" s="1" t="s">
        <v>1535</v>
      </c>
      <c r="BL71" s="1" t="s">
        <v>1518</v>
      </c>
      <c r="BM71" s="1" t="s">
        <v>1536</v>
      </c>
      <c r="BN71" s="1" t="s">
        <v>8791</v>
      </c>
      <c r="BO71" s="1" t="s">
        <v>1507</v>
      </c>
      <c r="BP71" s="1" t="s">
        <v>1507</v>
      </c>
      <c r="BQ71" s="1" t="s">
        <v>1507</v>
      </c>
      <c r="BR71" s="1" t="s">
        <v>1507</v>
      </c>
      <c r="BS71" s="1" t="s">
        <v>13744</v>
      </c>
      <c r="BT71" s="1" t="s">
        <v>8792</v>
      </c>
      <c r="BU71" s="1" t="str">
        <f>HYPERLINK("https%3A%2F%2Fwww.webofscience.com%2Fwos%2Fwoscc%2Ffull-record%2FWOS:000641588600001","View Full Record in Web of Science")</f>
        <v>View Full Record in Web of Science</v>
      </c>
    </row>
    <row r="72" spans="1:73" x14ac:dyDescent="0.25">
      <c r="A72" s="1">
        <v>84</v>
      </c>
      <c r="B72" s="1" t="s">
        <v>5546</v>
      </c>
      <c r="C72" s="1" t="s">
        <v>14868</v>
      </c>
      <c r="D72" s="1" t="s">
        <v>1507</v>
      </c>
      <c r="E72" s="1" t="s">
        <v>1507</v>
      </c>
      <c r="F72" s="1" t="s">
        <v>5628</v>
      </c>
      <c r="G72" s="1" t="s">
        <v>14869</v>
      </c>
      <c r="H72" s="1" t="s">
        <v>1507</v>
      </c>
      <c r="I72" s="1" t="s">
        <v>1507</v>
      </c>
      <c r="J72" s="1" t="s">
        <v>14870</v>
      </c>
      <c r="K72" s="1" t="s">
        <v>14871</v>
      </c>
      <c r="L72" s="1" t="s">
        <v>1507</v>
      </c>
      <c r="M72" s="1" t="s">
        <v>1507</v>
      </c>
      <c r="N72" s="1" t="s">
        <v>42</v>
      </c>
      <c r="O72" s="1" t="s">
        <v>5552</v>
      </c>
      <c r="P72" s="1" t="s">
        <v>14872</v>
      </c>
      <c r="Q72" s="1" t="s">
        <v>14873</v>
      </c>
      <c r="R72" s="1" t="s">
        <v>14874</v>
      </c>
      <c r="S72" s="1" t="s">
        <v>5628</v>
      </c>
      <c r="T72" s="1" t="s">
        <v>1507</v>
      </c>
      <c r="U72" s="1" t="s">
        <v>1507</v>
      </c>
      <c r="V72" s="1" t="s">
        <v>1507</v>
      </c>
      <c r="W72" s="1" t="s">
        <v>14875</v>
      </c>
      <c r="X72" s="1" t="s">
        <v>14876</v>
      </c>
      <c r="Y72" s="1" t="s">
        <v>14877</v>
      </c>
      <c r="Z72" s="1" t="s">
        <v>14878</v>
      </c>
      <c r="AA72" s="1" t="s">
        <v>1507</v>
      </c>
      <c r="AB72" s="1" t="s">
        <v>1507</v>
      </c>
      <c r="AC72" s="1" t="s">
        <v>1507</v>
      </c>
      <c r="AD72" s="1" t="s">
        <v>14879</v>
      </c>
      <c r="AE72" s="1" t="s">
        <v>14880</v>
      </c>
      <c r="AF72" s="1" t="s">
        <v>14881</v>
      </c>
      <c r="AG72" s="1" t="s">
        <v>1507</v>
      </c>
      <c r="AH72" s="1">
        <v>39</v>
      </c>
      <c r="AI72" s="1">
        <v>1</v>
      </c>
      <c r="AJ72" s="1">
        <v>1</v>
      </c>
      <c r="AK72" s="1">
        <v>0</v>
      </c>
      <c r="AL72" s="1">
        <v>0</v>
      </c>
      <c r="AM72" s="1" t="s">
        <v>5628</v>
      </c>
      <c r="AN72" s="1" t="s">
        <v>1512</v>
      </c>
      <c r="AO72" s="1" t="s">
        <v>6457</v>
      </c>
      <c r="AP72" s="1" t="s">
        <v>1507</v>
      </c>
      <c r="AQ72" s="1" t="s">
        <v>1507</v>
      </c>
      <c r="AR72" s="1" t="s">
        <v>14882</v>
      </c>
      <c r="AS72" s="1" t="s">
        <v>1507</v>
      </c>
      <c r="AT72" s="1" t="s">
        <v>1507</v>
      </c>
      <c r="AU72" s="1" t="s">
        <v>1507</v>
      </c>
      <c r="AV72" s="1">
        <v>2023</v>
      </c>
      <c r="AW72" s="1" t="s">
        <v>1507</v>
      </c>
      <c r="AX72" s="1" t="s">
        <v>1507</v>
      </c>
      <c r="AY72" s="1" t="s">
        <v>1507</v>
      </c>
      <c r="AZ72" s="1" t="s">
        <v>1507</v>
      </c>
      <c r="BA72" s="1" t="s">
        <v>1507</v>
      </c>
      <c r="BB72" s="1" t="s">
        <v>1507</v>
      </c>
      <c r="BC72" s="1">
        <v>396</v>
      </c>
      <c r="BD72" s="1">
        <v>402</v>
      </c>
      <c r="BE72" s="1" t="s">
        <v>1507</v>
      </c>
      <c r="BF72" s="1" t="s">
        <v>14883</v>
      </c>
      <c r="BG72" s="1" t="str">
        <f>HYPERLINK("http://dx.doi.org/10.1109/ICDL55364.2023.10364374","http://dx.doi.org/10.1109/ICDL55364.2023.10364374")</f>
        <v>http://dx.doi.org/10.1109/ICDL55364.2023.10364374</v>
      </c>
      <c r="BH72" s="1" t="s">
        <v>1507</v>
      </c>
      <c r="BI72" s="1" t="s">
        <v>1507</v>
      </c>
      <c r="BJ72" s="1">
        <v>7</v>
      </c>
      <c r="BK72" s="1" t="s">
        <v>14884</v>
      </c>
      <c r="BL72" s="1" t="s">
        <v>5570</v>
      </c>
      <c r="BM72" s="1" t="s">
        <v>14885</v>
      </c>
      <c r="BN72" s="1" t="s">
        <v>14886</v>
      </c>
      <c r="BO72" s="1" t="s">
        <v>1507</v>
      </c>
      <c r="BP72" s="1" t="s">
        <v>1600</v>
      </c>
      <c r="BQ72" s="1" t="s">
        <v>1507</v>
      </c>
      <c r="BR72" s="1" t="s">
        <v>1507</v>
      </c>
      <c r="BS72" s="1" t="s">
        <v>13744</v>
      </c>
      <c r="BT72" s="1" t="s">
        <v>14887</v>
      </c>
      <c r="BU72" s="1" t="str">
        <f>HYPERLINK("https%3A%2F%2Fwww.webofscience.com%2Fwos%2Fwoscc%2Ffull-record%2FWOS:001172928700062","View Full Record in Web of Science")</f>
        <v>View Full Record in Web of Science</v>
      </c>
    </row>
    <row r="73" spans="1:73" x14ac:dyDescent="0.25">
      <c r="A73" s="1">
        <v>85</v>
      </c>
      <c r="B73" s="1" t="s">
        <v>1506</v>
      </c>
      <c r="C73" s="1" t="s">
        <v>11591</v>
      </c>
      <c r="D73" s="1" t="s">
        <v>1507</v>
      </c>
      <c r="E73" s="1" t="s">
        <v>1507</v>
      </c>
      <c r="F73" s="1" t="s">
        <v>1507</v>
      </c>
      <c r="G73" s="1" t="s">
        <v>11592</v>
      </c>
      <c r="H73" s="1" t="s">
        <v>1507</v>
      </c>
      <c r="I73" s="1" t="s">
        <v>1507</v>
      </c>
      <c r="J73" s="1" t="s">
        <v>11593</v>
      </c>
      <c r="K73" s="1" t="s">
        <v>7674</v>
      </c>
      <c r="L73" s="1" t="s">
        <v>1507</v>
      </c>
      <c r="M73" s="1" t="s">
        <v>1507</v>
      </c>
      <c r="N73" s="1" t="s">
        <v>42</v>
      </c>
      <c r="O73" s="1" t="s">
        <v>56</v>
      </c>
      <c r="P73" s="1" t="s">
        <v>1507</v>
      </c>
      <c r="Q73" s="1" t="s">
        <v>1507</v>
      </c>
      <c r="R73" s="1" t="s">
        <v>1507</v>
      </c>
      <c r="S73" s="1" t="s">
        <v>1507</v>
      </c>
      <c r="T73" s="1" t="s">
        <v>1507</v>
      </c>
      <c r="U73" s="1" t="s">
        <v>1507</v>
      </c>
      <c r="V73" s="1" t="s">
        <v>11594</v>
      </c>
      <c r="W73" s="1" t="s">
        <v>11595</v>
      </c>
      <c r="X73" s="1" t="s">
        <v>11596</v>
      </c>
      <c r="Y73" s="1" t="s">
        <v>11597</v>
      </c>
      <c r="Z73" s="1" t="s">
        <v>11598</v>
      </c>
      <c r="AA73" s="1" t="s">
        <v>11599</v>
      </c>
      <c r="AB73" s="1" t="s">
        <v>15977</v>
      </c>
      <c r="AC73" s="1" t="s">
        <v>15978</v>
      </c>
      <c r="AD73" s="1" t="s">
        <v>11600</v>
      </c>
      <c r="AE73" s="1" t="s">
        <v>11601</v>
      </c>
      <c r="AF73" s="1" t="s">
        <v>11602</v>
      </c>
      <c r="AG73" s="1" t="s">
        <v>1507</v>
      </c>
      <c r="AH73" s="1">
        <v>76</v>
      </c>
      <c r="AI73" s="1">
        <v>29</v>
      </c>
      <c r="AJ73" s="1">
        <v>31</v>
      </c>
      <c r="AK73" s="1">
        <v>0</v>
      </c>
      <c r="AL73" s="1">
        <v>1</v>
      </c>
      <c r="AM73" s="1" t="s">
        <v>2009</v>
      </c>
      <c r="AN73" s="1" t="s">
        <v>2010</v>
      </c>
      <c r="AO73" s="1" t="s">
        <v>2011</v>
      </c>
      <c r="AP73" s="1" t="s">
        <v>7685</v>
      </c>
      <c r="AQ73" s="1" t="s">
        <v>1507</v>
      </c>
      <c r="AR73" s="1" t="s">
        <v>1507</v>
      </c>
      <c r="AS73" s="1" t="s">
        <v>7686</v>
      </c>
      <c r="AT73" s="1" t="s">
        <v>7687</v>
      </c>
      <c r="AU73" s="1" t="s">
        <v>3992</v>
      </c>
      <c r="AV73" s="1">
        <v>2018</v>
      </c>
      <c r="AW73" s="1">
        <v>16</v>
      </c>
      <c r="AX73" s="1">
        <v>9</v>
      </c>
      <c r="AY73" s="1" t="s">
        <v>1507</v>
      </c>
      <c r="AZ73" s="1" t="s">
        <v>1507</v>
      </c>
      <c r="BA73" s="1" t="s">
        <v>1507</v>
      </c>
      <c r="BB73" s="1" t="s">
        <v>1507</v>
      </c>
      <c r="BC73" s="1" t="s">
        <v>1507</v>
      </c>
      <c r="BD73" s="1" t="s">
        <v>1507</v>
      </c>
      <c r="BE73" s="1" t="s">
        <v>11603</v>
      </c>
      <c r="BF73" s="1" t="s">
        <v>11604</v>
      </c>
      <c r="BG73" s="1" t="str">
        <f>HYPERLINK("http://dx.doi.org/10.1371/journal.pbio.2005513","http://dx.doi.org/10.1371/journal.pbio.2005513")</f>
        <v>http://dx.doi.org/10.1371/journal.pbio.2005513</v>
      </c>
      <c r="BH73" s="1" t="s">
        <v>1507</v>
      </c>
      <c r="BI73" s="1" t="s">
        <v>1507</v>
      </c>
      <c r="BJ73" s="1">
        <v>38</v>
      </c>
      <c r="BK73" s="1" t="s">
        <v>7690</v>
      </c>
      <c r="BL73" s="1" t="s">
        <v>1573</v>
      </c>
      <c r="BM73" s="1" t="s">
        <v>7691</v>
      </c>
      <c r="BN73" s="1" t="s">
        <v>11605</v>
      </c>
      <c r="BO73" s="1">
        <v>30260948</v>
      </c>
      <c r="BP73" s="1" t="s">
        <v>4312</v>
      </c>
      <c r="BQ73" s="1" t="s">
        <v>1507</v>
      </c>
      <c r="BR73" s="1" t="s">
        <v>1507</v>
      </c>
      <c r="BS73" s="1" t="s">
        <v>13744</v>
      </c>
      <c r="BT73" s="1" t="s">
        <v>11606</v>
      </c>
      <c r="BU73" s="1" t="str">
        <f>HYPERLINK("https%3A%2F%2Fwww.webofscience.com%2Fwos%2Fwoscc%2Ffull-record%2FWOS:000446154800008","View Full Record in Web of Science")</f>
        <v>View Full Record in Web of Science</v>
      </c>
    </row>
    <row r="74" spans="1:73" x14ac:dyDescent="0.25">
      <c r="A74" s="1">
        <v>87</v>
      </c>
      <c r="B74" s="1" t="s">
        <v>1506</v>
      </c>
      <c r="C74" s="1" t="s">
        <v>5241</v>
      </c>
      <c r="D74" s="1" t="s">
        <v>1507</v>
      </c>
      <c r="E74" s="1" t="s">
        <v>1507</v>
      </c>
      <c r="F74" s="1" t="s">
        <v>1507</v>
      </c>
      <c r="G74" s="1" t="s">
        <v>5242</v>
      </c>
      <c r="H74" s="1" t="s">
        <v>1507</v>
      </c>
      <c r="I74" s="1" t="s">
        <v>1507</v>
      </c>
      <c r="J74" s="1" t="s">
        <v>5243</v>
      </c>
      <c r="K74" s="1" t="s">
        <v>5244</v>
      </c>
      <c r="L74" s="1" t="s">
        <v>1507</v>
      </c>
      <c r="M74" s="1" t="s">
        <v>1507</v>
      </c>
      <c r="N74" s="1" t="s">
        <v>42</v>
      </c>
      <c r="O74" s="1" t="s">
        <v>56</v>
      </c>
      <c r="P74" s="1" t="s">
        <v>1507</v>
      </c>
      <c r="Q74" s="1" t="s">
        <v>1507</v>
      </c>
      <c r="R74" s="1" t="s">
        <v>1507</v>
      </c>
      <c r="S74" s="1" t="s">
        <v>1507</v>
      </c>
      <c r="T74" s="1" t="s">
        <v>1507</v>
      </c>
      <c r="U74" s="1" t="s">
        <v>1507</v>
      </c>
      <c r="V74" s="1" t="s">
        <v>5245</v>
      </c>
      <c r="W74" s="1" t="s">
        <v>5246</v>
      </c>
      <c r="X74" s="1" t="s">
        <v>5247</v>
      </c>
      <c r="Y74" s="1" t="s">
        <v>5248</v>
      </c>
      <c r="Z74" s="1" t="s">
        <v>5249</v>
      </c>
      <c r="AA74" s="1" t="s">
        <v>5250</v>
      </c>
      <c r="AB74" s="1" t="s">
        <v>5251</v>
      </c>
      <c r="AC74" s="1" t="s">
        <v>14798</v>
      </c>
      <c r="AD74" s="1" t="s">
        <v>5252</v>
      </c>
      <c r="AE74" s="1" t="s">
        <v>5253</v>
      </c>
      <c r="AF74" s="1" t="s">
        <v>5254</v>
      </c>
      <c r="AG74" s="1" t="s">
        <v>1507</v>
      </c>
      <c r="AH74" s="1">
        <v>84</v>
      </c>
      <c r="AI74" s="1">
        <v>6</v>
      </c>
      <c r="AJ74" s="1">
        <v>6</v>
      </c>
      <c r="AK74" s="1">
        <v>7</v>
      </c>
      <c r="AL74" s="1">
        <v>12</v>
      </c>
      <c r="AM74" s="1" t="s">
        <v>2372</v>
      </c>
      <c r="AN74" s="1" t="s">
        <v>2300</v>
      </c>
      <c r="AO74" s="1" t="s">
        <v>2373</v>
      </c>
      <c r="AP74" s="1" t="s">
        <v>5255</v>
      </c>
      <c r="AQ74" s="1" t="s">
        <v>5256</v>
      </c>
      <c r="AR74" s="1" t="s">
        <v>1507</v>
      </c>
      <c r="AS74" s="1" t="s">
        <v>5257</v>
      </c>
      <c r="AT74" s="1" t="s">
        <v>5258</v>
      </c>
      <c r="AU74" s="1" t="s">
        <v>14799</v>
      </c>
      <c r="AV74" s="1">
        <v>2023</v>
      </c>
      <c r="AW74" s="1">
        <v>37</v>
      </c>
      <c r="AX74" s="1">
        <v>7</v>
      </c>
      <c r="AY74" s="1" t="s">
        <v>1507</v>
      </c>
      <c r="AZ74" s="1" t="s">
        <v>1507</v>
      </c>
      <c r="BA74" s="1" t="s">
        <v>1507</v>
      </c>
      <c r="BB74" s="1" t="s">
        <v>1507</v>
      </c>
      <c r="BC74" s="1">
        <v>5341</v>
      </c>
      <c r="BD74" s="1">
        <v>5360</v>
      </c>
      <c r="BE74" s="1" t="s">
        <v>1507</v>
      </c>
      <c r="BF74" s="1" t="s">
        <v>5259</v>
      </c>
      <c r="BG74" s="1" t="str">
        <f>HYPERLINK("http://dx.doi.org/10.1021/acs.energyfuels.2c04274","http://dx.doi.org/10.1021/acs.energyfuels.2c04274")</f>
        <v>http://dx.doi.org/10.1021/acs.energyfuels.2c04274</v>
      </c>
      <c r="BH74" s="1" t="s">
        <v>1507</v>
      </c>
      <c r="BI74" s="1" t="s">
        <v>5260</v>
      </c>
      <c r="BJ74" s="1">
        <v>20</v>
      </c>
      <c r="BK74" s="1" t="s">
        <v>5261</v>
      </c>
      <c r="BL74" s="1" t="s">
        <v>1573</v>
      </c>
      <c r="BM74" s="1" t="s">
        <v>5262</v>
      </c>
      <c r="BN74" s="1" t="s">
        <v>5263</v>
      </c>
      <c r="BO74" s="1" t="s">
        <v>1507</v>
      </c>
      <c r="BP74" s="1" t="s">
        <v>1507</v>
      </c>
      <c r="BQ74" s="1" t="s">
        <v>1507</v>
      </c>
      <c r="BR74" s="1" t="s">
        <v>1507</v>
      </c>
      <c r="BS74" s="1" t="s">
        <v>13744</v>
      </c>
      <c r="BT74" s="1" t="s">
        <v>5264</v>
      </c>
      <c r="BU74" s="1" t="str">
        <f>HYPERLINK("https%3A%2F%2Fwww.webofscience.com%2Fwos%2Fwoscc%2Ffull-record%2FWOS:000954645900001","View Full Record in Web of Science")</f>
        <v>View Full Record in Web of Science</v>
      </c>
    </row>
    <row r="75" spans="1:73" x14ac:dyDescent="0.25">
      <c r="A75" s="1">
        <v>90</v>
      </c>
      <c r="B75" s="1" t="s">
        <v>1506</v>
      </c>
      <c r="C75" s="1" t="s">
        <v>11656</v>
      </c>
      <c r="D75" s="1" t="s">
        <v>1507</v>
      </c>
      <c r="E75" s="1" t="s">
        <v>1507</v>
      </c>
      <c r="F75" s="1" t="s">
        <v>1507</v>
      </c>
      <c r="G75" s="1" t="s">
        <v>11657</v>
      </c>
      <c r="H75" s="1" t="s">
        <v>1507</v>
      </c>
      <c r="I75" s="1" t="s">
        <v>1507</v>
      </c>
      <c r="J75" s="1" t="s">
        <v>11658</v>
      </c>
      <c r="K75" s="1" t="s">
        <v>11659</v>
      </c>
      <c r="L75" s="1" t="s">
        <v>1507</v>
      </c>
      <c r="M75" s="1" t="s">
        <v>1507</v>
      </c>
      <c r="N75" s="1" t="s">
        <v>42</v>
      </c>
      <c r="O75" s="1" t="s">
        <v>56</v>
      </c>
      <c r="P75" s="1" t="s">
        <v>1507</v>
      </c>
      <c r="Q75" s="1" t="s">
        <v>1507</v>
      </c>
      <c r="R75" s="1" t="s">
        <v>1507</v>
      </c>
      <c r="S75" s="1" t="s">
        <v>1507</v>
      </c>
      <c r="T75" s="1" t="s">
        <v>1507</v>
      </c>
      <c r="U75" s="1" t="s">
        <v>1507</v>
      </c>
      <c r="V75" s="1" t="s">
        <v>11660</v>
      </c>
      <c r="W75" s="1" t="s">
        <v>11661</v>
      </c>
      <c r="X75" s="1" t="s">
        <v>11662</v>
      </c>
      <c r="Y75" s="1" t="s">
        <v>11663</v>
      </c>
      <c r="Z75" s="1" t="s">
        <v>11664</v>
      </c>
      <c r="AA75" s="1" t="s">
        <v>11665</v>
      </c>
      <c r="AB75" s="1" t="s">
        <v>1507</v>
      </c>
      <c r="AC75" s="1" t="s">
        <v>1507</v>
      </c>
      <c r="AD75" s="1" t="s">
        <v>11666</v>
      </c>
      <c r="AE75" s="1" t="s">
        <v>11667</v>
      </c>
      <c r="AF75" s="1" t="s">
        <v>11668</v>
      </c>
      <c r="AG75" s="1" t="s">
        <v>1507</v>
      </c>
      <c r="AH75" s="1">
        <v>61</v>
      </c>
      <c r="AI75" s="1">
        <v>5</v>
      </c>
      <c r="AJ75" s="1">
        <v>5</v>
      </c>
      <c r="AK75" s="1">
        <v>0</v>
      </c>
      <c r="AL75" s="1">
        <v>1</v>
      </c>
      <c r="AM75" s="1" t="s">
        <v>11669</v>
      </c>
      <c r="AN75" s="1" t="s">
        <v>11670</v>
      </c>
      <c r="AO75" s="1" t="s">
        <v>11671</v>
      </c>
      <c r="AP75" s="1" t="s">
        <v>11672</v>
      </c>
      <c r="AQ75" s="1" t="s">
        <v>1507</v>
      </c>
      <c r="AR75" s="1" t="s">
        <v>1507</v>
      </c>
      <c r="AS75" s="1" t="s">
        <v>11673</v>
      </c>
      <c r="AT75" s="1" t="s">
        <v>11674</v>
      </c>
      <c r="AU75" s="1" t="s">
        <v>4556</v>
      </c>
      <c r="AV75" s="1">
        <v>2018</v>
      </c>
      <c r="AW75" s="1">
        <v>103</v>
      </c>
      <c r="AX75" s="1">
        <v>5</v>
      </c>
      <c r="AY75" s="1" t="s">
        <v>1507</v>
      </c>
      <c r="AZ75" s="1" t="s">
        <v>1507</v>
      </c>
      <c r="BA75" s="1" t="s">
        <v>1507</v>
      </c>
      <c r="BB75" s="1" t="s">
        <v>1507</v>
      </c>
      <c r="BC75" s="1">
        <v>1915</v>
      </c>
      <c r="BD75" s="1">
        <v>1944</v>
      </c>
      <c r="BE75" s="1" t="s">
        <v>1507</v>
      </c>
      <c r="BF75" s="1" t="s">
        <v>1507</v>
      </c>
      <c r="BG75" s="1" t="s">
        <v>1507</v>
      </c>
      <c r="BH75" s="1" t="s">
        <v>1507</v>
      </c>
      <c r="BI75" s="1" t="s">
        <v>1507</v>
      </c>
      <c r="BJ75" s="1">
        <v>30</v>
      </c>
      <c r="BK75" s="1" t="s">
        <v>1535</v>
      </c>
      <c r="BL75" s="1" t="s">
        <v>1518</v>
      </c>
      <c r="BM75" s="1" t="s">
        <v>1536</v>
      </c>
      <c r="BN75" s="1" t="s">
        <v>11675</v>
      </c>
      <c r="BO75" s="1" t="s">
        <v>1507</v>
      </c>
      <c r="BP75" s="1" t="s">
        <v>1507</v>
      </c>
      <c r="BQ75" s="1" t="s">
        <v>1507</v>
      </c>
      <c r="BR75" s="1" t="s">
        <v>1507</v>
      </c>
      <c r="BS75" s="1" t="s">
        <v>13744</v>
      </c>
      <c r="BT75" s="1" t="s">
        <v>11676</v>
      </c>
      <c r="BU75" s="1" t="str">
        <f>HYPERLINK("https%3A%2F%2Fwww.webofscience.com%2Fwos%2Fwoscc%2Ffull-record%2FWOS:000441372000002","View Full Record in Web of Science")</f>
        <v>View Full Record in Web of Science</v>
      </c>
    </row>
    <row r="76" spans="1:73" x14ac:dyDescent="0.25">
      <c r="A76" s="1">
        <v>91</v>
      </c>
      <c r="B76" s="1" t="s">
        <v>1506</v>
      </c>
      <c r="C76" s="1" t="s">
        <v>8727</v>
      </c>
      <c r="D76" s="1" t="s">
        <v>1507</v>
      </c>
      <c r="E76" s="1" t="s">
        <v>1507</v>
      </c>
      <c r="F76" s="1" t="s">
        <v>1507</v>
      </c>
      <c r="G76" s="1" t="s">
        <v>8728</v>
      </c>
      <c r="H76" s="1" t="s">
        <v>1507</v>
      </c>
      <c r="I76" s="1" t="s">
        <v>1507</v>
      </c>
      <c r="J76" s="1" t="s">
        <v>8729</v>
      </c>
      <c r="K76" s="1" t="s">
        <v>8730</v>
      </c>
      <c r="L76" s="1" t="s">
        <v>1507</v>
      </c>
      <c r="M76" s="1" t="s">
        <v>1507</v>
      </c>
      <c r="N76" s="1" t="s">
        <v>42</v>
      </c>
      <c r="O76" s="1" t="s">
        <v>56</v>
      </c>
      <c r="P76" s="1" t="s">
        <v>1507</v>
      </c>
      <c r="Q76" s="1" t="s">
        <v>1507</v>
      </c>
      <c r="R76" s="1" t="s">
        <v>1507</v>
      </c>
      <c r="S76" s="1" t="s">
        <v>1507</v>
      </c>
      <c r="T76" s="1" t="s">
        <v>1507</v>
      </c>
      <c r="U76" s="1" t="s">
        <v>1507</v>
      </c>
      <c r="V76" s="1" t="s">
        <v>8731</v>
      </c>
      <c r="W76" s="1" t="s">
        <v>8732</v>
      </c>
      <c r="X76" s="1" t="s">
        <v>8733</v>
      </c>
      <c r="Y76" s="1" t="s">
        <v>8734</v>
      </c>
      <c r="Z76" s="1" t="s">
        <v>8735</v>
      </c>
      <c r="AA76" s="1" t="s">
        <v>8736</v>
      </c>
      <c r="AB76" s="1" t="s">
        <v>1507</v>
      </c>
      <c r="AC76" s="1" t="s">
        <v>8737</v>
      </c>
      <c r="AD76" s="1" t="s">
        <v>8738</v>
      </c>
      <c r="AE76" s="1" t="s">
        <v>8739</v>
      </c>
      <c r="AF76" s="1" t="s">
        <v>8740</v>
      </c>
      <c r="AG76" s="1" t="s">
        <v>1507</v>
      </c>
      <c r="AH76" s="1">
        <v>114</v>
      </c>
      <c r="AI76" s="1">
        <v>12</v>
      </c>
      <c r="AJ76" s="1">
        <v>12</v>
      </c>
      <c r="AK76" s="1">
        <v>1</v>
      </c>
      <c r="AL76" s="1">
        <v>5</v>
      </c>
      <c r="AM76" s="1" t="s">
        <v>1582</v>
      </c>
      <c r="AN76" s="1" t="s">
        <v>1583</v>
      </c>
      <c r="AO76" s="1" t="s">
        <v>1584</v>
      </c>
      <c r="AP76" s="1" t="s">
        <v>8741</v>
      </c>
      <c r="AQ76" s="1" t="s">
        <v>8742</v>
      </c>
      <c r="AR76" s="1" t="s">
        <v>1507</v>
      </c>
      <c r="AS76" s="1" t="s">
        <v>8743</v>
      </c>
      <c r="AT76" s="1" t="s">
        <v>8744</v>
      </c>
      <c r="AU76" s="1" t="s">
        <v>15748</v>
      </c>
      <c r="AV76" s="1">
        <v>2021</v>
      </c>
      <c r="AW76" s="1">
        <v>13</v>
      </c>
      <c r="AX76" s="1" t="s">
        <v>1507</v>
      </c>
      <c r="AY76" s="1" t="s">
        <v>1507</v>
      </c>
      <c r="AZ76" s="1" t="s">
        <v>1507</v>
      </c>
      <c r="BA76" s="1" t="s">
        <v>1507</v>
      </c>
      <c r="BB76" s="1" t="s">
        <v>1507</v>
      </c>
      <c r="BC76" s="1">
        <v>231</v>
      </c>
      <c r="BD76" s="1">
        <v>282</v>
      </c>
      <c r="BE76" s="1" t="s">
        <v>1507</v>
      </c>
      <c r="BF76" s="1" t="s">
        <v>8745</v>
      </c>
      <c r="BG76" s="1" t="str">
        <f>HYPERLINK("http://dx.doi.org/10.1093/jla/laaa004","http://dx.doi.org/10.1093/jla/laaa004")</f>
        <v>http://dx.doi.org/10.1093/jla/laaa004</v>
      </c>
      <c r="BH76" s="1" t="s">
        <v>1507</v>
      </c>
      <c r="BI76" s="1" t="s">
        <v>8746</v>
      </c>
      <c r="BJ76" s="1">
        <v>52</v>
      </c>
      <c r="BK76" s="1" t="s">
        <v>1535</v>
      </c>
      <c r="BL76" s="1" t="s">
        <v>1518</v>
      </c>
      <c r="BM76" s="1" t="s">
        <v>1536</v>
      </c>
      <c r="BN76" s="1" t="s">
        <v>8747</v>
      </c>
      <c r="BO76" s="1" t="s">
        <v>1507</v>
      </c>
      <c r="BP76" s="1" t="s">
        <v>1531</v>
      </c>
      <c r="BQ76" s="1" t="s">
        <v>1507</v>
      </c>
      <c r="BR76" s="1" t="s">
        <v>1507</v>
      </c>
      <c r="BS76" s="1" t="s">
        <v>13744</v>
      </c>
      <c r="BT76" s="1" t="s">
        <v>8748</v>
      </c>
      <c r="BU76" s="1" t="str">
        <f>HYPERLINK("https%3A%2F%2Fwww.webofscience.com%2Fwos%2Fwoscc%2Ffull-record%2FWOS:000745979700001","View Full Record in Web of Science")</f>
        <v>View Full Record in Web of Science</v>
      </c>
    </row>
    <row r="77" spans="1:73" x14ac:dyDescent="0.25">
      <c r="A77" s="1">
        <v>93</v>
      </c>
      <c r="B77" s="1" t="s">
        <v>1506</v>
      </c>
      <c r="C77" s="1" t="s">
        <v>9033</v>
      </c>
      <c r="D77" s="1" t="s">
        <v>1507</v>
      </c>
      <c r="E77" s="1" t="s">
        <v>1507</v>
      </c>
      <c r="F77" s="1" t="s">
        <v>1507</v>
      </c>
      <c r="G77" s="1" t="s">
        <v>9034</v>
      </c>
      <c r="H77" s="1" t="s">
        <v>1507</v>
      </c>
      <c r="I77" s="1" t="s">
        <v>1507</v>
      </c>
      <c r="J77" s="1" t="s">
        <v>9035</v>
      </c>
      <c r="K77" s="1" t="s">
        <v>9036</v>
      </c>
      <c r="L77" s="1" t="s">
        <v>1507</v>
      </c>
      <c r="M77" s="1" t="s">
        <v>1507</v>
      </c>
      <c r="N77" s="1" t="s">
        <v>42</v>
      </c>
      <c r="O77" s="1" t="s">
        <v>56</v>
      </c>
      <c r="P77" s="1" t="s">
        <v>1507</v>
      </c>
      <c r="Q77" s="1" t="s">
        <v>1507</v>
      </c>
      <c r="R77" s="1" t="s">
        <v>1507</v>
      </c>
      <c r="S77" s="1" t="s">
        <v>1507</v>
      </c>
      <c r="T77" s="1" t="s">
        <v>1507</v>
      </c>
      <c r="U77" s="1" t="s">
        <v>9037</v>
      </c>
      <c r="V77" s="1" t="s">
        <v>1507</v>
      </c>
      <c r="W77" s="1" t="s">
        <v>9038</v>
      </c>
      <c r="X77" s="1" t="s">
        <v>9039</v>
      </c>
      <c r="Y77" s="1" t="s">
        <v>9040</v>
      </c>
      <c r="Z77" s="1" t="s">
        <v>9041</v>
      </c>
      <c r="AA77" s="1" t="s">
        <v>9042</v>
      </c>
      <c r="AB77" s="1" t="s">
        <v>9043</v>
      </c>
      <c r="AC77" s="1" t="s">
        <v>1507</v>
      </c>
      <c r="AD77" s="1" t="s">
        <v>9044</v>
      </c>
      <c r="AE77" s="1" t="s">
        <v>9045</v>
      </c>
      <c r="AF77" s="1" t="s">
        <v>9046</v>
      </c>
      <c r="AG77" s="1" t="s">
        <v>1507</v>
      </c>
      <c r="AH77" s="1">
        <v>38</v>
      </c>
      <c r="AI77" s="1">
        <v>0</v>
      </c>
      <c r="AJ77" s="1">
        <v>0</v>
      </c>
      <c r="AK77" s="1">
        <v>4</v>
      </c>
      <c r="AL77" s="1">
        <v>22</v>
      </c>
      <c r="AM77" s="1" t="s">
        <v>9047</v>
      </c>
      <c r="AN77" s="1" t="s">
        <v>9048</v>
      </c>
      <c r="AO77" s="1" t="s">
        <v>9049</v>
      </c>
      <c r="AP77" s="1" t="s">
        <v>9050</v>
      </c>
      <c r="AQ77" s="1" t="s">
        <v>9051</v>
      </c>
      <c r="AR77" s="1" t="s">
        <v>1507</v>
      </c>
      <c r="AS77" s="1" t="s">
        <v>9052</v>
      </c>
      <c r="AT77" s="1" t="s">
        <v>9053</v>
      </c>
      <c r="AU77" s="1" t="s">
        <v>9054</v>
      </c>
      <c r="AV77" s="1">
        <v>2021</v>
      </c>
      <c r="AW77" s="1">
        <v>55</v>
      </c>
      <c r="AX77" s="1">
        <v>1</v>
      </c>
      <c r="AY77" s="1" t="s">
        <v>1507</v>
      </c>
      <c r="AZ77" s="1" t="s">
        <v>1507</v>
      </c>
      <c r="BA77" s="1" t="s">
        <v>1507</v>
      </c>
      <c r="BB77" s="1" t="s">
        <v>1507</v>
      </c>
      <c r="BC77" s="1">
        <v>171</v>
      </c>
      <c r="BD77" s="1">
        <v>195</v>
      </c>
      <c r="BE77" s="1" t="s">
        <v>1507</v>
      </c>
      <c r="BF77" s="1" t="s">
        <v>1507</v>
      </c>
      <c r="BG77" s="1" t="s">
        <v>1507</v>
      </c>
      <c r="BH77" s="1" t="s">
        <v>1507</v>
      </c>
      <c r="BI77" s="1" t="s">
        <v>1507</v>
      </c>
      <c r="BJ77" s="1">
        <v>25</v>
      </c>
      <c r="BK77" s="1" t="s">
        <v>9055</v>
      </c>
      <c r="BL77" s="1" t="s">
        <v>1518</v>
      </c>
      <c r="BM77" s="1" t="s">
        <v>9056</v>
      </c>
      <c r="BN77" s="1" t="s">
        <v>9057</v>
      </c>
      <c r="BO77" s="1" t="s">
        <v>1507</v>
      </c>
      <c r="BP77" s="1" t="s">
        <v>1507</v>
      </c>
      <c r="BQ77" s="1" t="s">
        <v>1507</v>
      </c>
      <c r="BR77" s="1" t="s">
        <v>1507</v>
      </c>
      <c r="BS77" s="1" t="s">
        <v>13744</v>
      </c>
      <c r="BT77" s="1" t="s">
        <v>9058</v>
      </c>
      <c r="BU77" s="1" t="str">
        <f>HYPERLINK("https%3A%2F%2Fwww.webofscience.com%2Fwos%2Fwoscc%2Ffull-record%2FWOS:000623368700007","View Full Record in Web of Science")</f>
        <v>View Full Record in Web of Science</v>
      </c>
    </row>
    <row r="78" spans="1:73" x14ac:dyDescent="0.25">
      <c r="A78" s="1">
        <v>94</v>
      </c>
      <c r="B78" s="1" t="s">
        <v>1506</v>
      </c>
      <c r="C78" s="1" t="s">
        <v>5073</v>
      </c>
      <c r="D78" s="1" t="s">
        <v>1507</v>
      </c>
      <c r="E78" s="1" t="s">
        <v>1507</v>
      </c>
      <c r="F78" s="1" t="s">
        <v>1507</v>
      </c>
      <c r="G78" s="1" t="s">
        <v>5074</v>
      </c>
      <c r="H78" s="1" t="s">
        <v>1507</v>
      </c>
      <c r="I78" s="1" t="s">
        <v>1507</v>
      </c>
      <c r="J78" s="1" t="s">
        <v>693</v>
      </c>
      <c r="K78" s="1" t="s">
        <v>5075</v>
      </c>
      <c r="L78" s="1" t="s">
        <v>1507</v>
      </c>
      <c r="M78" s="1" t="s">
        <v>1507</v>
      </c>
      <c r="N78" s="1" t="s">
        <v>42</v>
      </c>
      <c r="O78" s="1" t="s">
        <v>56</v>
      </c>
      <c r="P78" s="1" t="s">
        <v>1507</v>
      </c>
      <c r="Q78" s="1" t="s">
        <v>1507</v>
      </c>
      <c r="R78" s="1" t="s">
        <v>1507</v>
      </c>
      <c r="S78" s="1" t="s">
        <v>1507</v>
      </c>
      <c r="T78" s="1" t="s">
        <v>1507</v>
      </c>
      <c r="U78" s="1" t="s">
        <v>5076</v>
      </c>
      <c r="V78" s="1" t="s">
        <v>5077</v>
      </c>
      <c r="W78" s="1" t="s">
        <v>5078</v>
      </c>
      <c r="X78" s="1" t="s">
        <v>5079</v>
      </c>
      <c r="Y78" s="1" t="s">
        <v>5080</v>
      </c>
      <c r="Z78" s="1" t="s">
        <v>5081</v>
      </c>
      <c r="AA78" s="1" t="s">
        <v>5082</v>
      </c>
      <c r="AB78" s="1" t="s">
        <v>14762</v>
      </c>
      <c r="AC78" s="1" t="s">
        <v>1507</v>
      </c>
      <c r="AD78" s="1" t="s">
        <v>5083</v>
      </c>
      <c r="AE78" s="1" t="s">
        <v>5084</v>
      </c>
      <c r="AF78" s="1" t="s">
        <v>5085</v>
      </c>
      <c r="AG78" s="1" t="s">
        <v>1507</v>
      </c>
      <c r="AH78" s="1">
        <v>30</v>
      </c>
      <c r="AI78" s="1">
        <v>3</v>
      </c>
      <c r="AJ78" s="1">
        <v>4</v>
      </c>
      <c r="AK78" s="1">
        <v>14</v>
      </c>
      <c r="AL78" s="1">
        <v>32</v>
      </c>
      <c r="AM78" s="1" t="s">
        <v>3156</v>
      </c>
      <c r="AN78" s="1" t="s">
        <v>3157</v>
      </c>
      <c r="AO78" s="1" t="s">
        <v>3158</v>
      </c>
      <c r="AP78" s="1" t="s">
        <v>5086</v>
      </c>
      <c r="AQ78" s="1" t="s">
        <v>5087</v>
      </c>
      <c r="AR78" s="1" t="s">
        <v>1507</v>
      </c>
      <c r="AS78" s="1" t="s">
        <v>5088</v>
      </c>
      <c r="AT78" s="1" t="s">
        <v>5089</v>
      </c>
      <c r="AU78" s="1" t="s">
        <v>4721</v>
      </c>
      <c r="AV78" s="1">
        <v>2023</v>
      </c>
      <c r="AW78" s="1">
        <v>142</v>
      </c>
      <c r="AX78" s="1" t="s">
        <v>1507</v>
      </c>
      <c r="AY78" s="1" t="s">
        <v>1507</v>
      </c>
      <c r="AZ78" s="1" t="s">
        <v>1507</v>
      </c>
      <c r="BA78" s="1" t="s">
        <v>1507</v>
      </c>
      <c r="BB78" s="1" t="s">
        <v>1507</v>
      </c>
      <c r="BC78" s="1" t="s">
        <v>1507</v>
      </c>
      <c r="BD78" s="1" t="s">
        <v>1507</v>
      </c>
      <c r="BE78" s="1">
        <v>104370</v>
      </c>
      <c r="BF78" s="1" t="s">
        <v>695</v>
      </c>
      <c r="BG78" s="1" t="str">
        <f>HYPERLINK("http://dx.doi.org/10.1016/j.jbi.2023.104370","http://dx.doi.org/10.1016/j.jbi.2023.104370")</f>
        <v>http://dx.doi.org/10.1016/j.jbi.2023.104370</v>
      </c>
      <c r="BH78" s="1" t="s">
        <v>1507</v>
      </c>
      <c r="BI78" s="1" t="s">
        <v>5090</v>
      </c>
      <c r="BJ78" s="1">
        <v>6</v>
      </c>
      <c r="BK78" s="1" t="s">
        <v>5091</v>
      </c>
      <c r="BL78" s="1" t="s">
        <v>1573</v>
      </c>
      <c r="BM78" s="1" t="s">
        <v>5092</v>
      </c>
      <c r="BN78" s="1" t="s">
        <v>5093</v>
      </c>
      <c r="BO78" s="1">
        <v>37100106</v>
      </c>
      <c r="BP78" s="1" t="s">
        <v>9611</v>
      </c>
      <c r="BQ78" s="1" t="s">
        <v>1507</v>
      </c>
      <c r="BR78" s="1" t="s">
        <v>1507</v>
      </c>
      <c r="BS78" s="1" t="s">
        <v>13744</v>
      </c>
      <c r="BT78" s="1" t="s">
        <v>5094</v>
      </c>
      <c r="BU78" s="1" t="str">
        <f>HYPERLINK("https%3A%2F%2Fwww.webofscience.com%2Fwos%2Fwoscc%2Ffull-record%2FWOS:000991137100001","View Full Record in Web of Science")</f>
        <v>View Full Record in Web of Science</v>
      </c>
    </row>
    <row r="79" spans="1:73" x14ac:dyDescent="0.25">
      <c r="A79" s="1">
        <v>95</v>
      </c>
      <c r="B79" s="1" t="s">
        <v>1506</v>
      </c>
      <c r="C79" s="1" t="s">
        <v>11926</v>
      </c>
      <c r="D79" s="1" t="s">
        <v>1507</v>
      </c>
      <c r="E79" s="1" t="s">
        <v>1507</v>
      </c>
      <c r="F79" s="1" t="s">
        <v>1507</v>
      </c>
      <c r="G79" s="1" t="s">
        <v>11927</v>
      </c>
      <c r="H79" s="1" t="s">
        <v>1507</v>
      </c>
      <c r="I79" s="1" t="s">
        <v>1507</v>
      </c>
      <c r="J79" s="1" t="s">
        <v>11928</v>
      </c>
      <c r="K79" s="1" t="s">
        <v>11929</v>
      </c>
      <c r="L79" s="1" t="s">
        <v>1507</v>
      </c>
      <c r="M79" s="1" t="s">
        <v>1507</v>
      </c>
      <c r="N79" s="1" t="s">
        <v>42</v>
      </c>
      <c r="O79" s="1" t="s">
        <v>56</v>
      </c>
      <c r="P79" s="1" t="s">
        <v>1507</v>
      </c>
      <c r="Q79" s="1" t="s">
        <v>1507</v>
      </c>
      <c r="R79" s="1" t="s">
        <v>1507</v>
      </c>
      <c r="S79" s="1" t="s">
        <v>1507</v>
      </c>
      <c r="T79" s="1" t="s">
        <v>1507</v>
      </c>
      <c r="U79" s="1" t="s">
        <v>11930</v>
      </c>
      <c r="V79" s="1" t="s">
        <v>11931</v>
      </c>
      <c r="W79" s="1" t="s">
        <v>11932</v>
      </c>
      <c r="X79" s="1" t="s">
        <v>11933</v>
      </c>
      <c r="Y79" s="1" t="s">
        <v>16034</v>
      </c>
      <c r="Z79" s="1" t="s">
        <v>11934</v>
      </c>
      <c r="AA79" s="1" t="s">
        <v>11935</v>
      </c>
      <c r="AB79" s="1" t="s">
        <v>16035</v>
      </c>
      <c r="AC79" s="1" t="s">
        <v>1507</v>
      </c>
      <c r="AD79" s="1" t="s">
        <v>11936</v>
      </c>
      <c r="AE79" s="1" t="s">
        <v>11937</v>
      </c>
      <c r="AF79" s="1" t="s">
        <v>11938</v>
      </c>
      <c r="AG79" s="1" t="s">
        <v>1507</v>
      </c>
      <c r="AH79" s="1">
        <v>59</v>
      </c>
      <c r="AI79" s="1">
        <v>16</v>
      </c>
      <c r="AJ79" s="1">
        <v>19</v>
      </c>
      <c r="AK79" s="1">
        <v>1</v>
      </c>
      <c r="AL79" s="1">
        <v>2</v>
      </c>
      <c r="AM79" s="1" t="s">
        <v>11939</v>
      </c>
      <c r="AN79" s="1" t="s">
        <v>11940</v>
      </c>
      <c r="AO79" s="1" t="s">
        <v>11941</v>
      </c>
      <c r="AP79" s="1" t="s">
        <v>11942</v>
      </c>
      <c r="AQ79" s="1" t="s">
        <v>1507</v>
      </c>
      <c r="AR79" s="1" t="s">
        <v>1507</v>
      </c>
      <c r="AS79" s="1" t="s">
        <v>11943</v>
      </c>
      <c r="AT79" s="1" t="s">
        <v>11944</v>
      </c>
      <c r="AU79" s="1" t="s">
        <v>1507</v>
      </c>
      <c r="AV79" s="1">
        <v>2018</v>
      </c>
      <c r="AW79" s="1">
        <v>8</v>
      </c>
      <c r="AX79" s="1">
        <v>9</v>
      </c>
      <c r="AY79" s="1" t="s">
        <v>1507</v>
      </c>
      <c r="AZ79" s="1" t="s">
        <v>1507</v>
      </c>
      <c r="BA79" s="1" t="s">
        <v>1507</v>
      </c>
      <c r="BB79" s="1" t="s">
        <v>1507</v>
      </c>
      <c r="BC79" s="1">
        <v>1887</v>
      </c>
      <c r="BD79" s="1" t="s">
        <v>1774</v>
      </c>
      <c r="BE79" s="1" t="s">
        <v>1507</v>
      </c>
      <c r="BF79" s="1" t="s">
        <v>1507</v>
      </c>
      <c r="BG79" s="1" t="s">
        <v>1507</v>
      </c>
      <c r="BH79" s="1" t="s">
        <v>1507</v>
      </c>
      <c r="BI79" s="1" t="s">
        <v>1507</v>
      </c>
      <c r="BJ79" s="1">
        <v>13</v>
      </c>
      <c r="BK79" s="1" t="s">
        <v>3875</v>
      </c>
      <c r="BL79" s="1" t="s">
        <v>1573</v>
      </c>
      <c r="BM79" s="1" t="s">
        <v>3875</v>
      </c>
      <c r="BN79" s="1" t="s">
        <v>11945</v>
      </c>
      <c r="BO79" s="1">
        <v>30323980</v>
      </c>
      <c r="BP79" s="1" t="s">
        <v>1507</v>
      </c>
      <c r="BQ79" s="1" t="s">
        <v>1507</v>
      </c>
      <c r="BR79" s="1" t="s">
        <v>1507</v>
      </c>
      <c r="BS79" s="1" t="s">
        <v>13744</v>
      </c>
      <c r="BT79" s="1" t="s">
        <v>11946</v>
      </c>
      <c r="BU79" s="1" t="str">
        <f>HYPERLINK("https%3A%2F%2Fwww.webofscience.com%2Fwos%2Fwoscc%2Ffull-record%2FWOS:000445929700020","View Full Record in Web of Science")</f>
        <v>View Full Record in Web of Science</v>
      </c>
    </row>
    <row r="80" spans="1:73" x14ac:dyDescent="0.25">
      <c r="A80" s="1">
        <v>96</v>
      </c>
      <c r="B80" s="1" t="s">
        <v>5546</v>
      </c>
      <c r="C80" s="1" t="s">
        <v>5653</v>
      </c>
      <c r="D80" s="1" t="s">
        <v>1507</v>
      </c>
      <c r="E80" s="1" t="s">
        <v>1507</v>
      </c>
      <c r="F80" s="1" t="s">
        <v>5548</v>
      </c>
      <c r="G80" s="1" t="s">
        <v>5654</v>
      </c>
      <c r="H80" s="1" t="s">
        <v>1507</v>
      </c>
      <c r="I80" s="1" t="s">
        <v>1507</v>
      </c>
      <c r="J80" s="1" t="s">
        <v>5655</v>
      </c>
      <c r="K80" s="1" t="s">
        <v>5656</v>
      </c>
      <c r="L80" s="1" t="s">
        <v>1507</v>
      </c>
      <c r="M80" s="1" t="s">
        <v>1507</v>
      </c>
      <c r="N80" s="1" t="s">
        <v>42</v>
      </c>
      <c r="O80" s="1" t="s">
        <v>5552</v>
      </c>
      <c r="P80" s="1" t="s">
        <v>5657</v>
      </c>
      <c r="Q80" s="1" t="s">
        <v>5658</v>
      </c>
      <c r="R80" s="1" t="s">
        <v>5659</v>
      </c>
      <c r="S80" s="1" t="s">
        <v>5660</v>
      </c>
      <c r="T80" s="1" t="s">
        <v>1507</v>
      </c>
      <c r="U80" s="1" t="s">
        <v>5661</v>
      </c>
      <c r="V80" s="1" t="s">
        <v>1507</v>
      </c>
      <c r="W80" s="1" t="s">
        <v>5662</v>
      </c>
      <c r="X80" s="1" t="s">
        <v>5663</v>
      </c>
      <c r="Y80" s="1" t="s">
        <v>14888</v>
      </c>
      <c r="Z80" s="1" t="s">
        <v>5664</v>
      </c>
      <c r="AA80" s="1" t="s">
        <v>5665</v>
      </c>
      <c r="AB80" s="1" t="s">
        <v>1507</v>
      </c>
      <c r="AC80" s="1" t="s">
        <v>1507</v>
      </c>
      <c r="AD80" s="1" t="s">
        <v>5666</v>
      </c>
      <c r="AE80" s="1" t="s">
        <v>5666</v>
      </c>
      <c r="AF80" s="1" t="s">
        <v>5667</v>
      </c>
      <c r="AG80" s="1" t="s">
        <v>1507</v>
      </c>
      <c r="AH80" s="1">
        <v>72</v>
      </c>
      <c r="AI80" s="1">
        <v>0</v>
      </c>
      <c r="AJ80" s="1">
        <v>0</v>
      </c>
      <c r="AK80" s="1">
        <v>3</v>
      </c>
      <c r="AL80" s="1">
        <v>3</v>
      </c>
      <c r="AM80" s="1" t="s">
        <v>5565</v>
      </c>
      <c r="AN80" s="1" t="s">
        <v>1512</v>
      </c>
      <c r="AO80" s="1" t="s">
        <v>5566</v>
      </c>
      <c r="AP80" s="1" t="s">
        <v>1507</v>
      </c>
      <c r="AQ80" s="1" t="s">
        <v>1507</v>
      </c>
      <c r="AR80" s="1" t="s">
        <v>5668</v>
      </c>
      <c r="AS80" s="1" t="s">
        <v>1507</v>
      </c>
      <c r="AT80" s="1" t="s">
        <v>1507</v>
      </c>
      <c r="AU80" s="1" t="s">
        <v>1507</v>
      </c>
      <c r="AV80" s="1">
        <v>2023</v>
      </c>
      <c r="AW80" s="1" t="s">
        <v>1507</v>
      </c>
      <c r="AX80" s="1" t="s">
        <v>1507</v>
      </c>
      <c r="AY80" s="1" t="s">
        <v>1507</v>
      </c>
      <c r="AZ80" s="1" t="s">
        <v>1507</v>
      </c>
      <c r="BA80" s="1" t="s">
        <v>1507</v>
      </c>
      <c r="BB80" s="1" t="s">
        <v>1507</v>
      </c>
      <c r="BC80" s="1">
        <v>366</v>
      </c>
      <c r="BD80" s="1">
        <v>378</v>
      </c>
      <c r="BE80" s="1" t="s">
        <v>1507</v>
      </c>
      <c r="BF80" s="1" t="s">
        <v>5669</v>
      </c>
      <c r="BG80" s="1" t="str">
        <f>HYPERLINK("http://dx.doi.org/10.1145/3627106.3627196","http://dx.doi.org/10.1145/3627106.3627196")</f>
        <v>http://dx.doi.org/10.1145/3627106.3627196</v>
      </c>
      <c r="BH80" s="1" t="s">
        <v>1507</v>
      </c>
      <c r="BI80" s="1" t="s">
        <v>1507</v>
      </c>
      <c r="BJ80" s="1">
        <v>13</v>
      </c>
      <c r="BK80" s="1" t="s">
        <v>5670</v>
      </c>
      <c r="BL80" s="1" t="s">
        <v>5570</v>
      </c>
      <c r="BM80" s="1" t="s">
        <v>5671</v>
      </c>
      <c r="BN80" s="1" t="s">
        <v>5672</v>
      </c>
      <c r="BO80" s="1" t="s">
        <v>1507</v>
      </c>
      <c r="BP80" s="1" t="s">
        <v>1537</v>
      </c>
      <c r="BQ80" s="1" t="s">
        <v>1507</v>
      </c>
      <c r="BR80" s="1" t="s">
        <v>1507</v>
      </c>
      <c r="BS80" s="1" t="s">
        <v>13744</v>
      </c>
      <c r="BT80" s="1" t="s">
        <v>5673</v>
      </c>
      <c r="BU80" s="1" t="str">
        <f>HYPERLINK("https%3A%2F%2Fwww.webofscience.com%2Fwos%2Fwoscc%2Ffull-record%2FWOS:001148013400028","View Full Record in Web of Science")</f>
        <v>View Full Record in Web of Science</v>
      </c>
    </row>
    <row r="81" spans="1:73" x14ac:dyDescent="0.25">
      <c r="A81" s="1">
        <v>97</v>
      </c>
      <c r="B81" s="1" t="s">
        <v>1506</v>
      </c>
      <c r="C81" s="1" t="s">
        <v>13807</v>
      </c>
      <c r="D81" s="1" t="s">
        <v>1507</v>
      </c>
      <c r="E81" s="1" t="s">
        <v>1507</v>
      </c>
      <c r="F81" s="1" t="s">
        <v>1507</v>
      </c>
      <c r="G81" s="1" t="s">
        <v>13808</v>
      </c>
      <c r="H81" s="1" t="s">
        <v>1507</v>
      </c>
      <c r="I81" s="1" t="s">
        <v>1507</v>
      </c>
      <c r="J81" s="1" t="s">
        <v>13809</v>
      </c>
      <c r="K81" s="1" t="s">
        <v>3251</v>
      </c>
      <c r="L81" s="1" t="s">
        <v>1507</v>
      </c>
      <c r="M81" s="1" t="s">
        <v>1507</v>
      </c>
      <c r="N81" s="1" t="s">
        <v>42</v>
      </c>
      <c r="O81" s="1" t="s">
        <v>56</v>
      </c>
      <c r="P81" s="1" t="s">
        <v>1507</v>
      </c>
      <c r="Q81" s="1" t="s">
        <v>1507</v>
      </c>
      <c r="R81" s="1" t="s">
        <v>1507</v>
      </c>
      <c r="S81" s="1" t="s">
        <v>1507</v>
      </c>
      <c r="T81" s="1" t="s">
        <v>1507</v>
      </c>
      <c r="U81" s="1" t="s">
        <v>13810</v>
      </c>
      <c r="V81" s="1" t="s">
        <v>13811</v>
      </c>
      <c r="W81" s="1" t="s">
        <v>13812</v>
      </c>
      <c r="X81" s="1" t="s">
        <v>13813</v>
      </c>
      <c r="Y81" s="1" t="s">
        <v>13814</v>
      </c>
      <c r="Z81" s="1" t="s">
        <v>13815</v>
      </c>
      <c r="AA81" s="1" t="s">
        <v>13816</v>
      </c>
      <c r="AB81" s="1" t="s">
        <v>1507</v>
      </c>
      <c r="AC81" s="1" t="s">
        <v>1507</v>
      </c>
      <c r="AD81" s="1" t="s">
        <v>13817</v>
      </c>
      <c r="AE81" s="1" t="s">
        <v>13818</v>
      </c>
      <c r="AF81" s="1" t="s">
        <v>13819</v>
      </c>
      <c r="AG81" s="1" t="s">
        <v>1507</v>
      </c>
      <c r="AH81" s="1">
        <v>79</v>
      </c>
      <c r="AI81" s="1">
        <v>1</v>
      </c>
      <c r="AJ81" s="1">
        <v>1</v>
      </c>
      <c r="AK81" s="1">
        <v>19</v>
      </c>
      <c r="AL81" s="1">
        <v>19</v>
      </c>
      <c r="AM81" s="1" t="s">
        <v>3263</v>
      </c>
      <c r="AN81" s="1" t="s">
        <v>2300</v>
      </c>
      <c r="AO81" s="1" t="s">
        <v>3264</v>
      </c>
      <c r="AP81" s="1" t="s">
        <v>3265</v>
      </c>
      <c r="AQ81" s="1" t="s">
        <v>3266</v>
      </c>
      <c r="AR81" s="1" t="s">
        <v>1507</v>
      </c>
      <c r="AS81" s="1" t="s">
        <v>3267</v>
      </c>
      <c r="AT81" s="1" t="s">
        <v>3268</v>
      </c>
      <c r="AU81" s="1" t="s">
        <v>13820</v>
      </c>
      <c r="AV81" s="1">
        <v>2023</v>
      </c>
      <c r="AW81" s="1">
        <v>120</v>
      </c>
      <c r="AX81" s="1">
        <v>51</v>
      </c>
      <c r="AY81" s="1" t="s">
        <v>1507</v>
      </c>
      <c r="AZ81" s="1" t="s">
        <v>1507</v>
      </c>
      <c r="BA81" s="1" t="s">
        <v>1507</v>
      </c>
      <c r="BB81" s="1" t="s">
        <v>1507</v>
      </c>
      <c r="BC81" s="1" t="s">
        <v>1507</v>
      </c>
      <c r="BD81" s="1" t="s">
        <v>1507</v>
      </c>
      <c r="BE81" s="1">
        <v>2316205120</v>
      </c>
      <c r="BF81" s="1" t="s">
        <v>13821</v>
      </c>
      <c r="BG81" s="1" t="str">
        <f>HYPERLINK("http://dx.doi.org/10.1073/pnas.2316205120","http://dx.doi.org/10.1073/pnas.2316205120")</f>
        <v>http://dx.doi.org/10.1073/pnas.2316205120</v>
      </c>
      <c r="BH81" s="1" t="s">
        <v>1507</v>
      </c>
      <c r="BI81" s="1" t="s">
        <v>1507</v>
      </c>
      <c r="BJ81" s="1">
        <v>9</v>
      </c>
      <c r="BK81" s="1" t="s">
        <v>1776</v>
      </c>
      <c r="BL81" s="1" t="s">
        <v>1573</v>
      </c>
      <c r="BM81" s="1" t="s">
        <v>1777</v>
      </c>
      <c r="BN81" s="1" t="s">
        <v>13822</v>
      </c>
      <c r="BO81" s="1">
        <v>38085780</v>
      </c>
      <c r="BP81" s="1" t="s">
        <v>2574</v>
      </c>
      <c r="BQ81" s="1" t="s">
        <v>1507</v>
      </c>
      <c r="BR81" s="1" t="s">
        <v>1507</v>
      </c>
      <c r="BS81" s="1" t="s">
        <v>13744</v>
      </c>
      <c r="BT81" s="1" t="s">
        <v>13823</v>
      </c>
      <c r="BU81" s="1" t="str">
        <f>HYPERLINK("https%3A%2F%2Fwww.webofscience.com%2Fwos%2Fwoscc%2Ffull-record%2FWOS:001157836300008","View Full Record in Web of Science")</f>
        <v>View Full Record in Web of Science</v>
      </c>
    </row>
    <row r="82" spans="1:73" x14ac:dyDescent="0.25">
      <c r="A82" s="1">
        <v>98</v>
      </c>
      <c r="B82" s="1" t="s">
        <v>1506</v>
      </c>
      <c r="C82" s="1" t="s">
        <v>9156</v>
      </c>
      <c r="D82" s="1" t="s">
        <v>1507</v>
      </c>
      <c r="E82" s="1" t="s">
        <v>1507</v>
      </c>
      <c r="F82" s="1" t="s">
        <v>1507</v>
      </c>
      <c r="G82" s="1" t="s">
        <v>9157</v>
      </c>
      <c r="H82" s="1" t="s">
        <v>1507</v>
      </c>
      <c r="I82" s="1" t="s">
        <v>1507</v>
      </c>
      <c r="J82" s="1" t="s">
        <v>9158</v>
      </c>
      <c r="K82" s="1" t="s">
        <v>1625</v>
      </c>
      <c r="L82" s="1" t="s">
        <v>1507</v>
      </c>
      <c r="M82" s="1" t="s">
        <v>1507</v>
      </c>
      <c r="N82" s="1" t="s">
        <v>42</v>
      </c>
      <c r="O82" s="1" t="s">
        <v>56</v>
      </c>
      <c r="P82" s="1" t="s">
        <v>1507</v>
      </c>
      <c r="Q82" s="1" t="s">
        <v>1507</v>
      </c>
      <c r="R82" s="1" t="s">
        <v>1507</v>
      </c>
      <c r="S82" s="1" t="s">
        <v>1507</v>
      </c>
      <c r="T82" s="1" t="s">
        <v>1507</v>
      </c>
      <c r="U82" s="1" t="s">
        <v>9159</v>
      </c>
      <c r="V82" s="1" t="s">
        <v>1507</v>
      </c>
      <c r="W82" s="1" t="s">
        <v>9160</v>
      </c>
      <c r="X82" s="1" t="s">
        <v>9161</v>
      </c>
      <c r="Y82" s="1" t="s">
        <v>9162</v>
      </c>
      <c r="Z82" s="1" t="s">
        <v>9163</v>
      </c>
      <c r="AA82" s="1" t="s">
        <v>9164</v>
      </c>
      <c r="AB82" s="1" t="s">
        <v>1507</v>
      </c>
      <c r="AC82" s="1" t="s">
        <v>9165</v>
      </c>
      <c r="AD82" s="1" t="s">
        <v>9166</v>
      </c>
      <c r="AE82" s="1" t="s">
        <v>9167</v>
      </c>
      <c r="AF82" s="1" t="s">
        <v>9168</v>
      </c>
      <c r="AG82" s="1" t="s">
        <v>1507</v>
      </c>
      <c r="AH82" s="1">
        <v>48</v>
      </c>
      <c r="AI82" s="1">
        <v>4</v>
      </c>
      <c r="AJ82" s="1">
        <v>4</v>
      </c>
      <c r="AK82" s="1">
        <v>3</v>
      </c>
      <c r="AL82" s="1">
        <v>19</v>
      </c>
      <c r="AM82" s="1" t="s">
        <v>1626</v>
      </c>
      <c r="AN82" s="1" t="s">
        <v>1627</v>
      </c>
      <c r="AO82" s="1" t="s">
        <v>1628</v>
      </c>
      <c r="AP82" s="1" t="s">
        <v>1629</v>
      </c>
      <c r="AQ82" s="1" t="s">
        <v>1507</v>
      </c>
      <c r="AR82" s="1" t="s">
        <v>1507</v>
      </c>
      <c r="AS82" s="1" t="s">
        <v>1625</v>
      </c>
      <c r="AT82" s="1" t="s">
        <v>1630</v>
      </c>
      <c r="AU82" s="1" t="s">
        <v>1507</v>
      </c>
      <c r="AV82" s="1">
        <v>2021</v>
      </c>
      <c r="AW82" s="1">
        <v>9</v>
      </c>
      <c r="AX82" s="1" t="s">
        <v>1507</v>
      </c>
      <c r="AY82" s="1" t="s">
        <v>1507</v>
      </c>
      <c r="AZ82" s="1" t="s">
        <v>1507</v>
      </c>
      <c r="BA82" s="1" t="s">
        <v>1507</v>
      </c>
      <c r="BB82" s="1" t="s">
        <v>1507</v>
      </c>
      <c r="BC82" s="1">
        <v>106703</v>
      </c>
      <c r="BD82" s="1">
        <v>106713</v>
      </c>
      <c r="BE82" s="1" t="s">
        <v>1507</v>
      </c>
      <c r="BF82" s="1" t="s">
        <v>9169</v>
      </c>
      <c r="BG82" s="1" t="str">
        <f>HYPERLINK("http://dx.doi.org/10.1109/ACCESS.2021.3100299","http://dx.doi.org/10.1109/ACCESS.2021.3100299")</f>
        <v>http://dx.doi.org/10.1109/ACCESS.2021.3100299</v>
      </c>
      <c r="BH82" s="1" t="s">
        <v>1507</v>
      </c>
      <c r="BI82" s="1" t="s">
        <v>1507</v>
      </c>
      <c r="BJ82" s="1">
        <v>11</v>
      </c>
      <c r="BK82" s="1" t="s">
        <v>1631</v>
      </c>
      <c r="BL82" s="1" t="s">
        <v>1573</v>
      </c>
      <c r="BM82" s="1" t="s">
        <v>1632</v>
      </c>
      <c r="BN82" s="1" t="s">
        <v>9170</v>
      </c>
      <c r="BO82" s="1" t="s">
        <v>1507</v>
      </c>
      <c r="BP82" s="1" t="s">
        <v>1531</v>
      </c>
      <c r="BQ82" s="1" t="s">
        <v>1507</v>
      </c>
      <c r="BR82" s="1" t="s">
        <v>1507</v>
      </c>
      <c r="BS82" s="1" t="s">
        <v>13744</v>
      </c>
      <c r="BT82" s="1" t="s">
        <v>9171</v>
      </c>
      <c r="BU82" s="1" t="str">
        <f>HYPERLINK("https%3A%2F%2Fwww.webofscience.com%2Fwos%2Fwoscc%2Ffull-record%2FWOS:000681081100001","View Full Record in Web of Science")</f>
        <v>View Full Record in Web of Science</v>
      </c>
    </row>
    <row r="83" spans="1:73" x14ac:dyDescent="0.25">
      <c r="A83" s="1">
        <v>99</v>
      </c>
      <c r="B83" s="1" t="s">
        <v>1506</v>
      </c>
      <c r="C83" s="1" t="s">
        <v>11309</v>
      </c>
      <c r="D83" s="1" t="s">
        <v>1507</v>
      </c>
      <c r="E83" s="1" t="s">
        <v>1507</v>
      </c>
      <c r="F83" s="1" t="s">
        <v>1507</v>
      </c>
      <c r="G83" s="1" t="s">
        <v>11310</v>
      </c>
      <c r="H83" s="1" t="s">
        <v>1507</v>
      </c>
      <c r="I83" s="1" t="s">
        <v>1507</v>
      </c>
      <c r="J83" s="1" t="s">
        <v>11311</v>
      </c>
      <c r="K83" s="1" t="s">
        <v>7697</v>
      </c>
      <c r="L83" s="1" t="s">
        <v>1507</v>
      </c>
      <c r="M83" s="1" t="s">
        <v>1507</v>
      </c>
      <c r="N83" s="1" t="s">
        <v>42</v>
      </c>
      <c r="O83" s="1" t="s">
        <v>56</v>
      </c>
      <c r="P83" s="1" t="s">
        <v>1507</v>
      </c>
      <c r="Q83" s="1" t="s">
        <v>1507</v>
      </c>
      <c r="R83" s="1" t="s">
        <v>1507</v>
      </c>
      <c r="S83" s="1" t="s">
        <v>1507</v>
      </c>
      <c r="T83" s="1" t="s">
        <v>1507</v>
      </c>
      <c r="U83" s="1" t="s">
        <v>1507</v>
      </c>
      <c r="V83" s="1" t="s">
        <v>1507</v>
      </c>
      <c r="W83" s="1" t="s">
        <v>11312</v>
      </c>
      <c r="X83" s="1" t="s">
        <v>11313</v>
      </c>
      <c r="Y83" s="1" t="s">
        <v>11314</v>
      </c>
      <c r="Z83" s="1" t="s">
        <v>11315</v>
      </c>
      <c r="AA83" s="1" t="s">
        <v>1507</v>
      </c>
      <c r="AB83" s="1" t="s">
        <v>15944</v>
      </c>
      <c r="AC83" s="1" t="s">
        <v>15945</v>
      </c>
      <c r="AD83" s="1" t="s">
        <v>11316</v>
      </c>
      <c r="AE83" s="1" t="s">
        <v>11316</v>
      </c>
      <c r="AF83" s="1" t="s">
        <v>11317</v>
      </c>
      <c r="AG83" s="1" t="s">
        <v>1507</v>
      </c>
      <c r="AH83" s="1">
        <v>32</v>
      </c>
      <c r="AI83" s="1">
        <v>2</v>
      </c>
      <c r="AJ83" s="1">
        <v>2</v>
      </c>
      <c r="AK83" s="1">
        <v>4</v>
      </c>
      <c r="AL83" s="1">
        <v>16</v>
      </c>
      <c r="AM83" s="1" t="s">
        <v>7708</v>
      </c>
      <c r="AN83" s="1" t="s">
        <v>7709</v>
      </c>
      <c r="AO83" s="1" t="s">
        <v>7710</v>
      </c>
      <c r="AP83" s="1" t="s">
        <v>7711</v>
      </c>
      <c r="AQ83" s="1" t="s">
        <v>1507</v>
      </c>
      <c r="AR83" s="1" t="s">
        <v>1507</v>
      </c>
      <c r="AS83" s="1" t="s">
        <v>7712</v>
      </c>
      <c r="AT83" s="1" t="s">
        <v>7713</v>
      </c>
      <c r="AU83" s="1" t="s">
        <v>1507</v>
      </c>
      <c r="AV83" s="1">
        <v>2019</v>
      </c>
      <c r="AW83" s="1">
        <v>49</v>
      </c>
      <c r="AX83" s="1" t="s">
        <v>1507</v>
      </c>
      <c r="AY83" s="1">
        <v>2</v>
      </c>
      <c r="AZ83" s="1" t="s">
        <v>1507</v>
      </c>
      <c r="BA83" s="1" t="s">
        <v>1507</v>
      </c>
      <c r="BB83" s="1" t="s">
        <v>1507</v>
      </c>
      <c r="BC83" s="1">
        <v>719</v>
      </c>
      <c r="BD83" s="1">
        <v>748</v>
      </c>
      <c r="BE83" s="1" t="s">
        <v>1507</v>
      </c>
      <c r="BF83" s="1" t="s">
        <v>1507</v>
      </c>
      <c r="BG83" s="1" t="s">
        <v>1507</v>
      </c>
      <c r="BH83" s="1" t="s">
        <v>1507</v>
      </c>
      <c r="BI83" s="1" t="s">
        <v>1507</v>
      </c>
      <c r="BJ83" s="1">
        <v>30</v>
      </c>
      <c r="BK83" s="1" t="s">
        <v>1535</v>
      </c>
      <c r="BL83" s="1" t="s">
        <v>1518</v>
      </c>
      <c r="BM83" s="1" t="s">
        <v>1536</v>
      </c>
      <c r="BN83" s="1" t="s">
        <v>11318</v>
      </c>
      <c r="BO83" s="1" t="s">
        <v>1507</v>
      </c>
      <c r="BP83" s="1" t="s">
        <v>1507</v>
      </c>
      <c r="BQ83" s="1" t="s">
        <v>1507</v>
      </c>
      <c r="BR83" s="1" t="s">
        <v>1507</v>
      </c>
      <c r="BS83" s="1" t="s">
        <v>13744</v>
      </c>
      <c r="BT83" s="1" t="s">
        <v>11319</v>
      </c>
      <c r="BU83" s="1" t="str">
        <f>HYPERLINK("https%3A%2F%2Fwww.webofscience.com%2Fwos%2Fwoscc%2Ffull-record%2FWOS:000485086500013","View Full Record in Web of Science")</f>
        <v>View Full Record in Web of Science</v>
      </c>
    </row>
    <row r="84" spans="1:73" x14ac:dyDescent="0.25">
      <c r="A84" s="1">
        <v>100</v>
      </c>
      <c r="B84" s="1" t="s">
        <v>1506</v>
      </c>
      <c r="C84" s="1" t="s">
        <v>7694</v>
      </c>
      <c r="D84" s="1" t="s">
        <v>1507</v>
      </c>
      <c r="E84" s="1" t="s">
        <v>1507</v>
      </c>
      <c r="F84" s="1" t="s">
        <v>1507</v>
      </c>
      <c r="G84" s="1" t="s">
        <v>7695</v>
      </c>
      <c r="H84" s="1" t="s">
        <v>1507</v>
      </c>
      <c r="I84" s="1" t="s">
        <v>1507</v>
      </c>
      <c r="J84" s="1" t="s">
        <v>7696</v>
      </c>
      <c r="K84" s="1" t="s">
        <v>7697</v>
      </c>
      <c r="L84" s="1" t="s">
        <v>1507</v>
      </c>
      <c r="M84" s="1" t="s">
        <v>1507</v>
      </c>
      <c r="N84" s="1" t="s">
        <v>42</v>
      </c>
      <c r="O84" s="1" t="s">
        <v>56</v>
      </c>
      <c r="P84" s="1" t="s">
        <v>1507</v>
      </c>
      <c r="Q84" s="1" t="s">
        <v>1507</v>
      </c>
      <c r="R84" s="1" t="s">
        <v>1507</v>
      </c>
      <c r="S84" s="1" t="s">
        <v>1507</v>
      </c>
      <c r="T84" s="1" t="s">
        <v>1507</v>
      </c>
      <c r="U84" s="1" t="s">
        <v>1507</v>
      </c>
      <c r="V84" s="1" t="s">
        <v>7698</v>
      </c>
      <c r="W84" s="1" t="s">
        <v>7699</v>
      </c>
      <c r="X84" s="1" t="s">
        <v>7700</v>
      </c>
      <c r="Y84" s="1" t="s">
        <v>7701</v>
      </c>
      <c r="Z84" s="1" t="s">
        <v>7702</v>
      </c>
      <c r="AA84" s="1" t="s">
        <v>1507</v>
      </c>
      <c r="AB84" s="1" t="s">
        <v>7703</v>
      </c>
      <c r="AC84" s="1" t="s">
        <v>7704</v>
      </c>
      <c r="AD84" s="1" t="s">
        <v>7705</v>
      </c>
      <c r="AE84" s="1" t="s">
        <v>7706</v>
      </c>
      <c r="AF84" s="1" t="s">
        <v>7707</v>
      </c>
      <c r="AG84" s="1" t="s">
        <v>1507</v>
      </c>
      <c r="AH84" s="1">
        <v>77</v>
      </c>
      <c r="AI84" s="1">
        <v>0</v>
      </c>
      <c r="AJ84" s="1">
        <v>0</v>
      </c>
      <c r="AK84" s="1">
        <v>2</v>
      </c>
      <c r="AL84" s="1">
        <v>4</v>
      </c>
      <c r="AM84" s="1" t="s">
        <v>7708</v>
      </c>
      <c r="AN84" s="1" t="s">
        <v>7709</v>
      </c>
      <c r="AO84" s="1" t="s">
        <v>7710</v>
      </c>
      <c r="AP84" s="1" t="s">
        <v>7711</v>
      </c>
      <c r="AQ84" s="1" t="s">
        <v>1507</v>
      </c>
      <c r="AR84" s="1" t="s">
        <v>1507</v>
      </c>
      <c r="AS84" s="1" t="s">
        <v>7712</v>
      </c>
      <c r="AT84" s="1" t="s">
        <v>7713</v>
      </c>
      <c r="AU84" s="1" t="s">
        <v>1507</v>
      </c>
      <c r="AV84" s="1">
        <v>2022</v>
      </c>
      <c r="AW84" s="1">
        <v>52</v>
      </c>
      <c r="AX84" s="1" t="s">
        <v>1507</v>
      </c>
      <c r="AY84" s="1">
        <v>1</v>
      </c>
      <c r="AZ84" s="1" t="s">
        <v>1507</v>
      </c>
      <c r="BA84" s="1" t="s">
        <v>1507</v>
      </c>
      <c r="BB84" s="1" t="s">
        <v>1507</v>
      </c>
      <c r="BC84" s="1">
        <v>157</v>
      </c>
      <c r="BD84" s="1">
        <v>181</v>
      </c>
      <c r="BE84" s="1" t="s">
        <v>1507</v>
      </c>
      <c r="BF84" s="1" t="s">
        <v>1507</v>
      </c>
      <c r="BG84" s="1" t="s">
        <v>1507</v>
      </c>
      <c r="BH84" s="1" t="s">
        <v>1507</v>
      </c>
      <c r="BI84" s="1" t="s">
        <v>1507</v>
      </c>
      <c r="BJ84" s="1">
        <v>25</v>
      </c>
      <c r="BK84" s="1" t="s">
        <v>1535</v>
      </c>
      <c r="BL84" s="1" t="s">
        <v>1518</v>
      </c>
      <c r="BM84" s="1" t="s">
        <v>1536</v>
      </c>
      <c r="BN84" s="1" t="s">
        <v>7714</v>
      </c>
      <c r="BO84" s="1" t="s">
        <v>1507</v>
      </c>
      <c r="BP84" s="1" t="s">
        <v>1507</v>
      </c>
      <c r="BQ84" s="1" t="s">
        <v>1507</v>
      </c>
      <c r="BR84" s="1" t="s">
        <v>1507</v>
      </c>
      <c r="BS84" s="1" t="s">
        <v>13744</v>
      </c>
      <c r="BT84" s="1" t="s">
        <v>7715</v>
      </c>
      <c r="BU84" s="1" t="str">
        <f>HYPERLINK("https%3A%2F%2Fwww.webofscience.com%2Fwos%2Fwoscc%2Ffull-record%2FWOS:000781969400007","View Full Record in Web of Science")</f>
        <v>View Full Record in Web of Science</v>
      </c>
    </row>
    <row r="85" spans="1:73" x14ac:dyDescent="0.25">
      <c r="A85" s="1">
        <v>101</v>
      </c>
      <c r="B85" s="1" t="s">
        <v>1506</v>
      </c>
      <c r="C85" s="1" t="s">
        <v>1697</v>
      </c>
      <c r="D85" s="1" t="s">
        <v>1507</v>
      </c>
      <c r="E85" s="1" t="s">
        <v>1507</v>
      </c>
      <c r="F85" s="1" t="s">
        <v>1507</v>
      </c>
      <c r="G85" s="1" t="s">
        <v>1698</v>
      </c>
      <c r="H85" s="1" t="s">
        <v>1507</v>
      </c>
      <c r="I85" s="1" t="s">
        <v>1507</v>
      </c>
      <c r="J85" s="1" t="s">
        <v>1699</v>
      </c>
      <c r="K85" s="1" t="s">
        <v>1657</v>
      </c>
      <c r="L85" s="1" t="s">
        <v>1507</v>
      </c>
      <c r="M85" s="1" t="s">
        <v>1507</v>
      </c>
      <c r="N85" s="1" t="s">
        <v>42</v>
      </c>
      <c r="O85" s="1" t="s">
        <v>56</v>
      </c>
      <c r="P85" s="1" t="s">
        <v>1507</v>
      </c>
      <c r="Q85" s="1" t="s">
        <v>1507</v>
      </c>
      <c r="R85" s="1" t="s">
        <v>1507</v>
      </c>
      <c r="S85" s="1" t="s">
        <v>1507</v>
      </c>
      <c r="T85" s="1" t="s">
        <v>1507</v>
      </c>
      <c r="U85" s="1" t="s">
        <v>1700</v>
      </c>
      <c r="V85" s="1" t="s">
        <v>1507</v>
      </c>
      <c r="W85" s="1" t="s">
        <v>1701</v>
      </c>
      <c r="X85" s="1" t="s">
        <v>1702</v>
      </c>
      <c r="Y85" s="1" t="s">
        <v>13770</v>
      </c>
      <c r="Z85" s="1" t="s">
        <v>1703</v>
      </c>
      <c r="AA85" s="1" t="s">
        <v>1704</v>
      </c>
      <c r="AB85" s="1" t="s">
        <v>13771</v>
      </c>
      <c r="AC85" s="1" t="s">
        <v>13772</v>
      </c>
      <c r="AD85" s="1" t="s">
        <v>1705</v>
      </c>
      <c r="AE85" s="1" t="s">
        <v>1706</v>
      </c>
      <c r="AF85" s="1" t="s">
        <v>1707</v>
      </c>
      <c r="AG85" s="1" t="s">
        <v>1507</v>
      </c>
      <c r="AH85" s="1">
        <v>11</v>
      </c>
      <c r="AI85" s="1">
        <v>0</v>
      </c>
      <c r="AJ85" s="1">
        <v>0</v>
      </c>
      <c r="AK85" s="1">
        <v>20</v>
      </c>
      <c r="AL85" s="1">
        <v>20</v>
      </c>
      <c r="AM85" s="1" t="s">
        <v>1667</v>
      </c>
      <c r="AN85" s="1" t="s">
        <v>1668</v>
      </c>
      <c r="AO85" s="1" t="s">
        <v>1669</v>
      </c>
      <c r="AP85" s="1" t="s">
        <v>1670</v>
      </c>
      <c r="AQ85" s="1" t="s">
        <v>1507</v>
      </c>
      <c r="AR85" s="1" t="s">
        <v>1507</v>
      </c>
      <c r="AS85" s="1" t="s">
        <v>1671</v>
      </c>
      <c r="AT85" s="1" t="s">
        <v>567</v>
      </c>
      <c r="AU85" s="1" t="s">
        <v>1708</v>
      </c>
      <c r="AV85" s="1">
        <v>2023</v>
      </c>
      <c r="AW85" s="1">
        <v>25</v>
      </c>
      <c r="AX85" s="1" t="s">
        <v>1507</v>
      </c>
      <c r="AY85" s="1" t="s">
        <v>1507</v>
      </c>
      <c r="AZ85" s="1" t="s">
        <v>1507</v>
      </c>
      <c r="BA85" s="1" t="s">
        <v>1507</v>
      </c>
      <c r="BB85" s="1" t="s">
        <v>1507</v>
      </c>
      <c r="BC85" s="1" t="s">
        <v>1507</v>
      </c>
      <c r="BD85" s="1" t="s">
        <v>1507</v>
      </c>
      <c r="BE85" s="1" t="s">
        <v>1709</v>
      </c>
      <c r="BF85" s="1" t="s">
        <v>1710</v>
      </c>
      <c r="BG85" s="1" t="str">
        <f>HYPERLINK("http://dx.doi.org/10.2196/51229","http://dx.doi.org/10.2196/51229")</f>
        <v>http://dx.doi.org/10.2196/51229</v>
      </c>
      <c r="BH85" s="1" t="s">
        <v>1507</v>
      </c>
      <c r="BI85" s="1" t="s">
        <v>1507</v>
      </c>
      <c r="BJ85" s="1">
        <v>9</v>
      </c>
      <c r="BK85" s="1" t="s">
        <v>1585</v>
      </c>
      <c r="BL85" s="1" t="s">
        <v>1573</v>
      </c>
      <c r="BM85" s="1" t="s">
        <v>1585</v>
      </c>
      <c r="BN85" s="1" t="s">
        <v>1711</v>
      </c>
      <c r="BO85" s="1">
        <v>38145486</v>
      </c>
      <c r="BP85" s="1" t="s">
        <v>1531</v>
      </c>
      <c r="BQ85" s="1" t="s">
        <v>1507</v>
      </c>
      <c r="BR85" s="1" t="s">
        <v>1507</v>
      </c>
      <c r="BS85" s="1" t="s">
        <v>13744</v>
      </c>
      <c r="BT85" s="1" t="s">
        <v>1712</v>
      </c>
      <c r="BU85" s="1" t="str">
        <f>HYPERLINK("https%3A%2F%2Fwww.webofscience.com%2Fwos%2Fwoscc%2Ffull-record%2FWOS:001146575700003","View Full Record in Web of Science")</f>
        <v>View Full Record in Web of Science</v>
      </c>
    </row>
    <row r="86" spans="1:73" x14ac:dyDescent="0.25">
      <c r="A86" s="1">
        <v>102</v>
      </c>
      <c r="B86" s="1" t="s">
        <v>1506</v>
      </c>
      <c r="C86" s="1" t="s">
        <v>7214</v>
      </c>
      <c r="D86" s="1" t="s">
        <v>1507</v>
      </c>
      <c r="E86" s="1" t="s">
        <v>1507</v>
      </c>
      <c r="F86" s="1" t="s">
        <v>1507</v>
      </c>
      <c r="G86" s="1" t="s">
        <v>7215</v>
      </c>
      <c r="H86" s="1" t="s">
        <v>1507</v>
      </c>
      <c r="I86" s="1" t="s">
        <v>1507</v>
      </c>
      <c r="J86" s="1" t="s">
        <v>7216</v>
      </c>
      <c r="K86" s="1" t="s">
        <v>7217</v>
      </c>
      <c r="L86" s="1" t="s">
        <v>1507</v>
      </c>
      <c r="M86" s="1" t="s">
        <v>1507</v>
      </c>
      <c r="N86" s="1" t="s">
        <v>42</v>
      </c>
      <c r="O86" s="1" t="s">
        <v>56</v>
      </c>
      <c r="P86" s="1" t="s">
        <v>1507</v>
      </c>
      <c r="Q86" s="1" t="s">
        <v>1507</v>
      </c>
      <c r="R86" s="1" t="s">
        <v>1507</v>
      </c>
      <c r="S86" s="1" t="s">
        <v>1507</v>
      </c>
      <c r="T86" s="1" t="s">
        <v>1507</v>
      </c>
      <c r="U86" s="1" t="s">
        <v>1507</v>
      </c>
      <c r="V86" s="1" t="s">
        <v>1507</v>
      </c>
      <c r="W86" s="1" t="s">
        <v>7218</v>
      </c>
      <c r="X86" s="1" t="s">
        <v>7219</v>
      </c>
      <c r="Y86" s="1" t="s">
        <v>7220</v>
      </c>
      <c r="Z86" s="1" t="s">
        <v>7221</v>
      </c>
      <c r="AA86" s="1" t="s">
        <v>7222</v>
      </c>
      <c r="AB86" s="1" t="s">
        <v>15614</v>
      </c>
      <c r="AC86" s="1" t="s">
        <v>15615</v>
      </c>
      <c r="AD86" s="1" t="s">
        <v>7223</v>
      </c>
      <c r="AE86" s="1" t="s">
        <v>7224</v>
      </c>
      <c r="AF86" s="1" t="s">
        <v>7225</v>
      </c>
      <c r="AG86" s="1" t="s">
        <v>1507</v>
      </c>
      <c r="AH86" s="1">
        <v>31</v>
      </c>
      <c r="AI86" s="1">
        <v>22</v>
      </c>
      <c r="AJ86" s="1">
        <v>25</v>
      </c>
      <c r="AK86" s="1">
        <v>1</v>
      </c>
      <c r="AL86" s="1">
        <v>7</v>
      </c>
      <c r="AM86" s="1" t="s">
        <v>7226</v>
      </c>
      <c r="AN86" s="1" t="s">
        <v>7227</v>
      </c>
      <c r="AO86" s="1" t="s">
        <v>7228</v>
      </c>
      <c r="AP86" s="1" t="s">
        <v>7229</v>
      </c>
      <c r="AQ86" s="1" t="s">
        <v>7230</v>
      </c>
      <c r="AR86" s="1" t="s">
        <v>1507</v>
      </c>
      <c r="AS86" s="1" t="s">
        <v>7217</v>
      </c>
      <c r="AT86" s="1" t="s">
        <v>7231</v>
      </c>
      <c r="AU86" s="1" t="s">
        <v>7232</v>
      </c>
      <c r="AV86" s="1">
        <v>2022</v>
      </c>
      <c r="AW86" s="1">
        <v>27</v>
      </c>
      <c r="AX86" s="1">
        <v>18</v>
      </c>
      <c r="AY86" s="1" t="s">
        <v>1507</v>
      </c>
      <c r="AZ86" s="1" t="s">
        <v>1507</v>
      </c>
      <c r="BA86" s="1" t="s">
        <v>1507</v>
      </c>
      <c r="BB86" s="1" t="s">
        <v>1507</v>
      </c>
      <c r="BC86" s="1">
        <v>14</v>
      </c>
      <c r="BD86" s="1">
        <v>24</v>
      </c>
      <c r="BE86" s="1" t="s">
        <v>1507</v>
      </c>
      <c r="BF86" s="1" t="s">
        <v>7233</v>
      </c>
      <c r="BG86" s="1" t="str">
        <f>HYPERLINK("http://dx.doi.org/10.2807/1560-7917.ES.2022.27.18.2200178","http://dx.doi.org/10.2807/1560-7917.ES.2022.27.18.2200178")</f>
        <v>http://dx.doi.org/10.2807/1560-7917.ES.2022.27.18.2200178</v>
      </c>
      <c r="BH86" s="1" t="s">
        <v>1507</v>
      </c>
      <c r="BI86" s="1" t="s">
        <v>1507</v>
      </c>
      <c r="BJ86" s="1">
        <v>11</v>
      </c>
      <c r="BK86" s="1" t="s">
        <v>4015</v>
      </c>
      <c r="BL86" s="1" t="s">
        <v>1573</v>
      </c>
      <c r="BM86" s="1" t="s">
        <v>4015</v>
      </c>
      <c r="BN86" s="1" t="s">
        <v>7234</v>
      </c>
      <c r="BO86" s="1">
        <v>35514306</v>
      </c>
      <c r="BP86" s="1" t="s">
        <v>1674</v>
      </c>
      <c r="BQ86" s="1" t="s">
        <v>1507</v>
      </c>
      <c r="BR86" s="1" t="s">
        <v>1507</v>
      </c>
      <c r="BS86" s="1" t="s">
        <v>13744</v>
      </c>
      <c r="BT86" s="1" t="s">
        <v>7235</v>
      </c>
      <c r="BU86" s="1" t="str">
        <f>HYPERLINK("https%3A%2F%2Fwww.webofscience.com%2Fwos%2Fwoscc%2Ffull-record%2FWOS:000834892300003","View Full Record in Web of Science")</f>
        <v>View Full Record in Web of Science</v>
      </c>
    </row>
    <row r="87" spans="1:73" x14ac:dyDescent="0.25">
      <c r="A87" s="1">
        <v>103</v>
      </c>
      <c r="B87" s="1" t="s">
        <v>1506</v>
      </c>
      <c r="C87" s="1" t="s">
        <v>2742</v>
      </c>
      <c r="D87" s="1" t="s">
        <v>1507</v>
      </c>
      <c r="E87" s="1" t="s">
        <v>1507</v>
      </c>
      <c r="F87" s="1" t="s">
        <v>1507</v>
      </c>
      <c r="G87" s="1" t="s">
        <v>2743</v>
      </c>
      <c r="H87" s="1" t="s">
        <v>1507</v>
      </c>
      <c r="I87" s="1" t="s">
        <v>1507</v>
      </c>
      <c r="J87" s="1" t="s">
        <v>569</v>
      </c>
      <c r="K87" s="1" t="s">
        <v>2744</v>
      </c>
      <c r="L87" s="1" t="s">
        <v>1507</v>
      </c>
      <c r="M87" s="1" t="s">
        <v>1507</v>
      </c>
      <c r="N87" s="1" t="s">
        <v>42</v>
      </c>
      <c r="O87" s="1" t="s">
        <v>56</v>
      </c>
      <c r="P87" s="1" t="s">
        <v>1507</v>
      </c>
      <c r="Q87" s="1" t="s">
        <v>1507</v>
      </c>
      <c r="R87" s="1" t="s">
        <v>1507</v>
      </c>
      <c r="S87" s="1" t="s">
        <v>1507</v>
      </c>
      <c r="T87" s="1" t="s">
        <v>1507</v>
      </c>
      <c r="U87" s="1" t="s">
        <v>2745</v>
      </c>
      <c r="V87" s="1" t="s">
        <v>1507</v>
      </c>
      <c r="W87" s="1" t="s">
        <v>2746</v>
      </c>
      <c r="X87" s="1" t="s">
        <v>2747</v>
      </c>
      <c r="Y87" s="1" t="s">
        <v>14045</v>
      </c>
      <c r="Z87" s="1" t="s">
        <v>2748</v>
      </c>
      <c r="AA87" s="1" t="s">
        <v>2749</v>
      </c>
      <c r="AB87" s="1" t="s">
        <v>1507</v>
      </c>
      <c r="AC87" s="1" t="s">
        <v>14046</v>
      </c>
      <c r="AD87" s="1" t="s">
        <v>1507</v>
      </c>
      <c r="AE87" s="1" t="s">
        <v>1507</v>
      </c>
      <c r="AF87" s="1" t="s">
        <v>1507</v>
      </c>
      <c r="AG87" s="1" t="s">
        <v>1507</v>
      </c>
      <c r="AH87" s="1">
        <v>28</v>
      </c>
      <c r="AI87" s="1">
        <v>3</v>
      </c>
      <c r="AJ87" s="1">
        <v>3</v>
      </c>
      <c r="AK87" s="1">
        <v>7</v>
      </c>
      <c r="AL87" s="1">
        <v>7</v>
      </c>
      <c r="AM87" s="1" t="s">
        <v>1511</v>
      </c>
      <c r="AN87" s="1" t="s">
        <v>1512</v>
      </c>
      <c r="AO87" s="1" t="s">
        <v>1513</v>
      </c>
      <c r="AP87" s="1" t="s">
        <v>2750</v>
      </c>
      <c r="AQ87" s="1" t="s">
        <v>2751</v>
      </c>
      <c r="AR87" s="1" t="s">
        <v>1507</v>
      </c>
      <c r="AS87" s="1" t="s">
        <v>2752</v>
      </c>
      <c r="AT87" s="1" t="s">
        <v>2753</v>
      </c>
      <c r="AU87" s="1" t="s">
        <v>9054</v>
      </c>
      <c r="AV87" s="1">
        <v>2024</v>
      </c>
      <c r="AW87" s="1">
        <v>281</v>
      </c>
      <c r="AX87" s="1">
        <v>2</v>
      </c>
      <c r="AY87" s="1" t="s">
        <v>1507</v>
      </c>
      <c r="AZ87" s="1" t="s">
        <v>1507</v>
      </c>
      <c r="BA87" s="1" t="s">
        <v>1507</v>
      </c>
      <c r="BB87" s="1" t="s">
        <v>1507</v>
      </c>
      <c r="BC87" s="1">
        <v>985</v>
      </c>
      <c r="BD87" s="1">
        <v>993</v>
      </c>
      <c r="BE87" s="1" t="s">
        <v>1507</v>
      </c>
      <c r="BF87" s="1" t="s">
        <v>570</v>
      </c>
      <c r="BG87" s="1" t="str">
        <f>HYPERLINK("http://dx.doi.org/10.1007/s00405-023-08319-9","http://dx.doi.org/10.1007/s00405-023-08319-9")</f>
        <v>http://dx.doi.org/10.1007/s00405-023-08319-9</v>
      </c>
      <c r="BH87" s="1" t="s">
        <v>1507</v>
      </c>
      <c r="BI87" s="1" t="s">
        <v>2396</v>
      </c>
      <c r="BJ87" s="1">
        <v>9</v>
      </c>
      <c r="BK87" s="1" t="s">
        <v>2754</v>
      </c>
      <c r="BL87" s="1" t="s">
        <v>1573</v>
      </c>
      <c r="BM87" s="1" t="s">
        <v>2754</v>
      </c>
      <c r="BN87" s="1" t="s">
        <v>2755</v>
      </c>
      <c r="BO87" s="1">
        <v>37917165</v>
      </c>
      <c r="BP87" s="1" t="s">
        <v>1507</v>
      </c>
      <c r="BQ87" s="1" t="s">
        <v>1507</v>
      </c>
      <c r="BR87" s="1" t="s">
        <v>1507</v>
      </c>
      <c r="BS87" s="1" t="s">
        <v>13744</v>
      </c>
      <c r="BT87" s="1" t="s">
        <v>2756</v>
      </c>
      <c r="BU87" s="1" t="str">
        <f>HYPERLINK("https%3A%2F%2Fwww.webofscience.com%2Fwos%2Fwoscc%2Ffull-record%2FWOS:001098005800002","View Full Record in Web of Science")</f>
        <v>View Full Record in Web of Science</v>
      </c>
    </row>
    <row r="88" spans="1:73" x14ac:dyDescent="0.25">
      <c r="A88" s="1">
        <v>104</v>
      </c>
      <c r="B88" s="1" t="s">
        <v>5546</v>
      </c>
      <c r="C88" s="1" t="s">
        <v>5674</v>
      </c>
      <c r="D88" s="1" t="s">
        <v>1507</v>
      </c>
      <c r="E88" s="1" t="s">
        <v>1507</v>
      </c>
      <c r="F88" s="1" t="s">
        <v>5548</v>
      </c>
      <c r="G88" s="1" t="s">
        <v>5675</v>
      </c>
      <c r="H88" s="1" t="s">
        <v>1507</v>
      </c>
      <c r="I88" s="1" t="s">
        <v>1507</v>
      </c>
      <c r="J88" s="1" t="s">
        <v>5676</v>
      </c>
      <c r="K88" s="1" t="s">
        <v>5677</v>
      </c>
      <c r="L88" s="1" t="s">
        <v>1507</v>
      </c>
      <c r="M88" s="1" t="s">
        <v>1507</v>
      </c>
      <c r="N88" s="1" t="s">
        <v>42</v>
      </c>
      <c r="O88" s="1" t="s">
        <v>5552</v>
      </c>
      <c r="P88" s="1" t="s">
        <v>5678</v>
      </c>
      <c r="Q88" s="1" t="s">
        <v>5679</v>
      </c>
      <c r="R88" s="1" t="s">
        <v>5680</v>
      </c>
      <c r="S88" s="1" t="s">
        <v>5681</v>
      </c>
      <c r="T88" s="1" t="s">
        <v>5682</v>
      </c>
      <c r="U88" s="1" t="s">
        <v>5683</v>
      </c>
      <c r="V88" s="1" t="s">
        <v>1507</v>
      </c>
      <c r="W88" s="1" t="s">
        <v>5684</v>
      </c>
      <c r="X88" s="1" t="s">
        <v>5685</v>
      </c>
      <c r="Y88" s="1" t="s">
        <v>5686</v>
      </c>
      <c r="Z88" s="1" t="s">
        <v>5687</v>
      </c>
      <c r="AA88" s="1" t="s">
        <v>5688</v>
      </c>
      <c r="AB88" s="1" t="s">
        <v>1507</v>
      </c>
      <c r="AC88" s="1" t="s">
        <v>1507</v>
      </c>
      <c r="AD88" s="1" t="s">
        <v>5689</v>
      </c>
      <c r="AE88" s="1" t="s">
        <v>5690</v>
      </c>
      <c r="AF88" s="1" t="s">
        <v>5691</v>
      </c>
      <c r="AG88" s="1" t="s">
        <v>1507</v>
      </c>
      <c r="AH88" s="1">
        <v>62</v>
      </c>
      <c r="AI88" s="1">
        <v>2</v>
      </c>
      <c r="AJ88" s="1">
        <v>2</v>
      </c>
      <c r="AK88" s="1">
        <v>4</v>
      </c>
      <c r="AL88" s="1">
        <v>4</v>
      </c>
      <c r="AM88" s="1" t="s">
        <v>5565</v>
      </c>
      <c r="AN88" s="1" t="s">
        <v>1512</v>
      </c>
      <c r="AO88" s="1" t="s">
        <v>5566</v>
      </c>
      <c r="AP88" s="1" t="s">
        <v>1507</v>
      </c>
      <c r="AQ88" s="1" t="s">
        <v>1507</v>
      </c>
      <c r="AR88" s="1" t="s">
        <v>5692</v>
      </c>
      <c r="AS88" s="1" t="s">
        <v>1507</v>
      </c>
      <c r="AT88" s="1" t="s">
        <v>1507</v>
      </c>
      <c r="AU88" s="1" t="s">
        <v>1507</v>
      </c>
      <c r="AV88" s="1">
        <v>2023</v>
      </c>
      <c r="AW88" s="1" t="s">
        <v>1507</v>
      </c>
      <c r="AX88" s="1" t="s">
        <v>1507</v>
      </c>
      <c r="AY88" s="1" t="s">
        <v>1507</v>
      </c>
      <c r="AZ88" s="1" t="s">
        <v>1507</v>
      </c>
      <c r="BA88" s="1" t="s">
        <v>1507</v>
      </c>
      <c r="BB88" s="1" t="s">
        <v>1507</v>
      </c>
      <c r="BC88" s="1" t="s">
        <v>1507</v>
      </c>
      <c r="BD88" s="1" t="s">
        <v>1507</v>
      </c>
      <c r="BE88" s="1" t="s">
        <v>1507</v>
      </c>
      <c r="BF88" s="1" t="s">
        <v>5693</v>
      </c>
      <c r="BG88" s="1" t="str">
        <f>HYPERLINK("http://dx.doi.org/10.1145/3604930.3605705","http://dx.doi.org/10.1145/3604930.3605705")</f>
        <v>http://dx.doi.org/10.1145/3604930.3605705</v>
      </c>
      <c r="BH88" s="1" t="s">
        <v>1507</v>
      </c>
      <c r="BI88" s="1" t="s">
        <v>1507</v>
      </c>
      <c r="BJ88" s="1">
        <v>7</v>
      </c>
      <c r="BK88" s="1" t="s">
        <v>5694</v>
      </c>
      <c r="BL88" s="1" t="s">
        <v>5695</v>
      </c>
      <c r="BM88" s="1" t="s">
        <v>3418</v>
      </c>
      <c r="BN88" s="1" t="s">
        <v>5696</v>
      </c>
      <c r="BO88" s="1" t="s">
        <v>1507</v>
      </c>
      <c r="BP88" s="1" t="s">
        <v>1537</v>
      </c>
      <c r="BQ88" s="1" t="s">
        <v>1507</v>
      </c>
      <c r="BR88" s="1" t="s">
        <v>1507</v>
      </c>
      <c r="BS88" s="1" t="s">
        <v>13744</v>
      </c>
      <c r="BT88" s="1" t="s">
        <v>5697</v>
      </c>
      <c r="BU88" s="1" t="str">
        <f>HYPERLINK("https%3A%2F%2Fwww.webofscience.com%2Fwos%2Fwoscc%2Ffull-record%2FWOS:001124735600011","View Full Record in Web of Science")</f>
        <v>View Full Record in Web of Science</v>
      </c>
    </row>
    <row r="89" spans="1:73" x14ac:dyDescent="0.25">
      <c r="A89" s="1">
        <v>105</v>
      </c>
      <c r="B89" s="1" t="s">
        <v>1506</v>
      </c>
      <c r="C89" s="1" t="s">
        <v>10979</v>
      </c>
      <c r="D89" s="1" t="s">
        <v>1507</v>
      </c>
      <c r="E89" s="1" t="s">
        <v>1507</v>
      </c>
      <c r="F89" s="1" t="s">
        <v>1507</v>
      </c>
      <c r="G89" s="1" t="s">
        <v>10980</v>
      </c>
      <c r="H89" s="1" t="s">
        <v>1507</v>
      </c>
      <c r="I89" s="1" t="s">
        <v>1507</v>
      </c>
      <c r="J89" s="1" t="s">
        <v>10981</v>
      </c>
      <c r="K89" s="1" t="s">
        <v>10982</v>
      </c>
      <c r="L89" s="1" t="s">
        <v>1507</v>
      </c>
      <c r="M89" s="1" t="s">
        <v>1507</v>
      </c>
      <c r="N89" s="1" t="s">
        <v>42</v>
      </c>
      <c r="O89" s="1" t="s">
        <v>56</v>
      </c>
      <c r="P89" s="1" t="s">
        <v>1507</v>
      </c>
      <c r="Q89" s="1" t="s">
        <v>1507</v>
      </c>
      <c r="R89" s="1" t="s">
        <v>1507</v>
      </c>
      <c r="S89" s="1" t="s">
        <v>1507</v>
      </c>
      <c r="T89" s="1" t="s">
        <v>1507</v>
      </c>
      <c r="U89" s="1" t="s">
        <v>10983</v>
      </c>
      <c r="V89" s="1" t="s">
        <v>1507</v>
      </c>
      <c r="W89" s="1" t="s">
        <v>10984</v>
      </c>
      <c r="X89" s="1" t="s">
        <v>10985</v>
      </c>
      <c r="Y89" s="1" t="s">
        <v>10986</v>
      </c>
      <c r="Z89" s="1" t="s">
        <v>10987</v>
      </c>
      <c r="AA89" s="1" t="s">
        <v>1507</v>
      </c>
      <c r="AB89" s="1" t="s">
        <v>15931</v>
      </c>
      <c r="AC89" s="1" t="s">
        <v>15932</v>
      </c>
      <c r="AD89" s="1" t="s">
        <v>1507</v>
      </c>
      <c r="AE89" s="1" t="s">
        <v>1507</v>
      </c>
      <c r="AF89" s="1" t="s">
        <v>1507</v>
      </c>
      <c r="AG89" s="1" t="s">
        <v>1507</v>
      </c>
      <c r="AH89" s="1">
        <v>28</v>
      </c>
      <c r="AI89" s="1">
        <v>3</v>
      </c>
      <c r="AJ89" s="1">
        <v>3</v>
      </c>
      <c r="AK89" s="1">
        <v>2</v>
      </c>
      <c r="AL89" s="1">
        <v>5</v>
      </c>
      <c r="AM89" s="1" t="s">
        <v>10988</v>
      </c>
      <c r="AN89" s="1" t="s">
        <v>10989</v>
      </c>
      <c r="AO89" s="1" t="s">
        <v>10990</v>
      </c>
      <c r="AP89" s="1" t="s">
        <v>10991</v>
      </c>
      <c r="AQ89" s="1" t="s">
        <v>10992</v>
      </c>
      <c r="AR89" s="1" t="s">
        <v>1507</v>
      </c>
      <c r="AS89" s="1" t="s">
        <v>10993</v>
      </c>
      <c r="AT89" s="1" t="s">
        <v>10994</v>
      </c>
      <c r="AU89" s="1" t="s">
        <v>10995</v>
      </c>
      <c r="AV89" s="1">
        <v>2019</v>
      </c>
      <c r="AW89" s="1">
        <v>10</v>
      </c>
      <c r="AX89" s="1" t="s">
        <v>1507</v>
      </c>
      <c r="AY89" s="1" t="s">
        <v>1507</v>
      </c>
      <c r="AZ89" s="1" t="s">
        <v>1507</v>
      </c>
      <c r="BA89" s="1" t="s">
        <v>3506</v>
      </c>
      <c r="BB89" s="1" t="s">
        <v>1507</v>
      </c>
      <c r="BC89" s="1">
        <v>10</v>
      </c>
      <c r="BD89" s="1">
        <v>30</v>
      </c>
      <c r="BE89" s="1" t="s">
        <v>1507</v>
      </c>
      <c r="BF89" s="1" t="s">
        <v>10996</v>
      </c>
      <c r="BG89" s="1" t="str">
        <f>HYPERLINK("http://dx.doi.org/10.22055/RALS.2019.14672","http://dx.doi.org/10.22055/RALS.2019.14672")</f>
        <v>http://dx.doi.org/10.22055/RALS.2019.14672</v>
      </c>
      <c r="BH89" s="1" t="s">
        <v>1507</v>
      </c>
      <c r="BI89" s="1" t="s">
        <v>1507</v>
      </c>
      <c r="BJ89" s="1">
        <v>21</v>
      </c>
      <c r="BK89" s="1" t="s">
        <v>6612</v>
      </c>
      <c r="BL89" s="1" t="s">
        <v>1529</v>
      </c>
      <c r="BM89" s="1" t="s">
        <v>6612</v>
      </c>
      <c r="BN89" s="1" t="s">
        <v>10997</v>
      </c>
      <c r="BO89" s="1" t="s">
        <v>1507</v>
      </c>
      <c r="BP89" s="1" t="s">
        <v>1507</v>
      </c>
      <c r="BQ89" s="1" t="s">
        <v>1507</v>
      </c>
      <c r="BR89" s="1" t="s">
        <v>1507</v>
      </c>
      <c r="BS89" s="1" t="s">
        <v>13744</v>
      </c>
      <c r="BT89" s="1" t="s">
        <v>10998</v>
      </c>
      <c r="BU89" s="1" t="str">
        <f>HYPERLINK("https%3A%2F%2Fwww.webofscience.com%2Fwos%2Fwoscc%2Ffull-record%2FWOS:000484739800002","View Full Record in Web of Science")</f>
        <v>View Full Record in Web of Science</v>
      </c>
    </row>
    <row r="90" spans="1:73" x14ac:dyDescent="0.25">
      <c r="A90" s="1">
        <v>106</v>
      </c>
      <c r="B90" s="1" t="s">
        <v>1506</v>
      </c>
      <c r="C90" s="1" t="s">
        <v>9020</v>
      </c>
      <c r="D90" s="1" t="s">
        <v>1507</v>
      </c>
      <c r="E90" s="1" t="s">
        <v>1507</v>
      </c>
      <c r="F90" s="1" t="s">
        <v>1507</v>
      </c>
      <c r="G90" s="1" t="s">
        <v>9021</v>
      </c>
      <c r="H90" s="1" t="s">
        <v>1507</v>
      </c>
      <c r="I90" s="1" t="s">
        <v>1507</v>
      </c>
      <c r="J90" s="1" t="s">
        <v>9022</v>
      </c>
      <c r="K90" s="1" t="s">
        <v>5166</v>
      </c>
      <c r="L90" s="1" t="s">
        <v>1507</v>
      </c>
      <c r="M90" s="1" t="s">
        <v>1507</v>
      </c>
      <c r="N90" s="1" t="s">
        <v>42</v>
      </c>
      <c r="O90" s="1" t="s">
        <v>56</v>
      </c>
      <c r="P90" s="1" t="s">
        <v>1507</v>
      </c>
      <c r="Q90" s="1" t="s">
        <v>1507</v>
      </c>
      <c r="R90" s="1" t="s">
        <v>1507</v>
      </c>
      <c r="S90" s="1" t="s">
        <v>1507</v>
      </c>
      <c r="T90" s="1" t="s">
        <v>1507</v>
      </c>
      <c r="U90" s="1" t="s">
        <v>9023</v>
      </c>
      <c r="V90" s="1" t="s">
        <v>1507</v>
      </c>
      <c r="W90" s="1" t="s">
        <v>9024</v>
      </c>
      <c r="X90" s="1" t="s">
        <v>9025</v>
      </c>
      <c r="Y90" s="1" t="s">
        <v>5170</v>
      </c>
      <c r="Z90" s="1" t="s">
        <v>5171</v>
      </c>
      <c r="AA90" s="1" t="s">
        <v>9026</v>
      </c>
      <c r="AB90" s="1" t="s">
        <v>5173</v>
      </c>
      <c r="AC90" s="1" t="s">
        <v>5174</v>
      </c>
      <c r="AD90" s="1" t="s">
        <v>9027</v>
      </c>
      <c r="AE90" s="1" t="s">
        <v>9028</v>
      </c>
      <c r="AF90" s="1" t="s">
        <v>9029</v>
      </c>
      <c r="AG90" s="1" t="s">
        <v>1507</v>
      </c>
      <c r="AH90" s="1">
        <v>44</v>
      </c>
      <c r="AI90" s="1">
        <v>3</v>
      </c>
      <c r="AJ90" s="1">
        <v>3</v>
      </c>
      <c r="AK90" s="1">
        <v>0</v>
      </c>
      <c r="AL90" s="1">
        <v>5</v>
      </c>
      <c r="AM90" s="1" t="s">
        <v>5178</v>
      </c>
      <c r="AN90" s="1" t="s">
        <v>5179</v>
      </c>
      <c r="AO90" s="1" t="s">
        <v>5180</v>
      </c>
      <c r="AP90" s="1" t="s">
        <v>5181</v>
      </c>
      <c r="AQ90" s="1" t="s">
        <v>5182</v>
      </c>
      <c r="AR90" s="1" t="s">
        <v>1507</v>
      </c>
      <c r="AS90" s="1" t="s">
        <v>5183</v>
      </c>
      <c r="AT90" s="1" t="s">
        <v>5184</v>
      </c>
      <c r="AU90" s="1" t="s">
        <v>15706</v>
      </c>
      <c r="AV90" s="1">
        <v>2021</v>
      </c>
      <c r="AW90" s="1">
        <v>24</v>
      </c>
      <c r="AX90" s="1">
        <v>4</v>
      </c>
      <c r="AY90" s="1" t="s">
        <v>1507</v>
      </c>
      <c r="AZ90" s="1" t="s">
        <v>1507</v>
      </c>
      <c r="BA90" s="1" t="s">
        <v>1507</v>
      </c>
      <c r="BB90" s="1" t="s">
        <v>1507</v>
      </c>
      <c r="BC90" s="1">
        <v>789</v>
      </c>
      <c r="BD90" s="1">
        <v>805</v>
      </c>
      <c r="BE90" s="1" t="s">
        <v>1507</v>
      </c>
      <c r="BF90" s="1" t="s">
        <v>9030</v>
      </c>
      <c r="BG90" s="1" t="str">
        <f>HYPERLINK("http://dx.doi.org/10.1108/JMLC-10-2020-0120","http://dx.doi.org/10.1108/JMLC-10-2020-0120")</f>
        <v>http://dx.doi.org/10.1108/JMLC-10-2020-0120</v>
      </c>
      <c r="BH90" s="1" t="s">
        <v>1507</v>
      </c>
      <c r="BI90" s="1" t="s">
        <v>8999</v>
      </c>
      <c r="BJ90" s="1">
        <v>17</v>
      </c>
      <c r="BK90" s="1" t="s">
        <v>5187</v>
      </c>
      <c r="BL90" s="1" t="s">
        <v>1529</v>
      </c>
      <c r="BM90" s="1" t="s">
        <v>5187</v>
      </c>
      <c r="BN90" s="1" t="s">
        <v>9031</v>
      </c>
      <c r="BO90" s="1" t="s">
        <v>1507</v>
      </c>
      <c r="BP90" s="1" t="s">
        <v>1507</v>
      </c>
      <c r="BQ90" s="1" t="s">
        <v>1507</v>
      </c>
      <c r="BR90" s="1" t="s">
        <v>1507</v>
      </c>
      <c r="BS90" s="1" t="s">
        <v>13744</v>
      </c>
      <c r="BT90" s="1" t="s">
        <v>9032</v>
      </c>
      <c r="BU90" s="1" t="str">
        <f>HYPERLINK("https%3A%2F%2Fwww.webofscience.com%2Fwos%2Fwoscc%2Ffull-record%2FWOS:000618350600001","View Full Record in Web of Science")</f>
        <v>View Full Record in Web of Science</v>
      </c>
    </row>
    <row r="91" spans="1:73" x14ac:dyDescent="0.25">
      <c r="A91" s="1">
        <v>107</v>
      </c>
      <c r="B91" s="1" t="s">
        <v>1506</v>
      </c>
      <c r="C91" s="1" t="s">
        <v>5163</v>
      </c>
      <c r="D91" s="1" t="s">
        <v>1507</v>
      </c>
      <c r="E91" s="1" t="s">
        <v>1507</v>
      </c>
      <c r="F91" s="1" t="s">
        <v>1507</v>
      </c>
      <c r="G91" s="1" t="s">
        <v>5164</v>
      </c>
      <c r="H91" s="1" t="s">
        <v>1507</v>
      </c>
      <c r="I91" s="1" t="s">
        <v>1507</v>
      </c>
      <c r="J91" s="1" t="s">
        <v>5165</v>
      </c>
      <c r="K91" s="1" t="s">
        <v>5166</v>
      </c>
      <c r="L91" s="1" t="s">
        <v>1507</v>
      </c>
      <c r="M91" s="1" t="s">
        <v>1507</v>
      </c>
      <c r="N91" s="1" t="s">
        <v>42</v>
      </c>
      <c r="O91" s="1" t="s">
        <v>56</v>
      </c>
      <c r="P91" s="1" t="s">
        <v>1507</v>
      </c>
      <c r="Q91" s="1" t="s">
        <v>1507</v>
      </c>
      <c r="R91" s="1" t="s">
        <v>1507</v>
      </c>
      <c r="S91" s="1" t="s">
        <v>1507</v>
      </c>
      <c r="T91" s="1" t="s">
        <v>1507</v>
      </c>
      <c r="U91" s="1" t="s">
        <v>5167</v>
      </c>
      <c r="V91" s="1" t="s">
        <v>1507</v>
      </c>
      <c r="W91" s="1" t="s">
        <v>5168</v>
      </c>
      <c r="X91" s="1" t="s">
        <v>5169</v>
      </c>
      <c r="Y91" s="1" t="s">
        <v>5170</v>
      </c>
      <c r="Z91" s="1" t="s">
        <v>5171</v>
      </c>
      <c r="AA91" s="1" t="s">
        <v>5172</v>
      </c>
      <c r="AB91" s="1" t="s">
        <v>5173</v>
      </c>
      <c r="AC91" s="1" t="s">
        <v>5174</v>
      </c>
      <c r="AD91" s="1" t="s">
        <v>5175</v>
      </c>
      <c r="AE91" s="1" t="s">
        <v>5176</v>
      </c>
      <c r="AF91" s="1" t="s">
        <v>5177</v>
      </c>
      <c r="AG91" s="1" t="s">
        <v>1507</v>
      </c>
      <c r="AH91" s="1">
        <v>50</v>
      </c>
      <c r="AI91" s="1">
        <v>0</v>
      </c>
      <c r="AJ91" s="1">
        <v>0</v>
      </c>
      <c r="AK91" s="1">
        <v>0</v>
      </c>
      <c r="AL91" s="1">
        <v>0</v>
      </c>
      <c r="AM91" s="1" t="s">
        <v>5178</v>
      </c>
      <c r="AN91" s="1" t="s">
        <v>5179</v>
      </c>
      <c r="AO91" s="1" t="s">
        <v>5180</v>
      </c>
      <c r="AP91" s="1" t="s">
        <v>5181</v>
      </c>
      <c r="AQ91" s="1" t="s">
        <v>5182</v>
      </c>
      <c r="AR91" s="1" t="s">
        <v>1507</v>
      </c>
      <c r="AS91" s="1" t="s">
        <v>5183</v>
      </c>
      <c r="AT91" s="1" t="s">
        <v>5184</v>
      </c>
      <c r="AU91" s="1" t="s">
        <v>5185</v>
      </c>
      <c r="AV91" s="1">
        <v>2023</v>
      </c>
      <c r="AW91" s="1">
        <v>26</v>
      </c>
      <c r="AX91" s="1">
        <v>7</v>
      </c>
      <c r="AY91" s="1" t="s">
        <v>1507</v>
      </c>
      <c r="AZ91" s="1" t="s">
        <v>1507</v>
      </c>
      <c r="BA91" s="1" t="s">
        <v>1507</v>
      </c>
      <c r="BB91" s="1" t="s">
        <v>1507</v>
      </c>
      <c r="BC91" s="1">
        <v>138</v>
      </c>
      <c r="BD91" s="1">
        <v>154</v>
      </c>
      <c r="BE91" s="1" t="s">
        <v>1507</v>
      </c>
      <c r="BF91" s="1" t="s">
        <v>5186</v>
      </c>
      <c r="BG91" s="1" t="str">
        <f>HYPERLINK("http://dx.doi.org/10.1108/JMLC-01-2023-0016","http://dx.doi.org/10.1108/JMLC-01-2023-0016")</f>
        <v>http://dx.doi.org/10.1108/JMLC-01-2023-0016</v>
      </c>
      <c r="BH91" s="1" t="s">
        <v>1507</v>
      </c>
      <c r="BI91" s="1" t="s">
        <v>1507</v>
      </c>
      <c r="BJ91" s="1">
        <v>17</v>
      </c>
      <c r="BK91" s="1" t="s">
        <v>5187</v>
      </c>
      <c r="BL91" s="1" t="s">
        <v>1529</v>
      </c>
      <c r="BM91" s="1" t="s">
        <v>5187</v>
      </c>
      <c r="BN91" s="1" t="s">
        <v>5188</v>
      </c>
      <c r="BO91" s="1" t="s">
        <v>1507</v>
      </c>
      <c r="BP91" s="1" t="s">
        <v>1537</v>
      </c>
      <c r="BQ91" s="1" t="s">
        <v>1507</v>
      </c>
      <c r="BR91" s="1" t="s">
        <v>1507</v>
      </c>
      <c r="BS91" s="1" t="s">
        <v>13744</v>
      </c>
      <c r="BT91" s="1" t="s">
        <v>5189</v>
      </c>
      <c r="BU91" s="1" t="str">
        <f>HYPERLINK("https%3A%2F%2Fwww.webofscience.com%2Fwos%2Fwoscc%2Ffull-record%2FWOS:000971837800001","View Full Record in Web of Science")</f>
        <v>View Full Record in Web of Science</v>
      </c>
    </row>
    <row r="92" spans="1:73" x14ac:dyDescent="0.25">
      <c r="A92" s="1">
        <v>108</v>
      </c>
      <c r="B92" s="1" t="s">
        <v>1506</v>
      </c>
      <c r="C92" s="1" t="s">
        <v>5163</v>
      </c>
      <c r="D92" s="1" t="s">
        <v>1507</v>
      </c>
      <c r="E92" s="1" t="s">
        <v>1507</v>
      </c>
      <c r="F92" s="1" t="s">
        <v>1507</v>
      </c>
      <c r="G92" s="1" t="s">
        <v>5164</v>
      </c>
      <c r="H92" s="1" t="s">
        <v>1507</v>
      </c>
      <c r="I92" s="1" t="s">
        <v>1507</v>
      </c>
      <c r="J92" s="1" t="s">
        <v>5306</v>
      </c>
      <c r="K92" s="1" t="s">
        <v>5166</v>
      </c>
      <c r="L92" s="1" t="s">
        <v>1507</v>
      </c>
      <c r="M92" s="1" t="s">
        <v>1507</v>
      </c>
      <c r="N92" s="1" t="s">
        <v>42</v>
      </c>
      <c r="O92" s="1" t="s">
        <v>56</v>
      </c>
      <c r="P92" s="1" t="s">
        <v>1507</v>
      </c>
      <c r="Q92" s="1" t="s">
        <v>1507</v>
      </c>
      <c r="R92" s="1" t="s">
        <v>1507</v>
      </c>
      <c r="S92" s="1" t="s">
        <v>1507</v>
      </c>
      <c r="T92" s="1" t="s">
        <v>1507</v>
      </c>
      <c r="U92" s="1" t="s">
        <v>5307</v>
      </c>
      <c r="V92" s="1" t="s">
        <v>1507</v>
      </c>
      <c r="W92" s="1" t="s">
        <v>5308</v>
      </c>
      <c r="X92" s="1" t="s">
        <v>5169</v>
      </c>
      <c r="Y92" s="1" t="s">
        <v>5170</v>
      </c>
      <c r="Z92" s="1" t="s">
        <v>5171</v>
      </c>
      <c r="AA92" s="1" t="s">
        <v>5172</v>
      </c>
      <c r="AB92" s="1" t="s">
        <v>5173</v>
      </c>
      <c r="AC92" s="1" t="s">
        <v>5174</v>
      </c>
      <c r="AD92" s="1" t="s">
        <v>5175</v>
      </c>
      <c r="AE92" s="1" t="s">
        <v>5176</v>
      </c>
      <c r="AF92" s="1" t="s">
        <v>5309</v>
      </c>
      <c r="AG92" s="1" t="s">
        <v>1507</v>
      </c>
      <c r="AH92" s="1">
        <v>25</v>
      </c>
      <c r="AI92" s="1">
        <v>0</v>
      </c>
      <c r="AJ92" s="1">
        <v>0</v>
      </c>
      <c r="AK92" s="1">
        <v>1</v>
      </c>
      <c r="AL92" s="1">
        <v>2</v>
      </c>
      <c r="AM92" s="1" t="s">
        <v>5178</v>
      </c>
      <c r="AN92" s="1" t="s">
        <v>5179</v>
      </c>
      <c r="AO92" s="1" t="s">
        <v>5180</v>
      </c>
      <c r="AP92" s="1" t="s">
        <v>5181</v>
      </c>
      <c r="AQ92" s="1" t="s">
        <v>5182</v>
      </c>
      <c r="AR92" s="1" t="s">
        <v>1507</v>
      </c>
      <c r="AS92" s="1" t="s">
        <v>5183</v>
      </c>
      <c r="AT92" s="1" t="s">
        <v>5184</v>
      </c>
      <c r="AU92" s="1" t="s">
        <v>12094</v>
      </c>
      <c r="AV92" s="1">
        <v>2023</v>
      </c>
      <c r="AW92" s="1">
        <v>26</v>
      </c>
      <c r="AX92" s="1">
        <v>7</v>
      </c>
      <c r="AY92" s="1" t="s">
        <v>1507</v>
      </c>
      <c r="AZ92" s="1" t="s">
        <v>1507</v>
      </c>
      <c r="BA92" s="1" t="s">
        <v>1507</v>
      </c>
      <c r="BB92" s="1" t="s">
        <v>1507</v>
      </c>
      <c r="BC92" s="1">
        <v>127</v>
      </c>
      <c r="BD92" s="1">
        <v>137</v>
      </c>
      <c r="BE92" s="1" t="s">
        <v>1507</v>
      </c>
      <c r="BF92" s="1" t="s">
        <v>5310</v>
      </c>
      <c r="BG92" s="1" t="str">
        <f>HYPERLINK("http://dx.doi.org/10.1108/JMLC-01-2023-0004","http://dx.doi.org/10.1108/JMLC-01-2023-0004")</f>
        <v>http://dx.doi.org/10.1108/JMLC-01-2023-0004</v>
      </c>
      <c r="BH92" s="1" t="s">
        <v>1507</v>
      </c>
      <c r="BI92" s="1" t="s">
        <v>5260</v>
      </c>
      <c r="BJ92" s="1">
        <v>11</v>
      </c>
      <c r="BK92" s="1" t="s">
        <v>5187</v>
      </c>
      <c r="BL92" s="1" t="s">
        <v>1529</v>
      </c>
      <c r="BM92" s="1" t="s">
        <v>5187</v>
      </c>
      <c r="BN92" s="1" t="s">
        <v>5311</v>
      </c>
      <c r="BO92" s="1" t="s">
        <v>1507</v>
      </c>
      <c r="BP92" s="1" t="s">
        <v>1537</v>
      </c>
      <c r="BQ92" s="1" t="s">
        <v>1507</v>
      </c>
      <c r="BR92" s="1" t="s">
        <v>1507</v>
      </c>
      <c r="BS92" s="1" t="s">
        <v>13744</v>
      </c>
      <c r="BT92" s="1" t="s">
        <v>5312</v>
      </c>
      <c r="BU92" s="1" t="str">
        <f>HYPERLINK("https%3A%2F%2Fwww.webofscience.com%2Fwos%2Fwoscc%2Ffull-record%2FWOS:000943757200001","View Full Record in Web of Science")</f>
        <v>View Full Record in Web of Science</v>
      </c>
    </row>
    <row r="93" spans="1:73" x14ac:dyDescent="0.25">
      <c r="A93" s="1">
        <v>109</v>
      </c>
      <c r="B93" s="1" t="s">
        <v>1506</v>
      </c>
      <c r="C93" s="1" t="s">
        <v>5163</v>
      </c>
      <c r="D93" s="1" t="s">
        <v>1507</v>
      </c>
      <c r="E93" s="1" t="s">
        <v>1507</v>
      </c>
      <c r="F93" s="1" t="s">
        <v>1507</v>
      </c>
      <c r="G93" s="1" t="s">
        <v>5164</v>
      </c>
      <c r="H93" s="1" t="s">
        <v>1507</v>
      </c>
      <c r="I93" s="1" t="s">
        <v>1507</v>
      </c>
      <c r="J93" s="1" t="s">
        <v>6913</v>
      </c>
      <c r="K93" s="1" t="s">
        <v>5166</v>
      </c>
      <c r="L93" s="1" t="s">
        <v>1507</v>
      </c>
      <c r="M93" s="1" t="s">
        <v>1507</v>
      </c>
      <c r="N93" s="1" t="s">
        <v>42</v>
      </c>
      <c r="O93" s="1" t="s">
        <v>56</v>
      </c>
      <c r="P93" s="1" t="s">
        <v>1507</v>
      </c>
      <c r="Q93" s="1" t="s">
        <v>1507</v>
      </c>
      <c r="R93" s="1" t="s">
        <v>1507</v>
      </c>
      <c r="S93" s="1" t="s">
        <v>1507</v>
      </c>
      <c r="T93" s="1" t="s">
        <v>1507</v>
      </c>
      <c r="U93" s="1" t="s">
        <v>6914</v>
      </c>
      <c r="V93" s="1" t="s">
        <v>1507</v>
      </c>
      <c r="W93" s="1" t="s">
        <v>6915</v>
      </c>
      <c r="X93" s="1" t="s">
        <v>5169</v>
      </c>
      <c r="Y93" s="1" t="s">
        <v>5170</v>
      </c>
      <c r="Z93" s="1" t="s">
        <v>5171</v>
      </c>
      <c r="AA93" s="1" t="s">
        <v>6916</v>
      </c>
      <c r="AB93" s="1" t="s">
        <v>5173</v>
      </c>
      <c r="AC93" s="1" t="s">
        <v>5174</v>
      </c>
      <c r="AD93" s="1" t="s">
        <v>5175</v>
      </c>
      <c r="AE93" s="1" t="s">
        <v>5176</v>
      </c>
      <c r="AF93" s="1" t="s">
        <v>6917</v>
      </c>
      <c r="AG93" s="1" t="s">
        <v>1507</v>
      </c>
      <c r="AH93" s="1">
        <v>31</v>
      </c>
      <c r="AI93" s="1">
        <v>2</v>
      </c>
      <c r="AJ93" s="1">
        <v>2</v>
      </c>
      <c r="AK93" s="1">
        <v>2</v>
      </c>
      <c r="AL93" s="1">
        <v>7</v>
      </c>
      <c r="AM93" s="1" t="s">
        <v>5178</v>
      </c>
      <c r="AN93" s="1" t="s">
        <v>5179</v>
      </c>
      <c r="AO93" s="1" t="s">
        <v>5180</v>
      </c>
      <c r="AP93" s="1" t="s">
        <v>5181</v>
      </c>
      <c r="AQ93" s="1" t="s">
        <v>5182</v>
      </c>
      <c r="AR93" s="1" t="s">
        <v>1507</v>
      </c>
      <c r="AS93" s="1" t="s">
        <v>5183</v>
      </c>
      <c r="AT93" s="1" t="s">
        <v>5184</v>
      </c>
      <c r="AU93" s="1" t="s">
        <v>15588</v>
      </c>
      <c r="AV93" s="1">
        <v>2022</v>
      </c>
      <c r="AW93" s="1">
        <v>26</v>
      </c>
      <c r="AX93" s="1">
        <v>7</v>
      </c>
      <c r="AY93" s="1" t="s">
        <v>1507</v>
      </c>
      <c r="AZ93" s="1" t="s">
        <v>1507</v>
      </c>
      <c r="BA93" s="1" t="s">
        <v>1507</v>
      </c>
      <c r="BB93" s="1" t="s">
        <v>1507</v>
      </c>
      <c r="BC93" s="1">
        <v>53</v>
      </c>
      <c r="BD93" s="1">
        <v>62</v>
      </c>
      <c r="BE93" s="1" t="s">
        <v>1507</v>
      </c>
      <c r="BF93" s="1" t="s">
        <v>6918</v>
      </c>
      <c r="BG93" s="1" t="str">
        <f>HYPERLINK("http://dx.doi.org/10.1108/JMLC-07-2022-0102","http://dx.doi.org/10.1108/JMLC-07-2022-0102")</f>
        <v>http://dx.doi.org/10.1108/JMLC-07-2022-0102</v>
      </c>
      <c r="BH93" s="1" t="s">
        <v>1507</v>
      </c>
      <c r="BI93" s="1" t="s">
        <v>6910</v>
      </c>
      <c r="BJ93" s="1">
        <v>10</v>
      </c>
      <c r="BK93" s="1" t="s">
        <v>5187</v>
      </c>
      <c r="BL93" s="1" t="s">
        <v>1529</v>
      </c>
      <c r="BM93" s="1" t="s">
        <v>5187</v>
      </c>
      <c r="BN93" s="1" t="s">
        <v>6919</v>
      </c>
      <c r="BO93" s="1" t="s">
        <v>1507</v>
      </c>
      <c r="BP93" s="1" t="s">
        <v>1537</v>
      </c>
      <c r="BQ93" s="1" t="s">
        <v>1507</v>
      </c>
      <c r="BR93" s="1" t="s">
        <v>1507</v>
      </c>
      <c r="BS93" s="1" t="s">
        <v>13744</v>
      </c>
      <c r="BT93" s="1" t="s">
        <v>6920</v>
      </c>
      <c r="BU93" s="1" t="str">
        <f>HYPERLINK("https%3A%2F%2Fwww.webofscience.com%2Fwos%2Fwoscc%2Ffull-record%2FWOS:000851216500001","View Full Record in Web of Science")</f>
        <v>View Full Record in Web of Science</v>
      </c>
    </row>
    <row r="94" spans="1:73" x14ac:dyDescent="0.25">
      <c r="A94" s="1">
        <v>111</v>
      </c>
      <c r="B94" s="1" t="s">
        <v>1506</v>
      </c>
      <c r="C94" s="1" t="s">
        <v>2499</v>
      </c>
      <c r="D94" s="1" t="s">
        <v>1507</v>
      </c>
      <c r="E94" s="1" t="s">
        <v>1507</v>
      </c>
      <c r="F94" s="1" t="s">
        <v>1507</v>
      </c>
      <c r="G94" s="1" t="s">
        <v>2500</v>
      </c>
      <c r="H94" s="1" t="s">
        <v>1507</v>
      </c>
      <c r="I94" s="1" t="s">
        <v>1507</v>
      </c>
      <c r="J94" s="1" t="s">
        <v>2501</v>
      </c>
      <c r="K94" s="1" t="s">
        <v>2502</v>
      </c>
      <c r="L94" s="1" t="s">
        <v>1507</v>
      </c>
      <c r="M94" s="1" t="s">
        <v>1507</v>
      </c>
      <c r="N94" s="1" t="s">
        <v>42</v>
      </c>
      <c r="O94" s="1" t="s">
        <v>56</v>
      </c>
      <c r="P94" s="1" t="s">
        <v>1507</v>
      </c>
      <c r="Q94" s="1" t="s">
        <v>1507</v>
      </c>
      <c r="R94" s="1" t="s">
        <v>1507</v>
      </c>
      <c r="S94" s="1" t="s">
        <v>1507</v>
      </c>
      <c r="T94" s="1" t="s">
        <v>1507</v>
      </c>
      <c r="U94" s="1" t="s">
        <v>2503</v>
      </c>
      <c r="V94" s="1" t="s">
        <v>11396</v>
      </c>
      <c r="W94" s="1" t="s">
        <v>2504</v>
      </c>
      <c r="X94" s="1" t="s">
        <v>2505</v>
      </c>
      <c r="Y94" s="1" t="s">
        <v>2506</v>
      </c>
      <c r="Z94" s="1" t="s">
        <v>2507</v>
      </c>
      <c r="AA94" s="1" t="s">
        <v>2508</v>
      </c>
      <c r="AB94" s="1" t="s">
        <v>1507</v>
      </c>
      <c r="AC94" s="1" t="s">
        <v>1507</v>
      </c>
      <c r="AD94" s="1" t="s">
        <v>2509</v>
      </c>
      <c r="AE94" s="1" t="s">
        <v>2509</v>
      </c>
      <c r="AF94" s="1" t="s">
        <v>2510</v>
      </c>
      <c r="AG94" s="1" t="s">
        <v>1507</v>
      </c>
      <c r="AH94" s="1">
        <v>38</v>
      </c>
      <c r="AI94" s="1">
        <v>1</v>
      </c>
      <c r="AJ94" s="1">
        <v>1</v>
      </c>
      <c r="AK94" s="1">
        <v>17</v>
      </c>
      <c r="AL94" s="1">
        <v>17</v>
      </c>
      <c r="AM94" s="1" t="s">
        <v>1725</v>
      </c>
      <c r="AN94" s="1" t="s">
        <v>1551</v>
      </c>
      <c r="AO94" s="1" t="s">
        <v>1726</v>
      </c>
      <c r="AP94" s="1" t="s">
        <v>1507</v>
      </c>
      <c r="AQ94" s="1" t="s">
        <v>2511</v>
      </c>
      <c r="AR94" s="1" t="s">
        <v>1507</v>
      </c>
      <c r="AS94" s="1" t="s">
        <v>2512</v>
      </c>
      <c r="AT94" s="1" t="s">
        <v>2513</v>
      </c>
      <c r="AU94" s="1" t="s">
        <v>2514</v>
      </c>
      <c r="AV94" s="1">
        <v>2023</v>
      </c>
      <c r="AW94" s="1">
        <v>23</v>
      </c>
      <c r="AX94" s="1">
        <v>1</v>
      </c>
      <c r="AY94" s="1" t="s">
        <v>1507</v>
      </c>
      <c r="AZ94" s="1" t="s">
        <v>1507</v>
      </c>
      <c r="BA94" s="1" t="s">
        <v>1507</v>
      </c>
      <c r="BB94" s="1" t="s">
        <v>1507</v>
      </c>
      <c r="BC94" s="1" t="s">
        <v>1507</v>
      </c>
      <c r="BD94" s="1" t="s">
        <v>1507</v>
      </c>
      <c r="BE94" s="1">
        <v>864</v>
      </c>
      <c r="BF94" s="1" t="s">
        <v>2515</v>
      </c>
      <c r="BG94" s="1" t="str">
        <f>HYPERLINK("http://dx.doi.org/10.1186/s12909-023-04832-x","http://dx.doi.org/10.1186/s12909-023-04832-x")</f>
        <v>http://dx.doi.org/10.1186/s12909-023-04832-x</v>
      </c>
      <c r="BH94" s="1" t="s">
        <v>1507</v>
      </c>
      <c r="BI94" s="1" t="s">
        <v>1507</v>
      </c>
      <c r="BJ94" s="1">
        <v>8</v>
      </c>
      <c r="BK94" s="1" t="s">
        <v>2516</v>
      </c>
      <c r="BL94" s="1" t="s">
        <v>1598</v>
      </c>
      <c r="BM94" s="1" t="s">
        <v>1558</v>
      </c>
      <c r="BN94" s="1" t="s">
        <v>2517</v>
      </c>
      <c r="BO94" s="1">
        <v>37957666</v>
      </c>
      <c r="BP94" s="1" t="s">
        <v>4312</v>
      </c>
      <c r="BQ94" s="1" t="s">
        <v>1507</v>
      </c>
      <c r="BR94" s="1" t="s">
        <v>1507</v>
      </c>
      <c r="BS94" s="1" t="s">
        <v>13744</v>
      </c>
      <c r="BT94" s="1" t="s">
        <v>2519</v>
      </c>
      <c r="BU94" s="1" t="str">
        <f>HYPERLINK("https%3A%2F%2Fwww.webofscience.com%2Fwos%2Fwoscc%2Ffull-record%2FWOS:001104030200001","View Full Record in Web of Science")</f>
        <v>View Full Record in Web of Science</v>
      </c>
    </row>
    <row r="95" spans="1:73" x14ac:dyDescent="0.25">
      <c r="A95" s="1">
        <v>112</v>
      </c>
      <c r="B95" s="1" t="s">
        <v>1506</v>
      </c>
      <c r="C95" s="1" t="s">
        <v>6739</v>
      </c>
      <c r="D95" s="1" t="s">
        <v>1507</v>
      </c>
      <c r="E95" s="1" t="s">
        <v>1507</v>
      </c>
      <c r="F95" s="1" t="s">
        <v>1507</v>
      </c>
      <c r="G95" s="1" t="s">
        <v>6740</v>
      </c>
      <c r="H95" s="1" t="s">
        <v>1507</v>
      </c>
      <c r="I95" s="1" t="s">
        <v>1507</v>
      </c>
      <c r="J95" s="1" t="s">
        <v>6741</v>
      </c>
      <c r="K95" s="1" t="s">
        <v>4943</v>
      </c>
      <c r="L95" s="1" t="s">
        <v>1507</v>
      </c>
      <c r="M95" s="1" t="s">
        <v>1507</v>
      </c>
      <c r="N95" s="1" t="s">
        <v>42</v>
      </c>
      <c r="O95" s="1" t="s">
        <v>56</v>
      </c>
      <c r="P95" s="1" t="s">
        <v>1507</v>
      </c>
      <c r="Q95" s="1" t="s">
        <v>1507</v>
      </c>
      <c r="R95" s="1" t="s">
        <v>1507</v>
      </c>
      <c r="S95" s="1" t="s">
        <v>1507</v>
      </c>
      <c r="T95" s="1" t="s">
        <v>1507</v>
      </c>
      <c r="U95" s="1" t="s">
        <v>6742</v>
      </c>
      <c r="V95" s="1" t="s">
        <v>6743</v>
      </c>
      <c r="W95" s="1" t="s">
        <v>6744</v>
      </c>
      <c r="X95" s="1" t="s">
        <v>6745</v>
      </c>
      <c r="Y95" s="1" t="s">
        <v>6746</v>
      </c>
      <c r="Z95" s="1" t="s">
        <v>6747</v>
      </c>
      <c r="AA95" s="1" t="s">
        <v>6748</v>
      </c>
      <c r="AB95" s="1" t="s">
        <v>6749</v>
      </c>
      <c r="AC95" s="1" t="s">
        <v>1507</v>
      </c>
      <c r="AD95" s="1" t="s">
        <v>6750</v>
      </c>
      <c r="AE95" s="1" t="s">
        <v>6751</v>
      </c>
      <c r="AF95" s="1" t="s">
        <v>6752</v>
      </c>
      <c r="AG95" s="1" t="s">
        <v>1507</v>
      </c>
      <c r="AH95" s="1">
        <v>34</v>
      </c>
      <c r="AI95" s="1">
        <v>2</v>
      </c>
      <c r="AJ95" s="1">
        <v>2</v>
      </c>
      <c r="AK95" s="1">
        <v>1</v>
      </c>
      <c r="AL95" s="1">
        <v>2</v>
      </c>
      <c r="AM95" s="1" t="s">
        <v>4954</v>
      </c>
      <c r="AN95" s="1" t="s">
        <v>1575</v>
      </c>
      <c r="AO95" s="1" t="s">
        <v>4955</v>
      </c>
      <c r="AP95" s="1" t="s">
        <v>4956</v>
      </c>
      <c r="AQ95" s="1" t="s">
        <v>4957</v>
      </c>
      <c r="AR95" s="1" t="s">
        <v>1507</v>
      </c>
      <c r="AS95" s="1" t="s">
        <v>4958</v>
      </c>
      <c r="AT95" s="1" t="s">
        <v>4959</v>
      </c>
      <c r="AU95" s="1" t="s">
        <v>1507</v>
      </c>
      <c r="AV95" s="1">
        <v>2023</v>
      </c>
      <c r="AW95" s="1">
        <v>30</v>
      </c>
      <c r="AX95" s="1">
        <v>10</v>
      </c>
      <c r="AY95" s="1" t="s">
        <v>1507</v>
      </c>
      <c r="AZ95" s="1" t="s">
        <v>1507</v>
      </c>
      <c r="BA95" s="1" t="s">
        <v>1507</v>
      </c>
      <c r="BB95" s="1" t="s">
        <v>1507</v>
      </c>
      <c r="BC95" s="1">
        <v>1317</v>
      </c>
      <c r="BD95" s="1">
        <v>1326</v>
      </c>
      <c r="BE95" s="1" t="s">
        <v>1507</v>
      </c>
      <c r="BF95" s="1" t="s">
        <v>6753</v>
      </c>
      <c r="BG95" s="1" t="str">
        <f>HYPERLINK("http://dx.doi.org/10.5551/jat.63389","http://dx.doi.org/10.5551/jat.63389")</f>
        <v>http://dx.doi.org/10.5551/jat.63389</v>
      </c>
      <c r="BH95" s="1" t="s">
        <v>1507</v>
      </c>
      <c r="BI95" s="1" t="s">
        <v>6734</v>
      </c>
      <c r="BJ95" s="1">
        <v>10</v>
      </c>
      <c r="BK95" s="1" t="s">
        <v>4961</v>
      </c>
      <c r="BL95" s="1" t="s">
        <v>1573</v>
      </c>
      <c r="BM95" s="1" t="s">
        <v>4962</v>
      </c>
      <c r="BN95" s="1" t="s">
        <v>6754</v>
      </c>
      <c r="BO95" s="1">
        <v>36567112</v>
      </c>
      <c r="BP95" s="1" t="s">
        <v>1674</v>
      </c>
      <c r="BQ95" s="1" t="s">
        <v>1507</v>
      </c>
      <c r="BR95" s="1" t="s">
        <v>1507</v>
      </c>
      <c r="BS95" s="1" t="s">
        <v>13744</v>
      </c>
      <c r="BT95" s="1" t="s">
        <v>6755</v>
      </c>
      <c r="BU95" s="1" t="str">
        <f>HYPERLINK("https%3A%2F%2Fwww.webofscience.com%2Fwos%2Fwoscc%2Ffull-record%2FWOS:000943507800001","View Full Record in Web of Science")</f>
        <v>View Full Record in Web of Science</v>
      </c>
    </row>
    <row r="96" spans="1:73" x14ac:dyDescent="0.25">
      <c r="A96" s="1">
        <v>113</v>
      </c>
      <c r="B96" s="1" t="s">
        <v>1506</v>
      </c>
      <c r="C96" s="1" t="s">
        <v>3491</v>
      </c>
      <c r="D96" s="1" t="s">
        <v>1507</v>
      </c>
      <c r="E96" s="1" t="s">
        <v>1507</v>
      </c>
      <c r="F96" s="1" t="s">
        <v>1507</v>
      </c>
      <c r="G96" s="1" t="s">
        <v>3492</v>
      </c>
      <c r="H96" s="1" t="s">
        <v>1507</v>
      </c>
      <c r="I96" s="1" t="s">
        <v>1507</v>
      </c>
      <c r="J96" s="1" t="s">
        <v>714</v>
      </c>
      <c r="K96" s="1" t="s">
        <v>3493</v>
      </c>
      <c r="L96" s="1" t="s">
        <v>1507</v>
      </c>
      <c r="M96" s="1" t="s">
        <v>1507</v>
      </c>
      <c r="N96" s="1" t="s">
        <v>42</v>
      </c>
      <c r="O96" s="1" t="s">
        <v>56</v>
      </c>
      <c r="P96" s="1" t="s">
        <v>1507</v>
      </c>
      <c r="Q96" s="1" t="s">
        <v>1507</v>
      </c>
      <c r="R96" s="1" t="s">
        <v>1507</v>
      </c>
      <c r="S96" s="1" t="s">
        <v>1507</v>
      </c>
      <c r="T96" s="1" t="s">
        <v>1507</v>
      </c>
      <c r="U96" s="1" t="s">
        <v>3494</v>
      </c>
      <c r="V96" s="1" t="s">
        <v>1507</v>
      </c>
      <c r="W96" s="1" t="s">
        <v>3495</v>
      </c>
      <c r="X96" s="1" t="s">
        <v>3496</v>
      </c>
      <c r="Y96" s="1" t="s">
        <v>3497</v>
      </c>
      <c r="Z96" s="1" t="s">
        <v>3498</v>
      </c>
      <c r="AA96" s="1" t="s">
        <v>1507</v>
      </c>
      <c r="AB96" s="1" t="s">
        <v>1507</v>
      </c>
      <c r="AC96" s="1" t="s">
        <v>3499</v>
      </c>
      <c r="AD96" s="1" t="s">
        <v>1507</v>
      </c>
      <c r="AE96" s="1" t="s">
        <v>1507</v>
      </c>
      <c r="AF96" s="1" t="s">
        <v>1507</v>
      </c>
      <c r="AG96" s="1" t="s">
        <v>1507</v>
      </c>
      <c r="AH96" s="1">
        <v>109</v>
      </c>
      <c r="AI96" s="1">
        <v>0</v>
      </c>
      <c r="AJ96" s="1">
        <v>0</v>
      </c>
      <c r="AK96" s="1">
        <v>32</v>
      </c>
      <c r="AL96" s="1">
        <v>32</v>
      </c>
      <c r="AM96" s="1" t="s">
        <v>3500</v>
      </c>
      <c r="AN96" s="1" t="s">
        <v>3501</v>
      </c>
      <c r="AO96" s="1" t="s">
        <v>3502</v>
      </c>
      <c r="AP96" s="1" t="s">
        <v>3503</v>
      </c>
      <c r="AQ96" s="1" t="s">
        <v>3504</v>
      </c>
      <c r="AR96" s="1" t="s">
        <v>1507</v>
      </c>
      <c r="AS96" s="1" t="s">
        <v>3505</v>
      </c>
      <c r="AT96" s="1" t="s">
        <v>721</v>
      </c>
      <c r="AU96" s="1" t="s">
        <v>2889</v>
      </c>
      <c r="AV96" s="1">
        <v>2023</v>
      </c>
      <c r="AW96" s="1">
        <v>17</v>
      </c>
      <c r="AX96" s="1">
        <v>2</v>
      </c>
      <c r="AY96" s="1" t="s">
        <v>1507</v>
      </c>
      <c r="AZ96" s="1" t="s">
        <v>1507</v>
      </c>
      <c r="BA96" s="1" t="s">
        <v>3506</v>
      </c>
      <c r="BB96" s="1" t="s">
        <v>1507</v>
      </c>
      <c r="BC96" s="1">
        <v>147</v>
      </c>
      <c r="BD96" s="1">
        <v>167</v>
      </c>
      <c r="BE96" s="1" t="s">
        <v>1507</v>
      </c>
      <c r="BF96" s="1" t="s">
        <v>716</v>
      </c>
      <c r="BG96" s="1" t="str">
        <f>HYPERLINK("http://dx.doi.org/10.3366/ijhac.2023.0310","http://dx.doi.org/10.3366/ijhac.2023.0310")</f>
        <v>http://dx.doi.org/10.3366/ijhac.2023.0310</v>
      </c>
      <c r="BH96" s="1" t="s">
        <v>1507</v>
      </c>
      <c r="BI96" s="1" t="s">
        <v>1507</v>
      </c>
      <c r="BJ96" s="1">
        <v>21</v>
      </c>
      <c r="BK96" s="1" t="s">
        <v>3507</v>
      </c>
      <c r="BL96" s="1" t="s">
        <v>3140</v>
      </c>
      <c r="BM96" s="1" t="s">
        <v>3508</v>
      </c>
      <c r="BN96" s="1" t="s">
        <v>3509</v>
      </c>
      <c r="BO96" s="1" t="s">
        <v>1507</v>
      </c>
      <c r="BP96" s="1" t="s">
        <v>1507</v>
      </c>
      <c r="BQ96" s="1" t="s">
        <v>1507</v>
      </c>
      <c r="BR96" s="1" t="s">
        <v>1507</v>
      </c>
      <c r="BS96" s="1" t="s">
        <v>13744</v>
      </c>
      <c r="BT96" s="1" t="s">
        <v>3510</v>
      </c>
      <c r="BU96" s="1" t="str">
        <f>HYPERLINK("https%3A%2F%2Fwww.webofscience.com%2Fwos%2Fwoscc%2Ffull-record%2FWOS:001087046600008","View Full Record in Web of Science")</f>
        <v>View Full Record in Web of Science</v>
      </c>
    </row>
    <row r="97" spans="1:73" x14ac:dyDescent="0.25">
      <c r="A97" s="1">
        <v>114</v>
      </c>
      <c r="B97" s="1" t="s">
        <v>5546</v>
      </c>
      <c r="C97" s="1" t="s">
        <v>5698</v>
      </c>
      <c r="D97" s="1" t="s">
        <v>1507</v>
      </c>
      <c r="E97" s="1" t="s">
        <v>1507</v>
      </c>
      <c r="F97" s="1" t="s">
        <v>5548</v>
      </c>
      <c r="G97" s="1" t="s">
        <v>5699</v>
      </c>
      <c r="H97" s="1" t="s">
        <v>1507</v>
      </c>
      <c r="I97" s="1" t="s">
        <v>1507</v>
      </c>
      <c r="J97" s="1" t="s">
        <v>58</v>
      </c>
      <c r="K97" s="1" t="s">
        <v>5700</v>
      </c>
      <c r="L97" s="1" t="s">
        <v>1507</v>
      </c>
      <c r="M97" s="1" t="s">
        <v>1507</v>
      </c>
      <c r="N97" s="1" t="s">
        <v>42</v>
      </c>
      <c r="O97" s="1" t="s">
        <v>5552</v>
      </c>
      <c r="P97" s="1" t="s">
        <v>5701</v>
      </c>
      <c r="Q97" s="1" t="s">
        <v>5702</v>
      </c>
      <c r="R97" s="1" t="s">
        <v>5703</v>
      </c>
      <c r="S97" s="1" t="s">
        <v>5704</v>
      </c>
      <c r="T97" s="1" t="s">
        <v>5705</v>
      </c>
      <c r="U97" s="1" t="s">
        <v>5706</v>
      </c>
      <c r="V97" s="1" t="s">
        <v>1507</v>
      </c>
      <c r="W97" s="1" t="s">
        <v>5707</v>
      </c>
      <c r="X97" s="1" t="s">
        <v>5708</v>
      </c>
      <c r="Y97" s="1" t="s">
        <v>5709</v>
      </c>
      <c r="Z97" s="1" t="s">
        <v>5710</v>
      </c>
      <c r="AA97" s="1" t="s">
        <v>5711</v>
      </c>
      <c r="AB97" s="1" t="s">
        <v>1507</v>
      </c>
      <c r="AC97" s="1" t="s">
        <v>5712</v>
      </c>
      <c r="AD97" s="1" t="s">
        <v>5713</v>
      </c>
      <c r="AE97" s="1" t="s">
        <v>5714</v>
      </c>
      <c r="AF97" s="1" t="s">
        <v>5715</v>
      </c>
      <c r="AG97" s="1" t="s">
        <v>1507</v>
      </c>
      <c r="AH97" s="1">
        <v>17</v>
      </c>
      <c r="AI97" s="1">
        <v>4</v>
      </c>
      <c r="AJ97" s="1">
        <v>4</v>
      </c>
      <c r="AK97" s="1">
        <v>12</v>
      </c>
      <c r="AL97" s="1">
        <v>12</v>
      </c>
      <c r="AM97" s="1" t="s">
        <v>5565</v>
      </c>
      <c r="AN97" s="1" t="s">
        <v>1512</v>
      </c>
      <c r="AO97" s="1" t="s">
        <v>5566</v>
      </c>
      <c r="AP97" s="1" t="s">
        <v>1507</v>
      </c>
      <c r="AQ97" s="1" t="s">
        <v>1507</v>
      </c>
      <c r="AR97" s="1" t="s">
        <v>5716</v>
      </c>
      <c r="AS97" s="1" t="s">
        <v>1507</v>
      </c>
      <c r="AT97" s="1" t="s">
        <v>1507</v>
      </c>
      <c r="AU97" s="1" t="s">
        <v>1507</v>
      </c>
      <c r="AV97" s="1">
        <v>2023</v>
      </c>
      <c r="AW97" s="1" t="s">
        <v>1507</v>
      </c>
      <c r="AX97" s="1" t="s">
        <v>1507</v>
      </c>
      <c r="AY97" s="1" t="s">
        <v>1507</v>
      </c>
      <c r="AZ97" s="1" t="s">
        <v>1507</v>
      </c>
      <c r="BA97" s="1" t="s">
        <v>1507</v>
      </c>
      <c r="BB97" s="1" t="s">
        <v>1507</v>
      </c>
      <c r="BC97" s="1">
        <v>61</v>
      </c>
      <c r="BD97" s="1">
        <v>67</v>
      </c>
      <c r="BE97" s="1" t="s">
        <v>1507</v>
      </c>
      <c r="BF97" s="1" t="s">
        <v>60</v>
      </c>
      <c r="BG97" s="1" t="str">
        <f>HYPERLINK("http://dx.doi.org/10.1145/3587102.3588814","http://dx.doi.org/10.1145/3587102.3588814")</f>
        <v>http://dx.doi.org/10.1145/3587102.3588814</v>
      </c>
      <c r="BH97" s="1" t="s">
        <v>1507</v>
      </c>
      <c r="BI97" s="1" t="s">
        <v>1507</v>
      </c>
      <c r="BJ97" s="1">
        <v>7</v>
      </c>
      <c r="BK97" s="1" t="s">
        <v>2516</v>
      </c>
      <c r="BL97" s="1" t="s">
        <v>5695</v>
      </c>
      <c r="BM97" s="1" t="s">
        <v>1558</v>
      </c>
      <c r="BN97" s="1" t="s">
        <v>5717</v>
      </c>
      <c r="BO97" s="1" t="s">
        <v>1507</v>
      </c>
      <c r="BP97" s="1" t="s">
        <v>3572</v>
      </c>
      <c r="BQ97" s="1" t="s">
        <v>1507</v>
      </c>
      <c r="BR97" s="1" t="s">
        <v>1507</v>
      </c>
      <c r="BS97" s="1" t="s">
        <v>13744</v>
      </c>
      <c r="BT97" s="1" t="s">
        <v>5718</v>
      </c>
      <c r="BU97" s="1" t="str">
        <f>HYPERLINK("https%3A%2F%2Fwww.webofscience.com%2Fwos%2Fwoscc%2Ffull-record%2FWOS:001051691300011","View Full Record in Web of Science")</f>
        <v>View Full Record in Web of Science</v>
      </c>
    </row>
    <row r="98" spans="1:73" x14ac:dyDescent="0.25">
      <c r="A98" s="1">
        <v>115</v>
      </c>
      <c r="B98" s="1" t="s">
        <v>1506</v>
      </c>
      <c r="C98" s="1" t="s">
        <v>4813</v>
      </c>
      <c r="D98" s="1" t="s">
        <v>1507</v>
      </c>
      <c r="E98" s="1" t="s">
        <v>1507</v>
      </c>
      <c r="F98" s="1" t="s">
        <v>1507</v>
      </c>
      <c r="G98" s="1" t="s">
        <v>4814</v>
      </c>
      <c r="H98" s="1" t="s">
        <v>1507</v>
      </c>
      <c r="I98" s="1" t="s">
        <v>1507</v>
      </c>
      <c r="J98" s="1" t="s">
        <v>4815</v>
      </c>
      <c r="K98" s="1" t="s">
        <v>4816</v>
      </c>
      <c r="L98" s="1" t="s">
        <v>1507</v>
      </c>
      <c r="M98" s="1" t="s">
        <v>1507</v>
      </c>
      <c r="N98" s="1" t="s">
        <v>42</v>
      </c>
      <c r="O98" s="1" t="s">
        <v>56</v>
      </c>
      <c r="P98" s="1" t="s">
        <v>1507</v>
      </c>
      <c r="Q98" s="1" t="s">
        <v>1507</v>
      </c>
      <c r="R98" s="1" t="s">
        <v>1507</v>
      </c>
      <c r="S98" s="1" t="s">
        <v>1507</v>
      </c>
      <c r="T98" s="1" t="s">
        <v>1507</v>
      </c>
      <c r="U98" s="1" t="s">
        <v>4817</v>
      </c>
      <c r="V98" s="1" t="s">
        <v>4818</v>
      </c>
      <c r="W98" s="1" t="s">
        <v>4819</v>
      </c>
      <c r="X98" s="1" t="s">
        <v>4820</v>
      </c>
      <c r="Y98" s="1" t="s">
        <v>1507</v>
      </c>
      <c r="Z98" s="1" t="s">
        <v>4821</v>
      </c>
      <c r="AA98" s="1" t="s">
        <v>4822</v>
      </c>
      <c r="AB98" s="1" t="s">
        <v>4823</v>
      </c>
      <c r="AC98" s="1" t="s">
        <v>14685</v>
      </c>
      <c r="AD98" s="1" t="s">
        <v>4824</v>
      </c>
      <c r="AE98" s="1" t="s">
        <v>4825</v>
      </c>
      <c r="AF98" s="1" t="s">
        <v>4826</v>
      </c>
      <c r="AG98" s="1" t="s">
        <v>1507</v>
      </c>
      <c r="AH98" s="1">
        <v>54</v>
      </c>
      <c r="AI98" s="1">
        <v>2</v>
      </c>
      <c r="AJ98" s="1">
        <v>2</v>
      </c>
      <c r="AK98" s="1">
        <v>2</v>
      </c>
      <c r="AL98" s="1">
        <v>6</v>
      </c>
      <c r="AM98" s="1" t="s">
        <v>1548</v>
      </c>
      <c r="AN98" s="1" t="s">
        <v>1549</v>
      </c>
      <c r="AO98" s="1" t="s">
        <v>1550</v>
      </c>
      <c r="AP98" s="1" t="s">
        <v>4827</v>
      </c>
      <c r="AQ98" s="1" t="s">
        <v>4828</v>
      </c>
      <c r="AR98" s="1" t="s">
        <v>1507</v>
      </c>
      <c r="AS98" s="1" t="s">
        <v>4829</v>
      </c>
      <c r="AT98" s="1" t="s">
        <v>4830</v>
      </c>
      <c r="AU98" s="1" t="s">
        <v>2889</v>
      </c>
      <c r="AV98" s="1">
        <v>2023</v>
      </c>
      <c r="AW98" s="1">
        <v>79</v>
      </c>
      <c r="AX98" s="1">
        <v>10</v>
      </c>
      <c r="AY98" s="1" t="s">
        <v>1507</v>
      </c>
      <c r="AZ98" s="1" t="s">
        <v>1507</v>
      </c>
      <c r="BA98" s="1" t="s">
        <v>1507</v>
      </c>
      <c r="BB98" s="1" t="s">
        <v>1507</v>
      </c>
      <c r="BC98" s="1">
        <v>3749</v>
      </c>
      <c r="BD98" s="1">
        <v>3756</v>
      </c>
      <c r="BE98" s="1" t="s">
        <v>1507</v>
      </c>
      <c r="BF98" s="1" t="s">
        <v>4831</v>
      </c>
      <c r="BG98" s="1" t="str">
        <f>HYPERLINK("http://dx.doi.org/10.1002/ps.7557","http://dx.doi.org/10.1002/ps.7557")</f>
        <v>http://dx.doi.org/10.1002/ps.7557</v>
      </c>
      <c r="BH98" s="1" t="s">
        <v>1507</v>
      </c>
      <c r="BI98" s="1" t="s">
        <v>4832</v>
      </c>
      <c r="BJ98" s="1">
        <v>8</v>
      </c>
      <c r="BK98" s="1" t="s">
        <v>4833</v>
      </c>
      <c r="BL98" s="1" t="s">
        <v>1573</v>
      </c>
      <c r="BM98" s="1" t="s">
        <v>4834</v>
      </c>
      <c r="BN98" s="1" t="s">
        <v>14686</v>
      </c>
      <c r="BO98" s="1">
        <v>37198351</v>
      </c>
      <c r="BP98" s="1" t="s">
        <v>1507</v>
      </c>
      <c r="BQ98" s="1" t="s">
        <v>1507</v>
      </c>
      <c r="BR98" s="1" t="s">
        <v>1507</v>
      </c>
      <c r="BS98" s="1" t="s">
        <v>13744</v>
      </c>
      <c r="BT98" s="1" t="s">
        <v>4835</v>
      </c>
      <c r="BU98" s="1" t="str">
        <f>HYPERLINK("https%3A%2F%2Fwww.webofscience.com%2Fwos%2Fwoscc%2Ffull-record%2FWOS:000998248700001","View Full Record in Web of Science")</f>
        <v>View Full Record in Web of Science</v>
      </c>
    </row>
    <row r="99" spans="1:73" x14ac:dyDescent="0.25">
      <c r="A99" s="1">
        <v>116</v>
      </c>
      <c r="B99" s="1" t="s">
        <v>1506</v>
      </c>
      <c r="C99" s="1" t="s">
        <v>4635</v>
      </c>
      <c r="D99" s="1" t="s">
        <v>1507</v>
      </c>
      <c r="E99" s="1" t="s">
        <v>1507</v>
      </c>
      <c r="F99" s="1" t="s">
        <v>1507</v>
      </c>
      <c r="G99" s="1" t="s">
        <v>4636</v>
      </c>
      <c r="H99" s="1" t="s">
        <v>1507</v>
      </c>
      <c r="I99" s="1" t="s">
        <v>1507</v>
      </c>
      <c r="J99" s="1" t="s">
        <v>4637</v>
      </c>
      <c r="K99" s="1" t="s">
        <v>2982</v>
      </c>
      <c r="L99" s="1" t="s">
        <v>1507</v>
      </c>
      <c r="M99" s="1" t="s">
        <v>1507</v>
      </c>
      <c r="N99" s="1" t="s">
        <v>42</v>
      </c>
      <c r="O99" s="1" t="s">
        <v>1509</v>
      </c>
      <c r="P99" s="1" t="s">
        <v>1507</v>
      </c>
      <c r="Q99" s="1" t="s">
        <v>1507</v>
      </c>
      <c r="R99" s="1" t="s">
        <v>1507</v>
      </c>
      <c r="S99" s="1" t="s">
        <v>1507</v>
      </c>
      <c r="T99" s="1" t="s">
        <v>1507</v>
      </c>
      <c r="U99" s="1" t="s">
        <v>4638</v>
      </c>
      <c r="V99" s="1" t="s">
        <v>1507</v>
      </c>
      <c r="W99" s="1" t="s">
        <v>4639</v>
      </c>
      <c r="X99" s="1" t="s">
        <v>4640</v>
      </c>
      <c r="Y99" s="1" t="s">
        <v>4641</v>
      </c>
      <c r="Z99" s="1" t="s">
        <v>4642</v>
      </c>
      <c r="AA99" s="1" t="s">
        <v>4643</v>
      </c>
      <c r="AB99" s="1" t="s">
        <v>1507</v>
      </c>
      <c r="AC99" s="1" t="s">
        <v>4644</v>
      </c>
      <c r="AD99" s="1" t="s">
        <v>4645</v>
      </c>
      <c r="AE99" s="1" t="s">
        <v>4645</v>
      </c>
      <c r="AF99" s="1" t="s">
        <v>4646</v>
      </c>
      <c r="AG99" s="1" t="s">
        <v>1507</v>
      </c>
      <c r="AH99" s="1">
        <v>62</v>
      </c>
      <c r="AI99" s="1">
        <v>5</v>
      </c>
      <c r="AJ99" s="1">
        <v>5</v>
      </c>
      <c r="AK99" s="1">
        <v>12</v>
      </c>
      <c r="AL99" s="1">
        <v>25</v>
      </c>
      <c r="AM99" s="1" t="s">
        <v>1511</v>
      </c>
      <c r="AN99" s="1" t="s">
        <v>1512</v>
      </c>
      <c r="AO99" s="1" t="s">
        <v>1513</v>
      </c>
      <c r="AP99" s="1" t="s">
        <v>2990</v>
      </c>
      <c r="AQ99" s="1" t="s">
        <v>2991</v>
      </c>
      <c r="AR99" s="1" t="s">
        <v>1507</v>
      </c>
      <c r="AS99" s="1" t="s">
        <v>2992</v>
      </c>
      <c r="AT99" s="1" t="s">
        <v>1185</v>
      </c>
      <c r="AU99" s="1" t="s">
        <v>4647</v>
      </c>
      <c r="AV99" s="1">
        <v>2023</v>
      </c>
      <c r="AW99" s="1" t="s">
        <v>1507</v>
      </c>
      <c r="AX99" s="1" t="s">
        <v>1507</v>
      </c>
      <c r="AY99" s="1" t="s">
        <v>1507</v>
      </c>
      <c r="AZ99" s="1" t="s">
        <v>1507</v>
      </c>
      <c r="BA99" s="1" t="s">
        <v>1507</v>
      </c>
      <c r="BB99" s="1" t="s">
        <v>1507</v>
      </c>
      <c r="BC99" s="1" t="s">
        <v>1507</v>
      </c>
      <c r="BD99" s="1" t="s">
        <v>1507</v>
      </c>
      <c r="BE99" s="1" t="s">
        <v>1507</v>
      </c>
      <c r="BF99" s="1" t="s">
        <v>4648</v>
      </c>
      <c r="BG99" s="1" t="str">
        <f>HYPERLINK("http://dx.doi.org/10.1007/s00146-023-01710-4","http://dx.doi.org/10.1007/s00146-023-01710-4")</f>
        <v>http://dx.doi.org/10.1007/s00146-023-01710-4</v>
      </c>
      <c r="BH99" s="1" t="s">
        <v>1507</v>
      </c>
      <c r="BI99" s="1" t="s">
        <v>4630</v>
      </c>
      <c r="BJ99" s="1">
        <v>11</v>
      </c>
      <c r="BK99" s="1" t="s">
        <v>2994</v>
      </c>
      <c r="BL99" s="1" t="s">
        <v>1529</v>
      </c>
      <c r="BM99" s="1" t="s">
        <v>1577</v>
      </c>
      <c r="BN99" s="1" t="s">
        <v>4649</v>
      </c>
      <c r="BO99" s="1" t="s">
        <v>1507</v>
      </c>
      <c r="BP99" s="1" t="s">
        <v>1537</v>
      </c>
      <c r="BQ99" s="1" t="s">
        <v>1507</v>
      </c>
      <c r="BR99" s="1" t="s">
        <v>1507</v>
      </c>
      <c r="BS99" s="1" t="s">
        <v>13744</v>
      </c>
      <c r="BT99" s="1" t="s">
        <v>4650</v>
      </c>
      <c r="BU99" s="1" t="str">
        <f>HYPERLINK("https%3A%2F%2Fwww.webofscience.com%2Fwos%2Fwoscc%2Ffull-record%2FWOS:001013911000001","View Full Record in Web of Science")</f>
        <v>View Full Record in Web of Science</v>
      </c>
    </row>
    <row r="100" spans="1:73" x14ac:dyDescent="0.25">
      <c r="A100" s="1">
        <v>117</v>
      </c>
      <c r="B100" s="1" t="s">
        <v>1506</v>
      </c>
      <c r="C100" s="1" t="s">
        <v>4293</v>
      </c>
      <c r="D100" s="1" t="s">
        <v>1507</v>
      </c>
      <c r="E100" s="1" t="s">
        <v>1507</v>
      </c>
      <c r="F100" s="1" t="s">
        <v>1507</v>
      </c>
      <c r="G100" s="1" t="s">
        <v>4294</v>
      </c>
      <c r="H100" s="1" t="s">
        <v>1507</v>
      </c>
      <c r="I100" s="1" t="s">
        <v>1507</v>
      </c>
      <c r="J100" s="1" t="s">
        <v>4295</v>
      </c>
      <c r="K100" s="1" t="s">
        <v>4296</v>
      </c>
      <c r="L100" s="1" t="s">
        <v>1507</v>
      </c>
      <c r="M100" s="1" t="s">
        <v>1507</v>
      </c>
      <c r="N100" s="1" t="s">
        <v>42</v>
      </c>
      <c r="O100" s="1" t="s">
        <v>56</v>
      </c>
      <c r="P100" s="1" t="s">
        <v>1507</v>
      </c>
      <c r="Q100" s="1" t="s">
        <v>1507</v>
      </c>
      <c r="R100" s="1" t="s">
        <v>1507</v>
      </c>
      <c r="S100" s="1" t="s">
        <v>1507</v>
      </c>
      <c r="T100" s="1" t="s">
        <v>1507</v>
      </c>
      <c r="U100" s="1" t="s">
        <v>1507</v>
      </c>
      <c r="V100" s="1" t="s">
        <v>4297</v>
      </c>
      <c r="W100" s="1" t="s">
        <v>4298</v>
      </c>
      <c r="X100" s="1" t="s">
        <v>4299</v>
      </c>
      <c r="Y100" s="1" t="s">
        <v>14570</v>
      </c>
      <c r="Z100" s="1" t="s">
        <v>4300</v>
      </c>
      <c r="AA100" s="1" t="s">
        <v>4301</v>
      </c>
      <c r="AB100" s="1" t="s">
        <v>14571</v>
      </c>
      <c r="AC100" s="1" t="s">
        <v>14572</v>
      </c>
      <c r="AD100" s="1" t="s">
        <v>4302</v>
      </c>
      <c r="AE100" s="1" t="s">
        <v>4303</v>
      </c>
      <c r="AF100" s="1" t="s">
        <v>4304</v>
      </c>
      <c r="AG100" s="1" t="s">
        <v>1507</v>
      </c>
      <c r="AH100" s="1">
        <v>118</v>
      </c>
      <c r="AI100" s="1">
        <v>8</v>
      </c>
      <c r="AJ100" s="1">
        <v>8</v>
      </c>
      <c r="AK100" s="1">
        <v>20</v>
      </c>
      <c r="AL100" s="1">
        <v>20</v>
      </c>
      <c r="AM100" s="1" t="s">
        <v>1604</v>
      </c>
      <c r="AN100" s="1" t="s">
        <v>1605</v>
      </c>
      <c r="AO100" s="1" t="s">
        <v>1606</v>
      </c>
      <c r="AP100" s="1" t="s">
        <v>4305</v>
      </c>
      <c r="AQ100" s="1" t="s">
        <v>4306</v>
      </c>
      <c r="AR100" s="1" t="s">
        <v>1507</v>
      </c>
      <c r="AS100" s="1" t="s">
        <v>4307</v>
      </c>
      <c r="AT100" s="1" t="s">
        <v>4308</v>
      </c>
      <c r="AU100" s="1" t="s">
        <v>4309</v>
      </c>
      <c r="AV100" s="1">
        <v>2023</v>
      </c>
      <c r="AW100" s="1">
        <v>267</v>
      </c>
      <c r="AX100" s="1">
        <v>2</v>
      </c>
      <c r="AY100" s="1" t="s">
        <v>1507</v>
      </c>
      <c r="AZ100" s="1" t="s">
        <v>1507</v>
      </c>
      <c r="BA100" s="1" t="s">
        <v>1507</v>
      </c>
      <c r="BB100" s="1" t="s">
        <v>1507</v>
      </c>
      <c r="BC100" s="1" t="s">
        <v>1507</v>
      </c>
      <c r="BD100" s="1" t="s">
        <v>1507</v>
      </c>
      <c r="BE100" s="1">
        <v>31</v>
      </c>
      <c r="BF100" s="1" t="s">
        <v>4310</v>
      </c>
      <c r="BG100" s="1" t="str">
        <f>HYPERLINK("http://dx.doi.org/10.3847/1538-4365/acdee1","http://dx.doi.org/10.3847/1538-4365/acdee1")</f>
        <v>http://dx.doi.org/10.3847/1538-4365/acdee1</v>
      </c>
      <c r="BH100" s="1" t="s">
        <v>1507</v>
      </c>
      <c r="BI100" s="1" t="s">
        <v>1507</v>
      </c>
      <c r="BJ100" s="1">
        <v>17</v>
      </c>
      <c r="BK100" s="1" t="s">
        <v>1608</v>
      </c>
      <c r="BL100" s="1" t="s">
        <v>1573</v>
      </c>
      <c r="BM100" s="1" t="s">
        <v>1608</v>
      </c>
      <c r="BN100" s="1" t="s">
        <v>4311</v>
      </c>
      <c r="BO100" s="1" t="s">
        <v>1507</v>
      </c>
      <c r="BP100" s="1" t="s">
        <v>10606</v>
      </c>
      <c r="BQ100" s="1" t="s">
        <v>1507</v>
      </c>
      <c r="BR100" s="1" t="s">
        <v>1507</v>
      </c>
      <c r="BS100" s="1" t="s">
        <v>13744</v>
      </c>
      <c r="BT100" s="1" t="s">
        <v>4313</v>
      </c>
      <c r="BU100" s="1" t="str">
        <f>HYPERLINK("https%3A%2F%2Fwww.webofscience.com%2Fwos%2Fwoscc%2Ffull-record%2FWOS:001041591800001","View Full Record in Web of Science")</f>
        <v>View Full Record in Web of Science</v>
      </c>
    </row>
    <row r="101" spans="1:73" x14ac:dyDescent="0.25">
      <c r="A101" s="1">
        <v>118</v>
      </c>
      <c r="B101" s="1" t="s">
        <v>1506</v>
      </c>
      <c r="C101" s="1" t="s">
        <v>7117</v>
      </c>
      <c r="D101" s="1" t="s">
        <v>1507</v>
      </c>
      <c r="E101" s="1" t="s">
        <v>1507</v>
      </c>
      <c r="F101" s="1" t="s">
        <v>1507</v>
      </c>
      <c r="G101" s="1" t="s">
        <v>7118</v>
      </c>
      <c r="H101" s="1" t="s">
        <v>1507</v>
      </c>
      <c r="I101" s="1" t="s">
        <v>1507</v>
      </c>
      <c r="J101" s="1" t="s">
        <v>7119</v>
      </c>
      <c r="K101" s="1" t="s">
        <v>7120</v>
      </c>
      <c r="L101" s="1" t="s">
        <v>1507</v>
      </c>
      <c r="M101" s="1" t="s">
        <v>1507</v>
      </c>
      <c r="N101" s="1" t="s">
        <v>42</v>
      </c>
      <c r="O101" s="1" t="s">
        <v>56</v>
      </c>
      <c r="P101" s="1" t="s">
        <v>1507</v>
      </c>
      <c r="Q101" s="1" t="s">
        <v>1507</v>
      </c>
      <c r="R101" s="1" t="s">
        <v>1507</v>
      </c>
      <c r="S101" s="1" t="s">
        <v>1507</v>
      </c>
      <c r="T101" s="1" t="s">
        <v>1507</v>
      </c>
      <c r="U101" s="1" t="s">
        <v>7121</v>
      </c>
      <c r="V101" s="1" t="s">
        <v>7122</v>
      </c>
      <c r="W101" s="1" t="s">
        <v>7123</v>
      </c>
      <c r="X101" s="1" t="s">
        <v>7124</v>
      </c>
      <c r="Y101" s="1" t="s">
        <v>7125</v>
      </c>
      <c r="Z101" s="1" t="s">
        <v>7126</v>
      </c>
      <c r="AA101" s="1" t="s">
        <v>7127</v>
      </c>
      <c r="AB101" s="1" t="s">
        <v>15604</v>
      </c>
      <c r="AC101" s="1" t="s">
        <v>15605</v>
      </c>
      <c r="AD101" s="1" t="s">
        <v>7128</v>
      </c>
      <c r="AE101" s="1" t="s">
        <v>7129</v>
      </c>
      <c r="AF101" s="1" t="s">
        <v>7130</v>
      </c>
      <c r="AG101" s="1" t="s">
        <v>1507</v>
      </c>
      <c r="AH101" s="1">
        <v>19</v>
      </c>
      <c r="AI101" s="1">
        <v>9</v>
      </c>
      <c r="AJ101" s="1">
        <v>10</v>
      </c>
      <c r="AK101" s="1">
        <v>0</v>
      </c>
      <c r="AL101" s="1">
        <v>1</v>
      </c>
      <c r="AM101" s="1" t="s">
        <v>1586</v>
      </c>
      <c r="AN101" s="1" t="s">
        <v>1583</v>
      </c>
      <c r="AO101" s="1" t="s">
        <v>3684</v>
      </c>
      <c r="AP101" s="1" t="s">
        <v>7131</v>
      </c>
      <c r="AQ101" s="1" t="s">
        <v>7132</v>
      </c>
      <c r="AR101" s="1" t="s">
        <v>1507</v>
      </c>
      <c r="AS101" s="1" t="s">
        <v>7120</v>
      </c>
      <c r="AT101" s="1" t="s">
        <v>7133</v>
      </c>
      <c r="AU101" s="1" t="s">
        <v>15606</v>
      </c>
      <c r="AV101" s="1">
        <v>2022</v>
      </c>
      <c r="AW101" s="1">
        <v>40</v>
      </c>
      <c r="AX101" s="1">
        <v>32</v>
      </c>
      <c r="AY101" s="1" t="s">
        <v>1507</v>
      </c>
      <c r="AZ101" s="1" t="s">
        <v>1507</v>
      </c>
      <c r="BA101" s="1" t="s">
        <v>1507</v>
      </c>
      <c r="BB101" s="1" t="s">
        <v>1507</v>
      </c>
      <c r="BC101" s="1">
        <v>4312</v>
      </c>
      <c r="BD101" s="1">
        <v>4317</v>
      </c>
      <c r="BE101" s="1" t="s">
        <v>1507</v>
      </c>
      <c r="BF101" s="1" t="s">
        <v>7134</v>
      </c>
      <c r="BG101" s="1" t="str">
        <f>HYPERLINK("http://dx.doi.org/10.1016/j.vaccine.2022.05.033","http://dx.doi.org/10.1016/j.vaccine.2022.05.033")</f>
        <v>http://dx.doi.org/10.1016/j.vaccine.2022.05.033</v>
      </c>
      <c r="BH101" s="1" t="s">
        <v>1507</v>
      </c>
      <c r="BI101" s="1" t="s">
        <v>7135</v>
      </c>
      <c r="BJ101" s="1">
        <v>6</v>
      </c>
      <c r="BK101" s="1" t="s">
        <v>3450</v>
      </c>
      <c r="BL101" s="1" t="s">
        <v>1573</v>
      </c>
      <c r="BM101" s="1" t="s">
        <v>3451</v>
      </c>
      <c r="BN101" s="1" t="s">
        <v>7136</v>
      </c>
      <c r="BO101" s="1">
        <v>35701327</v>
      </c>
      <c r="BP101" s="1" t="s">
        <v>1574</v>
      </c>
      <c r="BQ101" s="1" t="s">
        <v>1507</v>
      </c>
      <c r="BR101" s="1" t="s">
        <v>1507</v>
      </c>
      <c r="BS101" s="1" t="s">
        <v>13744</v>
      </c>
      <c r="BT101" s="1" t="s">
        <v>7137</v>
      </c>
      <c r="BU101" s="1" t="str">
        <f>HYPERLINK("https%3A%2F%2Fwww.webofscience.com%2Fwos%2Fwoscc%2Ffull-record%2FWOS:000839593900007","View Full Record in Web of Science")</f>
        <v>View Full Record in Web of Science</v>
      </c>
    </row>
    <row r="102" spans="1:73" x14ac:dyDescent="0.25">
      <c r="A102" s="1">
        <v>119</v>
      </c>
      <c r="B102" s="1" t="s">
        <v>1506</v>
      </c>
      <c r="C102" s="1" t="s">
        <v>5719</v>
      </c>
      <c r="D102" s="1" t="s">
        <v>1507</v>
      </c>
      <c r="E102" s="1" t="s">
        <v>1507</v>
      </c>
      <c r="F102" s="1" t="s">
        <v>1507</v>
      </c>
      <c r="G102" s="1" t="s">
        <v>5720</v>
      </c>
      <c r="H102" s="1" t="s">
        <v>1507</v>
      </c>
      <c r="I102" s="1" t="s">
        <v>1507</v>
      </c>
      <c r="J102" s="1" t="s">
        <v>933</v>
      </c>
      <c r="K102" s="1" t="s">
        <v>5721</v>
      </c>
      <c r="L102" s="1" t="s">
        <v>1507</v>
      </c>
      <c r="M102" s="1" t="s">
        <v>1507</v>
      </c>
      <c r="N102" s="1" t="s">
        <v>42</v>
      </c>
      <c r="O102" s="1" t="s">
        <v>56</v>
      </c>
      <c r="P102" s="1" t="s">
        <v>1507</v>
      </c>
      <c r="Q102" s="1" t="s">
        <v>1507</v>
      </c>
      <c r="R102" s="1" t="s">
        <v>1507</v>
      </c>
      <c r="S102" s="1" t="s">
        <v>1507</v>
      </c>
      <c r="T102" s="1" t="s">
        <v>1507</v>
      </c>
      <c r="U102" s="1" t="s">
        <v>5722</v>
      </c>
      <c r="V102" s="1" t="s">
        <v>5723</v>
      </c>
      <c r="W102" s="1" t="s">
        <v>5724</v>
      </c>
      <c r="X102" s="1" t="s">
        <v>5725</v>
      </c>
      <c r="Y102" s="1" t="s">
        <v>5726</v>
      </c>
      <c r="Z102" s="1" t="s">
        <v>5727</v>
      </c>
      <c r="AA102" s="1" t="s">
        <v>5728</v>
      </c>
      <c r="AB102" s="1" t="s">
        <v>14889</v>
      </c>
      <c r="AC102" s="1" t="s">
        <v>14890</v>
      </c>
      <c r="AD102" s="1" t="s">
        <v>1507</v>
      </c>
      <c r="AE102" s="1" t="s">
        <v>1507</v>
      </c>
      <c r="AF102" s="1" t="s">
        <v>1507</v>
      </c>
      <c r="AG102" s="1" t="s">
        <v>1507</v>
      </c>
      <c r="AH102" s="1">
        <v>45</v>
      </c>
      <c r="AI102" s="1">
        <v>0</v>
      </c>
      <c r="AJ102" s="1">
        <v>0</v>
      </c>
      <c r="AK102" s="1">
        <v>46</v>
      </c>
      <c r="AL102" s="1">
        <v>46</v>
      </c>
      <c r="AM102" s="1" t="s">
        <v>5729</v>
      </c>
      <c r="AN102" s="1" t="s">
        <v>5730</v>
      </c>
      <c r="AO102" s="1" t="s">
        <v>5731</v>
      </c>
      <c r="AP102" s="1" t="s">
        <v>5732</v>
      </c>
      <c r="AQ102" s="1" t="s">
        <v>5733</v>
      </c>
      <c r="AR102" s="1" t="s">
        <v>1507</v>
      </c>
      <c r="AS102" s="1" t="s">
        <v>5734</v>
      </c>
      <c r="AT102" s="1" t="s">
        <v>941</v>
      </c>
      <c r="AU102" s="1" t="s">
        <v>1507</v>
      </c>
      <c r="AV102" s="1">
        <v>2023</v>
      </c>
      <c r="AW102" s="1">
        <v>39</v>
      </c>
      <c r="AX102" s="1">
        <v>4</v>
      </c>
      <c r="AY102" s="1" t="s">
        <v>1507</v>
      </c>
      <c r="AZ102" s="1" t="s">
        <v>1507</v>
      </c>
      <c r="BA102" s="1" t="s">
        <v>3506</v>
      </c>
      <c r="BB102" s="1" t="s">
        <v>1507</v>
      </c>
      <c r="BC102" s="1">
        <v>89</v>
      </c>
      <c r="BD102" s="1">
        <v>103</v>
      </c>
      <c r="BE102" s="1" t="s">
        <v>1507</v>
      </c>
      <c r="BF102" s="1" t="s">
        <v>935</v>
      </c>
      <c r="BG102" s="1" t="str">
        <f>HYPERLINK("http://dx.doi.org/10.14742/ajet.8598","http://dx.doi.org/10.14742/ajet.8598")</f>
        <v>http://dx.doi.org/10.14742/ajet.8598</v>
      </c>
      <c r="BH102" s="1" t="s">
        <v>1507</v>
      </c>
      <c r="BI102" s="1" t="s">
        <v>1507</v>
      </c>
      <c r="BJ102" s="1">
        <v>15</v>
      </c>
      <c r="BK102" s="1" t="s">
        <v>1558</v>
      </c>
      <c r="BL102" s="1" t="s">
        <v>1518</v>
      </c>
      <c r="BM102" s="1" t="s">
        <v>1558</v>
      </c>
      <c r="BN102" s="1" t="s">
        <v>5735</v>
      </c>
      <c r="BO102" s="1" t="s">
        <v>1507</v>
      </c>
      <c r="BP102" s="1" t="s">
        <v>1531</v>
      </c>
      <c r="BQ102" s="1" t="s">
        <v>1507</v>
      </c>
      <c r="BR102" s="1" t="s">
        <v>1507</v>
      </c>
      <c r="BS102" s="1" t="s">
        <v>13744</v>
      </c>
      <c r="BT102" s="1" t="s">
        <v>5736</v>
      </c>
      <c r="BU102" s="1" t="str">
        <f>HYPERLINK("https%3A%2F%2Fwww.webofscience.com%2Fwos%2Fwoscc%2Ffull-record%2FWOS:001115427000006","View Full Record in Web of Science")</f>
        <v>View Full Record in Web of Science</v>
      </c>
    </row>
    <row r="103" spans="1:73" x14ac:dyDescent="0.25">
      <c r="A103" s="1">
        <v>120</v>
      </c>
      <c r="B103" s="1" t="s">
        <v>1506</v>
      </c>
      <c r="C103" s="1" t="s">
        <v>5763</v>
      </c>
      <c r="D103" s="1" t="s">
        <v>1507</v>
      </c>
      <c r="E103" s="1" t="s">
        <v>1507</v>
      </c>
      <c r="F103" s="1" t="s">
        <v>1507</v>
      </c>
      <c r="G103" s="1" t="s">
        <v>5764</v>
      </c>
      <c r="H103" s="1" t="s">
        <v>1507</v>
      </c>
      <c r="I103" s="1" t="s">
        <v>1507</v>
      </c>
      <c r="J103" s="1" t="s">
        <v>5765</v>
      </c>
      <c r="K103" s="1" t="s">
        <v>5740</v>
      </c>
      <c r="L103" s="1" t="s">
        <v>1507</v>
      </c>
      <c r="M103" s="1" t="s">
        <v>1507</v>
      </c>
      <c r="N103" s="1" t="s">
        <v>42</v>
      </c>
      <c r="O103" s="1" t="s">
        <v>56</v>
      </c>
      <c r="P103" s="1" t="s">
        <v>1507</v>
      </c>
      <c r="Q103" s="1" t="s">
        <v>1507</v>
      </c>
      <c r="R103" s="1" t="s">
        <v>1507</v>
      </c>
      <c r="S103" s="1" t="s">
        <v>1507</v>
      </c>
      <c r="T103" s="1" t="s">
        <v>1507</v>
      </c>
      <c r="U103" s="1" t="s">
        <v>5766</v>
      </c>
      <c r="V103" s="1" t="s">
        <v>5767</v>
      </c>
      <c r="W103" s="1" t="s">
        <v>5768</v>
      </c>
      <c r="X103" s="1" t="s">
        <v>5769</v>
      </c>
      <c r="Y103" s="1" t="s">
        <v>5770</v>
      </c>
      <c r="Z103" s="1" t="s">
        <v>5727</v>
      </c>
      <c r="AA103" s="1" t="s">
        <v>5771</v>
      </c>
      <c r="AB103" s="1" t="s">
        <v>14892</v>
      </c>
      <c r="AC103" s="1" t="s">
        <v>14893</v>
      </c>
      <c r="AD103" s="1" t="s">
        <v>1507</v>
      </c>
      <c r="AE103" s="1" t="s">
        <v>1507</v>
      </c>
      <c r="AF103" s="1" t="s">
        <v>1507</v>
      </c>
      <c r="AG103" s="1" t="s">
        <v>1507</v>
      </c>
      <c r="AH103" s="1">
        <v>72</v>
      </c>
      <c r="AI103" s="1">
        <v>58</v>
      </c>
      <c r="AJ103" s="1">
        <v>58</v>
      </c>
      <c r="AK103" s="1">
        <v>76</v>
      </c>
      <c r="AL103" s="1">
        <v>320</v>
      </c>
      <c r="AM103" s="1" t="s">
        <v>5748</v>
      </c>
      <c r="AN103" s="1" t="s">
        <v>5749</v>
      </c>
      <c r="AO103" s="1" t="s">
        <v>5750</v>
      </c>
      <c r="AP103" s="1" t="s">
        <v>5751</v>
      </c>
      <c r="AQ103" s="1" t="s">
        <v>1507</v>
      </c>
      <c r="AR103" s="1" t="s">
        <v>1507</v>
      </c>
      <c r="AS103" s="1" t="s">
        <v>5752</v>
      </c>
      <c r="AT103" s="1" t="s">
        <v>804</v>
      </c>
      <c r="AU103" s="1" t="s">
        <v>1507</v>
      </c>
      <c r="AV103" s="1">
        <v>2023</v>
      </c>
      <c r="AW103" s="1">
        <v>20</v>
      </c>
      <c r="AX103" s="1">
        <v>3</v>
      </c>
      <c r="AY103" s="1" t="s">
        <v>1507</v>
      </c>
      <c r="AZ103" s="1" t="s">
        <v>1507</v>
      </c>
      <c r="BA103" s="1" t="s">
        <v>1507</v>
      </c>
      <c r="BB103" s="1" t="s">
        <v>1507</v>
      </c>
      <c r="BC103" s="1" t="s">
        <v>1507</v>
      </c>
      <c r="BD103" s="1" t="s">
        <v>1507</v>
      </c>
      <c r="BE103" s="1">
        <v>2</v>
      </c>
      <c r="BF103" s="1" t="s">
        <v>1222</v>
      </c>
      <c r="BG103" s="1" t="str">
        <f>HYPERLINK("http://dx.doi.org/10.53761/1.20.3.02","http://dx.doi.org/10.53761/1.20.3.02")</f>
        <v>http://dx.doi.org/10.53761/1.20.3.02</v>
      </c>
      <c r="BH103" s="1" t="s">
        <v>1507</v>
      </c>
      <c r="BI103" s="1" t="s">
        <v>1507</v>
      </c>
      <c r="BJ103" s="1">
        <v>21</v>
      </c>
      <c r="BK103" s="1" t="s">
        <v>1558</v>
      </c>
      <c r="BL103" s="1" t="s">
        <v>1529</v>
      </c>
      <c r="BM103" s="1" t="s">
        <v>1558</v>
      </c>
      <c r="BN103" s="1" t="s">
        <v>5772</v>
      </c>
      <c r="BO103" s="1" t="s">
        <v>1507</v>
      </c>
      <c r="BP103" s="1" t="s">
        <v>1553</v>
      </c>
      <c r="BQ103" s="1" t="s">
        <v>1507</v>
      </c>
      <c r="BR103" s="1" t="s">
        <v>1507</v>
      </c>
      <c r="BS103" s="1" t="s">
        <v>13744</v>
      </c>
      <c r="BT103" s="1" t="s">
        <v>5773</v>
      </c>
      <c r="BU103" s="1" t="str">
        <f>HYPERLINK("https%3A%2F%2Fwww.webofscience.com%2Fwos%2Fwoscc%2Ffull-record%2FWOS:000950113500004","View Full Record in Web of Science")</f>
        <v>View Full Record in Web of Science</v>
      </c>
    </row>
    <row r="104" spans="1:73" x14ac:dyDescent="0.25">
      <c r="A104" s="1">
        <v>121</v>
      </c>
      <c r="B104" s="1" t="s">
        <v>1506</v>
      </c>
      <c r="C104" s="1" t="s">
        <v>5756</v>
      </c>
      <c r="D104" s="1" t="s">
        <v>1507</v>
      </c>
      <c r="E104" s="1" t="s">
        <v>1507</v>
      </c>
      <c r="F104" s="1" t="s">
        <v>1507</v>
      </c>
      <c r="G104" s="1" t="s">
        <v>5757</v>
      </c>
      <c r="H104" s="1" t="s">
        <v>1507</v>
      </c>
      <c r="I104" s="1" t="s">
        <v>1507</v>
      </c>
      <c r="J104" s="1" t="s">
        <v>1285</v>
      </c>
      <c r="K104" s="1" t="s">
        <v>5740</v>
      </c>
      <c r="L104" s="1" t="s">
        <v>1507</v>
      </c>
      <c r="M104" s="1" t="s">
        <v>1507</v>
      </c>
      <c r="N104" s="1" t="s">
        <v>42</v>
      </c>
      <c r="O104" s="1" t="s">
        <v>56</v>
      </c>
      <c r="P104" s="1" t="s">
        <v>1507</v>
      </c>
      <c r="Q104" s="1" t="s">
        <v>1507</v>
      </c>
      <c r="R104" s="1" t="s">
        <v>1507</v>
      </c>
      <c r="S104" s="1" t="s">
        <v>1507</v>
      </c>
      <c r="T104" s="1" t="s">
        <v>1507</v>
      </c>
      <c r="U104" s="1" t="s">
        <v>5758</v>
      </c>
      <c r="V104" s="1" t="s">
        <v>1507</v>
      </c>
      <c r="W104" s="1" t="s">
        <v>5759</v>
      </c>
      <c r="X104" s="1" t="s">
        <v>1507</v>
      </c>
      <c r="Y104" s="1" t="s">
        <v>1507</v>
      </c>
      <c r="Z104" s="1" t="s">
        <v>1507</v>
      </c>
      <c r="AA104" s="1" t="s">
        <v>1507</v>
      </c>
      <c r="AB104" s="1" t="s">
        <v>14891</v>
      </c>
      <c r="AC104" s="1" t="s">
        <v>5760</v>
      </c>
      <c r="AD104" s="1" t="s">
        <v>1507</v>
      </c>
      <c r="AE104" s="1" t="s">
        <v>1507</v>
      </c>
      <c r="AF104" s="1" t="s">
        <v>1507</v>
      </c>
      <c r="AG104" s="1" t="s">
        <v>1507</v>
      </c>
      <c r="AH104" s="1">
        <v>36</v>
      </c>
      <c r="AI104" s="1">
        <v>0</v>
      </c>
      <c r="AJ104" s="1">
        <v>0</v>
      </c>
      <c r="AK104" s="1">
        <v>9</v>
      </c>
      <c r="AL104" s="1">
        <v>9</v>
      </c>
      <c r="AM104" s="1" t="s">
        <v>5748</v>
      </c>
      <c r="AN104" s="1" t="s">
        <v>5749</v>
      </c>
      <c r="AO104" s="1" t="s">
        <v>5750</v>
      </c>
      <c r="AP104" s="1" t="s">
        <v>5751</v>
      </c>
      <c r="AQ104" s="1" t="s">
        <v>1507</v>
      </c>
      <c r="AR104" s="1" t="s">
        <v>1507</v>
      </c>
      <c r="AS104" s="1" t="s">
        <v>5752</v>
      </c>
      <c r="AT104" s="1" t="s">
        <v>804</v>
      </c>
      <c r="AU104" s="1" t="s">
        <v>1507</v>
      </c>
      <c r="AV104" s="1">
        <v>2023</v>
      </c>
      <c r="AW104" s="1">
        <v>20</v>
      </c>
      <c r="AX104" s="1">
        <v>5</v>
      </c>
      <c r="AY104" s="1" t="s">
        <v>1507</v>
      </c>
      <c r="AZ104" s="1" t="s">
        <v>1507</v>
      </c>
      <c r="BA104" s="1" t="s">
        <v>1507</v>
      </c>
      <c r="BB104" s="1" t="s">
        <v>1507</v>
      </c>
      <c r="BC104" s="1" t="s">
        <v>1507</v>
      </c>
      <c r="BD104" s="1" t="s">
        <v>1507</v>
      </c>
      <c r="BE104" s="1">
        <v>1</v>
      </c>
      <c r="BF104" s="1" t="s">
        <v>1507</v>
      </c>
      <c r="BG104" s="1" t="s">
        <v>1507</v>
      </c>
      <c r="BH104" s="1" t="s">
        <v>1507</v>
      </c>
      <c r="BI104" s="1" t="s">
        <v>1507</v>
      </c>
      <c r="BJ104" s="1">
        <v>12</v>
      </c>
      <c r="BK104" s="1" t="s">
        <v>1558</v>
      </c>
      <c r="BL104" s="1" t="s">
        <v>1529</v>
      </c>
      <c r="BM104" s="1" t="s">
        <v>1558</v>
      </c>
      <c r="BN104" s="1" t="s">
        <v>5761</v>
      </c>
      <c r="BO104" s="1" t="s">
        <v>1507</v>
      </c>
      <c r="BP104" s="1" t="s">
        <v>1507</v>
      </c>
      <c r="BQ104" s="1" t="s">
        <v>1507</v>
      </c>
      <c r="BR104" s="1" t="s">
        <v>1507</v>
      </c>
      <c r="BS104" s="1" t="s">
        <v>13744</v>
      </c>
      <c r="BT104" s="1" t="s">
        <v>5762</v>
      </c>
      <c r="BU104" s="1" t="str">
        <f>HYPERLINK("https%3A%2F%2Fwww.webofscience.com%2Fwos%2Fwoscc%2Ffull-record%2FWOS:001060245600001","View Full Record in Web of Science")</f>
        <v>View Full Record in Web of Science</v>
      </c>
    </row>
    <row r="105" spans="1:73" x14ac:dyDescent="0.25">
      <c r="A105" s="1">
        <v>122</v>
      </c>
      <c r="B105" s="1" t="s">
        <v>1506</v>
      </c>
      <c r="C105" s="1" t="s">
        <v>5737</v>
      </c>
      <c r="D105" s="1" t="s">
        <v>1507</v>
      </c>
      <c r="E105" s="1" t="s">
        <v>1507</v>
      </c>
      <c r="F105" s="1" t="s">
        <v>1507</v>
      </c>
      <c r="G105" s="1" t="s">
        <v>5738</v>
      </c>
      <c r="H105" s="1" t="s">
        <v>1507</v>
      </c>
      <c r="I105" s="1" t="s">
        <v>1507</v>
      </c>
      <c r="J105" s="1" t="s">
        <v>5739</v>
      </c>
      <c r="K105" s="1" t="s">
        <v>5740</v>
      </c>
      <c r="L105" s="1" t="s">
        <v>1507</v>
      </c>
      <c r="M105" s="1" t="s">
        <v>1507</v>
      </c>
      <c r="N105" s="1" t="s">
        <v>42</v>
      </c>
      <c r="O105" s="1" t="s">
        <v>56</v>
      </c>
      <c r="P105" s="1" t="s">
        <v>1507</v>
      </c>
      <c r="Q105" s="1" t="s">
        <v>1507</v>
      </c>
      <c r="R105" s="1" t="s">
        <v>1507</v>
      </c>
      <c r="S105" s="1" t="s">
        <v>1507</v>
      </c>
      <c r="T105" s="1" t="s">
        <v>1507</v>
      </c>
      <c r="U105" s="1" t="s">
        <v>5741</v>
      </c>
      <c r="V105" s="1" t="s">
        <v>5742</v>
      </c>
      <c r="W105" s="1" t="s">
        <v>5743</v>
      </c>
      <c r="X105" s="1" t="s">
        <v>5744</v>
      </c>
      <c r="Y105" s="1" t="s">
        <v>5745</v>
      </c>
      <c r="Z105" s="1" t="s">
        <v>5746</v>
      </c>
      <c r="AA105" s="1" t="s">
        <v>5747</v>
      </c>
      <c r="AB105" s="1" t="s">
        <v>1507</v>
      </c>
      <c r="AC105" s="1" t="s">
        <v>1507</v>
      </c>
      <c r="AD105" s="1" t="s">
        <v>1507</v>
      </c>
      <c r="AE105" s="1" t="s">
        <v>1507</v>
      </c>
      <c r="AF105" s="1" t="s">
        <v>1507</v>
      </c>
      <c r="AG105" s="1" t="s">
        <v>1507</v>
      </c>
      <c r="AH105" s="1">
        <v>47</v>
      </c>
      <c r="AI105" s="1">
        <v>0</v>
      </c>
      <c r="AJ105" s="1">
        <v>0</v>
      </c>
      <c r="AK105" s="1">
        <v>24</v>
      </c>
      <c r="AL105" s="1">
        <v>24</v>
      </c>
      <c r="AM105" s="1" t="s">
        <v>5748</v>
      </c>
      <c r="AN105" s="1" t="s">
        <v>5749</v>
      </c>
      <c r="AO105" s="1" t="s">
        <v>5750</v>
      </c>
      <c r="AP105" s="1" t="s">
        <v>5751</v>
      </c>
      <c r="AQ105" s="1" t="s">
        <v>1507</v>
      </c>
      <c r="AR105" s="1" t="s">
        <v>1507</v>
      </c>
      <c r="AS105" s="1" t="s">
        <v>5752</v>
      </c>
      <c r="AT105" s="1" t="s">
        <v>804</v>
      </c>
      <c r="AU105" s="1" t="s">
        <v>1507</v>
      </c>
      <c r="AV105" s="1">
        <v>2023</v>
      </c>
      <c r="AW105" s="1">
        <v>20</v>
      </c>
      <c r="AX105" s="1">
        <v>7</v>
      </c>
      <c r="AY105" s="1" t="s">
        <v>1507</v>
      </c>
      <c r="AZ105" s="1" t="s">
        <v>1507</v>
      </c>
      <c r="BA105" s="1" t="s">
        <v>1507</v>
      </c>
      <c r="BB105" s="1" t="s">
        <v>1507</v>
      </c>
      <c r="BC105" s="1" t="s">
        <v>1507</v>
      </c>
      <c r="BD105" s="1" t="s">
        <v>1507</v>
      </c>
      <c r="BE105" s="1">
        <v>1</v>
      </c>
      <c r="BF105" s="1" t="s">
        <v>5753</v>
      </c>
      <c r="BG105" s="1" t="str">
        <f>HYPERLINK("http://dx.doi.org/10.53761/1.20.7.01","http://dx.doi.org/10.53761/1.20.7.01")</f>
        <v>http://dx.doi.org/10.53761/1.20.7.01</v>
      </c>
      <c r="BH105" s="1" t="s">
        <v>1507</v>
      </c>
      <c r="BI105" s="1" t="s">
        <v>1507</v>
      </c>
      <c r="BJ105" s="1">
        <v>14</v>
      </c>
      <c r="BK105" s="1" t="s">
        <v>1558</v>
      </c>
      <c r="BL105" s="1" t="s">
        <v>1529</v>
      </c>
      <c r="BM105" s="1" t="s">
        <v>1558</v>
      </c>
      <c r="BN105" s="1" t="s">
        <v>5754</v>
      </c>
      <c r="BO105" s="1" t="s">
        <v>1507</v>
      </c>
      <c r="BP105" s="1" t="s">
        <v>1547</v>
      </c>
      <c r="BQ105" s="1" t="s">
        <v>1507</v>
      </c>
      <c r="BR105" s="1" t="s">
        <v>1507</v>
      </c>
      <c r="BS105" s="1" t="s">
        <v>13744</v>
      </c>
      <c r="BT105" s="1" t="s">
        <v>5755</v>
      </c>
      <c r="BU105" s="1" t="str">
        <f>HYPERLINK("https%3A%2F%2Fwww.webofscience.com%2Fwos%2Fwoscc%2Ffull-record%2FWOS:001103781300009","View Full Record in Web of Science")</f>
        <v>View Full Record in Web of Science</v>
      </c>
    </row>
    <row r="106" spans="1:73" x14ac:dyDescent="0.25">
      <c r="A106" s="1">
        <v>123</v>
      </c>
      <c r="B106" s="1" t="s">
        <v>1506</v>
      </c>
      <c r="C106" s="1" t="s">
        <v>5774</v>
      </c>
      <c r="D106" s="1" t="s">
        <v>1507</v>
      </c>
      <c r="E106" s="1" t="s">
        <v>1507</v>
      </c>
      <c r="F106" s="1" t="s">
        <v>1507</v>
      </c>
      <c r="G106" s="1" t="s">
        <v>5775</v>
      </c>
      <c r="H106" s="1" t="s">
        <v>1507</v>
      </c>
      <c r="I106" s="1" t="s">
        <v>1507</v>
      </c>
      <c r="J106" s="1" t="s">
        <v>233</v>
      </c>
      <c r="K106" s="1" t="s">
        <v>5776</v>
      </c>
      <c r="L106" s="1" t="s">
        <v>1507</v>
      </c>
      <c r="M106" s="1" t="s">
        <v>1507</v>
      </c>
      <c r="N106" s="1" t="s">
        <v>42</v>
      </c>
      <c r="O106" s="1" t="s">
        <v>56</v>
      </c>
      <c r="P106" s="1" t="s">
        <v>1507</v>
      </c>
      <c r="Q106" s="1" t="s">
        <v>1507</v>
      </c>
      <c r="R106" s="1" t="s">
        <v>1507</v>
      </c>
      <c r="S106" s="1" t="s">
        <v>1507</v>
      </c>
      <c r="T106" s="1" t="s">
        <v>1507</v>
      </c>
      <c r="U106" s="1" t="s">
        <v>5777</v>
      </c>
      <c r="V106" s="1" t="s">
        <v>5778</v>
      </c>
      <c r="W106" s="1" t="s">
        <v>5779</v>
      </c>
      <c r="X106" s="1" t="s">
        <v>5780</v>
      </c>
      <c r="Y106" s="1" t="s">
        <v>1507</v>
      </c>
      <c r="Z106" s="1" t="s">
        <v>5781</v>
      </c>
      <c r="AA106" s="1" t="s">
        <v>5782</v>
      </c>
      <c r="AB106" s="1" t="s">
        <v>14894</v>
      </c>
      <c r="AC106" s="1" t="s">
        <v>14895</v>
      </c>
      <c r="AD106" s="1" t="s">
        <v>1507</v>
      </c>
      <c r="AE106" s="1" t="s">
        <v>1507</v>
      </c>
      <c r="AF106" s="1" t="s">
        <v>1507</v>
      </c>
      <c r="AG106" s="1" t="s">
        <v>1507</v>
      </c>
      <c r="AH106" s="1">
        <v>28</v>
      </c>
      <c r="AI106" s="1">
        <v>0</v>
      </c>
      <c r="AJ106" s="1">
        <v>0</v>
      </c>
      <c r="AK106" s="1">
        <v>48</v>
      </c>
      <c r="AL106" s="1">
        <v>48</v>
      </c>
      <c r="AM106" s="1" t="s">
        <v>5783</v>
      </c>
      <c r="AN106" s="1" t="s">
        <v>5784</v>
      </c>
      <c r="AO106" s="1" t="s">
        <v>5785</v>
      </c>
      <c r="AP106" s="1" t="s">
        <v>1507</v>
      </c>
      <c r="AQ106" s="1" t="s">
        <v>5786</v>
      </c>
      <c r="AR106" s="1" t="s">
        <v>1507</v>
      </c>
      <c r="AS106" s="1" t="s">
        <v>5787</v>
      </c>
      <c r="AT106" s="1" t="s">
        <v>5788</v>
      </c>
      <c r="AU106" s="1" t="s">
        <v>1507</v>
      </c>
      <c r="AV106" s="1">
        <v>2023</v>
      </c>
      <c r="AW106" s="1">
        <v>9</v>
      </c>
      <c r="AX106" s="1">
        <v>4</v>
      </c>
      <c r="AY106" s="1" t="s">
        <v>1507</v>
      </c>
      <c r="AZ106" s="1" t="s">
        <v>1507</v>
      </c>
      <c r="BA106" s="1" t="s">
        <v>1507</v>
      </c>
      <c r="BB106" s="1" t="s">
        <v>1507</v>
      </c>
      <c r="BC106" s="1">
        <v>128</v>
      </c>
      <c r="BD106" s="1">
        <v>138</v>
      </c>
      <c r="BE106" s="1" t="s">
        <v>1507</v>
      </c>
      <c r="BF106" s="1" t="s">
        <v>235</v>
      </c>
      <c r="BG106" s="1" t="str">
        <f>HYPERLINK("http://dx.doi.org/10.17323/jle.2023.17379","http://dx.doi.org/10.17323/jle.2023.17379")</f>
        <v>http://dx.doi.org/10.17323/jle.2023.17379</v>
      </c>
      <c r="BH106" s="1" t="s">
        <v>1507</v>
      </c>
      <c r="BI106" s="1" t="s">
        <v>1507</v>
      </c>
      <c r="BJ106" s="1">
        <v>11</v>
      </c>
      <c r="BK106" s="1" t="s">
        <v>4526</v>
      </c>
      <c r="BL106" s="1" t="s">
        <v>1529</v>
      </c>
      <c r="BM106" s="1" t="s">
        <v>4526</v>
      </c>
      <c r="BN106" s="1" t="s">
        <v>5789</v>
      </c>
      <c r="BO106" s="1" t="s">
        <v>1507</v>
      </c>
      <c r="BP106" s="1" t="s">
        <v>1531</v>
      </c>
      <c r="BQ106" s="1" t="s">
        <v>1507</v>
      </c>
      <c r="BR106" s="1" t="s">
        <v>1507</v>
      </c>
      <c r="BS106" s="1" t="s">
        <v>13744</v>
      </c>
      <c r="BT106" s="1" t="s">
        <v>5790</v>
      </c>
      <c r="BU106" s="1" t="str">
        <f>HYPERLINK("https%3A%2F%2Fwww.webofscience.com%2Fwos%2Fwoscc%2Ffull-record%2FWOS:001137479500002","View Full Record in Web of Science")</f>
        <v>View Full Record in Web of Science</v>
      </c>
    </row>
    <row r="107" spans="1:73" x14ac:dyDescent="0.25">
      <c r="A107" s="1">
        <v>124</v>
      </c>
      <c r="B107" s="1" t="s">
        <v>1506</v>
      </c>
      <c r="C107" s="1" t="s">
        <v>4529</v>
      </c>
      <c r="D107" s="1" t="s">
        <v>1507</v>
      </c>
      <c r="E107" s="1" t="s">
        <v>1507</v>
      </c>
      <c r="F107" s="1" t="s">
        <v>1507</v>
      </c>
      <c r="G107" s="1" t="s">
        <v>4530</v>
      </c>
      <c r="H107" s="1" t="s">
        <v>1507</v>
      </c>
      <c r="I107" s="1" t="s">
        <v>1507</v>
      </c>
      <c r="J107" s="1" t="s">
        <v>4531</v>
      </c>
      <c r="K107" s="1" t="s">
        <v>3083</v>
      </c>
      <c r="L107" s="1" t="s">
        <v>1507</v>
      </c>
      <c r="M107" s="1" t="s">
        <v>1507</v>
      </c>
      <c r="N107" s="1" t="s">
        <v>42</v>
      </c>
      <c r="O107" s="1" t="s">
        <v>56</v>
      </c>
      <c r="P107" s="1" t="s">
        <v>1507</v>
      </c>
      <c r="Q107" s="1" t="s">
        <v>1507</v>
      </c>
      <c r="R107" s="1" t="s">
        <v>1507</v>
      </c>
      <c r="S107" s="1" t="s">
        <v>1507</v>
      </c>
      <c r="T107" s="1" t="s">
        <v>1507</v>
      </c>
      <c r="U107" s="1" t="s">
        <v>4532</v>
      </c>
      <c r="V107" s="1" t="s">
        <v>1507</v>
      </c>
      <c r="W107" s="1" t="s">
        <v>4533</v>
      </c>
      <c r="X107" s="1" t="s">
        <v>4534</v>
      </c>
      <c r="Y107" s="1" t="s">
        <v>4535</v>
      </c>
      <c r="Z107" s="1" t="s">
        <v>4536</v>
      </c>
      <c r="AA107" s="1" t="s">
        <v>4537</v>
      </c>
      <c r="AB107" s="1" t="s">
        <v>4538</v>
      </c>
      <c r="AC107" s="1" t="s">
        <v>14632</v>
      </c>
      <c r="AD107" s="1" t="s">
        <v>1507</v>
      </c>
      <c r="AE107" s="1" t="s">
        <v>1507</v>
      </c>
      <c r="AF107" s="1" t="s">
        <v>1507</v>
      </c>
      <c r="AG107" s="1" t="s">
        <v>1507</v>
      </c>
      <c r="AH107" s="1">
        <v>14</v>
      </c>
      <c r="AI107" s="1">
        <v>6</v>
      </c>
      <c r="AJ107" s="1">
        <v>6</v>
      </c>
      <c r="AK107" s="1">
        <v>21</v>
      </c>
      <c r="AL107" s="1">
        <v>32</v>
      </c>
      <c r="AM107" s="1" t="s">
        <v>1601</v>
      </c>
      <c r="AN107" s="1" t="s">
        <v>1551</v>
      </c>
      <c r="AO107" s="1" t="s">
        <v>1602</v>
      </c>
      <c r="AP107" s="1" t="s">
        <v>1507</v>
      </c>
      <c r="AQ107" s="1" t="s">
        <v>3091</v>
      </c>
      <c r="AR107" s="1" t="s">
        <v>1507</v>
      </c>
      <c r="AS107" s="1" t="s">
        <v>3092</v>
      </c>
      <c r="AT107" s="1" t="s">
        <v>3093</v>
      </c>
      <c r="AU107" s="1" t="s">
        <v>4539</v>
      </c>
      <c r="AV107" s="1">
        <v>2023</v>
      </c>
      <c r="AW107" s="1">
        <v>15</v>
      </c>
      <c r="AX107" s="1">
        <v>7</v>
      </c>
      <c r="AY107" s="1" t="s">
        <v>1507</v>
      </c>
      <c r="AZ107" s="1" t="s">
        <v>1507</v>
      </c>
      <c r="BA107" s="1" t="s">
        <v>1507</v>
      </c>
      <c r="BB107" s="1" t="s">
        <v>1507</v>
      </c>
      <c r="BC107" s="1" t="s">
        <v>1507</v>
      </c>
      <c r="BD107" s="1" t="s">
        <v>1507</v>
      </c>
      <c r="BE107" s="1" t="s">
        <v>4540</v>
      </c>
      <c r="BF107" s="1" t="s">
        <v>4541</v>
      </c>
      <c r="BG107" s="1" t="str">
        <f>HYPERLINK("http://dx.doi.org/10.7759/cureus.41399","http://dx.doi.org/10.7759/cureus.41399")</f>
        <v>http://dx.doi.org/10.7759/cureus.41399</v>
      </c>
      <c r="BH107" s="1" t="s">
        <v>1507</v>
      </c>
      <c r="BI107" s="1" t="s">
        <v>1507</v>
      </c>
      <c r="BJ107" s="1">
        <v>11</v>
      </c>
      <c r="BK107" s="1" t="s">
        <v>1949</v>
      </c>
      <c r="BL107" s="1" t="s">
        <v>1529</v>
      </c>
      <c r="BM107" s="1" t="s">
        <v>1950</v>
      </c>
      <c r="BN107" s="1" t="s">
        <v>4542</v>
      </c>
      <c r="BO107" s="1">
        <v>37426402</v>
      </c>
      <c r="BP107" s="1" t="s">
        <v>1952</v>
      </c>
      <c r="BQ107" s="1" t="s">
        <v>1507</v>
      </c>
      <c r="BR107" s="1" t="s">
        <v>1507</v>
      </c>
      <c r="BS107" s="1" t="s">
        <v>13744</v>
      </c>
      <c r="BT107" s="1" t="s">
        <v>4543</v>
      </c>
      <c r="BU107" s="1" t="str">
        <f>HYPERLINK("https%3A%2F%2Fwww.webofscience.com%2Fwos%2Fwoscc%2Ffull-record%2FWOS:001055896400011","View Full Record in Web of Science")</f>
        <v>View Full Record in Web of Science</v>
      </c>
    </row>
    <row r="108" spans="1:73" x14ac:dyDescent="0.25">
      <c r="A108" s="1">
        <v>125</v>
      </c>
      <c r="B108" s="1" t="s">
        <v>1506</v>
      </c>
      <c r="C108" s="1" t="s">
        <v>2703</v>
      </c>
      <c r="D108" s="1" t="s">
        <v>1507</v>
      </c>
      <c r="E108" s="1" t="s">
        <v>1507</v>
      </c>
      <c r="F108" s="1" t="s">
        <v>1507</v>
      </c>
      <c r="G108" s="1" t="s">
        <v>2704</v>
      </c>
      <c r="H108" s="1" t="s">
        <v>1507</v>
      </c>
      <c r="I108" s="1" t="s">
        <v>1507</v>
      </c>
      <c r="J108" s="1" t="s">
        <v>2705</v>
      </c>
      <c r="K108" s="1" t="s">
        <v>2706</v>
      </c>
      <c r="L108" s="1" t="s">
        <v>1507</v>
      </c>
      <c r="M108" s="1" t="s">
        <v>1507</v>
      </c>
      <c r="N108" s="1" t="s">
        <v>42</v>
      </c>
      <c r="O108" s="1" t="s">
        <v>56</v>
      </c>
      <c r="P108" s="1" t="s">
        <v>1507</v>
      </c>
      <c r="Q108" s="1" t="s">
        <v>1507</v>
      </c>
      <c r="R108" s="1" t="s">
        <v>1507</v>
      </c>
      <c r="S108" s="1" t="s">
        <v>1507</v>
      </c>
      <c r="T108" s="1" t="s">
        <v>1507</v>
      </c>
      <c r="U108" s="1" t="s">
        <v>2707</v>
      </c>
      <c r="V108" s="1" t="s">
        <v>2708</v>
      </c>
      <c r="W108" s="1" t="s">
        <v>2709</v>
      </c>
      <c r="X108" s="1" t="s">
        <v>2710</v>
      </c>
      <c r="Y108" s="1" t="s">
        <v>2711</v>
      </c>
      <c r="Z108" s="1" t="s">
        <v>2712</v>
      </c>
      <c r="AA108" s="1" t="s">
        <v>2713</v>
      </c>
      <c r="AB108" s="1" t="s">
        <v>1507</v>
      </c>
      <c r="AC108" s="1" t="s">
        <v>14006</v>
      </c>
      <c r="AD108" s="1" t="s">
        <v>2714</v>
      </c>
      <c r="AE108" s="1" t="s">
        <v>2714</v>
      </c>
      <c r="AF108" s="1" t="s">
        <v>2715</v>
      </c>
      <c r="AG108" s="1" t="s">
        <v>1507</v>
      </c>
      <c r="AH108" s="1">
        <v>38</v>
      </c>
      <c r="AI108" s="1">
        <v>0</v>
      </c>
      <c r="AJ108" s="1">
        <v>0</v>
      </c>
      <c r="AK108" s="1">
        <v>6</v>
      </c>
      <c r="AL108" s="1">
        <v>6</v>
      </c>
      <c r="AM108" s="1" t="s">
        <v>2299</v>
      </c>
      <c r="AN108" s="1" t="s">
        <v>2300</v>
      </c>
      <c r="AO108" s="1" t="s">
        <v>2301</v>
      </c>
      <c r="AP108" s="1" t="s">
        <v>2716</v>
      </c>
      <c r="AQ108" s="1" t="s">
        <v>2717</v>
      </c>
      <c r="AR108" s="1" t="s">
        <v>1507</v>
      </c>
      <c r="AS108" s="1" t="s">
        <v>2718</v>
      </c>
      <c r="AT108" s="1" t="s">
        <v>2719</v>
      </c>
      <c r="AU108" s="1" t="s">
        <v>14007</v>
      </c>
      <c r="AV108" s="1">
        <v>2023</v>
      </c>
      <c r="AW108" s="1">
        <v>24</v>
      </c>
      <c r="AX108" s="1">
        <v>3</v>
      </c>
      <c r="AY108" s="1" t="s">
        <v>1507</v>
      </c>
      <c r="AZ108" s="1" t="s">
        <v>1507</v>
      </c>
      <c r="BA108" s="1" t="s">
        <v>1507</v>
      </c>
      <c r="BB108" s="1" t="s">
        <v>1507</v>
      </c>
      <c r="BC108" s="1" t="s">
        <v>1507</v>
      </c>
      <c r="BD108" s="1" t="s">
        <v>1507</v>
      </c>
      <c r="BE108" s="1" t="s">
        <v>1507</v>
      </c>
      <c r="BF108" s="1" t="s">
        <v>2720</v>
      </c>
      <c r="BG108" s="1" t="str">
        <f>HYPERLINK("http://dx.doi.org/10.1128/jmbe.00153-23","http://dx.doi.org/10.1128/jmbe.00153-23")</f>
        <v>http://dx.doi.org/10.1128/jmbe.00153-23</v>
      </c>
      <c r="BH108" s="1" t="s">
        <v>1507</v>
      </c>
      <c r="BI108" s="1" t="s">
        <v>2396</v>
      </c>
      <c r="BJ108" s="1">
        <v>14</v>
      </c>
      <c r="BK108" s="1" t="s">
        <v>2721</v>
      </c>
      <c r="BL108" s="1" t="s">
        <v>1529</v>
      </c>
      <c r="BM108" s="1" t="s">
        <v>1558</v>
      </c>
      <c r="BN108" s="1" t="s">
        <v>2722</v>
      </c>
      <c r="BO108" s="1">
        <v>38107990</v>
      </c>
      <c r="BP108" s="1" t="s">
        <v>1952</v>
      </c>
      <c r="BQ108" s="1" t="s">
        <v>1507</v>
      </c>
      <c r="BR108" s="1" t="s">
        <v>1507</v>
      </c>
      <c r="BS108" s="1" t="s">
        <v>13744</v>
      </c>
      <c r="BT108" s="1" t="s">
        <v>2723</v>
      </c>
      <c r="BU108" s="1" t="str">
        <f>HYPERLINK("https%3A%2F%2Fwww.webofscience.com%2Fwos%2Fwoscc%2Ffull-record%2FWOS:001095972600001","View Full Record in Web of Science")</f>
        <v>View Full Record in Web of Science</v>
      </c>
    </row>
    <row r="109" spans="1:73" x14ac:dyDescent="0.25">
      <c r="A109" s="1">
        <v>126</v>
      </c>
      <c r="B109" s="1" t="s">
        <v>1506</v>
      </c>
      <c r="C109" s="1" t="s">
        <v>10865</v>
      </c>
      <c r="D109" s="1" t="s">
        <v>1507</v>
      </c>
      <c r="E109" s="1" t="s">
        <v>1507</v>
      </c>
      <c r="F109" s="1" t="s">
        <v>1507</v>
      </c>
      <c r="G109" s="1" t="s">
        <v>10866</v>
      </c>
      <c r="H109" s="1" t="s">
        <v>1507</v>
      </c>
      <c r="I109" s="1" t="s">
        <v>1507</v>
      </c>
      <c r="J109" s="1" t="s">
        <v>10867</v>
      </c>
      <c r="K109" s="1" t="s">
        <v>10868</v>
      </c>
      <c r="L109" s="1" t="s">
        <v>1507</v>
      </c>
      <c r="M109" s="1" t="s">
        <v>1507</v>
      </c>
      <c r="N109" s="1" t="s">
        <v>42</v>
      </c>
      <c r="O109" s="1" t="s">
        <v>56</v>
      </c>
      <c r="P109" s="1" t="s">
        <v>1507</v>
      </c>
      <c r="Q109" s="1" t="s">
        <v>1507</v>
      </c>
      <c r="R109" s="1" t="s">
        <v>1507</v>
      </c>
      <c r="S109" s="1" t="s">
        <v>1507</v>
      </c>
      <c r="T109" s="1" t="s">
        <v>1507</v>
      </c>
      <c r="U109" s="1" t="s">
        <v>10869</v>
      </c>
      <c r="V109" s="1" t="s">
        <v>10870</v>
      </c>
      <c r="W109" s="1" t="s">
        <v>10871</v>
      </c>
      <c r="X109" s="1" t="s">
        <v>10872</v>
      </c>
      <c r="Y109" s="1" t="s">
        <v>10873</v>
      </c>
      <c r="Z109" s="1" t="s">
        <v>10874</v>
      </c>
      <c r="AA109" s="1" t="s">
        <v>10875</v>
      </c>
      <c r="AB109" s="1" t="s">
        <v>15923</v>
      </c>
      <c r="AC109" s="1" t="s">
        <v>15924</v>
      </c>
      <c r="AD109" s="1" t="s">
        <v>10876</v>
      </c>
      <c r="AE109" s="1" t="s">
        <v>10877</v>
      </c>
      <c r="AF109" s="1" t="s">
        <v>10878</v>
      </c>
      <c r="AG109" s="1" t="s">
        <v>1507</v>
      </c>
      <c r="AH109" s="1">
        <v>48</v>
      </c>
      <c r="AI109" s="1">
        <v>15</v>
      </c>
      <c r="AJ109" s="1">
        <v>16</v>
      </c>
      <c r="AK109" s="1">
        <v>0</v>
      </c>
      <c r="AL109" s="1">
        <v>3</v>
      </c>
      <c r="AM109" s="1" t="s">
        <v>1725</v>
      </c>
      <c r="AN109" s="1" t="s">
        <v>1551</v>
      </c>
      <c r="AO109" s="1" t="s">
        <v>1726</v>
      </c>
      <c r="AP109" s="1" t="s">
        <v>10879</v>
      </c>
      <c r="AQ109" s="1" t="s">
        <v>10880</v>
      </c>
      <c r="AR109" s="1" t="s">
        <v>1507</v>
      </c>
      <c r="AS109" s="1" t="s">
        <v>10881</v>
      </c>
      <c r="AT109" s="1" t="s">
        <v>10882</v>
      </c>
      <c r="AU109" s="1" t="s">
        <v>10883</v>
      </c>
      <c r="AV109" s="1">
        <v>2019</v>
      </c>
      <c r="AW109" s="1">
        <v>23</v>
      </c>
      <c r="AX109" s="1" t="s">
        <v>1507</v>
      </c>
      <c r="AY109" s="1" t="s">
        <v>1507</v>
      </c>
      <c r="AZ109" s="1" t="s">
        <v>1507</v>
      </c>
      <c r="BA109" s="1" t="s">
        <v>1507</v>
      </c>
      <c r="BB109" s="1" t="s">
        <v>1507</v>
      </c>
      <c r="BC109" s="1" t="s">
        <v>1507</v>
      </c>
      <c r="BD109" s="1" t="s">
        <v>1507</v>
      </c>
      <c r="BE109" s="1">
        <v>230</v>
      </c>
      <c r="BF109" s="1" t="s">
        <v>10884</v>
      </c>
      <c r="BG109" s="1" t="str">
        <f>HYPERLINK("http://dx.doi.org/10.1186/s13054-019-2505-7","http://dx.doi.org/10.1186/s13054-019-2505-7")</f>
        <v>http://dx.doi.org/10.1186/s13054-019-2505-7</v>
      </c>
      <c r="BH109" s="1" t="s">
        <v>1507</v>
      </c>
      <c r="BI109" s="1" t="s">
        <v>1507</v>
      </c>
      <c r="BJ109" s="1">
        <v>11</v>
      </c>
      <c r="BK109" s="1" t="s">
        <v>10885</v>
      </c>
      <c r="BL109" s="1" t="s">
        <v>1573</v>
      </c>
      <c r="BM109" s="1" t="s">
        <v>1950</v>
      </c>
      <c r="BN109" s="1" t="s">
        <v>10886</v>
      </c>
      <c r="BO109" s="1">
        <v>31234943</v>
      </c>
      <c r="BP109" s="1" t="s">
        <v>1952</v>
      </c>
      <c r="BQ109" s="1" t="s">
        <v>1507</v>
      </c>
      <c r="BR109" s="1" t="s">
        <v>1507</v>
      </c>
      <c r="BS109" s="1" t="s">
        <v>13744</v>
      </c>
      <c r="BT109" s="1" t="s">
        <v>10887</v>
      </c>
      <c r="BU109" s="1" t="str">
        <f>HYPERLINK("https%3A%2F%2Fwww.webofscience.com%2Fwos%2Fwoscc%2Ffull-record%2FWOS:000472899700001","View Full Record in Web of Science")</f>
        <v>View Full Record in Web of Science</v>
      </c>
    </row>
    <row r="110" spans="1:73" x14ac:dyDescent="0.25">
      <c r="A110" s="1">
        <v>127</v>
      </c>
      <c r="B110" s="1" t="s">
        <v>1506</v>
      </c>
      <c r="C110" s="1" t="s">
        <v>2997</v>
      </c>
      <c r="D110" s="1" t="s">
        <v>1507</v>
      </c>
      <c r="E110" s="1" t="s">
        <v>1507</v>
      </c>
      <c r="F110" s="1" t="s">
        <v>1507</v>
      </c>
      <c r="G110" s="1" t="s">
        <v>2998</v>
      </c>
      <c r="H110" s="1" t="s">
        <v>1507</v>
      </c>
      <c r="I110" s="1" t="s">
        <v>1507</v>
      </c>
      <c r="J110" s="1" t="s">
        <v>2999</v>
      </c>
      <c r="K110" s="1" t="s">
        <v>3000</v>
      </c>
      <c r="L110" s="1" t="s">
        <v>1507</v>
      </c>
      <c r="M110" s="1" t="s">
        <v>1507</v>
      </c>
      <c r="N110" s="1" t="s">
        <v>42</v>
      </c>
      <c r="O110" s="1" t="s">
        <v>56</v>
      </c>
      <c r="P110" s="1" t="s">
        <v>1507</v>
      </c>
      <c r="Q110" s="1" t="s">
        <v>1507</v>
      </c>
      <c r="R110" s="1" t="s">
        <v>1507</v>
      </c>
      <c r="S110" s="1" t="s">
        <v>1507</v>
      </c>
      <c r="T110" s="1" t="s">
        <v>1507</v>
      </c>
      <c r="U110" s="1" t="s">
        <v>1507</v>
      </c>
      <c r="V110" s="1" t="s">
        <v>3001</v>
      </c>
      <c r="W110" s="1" t="s">
        <v>3002</v>
      </c>
      <c r="X110" s="1" t="s">
        <v>3003</v>
      </c>
      <c r="Y110" s="1" t="s">
        <v>14243</v>
      </c>
      <c r="Z110" s="1" t="s">
        <v>3004</v>
      </c>
      <c r="AA110" s="1" t="s">
        <v>3005</v>
      </c>
      <c r="AB110" s="1" t="s">
        <v>14244</v>
      </c>
      <c r="AC110" s="1" t="s">
        <v>3006</v>
      </c>
      <c r="AD110" s="1" t="s">
        <v>3007</v>
      </c>
      <c r="AE110" s="1" t="s">
        <v>3008</v>
      </c>
      <c r="AF110" s="1" t="s">
        <v>3009</v>
      </c>
      <c r="AG110" s="1" t="s">
        <v>1507</v>
      </c>
      <c r="AH110" s="1">
        <v>96</v>
      </c>
      <c r="AI110" s="1">
        <v>0</v>
      </c>
      <c r="AJ110" s="1">
        <v>0</v>
      </c>
      <c r="AK110" s="1">
        <v>10</v>
      </c>
      <c r="AL110" s="1">
        <v>10</v>
      </c>
      <c r="AM110" s="1" t="s">
        <v>1522</v>
      </c>
      <c r="AN110" s="1" t="s">
        <v>1523</v>
      </c>
      <c r="AO110" s="1" t="s">
        <v>1524</v>
      </c>
      <c r="AP110" s="1" t="s">
        <v>3010</v>
      </c>
      <c r="AQ110" s="1" t="s">
        <v>3011</v>
      </c>
      <c r="AR110" s="1" t="s">
        <v>1507</v>
      </c>
      <c r="AS110" s="1" t="s">
        <v>3012</v>
      </c>
      <c r="AT110" s="1" t="s">
        <v>3013</v>
      </c>
      <c r="AU110" s="1" t="s">
        <v>14245</v>
      </c>
      <c r="AV110" s="1">
        <v>2024</v>
      </c>
      <c r="AW110" s="1">
        <v>26</v>
      </c>
      <c r="AX110" s="1">
        <v>1</v>
      </c>
      <c r="AY110" s="1" t="s">
        <v>1507</v>
      </c>
      <c r="AZ110" s="1" t="s">
        <v>1507</v>
      </c>
      <c r="BA110" s="1" t="s">
        <v>1507</v>
      </c>
      <c r="BB110" s="1" t="s">
        <v>1507</v>
      </c>
      <c r="BC110" s="1" t="s">
        <v>1507</v>
      </c>
      <c r="BD110" s="1" t="s">
        <v>1507</v>
      </c>
      <c r="BE110" s="1" t="s">
        <v>1507</v>
      </c>
      <c r="BF110" s="1" t="s">
        <v>3014</v>
      </c>
      <c r="BG110" s="1" t="str">
        <f>HYPERLINK("http://dx.doi.org/10.1039/d3em00280b","http://dx.doi.org/10.1039/d3em00280b")</f>
        <v>http://dx.doi.org/10.1039/d3em00280b</v>
      </c>
      <c r="BH110" s="1" t="s">
        <v>1507</v>
      </c>
      <c r="BI110" s="1" t="s">
        <v>2891</v>
      </c>
      <c r="BJ110" s="1">
        <v>22</v>
      </c>
      <c r="BK110" s="1" t="s">
        <v>3015</v>
      </c>
      <c r="BL110" s="1" t="s">
        <v>1573</v>
      </c>
      <c r="BM110" s="1" t="s">
        <v>3016</v>
      </c>
      <c r="BN110" s="1" t="s">
        <v>3017</v>
      </c>
      <c r="BO110" s="1">
        <v>37873726</v>
      </c>
      <c r="BP110" s="1" t="s">
        <v>1507</v>
      </c>
      <c r="BQ110" s="1" t="s">
        <v>1507</v>
      </c>
      <c r="BR110" s="1" t="s">
        <v>1507</v>
      </c>
      <c r="BS110" s="1" t="s">
        <v>13744</v>
      </c>
      <c r="BT110" s="1" t="s">
        <v>3018</v>
      </c>
      <c r="BU110" s="1" t="str">
        <f>HYPERLINK("https%3A%2F%2Fwww.webofscience.com%2Fwos%2Fwoscc%2Ffull-record%2FWOS:001087836700001","View Full Record in Web of Science")</f>
        <v>View Full Record in Web of Science</v>
      </c>
    </row>
    <row r="111" spans="1:73" x14ac:dyDescent="0.25">
      <c r="A111" s="1">
        <v>128</v>
      </c>
      <c r="B111" s="1" t="s">
        <v>5546</v>
      </c>
      <c r="C111" s="1" t="s">
        <v>14896</v>
      </c>
      <c r="D111" s="1" t="s">
        <v>1507</v>
      </c>
      <c r="E111" s="1" t="s">
        <v>1507</v>
      </c>
      <c r="F111" s="1" t="s">
        <v>5548</v>
      </c>
      <c r="G111" s="1" t="s">
        <v>14897</v>
      </c>
      <c r="H111" s="1" t="s">
        <v>1507</v>
      </c>
      <c r="I111" s="1" t="s">
        <v>1507</v>
      </c>
      <c r="J111" s="1" t="s">
        <v>14898</v>
      </c>
      <c r="K111" s="1" t="s">
        <v>14899</v>
      </c>
      <c r="L111" s="1" t="s">
        <v>1507</v>
      </c>
      <c r="M111" s="1" t="s">
        <v>1507</v>
      </c>
      <c r="N111" s="1" t="s">
        <v>42</v>
      </c>
      <c r="O111" s="1" t="s">
        <v>5552</v>
      </c>
      <c r="P111" s="1" t="s">
        <v>14900</v>
      </c>
      <c r="Q111" s="1" t="s">
        <v>14901</v>
      </c>
      <c r="R111" s="1" t="s">
        <v>12090</v>
      </c>
      <c r="S111" s="1" t="s">
        <v>5681</v>
      </c>
      <c r="T111" s="1" t="s">
        <v>1507</v>
      </c>
      <c r="U111" s="1" t="s">
        <v>14902</v>
      </c>
      <c r="V111" s="1" t="s">
        <v>1507</v>
      </c>
      <c r="W111" s="1" t="s">
        <v>14903</v>
      </c>
      <c r="X111" s="1" t="s">
        <v>14904</v>
      </c>
      <c r="Y111" s="1" t="s">
        <v>14905</v>
      </c>
      <c r="Z111" s="1" t="s">
        <v>14906</v>
      </c>
      <c r="AA111" s="1" t="s">
        <v>14907</v>
      </c>
      <c r="AB111" s="1" t="s">
        <v>14908</v>
      </c>
      <c r="AC111" s="1" t="s">
        <v>14909</v>
      </c>
      <c r="AD111" s="1" t="s">
        <v>14910</v>
      </c>
      <c r="AE111" s="1" t="s">
        <v>14911</v>
      </c>
      <c r="AF111" s="1" t="s">
        <v>14912</v>
      </c>
      <c r="AG111" s="1" t="s">
        <v>1507</v>
      </c>
      <c r="AH111" s="1">
        <v>31</v>
      </c>
      <c r="AI111" s="1">
        <v>2</v>
      </c>
      <c r="AJ111" s="1">
        <v>2</v>
      </c>
      <c r="AK111" s="1">
        <v>6</v>
      </c>
      <c r="AL111" s="1">
        <v>6</v>
      </c>
      <c r="AM111" s="1" t="s">
        <v>5565</v>
      </c>
      <c r="AN111" s="1" t="s">
        <v>1512</v>
      </c>
      <c r="AO111" s="1" t="s">
        <v>5566</v>
      </c>
      <c r="AP111" s="1" t="s">
        <v>1507</v>
      </c>
      <c r="AQ111" s="1" t="s">
        <v>1507</v>
      </c>
      <c r="AR111" s="1" t="s">
        <v>14913</v>
      </c>
      <c r="AS111" s="1" t="s">
        <v>1507</v>
      </c>
      <c r="AT111" s="1" t="s">
        <v>1507</v>
      </c>
      <c r="AU111" s="1" t="s">
        <v>1507</v>
      </c>
      <c r="AV111" s="1">
        <v>2023</v>
      </c>
      <c r="AW111" s="1" t="s">
        <v>1507</v>
      </c>
      <c r="AX111" s="1" t="s">
        <v>1507</v>
      </c>
      <c r="AY111" s="1" t="s">
        <v>1507</v>
      </c>
      <c r="AZ111" s="1" t="s">
        <v>1507</v>
      </c>
      <c r="BA111" s="1" t="s">
        <v>1507</v>
      </c>
      <c r="BB111" s="1" t="s">
        <v>1507</v>
      </c>
      <c r="BC111" s="1">
        <v>1126</v>
      </c>
      <c r="BD111" s="1">
        <v>1132</v>
      </c>
      <c r="BE111" s="1" t="s">
        <v>1507</v>
      </c>
      <c r="BF111" s="1" t="s">
        <v>14914</v>
      </c>
      <c r="BG111" s="1" t="str">
        <f>HYPERLINK("http://dx.doi.org/10.1145/3604915.3610646","http://dx.doi.org/10.1145/3604915.3610646")</f>
        <v>http://dx.doi.org/10.1145/3604915.3610646</v>
      </c>
      <c r="BH111" s="1" t="s">
        <v>1507</v>
      </c>
      <c r="BI111" s="1" t="s">
        <v>1507</v>
      </c>
      <c r="BJ111" s="1">
        <v>7</v>
      </c>
      <c r="BK111" s="1" t="s">
        <v>2230</v>
      </c>
      <c r="BL111" s="1" t="s">
        <v>5570</v>
      </c>
      <c r="BM111" s="1" t="s">
        <v>1577</v>
      </c>
      <c r="BN111" s="1" t="s">
        <v>14915</v>
      </c>
      <c r="BO111" s="1" t="s">
        <v>1507</v>
      </c>
      <c r="BP111" s="1" t="s">
        <v>1600</v>
      </c>
      <c r="BQ111" s="1" t="s">
        <v>1507</v>
      </c>
      <c r="BR111" s="1" t="s">
        <v>1507</v>
      </c>
      <c r="BS111" s="1" t="s">
        <v>13744</v>
      </c>
      <c r="BT111" s="1" t="s">
        <v>14916</v>
      </c>
      <c r="BU111" s="1" t="str">
        <f>HYPERLINK("https%3A%2F%2Fwww.webofscience.com%2Fwos%2Fwoscc%2Ffull-record%2FWOS:001156630300140","View Full Record in Web of Science")</f>
        <v>View Full Record in Web of Science</v>
      </c>
    </row>
    <row r="112" spans="1:73" x14ac:dyDescent="0.25">
      <c r="A112" s="1">
        <v>129</v>
      </c>
      <c r="B112" s="1" t="s">
        <v>5546</v>
      </c>
      <c r="C112" s="1" t="s">
        <v>7716</v>
      </c>
      <c r="D112" s="1" t="s">
        <v>1507</v>
      </c>
      <c r="E112" s="1" t="s">
        <v>1507</v>
      </c>
      <c r="F112" s="1" t="s">
        <v>5628</v>
      </c>
      <c r="G112" s="1" t="s">
        <v>7717</v>
      </c>
      <c r="H112" s="1" t="s">
        <v>1507</v>
      </c>
      <c r="I112" s="1" t="s">
        <v>1507</v>
      </c>
      <c r="J112" s="1" t="s">
        <v>7718</v>
      </c>
      <c r="K112" s="1" t="s">
        <v>7719</v>
      </c>
      <c r="L112" s="1" t="s">
        <v>1507</v>
      </c>
      <c r="M112" s="1" t="s">
        <v>1507</v>
      </c>
      <c r="N112" s="1" t="s">
        <v>42</v>
      </c>
      <c r="O112" s="1" t="s">
        <v>5552</v>
      </c>
      <c r="P112" s="1" t="s">
        <v>7720</v>
      </c>
      <c r="Q112" s="1" t="s">
        <v>7721</v>
      </c>
      <c r="R112" s="1" t="s">
        <v>6272</v>
      </c>
      <c r="S112" s="1" t="s">
        <v>5628</v>
      </c>
      <c r="T112" s="1" t="s">
        <v>1507</v>
      </c>
      <c r="U112" s="1" t="s">
        <v>1507</v>
      </c>
      <c r="V112" s="1" t="s">
        <v>7722</v>
      </c>
      <c r="W112" s="1" t="s">
        <v>7723</v>
      </c>
      <c r="X112" s="1" t="s">
        <v>7724</v>
      </c>
      <c r="Y112" s="1" t="s">
        <v>15669</v>
      </c>
      <c r="Z112" s="1" t="s">
        <v>7725</v>
      </c>
      <c r="AA112" s="1" t="s">
        <v>7726</v>
      </c>
      <c r="AB112" s="1" t="s">
        <v>15670</v>
      </c>
      <c r="AC112" s="1" t="s">
        <v>7727</v>
      </c>
      <c r="AD112" s="1" t="s">
        <v>7728</v>
      </c>
      <c r="AE112" s="1" t="s">
        <v>7729</v>
      </c>
      <c r="AF112" s="1" t="s">
        <v>7730</v>
      </c>
      <c r="AG112" s="1" t="s">
        <v>1507</v>
      </c>
      <c r="AH112" s="1">
        <v>15</v>
      </c>
      <c r="AI112" s="1">
        <v>0</v>
      </c>
      <c r="AJ112" s="1">
        <v>0</v>
      </c>
      <c r="AK112" s="1">
        <v>2</v>
      </c>
      <c r="AL112" s="1">
        <v>3</v>
      </c>
      <c r="AM112" s="1" t="s">
        <v>5628</v>
      </c>
      <c r="AN112" s="1" t="s">
        <v>1512</v>
      </c>
      <c r="AO112" s="1" t="s">
        <v>6457</v>
      </c>
      <c r="AP112" s="1" t="s">
        <v>1507</v>
      </c>
      <c r="AQ112" s="1" t="s">
        <v>1507</v>
      </c>
      <c r="AR112" s="1" t="s">
        <v>7731</v>
      </c>
      <c r="AS112" s="1" t="s">
        <v>1507</v>
      </c>
      <c r="AT112" s="1" t="s">
        <v>1507</v>
      </c>
      <c r="AU112" s="1" t="s">
        <v>1507</v>
      </c>
      <c r="AV112" s="1">
        <v>2022</v>
      </c>
      <c r="AW112" s="1" t="s">
        <v>1507</v>
      </c>
      <c r="AX112" s="1" t="s">
        <v>1507</v>
      </c>
      <c r="AY112" s="1" t="s">
        <v>1507</v>
      </c>
      <c r="AZ112" s="1" t="s">
        <v>1507</v>
      </c>
      <c r="BA112" s="1" t="s">
        <v>1507</v>
      </c>
      <c r="BB112" s="1" t="s">
        <v>1507</v>
      </c>
      <c r="BC112" s="1" t="s">
        <v>1507</v>
      </c>
      <c r="BD112" s="1" t="s">
        <v>1507</v>
      </c>
      <c r="BE112" s="1" t="s">
        <v>1507</v>
      </c>
      <c r="BF112" s="1" t="s">
        <v>7732</v>
      </c>
      <c r="BG112" s="1" t="str">
        <f>HYPERLINK("http://dx.doi.org/10.1109/HST56032.2022.10025459","http://dx.doi.org/10.1109/HST56032.2022.10025459")</f>
        <v>http://dx.doi.org/10.1109/HST56032.2022.10025459</v>
      </c>
      <c r="BH112" s="1" t="s">
        <v>1507</v>
      </c>
      <c r="BI112" s="1" t="s">
        <v>1507</v>
      </c>
      <c r="BJ112" s="1">
        <v>7</v>
      </c>
      <c r="BK112" s="1" t="s">
        <v>7733</v>
      </c>
      <c r="BL112" s="1" t="s">
        <v>5570</v>
      </c>
      <c r="BM112" s="1" t="s">
        <v>1578</v>
      </c>
      <c r="BN112" s="1" t="s">
        <v>7734</v>
      </c>
      <c r="BO112" s="1" t="s">
        <v>1507</v>
      </c>
      <c r="BP112" s="1" t="s">
        <v>1507</v>
      </c>
      <c r="BQ112" s="1" t="s">
        <v>1507</v>
      </c>
      <c r="BR112" s="1" t="s">
        <v>1507</v>
      </c>
      <c r="BS112" s="1" t="s">
        <v>13744</v>
      </c>
      <c r="BT112" s="1" t="s">
        <v>7735</v>
      </c>
      <c r="BU112" s="1" t="str">
        <f>HYPERLINK("https%3A%2F%2Fwww.webofscience.com%2Fwos%2Fwoscc%2Ffull-record%2FWOS:001050968600039","View Full Record in Web of Science")</f>
        <v>View Full Record in Web of Science</v>
      </c>
    </row>
    <row r="113" spans="1:73" x14ac:dyDescent="0.25">
      <c r="A113" s="1">
        <v>130</v>
      </c>
      <c r="B113" s="1" t="s">
        <v>5546</v>
      </c>
      <c r="C113" s="1" t="s">
        <v>5791</v>
      </c>
      <c r="D113" s="1" t="s">
        <v>1507</v>
      </c>
      <c r="E113" s="1" t="s">
        <v>1507</v>
      </c>
      <c r="F113" s="1" t="s">
        <v>5548</v>
      </c>
      <c r="G113" s="1" t="s">
        <v>5792</v>
      </c>
      <c r="H113" s="1" t="s">
        <v>1507</v>
      </c>
      <c r="I113" s="1" t="s">
        <v>1507</v>
      </c>
      <c r="J113" s="1" t="s">
        <v>5793</v>
      </c>
      <c r="K113" s="1" t="s">
        <v>5794</v>
      </c>
      <c r="L113" s="1" t="s">
        <v>1507</v>
      </c>
      <c r="M113" s="1" t="s">
        <v>1507</v>
      </c>
      <c r="N113" s="1" t="s">
        <v>42</v>
      </c>
      <c r="O113" s="1" t="s">
        <v>5552</v>
      </c>
      <c r="P113" s="1" t="s">
        <v>5795</v>
      </c>
      <c r="Q113" s="1" t="s">
        <v>5796</v>
      </c>
      <c r="R113" s="1" t="s">
        <v>5797</v>
      </c>
      <c r="S113" s="1" t="s">
        <v>5681</v>
      </c>
      <c r="T113" s="1" t="s">
        <v>1507</v>
      </c>
      <c r="U113" s="1" t="s">
        <v>5798</v>
      </c>
      <c r="V113" s="1" t="s">
        <v>1507</v>
      </c>
      <c r="W113" s="1" t="s">
        <v>5799</v>
      </c>
      <c r="X113" s="1" t="s">
        <v>5800</v>
      </c>
      <c r="Y113" s="1" t="s">
        <v>5801</v>
      </c>
      <c r="Z113" s="1" t="s">
        <v>5802</v>
      </c>
      <c r="AA113" s="1" t="s">
        <v>5803</v>
      </c>
      <c r="AB113" s="1" t="s">
        <v>1507</v>
      </c>
      <c r="AC113" s="1" t="s">
        <v>14917</v>
      </c>
      <c r="AD113" s="1" t="s">
        <v>5804</v>
      </c>
      <c r="AE113" s="1" t="s">
        <v>5805</v>
      </c>
      <c r="AF113" s="1" t="s">
        <v>5806</v>
      </c>
      <c r="AG113" s="1" t="s">
        <v>1507</v>
      </c>
      <c r="AH113" s="1">
        <v>12</v>
      </c>
      <c r="AI113" s="1">
        <v>0</v>
      </c>
      <c r="AJ113" s="1">
        <v>0</v>
      </c>
      <c r="AK113" s="1">
        <v>1</v>
      </c>
      <c r="AL113" s="1">
        <v>1</v>
      </c>
      <c r="AM113" s="1" t="s">
        <v>5565</v>
      </c>
      <c r="AN113" s="1" t="s">
        <v>1512</v>
      </c>
      <c r="AO113" s="1" t="s">
        <v>5566</v>
      </c>
      <c r="AP113" s="1" t="s">
        <v>1507</v>
      </c>
      <c r="AQ113" s="1" t="s">
        <v>1507</v>
      </c>
      <c r="AR113" s="1" t="s">
        <v>5807</v>
      </c>
      <c r="AS113" s="1" t="s">
        <v>1507</v>
      </c>
      <c r="AT113" s="1" t="s">
        <v>1507</v>
      </c>
      <c r="AU113" s="1" t="s">
        <v>1507</v>
      </c>
      <c r="AV113" s="1">
        <v>2023</v>
      </c>
      <c r="AW113" s="1" t="s">
        <v>1507</v>
      </c>
      <c r="AX113" s="1" t="s">
        <v>1507</v>
      </c>
      <c r="AY113" s="1" t="s">
        <v>1507</v>
      </c>
      <c r="AZ113" s="1" t="s">
        <v>1507</v>
      </c>
      <c r="BA113" s="1" t="s">
        <v>1507</v>
      </c>
      <c r="BB113" s="1" t="s">
        <v>1507</v>
      </c>
      <c r="BC113" s="1">
        <v>30</v>
      </c>
      <c r="BD113" s="1">
        <v>36</v>
      </c>
      <c r="BE113" s="1" t="s">
        <v>1507</v>
      </c>
      <c r="BF113" s="1" t="s">
        <v>5808</v>
      </c>
      <c r="BG113" s="1" t="str">
        <f>HYPERLINK("http://dx.doi.org/10.1145/3628356.3630117","http://dx.doi.org/10.1145/3628356.3630117")</f>
        <v>http://dx.doi.org/10.1145/3628356.3630117</v>
      </c>
      <c r="BH113" s="1" t="s">
        <v>1507</v>
      </c>
      <c r="BI113" s="1" t="s">
        <v>1507</v>
      </c>
      <c r="BJ113" s="1">
        <v>7</v>
      </c>
      <c r="BK113" s="1" t="s">
        <v>1603</v>
      </c>
      <c r="BL113" s="1" t="s">
        <v>5570</v>
      </c>
      <c r="BM113" s="1" t="s">
        <v>1577</v>
      </c>
      <c r="BN113" s="1" t="s">
        <v>5809</v>
      </c>
      <c r="BO113" s="1" t="s">
        <v>1507</v>
      </c>
      <c r="BP113" s="1" t="s">
        <v>1537</v>
      </c>
      <c r="BQ113" s="1" t="s">
        <v>1507</v>
      </c>
      <c r="BR113" s="1" t="s">
        <v>1507</v>
      </c>
      <c r="BS113" s="1" t="s">
        <v>13744</v>
      </c>
      <c r="BT113" s="1" t="s">
        <v>5810</v>
      </c>
      <c r="BU113" s="1" t="str">
        <f>HYPERLINK("https%3A%2F%2Fwww.webofscience.com%2Fwos%2Fwoscc%2Ffull-record%2FWOS:001141320700005","View Full Record in Web of Science")</f>
        <v>View Full Record in Web of Science</v>
      </c>
    </row>
    <row r="114" spans="1:73" x14ac:dyDescent="0.25">
      <c r="A114" s="1">
        <v>131</v>
      </c>
      <c r="B114" s="1" t="s">
        <v>1506</v>
      </c>
      <c r="C114" s="1" t="s">
        <v>11320</v>
      </c>
      <c r="D114" s="1" t="s">
        <v>1507</v>
      </c>
      <c r="E114" s="1" t="s">
        <v>1507</v>
      </c>
      <c r="F114" s="1" t="s">
        <v>1507</v>
      </c>
      <c r="G114" s="1" t="s">
        <v>11321</v>
      </c>
      <c r="H114" s="1" t="s">
        <v>1507</v>
      </c>
      <c r="I114" s="1" t="s">
        <v>1507</v>
      </c>
      <c r="J114" s="1" t="s">
        <v>11322</v>
      </c>
      <c r="K114" s="1" t="s">
        <v>11323</v>
      </c>
      <c r="L114" s="1" t="s">
        <v>1507</v>
      </c>
      <c r="M114" s="1" t="s">
        <v>1507</v>
      </c>
      <c r="N114" s="1" t="s">
        <v>11324</v>
      </c>
      <c r="O114" s="1" t="s">
        <v>56</v>
      </c>
      <c r="P114" s="1" t="s">
        <v>1507</v>
      </c>
      <c r="Q114" s="1" t="s">
        <v>1507</v>
      </c>
      <c r="R114" s="1" t="s">
        <v>1507</v>
      </c>
      <c r="S114" s="1" t="s">
        <v>1507</v>
      </c>
      <c r="T114" s="1" t="s">
        <v>1507</v>
      </c>
      <c r="U114" s="1" t="s">
        <v>11325</v>
      </c>
      <c r="V114" s="1" t="s">
        <v>1507</v>
      </c>
      <c r="W114" s="1" t="s">
        <v>11326</v>
      </c>
      <c r="X114" s="1" t="s">
        <v>11327</v>
      </c>
      <c r="Y114" s="1" t="s">
        <v>11328</v>
      </c>
      <c r="Z114" s="1" t="s">
        <v>11329</v>
      </c>
      <c r="AA114" s="1" t="s">
        <v>11330</v>
      </c>
      <c r="AB114" s="1" t="s">
        <v>1507</v>
      </c>
      <c r="AC114" s="1" t="s">
        <v>1507</v>
      </c>
      <c r="AD114" s="1" t="s">
        <v>1507</v>
      </c>
      <c r="AE114" s="1" t="s">
        <v>1507</v>
      </c>
      <c r="AF114" s="1" t="s">
        <v>1507</v>
      </c>
      <c r="AG114" s="1" t="s">
        <v>1507</v>
      </c>
      <c r="AH114" s="1">
        <v>25</v>
      </c>
      <c r="AI114" s="1">
        <v>0</v>
      </c>
      <c r="AJ114" s="1">
        <v>0</v>
      </c>
      <c r="AK114" s="1">
        <v>1</v>
      </c>
      <c r="AL114" s="1">
        <v>4</v>
      </c>
      <c r="AM114" s="1" t="s">
        <v>11331</v>
      </c>
      <c r="AN114" s="1" t="s">
        <v>11332</v>
      </c>
      <c r="AO114" s="1" t="s">
        <v>11333</v>
      </c>
      <c r="AP114" s="1" t="s">
        <v>11334</v>
      </c>
      <c r="AQ114" s="1" t="s">
        <v>11335</v>
      </c>
      <c r="AR114" s="1" t="s">
        <v>1507</v>
      </c>
      <c r="AS114" s="1" t="s">
        <v>11336</v>
      </c>
      <c r="AT114" s="1" t="s">
        <v>11337</v>
      </c>
      <c r="AU114" s="1" t="s">
        <v>11338</v>
      </c>
      <c r="AV114" s="1">
        <v>2019</v>
      </c>
      <c r="AW114" s="1">
        <v>15</v>
      </c>
      <c r="AX114" s="1">
        <v>31</v>
      </c>
      <c r="AY114" s="1" t="s">
        <v>1507</v>
      </c>
      <c r="AZ114" s="1" t="s">
        <v>1507</v>
      </c>
      <c r="BA114" s="1" t="s">
        <v>1507</v>
      </c>
      <c r="BB114" s="1" t="s">
        <v>1507</v>
      </c>
      <c r="BC114" s="1">
        <v>430</v>
      </c>
      <c r="BD114" s="1">
        <v>451</v>
      </c>
      <c r="BE114" s="1" t="s">
        <v>1507</v>
      </c>
      <c r="BF114" s="1" t="s">
        <v>11339</v>
      </c>
      <c r="BG114" s="1" t="str">
        <f>HYPERLINK("http://dx.doi.org/10.22481/praxis.v15i31.4681","http://dx.doi.org/10.22481/praxis.v15i31.4681")</f>
        <v>http://dx.doi.org/10.22481/praxis.v15i31.4681</v>
      </c>
      <c r="BH114" s="1" t="s">
        <v>1507</v>
      </c>
      <c r="BI114" s="1" t="s">
        <v>1507</v>
      </c>
      <c r="BJ114" s="1">
        <v>22</v>
      </c>
      <c r="BK114" s="1" t="s">
        <v>1558</v>
      </c>
      <c r="BL114" s="1" t="s">
        <v>1529</v>
      </c>
      <c r="BM114" s="1" t="s">
        <v>1558</v>
      </c>
      <c r="BN114" s="1" t="s">
        <v>11340</v>
      </c>
      <c r="BO114" s="1" t="s">
        <v>1507</v>
      </c>
      <c r="BP114" s="1" t="s">
        <v>1547</v>
      </c>
      <c r="BQ114" s="1" t="s">
        <v>1507</v>
      </c>
      <c r="BR114" s="1" t="s">
        <v>1507</v>
      </c>
      <c r="BS114" s="1" t="s">
        <v>13744</v>
      </c>
      <c r="BT114" s="1" t="s">
        <v>11341</v>
      </c>
      <c r="BU114" s="1" t="str">
        <f>HYPERLINK("https%3A%2F%2Fwww.webofscience.com%2Fwos%2Fwoscc%2Ffull-record%2FWOS:000482215900024","View Full Record in Web of Science")</f>
        <v>View Full Record in Web of Science</v>
      </c>
    </row>
    <row r="115" spans="1:73" x14ac:dyDescent="0.25">
      <c r="A115" s="1">
        <v>132</v>
      </c>
      <c r="B115" s="1" t="s">
        <v>1506</v>
      </c>
      <c r="C115" s="1" t="s">
        <v>5190</v>
      </c>
      <c r="D115" s="1" t="s">
        <v>1507</v>
      </c>
      <c r="E115" s="1" t="s">
        <v>1507</v>
      </c>
      <c r="F115" s="1" t="s">
        <v>1507</v>
      </c>
      <c r="G115" s="1" t="s">
        <v>5191</v>
      </c>
      <c r="H115" s="1" t="s">
        <v>1507</v>
      </c>
      <c r="I115" s="1" t="s">
        <v>1507</v>
      </c>
      <c r="J115" s="1" t="s">
        <v>5192</v>
      </c>
      <c r="K115" s="1" t="s">
        <v>1617</v>
      </c>
      <c r="L115" s="1" t="s">
        <v>1507</v>
      </c>
      <c r="M115" s="1" t="s">
        <v>1507</v>
      </c>
      <c r="N115" s="1" t="s">
        <v>42</v>
      </c>
      <c r="O115" s="1" t="s">
        <v>56</v>
      </c>
      <c r="P115" s="1" t="s">
        <v>1507</v>
      </c>
      <c r="Q115" s="1" t="s">
        <v>1507</v>
      </c>
      <c r="R115" s="1" t="s">
        <v>1507</v>
      </c>
      <c r="S115" s="1" t="s">
        <v>1507</v>
      </c>
      <c r="T115" s="1" t="s">
        <v>1507</v>
      </c>
      <c r="U115" s="1" t="s">
        <v>5193</v>
      </c>
      <c r="V115" s="1" t="s">
        <v>1507</v>
      </c>
      <c r="W115" s="1" t="s">
        <v>5194</v>
      </c>
      <c r="X115" s="1" t="s">
        <v>5195</v>
      </c>
      <c r="Y115" s="1" t="s">
        <v>4550</v>
      </c>
      <c r="Z115" s="1" t="s">
        <v>5196</v>
      </c>
      <c r="AA115" s="1" t="s">
        <v>5197</v>
      </c>
      <c r="AB115" s="1" t="s">
        <v>1507</v>
      </c>
      <c r="AC115" s="1" t="s">
        <v>14786</v>
      </c>
      <c r="AD115" s="1" t="s">
        <v>5198</v>
      </c>
      <c r="AE115" s="1" t="s">
        <v>5199</v>
      </c>
      <c r="AF115" s="1" t="s">
        <v>5200</v>
      </c>
      <c r="AG115" s="1" t="s">
        <v>1507</v>
      </c>
      <c r="AH115" s="1">
        <v>54</v>
      </c>
      <c r="AI115" s="1">
        <v>5</v>
      </c>
      <c r="AJ115" s="1">
        <v>5</v>
      </c>
      <c r="AK115" s="1">
        <v>1</v>
      </c>
      <c r="AL115" s="1">
        <v>2</v>
      </c>
      <c r="AM115" s="1" t="s">
        <v>1610</v>
      </c>
      <c r="AN115" s="1" t="s">
        <v>1611</v>
      </c>
      <c r="AO115" s="1" t="s">
        <v>1612</v>
      </c>
      <c r="AP115" s="1" t="s">
        <v>1507</v>
      </c>
      <c r="AQ115" s="1" t="s">
        <v>1620</v>
      </c>
      <c r="AR115" s="1" t="s">
        <v>1507</v>
      </c>
      <c r="AS115" s="1" t="s">
        <v>1621</v>
      </c>
      <c r="AT115" s="1" t="s">
        <v>1622</v>
      </c>
      <c r="AU115" s="1" t="s">
        <v>5201</v>
      </c>
      <c r="AV115" s="1">
        <v>2023</v>
      </c>
      <c r="AW115" s="1">
        <v>12</v>
      </c>
      <c r="AX115" s="1">
        <v>7</v>
      </c>
      <c r="AY115" s="1" t="s">
        <v>1507</v>
      </c>
      <c r="AZ115" s="1" t="s">
        <v>1507</v>
      </c>
      <c r="BA115" s="1" t="s">
        <v>1507</v>
      </c>
      <c r="BB115" s="1" t="s">
        <v>1507</v>
      </c>
      <c r="BC115" s="1" t="s">
        <v>1507</v>
      </c>
      <c r="BD115" s="1" t="s">
        <v>1507</v>
      </c>
      <c r="BE115" s="1">
        <v>1735</v>
      </c>
      <c r="BF115" s="1" t="s">
        <v>5202</v>
      </c>
      <c r="BG115" s="1" t="str">
        <f>HYPERLINK("http://dx.doi.org/10.3390/electronics12071735","http://dx.doi.org/10.3390/electronics12071735")</f>
        <v>http://dx.doi.org/10.3390/electronics12071735</v>
      </c>
      <c r="BH115" s="1" t="s">
        <v>1507</v>
      </c>
      <c r="BI115" s="1" t="s">
        <v>1507</v>
      </c>
      <c r="BJ115" s="1">
        <v>19</v>
      </c>
      <c r="BK115" s="1" t="s">
        <v>1623</v>
      </c>
      <c r="BL115" s="1" t="s">
        <v>1573</v>
      </c>
      <c r="BM115" s="1" t="s">
        <v>1624</v>
      </c>
      <c r="BN115" s="1" t="s">
        <v>5203</v>
      </c>
      <c r="BO115" s="1" t="s">
        <v>1507</v>
      </c>
      <c r="BP115" s="1" t="s">
        <v>1547</v>
      </c>
      <c r="BQ115" s="1" t="s">
        <v>1507</v>
      </c>
      <c r="BR115" s="1" t="s">
        <v>1507</v>
      </c>
      <c r="BS115" s="1" t="s">
        <v>13744</v>
      </c>
      <c r="BT115" s="1" t="s">
        <v>5204</v>
      </c>
      <c r="BU115" s="1" t="str">
        <f>HYPERLINK("https%3A%2F%2Fwww.webofscience.com%2Fwos%2Fwoscc%2Ffull-record%2FWOS:000970911900001","View Full Record in Web of Science")</f>
        <v>View Full Record in Web of Science</v>
      </c>
    </row>
    <row r="116" spans="1:73" x14ac:dyDescent="0.25">
      <c r="A116" s="1">
        <v>133</v>
      </c>
      <c r="B116" s="1" t="s">
        <v>1506</v>
      </c>
      <c r="C116" s="1" t="s">
        <v>4544</v>
      </c>
      <c r="D116" s="1" t="s">
        <v>1507</v>
      </c>
      <c r="E116" s="1" t="s">
        <v>1507</v>
      </c>
      <c r="F116" s="1" t="s">
        <v>1507</v>
      </c>
      <c r="G116" s="1" t="s">
        <v>4545</v>
      </c>
      <c r="H116" s="1" t="s">
        <v>1507</v>
      </c>
      <c r="I116" s="1" t="s">
        <v>1507</v>
      </c>
      <c r="J116" s="1" t="s">
        <v>4546</v>
      </c>
      <c r="K116" s="1" t="s">
        <v>1617</v>
      </c>
      <c r="L116" s="1" t="s">
        <v>1507</v>
      </c>
      <c r="M116" s="1" t="s">
        <v>1507</v>
      </c>
      <c r="N116" s="1" t="s">
        <v>42</v>
      </c>
      <c r="O116" s="1" t="s">
        <v>56</v>
      </c>
      <c r="P116" s="1" t="s">
        <v>1507</v>
      </c>
      <c r="Q116" s="1" t="s">
        <v>1507</v>
      </c>
      <c r="R116" s="1" t="s">
        <v>1507</v>
      </c>
      <c r="S116" s="1" t="s">
        <v>1507</v>
      </c>
      <c r="T116" s="1" t="s">
        <v>1507</v>
      </c>
      <c r="U116" s="1" t="s">
        <v>4547</v>
      </c>
      <c r="V116" s="1" t="s">
        <v>1507</v>
      </c>
      <c r="W116" s="1" t="s">
        <v>4548</v>
      </c>
      <c r="X116" s="1" t="s">
        <v>4549</v>
      </c>
      <c r="Y116" s="1" t="s">
        <v>4550</v>
      </c>
      <c r="Z116" s="1" t="s">
        <v>4551</v>
      </c>
      <c r="AA116" s="1" t="s">
        <v>4552</v>
      </c>
      <c r="AB116" s="1" t="s">
        <v>4553</v>
      </c>
      <c r="AC116" s="1" t="s">
        <v>14633</v>
      </c>
      <c r="AD116" s="1" t="s">
        <v>4554</v>
      </c>
      <c r="AE116" s="1" t="s">
        <v>4555</v>
      </c>
      <c r="AF116" s="1" t="s">
        <v>14634</v>
      </c>
      <c r="AG116" s="1" t="s">
        <v>1507</v>
      </c>
      <c r="AH116" s="1">
        <v>32</v>
      </c>
      <c r="AI116" s="1">
        <v>4</v>
      </c>
      <c r="AJ116" s="1">
        <v>4</v>
      </c>
      <c r="AK116" s="1">
        <v>9</v>
      </c>
      <c r="AL116" s="1">
        <v>10</v>
      </c>
      <c r="AM116" s="1" t="s">
        <v>1610</v>
      </c>
      <c r="AN116" s="1" t="s">
        <v>1611</v>
      </c>
      <c r="AO116" s="1" t="s">
        <v>1612</v>
      </c>
      <c r="AP116" s="1" t="s">
        <v>1507</v>
      </c>
      <c r="AQ116" s="1" t="s">
        <v>1620</v>
      </c>
      <c r="AR116" s="1" t="s">
        <v>1507</v>
      </c>
      <c r="AS116" s="1" t="s">
        <v>1621</v>
      </c>
      <c r="AT116" s="1" t="s">
        <v>1622</v>
      </c>
      <c r="AU116" s="1" t="s">
        <v>4556</v>
      </c>
      <c r="AV116" s="1">
        <v>2023</v>
      </c>
      <c r="AW116" s="1">
        <v>12</v>
      </c>
      <c r="AX116" s="1">
        <v>13</v>
      </c>
      <c r="AY116" s="1" t="s">
        <v>1507</v>
      </c>
      <c r="AZ116" s="1" t="s">
        <v>1507</v>
      </c>
      <c r="BA116" s="1" t="s">
        <v>1507</v>
      </c>
      <c r="BB116" s="1" t="s">
        <v>1507</v>
      </c>
      <c r="BC116" s="1" t="s">
        <v>1507</v>
      </c>
      <c r="BD116" s="1" t="s">
        <v>1507</v>
      </c>
      <c r="BE116" s="1">
        <v>2814</v>
      </c>
      <c r="BF116" s="1" t="s">
        <v>4557</v>
      </c>
      <c r="BG116" s="1" t="str">
        <f>HYPERLINK("http://dx.doi.org/10.3390/electronics12132814","http://dx.doi.org/10.3390/electronics12132814")</f>
        <v>http://dx.doi.org/10.3390/electronics12132814</v>
      </c>
      <c r="BH116" s="1" t="s">
        <v>1507</v>
      </c>
      <c r="BI116" s="1" t="s">
        <v>1507</v>
      </c>
      <c r="BJ116" s="1">
        <v>22</v>
      </c>
      <c r="BK116" s="1" t="s">
        <v>1623</v>
      </c>
      <c r="BL116" s="1" t="s">
        <v>1573</v>
      </c>
      <c r="BM116" s="1" t="s">
        <v>1624</v>
      </c>
      <c r="BN116" s="1" t="s">
        <v>4558</v>
      </c>
      <c r="BO116" s="1" t="s">
        <v>1507</v>
      </c>
      <c r="BP116" s="1" t="s">
        <v>1531</v>
      </c>
      <c r="BQ116" s="1" t="s">
        <v>1507</v>
      </c>
      <c r="BR116" s="1" t="s">
        <v>1507</v>
      </c>
      <c r="BS116" s="1" t="s">
        <v>13744</v>
      </c>
      <c r="BT116" s="1" t="s">
        <v>4559</v>
      </c>
      <c r="BU116" s="1" t="str">
        <f>HYPERLINK("https%3A%2F%2Fwww.webofscience.com%2Fwos%2Fwoscc%2Ffull-record%2FWOS:001028580200001","View Full Record in Web of Science")</f>
        <v>View Full Record in Web of Science</v>
      </c>
    </row>
    <row r="117" spans="1:73" x14ac:dyDescent="0.25">
      <c r="A117" s="1">
        <v>134</v>
      </c>
      <c r="B117" s="1" t="s">
        <v>1506</v>
      </c>
      <c r="C117" s="1" t="s">
        <v>7158</v>
      </c>
      <c r="D117" s="1" t="s">
        <v>1507</v>
      </c>
      <c r="E117" s="1" t="s">
        <v>1507</v>
      </c>
      <c r="F117" s="1" t="s">
        <v>1507</v>
      </c>
      <c r="G117" s="1" t="s">
        <v>7159</v>
      </c>
      <c r="H117" s="1" t="s">
        <v>1507</v>
      </c>
      <c r="I117" s="1" t="s">
        <v>1507</v>
      </c>
      <c r="J117" s="1" t="s">
        <v>7160</v>
      </c>
      <c r="K117" s="1" t="s">
        <v>2324</v>
      </c>
      <c r="L117" s="1" t="s">
        <v>1507</v>
      </c>
      <c r="M117" s="1" t="s">
        <v>1507</v>
      </c>
      <c r="N117" s="1" t="s">
        <v>42</v>
      </c>
      <c r="O117" s="1" t="s">
        <v>56</v>
      </c>
      <c r="P117" s="1" t="s">
        <v>1507</v>
      </c>
      <c r="Q117" s="1" t="s">
        <v>1507</v>
      </c>
      <c r="R117" s="1" t="s">
        <v>1507</v>
      </c>
      <c r="S117" s="1" t="s">
        <v>1507</v>
      </c>
      <c r="T117" s="1" t="s">
        <v>1507</v>
      </c>
      <c r="U117" s="1" t="s">
        <v>1507</v>
      </c>
      <c r="V117" s="1" t="s">
        <v>7161</v>
      </c>
      <c r="W117" s="1" t="s">
        <v>7162</v>
      </c>
      <c r="X117" s="1" t="s">
        <v>7163</v>
      </c>
      <c r="Y117" s="1" t="s">
        <v>7164</v>
      </c>
      <c r="Z117" s="1" t="s">
        <v>7165</v>
      </c>
      <c r="AA117" s="1" t="s">
        <v>1507</v>
      </c>
      <c r="AB117" s="1" t="s">
        <v>7166</v>
      </c>
      <c r="AC117" s="1" t="s">
        <v>1507</v>
      </c>
      <c r="AD117" s="1" t="s">
        <v>7167</v>
      </c>
      <c r="AE117" s="1" t="s">
        <v>7168</v>
      </c>
      <c r="AF117" s="1" t="s">
        <v>7169</v>
      </c>
      <c r="AG117" s="1" t="s">
        <v>1507</v>
      </c>
      <c r="AH117" s="1">
        <v>210</v>
      </c>
      <c r="AI117" s="1">
        <v>0</v>
      </c>
      <c r="AJ117" s="1">
        <v>0</v>
      </c>
      <c r="AK117" s="1">
        <v>0</v>
      </c>
      <c r="AL117" s="1">
        <v>0</v>
      </c>
      <c r="AM117" s="1" t="s">
        <v>2332</v>
      </c>
      <c r="AN117" s="1" t="s">
        <v>2333</v>
      </c>
      <c r="AO117" s="1" t="s">
        <v>2334</v>
      </c>
      <c r="AP117" s="1" t="s">
        <v>2335</v>
      </c>
      <c r="AQ117" s="1" t="s">
        <v>2336</v>
      </c>
      <c r="AR117" s="1" t="s">
        <v>1507</v>
      </c>
      <c r="AS117" s="1" t="s">
        <v>2337</v>
      </c>
      <c r="AT117" s="1" t="s">
        <v>2338</v>
      </c>
      <c r="AU117" s="1" t="s">
        <v>4556</v>
      </c>
      <c r="AV117" s="1">
        <v>2022</v>
      </c>
      <c r="AW117" s="1">
        <v>45</v>
      </c>
      <c r="AX117" s="1">
        <v>2</v>
      </c>
      <c r="AY117" s="1" t="s">
        <v>1507</v>
      </c>
      <c r="AZ117" s="1" t="s">
        <v>1507</v>
      </c>
      <c r="BA117" s="1" t="s">
        <v>1507</v>
      </c>
      <c r="BB117" s="1" t="s">
        <v>1507</v>
      </c>
      <c r="BC117" s="1" t="s">
        <v>1507</v>
      </c>
      <c r="BD117" s="1" t="s">
        <v>1507</v>
      </c>
      <c r="BE117" s="1" t="s">
        <v>1507</v>
      </c>
      <c r="BF117" s="1" t="s">
        <v>1507</v>
      </c>
      <c r="BG117" s="1" t="s">
        <v>1507</v>
      </c>
      <c r="BH117" s="1" t="s">
        <v>1507</v>
      </c>
      <c r="BI117" s="1" t="s">
        <v>1507</v>
      </c>
      <c r="BJ117" s="1">
        <v>34</v>
      </c>
      <c r="BK117" s="1" t="s">
        <v>1535</v>
      </c>
      <c r="BL117" s="1" t="s">
        <v>1529</v>
      </c>
      <c r="BM117" s="1" t="s">
        <v>1536</v>
      </c>
      <c r="BN117" s="1" t="s">
        <v>7170</v>
      </c>
      <c r="BO117" s="1" t="s">
        <v>1507</v>
      </c>
      <c r="BP117" s="1" t="s">
        <v>1507</v>
      </c>
      <c r="BQ117" s="1" t="s">
        <v>1507</v>
      </c>
      <c r="BR117" s="1" t="s">
        <v>1507</v>
      </c>
      <c r="BS117" s="1" t="s">
        <v>13744</v>
      </c>
      <c r="BT117" s="1" t="s">
        <v>7171</v>
      </c>
      <c r="BU117" s="1" t="str">
        <f>HYPERLINK("https%3A%2F%2Fwww.webofscience.com%2Fwos%2Fwoscc%2Ffull-record%2FWOS:000824236000008","View Full Record in Web of Science")</f>
        <v>View Full Record in Web of Science</v>
      </c>
    </row>
    <row r="118" spans="1:73" x14ac:dyDescent="0.25">
      <c r="A118" s="1">
        <v>135</v>
      </c>
      <c r="B118" s="1" t="s">
        <v>1506</v>
      </c>
      <c r="C118" s="1" t="s">
        <v>2064</v>
      </c>
      <c r="D118" s="1" t="s">
        <v>1507</v>
      </c>
      <c r="E118" s="1" t="s">
        <v>1507</v>
      </c>
      <c r="F118" s="1" t="s">
        <v>1507</v>
      </c>
      <c r="G118" s="1" t="s">
        <v>2065</v>
      </c>
      <c r="H118" s="1" t="s">
        <v>1507</v>
      </c>
      <c r="I118" s="1" t="s">
        <v>1507</v>
      </c>
      <c r="J118" s="1" t="s">
        <v>665</v>
      </c>
      <c r="K118" s="1" t="s">
        <v>2066</v>
      </c>
      <c r="L118" s="1" t="s">
        <v>1507</v>
      </c>
      <c r="M118" s="1" t="s">
        <v>1507</v>
      </c>
      <c r="N118" s="1" t="s">
        <v>42</v>
      </c>
      <c r="O118" s="1" t="s">
        <v>1509</v>
      </c>
      <c r="P118" s="1" t="s">
        <v>1507</v>
      </c>
      <c r="Q118" s="1" t="s">
        <v>1507</v>
      </c>
      <c r="R118" s="1" t="s">
        <v>1507</v>
      </c>
      <c r="S118" s="1" t="s">
        <v>1507</v>
      </c>
      <c r="T118" s="1" t="s">
        <v>1507</v>
      </c>
      <c r="U118" s="1" t="s">
        <v>2067</v>
      </c>
      <c r="V118" s="1" t="s">
        <v>1507</v>
      </c>
      <c r="W118" s="1" t="s">
        <v>2068</v>
      </c>
      <c r="X118" s="1" t="s">
        <v>2069</v>
      </c>
      <c r="Y118" s="1" t="s">
        <v>2070</v>
      </c>
      <c r="Z118" s="1" t="s">
        <v>2071</v>
      </c>
      <c r="AA118" s="1" t="s">
        <v>2072</v>
      </c>
      <c r="AB118" s="1" t="s">
        <v>1507</v>
      </c>
      <c r="AC118" s="1" t="s">
        <v>13868</v>
      </c>
      <c r="AD118" s="1" t="s">
        <v>1507</v>
      </c>
      <c r="AE118" s="1" t="s">
        <v>1507</v>
      </c>
      <c r="AF118" s="1" t="s">
        <v>1507</v>
      </c>
      <c r="AG118" s="1" t="s">
        <v>1507</v>
      </c>
      <c r="AH118" s="1">
        <v>33</v>
      </c>
      <c r="AI118" s="1">
        <v>0</v>
      </c>
      <c r="AJ118" s="1">
        <v>0</v>
      </c>
      <c r="AK118" s="1">
        <v>14</v>
      </c>
      <c r="AL118" s="1">
        <v>14</v>
      </c>
      <c r="AM118" s="1" t="s">
        <v>2073</v>
      </c>
      <c r="AN118" s="1" t="s">
        <v>2074</v>
      </c>
      <c r="AO118" s="1" t="s">
        <v>2075</v>
      </c>
      <c r="AP118" s="1" t="s">
        <v>2076</v>
      </c>
      <c r="AQ118" s="1" t="s">
        <v>2077</v>
      </c>
      <c r="AR118" s="1" t="s">
        <v>1507</v>
      </c>
      <c r="AS118" s="1" t="s">
        <v>2078</v>
      </c>
      <c r="AT118" s="1" t="s">
        <v>673</v>
      </c>
      <c r="AU118" s="1" t="s">
        <v>2079</v>
      </c>
      <c r="AV118" s="1">
        <v>2023</v>
      </c>
      <c r="AW118" s="1" t="s">
        <v>1507</v>
      </c>
      <c r="AX118" s="1" t="s">
        <v>1507</v>
      </c>
      <c r="AY118" s="1" t="s">
        <v>1507</v>
      </c>
      <c r="AZ118" s="1" t="s">
        <v>1507</v>
      </c>
      <c r="BA118" s="1" t="s">
        <v>1507</v>
      </c>
      <c r="BB118" s="1" t="s">
        <v>1507</v>
      </c>
      <c r="BC118" s="1" t="s">
        <v>1507</v>
      </c>
      <c r="BD118" s="1" t="s">
        <v>1507</v>
      </c>
      <c r="BE118" s="1" t="s">
        <v>1507</v>
      </c>
      <c r="BF118" s="1" t="s">
        <v>667</v>
      </c>
      <c r="BG118" s="1" t="str">
        <f>HYPERLINK("http://dx.doi.org/10.1177/08944393231220483","http://dx.doi.org/10.1177/08944393231220483")</f>
        <v>http://dx.doi.org/10.1177/08944393231220483</v>
      </c>
      <c r="BH118" s="1" t="s">
        <v>1507</v>
      </c>
      <c r="BI118" s="1" t="s">
        <v>1652</v>
      </c>
      <c r="BJ118" s="1">
        <v>23</v>
      </c>
      <c r="BK118" s="1" t="s">
        <v>2080</v>
      </c>
      <c r="BL118" s="1" t="s">
        <v>1598</v>
      </c>
      <c r="BM118" s="1" t="s">
        <v>2081</v>
      </c>
      <c r="BN118" s="1" t="s">
        <v>2082</v>
      </c>
      <c r="BO118" s="1" t="s">
        <v>1507</v>
      </c>
      <c r="BP118" s="1" t="s">
        <v>4214</v>
      </c>
      <c r="BQ118" s="1" t="s">
        <v>1507</v>
      </c>
      <c r="BR118" s="1" t="s">
        <v>1507</v>
      </c>
      <c r="BS118" s="1" t="s">
        <v>13744</v>
      </c>
      <c r="BT118" s="1" t="s">
        <v>2083</v>
      </c>
      <c r="BU118" s="1" t="str">
        <f>HYPERLINK("https%3A%2F%2Fwww.webofscience.com%2Fwos%2Fwoscc%2Ffull-record%2FWOS:001116391300001","View Full Record in Web of Science")</f>
        <v>View Full Record in Web of Science</v>
      </c>
    </row>
    <row r="119" spans="1:73" x14ac:dyDescent="0.25">
      <c r="A119" s="1">
        <v>136</v>
      </c>
      <c r="B119" s="1" t="s">
        <v>1506</v>
      </c>
      <c r="C119" s="1" t="s">
        <v>3511</v>
      </c>
      <c r="D119" s="1" t="s">
        <v>1507</v>
      </c>
      <c r="E119" s="1" t="s">
        <v>1507</v>
      </c>
      <c r="F119" s="1" t="s">
        <v>1507</v>
      </c>
      <c r="G119" s="1" t="s">
        <v>3512</v>
      </c>
      <c r="H119" s="1" t="s">
        <v>1507</v>
      </c>
      <c r="I119" s="1" t="s">
        <v>1507</v>
      </c>
      <c r="J119" s="1" t="s">
        <v>3513</v>
      </c>
      <c r="K119" s="1" t="s">
        <v>3514</v>
      </c>
      <c r="L119" s="1" t="s">
        <v>1507</v>
      </c>
      <c r="M119" s="1" t="s">
        <v>1507</v>
      </c>
      <c r="N119" s="1" t="s">
        <v>55</v>
      </c>
      <c r="O119" s="1" t="s">
        <v>56</v>
      </c>
      <c r="P119" s="1" t="s">
        <v>1507</v>
      </c>
      <c r="Q119" s="1" t="s">
        <v>1507</v>
      </c>
      <c r="R119" s="1" t="s">
        <v>1507</v>
      </c>
      <c r="S119" s="1" t="s">
        <v>1507</v>
      </c>
      <c r="T119" s="1" t="s">
        <v>1507</v>
      </c>
      <c r="U119" s="1" t="s">
        <v>3515</v>
      </c>
      <c r="V119" s="1" t="s">
        <v>1507</v>
      </c>
      <c r="W119" s="1" t="s">
        <v>3516</v>
      </c>
      <c r="X119" s="1" t="s">
        <v>3517</v>
      </c>
      <c r="Y119" s="1" t="s">
        <v>3518</v>
      </c>
      <c r="Z119" s="1" t="s">
        <v>3519</v>
      </c>
      <c r="AA119" s="1" t="s">
        <v>3520</v>
      </c>
      <c r="AB119" s="1" t="s">
        <v>3521</v>
      </c>
      <c r="AC119" s="1" t="s">
        <v>14388</v>
      </c>
      <c r="AD119" s="1" t="s">
        <v>1507</v>
      </c>
      <c r="AE119" s="1" t="s">
        <v>1507</v>
      </c>
      <c r="AF119" s="1" t="s">
        <v>1507</v>
      </c>
      <c r="AG119" s="1" t="s">
        <v>1507</v>
      </c>
      <c r="AH119" s="1">
        <v>49</v>
      </c>
      <c r="AI119" s="1">
        <v>1</v>
      </c>
      <c r="AJ119" s="1">
        <v>1</v>
      </c>
      <c r="AK119" s="1">
        <v>140</v>
      </c>
      <c r="AL119" s="1">
        <v>140</v>
      </c>
      <c r="AM119" s="1" t="s">
        <v>3522</v>
      </c>
      <c r="AN119" s="1" t="s">
        <v>3523</v>
      </c>
      <c r="AO119" s="1" t="s">
        <v>3524</v>
      </c>
      <c r="AP119" s="1" t="s">
        <v>3525</v>
      </c>
      <c r="AQ119" s="1" t="s">
        <v>3526</v>
      </c>
      <c r="AR119" s="1" t="s">
        <v>1507</v>
      </c>
      <c r="AS119" s="1" t="s">
        <v>3514</v>
      </c>
      <c r="AT119" s="1" t="s">
        <v>48</v>
      </c>
      <c r="AU119" s="1" t="s">
        <v>2889</v>
      </c>
      <c r="AV119" s="1">
        <v>2023</v>
      </c>
      <c r="AW119" s="1">
        <v>31</v>
      </c>
      <c r="AX119" s="1">
        <v>77</v>
      </c>
      <c r="AY119" s="1" t="s">
        <v>1507</v>
      </c>
      <c r="AZ119" s="1" t="s">
        <v>1507</v>
      </c>
      <c r="BA119" s="1" t="s">
        <v>1507</v>
      </c>
      <c r="BB119" s="1" t="s">
        <v>1507</v>
      </c>
      <c r="BC119" s="1">
        <v>47</v>
      </c>
      <c r="BD119" s="1">
        <v>57</v>
      </c>
      <c r="BE119" s="1" t="s">
        <v>1507</v>
      </c>
      <c r="BF119" s="1" t="s">
        <v>49</v>
      </c>
      <c r="BG119" s="1" t="str">
        <f>HYPERLINK("http://dx.doi.org/10.3916/C77-2023-04","http://dx.doi.org/10.3916/C77-2023-04")</f>
        <v>http://dx.doi.org/10.3916/C77-2023-04</v>
      </c>
      <c r="BH119" s="1" t="s">
        <v>1507</v>
      </c>
      <c r="BI119" s="1" t="s">
        <v>1507</v>
      </c>
      <c r="BJ119" s="1">
        <v>11</v>
      </c>
      <c r="BK119" s="1" t="s">
        <v>3527</v>
      </c>
      <c r="BL119" s="1" t="s">
        <v>1518</v>
      </c>
      <c r="BM119" s="1" t="s">
        <v>3527</v>
      </c>
      <c r="BN119" s="1" t="s">
        <v>3528</v>
      </c>
      <c r="BO119" s="1" t="s">
        <v>1507</v>
      </c>
      <c r="BP119" s="1" t="s">
        <v>1553</v>
      </c>
      <c r="BQ119" s="1" t="s">
        <v>1507</v>
      </c>
      <c r="BR119" s="1" t="s">
        <v>1507</v>
      </c>
      <c r="BS119" s="1" t="s">
        <v>13744</v>
      </c>
      <c r="BT119" s="1" t="s">
        <v>3529</v>
      </c>
      <c r="BU119" s="1" t="str">
        <f>HYPERLINK("https%3A%2F%2Fwww.webofscience.com%2Fwos%2Fwoscc%2Ffull-record%2FWOS:001092871200004","View Full Record in Web of Science")</f>
        <v>View Full Record in Web of Science</v>
      </c>
    </row>
    <row r="120" spans="1:73" x14ac:dyDescent="0.25">
      <c r="A120" s="1">
        <v>137</v>
      </c>
      <c r="B120" s="1" t="s">
        <v>1506</v>
      </c>
      <c r="C120" s="1" t="s">
        <v>2757</v>
      </c>
      <c r="D120" s="1" t="s">
        <v>1507</v>
      </c>
      <c r="E120" s="1" t="s">
        <v>1507</v>
      </c>
      <c r="F120" s="1" t="s">
        <v>1507</v>
      </c>
      <c r="G120" s="1" t="s">
        <v>2758</v>
      </c>
      <c r="H120" s="1" t="s">
        <v>1507</v>
      </c>
      <c r="I120" s="1" t="s">
        <v>1507</v>
      </c>
      <c r="J120" s="1" t="s">
        <v>2759</v>
      </c>
      <c r="K120" s="1" t="s">
        <v>2760</v>
      </c>
      <c r="L120" s="1" t="s">
        <v>1507</v>
      </c>
      <c r="M120" s="1" t="s">
        <v>1507</v>
      </c>
      <c r="N120" s="1" t="s">
        <v>42</v>
      </c>
      <c r="O120" s="1" t="s">
        <v>56</v>
      </c>
      <c r="P120" s="1" t="s">
        <v>1507</v>
      </c>
      <c r="Q120" s="1" t="s">
        <v>1507</v>
      </c>
      <c r="R120" s="1" t="s">
        <v>1507</v>
      </c>
      <c r="S120" s="1" t="s">
        <v>1507</v>
      </c>
      <c r="T120" s="1" t="s">
        <v>1507</v>
      </c>
      <c r="U120" s="1" t="s">
        <v>2761</v>
      </c>
      <c r="V120" s="1" t="s">
        <v>1507</v>
      </c>
      <c r="W120" s="1" t="s">
        <v>2762</v>
      </c>
      <c r="X120" s="1" t="s">
        <v>2763</v>
      </c>
      <c r="Y120" s="1" t="s">
        <v>2764</v>
      </c>
      <c r="Z120" s="1" t="s">
        <v>2765</v>
      </c>
      <c r="AA120" s="1" t="s">
        <v>2766</v>
      </c>
      <c r="AB120" s="1" t="s">
        <v>1507</v>
      </c>
      <c r="AC120" s="1" t="s">
        <v>14073</v>
      </c>
      <c r="AD120" s="1" t="s">
        <v>2767</v>
      </c>
      <c r="AE120" s="1" t="s">
        <v>2767</v>
      </c>
      <c r="AF120" s="1" t="s">
        <v>1510</v>
      </c>
      <c r="AG120" s="1" t="s">
        <v>1507</v>
      </c>
      <c r="AH120" s="1">
        <v>41</v>
      </c>
      <c r="AI120" s="1">
        <v>2</v>
      </c>
      <c r="AJ120" s="1">
        <v>2</v>
      </c>
      <c r="AK120" s="1">
        <v>30</v>
      </c>
      <c r="AL120" s="1">
        <v>30</v>
      </c>
      <c r="AM120" s="1" t="s">
        <v>1610</v>
      </c>
      <c r="AN120" s="1" t="s">
        <v>1611</v>
      </c>
      <c r="AO120" s="1" t="s">
        <v>1612</v>
      </c>
      <c r="AP120" s="1" t="s">
        <v>1507</v>
      </c>
      <c r="AQ120" s="1" t="s">
        <v>2768</v>
      </c>
      <c r="AR120" s="1" t="s">
        <v>1507</v>
      </c>
      <c r="AS120" s="1" t="s">
        <v>2769</v>
      </c>
      <c r="AT120" s="1" t="s">
        <v>2770</v>
      </c>
      <c r="AU120" s="1" t="s">
        <v>2771</v>
      </c>
      <c r="AV120" s="1">
        <v>2023</v>
      </c>
      <c r="AW120" s="1">
        <v>23</v>
      </c>
      <c r="AX120" s="1">
        <v>22</v>
      </c>
      <c r="AY120" s="1" t="s">
        <v>1507</v>
      </c>
      <c r="AZ120" s="1" t="s">
        <v>1507</v>
      </c>
      <c r="BA120" s="1" t="s">
        <v>1507</v>
      </c>
      <c r="BB120" s="1" t="s">
        <v>1507</v>
      </c>
      <c r="BC120" s="1" t="s">
        <v>1507</v>
      </c>
      <c r="BD120" s="1" t="s">
        <v>1507</v>
      </c>
      <c r="BE120" s="1">
        <v>9225</v>
      </c>
      <c r="BF120" s="1" t="s">
        <v>2772</v>
      </c>
      <c r="BG120" s="1" t="str">
        <f>HYPERLINK("http://dx.doi.org/10.3390/s23229225","http://dx.doi.org/10.3390/s23229225")</f>
        <v>http://dx.doi.org/10.3390/s23229225</v>
      </c>
      <c r="BH120" s="1" t="s">
        <v>1507</v>
      </c>
      <c r="BI120" s="1" t="s">
        <v>1507</v>
      </c>
      <c r="BJ120" s="1">
        <v>27</v>
      </c>
      <c r="BK120" s="1" t="s">
        <v>2773</v>
      </c>
      <c r="BL120" s="1" t="s">
        <v>1573</v>
      </c>
      <c r="BM120" s="1" t="s">
        <v>2774</v>
      </c>
      <c r="BN120" s="1" t="s">
        <v>2775</v>
      </c>
      <c r="BO120" s="1">
        <v>38005612</v>
      </c>
      <c r="BP120" s="1" t="s">
        <v>1674</v>
      </c>
      <c r="BQ120" s="1" t="s">
        <v>1507</v>
      </c>
      <c r="BR120" s="1" t="s">
        <v>1507</v>
      </c>
      <c r="BS120" s="1" t="s">
        <v>13744</v>
      </c>
      <c r="BT120" s="1" t="s">
        <v>2776</v>
      </c>
      <c r="BU120" s="1" t="str">
        <f>HYPERLINK("https%3A%2F%2Fwww.webofscience.com%2Fwos%2Fwoscc%2Ffull-record%2FWOS:001119927100001","View Full Record in Web of Science")</f>
        <v>View Full Record in Web of Science</v>
      </c>
    </row>
    <row r="121" spans="1:73" x14ac:dyDescent="0.25">
      <c r="A121" s="1">
        <v>138</v>
      </c>
      <c r="B121" s="1" t="s">
        <v>1506</v>
      </c>
      <c r="C121" s="1" t="s">
        <v>2757</v>
      </c>
      <c r="D121" s="1" t="s">
        <v>1507</v>
      </c>
      <c r="E121" s="1" t="s">
        <v>1507</v>
      </c>
      <c r="F121" s="1" t="s">
        <v>1507</v>
      </c>
      <c r="G121" s="1" t="s">
        <v>2758</v>
      </c>
      <c r="H121" s="1" t="s">
        <v>1507</v>
      </c>
      <c r="I121" s="1" t="s">
        <v>1507</v>
      </c>
      <c r="J121" s="1" t="s">
        <v>4560</v>
      </c>
      <c r="K121" s="1" t="s">
        <v>2760</v>
      </c>
      <c r="L121" s="1" t="s">
        <v>1507</v>
      </c>
      <c r="M121" s="1" t="s">
        <v>1507</v>
      </c>
      <c r="N121" s="1" t="s">
        <v>42</v>
      </c>
      <c r="O121" s="1" t="s">
        <v>56</v>
      </c>
      <c r="P121" s="1" t="s">
        <v>1507</v>
      </c>
      <c r="Q121" s="1" t="s">
        <v>1507</v>
      </c>
      <c r="R121" s="1" t="s">
        <v>1507</v>
      </c>
      <c r="S121" s="1" t="s">
        <v>1507</v>
      </c>
      <c r="T121" s="1" t="s">
        <v>1507</v>
      </c>
      <c r="U121" s="1" t="s">
        <v>4561</v>
      </c>
      <c r="V121" s="1" t="s">
        <v>4562</v>
      </c>
      <c r="W121" s="1" t="s">
        <v>4563</v>
      </c>
      <c r="X121" s="1" t="s">
        <v>4564</v>
      </c>
      <c r="Y121" s="1" t="s">
        <v>2764</v>
      </c>
      <c r="Z121" s="1" t="s">
        <v>4565</v>
      </c>
      <c r="AA121" s="1" t="s">
        <v>2766</v>
      </c>
      <c r="AB121" s="1" t="s">
        <v>1507</v>
      </c>
      <c r="AC121" s="1" t="s">
        <v>14635</v>
      </c>
      <c r="AD121" s="1" t="s">
        <v>4566</v>
      </c>
      <c r="AE121" s="1" t="s">
        <v>4567</v>
      </c>
      <c r="AF121" s="1" t="s">
        <v>4568</v>
      </c>
      <c r="AG121" s="1" t="s">
        <v>1507</v>
      </c>
      <c r="AH121" s="1">
        <v>32</v>
      </c>
      <c r="AI121" s="1">
        <v>3</v>
      </c>
      <c r="AJ121" s="1">
        <v>3</v>
      </c>
      <c r="AK121" s="1">
        <v>10</v>
      </c>
      <c r="AL121" s="1">
        <v>12</v>
      </c>
      <c r="AM121" s="1" t="s">
        <v>1610</v>
      </c>
      <c r="AN121" s="1" t="s">
        <v>1611</v>
      </c>
      <c r="AO121" s="1" t="s">
        <v>1612</v>
      </c>
      <c r="AP121" s="1" t="s">
        <v>1507</v>
      </c>
      <c r="AQ121" s="1" t="s">
        <v>2768</v>
      </c>
      <c r="AR121" s="1" t="s">
        <v>1507</v>
      </c>
      <c r="AS121" s="1" t="s">
        <v>2769</v>
      </c>
      <c r="AT121" s="1" t="s">
        <v>2770</v>
      </c>
      <c r="AU121" s="1" t="s">
        <v>4556</v>
      </c>
      <c r="AV121" s="1">
        <v>2023</v>
      </c>
      <c r="AW121" s="1">
        <v>23</v>
      </c>
      <c r="AX121" s="1">
        <v>13</v>
      </c>
      <c r="AY121" s="1" t="s">
        <v>1507</v>
      </c>
      <c r="AZ121" s="1" t="s">
        <v>1507</v>
      </c>
      <c r="BA121" s="1" t="s">
        <v>1507</v>
      </c>
      <c r="BB121" s="1" t="s">
        <v>1507</v>
      </c>
      <c r="BC121" s="1" t="s">
        <v>1507</v>
      </c>
      <c r="BD121" s="1" t="s">
        <v>1507</v>
      </c>
      <c r="BE121" s="1">
        <v>5899</v>
      </c>
      <c r="BF121" s="1" t="s">
        <v>4569</v>
      </c>
      <c r="BG121" s="1" t="str">
        <f>HYPERLINK("http://dx.doi.org/10.3390/s23135899","http://dx.doi.org/10.3390/s23135899")</f>
        <v>http://dx.doi.org/10.3390/s23135899</v>
      </c>
      <c r="BH121" s="1" t="s">
        <v>1507</v>
      </c>
      <c r="BI121" s="1" t="s">
        <v>1507</v>
      </c>
      <c r="BJ121" s="1">
        <v>15</v>
      </c>
      <c r="BK121" s="1" t="s">
        <v>2773</v>
      </c>
      <c r="BL121" s="1" t="s">
        <v>1573</v>
      </c>
      <c r="BM121" s="1" t="s">
        <v>2774</v>
      </c>
      <c r="BN121" s="1" t="s">
        <v>4570</v>
      </c>
      <c r="BO121" s="1">
        <v>37447746</v>
      </c>
      <c r="BP121" s="1" t="s">
        <v>1674</v>
      </c>
      <c r="BQ121" s="1" t="s">
        <v>1507</v>
      </c>
      <c r="BR121" s="1" t="s">
        <v>1507</v>
      </c>
      <c r="BS121" s="1" t="s">
        <v>13744</v>
      </c>
      <c r="BT121" s="1" t="s">
        <v>4571</v>
      </c>
      <c r="BU121" s="1" t="str">
        <f>HYPERLINK("https%3A%2F%2Fwww.webofscience.com%2Fwos%2Fwoscc%2Ffull-record%2FWOS:001031197400001","View Full Record in Web of Science")</f>
        <v>View Full Record in Web of Science</v>
      </c>
    </row>
    <row r="122" spans="1:73" x14ac:dyDescent="0.25">
      <c r="A122" s="1">
        <v>139</v>
      </c>
      <c r="B122" s="1" t="s">
        <v>1506</v>
      </c>
      <c r="C122" s="1" t="s">
        <v>4724</v>
      </c>
      <c r="D122" s="1" t="s">
        <v>1507</v>
      </c>
      <c r="E122" s="1" t="s">
        <v>1507</v>
      </c>
      <c r="F122" s="1" t="s">
        <v>1507</v>
      </c>
      <c r="G122" s="1" t="s">
        <v>4725</v>
      </c>
      <c r="H122" s="1" t="s">
        <v>1507</v>
      </c>
      <c r="I122" s="1" t="s">
        <v>1507</v>
      </c>
      <c r="J122" s="1" t="s">
        <v>4726</v>
      </c>
      <c r="K122" s="1" t="s">
        <v>1617</v>
      </c>
      <c r="L122" s="1" t="s">
        <v>1507</v>
      </c>
      <c r="M122" s="1" t="s">
        <v>1507</v>
      </c>
      <c r="N122" s="1" t="s">
        <v>42</v>
      </c>
      <c r="O122" s="1" t="s">
        <v>56</v>
      </c>
      <c r="P122" s="1" t="s">
        <v>1507</v>
      </c>
      <c r="Q122" s="1" t="s">
        <v>1507</v>
      </c>
      <c r="R122" s="1" t="s">
        <v>1507</v>
      </c>
      <c r="S122" s="1" t="s">
        <v>1507</v>
      </c>
      <c r="T122" s="1" t="s">
        <v>1507</v>
      </c>
      <c r="U122" s="1" t="s">
        <v>4727</v>
      </c>
      <c r="V122" s="1" t="s">
        <v>4728</v>
      </c>
      <c r="W122" s="1" t="s">
        <v>4729</v>
      </c>
      <c r="X122" s="1" t="s">
        <v>4730</v>
      </c>
      <c r="Y122" s="1" t="s">
        <v>2764</v>
      </c>
      <c r="Z122" s="1" t="s">
        <v>4731</v>
      </c>
      <c r="AA122" s="1" t="s">
        <v>4732</v>
      </c>
      <c r="AB122" s="1" t="s">
        <v>1507</v>
      </c>
      <c r="AC122" s="1" t="s">
        <v>14681</v>
      </c>
      <c r="AD122" s="1" t="s">
        <v>4733</v>
      </c>
      <c r="AE122" s="1" t="s">
        <v>4734</v>
      </c>
      <c r="AF122" s="1" t="s">
        <v>4735</v>
      </c>
      <c r="AG122" s="1" t="s">
        <v>1507</v>
      </c>
      <c r="AH122" s="1">
        <v>39</v>
      </c>
      <c r="AI122" s="1">
        <v>3</v>
      </c>
      <c r="AJ122" s="1">
        <v>3</v>
      </c>
      <c r="AK122" s="1">
        <v>34</v>
      </c>
      <c r="AL122" s="1">
        <v>44</v>
      </c>
      <c r="AM122" s="1" t="s">
        <v>1610</v>
      </c>
      <c r="AN122" s="1" t="s">
        <v>1611</v>
      </c>
      <c r="AO122" s="1" t="s">
        <v>1612</v>
      </c>
      <c r="AP122" s="1" t="s">
        <v>1507</v>
      </c>
      <c r="AQ122" s="1" t="s">
        <v>1620</v>
      </c>
      <c r="AR122" s="1" t="s">
        <v>1507</v>
      </c>
      <c r="AS122" s="1" t="s">
        <v>1621</v>
      </c>
      <c r="AT122" s="1" t="s">
        <v>1622</v>
      </c>
      <c r="AU122" s="1" t="s">
        <v>4721</v>
      </c>
      <c r="AV122" s="1">
        <v>2023</v>
      </c>
      <c r="AW122" s="1">
        <v>12</v>
      </c>
      <c r="AX122" s="1">
        <v>12</v>
      </c>
      <c r="AY122" s="1" t="s">
        <v>1507</v>
      </c>
      <c r="AZ122" s="1" t="s">
        <v>1507</v>
      </c>
      <c r="BA122" s="1" t="s">
        <v>1507</v>
      </c>
      <c r="BB122" s="1" t="s">
        <v>1507</v>
      </c>
      <c r="BC122" s="1" t="s">
        <v>1507</v>
      </c>
      <c r="BD122" s="1" t="s">
        <v>1507</v>
      </c>
      <c r="BE122" s="1">
        <v>2722</v>
      </c>
      <c r="BF122" s="1" t="s">
        <v>4736</v>
      </c>
      <c r="BG122" s="1" t="str">
        <f>HYPERLINK("http://dx.doi.org/10.3390/electronics12122722","http://dx.doi.org/10.3390/electronics12122722")</f>
        <v>http://dx.doi.org/10.3390/electronics12122722</v>
      </c>
      <c r="BH122" s="1" t="s">
        <v>1507</v>
      </c>
      <c r="BI122" s="1" t="s">
        <v>1507</v>
      </c>
      <c r="BJ122" s="1">
        <v>19</v>
      </c>
      <c r="BK122" s="1" t="s">
        <v>1623</v>
      </c>
      <c r="BL122" s="1" t="s">
        <v>1573</v>
      </c>
      <c r="BM122" s="1" t="s">
        <v>1624</v>
      </c>
      <c r="BN122" s="1" t="s">
        <v>4737</v>
      </c>
      <c r="BO122" s="1" t="s">
        <v>1507</v>
      </c>
      <c r="BP122" s="1" t="s">
        <v>1531</v>
      </c>
      <c r="BQ122" s="1" t="s">
        <v>1507</v>
      </c>
      <c r="BR122" s="1" t="s">
        <v>1507</v>
      </c>
      <c r="BS122" s="1" t="s">
        <v>13744</v>
      </c>
      <c r="BT122" s="1" t="s">
        <v>4738</v>
      </c>
      <c r="BU122" s="1" t="str">
        <f>HYPERLINK("https%3A%2F%2Fwww.webofscience.com%2Fwos%2Fwoscc%2Ffull-record%2FWOS:001016969200001","View Full Record in Web of Science")</f>
        <v>View Full Record in Web of Science</v>
      </c>
    </row>
    <row r="123" spans="1:73" x14ac:dyDescent="0.25">
      <c r="A123" s="1">
        <v>140</v>
      </c>
      <c r="B123" s="1" t="s">
        <v>1506</v>
      </c>
      <c r="C123" s="1" t="s">
        <v>3312</v>
      </c>
      <c r="D123" s="1" t="s">
        <v>1507</v>
      </c>
      <c r="E123" s="1" t="s">
        <v>1507</v>
      </c>
      <c r="F123" s="1" t="s">
        <v>1507</v>
      </c>
      <c r="G123" s="1" t="s">
        <v>3313</v>
      </c>
      <c r="H123" s="1" t="s">
        <v>1507</v>
      </c>
      <c r="I123" s="1" t="s">
        <v>1507</v>
      </c>
      <c r="J123" s="1" t="s">
        <v>3314</v>
      </c>
      <c r="K123" s="1" t="s">
        <v>3315</v>
      </c>
      <c r="L123" s="1" t="s">
        <v>1507</v>
      </c>
      <c r="M123" s="1" t="s">
        <v>1507</v>
      </c>
      <c r="N123" s="1" t="s">
        <v>42</v>
      </c>
      <c r="O123" s="1" t="s">
        <v>56</v>
      </c>
      <c r="P123" s="1" t="s">
        <v>1507</v>
      </c>
      <c r="Q123" s="1" t="s">
        <v>1507</v>
      </c>
      <c r="R123" s="1" t="s">
        <v>1507</v>
      </c>
      <c r="S123" s="1" t="s">
        <v>1507</v>
      </c>
      <c r="T123" s="1" t="s">
        <v>1507</v>
      </c>
      <c r="U123" s="1" t="s">
        <v>1507</v>
      </c>
      <c r="V123" s="1" t="s">
        <v>3316</v>
      </c>
      <c r="W123" s="1" t="s">
        <v>3317</v>
      </c>
      <c r="X123" s="1" t="s">
        <v>3318</v>
      </c>
      <c r="Y123" s="1" t="s">
        <v>3319</v>
      </c>
      <c r="Z123" s="1" t="s">
        <v>3320</v>
      </c>
      <c r="AA123" s="1" t="s">
        <v>3321</v>
      </c>
      <c r="AB123" s="1" t="s">
        <v>3322</v>
      </c>
      <c r="AC123" s="1" t="s">
        <v>3323</v>
      </c>
      <c r="AD123" s="1" t="s">
        <v>1507</v>
      </c>
      <c r="AE123" s="1" t="s">
        <v>1507</v>
      </c>
      <c r="AF123" s="1" t="s">
        <v>1507</v>
      </c>
      <c r="AG123" s="1" t="s">
        <v>1507</v>
      </c>
      <c r="AH123" s="1">
        <v>38</v>
      </c>
      <c r="AI123" s="1">
        <v>4</v>
      </c>
      <c r="AJ123" s="1">
        <v>4</v>
      </c>
      <c r="AK123" s="1">
        <v>19</v>
      </c>
      <c r="AL123" s="1">
        <v>19</v>
      </c>
      <c r="AM123" s="1" t="s">
        <v>3324</v>
      </c>
      <c r="AN123" s="1" t="s">
        <v>3325</v>
      </c>
      <c r="AO123" s="1" t="s">
        <v>3326</v>
      </c>
      <c r="AP123" s="1" t="s">
        <v>3327</v>
      </c>
      <c r="AQ123" s="1" t="s">
        <v>1507</v>
      </c>
      <c r="AR123" s="1" t="s">
        <v>1507</v>
      </c>
      <c r="AS123" s="1" t="s">
        <v>3328</v>
      </c>
      <c r="AT123" s="1" t="s">
        <v>1406</v>
      </c>
      <c r="AU123" s="1" t="s">
        <v>3329</v>
      </c>
      <c r="AV123" s="1">
        <v>2023</v>
      </c>
      <c r="AW123" s="1">
        <v>6</v>
      </c>
      <c r="AX123" s="1">
        <v>10</v>
      </c>
      <c r="AY123" s="1" t="s">
        <v>1507</v>
      </c>
      <c r="AZ123" s="1" t="s">
        <v>1507</v>
      </c>
      <c r="BA123" s="1" t="s">
        <v>1507</v>
      </c>
      <c r="BB123" s="1" t="s">
        <v>1507</v>
      </c>
      <c r="BC123" s="1" t="s">
        <v>1507</v>
      </c>
      <c r="BD123" s="1" t="s">
        <v>1507</v>
      </c>
      <c r="BE123" s="1" t="s">
        <v>3330</v>
      </c>
      <c r="BF123" s="1" t="s">
        <v>1401</v>
      </c>
      <c r="BG123" s="1" t="str">
        <f>HYPERLINK("http://dx.doi.org/10.1001/jamanetworkopen.2023.36997","http://dx.doi.org/10.1001/jamanetworkopen.2023.36997")</f>
        <v>http://dx.doi.org/10.1001/jamanetworkopen.2023.36997</v>
      </c>
      <c r="BH123" s="1" t="s">
        <v>1507</v>
      </c>
      <c r="BI123" s="1" t="s">
        <v>1507</v>
      </c>
      <c r="BJ123" s="1">
        <v>10</v>
      </c>
      <c r="BK123" s="1" t="s">
        <v>1949</v>
      </c>
      <c r="BL123" s="1" t="s">
        <v>1573</v>
      </c>
      <c r="BM123" s="1" t="s">
        <v>1950</v>
      </c>
      <c r="BN123" s="1" t="s">
        <v>3331</v>
      </c>
      <c r="BO123" s="1">
        <v>37812419</v>
      </c>
      <c r="BP123" s="1" t="s">
        <v>1952</v>
      </c>
      <c r="BQ123" s="1" t="s">
        <v>1507</v>
      </c>
      <c r="BR123" s="1" t="s">
        <v>1507</v>
      </c>
      <c r="BS123" s="1" t="s">
        <v>13744</v>
      </c>
      <c r="BT123" s="1" t="s">
        <v>3332</v>
      </c>
      <c r="BU123" s="1" t="str">
        <f>HYPERLINK("https%3A%2F%2Fwww.webofscience.com%2Fwos%2Fwoscc%2Ffull-record%2FWOS:001085513300004","View Full Record in Web of Science")</f>
        <v>View Full Record in Web of Science</v>
      </c>
    </row>
    <row r="124" spans="1:73" x14ac:dyDescent="0.25">
      <c r="A124" s="1">
        <v>141</v>
      </c>
      <c r="B124" s="1" t="s">
        <v>1506</v>
      </c>
      <c r="C124" s="1" t="s">
        <v>10267</v>
      </c>
      <c r="D124" s="1" t="s">
        <v>1507</v>
      </c>
      <c r="E124" s="1" t="s">
        <v>1507</v>
      </c>
      <c r="F124" s="1" t="s">
        <v>1507</v>
      </c>
      <c r="G124" s="1" t="s">
        <v>10268</v>
      </c>
      <c r="H124" s="1" t="s">
        <v>1507</v>
      </c>
      <c r="I124" s="1" t="s">
        <v>1507</v>
      </c>
      <c r="J124" s="1" t="s">
        <v>10269</v>
      </c>
      <c r="K124" s="1" t="s">
        <v>10270</v>
      </c>
      <c r="L124" s="1" t="s">
        <v>1507</v>
      </c>
      <c r="M124" s="1" t="s">
        <v>1507</v>
      </c>
      <c r="N124" s="1" t="s">
        <v>42</v>
      </c>
      <c r="O124" s="1" t="s">
        <v>56</v>
      </c>
      <c r="P124" s="1" t="s">
        <v>1507</v>
      </c>
      <c r="Q124" s="1" t="s">
        <v>1507</v>
      </c>
      <c r="R124" s="1" t="s">
        <v>1507</v>
      </c>
      <c r="S124" s="1" t="s">
        <v>1507</v>
      </c>
      <c r="T124" s="1" t="s">
        <v>1507</v>
      </c>
      <c r="U124" s="1" t="s">
        <v>1507</v>
      </c>
      <c r="V124" s="1" t="s">
        <v>10271</v>
      </c>
      <c r="W124" s="1" t="s">
        <v>10272</v>
      </c>
      <c r="X124" s="1" t="s">
        <v>10273</v>
      </c>
      <c r="Y124" s="1" t="s">
        <v>2327</v>
      </c>
      <c r="Z124" s="1" t="s">
        <v>10274</v>
      </c>
      <c r="AA124" s="1" t="s">
        <v>1507</v>
      </c>
      <c r="AB124" s="1" t="s">
        <v>15836</v>
      </c>
      <c r="AC124" s="1" t="s">
        <v>15837</v>
      </c>
      <c r="AD124" s="1" t="s">
        <v>10275</v>
      </c>
      <c r="AE124" s="1" t="s">
        <v>10276</v>
      </c>
      <c r="AF124" s="1" t="s">
        <v>10277</v>
      </c>
      <c r="AG124" s="1" t="s">
        <v>1507</v>
      </c>
      <c r="AH124" s="1">
        <v>45</v>
      </c>
      <c r="AI124" s="1">
        <v>2</v>
      </c>
      <c r="AJ124" s="1">
        <v>2</v>
      </c>
      <c r="AK124" s="1">
        <v>1</v>
      </c>
      <c r="AL124" s="1">
        <v>3</v>
      </c>
      <c r="AM124" s="1" t="s">
        <v>10278</v>
      </c>
      <c r="AN124" s="1" t="s">
        <v>4479</v>
      </c>
      <c r="AO124" s="1" t="s">
        <v>10279</v>
      </c>
      <c r="AP124" s="1" t="s">
        <v>10280</v>
      </c>
      <c r="AQ124" s="1" t="s">
        <v>10281</v>
      </c>
      <c r="AR124" s="1" t="s">
        <v>1507</v>
      </c>
      <c r="AS124" s="1" t="s">
        <v>10282</v>
      </c>
      <c r="AT124" s="1" t="s">
        <v>10283</v>
      </c>
      <c r="AU124" s="1" t="s">
        <v>1507</v>
      </c>
      <c r="AV124" s="1">
        <v>2020</v>
      </c>
      <c r="AW124" s="1">
        <v>46</v>
      </c>
      <c r="AX124" s="1">
        <v>2</v>
      </c>
      <c r="AY124" s="1" t="s">
        <v>1507</v>
      </c>
      <c r="AZ124" s="1" t="s">
        <v>1507</v>
      </c>
      <c r="BA124" s="1" t="s">
        <v>1507</v>
      </c>
      <c r="BB124" s="1" t="s">
        <v>1507</v>
      </c>
      <c r="BC124" s="1">
        <v>141</v>
      </c>
      <c r="BD124" s="1">
        <v>182</v>
      </c>
      <c r="BE124" s="1" t="s">
        <v>1507</v>
      </c>
      <c r="BF124" s="1" t="s">
        <v>1507</v>
      </c>
      <c r="BG124" s="1" t="s">
        <v>1507</v>
      </c>
      <c r="BH124" s="1" t="s">
        <v>1507</v>
      </c>
      <c r="BI124" s="1" t="s">
        <v>1507</v>
      </c>
      <c r="BJ124" s="1">
        <v>42</v>
      </c>
      <c r="BK124" s="1" t="s">
        <v>1535</v>
      </c>
      <c r="BL124" s="1" t="s">
        <v>1529</v>
      </c>
      <c r="BM124" s="1" t="s">
        <v>1536</v>
      </c>
      <c r="BN124" s="1" t="s">
        <v>10284</v>
      </c>
      <c r="BO124" s="1" t="s">
        <v>1507</v>
      </c>
      <c r="BP124" s="1" t="s">
        <v>1507</v>
      </c>
      <c r="BQ124" s="1" t="s">
        <v>1507</v>
      </c>
      <c r="BR124" s="1" t="s">
        <v>1507</v>
      </c>
      <c r="BS124" s="1" t="s">
        <v>13744</v>
      </c>
      <c r="BT124" s="1" t="s">
        <v>10285</v>
      </c>
      <c r="BU124" s="1" t="str">
        <f>HYPERLINK("https%3A%2F%2Fwww.webofscience.com%2Fwos%2Fwoscc%2Ffull-record%2FWOS:000749733700007","View Full Record in Web of Science")</f>
        <v>View Full Record in Web of Science</v>
      </c>
    </row>
    <row r="125" spans="1:73" x14ac:dyDescent="0.25">
      <c r="A125" s="1">
        <v>142</v>
      </c>
      <c r="B125" s="1" t="s">
        <v>1506</v>
      </c>
      <c r="C125" s="1" t="s">
        <v>2777</v>
      </c>
      <c r="D125" s="1" t="s">
        <v>1507</v>
      </c>
      <c r="E125" s="1" t="s">
        <v>1507</v>
      </c>
      <c r="F125" s="1" t="s">
        <v>1507</v>
      </c>
      <c r="G125" s="1" t="s">
        <v>2778</v>
      </c>
      <c r="H125" s="1" t="s">
        <v>1507</v>
      </c>
      <c r="I125" s="1" t="s">
        <v>1507</v>
      </c>
      <c r="J125" s="1" t="s">
        <v>2779</v>
      </c>
      <c r="K125" s="1" t="s">
        <v>2780</v>
      </c>
      <c r="L125" s="1" t="s">
        <v>1507</v>
      </c>
      <c r="M125" s="1" t="s">
        <v>1507</v>
      </c>
      <c r="N125" s="1" t="s">
        <v>42</v>
      </c>
      <c r="O125" s="1" t="s">
        <v>56</v>
      </c>
      <c r="P125" s="1" t="s">
        <v>1507</v>
      </c>
      <c r="Q125" s="1" t="s">
        <v>1507</v>
      </c>
      <c r="R125" s="1" t="s">
        <v>1507</v>
      </c>
      <c r="S125" s="1" t="s">
        <v>1507</v>
      </c>
      <c r="T125" s="1" t="s">
        <v>1507</v>
      </c>
      <c r="U125" s="1" t="s">
        <v>1507</v>
      </c>
      <c r="V125" s="1" t="s">
        <v>2781</v>
      </c>
      <c r="W125" s="1" t="s">
        <v>2782</v>
      </c>
      <c r="X125" s="1" t="s">
        <v>2783</v>
      </c>
      <c r="Y125" s="1" t="s">
        <v>2784</v>
      </c>
      <c r="Z125" s="1" t="s">
        <v>2785</v>
      </c>
      <c r="AA125" s="1" t="s">
        <v>2786</v>
      </c>
      <c r="AB125" s="1" t="s">
        <v>14074</v>
      </c>
      <c r="AC125" s="1" t="s">
        <v>14075</v>
      </c>
      <c r="AD125" s="1" t="s">
        <v>14076</v>
      </c>
      <c r="AE125" s="1" t="s">
        <v>14077</v>
      </c>
      <c r="AF125" s="1" t="s">
        <v>2787</v>
      </c>
      <c r="AG125" s="1" t="s">
        <v>1507</v>
      </c>
      <c r="AH125" s="1">
        <v>118</v>
      </c>
      <c r="AI125" s="1">
        <v>8</v>
      </c>
      <c r="AJ125" s="1">
        <v>8</v>
      </c>
      <c r="AK125" s="1">
        <v>41</v>
      </c>
      <c r="AL125" s="1">
        <v>41</v>
      </c>
      <c r="AM125" s="1" t="s">
        <v>1601</v>
      </c>
      <c r="AN125" s="1" t="s">
        <v>1551</v>
      </c>
      <c r="AO125" s="1" t="s">
        <v>1602</v>
      </c>
      <c r="AP125" s="1" t="s">
        <v>1507</v>
      </c>
      <c r="AQ125" s="1" t="s">
        <v>2788</v>
      </c>
      <c r="AR125" s="1" t="s">
        <v>1507</v>
      </c>
      <c r="AS125" s="1" t="s">
        <v>2789</v>
      </c>
      <c r="AT125" s="1" t="s">
        <v>2790</v>
      </c>
      <c r="AU125" s="1" t="s">
        <v>2771</v>
      </c>
      <c r="AV125" s="1">
        <v>2023</v>
      </c>
      <c r="AW125" s="1">
        <v>2</v>
      </c>
      <c r="AX125" s="1">
        <v>11</v>
      </c>
      <c r="AY125" s="1" t="s">
        <v>1507</v>
      </c>
      <c r="AZ125" s="1" t="s">
        <v>1507</v>
      </c>
      <c r="BA125" s="1" t="s">
        <v>1507</v>
      </c>
      <c r="BB125" s="1" t="s">
        <v>1507</v>
      </c>
      <c r="BC125" s="1">
        <v>688</v>
      </c>
      <c r="BD125" s="1">
        <v>701</v>
      </c>
      <c r="BE125" s="1" t="s">
        <v>1507</v>
      </c>
      <c r="BF125" s="1" t="s">
        <v>2791</v>
      </c>
      <c r="BG125" s="1" t="str">
        <f>HYPERLINK("http://dx.doi.org/10.1038/s44159-023-00241-5","http://dx.doi.org/10.1038/s44159-023-00241-5")</f>
        <v>http://dx.doi.org/10.1038/s44159-023-00241-5</v>
      </c>
      <c r="BH125" s="1" t="s">
        <v>1507</v>
      </c>
      <c r="BI125" s="1" t="s">
        <v>1507</v>
      </c>
      <c r="BJ125" s="1">
        <v>14</v>
      </c>
      <c r="BK125" s="1" t="s">
        <v>1517</v>
      </c>
      <c r="BL125" s="1" t="s">
        <v>1529</v>
      </c>
      <c r="BM125" s="1" t="s">
        <v>1519</v>
      </c>
      <c r="BN125" s="1" t="s">
        <v>2792</v>
      </c>
      <c r="BO125" s="1" t="s">
        <v>1507</v>
      </c>
      <c r="BP125" s="1" t="s">
        <v>1507</v>
      </c>
      <c r="BQ125" s="1" t="s">
        <v>1507</v>
      </c>
      <c r="BR125" s="1" t="s">
        <v>1507</v>
      </c>
      <c r="BS125" s="1" t="s">
        <v>13744</v>
      </c>
      <c r="BT125" s="1" t="s">
        <v>2793</v>
      </c>
      <c r="BU125" s="1" t="str">
        <f>HYPERLINK("https%3A%2F%2Fwww.webofscience.com%2Fwos%2Fwoscc%2Ffull-record%2FWOS:001124794900011","View Full Record in Web of Science")</f>
        <v>View Full Record in Web of Science</v>
      </c>
    </row>
    <row r="126" spans="1:73" x14ac:dyDescent="0.25">
      <c r="A126" s="1">
        <v>143</v>
      </c>
      <c r="B126" s="1" t="s">
        <v>1506</v>
      </c>
      <c r="C126" s="1" t="s">
        <v>3754</v>
      </c>
      <c r="D126" s="1" t="s">
        <v>1507</v>
      </c>
      <c r="E126" s="1" t="s">
        <v>1507</v>
      </c>
      <c r="F126" s="1" t="s">
        <v>1507</v>
      </c>
      <c r="G126" s="1" t="s">
        <v>3755</v>
      </c>
      <c r="H126" s="1" t="s">
        <v>1507</v>
      </c>
      <c r="I126" s="1" t="s">
        <v>1507</v>
      </c>
      <c r="J126" s="1" t="s">
        <v>3756</v>
      </c>
      <c r="K126" s="1" t="s">
        <v>3757</v>
      </c>
      <c r="L126" s="1" t="s">
        <v>1507</v>
      </c>
      <c r="M126" s="1" t="s">
        <v>1507</v>
      </c>
      <c r="N126" s="1" t="s">
        <v>42</v>
      </c>
      <c r="O126" s="1" t="s">
        <v>56</v>
      </c>
      <c r="P126" s="1" t="s">
        <v>1507</v>
      </c>
      <c r="Q126" s="1" t="s">
        <v>1507</v>
      </c>
      <c r="R126" s="1" t="s">
        <v>1507</v>
      </c>
      <c r="S126" s="1" t="s">
        <v>1507</v>
      </c>
      <c r="T126" s="1" t="s">
        <v>1507</v>
      </c>
      <c r="U126" s="1" t="s">
        <v>1507</v>
      </c>
      <c r="V126" s="1" t="s">
        <v>1507</v>
      </c>
      <c r="W126" s="1" t="s">
        <v>3758</v>
      </c>
      <c r="X126" s="1" t="s">
        <v>3759</v>
      </c>
      <c r="Y126" s="1" t="s">
        <v>3760</v>
      </c>
      <c r="Z126" s="1" t="s">
        <v>3761</v>
      </c>
      <c r="AA126" s="1" t="s">
        <v>3762</v>
      </c>
      <c r="AB126" s="1" t="s">
        <v>1507</v>
      </c>
      <c r="AC126" s="1" t="s">
        <v>1507</v>
      </c>
      <c r="AD126" s="1" t="s">
        <v>3763</v>
      </c>
      <c r="AE126" s="1" t="s">
        <v>3764</v>
      </c>
      <c r="AF126" s="1" t="s">
        <v>3765</v>
      </c>
      <c r="AG126" s="1" t="s">
        <v>1507</v>
      </c>
      <c r="AH126" s="1">
        <v>43</v>
      </c>
      <c r="AI126" s="1">
        <v>0</v>
      </c>
      <c r="AJ126" s="1">
        <v>0</v>
      </c>
      <c r="AK126" s="1">
        <v>6</v>
      </c>
      <c r="AL126" s="1">
        <v>6</v>
      </c>
      <c r="AM126" s="1" t="s">
        <v>3766</v>
      </c>
      <c r="AN126" s="1" t="s">
        <v>2300</v>
      </c>
      <c r="AO126" s="1" t="s">
        <v>3767</v>
      </c>
      <c r="AP126" s="1" t="s">
        <v>3768</v>
      </c>
      <c r="AQ126" s="1" t="s">
        <v>3769</v>
      </c>
      <c r="AR126" s="1" t="s">
        <v>1507</v>
      </c>
      <c r="AS126" s="1" t="s">
        <v>3770</v>
      </c>
      <c r="AT126" s="1" t="s">
        <v>3771</v>
      </c>
      <c r="AU126" s="1" t="s">
        <v>3772</v>
      </c>
      <c r="AV126" s="1">
        <v>2023</v>
      </c>
      <c r="AW126" s="1">
        <v>6</v>
      </c>
      <c r="AX126" s="1" t="s">
        <v>1507</v>
      </c>
      <c r="AY126" s="1" t="s">
        <v>1507</v>
      </c>
      <c r="AZ126" s="1" t="s">
        <v>1507</v>
      </c>
      <c r="BA126" s="1" t="s">
        <v>1507</v>
      </c>
      <c r="BB126" s="1" t="s">
        <v>1507</v>
      </c>
      <c r="BC126" s="1" t="s">
        <v>1507</v>
      </c>
      <c r="BD126" s="1" t="s">
        <v>1507</v>
      </c>
      <c r="BE126" s="1">
        <v>189</v>
      </c>
      <c r="BF126" s="1" t="s">
        <v>3773</v>
      </c>
      <c r="BG126" s="1" t="str">
        <f>HYPERLINK("http://dx.doi.org/10.34133/research.0189","http://dx.doi.org/10.34133/research.0189")</f>
        <v>http://dx.doi.org/10.34133/research.0189</v>
      </c>
      <c r="BH126" s="1" t="s">
        <v>1507</v>
      </c>
      <c r="BI126" s="1" t="s">
        <v>1507</v>
      </c>
      <c r="BJ126" s="1">
        <v>13</v>
      </c>
      <c r="BK126" s="1" t="s">
        <v>1776</v>
      </c>
      <c r="BL126" s="1" t="s">
        <v>1573</v>
      </c>
      <c r="BM126" s="1" t="s">
        <v>1777</v>
      </c>
      <c r="BN126" s="1" t="s">
        <v>3774</v>
      </c>
      <c r="BO126" s="1">
        <v>37727321</v>
      </c>
      <c r="BP126" s="1" t="s">
        <v>1952</v>
      </c>
      <c r="BQ126" s="1" t="s">
        <v>1507</v>
      </c>
      <c r="BR126" s="1" t="s">
        <v>1507</v>
      </c>
      <c r="BS126" s="1" t="s">
        <v>13744</v>
      </c>
      <c r="BT126" s="1" t="s">
        <v>3775</v>
      </c>
      <c r="BU126" s="1" t="str">
        <f>HYPERLINK("https%3A%2F%2Fwww.webofscience.com%2Fwos%2Fwoscc%2Ffull-record%2FWOS:001122607000001","View Full Record in Web of Science")</f>
        <v>View Full Record in Web of Science</v>
      </c>
    </row>
    <row r="127" spans="1:73" x14ac:dyDescent="0.25">
      <c r="A127" s="1">
        <v>145</v>
      </c>
      <c r="B127" s="1" t="s">
        <v>1506</v>
      </c>
      <c r="C127" s="1" t="s">
        <v>7611</v>
      </c>
      <c r="D127" s="1" t="s">
        <v>1507</v>
      </c>
      <c r="E127" s="1" t="s">
        <v>1507</v>
      </c>
      <c r="F127" s="1" t="s">
        <v>1507</v>
      </c>
      <c r="G127" s="1" t="s">
        <v>7612</v>
      </c>
      <c r="H127" s="1" t="s">
        <v>1507</v>
      </c>
      <c r="I127" s="1" t="s">
        <v>1507</v>
      </c>
      <c r="J127" s="1" t="s">
        <v>7613</v>
      </c>
      <c r="K127" s="1" t="s">
        <v>7141</v>
      </c>
      <c r="L127" s="1" t="s">
        <v>1507</v>
      </c>
      <c r="M127" s="1" t="s">
        <v>1507</v>
      </c>
      <c r="N127" s="1" t="s">
        <v>42</v>
      </c>
      <c r="O127" s="1" t="s">
        <v>56</v>
      </c>
      <c r="P127" s="1" t="s">
        <v>1507</v>
      </c>
      <c r="Q127" s="1" t="s">
        <v>1507</v>
      </c>
      <c r="R127" s="1" t="s">
        <v>1507</v>
      </c>
      <c r="S127" s="1" t="s">
        <v>1507</v>
      </c>
      <c r="T127" s="1" t="s">
        <v>1507</v>
      </c>
      <c r="U127" s="1" t="s">
        <v>7614</v>
      </c>
      <c r="V127" s="1" t="s">
        <v>7615</v>
      </c>
      <c r="W127" s="1" t="s">
        <v>7616</v>
      </c>
      <c r="X127" s="1" t="s">
        <v>7617</v>
      </c>
      <c r="Y127" s="1" t="s">
        <v>7146</v>
      </c>
      <c r="Z127" s="1" t="s">
        <v>7618</v>
      </c>
      <c r="AA127" s="1" t="s">
        <v>3719</v>
      </c>
      <c r="AB127" s="1" t="s">
        <v>15665</v>
      </c>
      <c r="AC127" s="1" t="s">
        <v>1507</v>
      </c>
      <c r="AD127" s="1" t="s">
        <v>7619</v>
      </c>
      <c r="AE127" s="1" t="s">
        <v>7620</v>
      </c>
      <c r="AF127" s="1" t="s">
        <v>7621</v>
      </c>
      <c r="AG127" s="1" t="s">
        <v>1507</v>
      </c>
      <c r="AH127" s="1">
        <v>29</v>
      </c>
      <c r="AI127" s="1">
        <v>26</v>
      </c>
      <c r="AJ127" s="1">
        <v>29</v>
      </c>
      <c r="AK127" s="1">
        <v>1</v>
      </c>
      <c r="AL127" s="1">
        <v>17</v>
      </c>
      <c r="AM127" s="1" t="s">
        <v>1579</v>
      </c>
      <c r="AN127" s="1" t="s">
        <v>1580</v>
      </c>
      <c r="AO127" s="1" t="s">
        <v>1581</v>
      </c>
      <c r="AP127" s="1" t="s">
        <v>7151</v>
      </c>
      <c r="AQ127" s="1" t="s">
        <v>7152</v>
      </c>
      <c r="AR127" s="1" t="s">
        <v>1507</v>
      </c>
      <c r="AS127" s="1" t="s">
        <v>7153</v>
      </c>
      <c r="AT127" s="1" t="s">
        <v>7154</v>
      </c>
      <c r="AU127" s="1" t="s">
        <v>9913</v>
      </c>
      <c r="AV127" s="1">
        <v>2022</v>
      </c>
      <c r="AW127" s="1">
        <v>821</v>
      </c>
      <c r="AX127" s="1" t="s">
        <v>1507</v>
      </c>
      <c r="AY127" s="1" t="s">
        <v>1507</v>
      </c>
      <c r="AZ127" s="1" t="s">
        <v>1507</v>
      </c>
      <c r="BA127" s="1" t="s">
        <v>1507</v>
      </c>
      <c r="BB127" s="1" t="s">
        <v>1507</v>
      </c>
      <c r="BC127" s="1" t="s">
        <v>1507</v>
      </c>
      <c r="BD127" s="1" t="s">
        <v>1507</v>
      </c>
      <c r="BE127" s="1">
        <v>153250</v>
      </c>
      <c r="BF127" s="1" t="s">
        <v>7622</v>
      </c>
      <c r="BG127" s="1" t="str">
        <f>HYPERLINK("http://dx.doi.org/10.1016/j.scitotenv.2022.153250","http://dx.doi.org/10.1016/j.scitotenv.2022.153250")</f>
        <v>http://dx.doi.org/10.1016/j.scitotenv.2022.153250</v>
      </c>
      <c r="BH127" s="1" t="s">
        <v>1507</v>
      </c>
      <c r="BI127" s="1" t="s">
        <v>7623</v>
      </c>
      <c r="BJ127" s="1">
        <v>9</v>
      </c>
      <c r="BK127" s="1" t="s">
        <v>7038</v>
      </c>
      <c r="BL127" s="1" t="s">
        <v>1573</v>
      </c>
      <c r="BM127" s="1" t="s">
        <v>1839</v>
      </c>
      <c r="BN127" s="1" t="s">
        <v>7624</v>
      </c>
      <c r="BO127" s="1">
        <v>35065122</v>
      </c>
      <c r="BP127" s="1" t="s">
        <v>4214</v>
      </c>
      <c r="BQ127" s="1" t="s">
        <v>1507</v>
      </c>
      <c r="BR127" s="1" t="s">
        <v>1507</v>
      </c>
      <c r="BS127" s="1" t="s">
        <v>13744</v>
      </c>
      <c r="BT127" s="1" t="s">
        <v>7625</v>
      </c>
      <c r="BU127" s="1" t="str">
        <f>HYPERLINK("https%3A%2F%2Fwww.webofscience.com%2Fwos%2Fwoscc%2Ffull-record%2FWOS:000766801100015","View Full Record in Web of Science")</f>
        <v>View Full Record in Web of Science</v>
      </c>
    </row>
    <row r="128" spans="1:73" x14ac:dyDescent="0.25">
      <c r="A128" s="1">
        <v>146</v>
      </c>
      <c r="B128" s="1" t="s">
        <v>1506</v>
      </c>
      <c r="C128" s="1" t="s">
        <v>5811</v>
      </c>
      <c r="D128" s="1" t="s">
        <v>1507</v>
      </c>
      <c r="E128" s="1" t="s">
        <v>1507</v>
      </c>
      <c r="F128" s="1" t="s">
        <v>1507</v>
      </c>
      <c r="G128" s="1" t="s">
        <v>5812</v>
      </c>
      <c r="H128" s="1" t="s">
        <v>1507</v>
      </c>
      <c r="I128" s="1" t="s">
        <v>1507</v>
      </c>
      <c r="J128" s="1" t="s">
        <v>984</v>
      </c>
      <c r="K128" s="1" t="s">
        <v>5813</v>
      </c>
      <c r="L128" s="1" t="s">
        <v>1507</v>
      </c>
      <c r="M128" s="1" t="s">
        <v>1507</v>
      </c>
      <c r="N128" s="1" t="s">
        <v>42</v>
      </c>
      <c r="O128" s="1" t="s">
        <v>56</v>
      </c>
      <c r="P128" s="1" t="s">
        <v>1507</v>
      </c>
      <c r="Q128" s="1" t="s">
        <v>1507</v>
      </c>
      <c r="R128" s="1" t="s">
        <v>1507</v>
      </c>
      <c r="S128" s="1" t="s">
        <v>1507</v>
      </c>
      <c r="T128" s="1" t="s">
        <v>1507</v>
      </c>
      <c r="U128" s="1" t="s">
        <v>5814</v>
      </c>
      <c r="V128" s="1" t="s">
        <v>1507</v>
      </c>
      <c r="W128" s="1" t="s">
        <v>5815</v>
      </c>
      <c r="X128" s="1" t="s">
        <v>5816</v>
      </c>
      <c r="Y128" s="1" t="s">
        <v>5817</v>
      </c>
      <c r="Z128" s="1" t="s">
        <v>5818</v>
      </c>
      <c r="AA128" s="1" t="s">
        <v>5819</v>
      </c>
      <c r="AB128" s="1" t="s">
        <v>14918</v>
      </c>
      <c r="AC128" s="1" t="s">
        <v>14919</v>
      </c>
      <c r="AD128" s="1" t="s">
        <v>1507</v>
      </c>
      <c r="AE128" s="1" t="s">
        <v>1507</v>
      </c>
      <c r="AF128" s="1" t="s">
        <v>1507</v>
      </c>
      <c r="AG128" s="1" t="s">
        <v>1507</v>
      </c>
      <c r="AH128" s="1">
        <v>27</v>
      </c>
      <c r="AI128" s="1">
        <v>61</v>
      </c>
      <c r="AJ128" s="1">
        <v>64</v>
      </c>
      <c r="AK128" s="1">
        <v>210</v>
      </c>
      <c r="AL128" s="1">
        <v>324</v>
      </c>
      <c r="AM128" s="1" t="s">
        <v>5820</v>
      </c>
      <c r="AN128" s="1" t="s">
        <v>5821</v>
      </c>
      <c r="AO128" s="1" t="s">
        <v>5822</v>
      </c>
      <c r="AP128" s="1" t="s">
        <v>5823</v>
      </c>
      <c r="AQ128" s="1" t="s">
        <v>5824</v>
      </c>
      <c r="AR128" s="1" t="s">
        <v>1507</v>
      </c>
      <c r="AS128" s="1" t="s">
        <v>5825</v>
      </c>
      <c r="AT128" s="1" t="s">
        <v>993</v>
      </c>
      <c r="AU128" s="1" t="s">
        <v>1507</v>
      </c>
      <c r="AV128" s="1">
        <v>2023</v>
      </c>
      <c r="AW128" s="1">
        <v>40</v>
      </c>
      <c r="AX128" s="1">
        <v>2</v>
      </c>
      <c r="AY128" s="1" t="s">
        <v>1507</v>
      </c>
      <c r="AZ128" s="1" t="s">
        <v>1507</v>
      </c>
      <c r="BA128" s="1" t="s">
        <v>1507</v>
      </c>
      <c r="BB128" s="1" t="s">
        <v>1507</v>
      </c>
      <c r="BC128" s="1">
        <v>615</v>
      </c>
      <c r="BD128" s="1">
        <v>622</v>
      </c>
      <c r="BE128" s="1" t="s">
        <v>1507</v>
      </c>
      <c r="BF128" s="1" t="s">
        <v>5826</v>
      </c>
      <c r="BG128" s="1" t="str">
        <f>HYPERLINK("http://dx.doi.org/10.5114/biolsport.2023.125623","http://dx.doi.org/10.5114/biolsport.2023.125623")</f>
        <v>http://dx.doi.org/10.5114/biolsport.2023.125623</v>
      </c>
      <c r="BH128" s="1" t="s">
        <v>1507</v>
      </c>
      <c r="BI128" s="1" t="s">
        <v>1507</v>
      </c>
      <c r="BJ128" s="1">
        <v>8</v>
      </c>
      <c r="BK128" s="1" t="s">
        <v>5827</v>
      </c>
      <c r="BL128" s="1" t="s">
        <v>1573</v>
      </c>
      <c r="BM128" s="1" t="s">
        <v>5827</v>
      </c>
      <c r="BN128" s="1" t="s">
        <v>5828</v>
      </c>
      <c r="BO128" s="1">
        <v>37077800</v>
      </c>
      <c r="BP128" s="1" t="s">
        <v>1507</v>
      </c>
      <c r="BQ128" s="1" t="s">
        <v>1507</v>
      </c>
      <c r="BR128" s="1" t="s">
        <v>1507</v>
      </c>
      <c r="BS128" s="1" t="s">
        <v>13744</v>
      </c>
      <c r="BT128" s="1" t="s">
        <v>5829</v>
      </c>
      <c r="BU128" s="1" t="str">
        <f>HYPERLINK("https%3A%2F%2Fwww.webofscience.com%2Fwos%2Fwoscc%2Ffull-record%2FWOS:000972527400030","View Full Record in Web of Science")</f>
        <v>View Full Record in Web of Science</v>
      </c>
    </row>
    <row r="129" spans="1:73" x14ac:dyDescent="0.25">
      <c r="A129" s="1">
        <v>147</v>
      </c>
      <c r="B129" s="1" t="s">
        <v>1506</v>
      </c>
      <c r="C129" s="1" t="s">
        <v>3190</v>
      </c>
      <c r="D129" s="1" t="s">
        <v>1507</v>
      </c>
      <c r="E129" s="1" t="s">
        <v>1507</v>
      </c>
      <c r="F129" s="1" t="s">
        <v>1507</v>
      </c>
      <c r="G129" s="1" t="s">
        <v>3191</v>
      </c>
      <c r="H129" s="1" t="s">
        <v>1507</v>
      </c>
      <c r="I129" s="1" t="s">
        <v>3192</v>
      </c>
      <c r="J129" s="1" t="s">
        <v>3193</v>
      </c>
      <c r="K129" s="1" t="s">
        <v>3194</v>
      </c>
      <c r="L129" s="1" t="s">
        <v>1507</v>
      </c>
      <c r="M129" s="1" t="s">
        <v>1507</v>
      </c>
      <c r="N129" s="1" t="s">
        <v>42</v>
      </c>
      <c r="O129" s="1" t="s">
        <v>56</v>
      </c>
      <c r="P129" s="1" t="s">
        <v>1507</v>
      </c>
      <c r="Q129" s="1" t="s">
        <v>1507</v>
      </c>
      <c r="R129" s="1" t="s">
        <v>1507</v>
      </c>
      <c r="S129" s="1" t="s">
        <v>1507</v>
      </c>
      <c r="T129" s="1" t="s">
        <v>1507</v>
      </c>
      <c r="U129" s="1" t="s">
        <v>3195</v>
      </c>
      <c r="V129" s="1" t="s">
        <v>3196</v>
      </c>
      <c r="W129" s="1" t="s">
        <v>3197</v>
      </c>
      <c r="X129" s="1" t="s">
        <v>3198</v>
      </c>
      <c r="Y129" s="1" t="s">
        <v>14294</v>
      </c>
      <c r="Z129" s="1" t="s">
        <v>3199</v>
      </c>
      <c r="AA129" s="1" t="s">
        <v>3200</v>
      </c>
      <c r="AB129" s="1" t="s">
        <v>1507</v>
      </c>
      <c r="AC129" s="1" t="s">
        <v>3201</v>
      </c>
      <c r="AD129" s="1" t="s">
        <v>3202</v>
      </c>
      <c r="AE129" s="1" t="s">
        <v>3203</v>
      </c>
      <c r="AF129" s="1" t="s">
        <v>3204</v>
      </c>
      <c r="AG129" s="1" t="s">
        <v>1507</v>
      </c>
      <c r="AH129" s="1">
        <v>31</v>
      </c>
      <c r="AI129" s="1">
        <v>0</v>
      </c>
      <c r="AJ129" s="1">
        <v>0</v>
      </c>
      <c r="AK129" s="1">
        <v>2</v>
      </c>
      <c r="AL129" s="1">
        <v>2</v>
      </c>
      <c r="AM129" s="1" t="s">
        <v>1725</v>
      </c>
      <c r="AN129" s="1" t="s">
        <v>1551</v>
      </c>
      <c r="AO129" s="1" t="s">
        <v>1726</v>
      </c>
      <c r="AP129" s="1" t="s">
        <v>1507</v>
      </c>
      <c r="AQ129" s="1" t="s">
        <v>3205</v>
      </c>
      <c r="AR129" s="1" t="s">
        <v>1507</v>
      </c>
      <c r="AS129" s="1" t="s">
        <v>3206</v>
      </c>
      <c r="AT129" s="1" t="s">
        <v>3207</v>
      </c>
      <c r="AU129" s="1" t="s">
        <v>3208</v>
      </c>
      <c r="AV129" s="1">
        <v>2023</v>
      </c>
      <c r="AW129" s="1">
        <v>23</v>
      </c>
      <c r="AX129" s="1">
        <v>1</v>
      </c>
      <c r="AY129" s="1" t="s">
        <v>1507</v>
      </c>
      <c r="AZ129" s="1" t="s">
        <v>1507</v>
      </c>
      <c r="BA129" s="1" t="s">
        <v>1507</v>
      </c>
      <c r="BB129" s="1" t="s">
        <v>1507</v>
      </c>
      <c r="BC129" s="1" t="s">
        <v>1507</v>
      </c>
      <c r="BD129" s="1" t="s">
        <v>1507</v>
      </c>
      <c r="BE129" s="1">
        <v>514</v>
      </c>
      <c r="BF129" s="1" t="s">
        <v>3209</v>
      </c>
      <c r="BG129" s="1" t="str">
        <f>HYPERLINK("http://dx.doi.org/10.1186/s12887-023-04262-0","http://dx.doi.org/10.1186/s12887-023-04262-0")</f>
        <v>http://dx.doi.org/10.1186/s12887-023-04262-0</v>
      </c>
      <c r="BH129" s="1" t="s">
        <v>1507</v>
      </c>
      <c r="BI129" s="1" t="s">
        <v>1507</v>
      </c>
      <c r="BJ129" s="1">
        <v>10</v>
      </c>
      <c r="BK129" s="1" t="s">
        <v>3210</v>
      </c>
      <c r="BL129" s="1" t="s">
        <v>1573</v>
      </c>
      <c r="BM129" s="1" t="s">
        <v>3210</v>
      </c>
      <c r="BN129" s="1" t="s">
        <v>3211</v>
      </c>
      <c r="BO129" s="1">
        <v>37845652</v>
      </c>
      <c r="BP129" s="1" t="s">
        <v>1674</v>
      </c>
      <c r="BQ129" s="1" t="s">
        <v>1507</v>
      </c>
      <c r="BR129" s="1" t="s">
        <v>1507</v>
      </c>
      <c r="BS129" s="1" t="s">
        <v>13744</v>
      </c>
      <c r="BT129" s="1" t="s">
        <v>3212</v>
      </c>
      <c r="BU129" s="1" t="str">
        <f>HYPERLINK("https%3A%2F%2Fwww.webofscience.com%2Fwos%2Fwoscc%2Ffull-record%2FWOS:001086711300001","View Full Record in Web of Science")</f>
        <v>View Full Record in Web of Science</v>
      </c>
    </row>
    <row r="130" spans="1:73" x14ac:dyDescent="0.25">
      <c r="A130" s="1">
        <v>148</v>
      </c>
      <c r="B130" s="1" t="s">
        <v>1506</v>
      </c>
      <c r="C130" s="1" t="s">
        <v>10529</v>
      </c>
      <c r="D130" s="1" t="s">
        <v>1507</v>
      </c>
      <c r="E130" s="1" t="s">
        <v>1507</v>
      </c>
      <c r="F130" s="1" t="s">
        <v>1507</v>
      </c>
      <c r="G130" s="1" t="s">
        <v>10530</v>
      </c>
      <c r="H130" s="1" t="s">
        <v>1507</v>
      </c>
      <c r="I130" s="1" t="s">
        <v>1507</v>
      </c>
      <c r="J130" s="1" t="s">
        <v>10531</v>
      </c>
      <c r="K130" s="1" t="s">
        <v>10532</v>
      </c>
      <c r="L130" s="1" t="s">
        <v>1507</v>
      </c>
      <c r="M130" s="1" t="s">
        <v>1507</v>
      </c>
      <c r="N130" s="1" t="s">
        <v>42</v>
      </c>
      <c r="O130" s="1" t="s">
        <v>56</v>
      </c>
      <c r="P130" s="1" t="s">
        <v>1507</v>
      </c>
      <c r="Q130" s="1" t="s">
        <v>1507</v>
      </c>
      <c r="R130" s="1" t="s">
        <v>1507</v>
      </c>
      <c r="S130" s="1" t="s">
        <v>1507</v>
      </c>
      <c r="T130" s="1" t="s">
        <v>1507</v>
      </c>
      <c r="U130" s="1" t="s">
        <v>1507</v>
      </c>
      <c r="V130" s="1" t="s">
        <v>10533</v>
      </c>
      <c r="W130" s="1" t="s">
        <v>10534</v>
      </c>
      <c r="X130" s="1" t="s">
        <v>10535</v>
      </c>
      <c r="Y130" s="1" t="s">
        <v>15863</v>
      </c>
      <c r="Z130" s="1" t="s">
        <v>10536</v>
      </c>
      <c r="AA130" s="1" t="s">
        <v>10537</v>
      </c>
      <c r="AB130" s="1" t="s">
        <v>15864</v>
      </c>
      <c r="AC130" s="1" t="s">
        <v>15865</v>
      </c>
      <c r="AD130" s="1" t="s">
        <v>15866</v>
      </c>
      <c r="AE130" s="1" t="s">
        <v>15867</v>
      </c>
      <c r="AF130" s="1" t="s">
        <v>10538</v>
      </c>
      <c r="AG130" s="1" t="s">
        <v>1507</v>
      </c>
      <c r="AH130" s="1">
        <v>34</v>
      </c>
      <c r="AI130" s="1">
        <v>28</v>
      </c>
      <c r="AJ130" s="1">
        <v>30</v>
      </c>
      <c r="AK130" s="1">
        <v>0</v>
      </c>
      <c r="AL130" s="1">
        <v>6</v>
      </c>
      <c r="AM130" s="1" t="s">
        <v>2033</v>
      </c>
      <c r="AN130" s="1" t="s">
        <v>1523</v>
      </c>
      <c r="AO130" s="1" t="s">
        <v>2034</v>
      </c>
      <c r="AP130" s="1" t="s">
        <v>10539</v>
      </c>
      <c r="AQ130" s="1" t="s">
        <v>10540</v>
      </c>
      <c r="AR130" s="1" t="s">
        <v>1507</v>
      </c>
      <c r="AS130" s="1" t="s">
        <v>10541</v>
      </c>
      <c r="AT130" s="1" t="s">
        <v>10542</v>
      </c>
      <c r="AU130" s="1" t="s">
        <v>6839</v>
      </c>
      <c r="AV130" s="1">
        <v>2019</v>
      </c>
      <c r="AW130" s="1">
        <v>105</v>
      </c>
      <c r="AX130" s="1">
        <v>5</v>
      </c>
      <c r="AY130" s="1" t="s">
        <v>1507</v>
      </c>
      <c r="AZ130" s="1" t="s">
        <v>1507</v>
      </c>
      <c r="BA130" s="1" t="s">
        <v>1507</v>
      </c>
      <c r="BB130" s="1" t="s">
        <v>1507</v>
      </c>
      <c r="BC130" s="1">
        <v>1048</v>
      </c>
      <c r="BD130" s="1">
        <v>1056</v>
      </c>
      <c r="BE130" s="1" t="s">
        <v>1507</v>
      </c>
      <c r="BF130" s="1" t="s">
        <v>10543</v>
      </c>
      <c r="BG130" s="1" t="str">
        <f>HYPERLINK("http://dx.doi.org/10.1016/j.ajhg.2019.09.025","http://dx.doi.org/10.1016/j.ajhg.2019.09.025")</f>
        <v>http://dx.doi.org/10.1016/j.ajhg.2019.09.025</v>
      </c>
      <c r="BH130" s="1" t="s">
        <v>1507</v>
      </c>
      <c r="BI130" s="1" t="s">
        <v>1507</v>
      </c>
      <c r="BJ130" s="1">
        <v>9</v>
      </c>
      <c r="BK130" s="1" t="s">
        <v>10544</v>
      </c>
      <c r="BL130" s="1" t="s">
        <v>1573</v>
      </c>
      <c r="BM130" s="1" t="s">
        <v>10544</v>
      </c>
      <c r="BN130" s="1" t="s">
        <v>10545</v>
      </c>
      <c r="BO130" s="1">
        <v>31668703</v>
      </c>
      <c r="BP130" s="1" t="s">
        <v>8811</v>
      </c>
      <c r="BQ130" s="1" t="s">
        <v>1507</v>
      </c>
      <c r="BR130" s="1" t="s">
        <v>1507</v>
      </c>
      <c r="BS130" s="1" t="s">
        <v>13744</v>
      </c>
      <c r="BT130" s="1" t="s">
        <v>10546</v>
      </c>
      <c r="BU130" s="1" t="str">
        <f>HYPERLINK("https%3A%2F%2Fwww.webofscience.com%2Fwos%2Fwoscc%2Ffull-record%2FWOS:000495878800016","View Full Record in Web of Science")</f>
        <v>View Full Record in Web of Science</v>
      </c>
    </row>
    <row r="131" spans="1:73" x14ac:dyDescent="0.25">
      <c r="A131" s="1">
        <v>151</v>
      </c>
      <c r="B131" s="1" t="s">
        <v>5546</v>
      </c>
      <c r="C131" s="1" t="s">
        <v>14920</v>
      </c>
      <c r="D131" s="1" t="s">
        <v>1507</v>
      </c>
      <c r="E131" s="1" t="s">
        <v>1507</v>
      </c>
      <c r="F131" s="1" t="s">
        <v>5548</v>
      </c>
      <c r="G131" s="1" t="s">
        <v>14921</v>
      </c>
      <c r="H131" s="1" t="s">
        <v>1507</v>
      </c>
      <c r="I131" s="1" t="s">
        <v>1507</v>
      </c>
      <c r="J131" s="1" t="s">
        <v>14922</v>
      </c>
      <c r="K131" s="1" t="s">
        <v>14923</v>
      </c>
      <c r="L131" s="1" t="s">
        <v>1507</v>
      </c>
      <c r="M131" s="1" t="s">
        <v>1507</v>
      </c>
      <c r="N131" s="1" t="s">
        <v>42</v>
      </c>
      <c r="O131" s="1" t="s">
        <v>5552</v>
      </c>
      <c r="P131" s="1" t="s">
        <v>14924</v>
      </c>
      <c r="Q131" s="1" t="s">
        <v>14925</v>
      </c>
      <c r="R131" s="1" t="s">
        <v>6272</v>
      </c>
      <c r="S131" s="1" t="s">
        <v>14926</v>
      </c>
      <c r="T131" s="1" t="s">
        <v>1507</v>
      </c>
      <c r="U131" s="1" t="s">
        <v>14927</v>
      </c>
      <c r="V131" s="1" t="s">
        <v>14928</v>
      </c>
      <c r="W131" s="1" t="s">
        <v>14929</v>
      </c>
      <c r="X131" s="1" t="s">
        <v>14930</v>
      </c>
      <c r="Y131" s="1" t="s">
        <v>14931</v>
      </c>
      <c r="Z131" s="1" t="s">
        <v>14932</v>
      </c>
      <c r="AA131" s="1" t="s">
        <v>1507</v>
      </c>
      <c r="AB131" s="1" t="s">
        <v>14933</v>
      </c>
      <c r="AC131" s="1" t="s">
        <v>14934</v>
      </c>
      <c r="AD131" s="1" t="s">
        <v>14935</v>
      </c>
      <c r="AE131" s="1" t="s">
        <v>14936</v>
      </c>
      <c r="AF131" s="1" t="s">
        <v>14937</v>
      </c>
      <c r="AG131" s="1" t="s">
        <v>1507</v>
      </c>
      <c r="AH131" s="1">
        <v>96</v>
      </c>
      <c r="AI131" s="1">
        <v>0</v>
      </c>
      <c r="AJ131" s="1">
        <v>0</v>
      </c>
      <c r="AK131" s="1">
        <v>0</v>
      </c>
      <c r="AL131" s="1">
        <v>0</v>
      </c>
      <c r="AM131" s="1" t="s">
        <v>5565</v>
      </c>
      <c r="AN131" s="1" t="s">
        <v>1512</v>
      </c>
      <c r="AO131" s="1" t="s">
        <v>5566</v>
      </c>
      <c r="AP131" s="1" t="s">
        <v>1507</v>
      </c>
      <c r="AQ131" s="1" t="s">
        <v>1507</v>
      </c>
      <c r="AR131" s="1" t="s">
        <v>14938</v>
      </c>
      <c r="AS131" s="1" t="s">
        <v>1507</v>
      </c>
      <c r="AT131" s="1" t="s">
        <v>1507</v>
      </c>
      <c r="AU131" s="1" t="s">
        <v>1507</v>
      </c>
      <c r="AV131" s="1">
        <v>2023</v>
      </c>
      <c r="AW131" s="1" t="s">
        <v>1507</v>
      </c>
      <c r="AX131" s="1" t="s">
        <v>1507</v>
      </c>
      <c r="AY131" s="1" t="s">
        <v>1507</v>
      </c>
      <c r="AZ131" s="1" t="s">
        <v>1507</v>
      </c>
      <c r="BA131" s="1" t="s">
        <v>1507</v>
      </c>
      <c r="BB131" s="1" t="s">
        <v>1507</v>
      </c>
      <c r="BC131" s="1">
        <v>489</v>
      </c>
      <c r="BD131" s="1">
        <v>505</v>
      </c>
      <c r="BE131" s="1" t="s">
        <v>1507</v>
      </c>
      <c r="BF131" s="1" t="s">
        <v>14939</v>
      </c>
      <c r="BG131" s="1" t="str">
        <f>HYPERLINK("http://dx.doi.org/10.1145/3591196.3593516","http://dx.doi.org/10.1145/3591196.3593516")</f>
        <v>http://dx.doi.org/10.1145/3591196.3593516</v>
      </c>
      <c r="BH131" s="1" t="s">
        <v>1507</v>
      </c>
      <c r="BI131" s="1" t="s">
        <v>1507</v>
      </c>
      <c r="BJ131" s="1">
        <v>17</v>
      </c>
      <c r="BK131" s="1" t="s">
        <v>14940</v>
      </c>
      <c r="BL131" s="1" t="s">
        <v>5695</v>
      </c>
      <c r="BM131" s="1" t="s">
        <v>14941</v>
      </c>
      <c r="BN131" s="1" t="s">
        <v>14942</v>
      </c>
      <c r="BO131" s="1" t="s">
        <v>1507</v>
      </c>
      <c r="BP131" s="1" t="s">
        <v>12108</v>
      </c>
      <c r="BQ131" s="1" t="s">
        <v>1507</v>
      </c>
      <c r="BR131" s="1" t="s">
        <v>1507</v>
      </c>
      <c r="BS131" s="1" t="s">
        <v>13744</v>
      </c>
      <c r="BT131" s="1" t="s">
        <v>14943</v>
      </c>
      <c r="BU131" s="1" t="str">
        <f>HYPERLINK("https%3A%2F%2Fwww.webofscience.com%2Fwos%2Fwoscc%2Ffull-record%2FWOS:001119074200070","View Full Record in Web of Science")</f>
        <v>View Full Record in Web of Science</v>
      </c>
    </row>
    <row r="132" spans="1:73" x14ac:dyDescent="0.25">
      <c r="A132" s="1">
        <v>152</v>
      </c>
      <c r="B132" s="1" t="s">
        <v>1506</v>
      </c>
      <c r="C132" s="1" t="s">
        <v>11947</v>
      </c>
      <c r="D132" s="1" t="s">
        <v>1507</v>
      </c>
      <c r="E132" s="1" t="s">
        <v>1507</v>
      </c>
      <c r="F132" s="1" t="s">
        <v>1507</v>
      </c>
      <c r="G132" s="1" t="s">
        <v>11948</v>
      </c>
      <c r="H132" s="1" t="s">
        <v>1507</v>
      </c>
      <c r="I132" s="1" t="s">
        <v>1507</v>
      </c>
      <c r="J132" s="1" t="s">
        <v>11949</v>
      </c>
      <c r="K132" s="1" t="s">
        <v>11950</v>
      </c>
      <c r="L132" s="1" t="s">
        <v>1507</v>
      </c>
      <c r="M132" s="1" t="s">
        <v>1507</v>
      </c>
      <c r="N132" s="1" t="s">
        <v>42</v>
      </c>
      <c r="O132" s="1" t="s">
        <v>56</v>
      </c>
      <c r="P132" s="1" t="s">
        <v>1507</v>
      </c>
      <c r="Q132" s="1" t="s">
        <v>1507</v>
      </c>
      <c r="R132" s="1" t="s">
        <v>1507</v>
      </c>
      <c r="S132" s="1" t="s">
        <v>1507</v>
      </c>
      <c r="T132" s="1" t="s">
        <v>1507</v>
      </c>
      <c r="U132" s="1" t="s">
        <v>11951</v>
      </c>
      <c r="V132" s="1" t="s">
        <v>11952</v>
      </c>
      <c r="W132" s="1" t="s">
        <v>11953</v>
      </c>
      <c r="X132" s="1" t="s">
        <v>11954</v>
      </c>
      <c r="Y132" s="1" t="s">
        <v>11955</v>
      </c>
      <c r="Z132" s="1" t="s">
        <v>11956</v>
      </c>
      <c r="AA132" s="1" t="s">
        <v>11957</v>
      </c>
      <c r="AB132" s="1" t="s">
        <v>11958</v>
      </c>
      <c r="AC132" s="1" t="s">
        <v>11959</v>
      </c>
      <c r="AD132" s="1" t="s">
        <v>11960</v>
      </c>
      <c r="AE132" s="1" t="s">
        <v>11961</v>
      </c>
      <c r="AF132" s="1" t="s">
        <v>11962</v>
      </c>
      <c r="AG132" s="1" t="s">
        <v>1507</v>
      </c>
      <c r="AH132" s="1">
        <v>24</v>
      </c>
      <c r="AI132" s="1">
        <v>7</v>
      </c>
      <c r="AJ132" s="1">
        <v>10</v>
      </c>
      <c r="AK132" s="1">
        <v>2</v>
      </c>
      <c r="AL132" s="1">
        <v>7</v>
      </c>
      <c r="AM132" s="1" t="s">
        <v>11963</v>
      </c>
      <c r="AN132" s="1" t="s">
        <v>6878</v>
      </c>
      <c r="AO132" s="1" t="s">
        <v>11964</v>
      </c>
      <c r="AP132" s="1" t="s">
        <v>11965</v>
      </c>
      <c r="AQ132" s="1" t="s">
        <v>11966</v>
      </c>
      <c r="AR132" s="1" t="s">
        <v>1507</v>
      </c>
      <c r="AS132" s="1" t="s">
        <v>11950</v>
      </c>
      <c r="AT132" s="1" t="s">
        <v>11967</v>
      </c>
      <c r="AU132" s="1" t="s">
        <v>11338</v>
      </c>
      <c r="AV132" s="1">
        <v>2018</v>
      </c>
      <c r="AW132" s="1">
        <v>77</v>
      </c>
      <c r="AX132" s="1">
        <v>1</v>
      </c>
      <c r="AY132" s="1" t="s">
        <v>1507</v>
      </c>
      <c r="AZ132" s="1" t="s">
        <v>1507</v>
      </c>
      <c r="BA132" s="1" t="s">
        <v>1507</v>
      </c>
      <c r="BB132" s="1" t="s">
        <v>1507</v>
      </c>
      <c r="BC132" s="1">
        <v>134</v>
      </c>
      <c r="BD132" s="1">
        <v>140</v>
      </c>
      <c r="BE132" s="1" t="s">
        <v>1507</v>
      </c>
      <c r="BF132" s="1" t="s">
        <v>11968</v>
      </c>
      <c r="BG132" s="1" t="str">
        <f>HYPERLINK("http://dx.doi.org/10.1590/1678-4499.2016307","http://dx.doi.org/10.1590/1678-4499.2016307")</f>
        <v>http://dx.doi.org/10.1590/1678-4499.2016307</v>
      </c>
      <c r="BH132" s="1" t="s">
        <v>1507</v>
      </c>
      <c r="BI132" s="1" t="s">
        <v>1507</v>
      </c>
      <c r="BJ132" s="1">
        <v>7</v>
      </c>
      <c r="BK132" s="1" t="s">
        <v>11969</v>
      </c>
      <c r="BL132" s="1" t="s">
        <v>1573</v>
      </c>
      <c r="BM132" s="1" t="s">
        <v>11970</v>
      </c>
      <c r="BN132" s="1" t="s">
        <v>11971</v>
      </c>
      <c r="BO132" s="1" t="s">
        <v>1507</v>
      </c>
      <c r="BP132" s="1" t="s">
        <v>2040</v>
      </c>
      <c r="BQ132" s="1" t="s">
        <v>1507</v>
      </c>
      <c r="BR132" s="1" t="s">
        <v>1507</v>
      </c>
      <c r="BS132" s="1" t="s">
        <v>13744</v>
      </c>
      <c r="BT132" s="1" t="s">
        <v>11972</v>
      </c>
      <c r="BU132" s="1" t="str">
        <f>HYPERLINK("https%3A%2F%2Fwww.webofscience.com%2Fwos%2Fwoscc%2Ffull-record%2FWOS:000432450500013","View Full Record in Web of Science")</f>
        <v>View Full Record in Web of Science</v>
      </c>
    </row>
    <row r="133" spans="1:73" x14ac:dyDescent="0.25">
      <c r="A133" s="1">
        <v>153</v>
      </c>
      <c r="B133" s="1" t="s">
        <v>1506</v>
      </c>
      <c r="C133" s="1" t="s">
        <v>9059</v>
      </c>
      <c r="D133" s="1" t="s">
        <v>1507</v>
      </c>
      <c r="E133" s="1" t="s">
        <v>1507</v>
      </c>
      <c r="F133" s="1" t="s">
        <v>1507</v>
      </c>
      <c r="G133" s="1" t="s">
        <v>9060</v>
      </c>
      <c r="H133" s="1" t="s">
        <v>1507</v>
      </c>
      <c r="I133" s="1" t="s">
        <v>1507</v>
      </c>
      <c r="J133" s="1" t="s">
        <v>9061</v>
      </c>
      <c r="K133" s="1" t="s">
        <v>5034</v>
      </c>
      <c r="L133" s="1" t="s">
        <v>1507</v>
      </c>
      <c r="M133" s="1" t="s">
        <v>1507</v>
      </c>
      <c r="N133" s="1" t="s">
        <v>42</v>
      </c>
      <c r="O133" s="1" t="s">
        <v>56</v>
      </c>
      <c r="P133" s="1" t="s">
        <v>1507</v>
      </c>
      <c r="Q133" s="1" t="s">
        <v>1507</v>
      </c>
      <c r="R133" s="1" t="s">
        <v>1507</v>
      </c>
      <c r="S133" s="1" t="s">
        <v>1507</v>
      </c>
      <c r="T133" s="1" t="s">
        <v>1507</v>
      </c>
      <c r="U133" s="1" t="s">
        <v>1507</v>
      </c>
      <c r="V133" s="1" t="s">
        <v>9062</v>
      </c>
      <c r="W133" s="1" t="s">
        <v>1507</v>
      </c>
      <c r="X133" s="1" t="s">
        <v>9063</v>
      </c>
      <c r="Y133" s="1" t="s">
        <v>2484</v>
      </c>
      <c r="Z133" s="1" t="s">
        <v>9064</v>
      </c>
      <c r="AA133" s="1" t="s">
        <v>1507</v>
      </c>
      <c r="AB133" s="1" t="s">
        <v>1507</v>
      </c>
      <c r="AC133" s="1" t="s">
        <v>1507</v>
      </c>
      <c r="AD133" s="1" t="s">
        <v>9065</v>
      </c>
      <c r="AE133" s="1" t="s">
        <v>9065</v>
      </c>
      <c r="AF133" s="1" t="s">
        <v>9066</v>
      </c>
      <c r="AG133" s="1" t="s">
        <v>1507</v>
      </c>
      <c r="AH133" s="1">
        <v>123</v>
      </c>
      <c r="AI133" s="1">
        <v>0</v>
      </c>
      <c r="AJ133" s="1">
        <v>0</v>
      </c>
      <c r="AK133" s="1">
        <v>0</v>
      </c>
      <c r="AL133" s="1">
        <v>0</v>
      </c>
      <c r="AM133" s="1" t="s">
        <v>3500</v>
      </c>
      <c r="AN133" s="1" t="s">
        <v>3501</v>
      </c>
      <c r="AO133" s="1" t="s">
        <v>3502</v>
      </c>
      <c r="AP133" s="1" t="s">
        <v>5041</v>
      </c>
      <c r="AQ133" s="1" t="s">
        <v>5042</v>
      </c>
      <c r="AR133" s="1" t="s">
        <v>1507</v>
      </c>
      <c r="AS133" s="1" t="s">
        <v>5043</v>
      </c>
      <c r="AT133" s="1" t="s">
        <v>5044</v>
      </c>
      <c r="AU133" s="1" t="s">
        <v>9054</v>
      </c>
      <c r="AV133" s="1">
        <v>2021</v>
      </c>
      <c r="AW133" s="1">
        <v>29</v>
      </c>
      <c r="AX133" s="1">
        <v>1</v>
      </c>
      <c r="AY133" s="1" t="s">
        <v>1507</v>
      </c>
      <c r="AZ133" s="1" t="s">
        <v>1507</v>
      </c>
      <c r="BA133" s="1" t="s">
        <v>1507</v>
      </c>
      <c r="BB133" s="1" t="s">
        <v>1507</v>
      </c>
      <c r="BC133" s="1">
        <v>1</v>
      </c>
      <c r="BD133" s="1">
        <v>39</v>
      </c>
      <c r="BE133" s="1" t="s">
        <v>1507</v>
      </c>
      <c r="BF133" s="1" t="s">
        <v>9067</v>
      </c>
      <c r="BG133" s="1" t="str">
        <f>HYPERLINK("http://dx.doi.org/10.3366/ajicl.2021.0348","http://dx.doi.org/10.3366/ajicl.2021.0348")</f>
        <v>http://dx.doi.org/10.3366/ajicl.2021.0348</v>
      </c>
      <c r="BH133" s="1" t="s">
        <v>1507</v>
      </c>
      <c r="BI133" s="1" t="s">
        <v>1507</v>
      </c>
      <c r="BJ133" s="1">
        <v>39</v>
      </c>
      <c r="BK133" s="1" t="s">
        <v>1535</v>
      </c>
      <c r="BL133" s="1" t="s">
        <v>1529</v>
      </c>
      <c r="BM133" s="1" t="s">
        <v>1536</v>
      </c>
      <c r="BN133" s="1" t="s">
        <v>9068</v>
      </c>
      <c r="BO133" s="1" t="s">
        <v>1507</v>
      </c>
      <c r="BP133" s="1" t="s">
        <v>1507</v>
      </c>
      <c r="BQ133" s="1" t="s">
        <v>1507</v>
      </c>
      <c r="BR133" s="1" t="s">
        <v>1507</v>
      </c>
      <c r="BS133" s="1" t="s">
        <v>13744</v>
      </c>
      <c r="BT133" s="1" t="s">
        <v>9069</v>
      </c>
      <c r="BU133" s="1" t="str">
        <f>HYPERLINK("https%3A%2F%2Fwww.webofscience.com%2Fwos%2Fwoscc%2Ffull-record%2FWOS:000618062900001","View Full Record in Web of Science")</f>
        <v>View Full Record in Web of Science</v>
      </c>
    </row>
    <row r="134" spans="1:73" x14ac:dyDescent="0.25">
      <c r="A134" s="1">
        <v>154</v>
      </c>
      <c r="B134" s="1" t="s">
        <v>1506</v>
      </c>
      <c r="C134" s="1" t="s">
        <v>10664</v>
      </c>
      <c r="D134" s="1" t="s">
        <v>1507</v>
      </c>
      <c r="E134" s="1" t="s">
        <v>1507</v>
      </c>
      <c r="F134" s="1" t="s">
        <v>1507</v>
      </c>
      <c r="G134" s="1" t="s">
        <v>10665</v>
      </c>
      <c r="H134" s="1" t="s">
        <v>1507</v>
      </c>
      <c r="I134" s="1" t="s">
        <v>1507</v>
      </c>
      <c r="J134" s="1" t="s">
        <v>10666</v>
      </c>
      <c r="K134" s="1" t="s">
        <v>10667</v>
      </c>
      <c r="L134" s="1" t="s">
        <v>1507</v>
      </c>
      <c r="M134" s="1" t="s">
        <v>1507</v>
      </c>
      <c r="N134" s="1" t="s">
        <v>42</v>
      </c>
      <c r="O134" s="1" t="s">
        <v>56</v>
      </c>
      <c r="P134" s="1" t="s">
        <v>1507</v>
      </c>
      <c r="Q134" s="1" t="s">
        <v>1507</v>
      </c>
      <c r="R134" s="1" t="s">
        <v>1507</v>
      </c>
      <c r="S134" s="1" t="s">
        <v>1507</v>
      </c>
      <c r="T134" s="1" t="s">
        <v>1507</v>
      </c>
      <c r="U134" s="1" t="s">
        <v>1507</v>
      </c>
      <c r="V134" s="1" t="s">
        <v>1507</v>
      </c>
      <c r="W134" s="1" t="s">
        <v>10668</v>
      </c>
      <c r="X134" s="1" t="s">
        <v>10669</v>
      </c>
      <c r="Y134" s="1" t="s">
        <v>10670</v>
      </c>
      <c r="Z134" s="1" t="s">
        <v>10671</v>
      </c>
      <c r="AA134" s="1" t="s">
        <v>10672</v>
      </c>
      <c r="AB134" s="1" t="s">
        <v>1507</v>
      </c>
      <c r="AC134" s="1" t="s">
        <v>1507</v>
      </c>
      <c r="AD134" s="1" t="s">
        <v>10673</v>
      </c>
      <c r="AE134" s="1" t="s">
        <v>10673</v>
      </c>
      <c r="AF134" s="1" t="s">
        <v>10674</v>
      </c>
      <c r="AG134" s="1" t="s">
        <v>1507</v>
      </c>
      <c r="AH134" s="1">
        <v>97</v>
      </c>
      <c r="AI134" s="1">
        <v>3</v>
      </c>
      <c r="AJ134" s="1">
        <v>3</v>
      </c>
      <c r="AK134" s="1">
        <v>1</v>
      </c>
      <c r="AL134" s="1">
        <v>11</v>
      </c>
      <c r="AM134" s="1" t="s">
        <v>1559</v>
      </c>
      <c r="AN134" s="1" t="s">
        <v>1560</v>
      </c>
      <c r="AO134" s="1" t="s">
        <v>1561</v>
      </c>
      <c r="AP134" s="1" t="s">
        <v>10675</v>
      </c>
      <c r="AQ134" s="1" t="s">
        <v>10676</v>
      </c>
      <c r="AR134" s="1" t="s">
        <v>1507</v>
      </c>
      <c r="AS134" s="1" t="s">
        <v>10677</v>
      </c>
      <c r="AT134" s="1" t="s">
        <v>10678</v>
      </c>
      <c r="AU134" s="1" t="s">
        <v>3992</v>
      </c>
      <c r="AV134" s="1">
        <v>2019</v>
      </c>
      <c r="AW134" s="1">
        <v>82</v>
      </c>
      <c r="AX134" s="1">
        <v>5</v>
      </c>
      <c r="AY134" s="1" t="s">
        <v>1507</v>
      </c>
      <c r="AZ134" s="1" t="s">
        <v>1507</v>
      </c>
      <c r="BA134" s="1" t="s">
        <v>1507</v>
      </c>
      <c r="BB134" s="1" t="s">
        <v>1507</v>
      </c>
      <c r="BC134" s="1">
        <v>800</v>
      </c>
      <c r="BD134" s="1">
        <v>832</v>
      </c>
      <c r="BE134" s="1" t="s">
        <v>1507</v>
      </c>
      <c r="BF134" s="1" t="s">
        <v>10679</v>
      </c>
      <c r="BG134" s="1" t="str">
        <f>HYPERLINK("http://dx.doi.org/10.1111/1468-2230.12438","http://dx.doi.org/10.1111/1468-2230.12438")</f>
        <v>http://dx.doi.org/10.1111/1468-2230.12438</v>
      </c>
      <c r="BH134" s="1" t="s">
        <v>1507</v>
      </c>
      <c r="BI134" s="1" t="s">
        <v>1507</v>
      </c>
      <c r="BJ134" s="1">
        <v>33</v>
      </c>
      <c r="BK134" s="1" t="s">
        <v>1535</v>
      </c>
      <c r="BL134" s="1" t="s">
        <v>1518</v>
      </c>
      <c r="BM134" s="1" t="s">
        <v>1536</v>
      </c>
      <c r="BN134" s="1" t="s">
        <v>10680</v>
      </c>
      <c r="BO134" s="1" t="s">
        <v>1507</v>
      </c>
      <c r="BP134" s="1" t="s">
        <v>1507</v>
      </c>
      <c r="BQ134" s="1" t="s">
        <v>1507</v>
      </c>
      <c r="BR134" s="1" t="s">
        <v>1507</v>
      </c>
      <c r="BS134" s="1" t="s">
        <v>13744</v>
      </c>
      <c r="BT134" s="1" t="s">
        <v>10681</v>
      </c>
      <c r="BU134" s="1" t="str">
        <f>HYPERLINK("https%3A%2F%2Fwww.webofscience.com%2Fwos%2Fwoscc%2Ffull-record%2FWOS:000481580500002","View Full Record in Web of Science")</f>
        <v>View Full Record in Web of Science</v>
      </c>
    </row>
    <row r="135" spans="1:73" x14ac:dyDescent="0.25">
      <c r="A135" s="1">
        <v>155</v>
      </c>
      <c r="B135" s="1" t="s">
        <v>1506</v>
      </c>
      <c r="C135" s="1" t="s">
        <v>3357</v>
      </c>
      <c r="D135" s="1" t="s">
        <v>1507</v>
      </c>
      <c r="E135" s="1" t="s">
        <v>1507</v>
      </c>
      <c r="F135" s="1" t="s">
        <v>1507</v>
      </c>
      <c r="G135" s="1" t="s">
        <v>3358</v>
      </c>
      <c r="H135" s="1" t="s">
        <v>1507</v>
      </c>
      <c r="I135" s="1" t="s">
        <v>1507</v>
      </c>
      <c r="J135" s="1" t="s">
        <v>3359</v>
      </c>
      <c r="K135" s="1" t="s">
        <v>2874</v>
      </c>
      <c r="L135" s="1" t="s">
        <v>1507</v>
      </c>
      <c r="M135" s="1" t="s">
        <v>1507</v>
      </c>
      <c r="N135" s="1" t="s">
        <v>42</v>
      </c>
      <c r="O135" s="1" t="s">
        <v>56</v>
      </c>
      <c r="P135" s="1" t="s">
        <v>1507</v>
      </c>
      <c r="Q135" s="1" t="s">
        <v>1507</v>
      </c>
      <c r="R135" s="1" t="s">
        <v>1507</v>
      </c>
      <c r="S135" s="1" t="s">
        <v>1507</v>
      </c>
      <c r="T135" s="1" t="s">
        <v>1507</v>
      </c>
      <c r="U135" s="1" t="s">
        <v>3360</v>
      </c>
      <c r="V135" s="1" t="s">
        <v>3361</v>
      </c>
      <c r="W135" s="1" t="s">
        <v>3362</v>
      </c>
      <c r="X135" s="1" t="s">
        <v>3363</v>
      </c>
      <c r="Y135" s="1" t="s">
        <v>3364</v>
      </c>
      <c r="Z135" s="1" t="s">
        <v>3365</v>
      </c>
      <c r="AA135" s="1" t="s">
        <v>3366</v>
      </c>
      <c r="AB135" s="1" t="s">
        <v>14300</v>
      </c>
      <c r="AC135" s="1" t="s">
        <v>14301</v>
      </c>
      <c r="AD135" s="1" t="s">
        <v>3367</v>
      </c>
      <c r="AE135" s="1" t="s">
        <v>3368</v>
      </c>
      <c r="AF135" s="1" t="s">
        <v>3369</v>
      </c>
      <c r="AG135" s="1" t="s">
        <v>1507</v>
      </c>
      <c r="AH135" s="1">
        <v>63</v>
      </c>
      <c r="AI135" s="1">
        <v>2</v>
      </c>
      <c r="AJ135" s="1">
        <v>2</v>
      </c>
      <c r="AK135" s="1">
        <v>23</v>
      </c>
      <c r="AL135" s="1">
        <v>28</v>
      </c>
      <c r="AM135" s="1" t="s">
        <v>2883</v>
      </c>
      <c r="AN135" s="1" t="s">
        <v>1512</v>
      </c>
      <c r="AO135" s="1" t="s">
        <v>2884</v>
      </c>
      <c r="AP135" s="1" t="s">
        <v>2885</v>
      </c>
      <c r="AQ135" s="1" t="s">
        <v>2886</v>
      </c>
      <c r="AR135" s="1" t="s">
        <v>1507</v>
      </c>
      <c r="AS135" s="1" t="s">
        <v>2887</v>
      </c>
      <c r="AT135" s="1" t="s">
        <v>2888</v>
      </c>
      <c r="AU135" s="1" t="s">
        <v>3992</v>
      </c>
      <c r="AV135" s="1">
        <v>2023</v>
      </c>
      <c r="AW135" s="1">
        <v>20</v>
      </c>
      <c r="AX135" s="1">
        <v>9</v>
      </c>
      <c r="AY135" s="1" t="s">
        <v>1507</v>
      </c>
      <c r="AZ135" s="1" t="s">
        <v>1507</v>
      </c>
      <c r="BA135" s="1" t="s">
        <v>1507</v>
      </c>
      <c r="BB135" s="1" t="s">
        <v>1507</v>
      </c>
      <c r="BC135" s="1">
        <v>877</v>
      </c>
      <c r="BD135" s="1">
        <v>885</v>
      </c>
      <c r="BE135" s="1" t="s">
        <v>1507</v>
      </c>
      <c r="BF135" s="1" t="s">
        <v>3370</v>
      </c>
      <c r="BG135" s="1" t="str">
        <f>HYPERLINK("http://dx.doi.org/10.1016/j.jacr.2023.07.007","http://dx.doi.org/10.1016/j.jacr.2023.07.007")</f>
        <v>http://dx.doi.org/10.1016/j.jacr.2023.07.007</v>
      </c>
      <c r="BH135" s="1" t="s">
        <v>1507</v>
      </c>
      <c r="BI135" s="1" t="s">
        <v>2891</v>
      </c>
      <c r="BJ135" s="1">
        <v>9</v>
      </c>
      <c r="BK135" s="1" t="s">
        <v>1653</v>
      </c>
      <c r="BL135" s="1" t="s">
        <v>1573</v>
      </c>
      <c r="BM135" s="1" t="s">
        <v>1653</v>
      </c>
      <c r="BN135" s="1" t="s">
        <v>3371</v>
      </c>
      <c r="BO135" s="1">
        <v>37467871</v>
      </c>
      <c r="BP135" s="1" t="s">
        <v>1507</v>
      </c>
      <c r="BQ135" s="1" t="s">
        <v>1507</v>
      </c>
      <c r="BR135" s="1" t="s">
        <v>1507</v>
      </c>
      <c r="BS135" s="1" t="s">
        <v>13744</v>
      </c>
      <c r="BT135" s="1" t="s">
        <v>3372</v>
      </c>
      <c r="BU135" s="1" t="str">
        <f>HYPERLINK("https%3A%2F%2Fwww.webofscience.com%2Fwos%2Fwoscc%2Ffull-record%2FWOS:001089157200001","View Full Record in Web of Science")</f>
        <v>View Full Record in Web of Science</v>
      </c>
    </row>
    <row r="136" spans="1:73" x14ac:dyDescent="0.25">
      <c r="A136" s="1">
        <v>156</v>
      </c>
      <c r="B136" s="1" t="s">
        <v>1506</v>
      </c>
      <c r="C136" s="1" t="s">
        <v>8642</v>
      </c>
      <c r="D136" s="1" t="s">
        <v>1507</v>
      </c>
      <c r="E136" s="1" t="s">
        <v>1507</v>
      </c>
      <c r="F136" s="1" t="s">
        <v>1507</v>
      </c>
      <c r="G136" s="1" t="s">
        <v>8643</v>
      </c>
      <c r="H136" s="1" t="s">
        <v>1507</v>
      </c>
      <c r="I136" s="1" t="s">
        <v>1507</v>
      </c>
      <c r="J136" s="1" t="s">
        <v>8644</v>
      </c>
      <c r="K136" s="1" t="s">
        <v>8645</v>
      </c>
      <c r="L136" s="1" t="s">
        <v>1507</v>
      </c>
      <c r="M136" s="1" t="s">
        <v>1507</v>
      </c>
      <c r="N136" s="1" t="s">
        <v>42</v>
      </c>
      <c r="O136" s="1" t="s">
        <v>56</v>
      </c>
      <c r="P136" s="1" t="s">
        <v>1507</v>
      </c>
      <c r="Q136" s="1" t="s">
        <v>1507</v>
      </c>
      <c r="R136" s="1" t="s">
        <v>1507</v>
      </c>
      <c r="S136" s="1" t="s">
        <v>1507</v>
      </c>
      <c r="T136" s="1" t="s">
        <v>1507</v>
      </c>
      <c r="U136" s="1" t="s">
        <v>1507</v>
      </c>
      <c r="V136" s="1" t="s">
        <v>8646</v>
      </c>
      <c r="W136" s="1" t="s">
        <v>8647</v>
      </c>
      <c r="X136" s="1" t="s">
        <v>8648</v>
      </c>
      <c r="Y136" s="1" t="s">
        <v>8649</v>
      </c>
      <c r="Z136" s="1" t="s">
        <v>8650</v>
      </c>
      <c r="AA136" s="1" t="s">
        <v>8651</v>
      </c>
      <c r="AB136" s="1" t="s">
        <v>1507</v>
      </c>
      <c r="AC136" s="1" t="s">
        <v>8652</v>
      </c>
      <c r="AD136" s="1" t="s">
        <v>8653</v>
      </c>
      <c r="AE136" s="1" t="s">
        <v>8654</v>
      </c>
      <c r="AF136" s="1" t="s">
        <v>8655</v>
      </c>
      <c r="AG136" s="1" t="s">
        <v>1507</v>
      </c>
      <c r="AH136" s="1">
        <v>19</v>
      </c>
      <c r="AI136" s="1">
        <v>1</v>
      </c>
      <c r="AJ136" s="1">
        <v>1</v>
      </c>
      <c r="AK136" s="1">
        <v>0</v>
      </c>
      <c r="AL136" s="1">
        <v>1</v>
      </c>
      <c r="AM136" s="1" t="s">
        <v>1582</v>
      </c>
      <c r="AN136" s="1" t="s">
        <v>1583</v>
      </c>
      <c r="AO136" s="1" t="s">
        <v>1584</v>
      </c>
      <c r="AP136" s="1" t="s">
        <v>8656</v>
      </c>
      <c r="AQ136" s="1" t="s">
        <v>8657</v>
      </c>
      <c r="AR136" s="1" t="s">
        <v>1507</v>
      </c>
      <c r="AS136" s="1" t="s">
        <v>8658</v>
      </c>
      <c r="AT136" s="1" t="s">
        <v>8659</v>
      </c>
      <c r="AU136" s="1" t="s">
        <v>3992</v>
      </c>
      <c r="AV136" s="1">
        <v>2021</v>
      </c>
      <c r="AW136" s="1">
        <v>19</v>
      </c>
      <c r="AX136" s="1">
        <v>4</v>
      </c>
      <c r="AY136" s="1" t="s">
        <v>1507</v>
      </c>
      <c r="AZ136" s="1" t="s">
        <v>1507</v>
      </c>
      <c r="BA136" s="1" t="s">
        <v>1507</v>
      </c>
      <c r="BB136" s="1" t="s">
        <v>1507</v>
      </c>
      <c r="BC136" s="1">
        <v>877</v>
      </c>
      <c r="BD136" s="1">
        <v>892</v>
      </c>
      <c r="BE136" s="1" t="s">
        <v>1507</v>
      </c>
      <c r="BF136" s="1" t="s">
        <v>8660</v>
      </c>
      <c r="BG136" s="1" t="str">
        <f>HYPERLINK("http://dx.doi.org/10.1093/jicj/mqab019","http://dx.doi.org/10.1093/jicj/mqab019")</f>
        <v>http://dx.doi.org/10.1093/jicj/mqab019</v>
      </c>
      <c r="BH136" s="1" t="s">
        <v>1507</v>
      </c>
      <c r="BI136" s="1" t="s">
        <v>8618</v>
      </c>
      <c r="BJ136" s="1">
        <v>15</v>
      </c>
      <c r="BK136" s="1" t="s">
        <v>1535</v>
      </c>
      <c r="BL136" s="1" t="s">
        <v>1518</v>
      </c>
      <c r="BM136" s="1" t="s">
        <v>1536</v>
      </c>
      <c r="BN136" s="1" t="s">
        <v>8661</v>
      </c>
      <c r="BO136" s="1" t="s">
        <v>1507</v>
      </c>
      <c r="BP136" s="1" t="s">
        <v>1507</v>
      </c>
      <c r="BQ136" s="1" t="s">
        <v>1507</v>
      </c>
      <c r="BR136" s="1" t="s">
        <v>1507</v>
      </c>
      <c r="BS136" s="1" t="s">
        <v>13744</v>
      </c>
      <c r="BT136" s="1" t="s">
        <v>8662</v>
      </c>
      <c r="BU136" s="1" t="str">
        <f>HYPERLINK("https%3A%2F%2Fwww.webofscience.com%2Fwos%2Fwoscc%2Ffull-record%2FWOS:000743963800008","View Full Record in Web of Science")</f>
        <v>View Full Record in Web of Science</v>
      </c>
    </row>
    <row r="137" spans="1:73" x14ac:dyDescent="0.25">
      <c r="A137" s="1">
        <v>157</v>
      </c>
      <c r="B137" s="1" t="s">
        <v>1506</v>
      </c>
      <c r="C137" s="1" t="s">
        <v>8944</v>
      </c>
      <c r="D137" s="1" t="s">
        <v>1507</v>
      </c>
      <c r="E137" s="1" t="s">
        <v>1507</v>
      </c>
      <c r="F137" s="1" t="s">
        <v>1507</v>
      </c>
      <c r="G137" s="1" t="s">
        <v>8945</v>
      </c>
      <c r="H137" s="1" t="s">
        <v>1507</v>
      </c>
      <c r="I137" s="1" t="s">
        <v>1507</v>
      </c>
      <c r="J137" s="1" t="s">
        <v>8946</v>
      </c>
      <c r="K137" s="1" t="s">
        <v>8947</v>
      </c>
      <c r="L137" s="1" t="s">
        <v>1507</v>
      </c>
      <c r="M137" s="1" t="s">
        <v>1507</v>
      </c>
      <c r="N137" s="1" t="s">
        <v>42</v>
      </c>
      <c r="O137" s="1" t="s">
        <v>56</v>
      </c>
      <c r="P137" s="1" t="s">
        <v>1507</v>
      </c>
      <c r="Q137" s="1" t="s">
        <v>1507</v>
      </c>
      <c r="R137" s="1" t="s">
        <v>1507</v>
      </c>
      <c r="S137" s="1" t="s">
        <v>1507</v>
      </c>
      <c r="T137" s="1" t="s">
        <v>1507</v>
      </c>
      <c r="U137" s="1" t="s">
        <v>8948</v>
      </c>
      <c r="V137" s="1" t="s">
        <v>8949</v>
      </c>
      <c r="W137" s="1" t="s">
        <v>8950</v>
      </c>
      <c r="X137" s="1" t="s">
        <v>8951</v>
      </c>
      <c r="Y137" s="1" t="s">
        <v>8952</v>
      </c>
      <c r="Z137" s="1" t="s">
        <v>8953</v>
      </c>
      <c r="AA137" s="1" t="s">
        <v>8954</v>
      </c>
      <c r="AB137" s="1" t="s">
        <v>8955</v>
      </c>
      <c r="AC137" s="1" t="s">
        <v>8956</v>
      </c>
      <c r="AD137" s="1" t="s">
        <v>8957</v>
      </c>
      <c r="AE137" s="1" t="s">
        <v>8958</v>
      </c>
      <c r="AF137" s="1" t="s">
        <v>8959</v>
      </c>
      <c r="AG137" s="1" t="s">
        <v>1507</v>
      </c>
      <c r="AH137" s="1">
        <v>36</v>
      </c>
      <c r="AI137" s="1">
        <v>7</v>
      </c>
      <c r="AJ137" s="1">
        <v>8</v>
      </c>
      <c r="AK137" s="1">
        <v>2</v>
      </c>
      <c r="AL137" s="1">
        <v>30</v>
      </c>
      <c r="AM137" s="1" t="s">
        <v>8960</v>
      </c>
      <c r="AN137" s="1" t="s">
        <v>8961</v>
      </c>
      <c r="AO137" s="1" t="s">
        <v>8962</v>
      </c>
      <c r="AP137" s="1" t="s">
        <v>8963</v>
      </c>
      <c r="AQ137" s="1" t="s">
        <v>8964</v>
      </c>
      <c r="AR137" s="1" t="s">
        <v>1507</v>
      </c>
      <c r="AS137" s="1" t="s">
        <v>8947</v>
      </c>
      <c r="AT137" s="1" t="s">
        <v>8965</v>
      </c>
      <c r="AU137" s="1" t="s">
        <v>5362</v>
      </c>
      <c r="AV137" s="1">
        <v>2021</v>
      </c>
      <c r="AW137" s="1">
        <v>111</v>
      </c>
      <c r="AX137" s="1">
        <v>3</v>
      </c>
      <c r="AY137" s="1" t="s">
        <v>1507</v>
      </c>
      <c r="AZ137" s="1" t="s">
        <v>1507</v>
      </c>
      <c r="BA137" s="1" t="s">
        <v>1507</v>
      </c>
      <c r="BB137" s="1" t="s">
        <v>1507</v>
      </c>
      <c r="BC137" s="1">
        <v>478</v>
      </c>
      <c r="BD137" s="1">
        <v>484</v>
      </c>
      <c r="BE137" s="1" t="s">
        <v>1507</v>
      </c>
      <c r="BF137" s="1" t="s">
        <v>8966</v>
      </c>
      <c r="BG137" s="1" t="str">
        <f>HYPERLINK("http://dx.doi.org/10.1094/PHYTO-07-20-0268-R","http://dx.doi.org/10.1094/PHYTO-07-20-0268-R")</f>
        <v>http://dx.doi.org/10.1094/PHYTO-07-20-0268-R</v>
      </c>
      <c r="BH137" s="1" t="s">
        <v>1507</v>
      </c>
      <c r="BI137" s="1" t="s">
        <v>1507</v>
      </c>
      <c r="BJ137" s="1">
        <v>7</v>
      </c>
      <c r="BK137" s="1" t="s">
        <v>2914</v>
      </c>
      <c r="BL137" s="1" t="s">
        <v>1573</v>
      </c>
      <c r="BM137" s="1" t="s">
        <v>2914</v>
      </c>
      <c r="BN137" s="1" t="s">
        <v>8967</v>
      </c>
      <c r="BO137" s="1">
        <v>33044131</v>
      </c>
      <c r="BP137" s="1" t="s">
        <v>1537</v>
      </c>
      <c r="BQ137" s="1" t="s">
        <v>1507</v>
      </c>
      <c r="BR137" s="1" t="s">
        <v>1507</v>
      </c>
      <c r="BS137" s="1" t="s">
        <v>13744</v>
      </c>
      <c r="BT137" s="1" t="s">
        <v>8968</v>
      </c>
      <c r="BU137" s="1" t="str">
        <f>HYPERLINK("https%3A%2F%2Fwww.webofscience.com%2Fwos%2Fwoscc%2Ffull-record%2FWOS:000631080100006","View Full Record in Web of Science")</f>
        <v>View Full Record in Web of Science</v>
      </c>
    </row>
    <row r="138" spans="1:73" x14ac:dyDescent="0.25">
      <c r="A138" s="1">
        <v>158</v>
      </c>
      <c r="B138" s="1" t="s">
        <v>5546</v>
      </c>
      <c r="C138" s="1" t="s">
        <v>14944</v>
      </c>
      <c r="D138" s="1" t="s">
        <v>1507</v>
      </c>
      <c r="E138" s="1" t="s">
        <v>1507</v>
      </c>
      <c r="F138" s="1" t="s">
        <v>5548</v>
      </c>
      <c r="G138" s="1" t="s">
        <v>14945</v>
      </c>
      <c r="H138" s="1" t="s">
        <v>1507</v>
      </c>
      <c r="I138" s="1" t="s">
        <v>1507</v>
      </c>
      <c r="J138" s="1" t="s">
        <v>776</v>
      </c>
      <c r="K138" s="1" t="s">
        <v>14946</v>
      </c>
      <c r="L138" s="1" t="s">
        <v>1507</v>
      </c>
      <c r="M138" s="1" t="s">
        <v>1507</v>
      </c>
      <c r="N138" s="1" t="s">
        <v>42</v>
      </c>
      <c r="O138" s="1" t="s">
        <v>5552</v>
      </c>
      <c r="P138" s="1" t="s">
        <v>14947</v>
      </c>
      <c r="Q138" s="1" t="s">
        <v>6409</v>
      </c>
      <c r="R138" s="1" t="s">
        <v>14948</v>
      </c>
      <c r="S138" s="1" t="s">
        <v>14949</v>
      </c>
      <c r="T138" s="1" t="s">
        <v>1507</v>
      </c>
      <c r="U138" s="1" t="s">
        <v>14950</v>
      </c>
      <c r="V138" s="1" t="s">
        <v>1507</v>
      </c>
      <c r="W138" s="1" t="s">
        <v>14951</v>
      </c>
      <c r="X138" s="1" t="s">
        <v>14952</v>
      </c>
      <c r="Y138" s="1" t="s">
        <v>14953</v>
      </c>
      <c r="Z138" s="1" t="s">
        <v>14954</v>
      </c>
      <c r="AA138" s="1" t="s">
        <v>14955</v>
      </c>
      <c r="AB138" s="1" t="s">
        <v>1507</v>
      </c>
      <c r="AC138" s="1" t="s">
        <v>14956</v>
      </c>
      <c r="AD138" s="1" t="s">
        <v>1507</v>
      </c>
      <c r="AE138" s="1" t="s">
        <v>1507</v>
      </c>
      <c r="AF138" s="1" t="s">
        <v>1507</v>
      </c>
      <c r="AG138" s="1" t="s">
        <v>1507</v>
      </c>
      <c r="AH138" s="1">
        <v>18</v>
      </c>
      <c r="AI138" s="1">
        <v>0</v>
      </c>
      <c r="AJ138" s="1">
        <v>0</v>
      </c>
      <c r="AK138" s="1">
        <v>3</v>
      </c>
      <c r="AL138" s="1">
        <v>3</v>
      </c>
      <c r="AM138" s="1" t="s">
        <v>5565</v>
      </c>
      <c r="AN138" s="1" t="s">
        <v>1512</v>
      </c>
      <c r="AO138" s="1" t="s">
        <v>5566</v>
      </c>
      <c r="AP138" s="1" t="s">
        <v>1507</v>
      </c>
      <c r="AQ138" s="1" t="s">
        <v>1507</v>
      </c>
      <c r="AR138" s="1" t="s">
        <v>14957</v>
      </c>
      <c r="AS138" s="1" t="s">
        <v>1507</v>
      </c>
      <c r="AT138" s="1" t="s">
        <v>1507</v>
      </c>
      <c r="AU138" s="1" t="s">
        <v>1507</v>
      </c>
      <c r="AV138" s="1">
        <v>2023</v>
      </c>
      <c r="AW138" s="1" t="s">
        <v>1507</v>
      </c>
      <c r="AX138" s="1" t="s">
        <v>1507</v>
      </c>
      <c r="AY138" s="1" t="s">
        <v>1507</v>
      </c>
      <c r="AZ138" s="1" t="s">
        <v>1507</v>
      </c>
      <c r="BA138" s="1" t="s">
        <v>1507</v>
      </c>
      <c r="BB138" s="1" t="s">
        <v>1507</v>
      </c>
      <c r="BC138" s="1">
        <v>3947</v>
      </c>
      <c r="BD138" s="1">
        <v>3955</v>
      </c>
      <c r="BE138" s="1" t="s">
        <v>1507</v>
      </c>
      <c r="BF138" s="1" t="s">
        <v>778</v>
      </c>
      <c r="BG138" s="1" t="str">
        <f>HYPERLINK("http://dx.doi.org/10.1145/3580305.3599827","http://dx.doi.org/10.1145/3580305.3599827")</f>
        <v>http://dx.doi.org/10.1145/3580305.3599827</v>
      </c>
      <c r="BH138" s="1" t="s">
        <v>1507</v>
      </c>
      <c r="BI138" s="1" t="s">
        <v>1507</v>
      </c>
      <c r="BJ138" s="1">
        <v>9</v>
      </c>
      <c r="BK138" s="1" t="s">
        <v>14958</v>
      </c>
      <c r="BL138" s="1" t="s">
        <v>5570</v>
      </c>
      <c r="BM138" s="1" t="s">
        <v>1577</v>
      </c>
      <c r="BN138" s="1" t="s">
        <v>14959</v>
      </c>
      <c r="BO138" s="1" t="s">
        <v>1507</v>
      </c>
      <c r="BP138" s="1" t="s">
        <v>2574</v>
      </c>
      <c r="BQ138" s="1" t="s">
        <v>1507</v>
      </c>
      <c r="BR138" s="1" t="s">
        <v>1507</v>
      </c>
      <c r="BS138" s="1" t="s">
        <v>13744</v>
      </c>
      <c r="BT138" s="1" t="s">
        <v>14960</v>
      </c>
      <c r="BU138" s="1" t="str">
        <f>HYPERLINK("https%3A%2F%2Fwww.webofscience.com%2Fwos%2Fwoscc%2Ffull-record%2FWOS:001118896303086","View Full Record in Web of Science")</f>
        <v>View Full Record in Web of Science</v>
      </c>
    </row>
    <row r="139" spans="1:73" x14ac:dyDescent="0.25">
      <c r="A139" s="1">
        <v>159</v>
      </c>
      <c r="B139" s="1" t="s">
        <v>1506</v>
      </c>
      <c r="C139" s="1" t="s">
        <v>8621</v>
      </c>
      <c r="D139" s="1" t="s">
        <v>1507</v>
      </c>
      <c r="E139" s="1" t="s">
        <v>1507</v>
      </c>
      <c r="F139" s="1" t="s">
        <v>1507</v>
      </c>
      <c r="G139" s="1" t="s">
        <v>8622</v>
      </c>
      <c r="H139" s="1" t="s">
        <v>1507</v>
      </c>
      <c r="I139" s="1" t="s">
        <v>1507</v>
      </c>
      <c r="J139" s="1" t="s">
        <v>8623</v>
      </c>
      <c r="K139" s="1" t="s">
        <v>8624</v>
      </c>
      <c r="L139" s="1" t="s">
        <v>1507</v>
      </c>
      <c r="M139" s="1" t="s">
        <v>1507</v>
      </c>
      <c r="N139" s="1" t="s">
        <v>42</v>
      </c>
      <c r="O139" s="1" t="s">
        <v>56</v>
      </c>
      <c r="P139" s="1" t="s">
        <v>1507</v>
      </c>
      <c r="Q139" s="1" t="s">
        <v>1507</v>
      </c>
      <c r="R139" s="1" t="s">
        <v>1507</v>
      </c>
      <c r="S139" s="1" t="s">
        <v>1507</v>
      </c>
      <c r="T139" s="1" t="s">
        <v>1507</v>
      </c>
      <c r="U139" s="1" t="s">
        <v>8625</v>
      </c>
      <c r="V139" s="1" t="s">
        <v>8626</v>
      </c>
      <c r="W139" s="1" t="s">
        <v>8627</v>
      </c>
      <c r="X139" s="1" t="s">
        <v>8628</v>
      </c>
      <c r="Y139" s="1" t="s">
        <v>7634</v>
      </c>
      <c r="Z139" s="1" t="s">
        <v>8629</v>
      </c>
      <c r="AA139" s="1" t="s">
        <v>8630</v>
      </c>
      <c r="AB139" s="1" t="s">
        <v>1507</v>
      </c>
      <c r="AC139" s="1" t="s">
        <v>8631</v>
      </c>
      <c r="AD139" s="1" t="s">
        <v>8632</v>
      </c>
      <c r="AE139" s="1" t="s">
        <v>8633</v>
      </c>
      <c r="AF139" s="1" t="s">
        <v>8634</v>
      </c>
      <c r="AG139" s="1" t="s">
        <v>1507</v>
      </c>
      <c r="AH139" s="1">
        <v>51</v>
      </c>
      <c r="AI139" s="1">
        <v>2</v>
      </c>
      <c r="AJ139" s="1">
        <v>2</v>
      </c>
      <c r="AK139" s="1">
        <v>4</v>
      </c>
      <c r="AL139" s="1">
        <v>21</v>
      </c>
      <c r="AM139" s="1" t="s">
        <v>1532</v>
      </c>
      <c r="AN139" s="1" t="s">
        <v>1533</v>
      </c>
      <c r="AO139" s="1" t="s">
        <v>1534</v>
      </c>
      <c r="AP139" s="1" t="s">
        <v>8635</v>
      </c>
      <c r="AQ139" s="1" t="s">
        <v>8636</v>
      </c>
      <c r="AR139" s="1" t="s">
        <v>1507</v>
      </c>
      <c r="AS139" s="1" t="s">
        <v>8637</v>
      </c>
      <c r="AT139" s="1" t="s">
        <v>8638</v>
      </c>
      <c r="AU139" s="1" t="s">
        <v>4721</v>
      </c>
      <c r="AV139" s="1">
        <v>2021</v>
      </c>
      <c r="AW139" s="1">
        <v>28</v>
      </c>
      <c r="AX139" s="1">
        <v>24</v>
      </c>
      <c r="AY139" s="1" t="s">
        <v>1507</v>
      </c>
      <c r="AZ139" s="1" t="s">
        <v>1507</v>
      </c>
      <c r="BA139" s="1" t="s">
        <v>1507</v>
      </c>
      <c r="BB139" s="1" t="s">
        <v>1507</v>
      </c>
      <c r="BC139" s="1">
        <v>32066</v>
      </c>
      <c r="BD139" s="1">
        <v>32073</v>
      </c>
      <c r="BE139" s="1" t="s">
        <v>1507</v>
      </c>
      <c r="BF139" s="1" t="s">
        <v>8639</v>
      </c>
      <c r="BG139" s="1" t="str">
        <f>HYPERLINK("http://dx.doi.org/10.1007/s11356-021-14351-1","http://dx.doi.org/10.1007/s11356-021-14351-1")</f>
        <v>http://dx.doi.org/10.1007/s11356-021-14351-1</v>
      </c>
      <c r="BH139" s="1" t="s">
        <v>1507</v>
      </c>
      <c r="BI139" s="1" t="s">
        <v>8618</v>
      </c>
      <c r="BJ139" s="1">
        <v>8</v>
      </c>
      <c r="BK139" s="1" t="s">
        <v>7038</v>
      </c>
      <c r="BL139" s="1" t="s">
        <v>1573</v>
      </c>
      <c r="BM139" s="1" t="s">
        <v>1839</v>
      </c>
      <c r="BN139" s="1" t="s">
        <v>8640</v>
      </c>
      <c r="BO139" s="1">
        <v>33982254</v>
      </c>
      <c r="BP139" s="1" t="s">
        <v>1507</v>
      </c>
      <c r="BQ139" s="1" t="s">
        <v>1507</v>
      </c>
      <c r="BR139" s="1" t="s">
        <v>1507</v>
      </c>
      <c r="BS139" s="1" t="s">
        <v>13744</v>
      </c>
      <c r="BT139" s="1" t="s">
        <v>8641</v>
      </c>
      <c r="BU139" s="1" t="str">
        <f>HYPERLINK("https%3A%2F%2Fwww.webofscience.com%2Fwos%2Fwoscc%2Ffull-record%2FWOS:000650138500002","View Full Record in Web of Science")</f>
        <v>View Full Record in Web of Science</v>
      </c>
    </row>
    <row r="140" spans="1:73" x14ac:dyDescent="0.25">
      <c r="A140" s="1">
        <v>160</v>
      </c>
      <c r="B140" s="1" t="s">
        <v>1506</v>
      </c>
      <c r="C140" s="1" t="s">
        <v>9454</v>
      </c>
      <c r="D140" s="1" t="s">
        <v>1507</v>
      </c>
      <c r="E140" s="1" t="s">
        <v>1507</v>
      </c>
      <c r="F140" s="1" t="s">
        <v>1507</v>
      </c>
      <c r="G140" s="1" t="s">
        <v>9455</v>
      </c>
      <c r="H140" s="1" t="s">
        <v>1507</v>
      </c>
      <c r="I140" s="1" t="s">
        <v>1507</v>
      </c>
      <c r="J140" s="1" t="s">
        <v>9456</v>
      </c>
      <c r="K140" s="1" t="s">
        <v>9457</v>
      </c>
      <c r="L140" s="1" t="s">
        <v>1507</v>
      </c>
      <c r="M140" s="1" t="s">
        <v>1507</v>
      </c>
      <c r="N140" s="1" t="s">
        <v>42</v>
      </c>
      <c r="O140" s="1" t="s">
        <v>56</v>
      </c>
      <c r="P140" s="1" t="s">
        <v>1507</v>
      </c>
      <c r="Q140" s="1" t="s">
        <v>1507</v>
      </c>
      <c r="R140" s="1" t="s">
        <v>1507</v>
      </c>
      <c r="S140" s="1" t="s">
        <v>1507</v>
      </c>
      <c r="T140" s="1" t="s">
        <v>1507</v>
      </c>
      <c r="U140" s="1" t="s">
        <v>9458</v>
      </c>
      <c r="V140" s="1" t="s">
        <v>9459</v>
      </c>
      <c r="W140" s="1" t="s">
        <v>9460</v>
      </c>
      <c r="X140" s="1" t="s">
        <v>9461</v>
      </c>
      <c r="Y140" s="1" t="s">
        <v>9462</v>
      </c>
      <c r="Z140" s="1" t="s">
        <v>9463</v>
      </c>
      <c r="AA140" s="1" t="s">
        <v>4822</v>
      </c>
      <c r="AB140" s="1" t="s">
        <v>8955</v>
      </c>
      <c r="AC140" s="1" t="s">
        <v>15793</v>
      </c>
      <c r="AD140" s="1" t="s">
        <v>9464</v>
      </c>
      <c r="AE140" s="1" t="s">
        <v>9465</v>
      </c>
      <c r="AF140" s="1" t="s">
        <v>9466</v>
      </c>
      <c r="AG140" s="1" t="s">
        <v>1507</v>
      </c>
      <c r="AH140" s="1">
        <v>56</v>
      </c>
      <c r="AI140" s="1">
        <v>8</v>
      </c>
      <c r="AJ140" s="1">
        <v>9</v>
      </c>
      <c r="AK140" s="1">
        <v>1</v>
      </c>
      <c r="AL140" s="1">
        <v>17</v>
      </c>
      <c r="AM140" s="1" t="s">
        <v>8960</v>
      </c>
      <c r="AN140" s="1" t="s">
        <v>8961</v>
      </c>
      <c r="AO140" s="1" t="s">
        <v>8962</v>
      </c>
      <c r="AP140" s="1" t="s">
        <v>9467</v>
      </c>
      <c r="AQ140" s="1" t="s">
        <v>9468</v>
      </c>
      <c r="AR140" s="1" t="s">
        <v>1507</v>
      </c>
      <c r="AS140" s="1" t="s">
        <v>9469</v>
      </c>
      <c r="AT140" s="1" t="s">
        <v>9470</v>
      </c>
      <c r="AU140" s="1" t="s">
        <v>2771</v>
      </c>
      <c r="AV140" s="1">
        <v>2020</v>
      </c>
      <c r="AW140" s="1">
        <v>104</v>
      </c>
      <c r="AX140" s="1">
        <v>11</v>
      </c>
      <c r="AY140" s="1" t="s">
        <v>1507</v>
      </c>
      <c r="AZ140" s="1" t="s">
        <v>1507</v>
      </c>
      <c r="BA140" s="1" t="s">
        <v>1507</v>
      </c>
      <c r="BB140" s="1" t="s">
        <v>1507</v>
      </c>
      <c r="BC140" s="1">
        <v>2843</v>
      </c>
      <c r="BD140" s="1">
        <v>2850</v>
      </c>
      <c r="BE140" s="1" t="s">
        <v>1507</v>
      </c>
      <c r="BF140" s="1" t="s">
        <v>9471</v>
      </c>
      <c r="BG140" s="1" t="str">
        <f>HYPERLINK("http://dx.doi.org/10.1094/PDIS-04-20-0714-RE","http://dx.doi.org/10.1094/PDIS-04-20-0714-RE")</f>
        <v>http://dx.doi.org/10.1094/PDIS-04-20-0714-RE</v>
      </c>
      <c r="BH140" s="1" t="s">
        <v>1507</v>
      </c>
      <c r="BI140" s="1" t="s">
        <v>1507</v>
      </c>
      <c r="BJ140" s="1">
        <v>8</v>
      </c>
      <c r="BK140" s="1" t="s">
        <v>2914</v>
      </c>
      <c r="BL140" s="1" t="s">
        <v>1573</v>
      </c>
      <c r="BM140" s="1" t="s">
        <v>2914</v>
      </c>
      <c r="BN140" s="1" t="s">
        <v>9472</v>
      </c>
      <c r="BO140" s="1">
        <v>32955405</v>
      </c>
      <c r="BP140" s="1" t="s">
        <v>1537</v>
      </c>
      <c r="BQ140" s="1" t="s">
        <v>1507</v>
      </c>
      <c r="BR140" s="1" t="s">
        <v>1507</v>
      </c>
      <c r="BS140" s="1" t="s">
        <v>13744</v>
      </c>
      <c r="BT140" s="1" t="s">
        <v>9473</v>
      </c>
      <c r="BU140" s="1" t="str">
        <f>HYPERLINK("https%3A%2F%2Fwww.webofscience.com%2Fwos%2Fwoscc%2Ffull-record%2FWOS:000583435500012","View Full Record in Web of Science")</f>
        <v>View Full Record in Web of Science</v>
      </c>
    </row>
    <row r="141" spans="1:73" x14ac:dyDescent="0.25">
      <c r="A141" s="1">
        <v>161</v>
      </c>
      <c r="B141" s="1" t="s">
        <v>1506</v>
      </c>
      <c r="C141" s="1" t="s">
        <v>5289</v>
      </c>
      <c r="D141" s="1" t="s">
        <v>1507</v>
      </c>
      <c r="E141" s="1" t="s">
        <v>1507</v>
      </c>
      <c r="F141" s="1" t="s">
        <v>1507</v>
      </c>
      <c r="G141" s="1" t="s">
        <v>5290</v>
      </c>
      <c r="H141" s="1" t="s">
        <v>1507</v>
      </c>
      <c r="I141" s="1" t="s">
        <v>1507</v>
      </c>
      <c r="J141" s="1" t="s">
        <v>14801</v>
      </c>
      <c r="K141" s="1" t="s">
        <v>5291</v>
      </c>
      <c r="L141" s="1" t="s">
        <v>1507</v>
      </c>
      <c r="M141" s="1" t="s">
        <v>1507</v>
      </c>
      <c r="N141" s="1" t="s">
        <v>42</v>
      </c>
      <c r="O141" s="1" t="s">
        <v>56</v>
      </c>
      <c r="P141" s="1" t="s">
        <v>1507</v>
      </c>
      <c r="Q141" s="1" t="s">
        <v>1507</v>
      </c>
      <c r="R141" s="1" t="s">
        <v>1507</v>
      </c>
      <c r="S141" s="1" t="s">
        <v>1507</v>
      </c>
      <c r="T141" s="1" t="s">
        <v>1507</v>
      </c>
      <c r="U141" s="1" t="s">
        <v>5292</v>
      </c>
      <c r="V141" s="1" t="s">
        <v>5293</v>
      </c>
      <c r="W141" s="1" t="s">
        <v>5294</v>
      </c>
      <c r="X141" s="1" t="s">
        <v>5295</v>
      </c>
      <c r="Y141" s="1" t="s">
        <v>5296</v>
      </c>
      <c r="Z141" s="1" t="s">
        <v>5297</v>
      </c>
      <c r="AA141" s="1" t="s">
        <v>5298</v>
      </c>
      <c r="AB141" s="1" t="s">
        <v>14802</v>
      </c>
      <c r="AC141" s="1" t="s">
        <v>14803</v>
      </c>
      <c r="AD141" s="1" t="s">
        <v>1507</v>
      </c>
      <c r="AE141" s="1" t="s">
        <v>1507</v>
      </c>
      <c r="AF141" s="1" t="s">
        <v>1507</v>
      </c>
      <c r="AG141" s="1" t="s">
        <v>1507</v>
      </c>
      <c r="AH141" s="1">
        <v>363</v>
      </c>
      <c r="AI141" s="1">
        <v>432</v>
      </c>
      <c r="AJ141" s="1">
        <v>437</v>
      </c>
      <c r="AK141" s="1">
        <v>1567</v>
      </c>
      <c r="AL141" s="1">
        <v>2644</v>
      </c>
      <c r="AM141" s="1" t="s">
        <v>1586</v>
      </c>
      <c r="AN141" s="1" t="s">
        <v>1587</v>
      </c>
      <c r="AO141" s="1" t="s">
        <v>1588</v>
      </c>
      <c r="AP141" s="1" t="s">
        <v>5299</v>
      </c>
      <c r="AQ141" s="1" t="s">
        <v>5300</v>
      </c>
      <c r="AR141" s="1" t="s">
        <v>1507</v>
      </c>
      <c r="AS141" s="1" t="s">
        <v>5301</v>
      </c>
      <c r="AT141" s="1" t="s">
        <v>5302</v>
      </c>
      <c r="AU141" s="1" t="s">
        <v>4336</v>
      </c>
      <c r="AV141" s="1">
        <v>2023</v>
      </c>
      <c r="AW141" s="1">
        <v>71</v>
      </c>
      <c r="AX141" s="1" t="s">
        <v>1507</v>
      </c>
      <c r="AY141" s="1" t="s">
        <v>1507</v>
      </c>
      <c r="AZ141" s="1" t="s">
        <v>1507</v>
      </c>
      <c r="BA141" s="1" t="s">
        <v>1507</v>
      </c>
      <c r="BB141" s="1" t="s">
        <v>1507</v>
      </c>
      <c r="BC141" s="1" t="s">
        <v>1507</v>
      </c>
      <c r="BD141" s="1" t="s">
        <v>1507</v>
      </c>
      <c r="BE141" s="1">
        <v>102642</v>
      </c>
      <c r="BF141" s="1" t="s">
        <v>5303</v>
      </c>
      <c r="BG141" s="1" t="str">
        <f>HYPERLINK("http://dx.doi.org/10.1016/j.ijinfomgt.2023.102642","http://dx.doi.org/10.1016/j.ijinfomgt.2023.102642")</f>
        <v>http://dx.doi.org/10.1016/j.ijinfomgt.2023.102642</v>
      </c>
      <c r="BH141" s="1" t="s">
        <v>1507</v>
      </c>
      <c r="BI141" s="1" t="s">
        <v>5260</v>
      </c>
      <c r="BJ141" s="1">
        <v>63</v>
      </c>
      <c r="BK141" s="1" t="s">
        <v>3916</v>
      </c>
      <c r="BL141" s="1" t="s">
        <v>1518</v>
      </c>
      <c r="BM141" s="1" t="s">
        <v>3916</v>
      </c>
      <c r="BN141" s="1" t="s">
        <v>5304</v>
      </c>
      <c r="BO141" s="1" t="s">
        <v>1507</v>
      </c>
      <c r="BP141" s="1" t="s">
        <v>8811</v>
      </c>
      <c r="BQ141" s="1" t="s">
        <v>1507</v>
      </c>
      <c r="BR141" s="1" t="s">
        <v>1507</v>
      </c>
      <c r="BS141" s="1" t="s">
        <v>13744</v>
      </c>
      <c r="BT141" s="1" t="s">
        <v>5305</v>
      </c>
      <c r="BU141" s="1" t="str">
        <f>HYPERLINK("https%3A%2F%2Fwww.webofscience.com%2Fwos%2Fwoscc%2Ffull-record%2FWOS:000954374300001","View Full Record in Web of Science")</f>
        <v>View Full Record in Web of Science</v>
      </c>
    </row>
    <row r="142" spans="1:73" x14ac:dyDescent="0.25">
      <c r="A142" s="1">
        <v>162</v>
      </c>
      <c r="B142" s="1" t="s">
        <v>5882</v>
      </c>
      <c r="C142" s="1" t="s">
        <v>10286</v>
      </c>
      <c r="D142" s="1" t="s">
        <v>1507</v>
      </c>
      <c r="E142" s="1" t="s">
        <v>10287</v>
      </c>
      <c r="F142" s="1" t="s">
        <v>1507</v>
      </c>
      <c r="G142" s="1" t="s">
        <v>10288</v>
      </c>
      <c r="H142" s="1" t="s">
        <v>1507</v>
      </c>
      <c r="I142" s="1" t="s">
        <v>1507</v>
      </c>
      <c r="J142" s="1" t="s">
        <v>10289</v>
      </c>
      <c r="K142" s="1" t="s">
        <v>10290</v>
      </c>
      <c r="L142" s="1" t="s">
        <v>1507</v>
      </c>
      <c r="M142" s="1" t="s">
        <v>1507</v>
      </c>
      <c r="N142" s="1" t="s">
        <v>42</v>
      </c>
      <c r="O142" s="1" t="s">
        <v>5888</v>
      </c>
      <c r="P142" s="1" t="s">
        <v>1507</v>
      </c>
      <c r="Q142" s="1" t="s">
        <v>1507</v>
      </c>
      <c r="R142" s="1" t="s">
        <v>1507</v>
      </c>
      <c r="S142" s="1" t="s">
        <v>1507</v>
      </c>
      <c r="T142" s="1" t="s">
        <v>1507</v>
      </c>
      <c r="U142" s="1" t="s">
        <v>1507</v>
      </c>
      <c r="V142" s="1" t="s">
        <v>10291</v>
      </c>
      <c r="W142" s="1" t="s">
        <v>1507</v>
      </c>
      <c r="X142" s="1" t="s">
        <v>10292</v>
      </c>
      <c r="Y142" s="1" t="s">
        <v>10293</v>
      </c>
      <c r="Z142" s="1" t="s">
        <v>10294</v>
      </c>
      <c r="AA142" s="1" t="s">
        <v>10295</v>
      </c>
      <c r="AB142" s="1" t="s">
        <v>1507</v>
      </c>
      <c r="AC142" s="1" t="s">
        <v>10296</v>
      </c>
      <c r="AD142" s="1" t="s">
        <v>10297</v>
      </c>
      <c r="AE142" s="1" t="s">
        <v>10297</v>
      </c>
      <c r="AF142" s="1" t="s">
        <v>10298</v>
      </c>
      <c r="AG142" s="1" t="s">
        <v>1507</v>
      </c>
      <c r="AH142" s="1">
        <v>76</v>
      </c>
      <c r="AI142" s="1">
        <v>0</v>
      </c>
      <c r="AJ142" s="1">
        <v>0</v>
      </c>
      <c r="AK142" s="1">
        <v>0</v>
      </c>
      <c r="AL142" s="1">
        <v>0</v>
      </c>
      <c r="AM142" s="1" t="s">
        <v>10299</v>
      </c>
      <c r="AN142" s="1" t="s">
        <v>1551</v>
      </c>
      <c r="AO142" s="1" t="s">
        <v>10300</v>
      </c>
      <c r="AP142" s="1" t="s">
        <v>1507</v>
      </c>
      <c r="AQ142" s="1" t="s">
        <v>1507</v>
      </c>
      <c r="AR142" s="1" t="s">
        <v>10301</v>
      </c>
      <c r="AS142" s="1" t="s">
        <v>1507</v>
      </c>
      <c r="AT142" s="1" t="s">
        <v>1507</v>
      </c>
      <c r="AU142" s="1" t="s">
        <v>1507</v>
      </c>
      <c r="AV142" s="1">
        <v>2020</v>
      </c>
      <c r="AW142" s="1" t="s">
        <v>1507</v>
      </c>
      <c r="AX142" s="1" t="s">
        <v>1507</v>
      </c>
      <c r="AY142" s="1" t="s">
        <v>1507</v>
      </c>
      <c r="AZ142" s="1" t="s">
        <v>1507</v>
      </c>
      <c r="BA142" s="1" t="s">
        <v>1507</v>
      </c>
      <c r="BB142" s="1" t="s">
        <v>1507</v>
      </c>
      <c r="BC142" s="1">
        <v>117</v>
      </c>
      <c r="BD142" s="1">
        <v>147</v>
      </c>
      <c r="BE142" s="1" t="s">
        <v>1507</v>
      </c>
      <c r="BF142" s="1" t="s">
        <v>10302</v>
      </c>
      <c r="BG142" s="1" t="str">
        <f>HYPERLINK("http://dx.doi.org/10.1007/978-3-030-27049-0_6","http://dx.doi.org/10.1007/978-3-030-27049-0_6")</f>
        <v>http://dx.doi.org/10.1007/978-3-030-27049-0_6</v>
      </c>
      <c r="BH142" s="1" t="s">
        <v>10303</v>
      </c>
      <c r="BI142" s="1" t="s">
        <v>1507</v>
      </c>
      <c r="BJ142" s="1">
        <v>31</v>
      </c>
      <c r="BK142" s="1" t="s">
        <v>10304</v>
      </c>
      <c r="BL142" s="1" t="s">
        <v>5899</v>
      </c>
      <c r="BM142" s="1" t="s">
        <v>10305</v>
      </c>
      <c r="BN142" s="1" t="s">
        <v>10306</v>
      </c>
      <c r="BO142" s="1" t="s">
        <v>1507</v>
      </c>
      <c r="BP142" s="1" t="s">
        <v>1507</v>
      </c>
      <c r="BQ142" s="1" t="s">
        <v>1507</v>
      </c>
      <c r="BR142" s="1" t="s">
        <v>1507</v>
      </c>
      <c r="BS142" s="1" t="s">
        <v>13744</v>
      </c>
      <c r="BT142" s="1" t="s">
        <v>10307</v>
      </c>
      <c r="BU142" s="1" t="str">
        <f>HYPERLINK("https%3A%2F%2Fwww.webofscience.com%2Fwos%2Fwoscc%2Ffull-record%2FWOS:000561031600008","View Full Record in Web of Science")</f>
        <v>View Full Record in Web of Science</v>
      </c>
    </row>
    <row r="143" spans="1:73" x14ac:dyDescent="0.25">
      <c r="A143" s="1">
        <v>163</v>
      </c>
      <c r="B143" s="1" t="s">
        <v>1506</v>
      </c>
      <c r="C143" s="1" t="s">
        <v>5830</v>
      </c>
      <c r="D143" s="1" t="s">
        <v>1507</v>
      </c>
      <c r="E143" s="1" t="s">
        <v>1507</v>
      </c>
      <c r="F143" s="1" t="s">
        <v>1507</v>
      </c>
      <c r="G143" s="1" t="s">
        <v>5831</v>
      </c>
      <c r="H143" s="1" t="s">
        <v>1507</v>
      </c>
      <c r="I143" s="1" t="s">
        <v>1507</v>
      </c>
      <c r="J143" s="1" t="s">
        <v>1319</v>
      </c>
      <c r="K143" s="1" t="s">
        <v>5740</v>
      </c>
      <c r="L143" s="1" t="s">
        <v>1507</v>
      </c>
      <c r="M143" s="1" t="s">
        <v>1507</v>
      </c>
      <c r="N143" s="1" t="s">
        <v>42</v>
      </c>
      <c r="O143" s="1" t="s">
        <v>56</v>
      </c>
      <c r="P143" s="1" t="s">
        <v>1507</v>
      </c>
      <c r="Q143" s="1" t="s">
        <v>1507</v>
      </c>
      <c r="R143" s="1" t="s">
        <v>1507</v>
      </c>
      <c r="S143" s="1" t="s">
        <v>1507</v>
      </c>
      <c r="T143" s="1" t="s">
        <v>1507</v>
      </c>
      <c r="U143" s="1" t="s">
        <v>5832</v>
      </c>
      <c r="V143" s="1" t="s">
        <v>1507</v>
      </c>
      <c r="W143" s="1" t="s">
        <v>5833</v>
      </c>
      <c r="X143" s="1" t="s">
        <v>5834</v>
      </c>
      <c r="Y143" s="1" t="s">
        <v>5835</v>
      </c>
      <c r="Z143" s="1" t="s">
        <v>5836</v>
      </c>
      <c r="AA143" s="1" t="s">
        <v>5837</v>
      </c>
      <c r="AB143" s="1" t="s">
        <v>5838</v>
      </c>
      <c r="AC143" s="1" t="s">
        <v>5839</v>
      </c>
      <c r="AD143" s="1" t="s">
        <v>1507</v>
      </c>
      <c r="AE143" s="1" t="s">
        <v>1507</v>
      </c>
      <c r="AF143" s="1" t="s">
        <v>1507</v>
      </c>
      <c r="AG143" s="1" t="s">
        <v>1507</v>
      </c>
      <c r="AH143" s="1">
        <v>17</v>
      </c>
      <c r="AI143" s="1">
        <v>12</v>
      </c>
      <c r="AJ143" s="1">
        <v>12</v>
      </c>
      <c r="AK143" s="1">
        <v>45</v>
      </c>
      <c r="AL143" s="1">
        <v>51</v>
      </c>
      <c r="AM143" s="1" t="s">
        <v>5748</v>
      </c>
      <c r="AN143" s="1" t="s">
        <v>5749</v>
      </c>
      <c r="AO143" s="1" t="s">
        <v>5750</v>
      </c>
      <c r="AP143" s="1" t="s">
        <v>5751</v>
      </c>
      <c r="AQ143" s="1" t="s">
        <v>1507</v>
      </c>
      <c r="AR143" s="1" t="s">
        <v>1507</v>
      </c>
      <c r="AS143" s="1" t="s">
        <v>5752</v>
      </c>
      <c r="AT143" s="1" t="s">
        <v>804</v>
      </c>
      <c r="AU143" s="1" t="s">
        <v>1507</v>
      </c>
      <c r="AV143" s="1">
        <v>2023</v>
      </c>
      <c r="AW143" s="1">
        <v>20</v>
      </c>
      <c r="AX143" s="1">
        <v>5</v>
      </c>
      <c r="AY143" s="1" t="s">
        <v>1507</v>
      </c>
      <c r="AZ143" s="1" t="s">
        <v>1507</v>
      </c>
      <c r="BA143" s="1" t="s">
        <v>1507</v>
      </c>
      <c r="BB143" s="1" t="s">
        <v>1507</v>
      </c>
      <c r="BC143" s="1" t="s">
        <v>1507</v>
      </c>
      <c r="BD143" s="1" t="s">
        <v>1507</v>
      </c>
      <c r="BE143" s="1">
        <v>2</v>
      </c>
      <c r="BF143" s="1" t="s">
        <v>1507</v>
      </c>
      <c r="BG143" s="1" t="s">
        <v>1507</v>
      </c>
      <c r="BH143" s="1" t="s">
        <v>1507</v>
      </c>
      <c r="BI143" s="1" t="s">
        <v>1507</v>
      </c>
      <c r="BJ143" s="1">
        <v>20</v>
      </c>
      <c r="BK143" s="1" t="s">
        <v>1558</v>
      </c>
      <c r="BL143" s="1" t="s">
        <v>1529</v>
      </c>
      <c r="BM143" s="1" t="s">
        <v>1558</v>
      </c>
      <c r="BN143" s="1" t="s">
        <v>5761</v>
      </c>
      <c r="BO143" s="1" t="s">
        <v>1507</v>
      </c>
      <c r="BP143" s="1" t="s">
        <v>1507</v>
      </c>
      <c r="BQ143" s="1" t="s">
        <v>1507</v>
      </c>
      <c r="BR143" s="1" t="s">
        <v>1507</v>
      </c>
      <c r="BS143" s="1" t="s">
        <v>13744</v>
      </c>
      <c r="BT143" s="1" t="s">
        <v>5840</v>
      </c>
      <c r="BU143" s="1" t="str">
        <f>HYPERLINK("https%3A%2F%2Fwww.webofscience.com%2Fwos%2Fwoscc%2Ffull-record%2FWOS:001060245600002","View Full Record in Web of Science")</f>
        <v>View Full Record in Web of Science</v>
      </c>
    </row>
    <row r="144" spans="1:73" x14ac:dyDescent="0.25">
      <c r="A144" s="1">
        <v>164</v>
      </c>
      <c r="B144" s="1" t="s">
        <v>1506</v>
      </c>
      <c r="C144" s="1" t="s">
        <v>9947</v>
      </c>
      <c r="D144" s="1" t="s">
        <v>1507</v>
      </c>
      <c r="E144" s="1" t="s">
        <v>1507</v>
      </c>
      <c r="F144" s="1" t="s">
        <v>1507</v>
      </c>
      <c r="G144" s="1" t="s">
        <v>9948</v>
      </c>
      <c r="H144" s="1" t="s">
        <v>1507</v>
      </c>
      <c r="I144" s="1" t="s">
        <v>1507</v>
      </c>
      <c r="J144" s="1" t="s">
        <v>9949</v>
      </c>
      <c r="K144" s="1" t="s">
        <v>9950</v>
      </c>
      <c r="L144" s="1" t="s">
        <v>1507</v>
      </c>
      <c r="M144" s="1" t="s">
        <v>1507</v>
      </c>
      <c r="N144" s="1" t="s">
        <v>42</v>
      </c>
      <c r="O144" s="1" t="s">
        <v>56</v>
      </c>
      <c r="P144" s="1" t="s">
        <v>1507</v>
      </c>
      <c r="Q144" s="1" t="s">
        <v>1507</v>
      </c>
      <c r="R144" s="1" t="s">
        <v>1507</v>
      </c>
      <c r="S144" s="1" t="s">
        <v>1507</v>
      </c>
      <c r="T144" s="1" t="s">
        <v>1507</v>
      </c>
      <c r="U144" s="1" t="s">
        <v>1507</v>
      </c>
      <c r="V144" s="1" t="s">
        <v>1507</v>
      </c>
      <c r="W144" s="1" t="s">
        <v>9951</v>
      </c>
      <c r="X144" s="1" t="s">
        <v>9952</v>
      </c>
      <c r="Y144" s="1" t="s">
        <v>9953</v>
      </c>
      <c r="Z144" s="1" t="s">
        <v>9954</v>
      </c>
      <c r="AA144" s="1" t="s">
        <v>9955</v>
      </c>
      <c r="AB144" s="1" t="s">
        <v>1507</v>
      </c>
      <c r="AC144" s="1" t="s">
        <v>1507</v>
      </c>
      <c r="AD144" s="1" t="s">
        <v>9956</v>
      </c>
      <c r="AE144" s="1" t="s">
        <v>9957</v>
      </c>
      <c r="AF144" s="1" t="s">
        <v>9958</v>
      </c>
      <c r="AG144" s="1" t="s">
        <v>1507</v>
      </c>
      <c r="AH144" s="1">
        <v>45</v>
      </c>
      <c r="AI144" s="1">
        <v>3</v>
      </c>
      <c r="AJ144" s="1">
        <v>3</v>
      </c>
      <c r="AK144" s="1">
        <v>0</v>
      </c>
      <c r="AL144" s="1">
        <v>5</v>
      </c>
      <c r="AM144" s="1" t="s">
        <v>9047</v>
      </c>
      <c r="AN144" s="1" t="s">
        <v>9048</v>
      </c>
      <c r="AO144" s="1" t="s">
        <v>9049</v>
      </c>
      <c r="AP144" s="1" t="s">
        <v>9959</v>
      </c>
      <c r="AQ144" s="1" t="s">
        <v>9960</v>
      </c>
      <c r="AR144" s="1" t="s">
        <v>1507</v>
      </c>
      <c r="AS144" s="1" t="s">
        <v>9961</v>
      </c>
      <c r="AT144" s="1" t="s">
        <v>9962</v>
      </c>
      <c r="AU144" s="1" t="s">
        <v>5045</v>
      </c>
      <c r="AV144" s="1">
        <v>2020</v>
      </c>
      <c r="AW144" s="1">
        <v>57</v>
      </c>
      <c r="AX144" s="1">
        <v>3</v>
      </c>
      <c r="AY144" s="1" t="s">
        <v>1507</v>
      </c>
      <c r="AZ144" s="1" t="s">
        <v>1507</v>
      </c>
      <c r="BA144" s="1" t="s">
        <v>1507</v>
      </c>
      <c r="BB144" s="1" t="s">
        <v>1507</v>
      </c>
      <c r="BC144" s="1">
        <v>799</v>
      </c>
      <c r="BD144" s="1">
        <v>829</v>
      </c>
      <c r="BE144" s="1" t="s">
        <v>1507</v>
      </c>
      <c r="BF144" s="1" t="s">
        <v>1507</v>
      </c>
      <c r="BG144" s="1" t="s">
        <v>1507</v>
      </c>
      <c r="BH144" s="1" t="s">
        <v>1507</v>
      </c>
      <c r="BI144" s="1" t="s">
        <v>1507</v>
      </c>
      <c r="BJ144" s="1">
        <v>31</v>
      </c>
      <c r="BK144" s="1" t="s">
        <v>9963</v>
      </c>
      <c r="BL144" s="1" t="s">
        <v>1518</v>
      </c>
      <c r="BM144" s="1" t="s">
        <v>9964</v>
      </c>
      <c r="BN144" s="1" t="s">
        <v>9965</v>
      </c>
      <c r="BO144" s="1" t="s">
        <v>1507</v>
      </c>
      <c r="BP144" s="1" t="s">
        <v>1507</v>
      </c>
      <c r="BQ144" s="1" t="s">
        <v>1507</v>
      </c>
      <c r="BR144" s="1" t="s">
        <v>1507</v>
      </c>
      <c r="BS144" s="1" t="s">
        <v>13744</v>
      </c>
      <c r="BT144" s="1" t="s">
        <v>9966</v>
      </c>
      <c r="BU144" s="1" t="str">
        <f>HYPERLINK("https%3A%2F%2Fwww.webofscience.com%2Fwos%2Fwoscc%2Ffull-record%2FWOS:000562484000006","View Full Record in Web of Science")</f>
        <v>View Full Record in Web of Science</v>
      </c>
    </row>
    <row r="145" spans="1:73" x14ac:dyDescent="0.25">
      <c r="A145" s="1">
        <v>165</v>
      </c>
      <c r="B145" s="1" t="s">
        <v>1506</v>
      </c>
      <c r="C145" s="1" t="s">
        <v>10466</v>
      </c>
      <c r="D145" s="1" t="s">
        <v>1507</v>
      </c>
      <c r="E145" s="1" t="s">
        <v>1507</v>
      </c>
      <c r="F145" s="1" t="s">
        <v>1507</v>
      </c>
      <c r="G145" s="1" t="s">
        <v>10467</v>
      </c>
      <c r="H145" s="1" t="s">
        <v>1507</v>
      </c>
      <c r="I145" s="1" t="s">
        <v>1507</v>
      </c>
      <c r="J145" s="1" t="s">
        <v>10468</v>
      </c>
      <c r="K145" s="1" t="s">
        <v>4793</v>
      </c>
      <c r="L145" s="1" t="s">
        <v>1507</v>
      </c>
      <c r="M145" s="1" t="s">
        <v>1507</v>
      </c>
      <c r="N145" s="1" t="s">
        <v>42</v>
      </c>
      <c r="O145" s="1" t="s">
        <v>56</v>
      </c>
      <c r="P145" s="1" t="s">
        <v>1507</v>
      </c>
      <c r="Q145" s="1" t="s">
        <v>1507</v>
      </c>
      <c r="R145" s="1" t="s">
        <v>1507</v>
      </c>
      <c r="S145" s="1" t="s">
        <v>1507</v>
      </c>
      <c r="T145" s="1" t="s">
        <v>1507</v>
      </c>
      <c r="U145" s="1" t="s">
        <v>10469</v>
      </c>
      <c r="V145" s="1" t="s">
        <v>10470</v>
      </c>
      <c r="W145" s="1" t="s">
        <v>10471</v>
      </c>
      <c r="X145" s="1" t="s">
        <v>10472</v>
      </c>
      <c r="Y145" s="1" t="s">
        <v>5639</v>
      </c>
      <c r="Z145" s="1" t="s">
        <v>10473</v>
      </c>
      <c r="AA145" s="1" t="s">
        <v>1507</v>
      </c>
      <c r="AB145" s="1" t="s">
        <v>1507</v>
      </c>
      <c r="AC145" s="1" t="s">
        <v>1507</v>
      </c>
      <c r="AD145" s="1" t="s">
        <v>1507</v>
      </c>
      <c r="AE145" s="1" t="s">
        <v>1507</v>
      </c>
      <c r="AF145" s="1" t="s">
        <v>1507</v>
      </c>
      <c r="AG145" s="1" t="s">
        <v>1507</v>
      </c>
      <c r="AH145" s="1">
        <v>66</v>
      </c>
      <c r="AI145" s="1">
        <v>0</v>
      </c>
      <c r="AJ145" s="1">
        <v>0</v>
      </c>
      <c r="AK145" s="1">
        <v>1</v>
      </c>
      <c r="AL145" s="1">
        <v>5</v>
      </c>
      <c r="AM145" s="1" t="s">
        <v>4805</v>
      </c>
      <c r="AN145" s="1" t="s">
        <v>4806</v>
      </c>
      <c r="AO145" s="1" t="s">
        <v>4807</v>
      </c>
      <c r="AP145" s="1" t="s">
        <v>4808</v>
      </c>
      <c r="AQ145" s="1" t="s">
        <v>4809</v>
      </c>
      <c r="AR145" s="1" t="s">
        <v>1507</v>
      </c>
      <c r="AS145" s="1" t="s">
        <v>4810</v>
      </c>
      <c r="AT145" s="1" t="s">
        <v>1365</v>
      </c>
      <c r="AU145" s="1" t="s">
        <v>2191</v>
      </c>
      <c r="AV145" s="1">
        <v>2019</v>
      </c>
      <c r="AW145" s="1">
        <v>9</v>
      </c>
      <c r="AX145" s="1">
        <v>4</v>
      </c>
      <c r="AY145" s="1" t="s">
        <v>1507</v>
      </c>
      <c r="AZ145" s="1" t="s">
        <v>1507</v>
      </c>
      <c r="BA145" s="1" t="s">
        <v>1507</v>
      </c>
      <c r="BB145" s="1" t="s">
        <v>1507</v>
      </c>
      <c r="BC145" s="1">
        <v>452</v>
      </c>
      <c r="BD145" s="1">
        <v>470</v>
      </c>
      <c r="BE145" s="1" t="s">
        <v>1507</v>
      </c>
      <c r="BF145" s="1" t="s">
        <v>10474</v>
      </c>
      <c r="BG145" s="1" t="str">
        <f>HYPERLINK("http://dx.doi.org/10.4337/qmjip.2019.04.05","http://dx.doi.org/10.4337/qmjip.2019.04.05")</f>
        <v>http://dx.doi.org/10.4337/qmjip.2019.04.05</v>
      </c>
      <c r="BH145" s="1" t="s">
        <v>1507</v>
      </c>
      <c r="BI145" s="1" t="s">
        <v>1507</v>
      </c>
      <c r="BJ145" s="1">
        <v>19</v>
      </c>
      <c r="BK145" s="1" t="s">
        <v>1535</v>
      </c>
      <c r="BL145" s="1" t="s">
        <v>1518</v>
      </c>
      <c r="BM145" s="1" t="s">
        <v>1536</v>
      </c>
      <c r="BN145" s="1" t="s">
        <v>10475</v>
      </c>
      <c r="BO145" s="1" t="s">
        <v>1507</v>
      </c>
      <c r="BP145" s="1" t="s">
        <v>1507</v>
      </c>
      <c r="BQ145" s="1" t="s">
        <v>1507</v>
      </c>
      <c r="BR145" s="1" t="s">
        <v>1507</v>
      </c>
      <c r="BS145" s="1" t="s">
        <v>13744</v>
      </c>
      <c r="BT145" s="1" t="s">
        <v>10476</v>
      </c>
      <c r="BU145" s="1" t="str">
        <f>HYPERLINK("https%3A%2F%2Fwww.webofscience.com%2Fwos%2Fwoscc%2Ffull-record%2FWOS:000560611900010","View Full Record in Web of Science")</f>
        <v>View Full Record in Web of Science</v>
      </c>
    </row>
    <row r="146" spans="1:73" x14ac:dyDescent="0.25">
      <c r="A146" s="1">
        <v>166</v>
      </c>
      <c r="B146" s="1" t="s">
        <v>1506</v>
      </c>
      <c r="C146" s="1" t="s">
        <v>3060</v>
      </c>
      <c r="D146" s="1" t="s">
        <v>1507</v>
      </c>
      <c r="E146" s="1" t="s">
        <v>1507</v>
      </c>
      <c r="F146" s="1" t="s">
        <v>1507</v>
      </c>
      <c r="G146" s="1" t="s">
        <v>3061</v>
      </c>
      <c r="H146" s="1" t="s">
        <v>1507</v>
      </c>
      <c r="I146" s="1" t="s">
        <v>1507</v>
      </c>
      <c r="J146" s="1" t="s">
        <v>3062</v>
      </c>
      <c r="K146" s="1" t="s">
        <v>3063</v>
      </c>
      <c r="L146" s="1" t="s">
        <v>1507</v>
      </c>
      <c r="M146" s="1" t="s">
        <v>1507</v>
      </c>
      <c r="N146" s="1" t="s">
        <v>42</v>
      </c>
      <c r="O146" s="1" t="s">
        <v>56</v>
      </c>
      <c r="P146" s="1" t="s">
        <v>1507</v>
      </c>
      <c r="Q146" s="1" t="s">
        <v>1507</v>
      </c>
      <c r="R146" s="1" t="s">
        <v>1507</v>
      </c>
      <c r="S146" s="1" t="s">
        <v>1507</v>
      </c>
      <c r="T146" s="1" t="s">
        <v>1507</v>
      </c>
      <c r="U146" s="1" t="s">
        <v>3064</v>
      </c>
      <c r="V146" s="1" t="s">
        <v>1507</v>
      </c>
      <c r="W146" s="1" t="s">
        <v>3065</v>
      </c>
      <c r="X146" s="1" t="s">
        <v>3066</v>
      </c>
      <c r="Y146" s="1" t="s">
        <v>3067</v>
      </c>
      <c r="Z146" s="1" t="s">
        <v>3068</v>
      </c>
      <c r="AA146" s="1" t="s">
        <v>3069</v>
      </c>
      <c r="AB146" s="1" t="s">
        <v>14250</v>
      </c>
      <c r="AC146" s="1" t="s">
        <v>3070</v>
      </c>
      <c r="AD146" s="1" t="s">
        <v>3071</v>
      </c>
      <c r="AE146" s="1" t="s">
        <v>3072</v>
      </c>
      <c r="AF146" s="1" t="s">
        <v>3073</v>
      </c>
      <c r="AG146" s="1" t="s">
        <v>1507</v>
      </c>
      <c r="AH146" s="1">
        <v>70</v>
      </c>
      <c r="AI146" s="1">
        <v>0</v>
      </c>
      <c r="AJ146" s="1">
        <v>0</v>
      </c>
      <c r="AK146" s="1">
        <v>17</v>
      </c>
      <c r="AL146" s="1">
        <v>17</v>
      </c>
      <c r="AM146" s="1" t="s">
        <v>1511</v>
      </c>
      <c r="AN146" s="1" t="s">
        <v>1570</v>
      </c>
      <c r="AO146" s="1" t="s">
        <v>1571</v>
      </c>
      <c r="AP146" s="1" t="s">
        <v>3074</v>
      </c>
      <c r="AQ146" s="1" t="s">
        <v>3075</v>
      </c>
      <c r="AR146" s="1" t="s">
        <v>1507</v>
      </c>
      <c r="AS146" s="1" t="s">
        <v>3076</v>
      </c>
      <c r="AT146" s="1" t="s">
        <v>3077</v>
      </c>
      <c r="AU146" s="1" t="s">
        <v>2191</v>
      </c>
      <c r="AV146" s="1">
        <v>2023</v>
      </c>
      <c r="AW146" s="1">
        <v>47</v>
      </c>
      <c r="AX146" s="1">
        <v>8</v>
      </c>
      <c r="AY146" s="1" t="s">
        <v>1507</v>
      </c>
      <c r="AZ146" s="1" t="s">
        <v>1507</v>
      </c>
      <c r="BA146" s="1" t="s">
        <v>1507</v>
      </c>
      <c r="BB146" s="1" t="s">
        <v>1507</v>
      </c>
      <c r="BC146" s="1">
        <v>1035</v>
      </c>
      <c r="BD146" s="1">
        <v>1055</v>
      </c>
      <c r="BE146" s="1" t="s">
        <v>1507</v>
      </c>
      <c r="BF146" s="1" t="s">
        <v>3078</v>
      </c>
      <c r="BG146" s="1" t="str">
        <f>HYPERLINK("http://dx.doi.org/10.1007/s10514-023-10132-6","http://dx.doi.org/10.1007/s10514-023-10132-6")</f>
        <v>http://dx.doi.org/10.1007/s10514-023-10132-6</v>
      </c>
      <c r="BH146" s="1" t="s">
        <v>1507</v>
      </c>
      <c r="BI146" s="1" t="s">
        <v>2891</v>
      </c>
      <c r="BJ146" s="1">
        <v>21</v>
      </c>
      <c r="BK146" s="1" t="s">
        <v>2193</v>
      </c>
      <c r="BL146" s="1" t="s">
        <v>1573</v>
      </c>
      <c r="BM146" s="1" t="s">
        <v>2194</v>
      </c>
      <c r="BN146" s="1" t="s">
        <v>14251</v>
      </c>
      <c r="BO146" s="1" t="s">
        <v>1507</v>
      </c>
      <c r="BP146" s="1" t="s">
        <v>1600</v>
      </c>
      <c r="BQ146" s="1" t="s">
        <v>1507</v>
      </c>
      <c r="BR146" s="1" t="s">
        <v>1507</v>
      </c>
      <c r="BS146" s="1" t="s">
        <v>13744</v>
      </c>
      <c r="BT146" s="1" t="s">
        <v>3079</v>
      </c>
      <c r="BU146" s="1" t="str">
        <f>HYPERLINK("https%3A%2F%2Fwww.webofscience.com%2Fwos%2Fwoscc%2Ffull-record%2FWOS:001097671300001","View Full Record in Web of Science")</f>
        <v>View Full Record in Web of Science</v>
      </c>
    </row>
    <row r="147" spans="1:73" x14ac:dyDescent="0.25">
      <c r="A147" s="1">
        <v>167</v>
      </c>
      <c r="B147" s="1" t="s">
        <v>1506</v>
      </c>
      <c r="C147" s="1" t="s">
        <v>9412</v>
      </c>
      <c r="D147" s="1" t="s">
        <v>1507</v>
      </c>
      <c r="E147" s="1" t="s">
        <v>1507</v>
      </c>
      <c r="F147" s="1" t="s">
        <v>1507</v>
      </c>
      <c r="G147" s="1" t="s">
        <v>9413</v>
      </c>
      <c r="H147" s="1" t="s">
        <v>1507</v>
      </c>
      <c r="I147" s="1" t="s">
        <v>1507</v>
      </c>
      <c r="J147" s="1" t="s">
        <v>9414</v>
      </c>
      <c r="K147" s="1" t="s">
        <v>9415</v>
      </c>
      <c r="L147" s="1" t="s">
        <v>1507</v>
      </c>
      <c r="M147" s="1" t="s">
        <v>1507</v>
      </c>
      <c r="N147" s="1" t="s">
        <v>42</v>
      </c>
      <c r="O147" s="1" t="s">
        <v>56</v>
      </c>
      <c r="P147" s="1" t="s">
        <v>1507</v>
      </c>
      <c r="Q147" s="1" t="s">
        <v>1507</v>
      </c>
      <c r="R147" s="1" t="s">
        <v>1507</v>
      </c>
      <c r="S147" s="1" t="s">
        <v>1507</v>
      </c>
      <c r="T147" s="1" t="s">
        <v>1507</v>
      </c>
      <c r="U147" s="1" t="s">
        <v>9416</v>
      </c>
      <c r="V147" s="1" t="s">
        <v>9417</v>
      </c>
      <c r="W147" s="1" t="s">
        <v>9418</v>
      </c>
      <c r="X147" s="1" t="s">
        <v>9419</v>
      </c>
      <c r="Y147" s="1" t="s">
        <v>9420</v>
      </c>
      <c r="Z147" s="1" t="s">
        <v>9421</v>
      </c>
      <c r="AA147" s="1" t="s">
        <v>9422</v>
      </c>
      <c r="AB147" s="1" t="s">
        <v>15789</v>
      </c>
      <c r="AC147" s="1" t="s">
        <v>15790</v>
      </c>
      <c r="AD147" s="1" t="s">
        <v>9423</v>
      </c>
      <c r="AE147" s="1" t="s">
        <v>9424</v>
      </c>
      <c r="AF147" s="1" t="s">
        <v>9425</v>
      </c>
      <c r="AG147" s="1" t="s">
        <v>1507</v>
      </c>
      <c r="AH147" s="1">
        <v>28</v>
      </c>
      <c r="AI147" s="1">
        <v>4</v>
      </c>
      <c r="AJ147" s="1">
        <v>4</v>
      </c>
      <c r="AK147" s="1">
        <v>1</v>
      </c>
      <c r="AL147" s="1">
        <v>5</v>
      </c>
      <c r="AM147" s="1" t="s">
        <v>1610</v>
      </c>
      <c r="AN147" s="1" t="s">
        <v>1611</v>
      </c>
      <c r="AO147" s="1" t="s">
        <v>1612</v>
      </c>
      <c r="AP147" s="1" t="s">
        <v>1507</v>
      </c>
      <c r="AQ147" s="1" t="s">
        <v>9426</v>
      </c>
      <c r="AR147" s="1" t="s">
        <v>1507</v>
      </c>
      <c r="AS147" s="1" t="s">
        <v>9415</v>
      </c>
      <c r="AT147" s="1" t="s">
        <v>9427</v>
      </c>
      <c r="AU147" s="1" t="s">
        <v>2771</v>
      </c>
      <c r="AV147" s="1">
        <v>2020</v>
      </c>
      <c r="AW147" s="1">
        <v>8</v>
      </c>
      <c r="AX147" s="1">
        <v>11</v>
      </c>
      <c r="AY147" s="1" t="s">
        <v>1507</v>
      </c>
      <c r="AZ147" s="1" t="s">
        <v>1507</v>
      </c>
      <c r="BA147" s="1" t="s">
        <v>1507</v>
      </c>
      <c r="BB147" s="1" t="s">
        <v>1507</v>
      </c>
      <c r="BC147" s="1" t="s">
        <v>1507</v>
      </c>
      <c r="BD147" s="1" t="s">
        <v>1507</v>
      </c>
      <c r="BE147" s="1">
        <v>1698</v>
      </c>
      <c r="BF147" s="1" t="s">
        <v>9428</v>
      </c>
      <c r="BG147" s="1" t="str">
        <f>HYPERLINK("http://dx.doi.org/10.3390/microorganisms8111698","http://dx.doi.org/10.3390/microorganisms8111698")</f>
        <v>http://dx.doi.org/10.3390/microorganisms8111698</v>
      </c>
      <c r="BH147" s="1" t="s">
        <v>1507</v>
      </c>
      <c r="BI147" s="1" t="s">
        <v>1507</v>
      </c>
      <c r="BJ147" s="1">
        <v>14</v>
      </c>
      <c r="BK147" s="1" t="s">
        <v>4485</v>
      </c>
      <c r="BL147" s="1" t="s">
        <v>1573</v>
      </c>
      <c r="BM147" s="1" t="s">
        <v>4485</v>
      </c>
      <c r="BN147" s="1" t="s">
        <v>9429</v>
      </c>
      <c r="BO147" s="1">
        <v>33143263</v>
      </c>
      <c r="BP147" s="1" t="s">
        <v>1952</v>
      </c>
      <c r="BQ147" s="1" t="s">
        <v>1507</v>
      </c>
      <c r="BR147" s="1" t="s">
        <v>1507</v>
      </c>
      <c r="BS147" s="1" t="s">
        <v>13744</v>
      </c>
      <c r="BT147" s="1" t="s">
        <v>9430</v>
      </c>
      <c r="BU147" s="1" t="str">
        <f>HYPERLINK("https%3A%2F%2Fwww.webofscience.com%2Fwos%2Fwoscc%2Ffull-record%2FWOS:000593165400001","View Full Record in Web of Science")</f>
        <v>View Full Record in Web of Science</v>
      </c>
    </row>
    <row r="148" spans="1:73" x14ac:dyDescent="0.25">
      <c r="A148" s="1">
        <v>168</v>
      </c>
      <c r="B148" s="1" t="s">
        <v>1506</v>
      </c>
      <c r="C148" s="1" t="s">
        <v>2946</v>
      </c>
      <c r="D148" s="1" t="s">
        <v>1507</v>
      </c>
      <c r="E148" s="1" t="s">
        <v>1507</v>
      </c>
      <c r="F148" s="1" t="s">
        <v>1507</v>
      </c>
      <c r="G148" s="1" t="s">
        <v>2947</v>
      </c>
      <c r="H148" s="1" t="s">
        <v>1507</v>
      </c>
      <c r="I148" s="1" t="s">
        <v>1507</v>
      </c>
      <c r="J148" s="1" t="s">
        <v>515</v>
      </c>
      <c r="K148" s="1" t="s">
        <v>2579</v>
      </c>
      <c r="L148" s="1" t="s">
        <v>1507</v>
      </c>
      <c r="M148" s="1" t="s">
        <v>1507</v>
      </c>
      <c r="N148" s="1" t="s">
        <v>42</v>
      </c>
      <c r="O148" s="1" t="s">
        <v>56</v>
      </c>
      <c r="P148" s="1" t="s">
        <v>1507</v>
      </c>
      <c r="Q148" s="1" t="s">
        <v>1507</v>
      </c>
      <c r="R148" s="1" t="s">
        <v>1507</v>
      </c>
      <c r="S148" s="1" t="s">
        <v>1507</v>
      </c>
      <c r="T148" s="1" t="s">
        <v>1507</v>
      </c>
      <c r="U148" s="1" t="s">
        <v>2948</v>
      </c>
      <c r="V148" s="1" t="s">
        <v>1507</v>
      </c>
      <c r="W148" s="1" t="s">
        <v>2949</v>
      </c>
      <c r="X148" s="1" t="s">
        <v>2950</v>
      </c>
      <c r="Y148" s="1" t="s">
        <v>2951</v>
      </c>
      <c r="Z148" s="1" t="s">
        <v>2952</v>
      </c>
      <c r="AA148" s="1" t="s">
        <v>2953</v>
      </c>
      <c r="AB148" s="1" t="s">
        <v>1507</v>
      </c>
      <c r="AC148" s="1" t="s">
        <v>2954</v>
      </c>
      <c r="AD148" s="1" t="s">
        <v>2955</v>
      </c>
      <c r="AE148" s="1" t="s">
        <v>2955</v>
      </c>
      <c r="AF148" s="1" t="s">
        <v>2955</v>
      </c>
      <c r="AG148" s="1" t="s">
        <v>1507</v>
      </c>
      <c r="AH148" s="1">
        <v>41</v>
      </c>
      <c r="AI148" s="1">
        <v>6</v>
      </c>
      <c r="AJ148" s="1">
        <v>6</v>
      </c>
      <c r="AK148" s="1">
        <v>211</v>
      </c>
      <c r="AL148" s="1">
        <v>211</v>
      </c>
      <c r="AM148" s="1" t="s">
        <v>1511</v>
      </c>
      <c r="AN148" s="1" t="s">
        <v>1512</v>
      </c>
      <c r="AO148" s="1" t="s">
        <v>1513</v>
      </c>
      <c r="AP148" s="1" t="s">
        <v>2589</v>
      </c>
      <c r="AQ148" s="1" t="s">
        <v>1507</v>
      </c>
      <c r="AR148" s="1" t="s">
        <v>1507</v>
      </c>
      <c r="AS148" s="1" t="s">
        <v>2590</v>
      </c>
      <c r="AT148" s="1" t="s">
        <v>2591</v>
      </c>
      <c r="AU148" s="1" t="s">
        <v>2956</v>
      </c>
      <c r="AV148" s="1">
        <v>2023</v>
      </c>
      <c r="AW148" s="1">
        <v>20</v>
      </c>
      <c r="AX148" s="1">
        <v>1</v>
      </c>
      <c r="AY148" s="1" t="s">
        <v>1507</v>
      </c>
      <c r="AZ148" s="1" t="s">
        <v>1507</v>
      </c>
      <c r="BA148" s="1" t="s">
        <v>1507</v>
      </c>
      <c r="BB148" s="1" t="s">
        <v>1507</v>
      </c>
      <c r="BC148" s="1" t="s">
        <v>1507</v>
      </c>
      <c r="BD148" s="1" t="s">
        <v>1507</v>
      </c>
      <c r="BE148" s="1">
        <v>57</v>
      </c>
      <c r="BF148" s="1" t="s">
        <v>516</v>
      </c>
      <c r="BG148" s="1" t="str">
        <f>HYPERLINK("http://dx.doi.org/10.1186/s41239-023-00425-2","http://dx.doi.org/10.1186/s41239-023-00425-2")</f>
        <v>http://dx.doi.org/10.1186/s41239-023-00425-2</v>
      </c>
      <c r="BH148" s="1" t="s">
        <v>1507</v>
      </c>
      <c r="BI148" s="1" t="s">
        <v>1507</v>
      </c>
      <c r="BJ148" s="1">
        <v>20</v>
      </c>
      <c r="BK148" s="1" t="s">
        <v>1558</v>
      </c>
      <c r="BL148" s="1" t="s">
        <v>1518</v>
      </c>
      <c r="BM148" s="1" t="s">
        <v>1558</v>
      </c>
      <c r="BN148" s="1" t="s">
        <v>2957</v>
      </c>
      <c r="BO148" s="1" t="s">
        <v>1507</v>
      </c>
      <c r="BP148" s="1" t="s">
        <v>1531</v>
      </c>
      <c r="BQ148" s="1" t="s">
        <v>1507</v>
      </c>
      <c r="BR148" s="1" t="s">
        <v>1507</v>
      </c>
      <c r="BS148" s="1" t="s">
        <v>13744</v>
      </c>
      <c r="BT148" s="1" t="s">
        <v>2958</v>
      </c>
      <c r="BU148" s="1" t="str">
        <f>HYPERLINK("https%3A%2F%2Fwww.webofscience.com%2Fwos%2Fwoscc%2Ffull-record%2FWOS:001087884500001","View Full Record in Web of Science")</f>
        <v>View Full Record in Web of Science</v>
      </c>
    </row>
    <row r="149" spans="1:73" x14ac:dyDescent="0.25">
      <c r="A149" s="1">
        <v>169</v>
      </c>
      <c r="B149" s="1" t="s">
        <v>1506</v>
      </c>
      <c r="C149" s="1" t="s">
        <v>9002</v>
      </c>
      <c r="D149" s="1" t="s">
        <v>1507</v>
      </c>
      <c r="E149" s="1" t="s">
        <v>1507</v>
      </c>
      <c r="F149" s="1" t="s">
        <v>1507</v>
      </c>
      <c r="G149" s="1" t="s">
        <v>9003</v>
      </c>
      <c r="H149" s="1" t="s">
        <v>1507</v>
      </c>
      <c r="I149" s="1" t="s">
        <v>1507</v>
      </c>
      <c r="J149" s="1" t="s">
        <v>9004</v>
      </c>
      <c r="K149" s="1" t="s">
        <v>9005</v>
      </c>
      <c r="L149" s="1" t="s">
        <v>1507</v>
      </c>
      <c r="M149" s="1" t="s">
        <v>1507</v>
      </c>
      <c r="N149" s="1" t="s">
        <v>42</v>
      </c>
      <c r="O149" s="1" t="s">
        <v>56</v>
      </c>
      <c r="P149" s="1" t="s">
        <v>1507</v>
      </c>
      <c r="Q149" s="1" t="s">
        <v>1507</v>
      </c>
      <c r="R149" s="1" t="s">
        <v>1507</v>
      </c>
      <c r="S149" s="1" t="s">
        <v>1507</v>
      </c>
      <c r="T149" s="1" t="s">
        <v>1507</v>
      </c>
      <c r="U149" s="1" t="s">
        <v>1507</v>
      </c>
      <c r="V149" s="1" t="s">
        <v>9006</v>
      </c>
      <c r="W149" s="1" t="s">
        <v>9007</v>
      </c>
      <c r="X149" s="1" t="s">
        <v>9008</v>
      </c>
      <c r="Y149" s="1" t="s">
        <v>9009</v>
      </c>
      <c r="Z149" s="1" t="s">
        <v>9010</v>
      </c>
      <c r="AA149" s="1" t="s">
        <v>1507</v>
      </c>
      <c r="AB149" s="1" t="s">
        <v>1507</v>
      </c>
      <c r="AC149" s="1" t="s">
        <v>1507</v>
      </c>
      <c r="AD149" s="1" t="s">
        <v>9011</v>
      </c>
      <c r="AE149" s="1" t="s">
        <v>9011</v>
      </c>
      <c r="AF149" s="1" t="s">
        <v>9012</v>
      </c>
      <c r="AG149" s="1" t="s">
        <v>1507</v>
      </c>
      <c r="AH149" s="1">
        <v>39</v>
      </c>
      <c r="AI149" s="1">
        <v>0</v>
      </c>
      <c r="AJ149" s="1">
        <v>0</v>
      </c>
      <c r="AK149" s="1">
        <v>1</v>
      </c>
      <c r="AL149" s="1">
        <v>4</v>
      </c>
      <c r="AM149" s="1" t="s">
        <v>1582</v>
      </c>
      <c r="AN149" s="1" t="s">
        <v>1583</v>
      </c>
      <c r="AO149" s="1" t="s">
        <v>1584</v>
      </c>
      <c r="AP149" s="1" t="s">
        <v>9013</v>
      </c>
      <c r="AQ149" s="1" t="s">
        <v>9014</v>
      </c>
      <c r="AR149" s="1" t="s">
        <v>1507</v>
      </c>
      <c r="AS149" s="1" t="s">
        <v>9015</v>
      </c>
      <c r="AT149" s="1" t="s">
        <v>9016</v>
      </c>
      <c r="AU149" s="1" t="s">
        <v>5362</v>
      </c>
      <c r="AV149" s="1">
        <v>2021</v>
      </c>
      <c r="AW149" s="1">
        <v>24</v>
      </c>
      <c r="AX149" s="1">
        <v>1</v>
      </c>
      <c r="AY149" s="1" t="s">
        <v>1507</v>
      </c>
      <c r="AZ149" s="1" t="s">
        <v>1507</v>
      </c>
      <c r="BA149" s="1" t="s">
        <v>1507</v>
      </c>
      <c r="BB149" s="1" t="s">
        <v>1507</v>
      </c>
      <c r="BC149" s="1">
        <v>77</v>
      </c>
      <c r="BD149" s="1">
        <v>97</v>
      </c>
      <c r="BE149" s="1" t="s">
        <v>1507</v>
      </c>
      <c r="BF149" s="1" t="s">
        <v>9017</v>
      </c>
      <c r="BG149" s="1" t="str">
        <f>HYPERLINK("http://dx.doi.org/10.1093/jiel/jgab004","http://dx.doi.org/10.1093/jiel/jgab004")</f>
        <v>http://dx.doi.org/10.1093/jiel/jgab004</v>
      </c>
      <c r="BH149" s="1" t="s">
        <v>1507</v>
      </c>
      <c r="BI149" s="1" t="s">
        <v>8999</v>
      </c>
      <c r="BJ149" s="1">
        <v>21</v>
      </c>
      <c r="BK149" s="1" t="s">
        <v>1535</v>
      </c>
      <c r="BL149" s="1" t="s">
        <v>1518</v>
      </c>
      <c r="BM149" s="1" t="s">
        <v>1536</v>
      </c>
      <c r="BN149" s="1" t="s">
        <v>9018</v>
      </c>
      <c r="BO149" s="1" t="s">
        <v>1507</v>
      </c>
      <c r="BP149" s="1" t="s">
        <v>1507</v>
      </c>
      <c r="BQ149" s="1" t="s">
        <v>1507</v>
      </c>
      <c r="BR149" s="1" t="s">
        <v>1507</v>
      </c>
      <c r="BS149" s="1" t="s">
        <v>13744</v>
      </c>
      <c r="BT149" s="1" t="s">
        <v>9019</v>
      </c>
      <c r="BU149" s="1" t="str">
        <f>HYPERLINK("https%3A%2F%2Fwww.webofscience.com%2Fwos%2Fwoscc%2Ffull-record%2FWOS:000637295300005","View Full Record in Web of Science")</f>
        <v>View Full Record in Web of Science</v>
      </c>
    </row>
    <row r="150" spans="1:73" x14ac:dyDescent="0.25">
      <c r="A150" s="1">
        <v>171</v>
      </c>
      <c r="B150" s="1" t="s">
        <v>1506</v>
      </c>
      <c r="C150" s="1" t="s">
        <v>10682</v>
      </c>
      <c r="D150" s="1" t="s">
        <v>1507</v>
      </c>
      <c r="E150" s="1" t="s">
        <v>1507</v>
      </c>
      <c r="F150" s="1" t="s">
        <v>1507</v>
      </c>
      <c r="G150" s="1" t="s">
        <v>10683</v>
      </c>
      <c r="H150" s="1" t="s">
        <v>1507</v>
      </c>
      <c r="I150" s="1" t="s">
        <v>1507</v>
      </c>
      <c r="J150" s="1" t="s">
        <v>10684</v>
      </c>
      <c r="K150" s="1" t="s">
        <v>2324</v>
      </c>
      <c r="L150" s="1" t="s">
        <v>1507</v>
      </c>
      <c r="M150" s="1" t="s">
        <v>1507</v>
      </c>
      <c r="N150" s="1" t="s">
        <v>42</v>
      </c>
      <c r="O150" s="1" t="s">
        <v>56</v>
      </c>
      <c r="P150" s="1" t="s">
        <v>1507</v>
      </c>
      <c r="Q150" s="1" t="s">
        <v>1507</v>
      </c>
      <c r="R150" s="1" t="s">
        <v>1507</v>
      </c>
      <c r="S150" s="1" t="s">
        <v>1507</v>
      </c>
      <c r="T150" s="1" t="s">
        <v>1507</v>
      </c>
      <c r="U150" s="1" t="s">
        <v>1507</v>
      </c>
      <c r="V150" s="1" t="s">
        <v>1507</v>
      </c>
      <c r="W150" s="1" t="s">
        <v>10685</v>
      </c>
      <c r="X150" s="1" t="s">
        <v>10686</v>
      </c>
      <c r="Y150" s="1" t="s">
        <v>10687</v>
      </c>
      <c r="Z150" s="1" t="s">
        <v>10688</v>
      </c>
      <c r="AA150" s="1" t="s">
        <v>1507</v>
      </c>
      <c r="AB150" s="1" t="s">
        <v>1507</v>
      </c>
      <c r="AC150" s="1" t="s">
        <v>1507</v>
      </c>
      <c r="AD150" s="1" t="s">
        <v>10689</v>
      </c>
      <c r="AE150" s="1" t="s">
        <v>10690</v>
      </c>
      <c r="AF150" s="1" t="s">
        <v>10691</v>
      </c>
      <c r="AG150" s="1" t="s">
        <v>1507</v>
      </c>
      <c r="AH150" s="1">
        <v>38</v>
      </c>
      <c r="AI150" s="1">
        <v>4</v>
      </c>
      <c r="AJ150" s="1">
        <v>5</v>
      </c>
      <c r="AK150" s="1">
        <v>0</v>
      </c>
      <c r="AL150" s="1">
        <v>0</v>
      </c>
      <c r="AM150" s="1" t="s">
        <v>2332</v>
      </c>
      <c r="AN150" s="1" t="s">
        <v>2333</v>
      </c>
      <c r="AO150" s="1" t="s">
        <v>2334</v>
      </c>
      <c r="AP150" s="1" t="s">
        <v>2335</v>
      </c>
      <c r="AQ150" s="1" t="s">
        <v>2336</v>
      </c>
      <c r="AR150" s="1" t="s">
        <v>1507</v>
      </c>
      <c r="AS150" s="1" t="s">
        <v>2337</v>
      </c>
      <c r="AT150" s="1" t="s">
        <v>2338</v>
      </c>
      <c r="AU150" s="1" t="s">
        <v>3992</v>
      </c>
      <c r="AV150" s="1">
        <v>2019</v>
      </c>
      <c r="AW150" s="1">
        <v>42</v>
      </c>
      <c r="AX150" s="1">
        <v>3</v>
      </c>
      <c r="AY150" s="1" t="s">
        <v>1507</v>
      </c>
      <c r="AZ150" s="1" t="s">
        <v>1507</v>
      </c>
      <c r="BA150" s="1" t="s">
        <v>1507</v>
      </c>
      <c r="BB150" s="1" t="s">
        <v>1507</v>
      </c>
      <c r="BC150" s="1">
        <v>899</v>
      </c>
      <c r="BD150" s="1">
        <v>927</v>
      </c>
      <c r="BE150" s="1" t="s">
        <v>1507</v>
      </c>
      <c r="BF150" s="1" t="s">
        <v>1507</v>
      </c>
      <c r="BG150" s="1" t="s">
        <v>1507</v>
      </c>
      <c r="BH150" s="1" t="s">
        <v>1507</v>
      </c>
      <c r="BI150" s="1" t="s">
        <v>1507</v>
      </c>
      <c r="BJ150" s="1">
        <v>29</v>
      </c>
      <c r="BK150" s="1" t="s">
        <v>1535</v>
      </c>
      <c r="BL150" s="1" t="s">
        <v>1529</v>
      </c>
      <c r="BM150" s="1" t="s">
        <v>1536</v>
      </c>
      <c r="BN150" s="1" t="s">
        <v>10692</v>
      </c>
      <c r="BO150" s="1" t="s">
        <v>1507</v>
      </c>
      <c r="BP150" s="1" t="s">
        <v>1507</v>
      </c>
      <c r="BQ150" s="1" t="s">
        <v>1507</v>
      </c>
      <c r="BR150" s="1" t="s">
        <v>1507</v>
      </c>
      <c r="BS150" s="1" t="s">
        <v>13744</v>
      </c>
      <c r="BT150" s="1" t="s">
        <v>10693</v>
      </c>
      <c r="BU150" s="1" t="str">
        <f>HYPERLINK("https%3A%2F%2Fwww.webofscience.com%2Fwos%2Fwoscc%2Ffull-record%2FWOS:000488199000006","View Full Record in Web of Science")</f>
        <v>View Full Record in Web of Science</v>
      </c>
    </row>
    <row r="151" spans="1:73" x14ac:dyDescent="0.25">
      <c r="A151" s="1">
        <v>172</v>
      </c>
      <c r="B151" s="1" t="s">
        <v>1506</v>
      </c>
      <c r="C151" s="1" t="s">
        <v>9390</v>
      </c>
      <c r="D151" s="1" t="s">
        <v>1507</v>
      </c>
      <c r="E151" s="1" t="s">
        <v>1507</v>
      </c>
      <c r="F151" s="1" t="s">
        <v>1507</v>
      </c>
      <c r="G151" s="1" t="s">
        <v>9391</v>
      </c>
      <c r="H151" s="1" t="s">
        <v>1507</v>
      </c>
      <c r="I151" s="1" t="s">
        <v>1507</v>
      </c>
      <c r="J151" s="1" t="s">
        <v>9392</v>
      </c>
      <c r="K151" s="1" t="s">
        <v>9393</v>
      </c>
      <c r="L151" s="1" t="s">
        <v>1507</v>
      </c>
      <c r="M151" s="1" t="s">
        <v>1507</v>
      </c>
      <c r="N151" s="1" t="s">
        <v>42</v>
      </c>
      <c r="O151" s="1" t="s">
        <v>56</v>
      </c>
      <c r="P151" s="1" t="s">
        <v>1507</v>
      </c>
      <c r="Q151" s="1" t="s">
        <v>1507</v>
      </c>
      <c r="R151" s="1" t="s">
        <v>1507</v>
      </c>
      <c r="S151" s="1" t="s">
        <v>1507</v>
      </c>
      <c r="T151" s="1" t="s">
        <v>1507</v>
      </c>
      <c r="U151" s="1" t="s">
        <v>9394</v>
      </c>
      <c r="V151" s="1" t="s">
        <v>9395</v>
      </c>
      <c r="W151" s="1" t="s">
        <v>9396</v>
      </c>
      <c r="X151" s="1" t="s">
        <v>9397</v>
      </c>
      <c r="Y151" s="1" t="s">
        <v>9398</v>
      </c>
      <c r="Z151" s="1" t="s">
        <v>9399</v>
      </c>
      <c r="AA151" s="1" t="s">
        <v>9400</v>
      </c>
      <c r="AB151" s="1" t="s">
        <v>15787</v>
      </c>
      <c r="AC151" s="1" t="s">
        <v>15788</v>
      </c>
      <c r="AD151" s="1" t="s">
        <v>9401</v>
      </c>
      <c r="AE151" s="1" t="s">
        <v>9402</v>
      </c>
      <c r="AF151" s="1" t="s">
        <v>9403</v>
      </c>
      <c r="AG151" s="1" t="s">
        <v>1507</v>
      </c>
      <c r="AH151" s="1">
        <v>46</v>
      </c>
      <c r="AI151" s="1">
        <v>19</v>
      </c>
      <c r="AJ151" s="1">
        <v>19</v>
      </c>
      <c r="AK151" s="1">
        <v>5</v>
      </c>
      <c r="AL151" s="1">
        <v>94</v>
      </c>
      <c r="AM151" s="1" t="s">
        <v>2372</v>
      </c>
      <c r="AN151" s="1" t="s">
        <v>2300</v>
      </c>
      <c r="AO151" s="1" t="s">
        <v>2373</v>
      </c>
      <c r="AP151" s="1" t="s">
        <v>9404</v>
      </c>
      <c r="AQ151" s="1" t="s">
        <v>1507</v>
      </c>
      <c r="AR151" s="1" t="s">
        <v>1507</v>
      </c>
      <c r="AS151" s="1" t="s">
        <v>9393</v>
      </c>
      <c r="AT151" s="1" t="s">
        <v>9405</v>
      </c>
      <c r="AU151" s="1" t="s">
        <v>9406</v>
      </c>
      <c r="AV151" s="1">
        <v>2020</v>
      </c>
      <c r="AW151" s="1">
        <v>5</v>
      </c>
      <c r="AX151" s="1">
        <v>11</v>
      </c>
      <c r="AY151" s="1" t="s">
        <v>1507</v>
      </c>
      <c r="AZ151" s="1" t="s">
        <v>1507</v>
      </c>
      <c r="BA151" s="1" t="s">
        <v>1507</v>
      </c>
      <c r="BB151" s="1" t="s">
        <v>1507</v>
      </c>
      <c r="BC151" s="1">
        <v>3599</v>
      </c>
      <c r="BD151" s="1">
        <v>3606</v>
      </c>
      <c r="BE151" s="1" t="s">
        <v>1507</v>
      </c>
      <c r="BF151" s="1" t="s">
        <v>9407</v>
      </c>
      <c r="BG151" s="1" t="str">
        <f>HYPERLINK("http://dx.doi.org/10.1021/acssensors.0c01908","http://dx.doi.org/10.1021/acssensors.0c01908")</f>
        <v>http://dx.doi.org/10.1021/acssensors.0c01908</v>
      </c>
      <c r="BH151" s="1" t="s">
        <v>1507</v>
      </c>
      <c r="BI151" s="1" t="s">
        <v>1507</v>
      </c>
      <c r="BJ151" s="1">
        <v>8</v>
      </c>
      <c r="BK151" s="1" t="s">
        <v>9408</v>
      </c>
      <c r="BL151" s="1" t="s">
        <v>1573</v>
      </c>
      <c r="BM151" s="1" t="s">
        <v>9409</v>
      </c>
      <c r="BN151" s="1" t="s">
        <v>9410</v>
      </c>
      <c r="BO151" s="1">
        <v>33155795</v>
      </c>
      <c r="BP151" s="1" t="s">
        <v>1507</v>
      </c>
      <c r="BQ151" s="1" t="s">
        <v>1507</v>
      </c>
      <c r="BR151" s="1" t="s">
        <v>1507</v>
      </c>
      <c r="BS151" s="1" t="s">
        <v>13744</v>
      </c>
      <c r="BT151" s="1" t="s">
        <v>9411</v>
      </c>
      <c r="BU151" s="1" t="str">
        <f>HYPERLINK("https%3A%2F%2Fwww.webofscience.com%2Fwos%2Fwoscc%2Ffull-record%2FWOS:000595550100032","View Full Record in Web of Science")</f>
        <v>View Full Record in Web of Science</v>
      </c>
    </row>
    <row r="152" spans="1:73" x14ac:dyDescent="0.25">
      <c r="A152" s="1">
        <v>173</v>
      </c>
      <c r="B152" s="1" t="s">
        <v>1506</v>
      </c>
      <c r="C152" s="1" t="s">
        <v>7444</v>
      </c>
      <c r="D152" s="1" t="s">
        <v>1507</v>
      </c>
      <c r="E152" s="1" t="s">
        <v>1507</v>
      </c>
      <c r="F152" s="1" t="s">
        <v>1507</v>
      </c>
      <c r="G152" s="1" t="s">
        <v>7445</v>
      </c>
      <c r="H152" s="1" t="s">
        <v>1507</v>
      </c>
      <c r="I152" s="1" t="s">
        <v>1507</v>
      </c>
      <c r="J152" s="1" t="s">
        <v>7446</v>
      </c>
      <c r="K152" s="1" t="s">
        <v>6997</v>
      </c>
      <c r="L152" s="1" t="s">
        <v>1507</v>
      </c>
      <c r="M152" s="1" t="s">
        <v>1507</v>
      </c>
      <c r="N152" s="1" t="s">
        <v>42</v>
      </c>
      <c r="O152" s="1" t="s">
        <v>56</v>
      </c>
      <c r="P152" s="1" t="s">
        <v>1507</v>
      </c>
      <c r="Q152" s="1" t="s">
        <v>1507</v>
      </c>
      <c r="R152" s="1" t="s">
        <v>1507</v>
      </c>
      <c r="S152" s="1" t="s">
        <v>1507</v>
      </c>
      <c r="T152" s="1" t="s">
        <v>1507</v>
      </c>
      <c r="U152" s="1" t="s">
        <v>7447</v>
      </c>
      <c r="V152" s="1" t="s">
        <v>7448</v>
      </c>
      <c r="W152" s="1" t="s">
        <v>7449</v>
      </c>
      <c r="X152" s="1" t="s">
        <v>7450</v>
      </c>
      <c r="Y152" s="1" t="s">
        <v>7451</v>
      </c>
      <c r="Z152" s="1" t="s">
        <v>7452</v>
      </c>
      <c r="AA152" s="1" t="s">
        <v>7453</v>
      </c>
      <c r="AB152" s="1" t="s">
        <v>1507</v>
      </c>
      <c r="AC152" s="1" t="s">
        <v>1507</v>
      </c>
      <c r="AD152" s="1" t="s">
        <v>7454</v>
      </c>
      <c r="AE152" s="1" t="s">
        <v>7455</v>
      </c>
      <c r="AF152" s="1" t="s">
        <v>7456</v>
      </c>
      <c r="AG152" s="1" t="s">
        <v>1507</v>
      </c>
      <c r="AH152" s="1">
        <v>76</v>
      </c>
      <c r="AI152" s="1">
        <v>1</v>
      </c>
      <c r="AJ152" s="1">
        <v>1</v>
      </c>
      <c r="AK152" s="1">
        <v>0</v>
      </c>
      <c r="AL152" s="1">
        <v>7</v>
      </c>
      <c r="AM152" s="1" t="s">
        <v>7009</v>
      </c>
      <c r="AN152" s="1" t="s">
        <v>7010</v>
      </c>
      <c r="AO152" s="1" t="s">
        <v>7011</v>
      </c>
      <c r="AP152" s="1" t="s">
        <v>7012</v>
      </c>
      <c r="AQ152" s="1" t="s">
        <v>1507</v>
      </c>
      <c r="AR152" s="1" t="s">
        <v>1507</v>
      </c>
      <c r="AS152" s="1" t="s">
        <v>7013</v>
      </c>
      <c r="AT152" s="1" t="s">
        <v>7014</v>
      </c>
      <c r="AU152" s="1" t="s">
        <v>5362</v>
      </c>
      <c r="AV152" s="1">
        <v>2022</v>
      </c>
      <c r="AW152" s="1">
        <v>17</v>
      </c>
      <c r="AX152" s="1">
        <v>1</v>
      </c>
      <c r="AY152" s="1" t="s">
        <v>1507</v>
      </c>
      <c r="AZ152" s="1" t="s">
        <v>1507</v>
      </c>
      <c r="BA152" s="1" t="s">
        <v>1507</v>
      </c>
      <c r="BB152" s="1" t="s">
        <v>1507</v>
      </c>
      <c r="BC152" s="1">
        <v>239</v>
      </c>
      <c r="BD152" s="1">
        <v>278</v>
      </c>
      <c r="BE152" s="1" t="s">
        <v>1507</v>
      </c>
      <c r="BF152" s="1" t="s">
        <v>1507</v>
      </c>
      <c r="BG152" s="1" t="s">
        <v>1507</v>
      </c>
      <c r="BH152" s="1" t="s">
        <v>1507</v>
      </c>
      <c r="BI152" s="1" t="s">
        <v>1507</v>
      </c>
      <c r="BJ152" s="1">
        <v>40</v>
      </c>
      <c r="BK152" s="1" t="s">
        <v>7015</v>
      </c>
      <c r="BL152" s="1" t="s">
        <v>1518</v>
      </c>
      <c r="BM152" s="1" t="s">
        <v>7016</v>
      </c>
      <c r="BN152" s="1" t="s">
        <v>7457</v>
      </c>
      <c r="BO152" s="1" t="s">
        <v>1507</v>
      </c>
      <c r="BP152" s="1" t="s">
        <v>1507</v>
      </c>
      <c r="BQ152" s="1" t="s">
        <v>1507</v>
      </c>
      <c r="BR152" s="1" t="s">
        <v>1507</v>
      </c>
      <c r="BS152" s="1" t="s">
        <v>13744</v>
      </c>
      <c r="BT152" s="1" t="s">
        <v>7458</v>
      </c>
      <c r="BU152" s="1" t="str">
        <f>HYPERLINK("https%3A%2F%2Fwww.webofscience.com%2Fwos%2Fwoscc%2Ffull-record%2FWOS:000779845300009","View Full Record in Web of Science")</f>
        <v>View Full Record in Web of Science</v>
      </c>
    </row>
    <row r="153" spans="1:73" x14ac:dyDescent="0.25">
      <c r="A153" s="1">
        <v>174</v>
      </c>
      <c r="B153" s="1" t="s">
        <v>5546</v>
      </c>
      <c r="C153" s="1" t="s">
        <v>14961</v>
      </c>
      <c r="D153" s="1" t="s">
        <v>1507</v>
      </c>
      <c r="E153" s="1" t="s">
        <v>14962</v>
      </c>
      <c r="F153" s="1" t="s">
        <v>1507</v>
      </c>
      <c r="G153" s="1" t="s">
        <v>14963</v>
      </c>
      <c r="H153" s="1" t="s">
        <v>1507</v>
      </c>
      <c r="I153" s="1" t="s">
        <v>1507</v>
      </c>
      <c r="J153" s="1" t="s">
        <v>14964</v>
      </c>
      <c r="K153" s="1" t="s">
        <v>14965</v>
      </c>
      <c r="L153" s="1" t="s">
        <v>6208</v>
      </c>
      <c r="M153" s="1" t="s">
        <v>1507</v>
      </c>
      <c r="N153" s="1" t="s">
        <v>42</v>
      </c>
      <c r="O153" s="1" t="s">
        <v>5552</v>
      </c>
      <c r="P153" s="1" t="s">
        <v>14966</v>
      </c>
      <c r="Q153" s="1" t="s">
        <v>14967</v>
      </c>
      <c r="R153" s="1" t="s">
        <v>14968</v>
      </c>
      <c r="S153" s="1" t="s">
        <v>14969</v>
      </c>
      <c r="T153" s="1" t="s">
        <v>1507</v>
      </c>
      <c r="U153" s="1" t="s">
        <v>14970</v>
      </c>
      <c r="V153" s="1" t="s">
        <v>1507</v>
      </c>
      <c r="W153" s="1" t="s">
        <v>14971</v>
      </c>
      <c r="X153" s="1" t="s">
        <v>14972</v>
      </c>
      <c r="Y153" s="1" t="s">
        <v>14973</v>
      </c>
      <c r="Z153" s="1" t="s">
        <v>14974</v>
      </c>
      <c r="AA153" s="1" t="s">
        <v>14975</v>
      </c>
      <c r="AB153" s="1" t="s">
        <v>14976</v>
      </c>
      <c r="AC153" s="1" t="s">
        <v>14977</v>
      </c>
      <c r="AD153" s="1" t="s">
        <v>1507</v>
      </c>
      <c r="AE153" s="1" t="s">
        <v>1507</v>
      </c>
      <c r="AF153" s="1" t="s">
        <v>1507</v>
      </c>
      <c r="AG153" s="1" t="s">
        <v>1507</v>
      </c>
      <c r="AH153" s="1">
        <v>18</v>
      </c>
      <c r="AI153" s="1">
        <v>1</v>
      </c>
      <c r="AJ153" s="1">
        <v>1</v>
      </c>
      <c r="AK153" s="1">
        <v>6</v>
      </c>
      <c r="AL153" s="1">
        <v>6</v>
      </c>
      <c r="AM153" s="1" t="s">
        <v>6221</v>
      </c>
      <c r="AN153" s="1" t="s">
        <v>6222</v>
      </c>
      <c r="AO153" s="1" t="s">
        <v>6223</v>
      </c>
      <c r="AP153" s="1" t="s">
        <v>6224</v>
      </c>
      <c r="AQ153" s="1" t="s">
        <v>6225</v>
      </c>
      <c r="AR153" s="1" t="s">
        <v>14978</v>
      </c>
      <c r="AS153" s="1" t="s">
        <v>6227</v>
      </c>
      <c r="AT153" s="1" t="s">
        <v>1507</v>
      </c>
      <c r="AU153" s="1" t="s">
        <v>1507</v>
      </c>
      <c r="AV153" s="1">
        <v>2023</v>
      </c>
      <c r="AW153" s="1">
        <v>14409</v>
      </c>
      <c r="AX153" s="1" t="s">
        <v>1507</v>
      </c>
      <c r="AY153" s="1" t="s">
        <v>1507</v>
      </c>
      <c r="AZ153" s="1" t="s">
        <v>1507</v>
      </c>
      <c r="BA153" s="1" t="s">
        <v>1507</v>
      </c>
      <c r="BB153" s="1" t="s">
        <v>1507</v>
      </c>
      <c r="BC153" s="1">
        <v>169</v>
      </c>
      <c r="BD153" s="1">
        <v>188</v>
      </c>
      <c r="BE153" s="1" t="s">
        <v>1507</v>
      </c>
      <c r="BF153" s="1" t="s">
        <v>1438</v>
      </c>
      <c r="BG153" s="1" t="str">
        <f>HYPERLINK("http://dx.doi.org/10.1007/978-981-99-8385-8_14","http://dx.doi.org/10.1007/978-981-99-8385-8_14")</f>
        <v>http://dx.doi.org/10.1007/978-981-99-8385-8_14</v>
      </c>
      <c r="BH153" s="1" t="s">
        <v>1507</v>
      </c>
      <c r="BI153" s="1" t="s">
        <v>1507</v>
      </c>
      <c r="BJ153" s="1">
        <v>20</v>
      </c>
      <c r="BK153" s="1" t="s">
        <v>14979</v>
      </c>
      <c r="BL153" s="1" t="s">
        <v>5695</v>
      </c>
      <c r="BM153" s="1" t="s">
        <v>6108</v>
      </c>
      <c r="BN153" s="1" t="s">
        <v>14980</v>
      </c>
      <c r="BO153" s="1" t="s">
        <v>1507</v>
      </c>
      <c r="BP153" s="1" t="s">
        <v>1600</v>
      </c>
      <c r="BQ153" s="1" t="s">
        <v>1507</v>
      </c>
      <c r="BR153" s="1" t="s">
        <v>1507</v>
      </c>
      <c r="BS153" s="1" t="s">
        <v>13744</v>
      </c>
      <c r="BT153" s="1" t="s">
        <v>14981</v>
      </c>
      <c r="BU153" s="1" t="str">
        <f>HYPERLINK("https%3A%2F%2Fwww.webofscience.com%2Fwos%2Fwoscc%2Ffull-record%2FWOS:001162054600014","View Full Record in Web of Science")</f>
        <v>View Full Record in Web of Science</v>
      </c>
    </row>
    <row r="154" spans="1:73" x14ac:dyDescent="0.25">
      <c r="A154" s="1">
        <v>175</v>
      </c>
      <c r="B154" s="1" t="s">
        <v>5546</v>
      </c>
      <c r="C154" s="1" t="s">
        <v>7736</v>
      </c>
      <c r="D154" s="1" t="s">
        <v>1507</v>
      </c>
      <c r="E154" s="1" t="s">
        <v>7737</v>
      </c>
      <c r="F154" s="1" t="s">
        <v>1507</v>
      </c>
      <c r="G154" s="1" t="s">
        <v>7738</v>
      </c>
      <c r="H154" s="1" t="s">
        <v>1507</v>
      </c>
      <c r="I154" s="1" t="s">
        <v>1507</v>
      </c>
      <c r="J154" s="1" t="s">
        <v>7739</v>
      </c>
      <c r="K154" s="1" t="s">
        <v>7740</v>
      </c>
      <c r="L154" s="1" t="s">
        <v>6208</v>
      </c>
      <c r="M154" s="1" t="s">
        <v>1507</v>
      </c>
      <c r="N154" s="1" t="s">
        <v>42</v>
      </c>
      <c r="O154" s="1" t="s">
        <v>5552</v>
      </c>
      <c r="P154" s="1" t="s">
        <v>7741</v>
      </c>
      <c r="Q154" s="1" t="s">
        <v>7742</v>
      </c>
      <c r="R154" s="1" t="s">
        <v>6057</v>
      </c>
      <c r="S154" s="1" t="s">
        <v>1507</v>
      </c>
      <c r="T154" s="1" t="s">
        <v>1507</v>
      </c>
      <c r="U154" s="1" t="s">
        <v>1507</v>
      </c>
      <c r="V154" s="1" t="s">
        <v>7743</v>
      </c>
      <c r="W154" s="1" t="s">
        <v>7744</v>
      </c>
      <c r="X154" s="1" t="s">
        <v>7745</v>
      </c>
      <c r="Y154" s="1" t="s">
        <v>7746</v>
      </c>
      <c r="Z154" s="1" t="s">
        <v>7747</v>
      </c>
      <c r="AA154" s="1" t="s">
        <v>7748</v>
      </c>
      <c r="AB154" s="1" t="s">
        <v>1507</v>
      </c>
      <c r="AC154" s="1" t="s">
        <v>7749</v>
      </c>
      <c r="AD154" s="1" t="s">
        <v>7750</v>
      </c>
      <c r="AE154" s="1" t="s">
        <v>7751</v>
      </c>
      <c r="AF154" s="1" t="s">
        <v>7752</v>
      </c>
      <c r="AG154" s="1" t="s">
        <v>1507</v>
      </c>
      <c r="AH154" s="1">
        <v>47</v>
      </c>
      <c r="AI154" s="1">
        <v>1</v>
      </c>
      <c r="AJ154" s="1">
        <v>1</v>
      </c>
      <c r="AK154" s="1">
        <v>1</v>
      </c>
      <c r="AL154" s="1">
        <v>1</v>
      </c>
      <c r="AM154" s="1" t="s">
        <v>6221</v>
      </c>
      <c r="AN154" s="1" t="s">
        <v>6222</v>
      </c>
      <c r="AO154" s="1" t="s">
        <v>6223</v>
      </c>
      <c r="AP154" s="1" t="s">
        <v>6224</v>
      </c>
      <c r="AQ154" s="1" t="s">
        <v>6225</v>
      </c>
      <c r="AR154" s="1" t="s">
        <v>7753</v>
      </c>
      <c r="AS154" s="1" t="s">
        <v>6227</v>
      </c>
      <c r="AT154" s="1" t="s">
        <v>1507</v>
      </c>
      <c r="AU154" s="1" t="s">
        <v>1507</v>
      </c>
      <c r="AV154" s="1">
        <v>2022</v>
      </c>
      <c r="AW154" s="1">
        <v>13289</v>
      </c>
      <c r="AX154" s="1" t="s">
        <v>1507</v>
      </c>
      <c r="AY154" s="1" t="s">
        <v>1507</v>
      </c>
      <c r="AZ154" s="1" t="s">
        <v>1507</v>
      </c>
      <c r="BA154" s="1" t="s">
        <v>1507</v>
      </c>
      <c r="BB154" s="1" t="s">
        <v>1507</v>
      </c>
      <c r="BC154" s="1">
        <v>44</v>
      </c>
      <c r="BD154" s="1">
        <v>64</v>
      </c>
      <c r="BE154" s="1" t="s">
        <v>1507</v>
      </c>
      <c r="BF154" s="1" t="s">
        <v>7754</v>
      </c>
      <c r="BG154" s="1" t="str">
        <f>HYPERLINK("http://dx.doi.org/10.1007/978-3-031-07312-0_3","http://dx.doi.org/10.1007/978-3-031-07312-0_3")</f>
        <v>http://dx.doi.org/10.1007/978-3-031-07312-0_3</v>
      </c>
      <c r="BH154" s="1" t="s">
        <v>1507</v>
      </c>
      <c r="BI154" s="1" t="s">
        <v>1507</v>
      </c>
      <c r="BJ154" s="1">
        <v>21</v>
      </c>
      <c r="BK154" s="1" t="s">
        <v>1603</v>
      </c>
      <c r="BL154" s="1" t="s">
        <v>5570</v>
      </c>
      <c r="BM154" s="1" t="s">
        <v>1577</v>
      </c>
      <c r="BN154" s="1" t="s">
        <v>7755</v>
      </c>
      <c r="BO154" s="1" t="s">
        <v>1507</v>
      </c>
      <c r="BP154" s="1" t="s">
        <v>1507</v>
      </c>
      <c r="BQ154" s="1" t="s">
        <v>1507</v>
      </c>
      <c r="BR154" s="1" t="s">
        <v>1507</v>
      </c>
      <c r="BS154" s="1" t="s">
        <v>13744</v>
      </c>
      <c r="BT154" s="1" t="s">
        <v>7756</v>
      </c>
      <c r="BU154" s="1" t="str">
        <f>HYPERLINK("https%3A%2F%2Fwww.webofscience.com%2Fwos%2Fwoscc%2Ffull-record%2FWOS:000871773100003","View Full Record in Web of Science")</f>
        <v>View Full Record in Web of Science</v>
      </c>
    </row>
    <row r="155" spans="1:73" x14ac:dyDescent="0.25">
      <c r="A155" s="1">
        <v>177</v>
      </c>
      <c r="B155" s="1" t="s">
        <v>1506</v>
      </c>
      <c r="C155" s="1" t="s">
        <v>2980</v>
      </c>
      <c r="D155" s="1" t="s">
        <v>1507</v>
      </c>
      <c r="E155" s="1" t="s">
        <v>1507</v>
      </c>
      <c r="F155" s="1" t="s">
        <v>1507</v>
      </c>
      <c r="G155" s="1" t="s">
        <v>2981</v>
      </c>
      <c r="H155" s="1" t="s">
        <v>1507</v>
      </c>
      <c r="I155" s="1" t="s">
        <v>1507</v>
      </c>
      <c r="J155" s="1" t="s">
        <v>1177</v>
      </c>
      <c r="K155" s="1" t="s">
        <v>2982</v>
      </c>
      <c r="L155" s="1" t="s">
        <v>1507</v>
      </c>
      <c r="M155" s="1" t="s">
        <v>1507</v>
      </c>
      <c r="N155" s="1" t="s">
        <v>42</v>
      </c>
      <c r="O155" s="1" t="s">
        <v>1509</v>
      </c>
      <c r="P155" s="1" t="s">
        <v>1507</v>
      </c>
      <c r="Q155" s="1" t="s">
        <v>1507</v>
      </c>
      <c r="R155" s="1" t="s">
        <v>1507</v>
      </c>
      <c r="S155" s="1" t="s">
        <v>1507</v>
      </c>
      <c r="T155" s="1" t="s">
        <v>1507</v>
      </c>
      <c r="U155" s="1" t="s">
        <v>2983</v>
      </c>
      <c r="V155" s="1" t="s">
        <v>1507</v>
      </c>
      <c r="W155" s="1" t="s">
        <v>2984</v>
      </c>
      <c r="X155" s="1" t="s">
        <v>2985</v>
      </c>
      <c r="Y155" s="1" t="s">
        <v>1507</v>
      </c>
      <c r="Z155" s="1" t="s">
        <v>2986</v>
      </c>
      <c r="AA155" s="1" t="s">
        <v>2987</v>
      </c>
      <c r="AB155" s="1" t="s">
        <v>1507</v>
      </c>
      <c r="AC155" s="1" t="s">
        <v>1507</v>
      </c>
      <c r="AD155" s="1" t="s">
        <v>2988</v>
      </c>
      <c r="AE155" s="1" t="s">
        <v>2988</v>
      </c>
      <c r="AF155" s="1" t="s">
        <v>2989</v>
      </c>
      <c r="AG155" s="1" t="s">
        <v>1507</v>
      </c>
      <c r="AH155" s="1">
        <v>46</v>
      </c>
      <c r="AI155" s="1">
        <v>1</v>
      </c>
      <c r="AJ155" s="1">
        <v>1</v>
      </c>
      <c r="AK155" s="1">
        <v>10</v>
      </c>
      <c r="AL155" s="1">
        <v>10</v>
      </c>
      <c r="AM155" s="1" t="s">
        <v>1511</v>
      </c>
      <c r="AN155" s="1" t="s">
        <v>1512</v>
      </c>
      <c r="AO155" s="1" t="s">
        <v>1513</v>
      </c>
      <c r="AP155" s="1" t="s">
        <v>2990</v>
      </c>
      <c r="AQ155" s="1" t="s">
        <v>2991</v>
      </c>
      <c r="AR155" s="1" t="s">
        <v>1507</v>
      </c>
      <c r="AS155" s="1" t="s">
        <v>2992</v>
      </c>
      <c r="AT155" s="1" t="s">
        <v>1185</v>
      </c>
      <c r="AU155" s="1" t="s">
        <v>2993</v>
      </c>
      <c r="AV155" s="1">
        <v>2023</v>
      </c>
      <c r="AW155" s="1" t="s">
        <v>1507</v>
      </c>
      <c r="AX155" s="1" t="s">
        <v>1507</v>
      </c>
      <c r="AY155" s="1" t="s">
        <v>1507</v>
      </c>
      <c r="AZ155" s="1" t="s">
        <v>1507</v>
      </c>
      <c r="BA155" s="1" t="s">
        <v>1507</v>
      </c>
      <c r="BB155" s="1" t="s">
        <v>1507</v>
      </c>
      <c r="BC155" s="1" t="s">
        <v>1507</v>
      </c>
      <c r="BD155" s="1" t="s">
        <v>1507</v>
      </c>
      <c r="BE155" s="1" t="s">
        <v>1507</v>
      </c>
      <c r="BF155" s="1" t="s">
        <v>1179</v>
      </c>
      <c r="BG155" s="1" t="str">
        <f>HYPERLINK("http://dx.doi.org/10.1007/s00146-023-01791-1","http://dx.doi.org/10.1007/s00146-023-01791-1")</f>
        <v>http://dx.doi.org/10.1007/s00146-023-01791-1</v>
      </c>
      <c r="BH155" s="1" t="s">
        <v>1507</v>
      </c>
      <c r="BI155" s="1" t="s">
        <v>2891</v>
      </c>
      <c r="BJ155" s="1">
        <v>13</v>
      </c>
      <c r="BK155" s="1" t="s">
        <v>2994</v>
      </c>
      <c r="BL155" s="1" t="s">
        <v>1529</v>
      </c>
      <c r="BM155" s="1" t="s">
        <v>1577</v>
      </c>
      <c r="BN155" s="1" t="s">
        <v>2995</v>
      </c>
      <c r="BO155" s="1" t="s">
        <v>1507</v>
      </c>
      <c r="BP155" s="1" t="s">
        <v>1574</v>
      </c>
      <c r="BQ155" s="1" t="s">
        <v>1507</v>
      </c>
      <c r="BR155" s="1" t="s">
        <v>1507</v>
      </c>
      <c r="BS155" s="1" t="s">
        <v>13744</v>
      </c>
      <c r="BT155" s="1" t="s">
        <v>2996</v>
      </c>
      <c r="BU155" s="1" t="str">
        <f>HYPERLINK("https%3A%2F%2Fwww.webofscience.com%2Fwos%2Fwoscc%2Ffull-record%2FWOS:001118598200001","View Full Record in Web of Science")</f>
        <v>View Full Record in Web of Science</v>
      </c>
    </row>
    <row r="156" spans="1:73" x14ac:dyDescent="0.25">
      <c r="A156" s="1">
        <v>178</v>
      </c>
      <c r="B156" s="1" t="s">
        <v>1506</v>
      </c>
      <c r="C156" s="1" t="s">
        <v>3840</v>
      </c>
      <c r="D156" s="1" t="s">
        <v>1507</v>
      </c>
      <c r="E156" s="1" t="s">
        <v>1507</v>
      </c>
      <c r="F156" s="1" t="s">
        <v>1507</v>
      </c>
      <c r="G156" s="1" t="s">
        <v>3841</v>
      </c>
      <c r="H156" s="1" t="s">
        <v>1507</v>
      </c>
      <c r="I156" s="1" t="s">
        <v>3842</v>
      </c>
      <c r="J156" s="1" t="s">
        <v>3843</v>
      </c>
      <c r="K156" s="1" t="s">
        <v>3844</v>
      </c>
      <c r="L156" s="1" t="s">
        <v>1507</v>
      </c>
      <c r="M156" s="1" t="s">
        <v>1507</v>
      </c>
      <c r="N156" s="1" t="s">
        <v>42</v>
      </c>
      <c r="O156" s="1" t="s">
        <v>56</v>
      </c>
      <c r="P156" s="1" t="s">
        <v>1507</v>
      </c>
      <c r="Q156" s="1" t="s">
        <v>1507</v>
      </c>
      <c r="R156" s="1" t="s">
        <v>1507</v>
      </c>
      <c r="S156" s="1" t="s">
        <v>1507</v>
      </c>
      <c r="T156" s="1" t="s">
        <v>1507</v>
      </c>
      <c r="U156" s="1" t="s">
        <v>3845</v>
      </c>
      <c r="V156" s="1" t="s">
        <v>1507</v>
      </c>
      <c r="W156" s="1" t="s">
        <v>3846</v>
      </c>
      <c r="X156" s="1" t="s">
        <v>3847</v>
      </c>
      <c r="Y156" s="1" t="s">
        <v>14503</v>
      </c>
      <c r="Z156" s="1" t="s">
        <v>3848</v>
      </c>
      <c r="AA156" s="1" t="s">
        <v>3849</v>
      </c>
      <c r="AB156" s="1" t="s">
        <v>14504</v>
      </c>
      <c r="AC156" s="1" t="s">
        <v>14505</v>
      </c>
      <c r="AD156" s="1" t="s">
        <v>3850</v>
      </c>
      <c r="AE156" s="1" t="s">
        <v>3850</v>
      </c>
      <c r="AF156" s="1" t="s">
        <v>3851</v>
      </c>
      <c r="AG156" s="1" t="s">
        <v>1507</v>
      </c>
      <c r="AH156" s="1">
        <v>36</v>
      </c>
      <c r="AI156" s="1">
        <v>1</v>
      </c>
      <c r="AJ156" s="1">
        <v>1</v>
      </c>
      <c r="AK156" s="1">
        <v>3</v>
      </c>
      <c r="AL156" s="1">
        <v>3</v>
      </c>
      <c r="AM156" s="1" t="s">
        <v>3564</v>
      </c>
      <c r="AN156" s="1" t="s">
        <v>1523</v>
      </c>
      <c r="AO156" s="1" t="s">
        <v>3565</v>
      </c>
      <c r="AP156" s="1" t="s">
        <v>1507</v>
      </c>
      <c r="AQ156" s="1" t="s">
        <v>3852</v>
      </c>
      <c r="AR156" s="1" t="s">
        <v>1507</v>
      </c>
      <c r="AS156" s="1" t="s">
        <v>3853</v>
      </c>
      <c r="AT156" s="1" t="s">
        <v>3854</v>
      </c>
      <c r="AU156" s="1" t="s">
        <v>3855</v>
      </c>
      <c r="AV156" s="1">
        <v>2023</v>
      </c>
      <c r="AW156" s="1">
        <v>7</v>
      </c>
      <c r="AX156" s="1">
        <v>1</v>
      </c>
      <c r="AY156" s="1" t="s">
        <v>1507</v>
      </c>
      <c r="AZ156" s="1" t="s">
        <v>1507</v>
      </c>
      <c r="BA156" s="1" t="s">
        <v>1507</v>
      </c>
      <c r="BB156" s="1" t="s">
        <v>1507</v>
      </c>
      <c r="BC156" s="1" t="s">
        <v>1507</v>
      </c>
      <c r="BD156" s="1" t="s">
        <v>1507</v>
      </c>
      <c r="BE156" s="1" t="s">
        <v>3856</v>
      </c>
      <c r="BF156" s="1" t="s">
        <v>3857</v>
      </c>
      <c r="BG156" s="1" t="str">
        <f>HYPERLINK("http://dx.doi.org/10.1017/cts.2023.619","http://dx.doi.org/10.1017/cts.2023.619")</f>
        <v>http://dx.doi.org/10.1017/cts.2023.619</v>
      </c>
      <c r="BH156" s="1" t="s">
        <v>1507</v>
      </c>
      <c r="BI156" s="1" t="s">
        <v>1507</v>
      </c>
      <c r="BJ156" s="1">
        <v>10</v>
      </c>
      <c r="BK156" s="1" t="s">
        <v>3858</v>
      </c>
      <c r="BL156" s="1" t="s">
        <v>1529</v>
      </c>
      <c r="BM156" s="1" t="s">
        <v>3859</v>
      </c>
      <c r="BN156" s="1" t="s">
        <v>3860</v>
      </c>
      <c r="BO156" s="1">
        <v>37900350</v>
      </c>
      <c r="BP156" s="1" t="s">
        <v>1952</v>
      </c>
      <c r="BQ156" s="1" t="s">
        <v>1507</v>
      </c>
      <c r="BR156" s="1" t="s">
        <v>1507</v>
      </c>
      <c r="BS156" s="1" t="s">
        <v>13744</v>
      </c>
      <c r="BT156" s="1" t="s">
        <v>3861</v>
      </c>
      <c r="BU156" s="1" t="str">
        <f>HYPERLINK("https%3A%2F%2Fwww.webofscience.com%2Fwos%2Fwoscc%2Ffull-record%2FWOS:001086202500001","View Full Record in Web of Science")</f>
        <v>View Full Record in Web of Science</v>
      </c>
    </row>
    <row r="157" spans="1:73" x14ac:dyDescent="0.25">
      <c r="A157" s="1">
        <v>179</v>
      </c>
      <c r="B157" s="1" t="s">
        <v>1506</v>
      </c>
      <c r="C157" s="1" t="s">
        <v>8321</v>
      </c>
      <c r="D157" s="1" t="s">
        <v>1507</v>
      </c>
      <c r="E157" s="1" t="s">
        <v>1507</v>
      </c>
      <c r="F157" s="1" t="s">
        <v>1507</v>
      </c>
      <c r="G157" s="1" t="s">
        <v>8322</v>
      </c>
      <c r="H157" s="1" t="s">
        <v>1507</v>
      </c>
      <c r="I157" s="1" t="s">
        <v>1507</v>
      </c>
      <c r="J157" s="1" t="s">
        <v>8323</v>
      </c>
      <c r="K157" s="1" t="s">
        <v>4793</v>
      </c>
      <c r="L157" s="1" t="s">
        <v>1507</v>
      </c>
      <c r="M157" s="1" t="s">
        <v>1507</v>
      </c>
      <c r="N157" s="1" t="s">
        <v>42</v>
      </c>
      <c r="O157" s="1" t="s">
        <v>56</v>
      </c>
      <c r="P157" s="1" t="s">
        <v>1507</v>
      </c>
      <c r="Q157" s="1" t="s">
        <v>1507</v>
      </c>
      <c r="R157" s="1" t="s">
        <v>1507</v>
      </c>
      <c r="S157" s="1" t="s">
        <v>1507</v>
      </c>
      <c r="T157" s="1" t="s">
        <v>1507</v>
      </c>
      <c r="U157" s="1" t="s">
        <v>8324</v>
      </c>
      <c r="V157" s="1" t="s">
        <v>1507</v>
      </c>
      <c r="W157" s="1" t="s">
        <v>8325</v>
      </c>
      <c r="X157" s="1" t="s">
        <v>8326</v>
      </c>
      <c r="Y157" s="1" t="s">
        <v>6684</v>
      </c>
      <c r="Z157" s="1" t="s">
        <v>8327</v>
      </c>
      <c r="AA157" s="1" t="s">
        <v>1507</v>
      </c>
      <c r="AB157" s="1" t="s">
        <v>1507</v>
      </c>
      <c r="AC157" s="1" t="s">
        <v>1507</v>
      </c>
      <c r="AD157" s="1" t="s">
        <v>8328</v>
      </c>
      <c r="AE157" s="1" t="s">
        <v>1554</v>
      </c>
      <c r="AF157" s="1" t="s">
        <v>8329</v>
      </c>
      <c r="AG157" s="1" t="s">
        <v>1507</v>
      </c>
      <c r="AH157" s="1">
        <v>27</v>
      </c>
      <c r="AI157" s="1">
        <v>2</v>
      </c>
      <c r="AJ157" s="1">
        <v>2</v>
      </c>
      <c r="AK157" s="1">
        <v>4</v>
      </c>
      <c r="AL157" s="1">
        <v>20</v>
      </c>
      <c r="AM157" s="1" t="s">
        <v>4805</v>
      </c>
      <c r="AN157" s="1" t="s">
        <v>4806</v>
      </c>
      <c r="AO157" s="1" t="s">
        <v>4807</v>
      </c>
      <c r="AP157" s="1" t="s">
        <v>4808</v>
      </c>
      <c r="AQ157" s="1" t="s">
        <v>4809</v>
      </c>
      <c r="AR157" s="1" t="s">
        <v>1507</v>
      </c>
      <c r="AS157" s="1" t="s">
        <v>4810</v>
      </c>
      <c r="AT157" s="1" t="s">
        <v>1365</v>
      </c>
      <c r="AU157" s="1" t="s">
        <v>4336</v>
      </c>
      <c r="AV157" s="1">
        <v>2021</v>
      </c>
      <c r="AW157" s="1">
        <v>11</v>
      </c>
      <c r="AX157" s="1">
        <v>3</v>
      </c>
      <c r="AY157" s="1" t="s">
        <v>1507</v>
      </c>
      <c r="AZ157" s="1" t="s">
        <v>1507</v>
      </c>
      <c r="BA157" s="1" t="s">
        <v>1507</v>
      </c>
      <c r="BB157" s="1" t="s">
        <v>1507</v>
      </c>
      <c r="BC157" s="1">
        <v>314</v>
      </c>
      <c r="BD157" s="1">
        <v>338</v>
      </c>
      <c r="BE157" s="1" t="s">
        <v>1507</v>
      </c>
      <c r="BF157" s="1" t="s">
        <v>8330</v>
      </c>
      <c r="BG157" s="1" t="str">
        <f>HYPERLINK("http://dx.doi.org/10.4337/qmjip.2021.03.03","http://dx.doi.org/10.4337/qmjip.2021.03.03")</f>
        <v>http://dx.doi.org/10.4337/qmjip.2021.03.03</v>
      </c>
      <c r="BH157" s="1" t="s">
        <v>1507</v>
      </c>
      <c r="BI157" s="1" t="s">
        <v>1507</v>
      </c>
      <c r="BJ157" s="1">
        <v>25</v>
      </c>
      <c r="BK157" s="1" t="s">
        <v>1535</v>
      </c>
      <c r="BL157" s="1" t="s">
        <v>1518</v>
      </c>
      <c r="BM157" s="1" t="s">
        <v>1536</v>
      </c>
      <c r="BN157" s="1" t="s">
        <v>8331</v>
      </c>
      <c r="BO157" s="1" t="s">
        <v>1507</v>
      </c>
      <c r="BP157" s="1" t="s">
        <v>1507</v>
      </c>
      <c r="BQ157" s="1" t="s">
        <v>1507</v>
      </c>
      <c r="BR157" s="1" t="s">
        <v>1507</v>
      </c>
      <c r="BS157" s="1" t="s">
        <v>13744</v>
      </c>
      <c r="BT157" s="1" t="s">
        <v>8332</v>
      </c>
      <c r="BU157" s="1" t="str">
        <f>HYPERLINK("https%3A%2F%2Fwww.webofscience.com%2Fwos%2Fwoscc%2Ffull-record%2FWOS:000689726300004","View Full Record in Web of Science")</f>
        <v>View Full Record in Web of Science</v>
      </c>
    </row>
    <row r="158" spans="1:73" x14ac:dyDescent="0.25">
      <c r="A158" s="1">
        <v>180</v>
      </c>
      <c r="B158" s="1" t="s">
        <v>1506</v>
      </c>
      <c r="C158" s="1" t="s">
        <v>3333</v>
      </c>
      <c r="D158" s="1" t="s">
        <v>1507</v>
      </c>
      <c r="E158" s="1" t="s">
        <v>1507</v>
      </c>
      <c r="F158" s="1" t="s">
        <v>1507</v>
      </c>
      <c r="G158" s="1" t="s">
        <v>3334</v>
      </c>
      <c r="H158" s="1" t="s">
        <v>1507</v>
      </c>
      <c r="I158" s="1" t="s">
        <v>1507</v>
      </c>
      <c r="J158" s="1" t="s">
        <v>3335</v>
      </c>
      <c r="K158" s="1" t="s">
        <v>3336</v>
      </c>
      <c r="L158" s="1" t="s">
        <v>1507</v>
      </c>
      <c r="M158" s="1" t="s">
        <v>1507</v>
      </c>
      <c r="N158" s="1" t="s">
        <v>42</v>
      </c>
      <c r="O158" s="1" t="s">
        <v>56</v>
      </c>
      <c r="P158" s="1" t="s">
        <v>1507</v>
      </c>
      <c r="Q158" s="1" t="s">
        <v>1507</v>
      </c>
      <c r="R158" s="1" t="s">
        <v>1507</v>
      </c>
      <c r="S158" s="1" t="s">
        <v>1507</v>
      </c>
      <c r="T158" s="1" t="s">
        <v>1507</v>
      </c>
      <c r="U158" s="1" t="s">
        <v>3337</v>
      </c>
      <c r="V158" s="1" t="s">
        <v>3338</v>
      </c>
      <c r="W158" s="1" t="s">
        <v>3339</v>
      </c>
      <c r="X158" s="1" t="s">
        <v>3340</v>
      </c>
      <c r="Y158" s="1" t="s">
        <v>3341</v>
      </c>
      <c r="Z158" s="1" t="s">
        <v>3342</v>
      </c>
      <c r="AA158" s="1" t="s">
        <v>3343</v>
      </c>
      <c r="AB158" s="1" t="s">
        <v>14299</v>
      </c>
      <c r="AC158" s="1" t="s">
        <v>3344</v>
      </c>
      <c r="AD158" s="1" t="s">
        <v>3345</v>
      </c>
      <c r="AE158" s="1" t="s">
        <v>3346</v>
      </c>
      <c r="AF158" s="1" t="s">
        <v>3347</v>
      </c>
      <c r="AG158" s="1" t="s">
        <v>1507</v>
      </c>
      <c r="AH158" s="1">
        <v>58</v>
      </c>
      <c r="AI158" s="1">
        <v>0</v>
      </c>
      <c r="AJ158" s="1">
        <v>0</v>
      </c>
      <c r="AK158" s="1">
        <v>5</v>
      </c>
      <c r="AL158" s="1">
        <v>12</v>
      </c>
      <c r="AM158" s="1" t="s">
        <v>2883</v>
      </c>
      <c r="AN158" s="1" t="s">
        <v>1512</v>
      </c>
      <c r="AO158" s="1" t="s">
        <v>2884</v>
      </c>
      <c r="AP158" s="1" t="s">
        <v>3348</v>
      </c>
      <c r="AQ158" s="1" t="s">
        <v>3349</v>
      </c>
      <c r="AR158" s="1" t="s">
        <v>1507</v>
      </c>
      <c r="AS158" s="1" t="s">
        <v>3350</v>
      </c>
      <c r="AT158" s="1" t="s">
        <v>3351</v>
      </c>
      <c r="AU158" s="1" t="s">
        <v>2889</v>
      </c>
      <c r="AV158" s="1">
        <v>2023</v>
      </c>
      <c r="AW158" s="1">
        <v>141</v>
      </c>
      <c r="AX158" s="1" t="s">
        <v>1507</v>
      </c>
      <c r="AY158" s="1" t="s">
        <v>1507</v>
      </c>
      <c r="AZ158" s="1" t="s">
        <v>1507</v>
      </c>
      <c r="BA158" s="1" t="s">
        <v>1507</v>
      </c>
      <c r="BB158" s="1" t="s">
        <v>1507</v>
      </c>
      <c r="BC158" s="1">
        <v>10</v>
      </c>
      <c r="BD158" s="1">
        <v>19</v>
      </c>
      <c r="BE158" s="1" t="s">
        <v>1507</v>
      </c>
      <c r="BF158" s="1" t="s">
        <v>3352</v>
      </c>
      <c r="BG158" s="1" t="str">
        <f>HYPERLINK("http://dx.doi.org/10.1016/j.isatra.2023.04.025","http://dx.doi.org/10.1016/j.isatra.2023.04.025")</f>
        <v>http://dx.doi.org/10.1016/j.isatra.2023.04.025</v>
      </c>
      <c r="BH158" s="1" t="s">
        <v>1507</v>
      </c>
      <c r="BI158" s="1" t="s">
        <v>2891</v>
      </c>
      <c r="BJ158" s="1">
        <v>10</v>
      </c>
      <c r="BK158" s="1" t="s">
        <v>3353</v>
      </c>
      <c r="BL158" s="1" t="s">
        <v>1573</v>
      </c>
      <c r="BM158" s="1" t="s">
        <v>3354</v>
      </c>
      <c r="BN158" s="1" t="s">
        <v>3355</v>
      </c>
      <c r="BO158" s="1">
        <v>37164876</v>
      </c>
      <c r="BP158" s="1" t="s">
        <v>1507</v>
      </c>
      <c r="BQ158" s="1" t="s">
        <v>1507</v>
      </c>
      <c r="BR158" s="1" t="s">
        <v>1507</v>
      </c>
      <c r="BS158" s="1" t="s">
        <v>13744</v>
      </c>
      <c r="BT158" s="1" t="s">
        <v>3356</v>
      </c>
      <c r="BU158" s="1" t="str">
        <f>HYPERLINK("https%3A%2F%2Fwww.webofscience.com%2Fwos%2Fwoscc%2Ffull-record%2FWOS:001098911300001","View Full Record in Web of Science")</f>
        <v>View Full Record in Web of Science</v>
      </c>
    </row>
    <row r="159" spans="1:73" x14ac:dyDescent="0.25">
      <c r="A159" s="1">
        <v>181</v>
      </c>
      <c r="B159" s="1" t="s">
        <v>1506</v>
      </c>
      <c r="C159" s="1" t="s">
        <v>9172</v>
      </c>
      <c r="D159" s="1" t="s">
        <v>1507</v>
      </c>
      <c r="E159" s="1" t="s">
        <v>1507</v>
      </c>
      <c r="F159" s="1" t="s">
        <v>1507</v>
      </c>
      <c r="G159" s="1" t="s">
        <v>9173</v>
      </c>
      <c r="H159" s="1" t="s">
        <v>1507</v>
      </c>
      <c r="I159" s="1" t="s">
        <v>1507</v>
      </c>
      <c r="J159" s="1" t="s">
        <v>9174</v>
      </c>
      <c r="K159" s="1" t="s">
        <v>9175</v>
      </c>
      <c r="L159" s="1" t="s">
        <v>1507</v>
      </c>
      <c r="M159" s="1" t="s">
        <v>1507</v>
      </c>
      <c r="N159" s="1" t="s">
        <v>42</v>
      </c>
      <c r="O159" s="1" t="s">
        <v>56</v>
      </c>
      <c r="P159" s="1" t="s">
        <v>1507</v>
      </c>
      <c r="Q159" s="1" t="s">
        <v>1507</v>
      </c>
      <c r="R159" s="1" t="s">
        <v>1507</v>
      </c>
      <c r="S159" s="1" t="s">
        <v>1507</v>
      </c>
      <c r="T159" s="1" t="s">
        <v>1507</v>
      </c>
      <c r="U159" s="1" t="s">
        <v>9176</v>
      </c>
      <c r="V159" s="1" t="s">
        <v>1507</v>
      </c>
      <c r="W159" s="1" t="s">
        <v>9177</v>
      </c>
      <c r="X159" s="1" t="s">
        <v>9178</v>
      </c>
      <c r="Y159" s="1" t="s">
        <v>9179</v>
      </c>
      <c r="Z159" s="1" t="s">
        <v>9180</v>
      </c>
      <c r="AA159" s="1" t="s">
        <v>9181</v>
      </c>
      <c r="AB159" s="1" t="s">
        <v>1507</v>
      </c>
      <c r="AC159" s="1" t="s">
        <v>15763</v>
      </c>
      <c r="AD159" s="1" t="s">
        <v>9182</v>
      </c>
      <c r="AE159" s="1" t="s">
        <v>9183</v>
      </c>
      <c r="AF159" s="1" t="s">
        <v>9184</v>
      </c>
      <c r="AG159" s="1" t="s">
        <v>1507</v>
      </c>
      <c r="AH159" s="1">
        <v>30</v>
      </c>
      <c r="AI159" s="1">
        <v>8</v>
      </c>
      <c r="AJ159" s="1">
        <v>8</v>
      </c>
      <c r="AK159" s="1">
        <v>3</v>
      </c>
      <c r="AL159" s="1">
        <v>13</v>
      </c>
      <c r="AM159" s="1" t="s">
        <v>1626</v>
      </c>
      <c r="AN159" s="1" t="s">
        <v>1627</v>
      </c>
      <c r="AO159" s="1" t="s">
        <v>1628</v>
      </c>
      <c r="AP159" s="1" t="s">
        <v>9185</v>
      </c>
      <c r="AQ159" s="1" t="s">
        <v>9186</v>
      </c>
      <c r="AR159" s="1" t="s">
        <v>1507</v>
      </c>
      <c r="AS159" s="1" t="s">
        <v>9187</v>
      </c>
      <c r="AT159" s="1" t="s">
        <v>9188</v>
      </c>
      <c r="AU159" s="1" t="s">
        <v>1507</v>
      </c>
      <c r="AV159" s="1">
        <v>2021</v>
      </c>
      <c r="AW159" s="1">
        <v>28</v>
      </c>
      <c r="AX159" s="1" t="s">
        <v>1507</v>
      </c>
      <c r="AY159" s="1" t="s">
        <v>1507</v>
      </c>
      <c r="AZ159" s="1" t="s">
        <v>1507</v>
      </c>
      <c r="BA159" s="1" t="s">
        <v>1507</v>
      </c>
      <c r="BB159" s="1" t="s">
        <v>1507</v>
      </c>
      <c r="BC159" s="1">
        <v>1789</v>
      </c>
      <c r="BD159" s="1">
        <v>1793</v>
      </c>
      <c r="BE159" s="1" t="s">
        <v>1507</v>
      </c>
      <c r="BF159" s="1" t="s">
        <v>9189</v>
      </c>
      <c r="BG159" s="1" t="str">
        <f>HYPERLINK("http://dx.doi.org/10.1109/LSP.2021.3107209","http://dx.doi.org/10.1109/LSP.2021.3107209")</f>
        <v>http://dx.doi.org/10.1109/LSP.2021.3107209</v>
      </c>
      <c r="BH159" s="1" t="s">
        <v>1507</v>
      </c>
      <c r="BI159" s="1" t="s">
        <v>1507</v>
      </c>
      <c r="BJ159" s="1">
        <v>5</v>
      </c>
      <c r="BK159" s="1" t="s">
        <v>9190</v>
      </c>
      <c r="BL159" s="1" t="s">
        <v>1573</v>
      </c>
      <c r="BM159" s="1" t="s">
        <v>3691</v>
      </c>
      <c r="BN159" s="1" t="s">
        <v>9191</v>
      </c>
      <c r="BO159" s="1" t="s">
        <v>1507</v>
      </c>
      <c r="BP159" s="1" t="s">
        <v>1507</v>
      </c>
      <c r="BQ159" s="1" t="s">
        <v>1507</v>
      </c>
      <c r="BR159" s="1" t="s">
        <v>1507</v>
      </c>
      <c r="BS159" s="1" t="s">
        <v>13744</v>
      </c>
      <c r="BT159" s="1" t="s">
        <v>9192</v>
      </c>
      <c r="BU159" s="1" t="str">
        <f>HYPERLINK("https%3A%2F%2Fwww.webofscience.com%2Fwos%2Fwoscc%2Ffull-record%2FWOS:000696663300002","View Full Record in Web of Science")</f>
        <v>View Full Record in Web of Science</v>
      </c>
    </row>
    <row r="160" spans="1:73" x14ac:dyDescent="0.25">
      <c r="A160" s="1">
        <v>182</v>
      </c>
      <c r="B160" s="1" t="s">
        <v>1506</v>
      </c>
      <c r="C160" s="1" t="s">
        <v>4893</v>
      </c>
      <c r="D160" s="1" t="s">
        <v>1507</v>
      </c>
      <c r="E160" s="1" t="s">
        <v>1507</v>
      </c>
      <c r="F160" s="1" t="s">
        <v>1507</v>
      </c>
      <c r="G160" s="1" t="s">
        <v>4894</v>
      </c>
      <c r="H160" s="1" t="s">
        <v>1507</v>
      </c>
      <c r="I160" s="1" t="s">
        <v>1507</v>
      </c>
      <c r="J160" s="1" t="s">
        <v>4895</v>
      </c>
      <c r="K160" s="1" t="s">
        <v>3297</v>
      </c>
      <c r="L160" s="1" t="s">
        <v>1507</v>
      </c>
      <c r="M160" s="1" t="s">
        <v>1507</v>
      </c>
      <c r="N160" s="1" t="s">
        <v>42</v>
      </c>
      <c r="O160" s="1" t="s">
        <v>56</v>
      </c>
      <c r="P160" s="1" t="s">
        <v>1507</v>
      </c>
      <c r="Q160" s="1" t="s">
        <v>1507</v>
      </c>
      <c r="R160" s="1" t="s">
        <v>1507</v>
      </c>
      <c r="S160" s="1" t="s">
        <v>1507</v>
      </c>
      <c r="T160" s="1" t="s">
        <v>1507</v>
      </c>
      <c r="U160" s="1" t="s">
        <v>1507</v>
      </c>
      <c r="V160" s="1" t="s">
        <v>1507</v>
      </c>
      <c r="W160" s="1" t="s">
        <v>4896</v>
      </c>
      <c r="X160" s="1" t="s">
        <v>4897</v>
      </c>
      <c r="Y160" s="1" t="s">
        <v>4898</v>
      </c>
      <c r="Z160" s="1" t="s">
        <v>4899</v>
      </c>
      <c r="AA160" s="1" t="s">
        <v>4900</v>
      </c>
      <c r="AB160" s="1" t="s">
        <v>1507</v>
      </c>
      <c r="AC160" s="1" t="s">
        <v>1507</v>
      </c>
      <c r="AD160" s="1" t="s">
        <v>4901</v>
      </c>
      <c r="AE160" s="1" t="s">
        <v>4902</v>
      </c>
      <c r="AF160" s="1" t="s">
        <v>4903</v>
      </c>
      <c r="AG160" s="1" t="s">
        <v>1507</v>
      </c>
      <c r="AH160" s="1">
        <v>27</v>
      </c>
      <c r="AI160" s="1">
        <v>0</v>
      </c>
      <c r="AJ160" s="1">
        <v>0</v>
      </c>
      <c r="AK160" s="1">
        <v>2</v>
      </c>
      <c r="AL160" s="1">
        <v>7</v>
      </c>
      <c r="AM160" s="1" t="s">
        <v>1591</v>
      </c>
      <c r="AN160" s="1" t="s">
        <v>1592</v>
      </c>
      <c r="AO160" s="1" t="s">
        <v>1593</v>
      </c>
      <c r="AP160" s="1" t="s">
        <v>3307</v>
      </c>
      <c r="AQ160" s="1" t="s">
        <v>1507</v>
      </c>
      <c r="AR160" s="1" t="s">
        <v>1507</v>
      </c>
      <c r="AS160" s="1" t="s">
        <v>3308</v>
      </c>
      <c r="AT160" s="1" t="s">
        <v>3309</v>
      </c>
      <c r="AU160" s="1" t="s">
        <v>4904</v>
      </c>
      <c r="AV160" s="1">
        <v>2023</v>
      </c>
      <c r="AW160" s="1">
        <v>13</v>
      </c>
      <c r="AX160" s="1">
        <v>1</v>
      </c>
      <c r="AY160" s="1" t="s">
        <v>1507</v>
      </c>
      <c r="AZ160" s="1" t="s">
        <v>1507</v>
      </c>
      <c r="BA160" s="1" t="s">
        <v>1507</v>
      </c>
      <c r="BB160" s="1" t="s">
        <v>1507</v>
      </c>
      <c r="BC160" s="1" t="s">
        <v>1507</v>
      </c>
      <c r="BD160" s="1" t="s">
        <v>1507</v>
      </c>
      <c r="BE160" s="1" t="s">
        <v>1507</v>
      </c>
      <c r="BF160" s="1" t="s">
        <v>4905</v>
      </c>
      <c r="BG160" s="1" t="str">
        <f>HYPERLINK("http://dx.doi.org/10.1038/s41598-023-34375-6","http://dx.doi.org/10.1038/s41598-023-34375-6")</f>
        <v>http://dx.doi.org/10.1038/s41598-023-34375-6</v>
      </c>
      <c r="BH160" s="1" t="s">
        <v>1507</v>
      </c>
      <c r="BI160" s="1" t="s">
        <v>1507</v>
      </c>
      <c r="BJ160" s="1">
        <v>8</v>
      </c>
      <c r="BK160" s="1" t="s">
        <v>1776</v>
      </c>
      <c r="BL160" s="1" t="s">
        <v>1573</v>
      </c>
      <c r="BM160" s="1" t="s">
        <v>1777</v>
      </c>
      <c r="BN160" s="1" t="s">
        <v>4906</v>
      </c>
      <c r="BO160" s="1">
        <v>37225712</v>
      </c>
      <c r="BP160" s="1" t="s">
        <v>1952</v>
      </c>
      <c r="BQ160" s="1" t="s">
        <v>1507</v>
      </c>
      <c r="BR160" s="1" t="s">
        <v>1507</v>
      </c>
      <c r="BS160" s="1" t="s">
        <v>13744</v>
      </c>
      <c r="BT160" s="1" t="s">
        <v>4907</v>
      </c>
      <c r="BU160" s="1" t="str">
        <f>HYPERLINK("https%3A%2F%2Fwww.webofscience.com%2Fwos%2Fwoscc%2Ffull-record%2FWOS:000995835600038","View Full Record in Web of Science")</f>
        <v>View Full Record in Web of Science</v>
      </c>
    </row>
    <row r="161" spans="1:73" x14ac:dyDescent="0.25">
      <c r="A161" s="1">
        <v>183</v>
      </c>
      <c r="B161" s="1" t="s">
        <v>1506</v>
      </c>
      <c r="C161" s="1" t="s">
        <v>6864</v>
      </c>
      <c r="D161" s="1" t="s">
        <v>1507</v>
      </c>
      <c r="E161" s="1" t="s">
        <v>1507</v>
      </c>
      <c r="F161" s="1" t="s">
        <v>1507</v>
      </c>
      <c r="G161" s="1" t="s">
        <v>6865</v>
      </c>
      <c r="H161" s="1" t="s">
        <v>1507</v>
      </c>
      <c r="I161" s="1" t="s">
        <v>1507</v>
      </c>
      <c r="J161" s="1" t="s">
        <v>6866</v>
      </c>
      <c r="K161" s="1" t="s">
        <v>6867</v>
      </c>
      <c r="L161" s="1" t="s">
        <v>1507</v>
      </c>
      <c r="M161" s="1" t="s">
        <v>1507</v>
      </c>
      <c r="N161" s="1" t="s">
        <v>42</v>
      </c>
      <c r="O161" s="1" t="s">
        <v>56</v>
      </c>
      <c r="P161" s="1" t="s">
        <v>1507</v>
      </c>
      <c r="Q161" s="1" t="s">
        <v>1507</v>
      </c>
      <c r="R161" s="1" t="s">
        <v>1507</v>
      </c>
      <c r="S161" s="1" t="s">
        <v>1507</v>
      </c>
      <c r="T161" s="1" t="s">
        <v>1507</v>
      </c>
      <c r="U161" s="1" t="s">
        <v>6868</v>
      </c>
      <c r="V161" s="1" t="s">
        <v>1507</v>
      </c>
      <c r="W161" s="1" t="s">
        <v>6869</v>
      </c>
      <c r="X161" s="1" t="s">
        <v>6870</v>
      </c>
      <c r="Y161" s="1" t="s">
        <v>6871</v>
      </c>
      <c r="Z161" s="1" t="s">
        <v>6872</v>
      </c>
      <c r="AA161" s="1" t="s">
        <v>6873</v>
      </c>
      <c r="AB161" s="1" t="s">
        <v>15561</v>
      </c>
      <c r="AC161" s="1" t="s">
        <v>15562</v>
      </c>
      <c r="AD161" s="1" t="s">
        <v>6874</v>
      </c>
      <c r="AE161" s="1" t="s">
        <v>6875</v>
      </c>
      <c r="AF161" s="1" t="s">
        <v>6876</v>
      </c>
      <c r="AG161" s="1" t="s">
        <v>1507</v>
      </c>
      <c r="AH161" s="1">
        <v>18</v>
      </c>
      <c r="AI161" s="1">
        <v>0</v>
      </c>
      <c r="AJ161" s="1">
        <v>0</v>
      </c>
      <c r="AK161" s="1">
        <v>1</v>
      </c>
      <c r="AL161" s="1">
        <v>2</v>
      </c>
      <c r="AM161" s="1" t="s">
        <v>6877</v>
      </c>
      <c r="AN161" s="1" t="s">
        <v>6878</v>
      </c>
      <c r="AO161" s="1" t="s">
        <v>6879</v>
      </c>
      <c r="AP161" s="1" t="s">
        <v>6880</v>
      </c>
      <c r="AQ161" s="1" t="s">
        <v>6881</v>
      </c>
      <c r="AR161" s="1" t="s">
        <v>1507</v>
      </c>
      <c r="AS161" s="1" t="s">
        <v>6882</v>
      </c>
      <c r="AT161" s="1" t="s">
        <v>6883</v>
      </c>
      <c r="AU161" s="1" t="s">
        <v>6884</v>
      </c>
      <c r="AV161" s="1">
        <v>2022</v>
      </c>
      <c r="AW161" s="1">
        <v>40</v>
      </c>
      <c r="AX161" s="1">
        <v>4</v>
      </c>
      <c r="AY161" s="1" t="s">
        <v>1507</v>
      </c>
      <c r="AZ161" s="1" t="s">
        <v>1507</v>
      </c>
      <c r="BA161" s="1" t="s">
        <v>1507</v>
      </c>
      <c r="BB161" s="1" t="s">
        <v>1507</v>
      </c>
      <c r="BC161" s="1">
        <v>378</v>
      </c>
      <c r="BD161" s="1">
        <v>383</v>
      </c>
      <c r="BE161" s="1" t="s">
        <v>1507</v>
      </c>
      <c r="BF161" s="1" t="s">
        <v>6885</v>
      </c>
      <c r="BG161" s="1" t="str">
        <f>HYPERLINK("http://dx.doi.org/10.1590/s0102-0536-20220405","http://dx.doi.org/10.1590/s0102-0536-20220405")</f>
        <v>http://dx.doi.org/10.1590/s0102-0536-20220405</v>
      </c>
      <c r="BH161" s="1" t="s">
        <v>1507</v>
      </c>
      <c r="BI161" s="1" t="s">
        <v>1507</v>
      </c>
      <c r="BJ161" s="1">
        <v>6</v>
      </c>
      <c r="BK161" s="1" t="s">
        <v>6886</v>
      </c>
      <c r="BL161" s="1" t="s">
        <v>1573</v>
      </c>
      <c r="BM161" s="1" t="s">
        <v>6512</v>
      </c>
      <c r="BN161" s="1" t="s">
        <v>6887</v>
      </c>
      <c r="BO161" s="1" t="s">
        <v>1507</v>
      </c>
      <c r="BP161" s="1" t="s">
        <v>1531</v>
      </c>
      <c r="BQ161" s="1" t="s">
        <v>1507</v>
      </c>
      <c r="BR161" s="1" t="s">
        <v>1507</v>
      </c>
      <c r="BS161" s="1" t="s">
        <v>13744</v>
      </c>
      <c r="BT161" s="1" t="s">
        <v>6888</v>
      </c>
      <c r="BU161" s="1" t="str">
        <f>HYPERLINK("https%3A%2F%2Fwww.webofscience.com%2Fwos%2Fwoscc%2Ffull-record%2FWOS:000912915100005","View Full Record in Web of Science")</f>
        <v>View Full Record in Web of Science</v>
      </c>
    </row>
    <row r="162" spans="1:73" x14ac:dyDescent="0.25">
      <c r="A162" s="1">
        <v>184</v>
      </c>
      <c r="B162" s="1" t="s">
        <v>1506</v>
      </c>
      <c r="C162" s="1" t="s">
        <v>4036</v>
      </c>
      <c r="D162" s="1" t="s">
        <v>1507</v>
      </c>
      <c r="E162" s="1" t="s">
        <v>1507</v>
      </c>
      <c r="F162" s="1" t="s">
        <v>1507</v>
      </c>
      <c r="G162" s="1" t="s">
        <v>4037</v>
      </c>
      <c r="H162" s="1" t="s">
        <v>1507</v>
      </c>
      <c r="I162" s="1" t="s">
        <v>1507</v>
      </c>
      <c r="J162" s="1" t="s">
        <v>4038</v>
      </c>
      <c r="K162" s="1" t="s">
        <v>4039</v>
      </c>
      <c r="L162" s="1" t="s">
        <v>1507</v>
      </c>
      <c r="M162" s="1" t="s">
        <v>1507</v>
      </c>
      <c r="N162" s="1" t="s">
        <v>42</v>
      </c>
      <c r="O162" s="1" t="s">
        <v>56</v>
      </c>
      <c r="P162" s="1" t="s">
        <v>1507</v>
      </c>
      <c r="Q162" s="1" t="s">
        <v>1507</v>
      </c>
      <c r="R162" s="1" t="s">
        <v>1507</v>
      </c>
      <c r="S162" s="1" t="s">
        <v>1507</v>
      </c>
      <c r="T162" s="1" t="s">
        <v>1507</v>
      </c>
      <c r="U162" s="1" t="s">
        <v>4040</v>
      </c>
      <c r="V162" s="1" t="s">
        <v>4041</v>
      </c>
      <c r="W162" s="1" t="s">
        <v>4042</v>
      </c>
      <c r="X162" s="1" t="s">
        <v>4043</v>
      </c>
      <c r="Y162" s="1" t="s">
        <v>4044</v>
      </c>
      <c r="Z162" s="1" t="s">
        <v>4045</v>
      </c>
      <c r="AA162" s="1" t="s">
        <v>4046</v>
      </c>
      <c r="AB162" s="1" t="s">
        <v>1507</v>
      </c>
      <c r="AC162" s="1" t="s">
        <v>4047</v>
      </c>
      <c r="AD162" s="1" t="s">
        <v>4048</v>
      </c>
      <c r="AE162" s="1" t="s">
        <v>4049</v>
      </c>
      <c r="AF162" s="1" t="s">
        <v>4050</v>
      </c>
      <c r="AG162" s="1" t="s">
        <v>1507</v>
      </c>
      <c r="AH162" s="1">
        <v>42</v>
      </c>
      <c r="AI162" s="1">
        <v>1</v>
      </c>
      <c r="AJ162" s="1">
        <v>1</v>
      </c>
      <c r="AK162" s="1">
        <v>3</v>
      </c>
      <c r="AL162" s="1">
        <v>3</v>
      </c>
      <c r="AM162" s="1" t="s">
        <v>1579</v>
      </c>
      <c r="AN162" s="1" t="s">
        <v>1580</v>
      </c>
      <c r="AO162" s="1" t="s">
        <v>1581</v>
      </c>
      <c r="AP162" s="1" t="s">
        <v>4051</v>
      </c>
      <c r="AQ162" s="1" t="s">
        <v>4052</v>
      </c>
      <c r="AR162" s="1" t="s">
        <v>1507</v>
      </c>
      <c r="AS162" s="1" t="s">
        <v>4053</v>
      </c>
      <c r="AT162" s="1" t="s">
        <v>4054</v>
      </c>
      <c r="AU162" s="1" t="s">
        <v>2191</v>
      </c>
      <c r="AV162" s="1">
        <v>2023</v>
      </c>
      <c r="AW162" s="1">
        <v>99</v>
      </c>
      <c r="AX162" s="1" t="s">
        <v>1507</v>
      </c>
      <c r="AY162" s="1" t="s">
        <v>1507</v>
      </c>
      <c r="AZ162" s="1" t="s">
        <v>1507</v>
      </c>
      <c r="BA162" s="1" t="s">
        <v>1507</v>
      </c>
      <c r="BB162" s="1" t="s">
        <v>1507</v>
      </c>
      <c r="BC162" s="1" t="s">
        <v>1507</v>
      </c>
      <c r="BD162" s="1" t="s">
        <v>1507</v>
      </c>
      <c r="BE162" s="1">
        <v>104876</v>
      </c>
      <c r="BF162" s="1" t="s">
        <v>4055</v>
      </c>
      <c r="BG162" s="1" t="str">
        <f>HYPERLINK("http://dx.doi.org/10.1016/j.scs.2023.104876","http://dx.doi.org/10.1016/j.scs.2023.104876")</f>
        <v>http://dx.doi.org/10.1016/j.scs.2023.104876</v>
      </c>
      <c r="BH162" s="1" t="s">
        <v>1507</v>
      </c>
      <c r="BI162" s="1" t="s">
        <v>4056</v>
      </c>
      <c r="BJ162" s="1">
        <v>16</v>
      </c>
      <c r="BK162" s="1" t="s">
        <v>4057</v>
      </c>
      <c r="BL162" s="1" t="s">
        <v>1573</v>
      </c>
      <c r="BM162" s="1" t="s">
        <v>4058</v>
      </c>
      <c r="BN162" s="1" t="s">
        <v>4059</v>
      </c>
      <c r="BO162" s="1" t="s">
        <v>1507</v>
      </c>
      <c r="BP162" s="1" t="s">
        <v>2309</v>
      </c>
      <c r="BQ162" s="1" t="s">
        <v>1507</v>
      </c>
      <c r="BR162" s="1" t="s">
        <v>1507</v>
      </c>
      <c r="BS162" s="1" t="s">
        <v>13744</v>
      </c>
      <c r="BT162" s="1" t="s">
        <v>4060</v>
      </c>
      <c r="BU162" s="1" t="str">
        <f>HYPERLINK("https%3A%2F%2Fwww.webofscience.com%2Fwos%2Fwoscc%2Ffull-record%2FWOS:001079735600001","View Full Record in Web of Science")</f>
        <v>View Full Record in Web of Science</v>
      </c>
    </row>
    <row r="163" spans="1:73" x14ac:dyDescent="0.25">
      <c r="A163" s="1">
        <v>185</v>
      </c>
      <c r="B163" s="1" t="s">
        <v>1506</v>
      </c>
      <c r="C163" s="1" t="s">
        <v>5450</v>
      </c>
      <c r="D163" s="1" t="s">
        <v>1507</v>
      </c>
      <c r="E163" s="1" t="s">
        <v>1507</v>
      </c>
      <c r="F163" s="1" t="s">
        <v>1507</v>
      </c>
      <c r="G163" s="1" t="s">
        <v>5451</v>
      </c>
      <c r="H163" s="1" t="s">
        <v>1507</v>
      </c>
      <c r="I163" s="1" t="s">
        <v>1507</v>
      </c>
      <c r="J163" s="1" t="s">
        <v>5452</v>
      </c>
      <c r="K163" s="1" t="s">
        <v>5453</v>
      </c>
      <c r="L163" s="1" t="s">
        <v>1507</v>
      </c>
      <c r="M163" s="1" t="s">
        <v>1507</v>
      </c>
      <c r="N163" s="1" t="s">
        <v>42</v>
      </c>
      <c r="O163" s="1" t="s">
        <v>56</v>
      </c>
      <c r="P163" s="1" t="s">
        <v>1507</v>
      </c>
      <c r="Q163" s="1" t="s">
        <v>1507</v>
      </c>
      <c r="R163" s="1" t="s">
        <v>1507</v>
      </c>
      <c r="S163" s="1" t="s">
        <v>1507</v>
      </c>
      <c r="T163" s="1" t="s">
        <v>1507</v>
      </c>
      <c r="U163" s="1" t="s">
        <v>5454</v>
      </c>
      <c r="V163" s="1" t="s">
        <v>5455</v>
      </c>
      <c r="W163" s="1" t="s">
        <v>5456</v>
      </c>
      <c r="X163" s="1" t="s">
        <v>5457</v>
      </c>
      <c r="Y163" s="1" t="s">
        <v>5458</v>
      </c>
      <c r="Z163" s="1" t="s">
        <v>5459</v>
      </c>
      <c r="AA163" s="1" t="s">
        <v>5460</v>
      </c>
      <c r="AB163" s="1" t="s">
        <v>14812</v>
      </c>
      <c r="AC163" s="1" t="s">
        <v>14813</v>
      </c>
      <c r="AD163" s="1" t="s">
        <v>5461</v>
      </c>
      <c r="AE163" s="1" t="s">
        <v>2548</v>
      </c>
      <c r="AF163" s="1" t="s">
        <v>5462</v>
      </c>
      <c r="AG163" s="1" t="s">
        <v>1507</v>
      </c>
      <c r="AH163" s="1">
        <v>41</v>
      </c>
      <c r="AI163" s="1">
        <v>5</v>
      </c>
      <c r="AJ163" s="1">
        <v>5</v>
      </c>
      <c r="AK163" s="1">
        <v>1</v>
      </c>
      <c r="AL163" s="1">
        <v>3</v>
      </c>
      <c r="AM163" s="1" t="s">
        <v>5463</v>
      </c>
      <c r="AN163" s="1" t="s">
        <v>2300</v>
      </c>
      <c r="AO163" s="1" t="s">
        <v>5464</v>
      </c>
      <c r="AP163" s="1" t="s">
        <v>5465</v>
      </c>
      <c r="AQ163" s="1" t="s">
        <v>5466</v>
      </c>
      <c r="AR163" s="1" t="s">
        <v>1507</v>
      </c>
      <c r="AS163" s="1" t="s">
        <v>5467</v>
      </c>
      <c r="AT163" s="1" t="s">
        <v>5468</v>
      </c>
      <c r="AU163" s="1" t="s">
        <v>5469</v>
      </c>
      <c r="AV163" s="1">
        <v>2023</v>
      </c>
      <c r="AW163" s="1">
        <v>50</v>
      </c>
      <c r="AX163" s="1">
        <v>1</v>
      </c>
      <c r="AY163" s="1" t="s">
        <v>1507</v>
      </c>
      <c r="AZ163" s="1" t="s">
        <v>1507</v>
      </c>
      <c r="BA163" s="1" t="s">
        <v>1507</v>
      </c>
      <c r="BB163" s="1" t="s">
        <v>1507</v>
      </c>
      <c r="BC163" s="1" t="s">
        <v>1507</v>
      </c>
      <c r="BD163" s="1" t="s">
        <v>1507</v>
      </c>
      <c r="BE163" s="1" t="s">
        <v>1507</v>
      </c>
      <c r="BF163" s="1" t="s">
        <v>5470</v>
      </c>
      <c r="BG163" s="1" t="str">
        <f>HYPERLINK("http://dx.doi.org/10.1029/2022GL100005","http://dx.doi.org/10.1029/2022GL100005")</f>
        <v>http://dx.doi.org/10.1029/2022GL100005</v>
      </c>
      <c r="BH163" s="1" t="s">
        <v>1507</v>
      </c>
      <c r="BI163" s="1" t="s">
        <v>1507</v>
      </c>
      <c r="BJ163" s="1">
        <v>10</v>
      </c>
      <c r="BK163" s="1" t="s">
        <v>5471</v>
      </c>
      <c r="BL163" s="1" t="s">
        <v>1573</v>
      </c>
      <c r="BM163" s="1" t="s">
        <v>5472</v>
      </c>
      <c r="BN163" s="1" t="s">
        <v>5473</v>
      </c>
      <c r="BO163" s="1" t="s">
        <v>1507</v>
      </c>
      <c r="BP163" s="1" t="s">
        <v>4214</v>
      </c>
      <c r="BQ163" s="1" t="s">
        <v>1507</v>
      </c>
      <c r="BR163" s="1" t="s">
        <v>1507</v>
      </c>
      <c r="BS163" s="1" t="s">
        <v>13744</v>
      </c>
      <c r="BT163" s="1" t="s">
        <v>5474</v>
      </c>
      <c r="BU163" s="1" t="str">
        <f>HYPERLINK("https%3A%2F%2Fwww.webofscience.com%2Fwos%2Fwoscc%2Ffull-record%2FWOS:000916264900020","View Full Record in Web of Science")</f>
        <v>View Full Record in Web of Science</v>
      </c>
    </row>
    <row r="164" spans="1:73" x14ac:dyDescent="0.25">
      <c r="A164" s="1">
        <v>186</v>
      </c>
      <c r="B164" s="1" t="s">
        <v>1506</v>
      </c>
      <c r="C164" s="1" t="s">
        <v>2121</v>
      </c>
      <c r="D164" s="1" t="s">
        <v>1507</v>
      </c>
      <c r="E164" s="1" t="s">
        <v>1507</v>
      </c>
      <c r="F164" s="1" t="s">
        <v>1507</v>
      </c>
      <c r="G164" s="1" t="s">
        <v>2122</v>
      </c>
      <c r="H164" s="1" t="s">
        <v>1507</v>
      </c>
      <c r="I164" s="1" t="s">
        <v>1507</v>
      </c>
      <c r="J164" s="1" t="s">
        <v>2123</v>
      </c>
      <c r="K164" s="1" t="s">
        <v>2124</v>
      </c>
      <c r="L164" s="1" t="s">
        <v>1507</v>
      </c>
      <c r="M164" s="1" t="s">
        <v>1507</v>
      </c>
      <c r="N164" s="1" t="s">
        <v>42</v>
      </c>
      <c r="O164" s="1" t="s">
        <v>56</v>
      </c>
      <c r="P164" s="1" t="s">
        <v>1507</v>
      </c>
      <c r="Q164" s="1" t="s">
        <v>1507</v>
      </c>
      <c r="R164" s="1" t="s">
        <v>1507</v>
      </c>
      <c r="S164" s="1" t="s">
        <v>1507</v>
      </c>
      <c r="T164" s="1" t="s">
        <v>1507</v>
      </c>
      <c r="U164" s="1" t="s">
        <v>1507</v>
      </c>
      <c r="V164" s="1" t="s">
        <v>1507</v>
      </c>
      <c r="W164" s="1" t="s">
        <v>2125</v>
      </c>
      <c r="X164" s="1" t="s">
        <v>2126</v>
      </c>
      <c r="Y164" s="1" t="s">
        <v>2127</v>
      </c>
      <c r="Z164" s="1" t="s">
        <v>2128</v>
      </c>
      <c r="AA164" s="1" t="s">
        <v>2129</v>
      </c>
      <c r="AB164" s="1" t="s">
        <v>1507</v>
      </c>
      <c r="AC164" s="1" t="s">
        <v>2130</v>
      </c>
      <c r="AD164" s="1" t="s">
        <v>2131</v>
      </c>
      <c r="AE164" s="1" t="s">
        <v>2132</v>
      </c>
      <c r="AF164" s="1" t="s">
        <v>2133</v>
      </c>
      <c r="AG164" s="1" t="s">
        <v>1507</v>
      </c>
      <c r="AH164" s="1">
        <v>19</v>
      </c>
      <c r="AI164" s="1">
        <v>1</v>
      </c>
      <c r="AJ164" s="1">
        <v>1</v>
      </c>
      <c r="AK164" s="1">
        <v>12</v>
      </c>
      <c r="AL164" s="1">
        <v>12</v>
      </c>
      <c r="AM164" s="1" t="s">
        <v>1559</v>
      </c>
      <c r="AN164" s="1" t="s">
        <v>1560</v>
      </c>
      <c r="AO164" s="1" t="s">
        <v>1561</v>
      </c>
      <c r="AP164" s="1" t="s">
        <v>2134</v>
      </c>
      <c r="AQ164" s="1" t="s">
        <v>2135</v>
      </c>
      <c r="AR164" s="1" t="s">
        <v>1507</v>
      </c>
      <c r="AS164" s="1" t="s">
        <v>2136</v>
      </c>
      <c r="AT164" s="1" t="s">
        <v>2137</v>
      </c>
      <c r="AU164" s="1" t="s">
        <v>10109</v>
      </c>
      <c r="AV164" s="1">
        <v>2024</v>
      </c>
      <c r="AW164" s="1">
        <v>194</v>
      </c>
      <c r="AX164" s="1">
        <v>3</v>
      </c>
      <c r="AY164" s="1" t="s">
        <v>1507</v>
      </c>
      <c r="AZ164" s="1" t="s">
        <v>1507</v>
      </c>
      <c r="BA164" s="1" t="s">
        <v>1507</v>
      </c>
      <c r="BB164" s="1" t="s">
        <v>1507</v>
      </c>
      <c r="BC164" s="1" t="s">
        <v>1507</v>
      </c>
      <c r="BD164" s="1" t="s">
        <v>1507</v>
      </c>
      <c r="BE164" s="1" t="s">
        <v>1507</v>
      </c>
      <c r="BF164" s="1" t="s">
        <v>2138</v>
      </c>
      <c r="BG164" s="1" t="str">
        <f>HYPERLINK("http://dx.doi.org/10.1002/vetr.3669","http://dx.doi.org/10.1002/vetr.3669")</f>
        <v>http://dx.doi.org/10.1002/vetr.3669</v>
      </c>
      <c r="BH164" s="1" t="s">
        <v>1507</v>
      </c>
      <c r="BI164" s="1" t="s">
        <v>1652</v>
      </c>
      <c r="BJ164" s="1">
        <v>4</v>
      </c>
      <c r="BK164" s="1" t="s">
        <v>2139</v>
      </c>
      <c r="BL164" s="1" t="s">
        <v>1573</v>
      </c>
      <c r="BM164" s="1" t="s">
        <v>2139</v>
      </c>
      <c r="BN164" s="1" t="s">
        <v>2140</v>
      </c>
      <c r="BO164" s="1">
        <v>38058223</v>
      </c>
      <c r="BP164" s="1" t="s">
        <v>2309</v>
      </c>
      <c r="BQ164" s="1" t="s">
        <v>1507</v>
      </c>
      <c r="BR164" s="1" t="s">
        <v>1507</v>
      </c>
      <c r="BS164" s="1" t="s">
        <v>13744</v>
      </c>
      <c r="BT164" s="1" t="s">
        <v>2141</v>
      </c>
      <c r="BU164" s="1" t="str">
        <f>HYPERLINK("https%3A%2F%2Fwww.webofscience.com%2Fwos%2Fwoscc%2Ffull-record%2FWOS:001114664100001","View Full Record in Web of Science")</f>
        <v>View Full Record in Web of Science</v>
      </c>
    </row>
    <row r="165" spans="1:73" x14ac:dyDescent="0.25">
      <c r="A165" s="1">
        <v>187</v>
      </c>
      <c r="B165" s="1" t="s">
        <v>1506</v>
      </c>
      <c r="C165" s="1" t="s">
        <v>10694</v>
      </c>
      <c r="D165" s="1" t="s">
        <v>1507</v>
      </c>
      <c r="E165" s="1" t="s">
        <v>1507</v>
      </c>
      <c r="F165" s="1" t="s">
        <v>1507</v>
      </c>
      <c r="G165" s="1" t="s">
        <v>10695</v>
      </c>
      <c r="H165" s="1" t="s">
        <v>1507</v>
      </c>
      <c r="I165" s="1" t="s">
        <v>1507</v>
      </c>
      <c r="J165" s="1" t="s">
        <v>10696</v>
      </c>
      <c r="K165" s="1" t="s">
        <v>2324</v>
      </c>
      <c r="L165" s="1" t="s">
        <v>1507</v>
      </c>
      <c r="M165" s="1" t="s">
        <v>1507</v>
      </c>
      <c r="N165" s="1" t="s">
        <v>42</v>
      </c>
      <c r="O165" s="1" t="s">
        <v>56</v>
      </c>
      <c r="P165" s="1" t="s">
        <v>1507</v>
      </c>
      <c r="Q165" s="1" t="s">
        <v>1507</v>
      </c>
      <c r="R165" s="1" t="s">
        <v>1507</v>
      </c>
      <c r="S165" s="1" t="s">
        <v>1507</v>
      </c>
      <c r="T165" s="1" t="s">
        <v>1507</v>
      </c>
      <c r="U165" s="1" t="s">
        <v>1507</v>
      </c>
      <c r="V165" s="1" t="s">
        <v>10697</v>
      </c>
      <c r="W165" s="1" t="s">
        <v>10698</v>
      </c>
      <c r="X165" s="1" t="s">
        <v>10699</v>
      </c>
      <c r="Y165" s="1" t="s">
        <v>10700</v>
      </c>
      <c r="Z165" s="1" t="s">
        <v>10701</v>
      </c>
      <c r="AA165" s="1" t="s">
        <v>1507</v>
      </c>
      <c r="AB165" s="1" t="s">
        <v>10702</v>
      </c>
      <c r="AC165" s="1" t="s">
        <v>10703</v>
      </c>
      <c r="AD165" s="1" t="s">
        <v>10704</v>
      </c>
      <c r="AE165" s="1" t="s">
        <v>6219</v>
      </c>
      <c r="AF165" s="1" t="s">
        <v>10705</v>
      </c>
      <c r="AG165" s="1" t="s">
        <v>1507</v>
      </c>
      <c r="AH165" s="1">
        <v>106</v>
      </c>
      <c r="AI165" s="1">
        <v>2</v>
      </c>
      <c r="AJ165" s="1">
        <v>2</v>
      </c>
      <c r="AK165" s="1">
        <v>0</v>
      </c>
      <c r="AL165" s="1">
        <v>0</v>
      </c>
      <c r="AM165" s="1" t="s">
        <v>2332</v>
      </c>
      <c r="AN165" s="1" t="s">
        <v>2333</v>
      </c>
      <c r="AO165" s="1" t="s">
        <v>2334</v>
      </c>
      <c r="AP165" s="1" t="s">
        <v>2335</v>
      </c>
      <c r="AQ165" s="1" t="s">
        <v>2336</v>
      </c>
      <c r="AR165" s="1" t="s">
        <v>1507</v>
      </c>
      <c r="AS165" s="1" t="s">
        <v>2337</v>
      </c>
      <c r="AT165" s="1" t="s">
        <v>2338</v>
      </c>
      <c r="AU165" s="1" t="s">
        <v>3992</v>
      </c>
      <c r="AV165" s="1">
        <v>2019</v>
      </c>
      <c r="AW165" s="1">
        <v>42</v>
      </c>
      <c r="AX165" s="1">
        <v>3</v>
      </c>
      <c r="AY165" s="1" t="s">
        <v>1507</v>
      </c>
      <c r="AZ165" s="1" t="s">
        <v>1507</v>
      </c>
      <c r="BA165" s="1" t="s">
        <v>1507</v>
      </c>
      <c r="BB165" s="1" t="s">
        <v>1507</v>
      </c>
      <c r="BC165" s="1">
        <v>953</v>
      </c>
      <c r="BD165" s="1">
        <v>980</v>
      </c>
      <c r="BE165" s="1" t="s">
        <v>1507</v>
      </c>
      <c r="BF165" s="1" t="s">
        <v>1507</v>
      </c>
      <c r="BG165" s="1" t="s">
        <v>1507</v>
      </c>
      <c r="BH165" s="1" t="s">
        <v>1507</v>
      </c>
      <c r="BI165" s="1" t="s">
        <v>1507</v>
      </c>
      <c r="BJ165" s="1">
        <v>28</v>
      </c>
      <c r="BK165" s="1" t="s">
        <v>1535</v>
      </c>
      <c r="BL165" s="1" t="s">
        <v>1529</v>
      </c>
      <c r="BM165" s="1" t="s">
        <v>1536</v>
      </c>
      <c r="BN165" s="1" t="s">
        <v>10692</v>
      </c>
      <c r="BO165" s="1" t="s">
        <v>1507</v>
      </c>
      <c r="BP165" s="1" t="s">
        <v>1507</v>
      </c>
      <c r="BQ165" s="1" t="s">
        <v>1507</v>
      </c>
      <c r="BR165" s="1" t="s">
        <v>1507</v>
      </c>
      <c r="BS165" s="1" t="s">
        <v>13744</v>
      </c>
      <c r="BT165" s="1" t="s">
        <v>10706</v>
      </c>
      <c r="BU165" s="1" t="str">
        <f>HYPERLINK("https%3A%2F%2Fwww.webofscience.com%2Fwos%2Fwoscc%2Ffull-record%2FWOS:000488199000008","View Full Record in Web of Science")</f>
        <v>View Full Record in Web of Science</v>
      </c>
    </row>
    <row r="166" spans="1:73" x14ac:dyDescent="0.25">
      <c r="A166" s="1">
        <v>188</v>
      </c>
      <c r="B166" s="1" t="s">
        <v>1506</v>
      </c>
      <c r="C166" s="1" t="s">
        <v>2724</v>
      </c>
      <c r="D166" s="1" t="s">
        <v>1507</v>
      </c>
      <c r="E166" s="1" t="s">
        <v>1507</v>
      </c>
      <c r="F166" s="1" t="s">
        <v>1507</v>
      </c>
      <c r="G166" s="1" t="s">
        <v>2725</v>
      </c>
      <c r="H166" s="1" t="s">
        <v>1507</v>
      </c>
      <c r="I166" s="1" t="s">
        <v>1507</v>
      </c>
      <c r="J166" s="1" t="s">
        <v>1298</v>
      </c>
      <c r="K166" s="1" t="s">
        <v>2726</v>
      </c>
      <c r="L166" s="1" t="s">
        <v>1507</v>
      </c>
      <c r="M166" s="1" t="s">
        <v>1507</v>
      </c>
      <c r="N166" s="1" t="s">
        <v>42</v>
      </c>
      <c r="O166" s="1" t="s">
        <v>1509</v>
      </c>
      <c r="P166" s="1" t="s">
        <v>1507</v>
      </c>
      <c r="Q166" s="1" t="s">
        <v>1507</v>
      </c>
      <c r="R166" s="1" t="s">
        <v>1507</v>
      </c>
      <c r="S166" s="1" t="s">
        <v>1507</v>
      </c>
      <c r="T166" s="1" t="s">
        <v>1507</v>
      </c>
      <c r="U166" s="1" t="s">
        <v>1305</v>
      </c>
      <c r="V166" s="1" t="s">
        <v>1507</v>
      </c>
      <c r="W166" s="1" t="s">
        <v>2727</v>
      </c>
      <c r="X166" s="1" t="s">
        <v>2728</v>
      </c>
      <c r="Y166" s="1" t="s">
        <v>2729</v>
      </c>
      <c r="Z166" s="1" t="s">
        <v>2730</v>
      </c>
      <c r="AA166" s="1" t="s">
        <v>2731</v>
      </c>
      <c r="AB166" s="1" t="s">
        <v>1507</v>
      </c>
      <c r="AC166" s="1" t="s">
        <v>14008</v>
      </c>
      <c r="AD166" s="1" t="s">
        <v>2732</v>
      </c>
      <c r="AE166" s="1" t="s">
        <v>2732</v>
      </c>
      <c r="AF166" s="1" t="s">
        <v>2732</v>
      </c>
      <c r="AG166" s="1" t="s">
        <v>1507</v>
      </c>
      <c r="AH166" s="1">
        <v>16</v>
      </c>
      <c r="AI166" s="1">
        <v>2</v>
      </c>
      <c r="AJ166" s="1">
        <v>2</v>
      </c>
      <c r="AK166" s="1">
        <v>16</v>
      </c>
      <c r="AL166" s="1">
        <v>16</v>
      </c>
      <c r="AM166" s="1" t="s">
        <v>2733</v>
      </c>
      <c r="AN166" s="1" t="s">
        <v>1551</v>
      </c>
      <c r="AO166" s="1" t="s">
        <v>2734</v>
      </c>
      <c r="AP166" s="1" t="s">
        <v>2735</v>
      </c>
      <c r="AQ166" s="1" t="s">
        <v>2736</v>
      </c>
      <c r="AR166" s="1" t="s">
        <v>1507</v>
      </c>
      <c r="AS166" s="1" t="s">
        <v>2737</v>
      </c>
      <c r="AT166" s="1" t="s">
        <v>1307</v>
      </c>
      <c r="AU166" s="1" t="s">
        <v>2738</v>
      </c>
      <c r="AV166" s="1">
        <v>2023</v>
      </c>
      <c r="AW166" s="1" t="s">
        <v>1507</v>
      </c>
      <c r="AX166" s="1" t="s">
        <v>1507</v>
      </c>
      <c r="AY166" s="1" t="s">
        <v>1507</v>
      </c>
      <c r="AZ166" s="1" t="s">
        <v>1507</v>
      </c>
      <c r="BA166" s="1" t="s">
        <v>1507</v>
      </c>
      <c r="BB166" s="1" t="s">
        <v>1507</v>
      </c>
      <c r="BC166" s="1" t="s">
        <v>1507</v>
      </c>
      <c r="BD166" s="1" t="s">
        <v>1507</v>
      </c>
      <c r="BE166" s="1" t="s">
        <v>1507</v>
      </c>
      <c r="BF166" s="1" t="s">
        <v>1301</v>
      </c>
      <c r="BG166" s="1" t="str">
        <f>HYPERLINK("http://dx.doi.org/10.1136/bjo-2023-324091","http://dx.doi.org/10.1136/bjo-2023-324091")</f>
        <v>http://dx.doi.org/10.1136/bjo-2023-324091</v>
      </c>
      <c r="BH166" s="1" t="s">
        <v>1507</v>
      </c>
      <c r="BI166" s="1" t="s">
        <v>2396</v>
      </c>
      <c r="BJ166" s="1">
        <v>5</v>
      </c>
      <c r="BK166" s="1" t="s">
        <v>2739</v>
      </c>
      <c r="BL166" s="1" t="s">
        <v>1573</v>
      </c>
      <c r="BM166" s="1" t="s">
        <v>2739</v>
      </c>
      <c r="BN166" s="1" t="s">
        <v>2740</v>
      </c>
      <c r="BO166" s="1">
        <v>37932006</v>
      </c>
      <c r="BP166" s="1" t="s">
        <v>1507</v>
      </c>
      <c r="BQ166" s="1" t="s">
        <v>1507</v>
      </c>
      <c r="BR166" s="1" t="s">
        <v>1507</v>
      </c>
      <c r="BS166" s="1" t="s">
        <v>13744</v>
      </c>
      <c r="BT166" s="1" t="s">
        <v>2741</v>
      </c>
      <c r="BU166" s="1" t="str">
        <f>HYPERLINK("https%3A%2F%2Fwww.webofscience.com%2Fwos%2Fwoscc%2Ffull-record%2FWOS:001097575500001","View Full Record in Web of Science")</f>
        <v>View Full Record in Web of Science</v>
      </c>
    </row>
    <row r="167" spans="1:73" x14ac:dyDescent="0.25">
      <c r="A167" s="1">
        <v>189</v>
      </c>
      <c r="B167" s="1" t="s">
        <v>5546</v>
      </c>
      <c r="C167" s="1" t="s">
        <v>5841</v>
      </c>
      <c r="D167" s="1" t="s">
        <v>1507</v>
      </c>
      <c r="E167" s="1" t="s">
        <v>1507</v>
      </c>
      <c r="F167" s="1" t="s">
        <v>5548</v>
      </c>
      <c r="G167" s="1" t="s">
        <v>5842</v>
      </c>
      <c r="H167" s="1" t="s">
        <v>1507</v>
      </c>
      <c r="I167" s="1" t="s">
        <v>1507</v>
      </c>
      <c r="J167" s="1" t="s">
        <v>5843</v>
      </c>
      <c r="K167" s="1" t="s">
        <v>5844</v>
      </c>
      <c r="L167" s="1" t="s">
        <v>1507</v>
      </c>
      <c r="M167" s="1" t="s">
        <v>1507</v>
      </c>
      <c r="N167" s="1" t="s">
        <v>42</v>
      </c>
      <c r="O167" s="1" t="s">
        <v>5552</v>
      </c>
      <c r="P167" s="1" t="s">
        <v>5845</v>
      </c>
      <c r="Q167" s="1" t="s">
        <v>5846</v>
      </c>
      <c r="R167" s="1" t="s">
        <v>5847</v>
      </c>
      <c r="S167" s="1" t="s">
        <v>1507</v>
      </c>
      <c r="T167" s="1" t="s">
        <v>1507</v>
      </c>
      <c r="U167" s="1" t="s">
        <v>5848</v>
      </c>
      <c r="V167" s="1" t="s">
        <v>1507</v>
      </c>
      <c r="W167" s="1" t="s">
        <v>5849</v>
      </c>
      <c r="X167" s="1" t="s">
        <v>5850</v>
      </c>
      <c r="Y167" s="1" t="s">
        <v>5600</v>
      </c>
      <c r="Z167" s="1" t="s">
        <v>5851</v>
      </c>
      <c r="AA167" s="1" t="s">
        <v>5852</v>
      </c>
      <c r="AB167" s="1" t="s">
        <v>5853</v>
      </c>
      <c r="AC167" s="1" t="s">
        <v>5854</v>
      </c>
      <c r="AD167" s="1" t="s">
        <v>5855</v>
      </c>
      <c r="AE167" s="1" t="s">
        <v>5856</v>
      </c>
      <c r="AF167" s="1" t="s">
        <v>5857</v>
      </c>
      <c r="AG167" s="1" t="s">
        <v>1507</v>
      </c>
      <c r="AH167" s="1">
        <v>29</v>
      </c>
      <c r="AI167" s="1">
        <v>1</v>
      </c>
      <c r="AJ167" s="1">
        <v>1</v>
      </c>
      <c r="AK167" s="1">
        <v>3</v>
      </c>
      <c r="AL167" s="1">
        <v>3</v>
      </c>
      <c r="AM167" s="1" t="s">
        <v>5565</v>
      </c>
      <c r="AN167" s="1" t="s">
        <v>1512</v>
      </c>
      <c r="AO167" s="1" t="s">
        <v>5566</v>
      </c>
      <c r="AP167" s="1" t="s">
        <v>1507</v>
      </c>
      <c r="AQ167" s="1" t="s">
        <v>1507</v>
      </c>
      <c r="AR167" s="1" t="s">
        <v>5858</v>
      </c>
      <c r="AS167" s="1" t="s">
        <v>1507</v>
      </c>
      <c r="AT167" s="1" t="s">
        <v>1507</v>
      </c>
      <c r="AU167" s="1" t="s">
        <v>1507</v>
      </c>
      <c r="AV167" s="1">
        <v>2023</v>
      </c>
      <c r="AW167" s="1" t="s">
        <v>1507</v>
      </c>
      <c r="AX167" s="1" t="s">
        <v>1507</v>
      </c>
      <c r="AY167" s="1" t="s">
        <v>1507</v>
      </c>
      <c r="AZ167" s="1" t="s">
        <v>1507</v>
      </c>
      <c r="BA167" s="1" t="s">
        <v>1507</v>
      </c>
      <c r="BB167" s="1" t="s">
        <v>1507</v>
      </c>
      <c r="BC167" s="1">
        <v>1</v>
      </c>
      <c r="BD167" s="1">
        <v>8</v>
      </c>
      <c r="BE167" s="1" t="s">
        <v>1507</v>
      </c>
      <c r="BF167" s="1" t="s">
        <v>5859</v>
      </c>
      <c r="BG167" s="1" t="str">
        <f>HYPERLINK("http://dx.doi.org/10.1145/3599696.3612895","http://dx.doi.org/10.1145/3599696.3612895")</f>
        <v>http://dx.doi.org/10.1145/3599696.3612895</v>
      </c>
      <c r="BH167" s="1" t="s">
        <v>1507</v>
      </c>
      <c r="BI167" s="1" t="s">
        <v>1507</v>
      </c>
      <c r="BJ167" s="1">
        <v>8</v>
      </c>
      <c r="BK167" s="1" t="s">
        <v>1576</v>
      </c>
      <c r="BL167" s="1" t="s">
        <v>5570</v>
      </c>
      <c r="BM167" s="1" t="s">
        <v>1577</v>
      </c>
      <c r="BN167" s="1" t="s">
        <v>5860</v>
      </c>
      <c r="BO167" s="1" t="s">
        <v>1507</v>
      </c>
      <c r="BP167" s="1" t="s">
        <v>1537</v>
      </c>
      <c r="BQ167" s="1" t="s">
        <v>1507</v>
      </c>
      <c r="BR167" s="1" t="s">
        <v>1507</v>
      </c>
      <c r="BS167" s="1" t="s">
        <v>13744</v>
      </c>
      <c r="BT167" s="1" t="s">
        <v>5861</v>
      </c>
      <c r="BU167" s="1" t="str">
        <f>HYPERLINK("https%3A%2F%2Fwww.webofscience.com%2Fwos%2Fwoscc%2Ffull-record%2FWOS:001122672400001","View Full Record in Web of Science")</f>
        <v>View Full Record in Web of Science</v>
      </c>
    </row>
    <row r="168" spans="1:73" x14ac:dyDescent="0.25">
      <c r="A168" s="1">
        <v>190</v>
      </c>
      <c r="B168" s="1" t="s">
        <v>1506</v>
      </c>
      <c r="C168" s="1" t="s">
        <v>4314</v>
      </c>
      <c r="D168" s="1" t="s">
        <v>1507</v>
      </c>
      <c r="E168" s="1" t="s">
        <v>1507</v>
      </c>
      <c r="F168" s="1" t="s">
        <v>1507</v>
      </c>
      <c r="G168" s="1" t="s">
        <v>4315</v>
      </c>
      <c r="H168" s="1" t="s">
        <v>1507</v>
      </c>
      <c r="I168" s="1" t="s">
        <v>1507</v>
      </c>
      <c r="J168" s="1" t="s">
        <v>4316</v>
      </c>
      <c r="K168" s="1" t="s">
        <v>4317</v>
      </c>
      <c r="L168" s="1" t="s">
        <v>1507</v>
      </c>
      <c r="M168" s="1" t="s">
        <v>1507</v>
      </c>
      <c r="N168" s="1" t="s">
        <v>42</v>
      </c>
      <c r="O168" s="1" t="s">
        <v>56</v>
      </c>
      <c r="P168" s="1" t="s">
        <v>1507</v>
      </c>
      <c r="Q168" s="1" t="s">
        <v>1507</v>
      </c>
      <c r="R168" s="1" t="s">
        <v>1507</v>
      </c>
      <c r="S168" s="1" t="s">
        <v>1507</v>
      </c>
      <c r="T168" s="1" t="s">
        <v>1507</v>
      </c>
      <c r="U168" s="1" t="s">
        <v>4318</v>
      </c>
      <c r="V168" s="1" t="s">
        <v>4319</v>
      </c>
      <c r="W168" s="1" t="s">
        <v>4320</v>
      </c>
      <c r="X168" s="1" t="s">
        <v>4321</v>
      </c>
      <c r="Y168" s="1" t="s">
        <v>4322</v>
      </c>
      <c r="Z168" s="1" t="s">
        <v>4323</v>
      </c>
      <c r="AA168" s="1" t="s">
        <v>4324</v>
      </c>
      <c r="AB168" s="1" t="s">
        <v>4325</v>
      </c>
      <c r="AC168" s="1" t="s">
        <v>4326</v>
      </c>
      <c r="AD168" s="1" t="s">
        <v>4327</v>
      </c>
      <c r="AE168" s="1" t="s">
        <v>4328</v>
      </c>
      <c r="AF168" s="1" t="s">
        <v>4329</v>
      </c>
      <c r="AG168" s="1" t="s">
        <v>1507</v>
      </c>
      <c r="AH168" s="1">
        <v>57</v>
      </c>
      <c r="AI168" s="1">
        <v>0</v>
      </c>
      <c r="AJ168" s="1">
        <v>0</v>
      </c>
      <c r="AK168" s="1">
        <v>3</v>
      </c>
      <c r="AL168" s="1">
        <v>5</v>
      </c>
      <c r="AM168" s="1" t="s">
        <v>4330</v>
      </c>
      <c r="AN168" s="1" t="s">
        <v>1746</v>
      </c>
      <c r="AO168" s="1" t="s">
        <v>4331</v>
      </c>
      <c r="AP168" s="1" t="s">
        <v>4332</v>
      </c>
      <c r="AQ168" s="1" t="s">
        <v>4333</v>
      </c>
      <c r="AR168" s="1" t="s">
        <v>1507</v>
      </c>
      <c r="AS168" s="1" t="s">
        <v>4334</v>
      </c>
      <c r="AT168" s="1" t="s">
        <v>4335</v>
      </c>
      <c r="AU168" s="1" t="s">
        <v>4336</v>
      </c>
      <c r="AV168" s="1">
        <v>2023</v>
      </c>
      <c r="AW168" s="1">
        <v>33</v>
      </c>
      <c r="AX168" s="1">
        <v>4</v>
      </c>
      <c r="AY168" s="1" t="s">
        <v>1507</v>
      </c>
      <c r="AZ168" s="1" t="s">
        <v>1507</v>
      </c>
      <c r="BA168" s="1" t="s">
        <v>1507</v>
      </c>
      <c r="BB168" s="1" t="s">
        <v>1507</v>
      </c>
      <c r="BC168" s="1">
        <v>134</v>
      </c>
      <c r="BD168" s="1">
        <v>144</v>
      </c>
      <c r="BE168" s="1" t="s">
        <v>1507</v>
      </c>
      <c r="BF168" s="1" t="s">
        <v>4337</v>
      </c>
      <c r="BG168" s="1" t="str">
        <f>HYPERLINK("http://dx.doi.org/10.1097/YPG.0000000000000339","http://dx.doi.org/10.1097/YPG.0000000000000339")</f>
        <v>http://dx.doi.org/10.1097/YPG.0000000000000339</v>
      </c>
      <c r="BH168" s="1" t="s">
        <v>1507</v>
      </c>
      <c r="BI168" s="1" t="s">
        <v>1507</v>
      </c>
      <c r="BJ168" s="1">
        <v>11</v>
      </c>
      <c r="BK168" s="1" t="s">
        <v>4338</v>
      </c>
      <c r="BL168" s="1" t="s">
        <v>1573</v>
      </c>
      <c r="BM168" s="1" t="s">
        <v>4339</v>
      </c>
      <c r="BN168" s="1" t="s">
        <v>4340</v>
      </c>
      <c r="BO168" s="1">
        <v>37222222</v>
      </c>
      <c r="BP168" s="1" t="s">
        <v>2309</v>
      </c>
      <c r="BQ168" s="1" t="s">
        <v>1507</v>
      </c>
      <c r="BR168" s="1" t="s">
        <v>1507</v>
      </c>
      <c r="BS168" s="1" t="s">
        <v>13744</v>
      </c>
      <c r="BT168" s="1" t="s">
        <v>4341</v>
      </c>
      <c r="BU168" s="1" t="str">
        <f>HYPERLINK("https%3A%2F%2Fwww.webofscience.com%2Fwos%2Fwoscc%2Ffull-record%2FWOS:001070995600002","View Full Record in Web of Science")</f>
        <v>View Full Record in Web of Science</v>
      </c>
    </row>
    <row r="169" spans="1:73" x14ac:dyDescent="0.25">
      <c r="A169" s="1">
        <v>191</v>
      </c>
      <c r="B169" s="1" t="s">
        <v>1506</v>
      </c>
      <c r="C169" s="1" t="s">
        <v>5862</v>
      </c>
      <c r="D169" s="1" t="s">
        <v>1507</v>
      </c>
      <c r="E169" s="1" t="s">
        <v>1507</v>
      </c>
      <c r="F169" s="1" t="s">
        <v>1507</v>
      </c>
      <c r="G169" s="1" t="s">
        <v>5863</v>
      </c>
      <c r="H169" s="1" t="s">
        <v>1507</v>
      </c>
      <c r="I169" s="1" t="s">
        <v>1507</v>
      </c>
      <c r="J169" s="1" t="s">
        <v>5864</v>
      </c>
      <c r="K169" s="1" t="s">
        <v>5865</v>
      </c>
      <c r="L169" s="1" t="s">
        <v>1507</v>
      </c>
      <c r="M169" s="1" t="s">
        <v>1507</v>
      </c>
      <c r="N169" s="1" t="s">
        <v>42</v>
      </c>
      <c r="O169" s="1" t="s">
        <v>56</v>
      </c>
      <c r="P169" s="1" t="s">
        <v>1507</v>
      </c>
      <c r="Q169" s="1" t="s">
        <v>1507</v>
      </c>
      <c r="R169" s="1" t="s">
        <v>1507</v>
      </c>
      <c r="S169" s="1" t="s">
        <v>1507</v>
      </c>
      <c r="T169" s="1" t="s">
        <v>1507</v>
      </c>
      <c r="U169" s="1" t="s">
        <v>5866</v>
      </c>
      <c r="V169" s="1" t="s">
        <v>1507</v>
      </c>
      <c r="W169" s="1" t="s">
        <v>5867</v>
      </c>
      <c r="X169" s="1" t="s">
        <v>5868</v>
      </c>
      <c r="Y169" s="1" t="s">
        <v>5869</v>
      </c>
      <c r="Z169" s="1" t="s">
        <v>5870</v>
      </c>
      <c r="AA169" s="1" t="s">
        <v>5871</v>
      </c>
      <c r="AB169" s="1" t="s">
        <v>1507</v>
      </c>
      <c r="AC169" s="1" t="s">
        <v>14982</v>
      </c>
      <c r="AD169" s="1" t="s">
        <v>5872</v>
      </c>
      <c r="AE169" s="1" t="s">
        <v>5873</v>
      </c>
      <c r="AF169" s="1" t="s">
        <v>5874</v>
      </c>
      <c r="AG169" s="1" t="s">
        <v>1507</v>
      </c>
      <c r="AH169" s="1">
        <v>36</v>
      </c>
      <c r="AI169" s="1">
        <v>6</v>
      </c>
      <c r="AJ169" s="1">
        <v>6</v>
      </c>
      <c r="AK169" s="1">
        <v>14</v>
      </c>
      <c r="AL169" s="1">
        <v>14</v>
      </c>
      <c r="AM169" s="1" t="s">
        <v>1667</v>
      </c>
      <c r="AN169" s="1" t="s">
        <v>1668</v>
      </c>
      <c r="AO169" s="1" t="s">
        <v>1669</v>
      </c>
      <c r="AP169" s="1" t="s">
        <v>5875</v>
      </c>
      <c r="AQ169" s="1" t="s">
        <v>1507</v>
      </c>
      <c r="AR169" s="1" t="s">
        <v>1507</v>
      </c>
      <c r="AS169" s="1" t="s">
        <v>5876</v>
      </c>
      <c r="AT169" s="1" t="s">
        <v>5877</v>
      </c>
      <c r="AU169" s="1" t="s">
        <v>1507</v>
      </c>
      <c r="AV169" s="1">
        <v>2023</v>
      </c>
      <c r="AW169" s="1">
        <v>11</v>
      </c>
      <c r="AX169" s="1" t="s">
        <v>1507</v>
      </c>
      <c r="AY169" s="1" t="s">
        <v>1507</v>
      </c>
      <c r="AZ169" s="1" t="s">
        <v>1507</v>
      </c>
      <c r="BA169" s="1" t="s">
        <v>1507</v>
      </c>
      <c r="BB169" s="1" t="s">
        <v>1507</v>
      </c>
      <c r="BC169" s="1" t="s">
        <v>1507</v>
      </c>
      <c r="BD169" s="1" t="s">
        <v>1507</v>
      </c>
      <c r="BE169" s="1" t="s">
        <v>5878</v>
      </c>
      <c r="BF169" s="1" t="s">
        <v>5879</v>
      </c>
      <c r="BG169" s="1" t="str">
        <f>HYPERLINK("http://dx.doi.org/10.2196/49995","http://dx.doi.org/10.2196/49995")</f>
        <v>http://dx.doi.org/10.2196/49995</v>
      </c>
      <c r="BH169" s="1" t="s">
        <v>1507</v>
      </c>
      <c r="BI169" s="1" t="s">
        <v>1507</v>
      </c>
      <c r="BJ169" s="1">
        <v>10</v>
      </c>
      <c r="BK169" s="1" t="s">
        <v>1585</v>
      </c>
      <c r="BL169" s="1" t="s">
        <v>1573</v>
      </c>
      <c r="BM169" s="1" t="s">
        <v>1585</v>
      </c>
      <c r="BN169" s="1" t="s">
        <v>5880</v>
      </c>
      <c r="BO169" s="1">
        <v>37788063</v>
      </c>
      <c r="BP169" s="1" t="s">
        <v>1952</v>
      </c>
      <c r="BQ169" s="1" t="s">
        <v>1507</v>
      </c>
      <c r="BR169" s="1" t="s">
        <v>1507</v>
      </c>
      <c r="BS169" s="1" t="s">
        <v>13744</v>
      </c>
      <c r="BT169" s="1" t="s">
        <v>5881</v>
      </c>
      <c r="BU169" s="1" t="str">
        <f>HYPERLINK("https%3A%2F%2Fwww.webofscience.com%2Fwos%2Fwoscc%2Ffull-record%2FWOS:001086508900002","View Full Record in Web of Science")</f>
        <v>View Full Record in Web of Science</v>
      </c>
    </row>
    <row r="170" spans="1:73" x14ac:dyDescent="0.25">
      <c r="A170" s="1">
        <v>192</v>
      </c>
      <c r="B170" s="1" t="s">
        <v>1506</v>
      </c>
      <c r="C170" s="1" t="s">
        <v>4342</v>
      </c>
      <c r="D170" s="1" t="s">
        <v>1507</v>
      </c>
      <c r="E170" s="1" t="s">
        <v>1507</v>
      </c>
      <c r="F170" s="1" t="s">
        <v>1507</v>
      </c>
      <c r="G170" s="1" t="s">
        <v>4343</v>
      </c>
      <c r="H170" s="1" t="s">
        <v>1507</v>
      </c>
      <c r="I170" s="1" t="s">
        <v>1507</v>
      </c>
      <c r="J170" s="1" t="s">
        <v>173</v>
      </c>
      <c r="K170" s="1" t="s">
        <v>4344</v>
      </c>
      <c r="L170" s="1" t="s">
        <v>1507</v>
      </c>
      <c r="M170" s="1" t="s">
        <v>1507</v>
      </c>
      <c r="N170" s="1" t="s">
        <v>42</v>
      </c>
      <c r="O170" s="1" t="s">
        <v>56</v>
      </c>
      <c r="P170" s="1" t="s">
        <v>1507</v>
      </c>
      <c r="Q170" s="1" t="s">
        <v>1507</v>
      </c>
      <c r="R170" s="1" t="s">
        <v>1507</v>
      </c>
      <c r="S170" s="1" t="s">
        <v>1507</v>
      </c>
      <c r="T170" s="1" t="s">
        <v>1507</v>
      </c>
      <c r="U170" s="1" t="s">
        <v>4345</v>
      </c>
      <c r="V170" s="1" t="s">
        <v>1507</v>
      </c>
      <c r="W170" s="1" t="s">
        <v>4346</v>
      </c>
      <c r="X170" s="1" t="s">
        <v>4347</v>
      </c>
      <c r="Y170" s="1" t="s">
        <v>4348</v>
      </c>
      <c r="Z170" s="1" t="s">
        <v>4349</v>
      </c>
      <c r="AA170" s="1" t="s">
        <v>4350</v>
      </c>
      <c r="AB170" s="1" t="s">
        <v>1507</v>
      </c>
      <c r="AC170" s="1" t="s">
        <v>14573</v>
      </c>
      <c r="AD170" s="1" t="s">
        <v>4351</v>
      </c>
      <c r="AE170" s="1" t="s">
        <v>4351</v>
      </c>
      <c r="AF170" s="1" t="s">
        <v>4351</v>
      </c>
      <c r="AG170" s="1" t="s">
        <v>1507</v>
      </c>
      <c r="AH170" s="1">
        <v>67</v>
      </c>
      <c r="AI170" s="1">
        <v>1</v>
      </c>
      <c r="AJ170" s="1">
        <v>1</v>
      </c>
      <c r="AK170" s="1">
        <v>56</v>
      </c>
      <c r="AL170" s="1">
        <v>62</v>
      </c>
      <c r="AM170" s="1" t="s">
        <v>1610</v>
      </c>
      <c r="AN170" s="1" t="s">
        <v>1611</v>
      </c>
      <c r="AO170" s="1" t="s">
        <v>1612</v>
      </c>
      <c r="AP170" s="1" t="s">
        <v>1507</v>
      </c>
      <c r="AQ170" s="1" t="s">
        <v>4352</v>
      </c>
      <c r="AR170" s="1" t="s">
        <v>1507</v>
      </c>
      <c r="AS170" s="1" t="s">
        <v>4353</v>
      </c>
      <c r="AT170" s="1" t="s">
        <v>4354</v>
      </c>
      <c r="AU170" s="1" t="s">
        <v>4336</v>
      </c>
      <c r="AV170" s="1">
        <v>2023</v>
      </c>
      <c r="AW170" s="1">
        <v>7</v>
      </c>
      <c r="AX170" s="1">
        <v>8</v>
      </c>
      <c r="AY170" s="1" t="s">
        <v>1507</v>
      </c>
      <c r="AZ170" s="1" t="s">
        <v>1507</v>
      </c>
      <c r="BA170" s="1" t="s">
        <v>1507</v>
      </c>
      <c r="BB170" s="1" t="s">
        <v>1507</v>
      </c>
      <c r="BC170" s="1" t="s">
        <v>1507</v>
      </c>
      <c r="BD170" s="1" t="s">
        <v>1507</v>
      </c>
      <c r="BE170" s="1">
        <v>81</v>
      </c>
      <c r="BF170" s="1" t="s">
        <v>175</v>
      </c>
      <c r="BG170" s="1" t="str">
        <f>HYPERLINK("http://dx.doi.org/10.3390/mti7080081","http://dx.doi.org/10.3390/mti7080081")</f>
        <v>http://dx.doi.org/10.3390/mti7080081</v>
      </c>
      <c r="BH170" s="1" t="s">
        <v>1507</v>
      </c>
      <c r="BI170" s="1" t="s">
        <v>1507</v>
      </c>
      <c r="BJ170" s="1">
        <v>22</v>
      </c>
      <c r="BK170" s="1" t="s">
        <v>4355</v>
      </c>
      <c r="BL170" s="1" t="s">
        <v>1529</v>
      </c>
      <c r="BM170" s="1" t="s">
        <v>1577</v>
      </c>
      <c r="BN170" s="1" t="s">
        <v>4356</v>
      </c>
      <c r="BO170" s="1" t="s">
        <v>1507</v>
      </c>
      <c r="BP170" s="1" t="s">
        <v>12100</v>
      </c>
      <c r="BQ170" s="1" t="s">
        <v>1507</v>
      </c>
      <c r="BR170" s="1" t="s">
        <v>1507</v>
      </c>
      <c r="BS170" s="1" t="s">
        <v>13744</v>
      </c>
      <c r="BT170" s="1" t="s">
        <v>4358</v>
      </c>
      <c r="BU170" s="1" t="str">
        <f>HYPERLINK("https%3A%2F%2Fwww.webofscience.com%2Fwos%2Fwoscc%2Ffull-record%2FWOS:001056644500001","View Full Record in Web of Science")</f>
        <v>View Full Record in Web of Science</v>
      </c>
    </row>
    <row r="171" spans="1:73" x14ac:dyDescent="0.25">
      <c r="A171" s="1">
        <v>193</v>
      </c>
      <c r="B171" s="1" t="s">
        <v>1506</v>
      </c>
      <c r="C171" s="1" t="s">
        <v>10067</v>
      </c>
      <c r="D171" s="1" t="s">
        <v>1507</v>
      </c>
      <c r="E171" s="1" t="s">
        <v>1507</v>
      </c>
      <c r="F171" s="1" t="s">
        <v>1507</v>
      </c>
      <c r="G171" s="1" t="s">
        <v>10068</v>
      </c>
      <c r="H171" s="1" t="s">
        <v>1507</v>
      </c>
      <c r="I171" s="1" t="s">
        <v>1507</v>
      </c>
      <c r="J171" s="1" t="s">
        <v>10069</v>
      </c>
      <c r="K171" s="1" t="s">
        <v>10070</v>
      </c>
      <c r="L171" s="1" t="s">
        <v>1507</v>
      </c>
      <c r="M171" s="1" t="s">
        <v>1507</v>
      </c>
      <c r="N171" s="1" t="s">
        <v>42</v>
      </c>
      <c r="O171" s="1" t="s">
        <v>56</v>
      </c>
      <c r="P171" s="1" t="s">
        <v>1507</v>
      </c>
      <c r="Q171" s="1" t="s">
        <v>1507</v>
      </c>
      <c r="R171" s="1" t="s">
        <v>1507</v>
      </c>
      <c r="S171" s="1" t="s">
        <v>1507</v>
      </c>
      <c r="T171" s="1" t="s">
        <v>1507</v>
      </c>
      <c r="U171" s="1" t="s">
        <v>10071</v>
      </c>
      <c r="V171" s="1" t="s">
        <v>10072</v>
      </c>
      <c r="W171" s="1" t="s">
        <v>10073</v>
      </c>
      <c r="X171" s="1" t="s">
        <v>10074</v>
      </c>
      <c r="Y171" s="1" t="s">
        <v>10075</v>
      </c>
      <c r="Z171" s="1" t="s">
        <v>10076</v>
      </c>
      <c r="AA171" s="1" t="s">
        <v>10077</v>
      </c>
      <c r="AB171" s="1" t="s">
        <v>1507</v>
      </c>
      <c r="AC171" s="1" t="s">
        <v>10078</v>
      </c>
      <c r="AD171" s="1" t="s">
        <v>10079</v>
      </c>
      <c r="AE171" s="1" t="s">
        <v>10080</v>
      </c>
      <c r="AF171" s="1" t="s">
        <v>10081</v>
      </c>
      <c r="AG171" s="1" t="s">
        <v>1507</v>
      </c>
      <c r="AH171" s="1">
        <v>104</v>
      </c>
      <c r="AI171" s="1">
        <v>2</v>
      </c>
      <c r="AJ171" s="1">
        <v>2</v>
      </c>
      <c r="AK171" s="1">
        <v>0</v>
      </c>
      <c r="AL171" s="1">
        <v>6</v>
      </c>
      <c r="AM171" s="1" t="s">
        <v>3564</v>
      </c>
      <c r="AN171" s="1" t="s">
        <v>1512</v>
      </c>
      <c r="AO171" s="1" t="s">
        <v>10082</v>
      </c>
      <c r="AP171" s="1" t="s">
        <v>10083</v>
      </c>
      <c r="AQ171" s="1" t="s">
        <v>10084</v>
      </c>
      <c r="AR171" s="1" t="s">
        <v>1507</v>
      </c>
      <c r="AS171" s="1" t="s">
        <v>10085</v>
      </c>
      <c r="AT171" s="1" t="s">
        <v>10086</v>
      </c>
      <c r="AU171" s="1" t="s">
        <v>5362</v>
      </c>
      <c r="AV171" s="1">
        <v>2020</v>
      </c>
      <c r="AW171" s="1">
        <v>53</v>
      </c>
      <c r="AX171" s="1">
        <v>1</v>
      </c>
      <c r="AY171" s="1" t="s">
        <v>1507</v>
      </c>
      <c r="AZ171" s="1" t="s">
        <v>1507</v>
      </c>
      <c r="BA171" s="1" t="s">
        <v>1507</v>
      </c>
      <c r="BB171" s="1" t="s">
        <v>1507</v>
      </c>
      <c r="BC171" s="1">
        <v>71</v>
      </c>
      <c r="BD171" s="1">
        <v>99</v>
      </c>
      <c r="BE171" s="1" t="s">
        <v>1507</v>
      </c>
      <c r="BF171" s="1" t="s">
        <v>10087</v>
      </c>
      <c r="BG171" s="1" t="str">
        <f>HYPERLINK("http://dx.doi.org/10.1017/S0021223719000220","http://dx.doi.org/10.1017/S0021223719000220")</f>
        <v>http://dx.doi.org/10.1017/S0021223719000220</v>
      </c>
      <c r="BH171" s="1" t="s">
        <v>1507</v>
      </c>
      <c r="BI171" s="1" t="s">
        <v>1507</v>
      </c>
      <c r="BJ171" s="1">
        <v>29</v>
      </c>
      <c r="BK171" s="1" t="s">
        <v>1535</v>
      </c>
      <c r="BL171" s="1" t="s">
        <v>1529</v>
      </c>
      <c r="BM171" s="1" t="s">
        <v>1536</v>
      </c>
      <c r="BN171" s="1" t="s">
        <v>10088</v>
      </c>
      <c r="BO171" s="1" t="s">
        <v>1507</v>
      </c>
      <c r="BP171" s="1" t="s">
        <v>1507</v>
      </c>
      <c r="BQ171" s="1" t="s">
        <v>1507</v>
      </c>
      <c r="BR171" s="1" t="s">
        <v>1507</v>
      </c>
      <c r="BS171" s="1" t="s">
        <v>13744</v>
      </c>
      <c r="BT171" s="1" t="s">
        <v>10089</v>
      </c>
      <c r="BU171" s="1" t="str">
        <f>HYPERLINK("https%3A%2F%2Fwww.webofscience.com%2Fwos%2Fwoscc%2Ffull-record%2FWOS:000510535200004","View Full Record in Web of Science")</f>
        <v>View Full Record in Web of Science</v>
      </c>
    </row>
    <row r="172" spans="1:73" x14ac:dyDescent="0.25">
      <c r="A172" s="1">
        <v>194</v>
      </c>
      <c r="B172" s="1" t="s">
        <v>1506</v>
      </c>
      <c r="C172" s="1" t="s">
        <v>2595</v>
      </c>
      <c r="D172" s="1" t="s">
        <v>1507</v>
      </c>
      <c r="E172" s="1" t="s">
        <v>1507</v>
      </c>
      <c r="F172" s="1" t="s">
        <v>1507</v>
      </c>
      <c r="G172" s="1" t="s">
        <v>2596</v>
      </c>
      <c r="H172" s="1" t="s">
        <v>1507</v>
      </c>
      <c r="I172" s="1" t="s">
        <v>1507</v>
      </c>
      <c r="J172" s="1" t="s">
        <v>2597</v>
      </c>
      <c r="K172" s="1" t="s">
        <v>2598</v>
      </c>
      <c r="L172" s="1" t="s">
        <v>1507</v>
      </c>
      <c r="M172" s="1" t="s">
        <v>1507</v>
      </c>
      <c r="N172" s="1" t="s">
        <v>42</v>
      </c>
      <c r="O172" s="1" t="s">
        <v>56</v>
      </c>
      <c r="P172" s="1" t="s">
        <v>1507</v>
      </c>
      <c r="Q172" s="1" t="s">
        <v>1507</v>
      </c>
      <c r="R172" s="1" t="s">
        <v>1507</v>
      </c>
      <c r="S172" s="1" t="s">
        <v>1507</v>
      </c>
      <c r="T172" s="1" t="s">
        <v>1507</v>
      </c>
      <c r="U172" s="1" t="s">
        <v>2599</v>
      </c>
      <c r="V172" s="1" t="s">
        <v>2600</v>
      </c>
      <c r="W172" s="1" t="s">
        <v>2601</v>
      </c>
      <c r="X172" s="1" t="s">
        <v>2602</v>
      </c>
      <c r="Y172" s="1" t="s">
        <v>2603</v>
      </c>
      <c r="Z172" s="1" t="s">
        <v>2604</v>
      </c>
      <c r="AA172" s="1" t="s">
        <v>1507</v>
      </c>
      <c r="AB172" s="1" t="s">
        <v>13999</v>
      </c>
      <c r="AC172" s="1" t="s">
        <v>14000</v>
      </c>
      <c r="AD172" s="1" t="s">
        <v>2605</v>
      </c>
      <c r="AE172" s="1" t="s">
        <v>2606</v>
      </c>
      <c r="AF172" s="1" t="s">
        <v>2607</v>
      </c>
      <c r="AG172" s="1" t="s">
        <v>1507</v>
      </c>
      <c r="AH172" s="1">
        <v>75</v>
      </c>
      <c r="AI172" s="1">
        <v>0</v>
      </c>
      <c r="AJ172" s="1">
        <v>0</v>
      </c>
      <c r="AK172" s="1">
        <v>7</v>
      </c>
      <c r="AL172" s="1">
        <v>7</v>
      </c>
      <c r="AM172" s="1" t="s">
        <v>1900</v>
      </c>
      <c r="AN172" s="1" t="s">
        <v>1583</v>
      </c>
      <c r="AO172" s="1" t="s">
        <v>1901</v>
      </c>
      <c r="AP172" s="1" t="s">
        <v>2608</v>
      </c>
      <c r="AQ172" s="1" t="s">
        <v>2609</v>
      </c>
      <c r="AR172" s="1" t="s">
        <v>1507</v>
      </c>
      <c r="AS172" s="1" t="s">
        <v>2610</v>
      </c>
      <c r="AT172" s="1" t="s">
        <v>2611</v>
      </c>
      <c r="AU172" s="1" t="s">
        <v>1607</v>
      </c>
      <c r="AV172" s="1">
        <v>2024</v>
      </c>
      <c r="AW172" s="1">
        <v>173</v>
      </c>
      <c r="AX172" s="1" t="s">
        <v>1507</v>
      </c>
      <c r="AY172" s="1" t="s">
        <v>1507</v>
      </c>
      <c r="AZ172" s="1" t="s">
        <v>1507</v>
      </c>
      <c r="BA172" s="1" t="s">
        <v>1507</v>
      </c>
      <c r="BB172" s="1" t="s">
        <v>1507</v>
      </c>
      <c r="BC172" s="1">
        <v>10</v>
      </c>
      <c r="BD172" s="1">
        <v>21</v>
      </c>
      <c r="BE172" s="1" t="s">
        <v>1507</v>
      </c>
      <c r="BF172" s="1" t="s">
        <v>2612</v>
      </c>
      <c r="BG172" s="1" t="str">
        <f>HYPERLINK("http://dx.doi.org/10.1016/j.wasman.2023.11.002","http://dx.doi.org/10.1016/j.wasman.2023.11.002")</f>
        <v>http://dx.doi.org/10.1016/j.wasman.2023.11.002</v>
      </c>
      <c r="BH172" s="1" t="s">
        <v>1507</v>
      </c>
      <c r="BI172" s="1" t="s">
        <v>2396</v>
      </c>
      <c r="BJ172" s="1">
        <v>12</v>
      </c>
      <c r="BK172" s="1" t="s">
        <v>2613</v>
      </c>
      <c r="BL172" s="1" t="s">
        <v>1573</v>
      </c>
      <c r="BM172" s="1" t="s">
        <v>2614</v>
      </c>
      <c r="BN172" s="1" t="s">
        <v>2615</v>
      </c>
      <c r="BO172" s="1">
        <v>37951038</v>
      </c>
      <c r="BP172" s="1" t="s">
        <v>1507</v>
      </c>
      <c r="BQ172" s="1" t="s">
        <v>1507</v>
      </c>
      <c r="BR172" s="1" t="s">
        <v>1507</v>
      </c>
      <c r="BS172" s="1" t="s">
        <v>13744</v>
      </c>
      <c r="BT172" s="1" t="s">
        <v>2616</v>
      </c>
      <c r="BU172" s="1" t="str">
        <f>HYPERLINK("https%3A%2F%2Fwww.webofscience.com%2Fwos%2Fwoscc%2Ffull-record%2FWOS:001115816700001","View Full Record in Web of Science")</f>
        <v>View Full Record in Web of Science</v>
      </c>
    </row>
    <row r="173" spans="1:73" x14ac:dyDescent="0.25">
      <c r="A173" s="1">
        <v>195</v>
      </c>
      <c r="B173" s="1" t="s">
        <v>1506</v>
      </c>
      <c r="C173" s="1" t="s">
        <v>8900</v>
      </c>
      <c r="D173" s="1" t="s">
        <v>1507</v>
      </c>
      <c r="E173" s="1" t="s">
        <v>1507</v>
      </c>
      <c r="F173" s="1" t="s">
        <v>1507</v>
      </c>
      <c r="G173" s="1" t="s">
        <v>8901</v>
      </c>
      <c r="H173" s="1" t="s">
        <v>1507</v>
      </c>
      <c r="I173" s="1" t="s">
        <v>1507</v>
      </c>
      <c r="J173" s="1" t="s">
        <v>8902</v>
      </c>
      <c r="K173" s="1" t="s">
        <v>8903</v>
      </c>
      <c r="L173" s="1" t="s">
        <v>1507</v>
      </c>
      <c r="M173" s="1" t="s">
        <v>1507</v>
      </c>
      <c r="N173" s="1" t="s">
        <v>42</v>
      </c>
      <c r="O173" s="1" t="s">
        <v>56</v>
      </c>
      <c r="P173" s="1" t="s">
        <v>1507</v>
      </c>
      <c r="Q173" s="1" t="s">
        <v>1507</v>
      </c>
      <c r="R173" s="1" t="s">
        <v>1507</v>
      </c>
      <c r="S173" s="1" t="s">
        <v>1507</v>
      </c>
      <c r="T173" s="1" t="s">
        <v>1507</v>
      </c>
      <c r="U173" s="1" t="s">
        <v>8904</v>
      </c>
      <c r="V173" s="1" t="s">
        <v>8905</v>
      </c>
      <c r="W173" s="1" t="s">
        <v>8906</v>
      </c>
      <c r="X173" s="1" t="s">
        <v>8907</v>
      </c>
      <c r="Y173" s="1" t="s">
        <v>8908</v>
      </c>
      <c r="Z173" s="1" t="s">
        <v>8909</v>
      </c>
      <c r="AA173" s="1" t="s">
        <v>8910</v>
      </c>
      <c r="AB173" s="1" t="s">
        <v>15752</v>
      </c>
      <c r="AC173" s="1" t="s">
        <v>15753</v>
      </c>
      <c r="AD173" s="1" t="s">
        <v>8911</v>
      </c>
      <c r="AE173" s="1" t="s">
        <v>8912</v>
      </c>
      <c r="AF173" s="1" t="s">
        <v>8913</v>
      </c>
      <c r="AG173" s="1" t="s">
        <v>1507</v>
      </c>
      <c r="AH173" s="1">
        <v>56</v>
      </c>
      <c r="AI173" s="1">
        <v>37</v>
      </c>
      <c r="AJ173" s="1">
        <v>38</v>
      </c>
      <c r="AK173" s="1">
        <v>5</v>
      </c>
      <c r="AL173" s="1">
        <v>65</v>
      </c>
      <c r="AM173" s="1" t="s">
        <v>2372</v>
      </c>
      <c r="AN173" s="1" t="s">
        <v>2300</v>
      </c>
      <c r="AO173" s="1" t="s">
        <v>2373</v>
      </c>
      <c r="AP173" s="1" t="s">
        <v>8914</v>
      </c>
      <c r="AQ173" s="1" t="s">
        <v>8915</v>
      </c>
      <c r="AR173" s="1" t="s">
        <v>1507</v>
      </c>
      <c r="AS173" s="1" t="s">
        <v>8903</v>
      </c>
      <c r="AT173" s="1" t="s">
        <v>8916</v>
      </c>
      <c r="AU173" s="1" t="s">
        <v>8456</v>
      </c>
      <c r="AV173" s="1">
        <v>2021</v>
      </c>
      <c r="AW173" s="1">
        <v>15</v>
      </c>
      <c r="AX173" s="1">
        <v>6</v>
      </c>
      <c r="AY173" s="1" t="s">
        <v>1507</v>
      </c>
      <c r="AZ173" s="1" t="s">
        <v>1507</v>
      </c>
      <c r="BA173" s="1" t="s">
        <v>1507</v>
      </c>
      <c r="BB173" s="1" t="s">
        <v>1507</v>
      </c>
      <c r="BC173" s="1">
        <v>9658</v>
      </c>
      <c r="BD173" s="1">
        <v>9669</v>
      </c>
      <c r="BE173" s="1" t="s">
        <v>1507</v>
      </c>
      <c r="BF173" s="1" t="s">
        <v>8917</v>
      </c>
      <c r="BG173" s="1" t="str">
        <f>HYPERLINK("http://dx.doi.org/10.1021/acsnano.0c10897","http://dx.doi.org/10.1021/acsnano.0c10897")</f>
        <v>http://dx.doi.org/10.1021/acsnano.0c10897</v>
      </c>
      <c r="BH173" s="1" t="s">
        <v>1507</v>
      </c>
      <c r="BI173" s="1" t="s">
        <v>8876</v>
      </c>
      <c r="BJ173" s="1">
        <v>12</v>
      </c>
      <c r="BK173" s="1" t="s">
        <v>8918</v>
      </c>
      <c r="BL173" s="1" t="s">
        <v>1573</v>
      </c>
      <c r="BM173" s="1" t="s">
        <v>8919</v>
      </c>
      <c r="BN173" s="1" t="s">
        <v>8920</v>
      </c>
      <c r="BO173" s="1">
        <v>33754710</v>
      </c>
      <c r="BP173" s="1" t="s">
        <v>1507</v>
      </c>
      <c r="BQ173" s="1" t="s">
        <v>1507</v>
      </c>
      <c r="BR173" s="1" t="s">
        <v>1507</v>
      </c>
      <c r="BS173" s="1" t="s">
        <v>13744</v>
      </c>
      <c r="BT173" s="1" t="s">
        <v>8921</v>
      </c>
      <c r="BU173" s="1" t="str">
        <f>HYPERLINK("https%3A%2F%2Fwww.webofscience.com%2Fwos%2Fwoscc%2Ffull-record%2FWOS:000665748900038","View Full Record in Web of Science")</f>
        <v>View Full Record in Web of Science</v>
      </c>
    </row>
    <row r="174" spans="1:73" x14ac:dyDescent="0.25">
      <c r="A174" s="1">
        <v>196</v>
      </c>
      <c r="B174" s="1" t="s">
        <v>1506</v>
      </c>
      <c r="C174" s="1" t="s">
        <v>2794</v>
      </c>
      <c r="D174" s="1" t="s">
        <v>1507</v>
      </c>
      <c r="E174" s="1" t="s">
        <v>1507</v>
      </c>
      <c r="F174" s="1" t="s">
        <v>1507</v>
      </c>
      <c r="G174" s="1" t="s">
        <v>2795</v>
      </c>
      <c r="H174" s="1" t="s">
        <v>1507</v>
      </c>
      <c r="I174" s="1" t="s">
        <v>1507</v>
      </c>
      <c r="J174" s="1" t="s">
        <v>2796</v>
      </c>
      <c r="K174" s="1" t="s">
        <v>1617</v>
      </c>
      <c r="L174" s="1" t="s">
        <v>1507</v>
      </c>
      <c r="M174" s="1" t="s">
        <v>1507</v>
      </c>
      <c r="N174" s="1" t="s">
        <v>42</v>
      </c>
      <c r="O174" s="1" t="s">
        <v>56</v>
      </c>
      <c r="P174" s="1" t="s">
        <v>1507</v>
      </c>
      <c r="Q174" s="1" t="s">
        <v>1507</v>
      </c>
      <c r="R174" s="1" t="s">
        <v>1507</v>
      </c>
      <c r="S174" s="1" t="s">
        <v>1507</v>
      </c>
      <c r="T174" s="1" t="s">
        <v>1507</v>
      </c>
      <c r="U174" s="1" t="s">
        <v>2797</v>
      </c>
      <c r="V174" s="1" t="s">
        <v>1507</v>
      </c>
      <c r="W174" s="1" t="s">
        <v>2798</v>
      </c>
      <c r="X174" s="1" t="s">
        <v>2799</v>
      </c>
      <c r="Y174" s="1" t="s">
        <v>2800</v>
      </c>
      <c r="Z174" s="1" t="s">
        <v>2801</v>
      </c>
      <c r="AA174" s="1" t="s">
        <v>2802</v>
      </c>
      <c r="AB174" s="1" t="s">
        <v>1507</v>
      </c>
      <c r="AC174" s="1" t="s">
        <v>2803</v>
      </c>
      <c r="AD174" s="1" t="s">
        <v>2804</v>
      </c>
      <c r="AE174" s="1" t="s">
        <v>2804</v>
      </c>
      <c r="AF174" s="1" t="s">
        <v>1510</v>
      </c>
      <c r="AG174" s="1" t="s">
        <v>1507</v>
      </c>
      <c r="AH174" s="1">
        <v>40</v>
      </c>
      <c r="AI174" s="1">
        <v>1</v>
      </c>
      <c r="AJ174" s="1">
        <v>1</v>
      </c>
      <c r="AK174" s="1">
        <v>11</v>
      </c>
      <c r="AL174" s="1">
        <v>11</v>
      </c>
      <c r="AM174" s="1" t="s">
        <v>1610</v>
      </c>
      <c r="AN174" s="1" t="s">
        <v>1611</v>
      </c>
      <c r="AO174" s="1" t="s">
        <v>1612</v>
      </c>
      <c r="AP174" s="1" t="s">
        <v>1507</v>
      </c>
      <c r="AQ174" s="1" t="s">
        <v>1620</v>
      </c>
      <c r="AR174" s="1" t="s">
        <v>1507</v>
      </c>
      <c r="AS174" s="1" t="s">
        <v>1621</v>
      </c>
      <c r="AT174" s="1" t="s">
        <v>1622</v>
      </c>
      <c r="AU174" s="1" t="s">
        <v>2771</v>
      </c>
      <c r="AV174" s="1">
        <v>2023</v>
      </c>
      <c r="AW174" s="1">
        <v>12</v>
      </c>
      <c r="AX174" s="1">
        <v>22</v>
      </c>
      <c r="AY174" s="1" t="s">
        <v>1507</v>
      </c>
      <c r="AZ174" s="1" t="s">
        <v>1507</v>
      </c>
      <c r="BA174" s="1" t="s">
        <v>1507</v>
      </c>
      <c r="BB174" s="1" t="s">
        <v>1507</v>
      </c>
      <c r="BC174" s="1" t="s">
        <v>1507</v>
      </c>
      <c r="BD174" s="1" t="s">
        <v>1507</v>
      </c>
      <c r="BE174" s="1">
        <v>4694</v>
      </c>
      <c r="BF174" s="1" t="s">
        <v>2805</v>
      </c>
      <c r="BG174" s="1" t="str">
        <f>HYPERLINK("http://dx.doi.org/10.3390/electronics12224694","http://dx.doi.org/10.3390/electronics12224694")</f>
        <v>http://dx.doi.org/10.3390/electronics12224694</v>
      </c>
      <c r="BH174" s="1" t="s">
        <v>1507</v>
      </c>
      <c r="BI174" s="1" t="s">
        <v>1507</v>
      </c>
      <c r="BJ174" s="1">
        <v>14</v>
      </c>
      <c r="BK174" s="1" t="s">
        <v>1623</v>
      </c>
      <c r="BL174" s="1" t="s">
        <v>1573</v>
      </c>
      <c r="BM174" s="1" t="s">
        <v>1624</v>
      </c>
      <c r="BN174" s="1" t="s">
        <v>2806</v>
      </c>
      <c r="BO174" s="1" t="s">
        <v>1507</v>
      </c>
      <c r="BP174" s="1" t="s">
        <v>1531</v>
      </c>
      <c r="BQ174" s="1" t="s">
        <v>1507</v>
      </c>
      <c r="BR174" s="1" t="s">
        <v>1507</v>
      </c>
      <c r="BS174" s="1" t="s">
        <v>13744</v>
      </c>
      <c r="BT174" s="1" t="s">
        <v>2807</v>
      </c>
      <c r="BU174" s="1" t="str">
        <f>HYPERLINK("https%3A%2F%2Fwww.webofscience.com%2Fwos%2Fwoscc%2Ffull-record%2FWOS:001120766500001","View Full Record in Web of Science")</f>
        <v>View Full Record in Web of Science</v>
      </c>
    </row>
    <row r="175" spans="1:73" x14ac:dyDescent="0.25">
      <c r="A175" s="1">
        <v>197</v>
      </c>
      <c r="B175" s="1" t="s">
        <v>1506</v>
      </c>
      <c r="C175" s="1" t="s">
        <v>14078</v>
      </c>
      <c r="D175" s="1" t="s">
        <v>1507</v>
      </c>
      <c r="E175" s="1" t="s">
        <v>1507</v>
      </c>
      <c r="F175" s="1" t="s">
        <v>1507</v>
      </c>
      <c r="G175" s="1" t="s">
        <v>14079</v>
      </c>
      <c r="H175" s="1" t="s">
        <v>1507</v>
      </c>
      <c r="I175" s="1" t="s">
        <v>1507</v>
      </c>
      <c r="J175" s="1" t="s">
        <v>14080</v>
      </c>
      <c r="K175" s="1" t="s">
        <v>14081</v>
      </c>
      <c r="L175" s="1" t="s">
        <v>1507</v>
      </c>
      <c r="M175" s="1" t="s">
        <v>1507</v>
      </c>
      <c r="N175" s="1" t="s">
        <v>42</v>
      </c>
      <c r="O175" s="1" t="s">
        <v>56</v>
      </c>
      <c r="P175" s="1" t="s">
        <v>1507</v>
      </c>
      <c r="Q175" s="1" t="s">
        <v>1507</v>
      </c>
      <c r="R175" s="1" t="s">
        <v>1507</v>
      </c>
      <c r="S175" s="1" t="s">
        <v>1507</v>
      </c>
      <c r="T175" s="1" t="s">
        <v>1507</v>
      </c>
      <c r="U175" s="1" t="s">
        <v>14082</v>
      </c>
      <c r="V175" s="1" t="s">
        <v>14083</v>
      </c>
      <c r="W175" s="1" t="s">
        <v>14084</v>
      </c>
      <c r="X175" s="1" t="s">
        <v>14085</v>
      </c>
      <c r="Y175" s="1" t="s">
        <v>14086</v>
      </c>
      <c r="Z175" s="1" t="s">
        <v>14087</v>
      </c>
      <c r="AA175" s="1" t="s">
        <v>14088</v>
      </c>
      <c r="AB175" s="1" t="s">
        <v>14089</v>
      </c>
      <c r="AC175" s="1" t="s">
        <v>14090</v>
      </c>
      <c r="AD175" s="1" t="s">
        <v>14091</v>
      </c>
      <c r="AE175" s="1" t="s">
        <v>14092</v>
      </c>
      <c r="AF175" s="1" t="s">
        <v>14093</v>
      </c>
      <c r="AG175" s="1" t="s">
        <v>1507</v>
      </c>
      <c r="AH175" s="1">
        <v>83</v>
      </c>
      <c r="AI175" s="1">
        <v>2</v>
      </c>
      <c r="AJ175" s="1">
        <v>2</v>
      </c>
      <c r="AK175" s="1">
        <v>3</v>
      </c>
      <c r="AL175" s="1">
        <v>3</v>
      </c>
      <c r="AM175" s="1" t="s">
        <v>2883</v>
      </c>
      <c r="AN175" s="1" t="s">
        <v>1512</v>
      </c>
      <c r="AO175" s="1" t="s">
        <v>2884</v>
      </c>
      <c r="AP175" s="1" t="s">
        <v>14094</v>
      </c>
      <c r="AQ175" s="1" t="s">
        <v>14095</v>
      </c>
      <c r="AR175" s="1" t="s">
        <v>1507</v>
      </c>
      <c r="AS175" s="1" t="s">
        <v>14096</v>
      </c>
      <c r="AT175" s="1" t="s">
        <v>14097</v>
      </c>
      <c r="AU175" s="1" t="s">
        <v>2472</v>
      </c>
      <c r="AV175" s="1">
        <v>2023</v>
      </c>
      <c r="AW175" s="1">
        <v>209</v>
      </c>
      <c r="AX175" s="1" t="s">
        <v>1507</v>
      </c>
      <c r="AY175" s="1">
        <v>2</v>
      </c>
      <c r="AZ175" s="1" t="s">
        <v>1507</v>
      </c>
      <c r="BA175" s="1" t="s">
        <v>1507</v>
      </c>
      <c r="BB175" s="1" t="s">
        <v>1507</v>
      </c>
      <c r="BC175" s="1">
        <v>282</v>
      </c>
      <c r="BD175" s="1">
        <v>291</v>
      </c>
      <c r="BE175" s="1" t="s">
        <v>1507</v>
      </c>
      <c r="BF175" s="1" t="s">
        <v>14098</v>
      </c>
      <c r="BG175" s="1" t="str">
        <f>HYPERLINK("http://dx.doi.org/10.1016/j.freeradbiomed.2023.10.393","http://dx.doi.org/10.1016/j.freeradbiomed.2023.10.393")</f>
        <v>http://dx.doi.org/10.1016/j.freeradbiomed.2023.10.393</v>
      </c>
      <c r="BH175" s="1" t="s">
        <v>1507</v>
      </c>
      <c r="BI175" s="1" t="s">
        <v>2396</v>
      </c>
      <c r="BJ175" s="1">
        <v>10</v>
      </c>
      <c r="BK175" s="1" t="s">
        <v>14099</v>
      </c>
      <c r="BL175" s="1" t="s">
        <v>1573</v>
      </c>
      <c r="BM175" s="1" t="s">
        <v>14099</v>
      </c>
      <c r="BN175" s="1" t="s">
        <v>14100</v>
      </c>
      <c r="BO175" s="1">
        <v>37858747</v>
      </c>
      <c r="BP175" s="1" t="s">
        <v>4214</v>
      </c>
      <c r="BQ175" s="1" t="s">
        <v>1507</v>
      </c>
      <c r="BR175" s="1" t="s">
        <v>1507</v>
      </c>
      <c r="BS175" s="1" t="s">
        <v>13744</v>
      </c>
      <c r="BT175" s="1" t="s">
        <v>14101</v>
      </c>
      <c r="BU175" s="1" t="str">
        <f>HYPERLINK("https%3A%2F%2Fwww.webofscience.com%2Fwos%2Fwoscc%2Ffull-record%2FWOS:001165240800001","View Full Record in Web of Science")</f>
        <v>View Full Record in Web of Science</v>
      </c>
    </row>
    <row r="176" spans="1:73" x14ac:dyDescent="0.25">
      <c r="A176" s="1">
        <v>198</v>
      </c>
      <c r="B176" s="1" t="s">
        <v>1506</v>
      </c>
      <c r="C176" s="1" t="s">
        <v>6944</v>
      </c>
      <c r="D176" s="1" t="s">
        <v>1507</v>
      </c>
      <c r="E176" s="1" t="s">
        <v>1507</v>
      </c>
      <c r="F176" s="1" t="s">
        <v>1507</v>
      </c>
      <c r="G176" s="1" t="s">
        <v>6945</v>
      </c>
      <c r="H176" s="1" t="s">
        <v>1507</v>
      </c>
      <c r="I176" s="1" t="s">
        <v>1507</v>
      </c>
      <c r="J176" s="1" t="s">
        <v>6946</v>
      </c>
      <c r="K176" s="1" t="s">
        <v>6947</v>
      </c>
      <c r="L176" s="1" t="s">
        <v>1507</v>
      </c>
      <c r="M176" s="1" t="s">
        <v>1507</v>
      </c>
      <c r="N176" s="1" t="s">
        <v>42</v>
      </c>
      <c r="O176" s="1" t="s">
        <v>56</v>
      </c>
      <c r="P176" s="1" t="s">
        <v>1507</v>
      </c>
      <c r="Q176" s="1" t="s">
        <v>1507</v>
      </c>
      <c r="R176" s="1" t="s">
        <v>1507</v>
      </c>
      <c r="S176" s="1" t="s">
        <v>1507</v>
      </c>
      <c r="T176" s="1" t="s">
        <v>1507</v>
      </c>
      <c r="U176" s="1" t="s">
        <v>6948</v>
      </c>
      <c r="V176" s="1" t="s">
        <v>1507</v>
      </c>
      <c r="W176" s="1" t="s">
        <v>6949</v>
      </c>
      <c r="X176" s="1" t="s">
        <v>6950</v>
      </c>
      <c r="Y176" s="1" t="s">
        <v>6951</v>
      </c>
      <c r="Z176" s="1" t="s">
        <v>6952</v>
      </c>
      <c r="AA176" s="1" t="s">
        <v>6953</v>
      </c>
      <c r="AB176" s="1" t="s">
        <v>15590</v>
      </c>
      <c r="AC176" s="1" t="s">
        <v>6954</v>
      </c>
      <c r="AD176" s="1" t="s">
        <v>6955</v>
      </c>
      <c r="AE176" s="1" t="s">
        <v>6956</v>
      </c>
      <c r="AF176" s="1" t="s">
        <v>6957</v>
      </c>
      <c r="AG176" s="1" t="s">
        <v>1507</v>
      </c>
      <c r="AH176" s="1">
        <v>37</v>
      </c>
      <c r="AI176" s="1">
        <v>1</v>
      </c>
      <c r="AJ176" s="1">
        <v>1</v>
      </c>
      <c r="AK176" s="1">
        <v>3</v>
      </c>
      <c r="AL176" s="1">
        <v>15</v>
      </c>
      <c r="AM176" s="1" t="s">
        <v>6958</v>
      </c>
      <c r="AN176" s="1" t="s">
        <v>6959</v>
      </c>
      <c r="AO176" s="1" t="s">
        <v>6960</v>
      </c>
      <c r="AP176" s="1" t="s">
        <v>6961</v>
      </c>
      <c r="AQ176" s="1" t="s">
        <v>6962</v>
      </c>
      <c r="AR176" s="1" t="s">
        <v>1507</v>
      </c>
      <c r="AS176" s="1" t="s">
        <v>6963</v>
      </c>
      <c r="AT176" s="1" t="s">
        <v>6964</v>
      </c>
      <c r="AU176" s="1" t="s">
        <v>3992</v>
      </c>
      <c r="AV176" s="1">
        <v>2022</v>
      </c>
      <c r="AW176" s="1" t="s">
        <v>1507</v>
      </c>
      <c r="AX176" s="1">
        <v>69</v>
      </c>
      <c r="AY176" s="1" t="s">
        <v>1507</v>
      </c>
      <c r="AZ176" s="1" t="s">
        <v>1507</v>
      </c>
      <c r="BA176" s="1" t="s">
        <v>1507</v>
      </c>
      <c r="BB176" s="1" t="s">
        <v>1507</v>
      </c>
      <c r="BC176" s="1">
        <v>153</v>
      </c>
      <c r="BD176" s="1">
        <v>164</v>
      </c>
      <c r="BE176" s="1" t="s">
        <v>1507</v>
      </c>
      <c r="BF176" s="1" t="s">
        <v>6965</v>
      </c>
      <c r="BG176" s="1" t="str">
        <f>HYPERLINK("http://dx.doi.org/10.26342/2022-69-13","http://dx.doi.org/10.26342/2022-69-13")</f>
        <v>http://dx.doi.org/10.26342/2022-69-13</v>
      </c>
      <c r="BH176" s="1" t="s">
        <v>1507</v>
      </c>
      <c r="BI176" s="1" t="s">
        <v>1507</v>
      </c>
      <c r="BJ176" s="1">
        <v>12</v>
      </c>
      <c r="BK176" s="1" t="s">
        <v>15591</v>
      </c>
      <c r="BL176" s="1" t="s">
        <v>1529</v>
      </c>
      <c r="BM176" s="1" t="s">
        <v>1546</v>
      </c>
      <c r="BN176" s="1" t="s">
        <v>6966</v>
      </c>
      <c r="BO176" s="1" t="s">
        <v>1507</v>
      </c>
      <c r="BP176" s="1" t="s">
        <v>1507</v>
      </c>
      <c r="BQ176" s="1" t="s">
        <v>1507</v>
      </c>
      <c r="BR176" s="1" t="s">
        <v>1507</v>
      </c>
      <c r="BS176" s="1" t="s">
        <v>13744</v>
      </c>
      <c r="BT176" s="1" t="s">
        <v>6967</v>
      </c>
      <c r="BU176" s="1" t="str">
        <f>HYPERLINK("https%3A%2F%2Fwww.webofscience.com%2Fwos%2Fwoscc%2Ffull-record%2FWOS:000898606900014","View Full Record in Web of Science")</f>
        <v>View Full Record in Web of Science</v>
      </c>
    </row>
    <row r="177" spans="1:73" x14ac:dyDescent="0.25">
      <c r="A177" s="1">
        <v>199</v>
      </c>
      <c r="B177" s="1" t="s">
        <v>1506</v>
      </c>
      <c r="C177" s="1" t="s">
        <v>4940</v>
      </c>
      <c r="D177" s="1" t="s">
        <v>1507</v>
      </c>
      <c r="E177" s="1" t="s">
        <v>1507</v>
      </c>
      <c r="F177" s="1" t="s">
        <v>1507</v>
      </c>
      <c r="G177" s="1" t="s">
        <v>4941</v>
      </c>
      <c r="H177" s="1" t="s">
        <v>1507</v>
      </c>
      <c r="I177" s="1" t="s">
        <v>1507</v>
      </c>
      <c r="J177" s="1" t="s">
        <v>4942</v>
      </c>
      <c r="K177" s="1" t="s">
        <v>4943</v>
      </c>
      <c r="L177" s="1" t="s">
        <v>1507</v>
      </c>
      <c r="M177" s="1" t="s">
        <v>1507</v>
      </c>
      <c r="N177" s="1" t="s">
        <v>42</v>
      </c>
      <c r="O177" s="1" t="s">
        <v>56</v>
      </c>
      <c r="P177" s="1" t="s">
        <v>1507</v>
      </c>
      <c r="Q177" s="1" t="s">
        <v>1507</v>
      </c>
      <c r="R177" s="1" t="s">
        <v>1507</v>
      </c>
      <c r="S177" s="1" t="s">
        <v>1507</v>
      </c>
      <c r="T177" s="1" t="s">
        <v>1507</v>
      </c>
      <c r="U177" s="1" t="s">
        <v>4944</v>
      </c>
      <c r="V177" s="1" t="s">
        <v>4945</v>
      </c>
      <c r="W177" s="1" t="s">
        <v>4946</v>
      </c>
      <c r="X177" s="1" t="s">
        <v>4947</v>
      </c>
      <c r="Y177" s="1" t="s">
        <v>14708</v>
      </c>
      <c r="Z177" s="1" t="s">
        <v>4948</v>
      </c>
      <c r="AA177" s="1" t="s">
        <v>4949</v>
      </c>
      <c r="AB177" s="1" t="s">
        <v>4950</v>
      </c>
      <c r="AC177" s="1" t="s">
        <v>14709</v>
      </c>
      <c r="AD177" s="1" t="s">
        <v>4951</v>
      </c>
      <c r="AE177" s="1" t="s">
        <v>4952</v>
      </c>
      <c r="AF177" s="1" t="s">
        <v>4953</v>
      </c>
      <c r="AG177" s="1" t="s">
        <v>1507</v>
      </c>
      <c r="AH177" s="1">
        <v>34</v>
      </c>
      <c r="AI177" s="1">
        <v>0</v>
      </c>
      <c r="AJ177" s="1">
        <v>0</v>
      </c>
      <c r="AK177" s="1">
        <v>0</v>
      </c>
      <c r="AL177" s="1">
        <v>1</v>
      </c>
      <c r="AM177" s="1" t="s">
        <v>4954</v>
      </c>
      <c r="AN177" s="1" t="s">
        <v>1575</v>
      </c>
      <c r="AO177" s="1" t="s">
        <v>4955</v>
      </c>
      <c r="AP177" s="1" t="s">
        <v>4956</v>
      </c>
      <c r="AQ177" s="1" t="s">
        <v>4957</v>
      </c>
      <c r="AR177" s="1" t="s">
        <v>1507</v>
      </c>
      <c r="AS177" s="1" t="s">
        <v>4958</v>
      </c>
      <c r="AT177" s="1" t="s">
        <v>4959</v>
      </c>
      <c r="AU177" s="1" t="s">
        <v>1507</v>
      </c>
      <c r="AV177" s="1">
        <v>2023</v>
      </c>
      <c r="AW177" s="1">
        <v>30</v>
      </c>
      <c r="AX177" s="1">
        <v>12</v>
      </c>
      <c r="AY177" s="1" t="s">
        <v>1507</v>
      </c>
      <c r="AZ177" s="1" t="s">
        <v>1507</v>
      </c>
      <c r="BA177" s="1" t="s">
        <v>1507</v>
      </c>
      <c r="BB177" s="1" t="s">
        <v>1507</v>
      </c>
      <c r="BC177" s="1">
        <v>1803</v>
      </c>
      <c r="BD177" s="1">
        <v>1816</v>
      </c>
      <c r="BE177" s="1" t="s">
        <v>1507</v>
      </c>
      <c r="BF177" s="1" t="s">
        <v>4960</v>
      </c>
      <c r="BG177" s="1" t="str">
        <f>HYPERLINK("http://dx.doi.org/10.5551/jat.64081","http://dx.doi.org/10.5551/jat.64081")</f>
        <v>http://dx.doi.org/10.5551/jat.64081</v>
      </c>
      <c r="BH177" s="1" t="s">
        <v>1507</v>
      </c>
      <c r="BI177" s="1" t="s">
        <v>4832</v>
      </c>
      <c r="BJ177" s="1">
        <v>14</v>
      </c>
      <c r="BK177" s="1" t="s">
        <v>4961</v>
      </c>
      <c r="BL177" s="1" t="s">
        <v>1573</v>
      </c>
      <c r="BM177" s="1" t="s">
        <v>4962</v>
      </c>
      <c r="BN177" s="1" t="s">
        <v>4963</v>
      </c>
      <c r="BO177" s="1">
        <v>37197952</v>
      </c>
      <c r="BP177" s="1" t="s">
        <v>1952</v>
      </c>
      <c r="BQ177" s="1" t="s">
        <v>1507</v>
      </c>
      <c r="BR177" s="1" t="s">
        <v>1507</v>
      </c>
      <c r="BS177" s="1" t="s">
        <v>13744</v>
      </c>
      <c r="BT177" s="1" t="s">
        <v>4964</v>
      </c>
      <c r="BU177" s="1" t="str">
        <f>HYPERLINK("https%3A%2F%2Fwww.webofscience.com%2Fwos%2Fwoscc%2Ffull-record%2FWOS:000996179600001","View Full Record in Web of Science")</f>
        <v>View Full Record in Web of Science</v>
      </c>
    </row>
    <row r="178" spans="1:73" x14ac:dyDescent="0.25">
      <c r="A178" s="1">
        <v>200</v>
      </c>
      <c r="B178" s="1" t="s">
        <v>1506</v>
      </c>
      <c r="C178" s="1" t="s">
        <v>10492</v>
      </c>
      <c r="D178" s="1" t="s">
        <v>1507</v>
      </c>
      <c r="E178" s="1" t="s">
        <v>1507</v>
      </c>
      <c r="F178" s="1" t="s">
        <v>1507</v>
      </c>
      <c r="G178" s="1" t="s">
        <v>10493</v>
      </c>
      <c r="H178" s="1" t="s">
        <v>1507</v>
      </c>
      <c r="I178" s="1" t="s">
        <v>1507</v>
      </c>
      <c r="J178" s="1" t="s">
        <v>10494</v>
      </c>
      <c r="K178" s="1" t="s">
        <v>7943</v>
      </c>
      <c r="L178" s="1" t="s">
        <v>1507</v>
      </c>
      <c r="M178" s="1" t="s">
        <v>1507</v>
      </c>
      <c r="N178" s="1" t="s">
        <v>42</v>
      </c>
      <c r="O178" s="1" t="s">
        <v>56</v>
      </c>
      <c r="P178" s="1" t="s">
        <v>1507</v>
      </c>
      <c r="Q178" s="1" t="s">
        <v>1507</v>
      </c>
      <c r="R178" s="1" t="s">
        <v>1507</v>
      </c>
      <c r="S178" s="1" t="s">
        <v>1507</v>
      </c>
      <c r="T178" s="1" t="s">
        <v>1507</v>
      </c>
      <c r="U178" s="1" t="s">
        <v>1507</v>
      </c>
      <c r="V178" s="1" t="s">
        <v>10495</v>
      </c>
      <c r="W178" s="1" t="s">
        <v>10496</v>
      </c>
      <c r="X178" s="1" t="s">
        <v>10497</v>
      </c>
      <c r="Y178" s="1" t="s">
        <v>10498</v>
      </c>
      <c r="Z178" s="1" t="s">
        <v>10499</v>
      </c>
      <c r="AA178" s="1" t="s">
        <v>10500</v>
      </c>
      <c r="AB178" s="1" t="s">
        <v>10501</v>
      </c>
      <c r="AC178" s="1" t="s">
        <v>10502</v>
      </c>
      <c r="AD178" s="1" t="s">
        <v>8980</v>
      </c>
      <c r="AE178" s="1" t="s">
        <v>8981</v>
      </c>
      <c r="AF178" s="1" t="s">
        <v>10503</v>
      </c>
      <c r="AG178" s="1" t="s">
        <v>1507</v>
      </c>
      <c r="AH178" s="1">
        <v>57</v>
      </c>
      <c r="AI178" s="1">
        <v>14</v>
      </c>
      <c r="AJ178" s="1">
        <v>14</v>
      </c>
      <c r="AK178" s="1">
        <v>1</v>
      </c>
      <c r="AL178" s="1">
        <v>23</v>
      </c>
      <c r="AM178" s="1" t="s">
        <v>1522</v>
      </c>
      <c r="AN178" s="1" t="s">
        <v>1523</v>
      </c>
      <c r="AO178" s="1" t="s">
        <v>1524</v>
      </c>
      <c r="AP178" s="1" t="s">
        <v>7953</v>
      </c>
      <c r="AQ178" s="1" t="s">
        <v>7954</v>
      </c>
      <c r="AR178" s="1" t="s">
        <v>1507</v>
      </c>
      <c r="AS178" s="1" t="s">
        <v>7955</v>
      </c>
      <c r="AT178" s="1" t="s">
        <v>7956</v>
      </c>
      <c r="AU178" s="1" t="s">
        <v>10504</v>
      </c>
      <c r="AV178" s="1">
        <v>2019</v>
      </c>
      <c r="AW178" s="1">
        <v>21</v>
      </c>
      <c r="AX178" s="1">
        <v>44</v>
      </c>
      <c r="AY178" s="1" t="s">
        <v>1507</v>
      </c>
      <c r="AZ178" s="1" t="s">
        <v>1507</v>
      </c>
      <c r="BA178" s="1" t="s">
        <v>1507</v>
      </c>
      <c r="BB178" s="1" t="s">
        <v>1507</v>
      </c>
      <c r="BC178" s="1">
        <v>24316</v>
      </c>
      <c r="BD178" s="1">
        <v>24325</v>
      </c>
      <c r="BE178" s="1" t="s">
        <v>1507</v>
      </c>
      <c r="BF178" s="1" t="s">
        <v>10505</v>
      </c>
      <c r="BG178" s="1" t="str">
        <f>HYPERLINK("http://dx.doi.org/10.1039/c9cp04032c","http://dx.doi.org/10.1039/c9cp04032c")</f>
        <v>http://dx.doi.org/10.1039/c9cp04032c</v>
      </c>
      <c r="BH178" s="1" t="s">
        <v>1507</v>
      </c>
      <c r="BI178" s="1" t="s">
        <v>1507</v>
      </c>
      <c r="BJ178" s="1">
        <v>10</v>
      </c>
      <c r="BK178" s="1" t="s">
        <v>7093</v>
      </c>
      <c r="BL178" s="1" t="s">
        <v>1573</v>
      </c>
      <c r="BM178" s="1" t="s">
        <v>7094</v>
      </c>
      <c r="BN178" s="1" t="s">
        <v>10506</v>
      </c>
      <c r="BO178" s="1">
        <v>31528959</v>
      </c>
      <c r="BP178" s="1" t="s">
        <v>1507</v>
      </c>
      <c r="BQ178" s="1" t="s">
        <v>1507</v>
      </c>
      <c r="BR178" s="1" t="s">
        <v>1507</v>
      </c>
      <c r="BS178" s="1" t="s">
        <v>13744</v>
      </c>
      <c r="BT178" s="1" t="s">
        <v>10507</v>
      </c>
      <c r="BU178" s="1" t="str">
        <f>HYPERLINK("https%3A%2F%2Fwww.webofscience.com%2Fwos%2Fwoscc%2Ffull-record%2FWOS:000498220500061","View Full Record in Web of Science")</f>
        <v>View Full Record in Web of Science</v>
      </c>
    </row>
    <row r="179" spans="1:73" x14ac:dyDescent="0.25">
      <c r="A179" s="1">
        <v>201</v>
      </c>
      <c r="B179" s="1" t="s">
        <v>1506</v>
      </c>
      <c r="C179" s="1" t="s">
        <v>8969</v>
      </c>
      <c r="D179" s="1" t="s">
        <v>1507</v>
      </c>
      <c r="E179" s="1" t="s">
        <v>1507</v>
      </c>
      <c r="F179" s="1" t="s">
        <v>1507</v>
      </c>
      <c r="G179" s="1" t="s">
        <v>8970</v>
      </c>
      <c r="H179" s="1" t="s">
        <v>1507</v>
      </c>
      <c r="I179" s="1" t="s">
        <v>1507</v>
      </c>
      <c r="J179" s="1" t="s">
        <v>8971</v>
      </c>
      <c r="K179" s="1" t="s">
        <v>8972</v>
      </c>
      <c r="L179" s="1" t="s">
        <v>1507</v>
      </c>
      <c r="M179" s="1" t="s">
        <v>1507</v>
      </c>
      <c r="N179" s="1" t="s">
        <v>42</v>
      </c>
      <c r="O179" s="1" t="s">
        <v>56</v>
      </c>
      <c r="P179" s="1" t="s">
        <v>1507</v>
      </c>
      <c r="Q179" s="1" t="s">
        <v>1507</v>
      </c>
      <c r="R179" s="1" t="s">
        <v>1507</v>
      </c>
      <c r="S179" s="1" t="s">
        <v>1507</v>
      </c>
      <c r="T179" s="1" t="s">
        <v>1507</v>
      </c>
      <c r="U179" s="1" t="s">
        <v>8973</v>
      </c>
      <c r="V179" s="1" t="s">
        <v>8974</v>
      </c>
      <c r="W179" s="1" t="s">
        <v>8975</v>
      </c>
      <c r="X179" s="1" t="s">
        <v>8976</v>
      </c>
      <c r="Y179" s="1" t="s">
        <v>8977</v>
      </c>
      <c r="Z179" s="1" t="s">
        <v>8978</v>
      </c>
      <c r="AA179" s="1" t="s">
        <v>8979</v>
      </c>
      <c r="AB179" s="1" t="s">
        <v>15756</v>
      </c>
      <c r="AC179" s="1" t="s">
        <v>15757</v>
      </c>
      <c r="AD179" s="1" t="s">
        <v>8980</v>
      </c>
      <c r="AE179" s="1" t="s">
        <v>8981</v>
      </c>
      <c r="AF179" s="1" t="s">
        <v>8982</v>
      </c>
      <c r="AG179" s="1" t="s">
        <v>1507</v>
      </c>
      <c r="AH179" s="1">
        <v>85</v>
      </c>
      <c r="AI179" s="1">
        <v>10</v>
      </c>
      <c r="AJ179" s="1">
        <v>10</v>
      </c>
      <c r="AK179" s="1">
        <v>5</v>
      </c>
      <c r="AL179" s="1">
        <v>35</v>
      </c>
      <c r="AM179" s="1" t="s">
        <v>1610</v>
      </c>
      <c r="AN179" s="1" t="s">
        <v>1611</v>
      </c>
      <c r="AO179" s="1" t="s">
        <v>1612</v>
      </c>
      <c r="AP179" s="1" t="s">
        <v>1507</v>
      </c>
      <c r="AQ179" s="1" t="s">
        <v>8983</v>
      </c>
      <c r="AR179" s="1" t="s">
        <v>1507</v>
      </c>
      <c r="AS179" s="1" t="s">
        <v>8984</v>
      </c>
      <c r="AT179" s="1" t="s">
        <v>8985</v>
      </c>
      <c r="AU179" s="1" t="s">
        <v>5362</v>
      </c>
      <c r="AV179" s="1">
        <v>2021</v>
      </c>
      <c r="AW179" s="1">
        <v>11</v>
      </c>
      <c r="AX179" s="1">
        <v>3</v>
      </c>
      <c r="AY179" s="1" t="s">
        <v>1507</v>
      </c>
      <c r="AZ179" s="1" t="s">
        <v>1507</v>
      </c>
      <c r="BA179" s="1" t="s">
        <v>1507</v>
      </c>
      <c r="BB179" s="1" t="s">
        <v>1507</v>
      </c>
      <c r="BC179" s="1" t="s">
        <v>1507</v>
      </c>
      <c r="BD179" s="1" t="s">
        <v>1507</v>
      </c>
      <c r="BE179" s="1">
        <v>323</v>
      </c>
      <c r="BF179" s="1" t="s">
        <v>8986</v>
      </c>
      <c r="BG179" s="1" t="str">
        <f>HYPERLINK("http://dx.doi.org/10.3390/min11030323","http://dx.doi.org/10.3390/min11030323")</f>
        <v>http://dx.doi.org/10.3390/min11030323</v>
      </c>
      <c r="BH179" s="1" t="s">
        <v>1507</v>
      </c>
      <c r="BI179" s="1" t="s">
        <v>1507</v>
      </c>
      <c r="BJ179" s="1">
        <v>18</v>
      </c>
      <c r="BK179" s="1" t="s">
        <v>8987</v>
      </c>
      <c r="BL179" s="1" t="s">
        <v>1573</v>
      </c>
      <c r="BM179" s="1" t="s">
        <v>8987</v>
      </c>
      <c r="BN179" s="1" t="s">
        <v>8988</v>
      </c>
      <c r="BO179" s="1" t="s">
        <v>1507</v>
      </c>
      <c r="BP179" s="1" t="s">
        <v>1547</v>
      </c>
      <c r="BQ179" s="1" t="s">
        <v>1507</v>
      </c>
      <c r="BR179" s="1" t="s">
        <v>1507</v>
      </c>
      <c r="BS179" s="1" t="s">
        <v>13744</v>
      </c>
      <c r="BT179" s="1" t="s">
        <v>8989</v>
      </c>
      <c r="BU179" s="1" t="str">
        <f>HYPERLINK("https%3A%2F%2Fwww.webofscience.com%2Fwos%2Fwoscc%2Ffull-record%2FWOS:000633927800001","View Full Record in Web of Science")</f>
        <v>View Full Record in Web of Science</v>
      </c>
    </row>
    <row r="180" spans="1:73" x14ac:dyDescent="0.25">
      <c r="A180" s="1">
        <v>202</v>
      </c>
      <c r="B180" s="1" t="s">
        <v>5546</v>
      </c>
      <c r="C180" s="1" t="s">
        <v>14983</v>
      </c>
      <c r="D180" s="1" t="s">
        <v>1507</v>
      </c>
      <c r="E180" s="1" t="s">
        <v>14984</v>
      </c>
      <c r="F180" s="1" t="s">
        <v>1507</v>
      </c>
      <c r="G180" s="1" t="s">
        <v>14985</v>
      </c>
      <c r="H180" s="1" t="s">
        <v>1507</v>
      </c>
      <c r="I180" s="1" t="s">
        <v>1507</v>
      </c>
      <c r="J180" s="1" t="s">
        <v>14986</v>
      </c>
      <c r="K180" s="1" t="s">
        <v>14987</v>
      </c>
      <c r="L180" s="1" t="s">
        <v>14988</v>
      </c>
      <c r="M180" s="1" t="s">
        <v>1507</v>
      </c>
      <c r="N180" s="1" t="s">
        <v>42</v>
      </c>
      <c r="O180" s="1" t="s">
        <v>5552</v>
      </c>
      <c r="P180" s="1" t="s">
        <v>14989</v>
      </c>
      <c r="Q180" s="1" t="s">
        <v>14990</v>
      </c>
      <c r="R180" s="1" t="s">
        <v>14991</v>
      </c>
      <c r="S180" s="1" t="s">
        <v>14992</v>
      </c>
      <c r="T180" s="1" t="s">
        <v>1507</v>
      </c>
      <c r="U180" s="1" t="s">
        <v>14993</v>
      </c>
      <c r="V180" s="1" t="s">
        <v>1507</v>
      </c>
      <c r="W180" s="1" t="s">
        <v>14994</v>
      </c>
      <c r="X180" s="1" t="s">
        <v>14995</v>
      </c>
      <c r="Y180" s="1" t="s">
        <v>14996</v>
      </c>
      <c r="Z180" s="1" t="s">
        <v>14997</v>
      </c>
      <c r="AA180" s="1" t="s">
        <v>14998</v>
      </c>
      <c r="AB180" s="1" t="s">
        <v>1507</v>
      </c>
      <c r="AC180" s="1" t="s">
        <v>1507</v>
      </c>
      <c r="AD180" s="1" t="s">
        <v>14999</v>
      </c>
      <c r="AE180" s="1" t="s">
        <v>15000</v>
      </c>
      <c r="AF180" s="1" t="s">
        <v>15001</v>
      </c>
      <c r="AG180" s="1" t="s">
        <v>1507</v>
      </c>
      <c r="AH180" s="1">
        <v>16</v>
      </c>
      <c r="AI180" s="1">
        <v>0</v>
      </c>
      <c r="AJ180" s="1">
        <v>0</v>
      </c>
      <c r="AK180" s="1">
        <v>0</v>
      </c>
      <c r="AL180" s="1">
        <v>0</v>
      </c>
      <c r="AM180" s="1" t="s">
        <v>5645</v>
      </c>
      <c r="AN180" s="1" t="s">
        <v>5646</v>
      </c>
      <c r="AO180" s="1" t="s">
        <v>5647</v>
      </c>
      <c r="AP180" s="1" t="s">
        <v>15002</v>
      </c>
      <c r="AQ180" s="1" t="s">
        <v>1507</v>
      </c>
      <c r="AR180" s="1" t="s">
        <v>15003</v>
      </c>
      <c r="AS180" s="1" t="s">
        <v>15004</v>
      </c>
      <c r="AT180" s="1" t="s">
        <v>1507</v>
      </c>
      <c r="AU180" s="1" t="s">
        <v>1507</v>
      </c>
      <c r="AV180" s="1">
        <v>2023</v>
      </c>
      <c r="AW180" s="1" t="s">
        <v>1507</v>
      </c>
      <c r="AX180" s="1" t="s">
        <v>1507</v>
      </c>
      <c r="AY180" s="1" t="s">
        <v>1507</v>
      </c>
      <c r="AZ180" s="1" t="s">
        <v>1507</v>
      </c>
      <c r="BA180" s="1" t="s">
        <v>1507</v>
      </c>
      <c r="BB180" s="1" t="s">
        <v>1507</v>
      </c>
      <c r="BC180" s="1">
        <v>227</v>
      </c>
      <c r="BD180" s="1">
        <v>234</v>
      </c>
      <c r="BE180" s="1" t="s">
        <v>1507</v>
      </c>
      <c r="BF180" s="1" t="s">
        <v>15005</v>
      </c>
      <c r="BG180" s="1" t="str">
        <f>HYPERLINK("http://dx.doi.org/10.1109/ICDMW60847.2023.00035","http://dx.doi.org/10.1109/ICDMW60847.2023.00035")</f>
        <v>http://dx.doi.org/10.1109/ICDMW60847.2023.00035</v>
      </c>
      <c r="BH180" s="1" t="s">
        <v>1507</v>
      </c>
      <c r="BI180" s="1" t="s">
        <v>1507</v>
      </c>
      <c r="BJ180" s="1">
        <v>8</v>
      </c>
      <c r="BK180" s="1" t="s">
        <v>2230</v>
      </c>
      <c r="BL180" s="1" t="s">
        <v>5570</v>
      </c>
      <c r="BM180" s="1" t="s">
        <v>1577</v>
      </c>
      <c r="BN180" s="1" t="s">
        <v>15006</v>
      </c>
      <c r="BO180" s="1" t="s">
        <v>1507</v>
      </c>
      <c r="BP180" s="1" t="s">
        <v>1507</v>
      </c>
      <c r="BQ180" s="1" t="s">
        <v>1507</v>
      </c>
      <c r="BR180" s="1" t="s">
        <v>1507</v>
      </c>
      <c r="BS180" s="1" t="s">
        <v>13744</v>
      </c>
      <c r="BT180" s="1" t="s">
        <v>15007</v>
      </c>
      <c r="BU180" s="1" t="str">
        <f>HYPERLINK("https%3A%2F%2Fwww.webofscience.com%2Fwos%2Fwoscc%2Ffull-record%2FWOS:001164077500027","View Full Record in Web of Science")</f>
        <v>View Full Record in Web of Science</v>
      </c>
    </row>
    <row r="181" spans="1:73" x14ac:dyDescent="0.25">
      <c r="A181" s="1">
        <v>204</v>
      </c>
      <c r="B181" s="1" t="s">
        <v>1506</v>
      </c>
      <c r="C181" s="1" t="s">
        <v>5392</v>
      </c>
      <c r="D181" s="1" t="s">
        <v>1507</v>
      </c>
      <c r="E181" s="1" t="s">
        <v>1507</v>
      </c>
      <c r="F181" s="1" t="s">
        <v>1507</v>
      </c>
      <c r="G181" s="1" t="s">
        <v>5393</v>
      </c>
      <c r="H181" s="1" t="s">
        <v>1507</v>
      </c>
      <c r="I181" s="1" t="s">
        <v>1507</v>
      </c>
      <c r="J181" s="1" t="s">
        <v>5394</v>
      </c>
      <c r="K181" s="1" t="s">
        <v>5395</v>
      </c>
      <c r="L181" s="1" t="s">
        <v>1507</v>
      </c>
      <c r="M181" s="1" t="s">
        <v>1507</v>
      </c>
      <c r="N181" s="1" t="s">
        <v>42</v>
      </c>
      <c r="O181" s="1" t="s">
        <v>56</v>
      </c>
      <c r="P181" s="1" t="s">
        <v>1507</v>
      </c>
      <c r="Q181" s="1" t="s">
        <v>1507</v>
      </c>
      <c r="R181" s="1" t="s">
        <v>1507</v>
      </c>
      <c r="S181" s="1" t="s">
        <v>1507</v>
      </c>
      <c r="T181" s="1" t="s">
        <v>1507</v>
      </c>
      <c r="U181" s="1" t="s">
        <v>5396</v>
      </c>
      <c r="V181" s="1" t="s">
        <v>5397</v>
      </c>
      <c r="W181" s="1" t="s">
        <v>5398</v>
      </c>
      <c r="X181" s="1" t="s">
        <v>5399</v>
      </c>
      <c r="Y181" s="1" t="s">
        <v>5400</v>
      </c>
      <c r="Z181" s="1" t="s">
        <v>5401</v>
      </c>
      <c r="AA181" s="1" t="s">
        <v>5402</v>
      </c>
      <c r="AB181" s="1" t="s">
        <v>1507</v>
      </c>
      <c r="AC181" s="1" t="s">
        <v>1507</v>
      </c>
      <c r="AD181" s="1" t="s">
        <v>5403</v>
      </c>
      <c r="AE181" s="1" t="s">
        <v>5404</v>
      </c>
      <c r="AF181" s="1" t="s">
        <v>5405</v>
      </c>
      <c r="AG181" s="1" t="s">
        <v>1507</v>
      </c>
      <c r="AH181" s="1">
        <v>101</v>
      </c>
      <c r="AI181" s="1">
        <v>2</v>
      </c>
      <c r="AJ181" s="1">
        <v>2</v>
      </c>
      <c r="AK181" s="1">
        <v>0</v>
      </c>
      <c r="AL181" s="1">
        <v>3</v>
      </c>
      <c r="AM181" s="1" t="s">
        <v>1579</v>
      </c>
      <c r="AN181" s="1" t="s">
        <v>1580</v>
      </c>
      <c r="AO181" s="1" t="s">
        <v>1581</v>
      </c>
      <c r="AP181" s="1" t="s">
        <v>5406</v>
      </c>
      <c r="AQ181" s="1" t="s">
        <v>1507</v>
      </c>
      <c r="AR181" s="1" t="s">
        <v>1507</v>
      </c>
      <c r="AS181" s="1" t="s">
        <v>5407</v>
      </c>
      <c r="AT181" s="1" t="s">
        <v>5408</v>
      </c>
      <c r="AU181" s="1" t="s">
        <v>5201</v>
      </c>
      <c r="AV181" s="1">
        <v>2023</v>
      </c>
      <c r="AW181" s="1">
        <v>60</v>
      </c>
      <c r="AX181" s="1" t="s">
        <v>1507</v>
      </c>
      <c r="AY181" s="1" t="s">
        <v>1507</v>
      </c>
      <c r="AZ181" s="1" t="s">
        <v>1507</v>
      </c>
      <c r="BA181" s="1" t="s">
        <v>1507</v>
      </c>
      <c r="BB181" s="1" t="s">
        <v>1507</v>
      </c>
      <c r="BC181" s="1" t="s">
        <v>1507</v>
      </c>
      <c r="BD181" s="1" t="s">
        <v>1507</v>
      </c>
      <c r="BE181" s="1">
        <v>102614</v>
      </c>
      <c r="BF181" s="1" t="s">
        <v>5409</v>
      </c>
      <c r="BG181" s="1" t="str">
        <f>HYPERLINK("http://dx.doi.org/10.1016/j.redox.2023.102614","http://dx.doi.org/10.1016/j.redox.2023.102614")</f>
        <v>http://dx.doi.org/10.1016/j.redox.2023.102614</v>
      </c>
      <c r="BH181" s="1" t="s">
        <v>1507</v>
      </c>
      <c r="BI181" s="1" t="s">
        <v>5389</v>
      </c>
      <c r="BJ181" s="1">
        <v>12</v>
      </c>
      <c r="BK181" s="1" t="s">
        <v>4290</v>
      </c>
      <c r="BL181" s="1" t="s">
        <v>1573</v>
      </c>
      <c r="BM181" s="1" t="s">
        <v>4290</v>
      </c>
      <c r="BN181" s="1" t="s">
        <v>5410</v>
      </c>
      <c r="BO181" s="1">
        <v>36717349</v>
      </c>
      <c r="BP181" s="1" t="s">
        <v>1674</v>
      </c>
      <c r="BQ181" s="1" t="s">
        <v>1507</v>
      </c>
      <c r="BR181" s="1" t="s">
        <v>1507</v>
      </c>
      <c r="BS181" s="1" t="s">
        <v>13744</v>
      </c>
      <c r="BT181" s="1" t="s">
        <v>5411</v>
      </c>
      <c r="BU181" s="1" t="str">
        <f>HYPERLINK("https%3A%2F%2Fwww.webofscience.com%2Fwos%2Fwoscc%2Ffull-record%2FWOS:000953560000001","View Full Record in Web of Science")</f>
        <v>View Full Record in Web of Science</v>
      </c>
    </row>
    <row r="182" spans="1:73" x14ac:dyDescent="0.25">
      <c r="A182" s="1">
        <v>205</v>
      </c>
      <c r="B182" s="1" t="s">
        <v>1506</v>
      </c>
      <c r="C182" s="1" t="s">
        <v>15764</v>
      </c>
      <c r="D182" s="1" t="s">
        <v>1507</v>
      </c>
      <c r="E182" s="1" t="s">
        <v>1507</v>
      </c>
      <c r="F182" s="1" t="s">
        <v>1507</v>
      </c>
      <c r="G182" s="1" t="s">
        <v>9193</v>
      </c>
      <c r="H182" s="1" t="s">
        <v>1507</v>
      </c>
      <c r="I182" s="1" t="s">
        <v>1507</v>
      </c>
      <c r="J182" s="1" t="s">
        <v>9194</v>
      </c>
      <c r="K182" s="1" t="s">
        <v>9195</v>
      </c>
      <c r="L182" s="1" t="s">
        <v>1507</v>
      </c>
      <c r="M182" s="1" t="s">
        <v>1507</v>
      </c>
      <c r="N182" s="1" t="s">
        <v>42</v>
      </c>
      <c r="O182" s="1" t="s">
        <v>56</v>
      </c>
      <c r="P182" s="1" t="s">
        <v>1507</v>
      </c>
      <c r="Q182" s="1" t="s">
        <v>1507</v>
      </c>
      <c r="R182" s="1" t="s">
        <v>1507</v>
      </c>
      <c r="S182" s="1" t="s">
        <v>1507</v>
      </c>
      <c r="T182" s="1" t="s">
        <v>1507</v>
      </c>
      <c r="U182" s="1" t="s">
        <v>9196</v>
      </c>
      <c r="V182" s="1" t="s">
        <v>9197</v>
      </c>
      <c r="W182" s="1" t="s">
        <v>9198</v>
      </c>
      <c r="X182" s="1" t="s">
        <v>9199</v>
      </c>
      <c r="Y182" s="1" t="s">
        <v>9200</v>
      </c>
      <c r="Z182" s="1" t="s">
        <v>9201</v>
      </c>
      <c r="AA182" s="1" t="s">
        <v>9202</v>
      </c>
      <c r="AB182" s="1" t="s">
        <v>1507</v>
      </c>
      <c r="AC182" s="1" t="s">
        <v>9203</v>
      </c>
      <c r="AD182" s="1" t="s">
        <v>9204</v>
      </c>
      <c r="AE182" s="1" t="s">
        <v>9205</v>
      </c>
      <c r="AF182" s="1" t="s">
        <v>9206</v>
      </c>
      <c r="AG182" s="1" t="s">
        <v>1507</v>
      </c>
      <c r="AH182" s="1">
        <v>86</v>
      </c>
      <c r="AI182" s="1">
        <v>6</v>
      </c>
      <c r="AJ182" s="1">
        <v>6</v>
      </c>
      <c r="AK182" s="1">
        <v>0</v>
      </c>
      <c r="AL182" s="1">
        <v>5</v>
      </c>
      <c r="AM182" s="1" t="s">
        <v>1610</v>
      </c>
      <c r="AN182" s="1" t="s">
        <v>1611</v>
      </c>
      <c r="AO182" s="1" t="s">
        <v>1612</v>
      </c>
      <c r="AP182" s="1" t="s">
        <v>1507</v>
      </c>
      <c r="AQ182" s="1" t="s">
        <v>9207</v>
      </c>
      <c r="AR182" s="1" t="s">
        <v>1507</v>
      </c>
      <c r="AS182" s="1" t="s">
        <v>9208</v>
      </c>
      <c r="AT182" s="1" t="s">
        <v>9209</v>
      </c>
      <c r="AU182" s="1" t="s">
        <v>1616</v>
      </c>
      <c r="AV182" s="1">
        <v>2021</v>
      </c>
      <c r="AW182" s="1">
        <v>10</v>
      </c>
      <c r="AX182" s="1">
        <v>1</v>
      </c>
      <c r="AY182" s="1" t="s">
        <v>1507</v>
      </c>
      <c r="AZ182" s="1" t="s">
        <v>1507</v>
      </c>
      <c r="BA182" s="1" t="s">
        <v>1507</v>
      </c>
      <c r="BB182" s="1" t="s">
        <v>1507</v>
      </c>
      <c r="BC182" s="1" t="s">
        <v>1507</v>
      </c>
      <c r="BD182" s="1" t="s">
        <v>1507</v>
      </c>
      <c r="BE182" s="1">
        <v>135</v>
      </c>
      <c r="BF182" s="1" t="s">
        <v>9210</v>
      </c>
      <c r="BG182" s="1" t="str">
        <f>HYPERLINK("http://dx.doi.org/10.3390/antiox10010135","http://dx.doi.org/10.3390/antiox10010135")</f>
        <v>http://dx.doi.org/10.3390/antiox10010135</v>
      </c>
      <c r="BH182" s="1" t="s">
        <v>1507</v>
      </c>
      <c r="BI182" s="1" t="s">
        <v>1507</v>
      </c>
      <c r="BJ182" s="1">
        <v>19</v>
      </c>
      <c r="BK182" s="1" t="s">
        <v>9211</v>
      </c>
      <c r="BL182" s="1" t="s">
        <v>1573</v>
      </c>
      <c r="BM182" s="1" t="s">
        <v>9212</v>
      </c>
      <c r="BN182" s="1" t="s">
        <v>9213</v>
      </c>
      <c r="BO182" s="1">
        <v>33477969</v>
      </c>
      <c r="BP182" s="1" t="s">
        <v>1674</v>
      </c>
      <c r="BQ182" s="1" t="s">
        <v>1507</v>
      </c>
      <c r="BR182" s="1" t="s">
        <v>1507</v>
      </c>
      <c r="BS182" s="1" t="s">
        <v>13744</v>
      </c>
      <c r="BT182" s="1" t="s">
        <v>9214</v>
      </c>
      <c r="BU182" s="1" t="str">
        <f>HYPERLINK("https%3A%2F%2Fwww.webofscience.com%2Fwos%2Fwoscc%2Ffull-record%2FWOS:000609753000001","View Full Record in Web of Science")</f>
        <v>View Full Record in Web of Science</v>
      </c>
    </row>
    <row r="183" spans="1:73" x14ac:dyDescent="0.25">
      <c r="A183" s="1">
        <v>206</v>
      </c>
      <c r="B183" s="1" t="s">
        <v>1506</v>
      </c>
      <c r="C183" s="1" t="s">
        <v>8858</v>
      </c>
      <c r="D183" s="1" t="s">
        <v>1507</v>
      </c>
      <c r="E183" s="1" t="s">
        <v>1507</v>
      </c>
      <c r="F183" s="1" t="s">
        <v>1507</v>
      </c>
      <c r="G183" s="1" t="s">
        <v>8859</v>
      </c>
      <c r="H183" s="1" t="s">
        <v>1507</v>
      </c>
      <c r="I183" s="1" t="s">
        <v>1507</v>
      </c>
      <c r="J183" s="1" t="s">
        <v>8860</v>
      </c>
      <c r="K183" s="1" t="s">
        <v>8861</v>
      </c>
      <c r="L183" s="1" t="s">
        <v>1507</v>
      </c>
      <c r="M183" s="1" t="s">
        <v>1507</v>
      </c>
      <c r="N183" s="1" t="s">
        <v>42</v>
      </c>
      <c r="O183" s="1" t="s">
        <v>56</v>
      </c>
      <c r="P183" s="1" t="s">
        <v>1507</v>
      </c>
      <c r="Q183" s="1" t="s">
        <v>1507</v>
      </c>
      <c r="R183" s="1" t="s">
        <v>1507</v>
      </c>
      <c r="S183" s="1" t="s">
        <v>1507</v>
      </c>
      <c r="T183" s="1" t="s">
        <v>1507</v>
      </c>
      <c r="U183" s="1" t="s">
        <v>8862</v>
      </c>
      <c r="V183" s="1" t="s">
        <v>1507</v>
      </c>
      <c r="W183" s="1" t="s">
        <v>8863</v>
      </c>
      <c r="X183" s="1" t="s">
        <v>8864</v>
      </c>
      <c r="Y183" s="1" t="s">
        <v>8865</v>
      </c>
      <c r="Z183" s="1" t="s">
        <v>8866</v>
      </c>
      <c r="AA183" s="1" t="s">
        <v>8198</v>
      </c>
      <c r="AB183" s="1" t="s">
        <v>15751</v>
      </c>
      <c r="AC183" s="1" t="s">
        <v>8867</v>
      </c>
      <c r="AD183" s="1" t="s">
        <v>8868</v>
      </c>
      <c r="AE183" s="1" t="s">
        <v>8869</v>
      </c>
      <c r="AF183" s="1" t="s">
        <v>8870</v>
      </c>
      <c r="AG183" s="1" t="s">
        <v>1507</v>
      </c>
      <c r="AH183" s="1">
        <v>28</v>
      </c>
      <c r="AI183" s="1">
        <v>5</v>
      </c>
      <c r="AJ183" s="1">
        <v>5</v>
      </c>
      <c r="AK183" s="1">
        <v>2</v>
      </c>
      <c r="AL183" s="1">
        <v>16</v>
      </c>
      <c r="AM183" s="1" t="s">
        <v>1511</v>
      </c>
      <c r="AN183" s="1" t="s">
        <v>1512</v>
      </c>
      <c r="AO183" s="1" t="s">
        <v>1513</v>
      </c>
      <c r="AP183" s="1" t="s">
        <v>8871</v>
      </c>
      <c r="AQ183" s="1" t="s">
        <v>8872</v>
      </c>
      <c r="AR183" s="1" t="s">
        <v>1507</v>
      </c>
      <c r="AS183" s="1" t="s">
        <v>8873</v>
      </c>
      <c r="AT183" s="1" t="s">
        <v>8874</v>
      </c>
      <c r="AU183" s="1" t="s">
        <v>2889</v>
      </c>
      <c r="AV183" s="1">
        <v>2021</v>
      </c>
      <c r="AW183" s="1">
        <v>33</v>
      </c>
      <c r="AX183" s="1">
        <v>10</v>
      </c>
      <c r="AY183" s="1" t="s">
        <v>1507</v>
      </c>
      <c r="AZ183" s="1" t="s">
        <v>1507</v>
      </c>
      <c r="BA183" s="1" t="s">
        <v>3506</v>
      </c>
      <c r="BB183" s="1" t="s">
        <v>1507</v>
      </c>
      <c r="BC183" s="1">
        <v>2737</v>
      </c>
      <c r="BD183" s="1">
        <v>2745</v>
      </c>
      <c r="BE183" s="1" t="s">
        <v>1507</v>
      </c>
      <c r="BF183" s="1" t="s">
        <v>8875</v>
      </c>
      <c r="BG183" s="1" t="str">
        <f>HYPERLINK("http://dx.doi.org/10.1007/s40520-021-01835-w","http://dx.doi.org/10.1007/s40520-021-01835-w")</f>
        <v>http://dx.doi.org/10.1007/s40520-021-01835-w</v>
      </c>
      <c r="BH183" s="1" t="s">
        <v>1507</v>
      </c>
      <c r="BI183" s="1" t="s">
        <v>8876</v>
      </c>
      <c r="BJ183" s="1">
        <v>9</v>
      </c>
      <c r="BK183" s="1" t="s">
        <v>8877</v>
      </c>
      <c r="BL183" s="1" t="s">
        <v>1573</v>
      </c>
      <c r="BM183" s="1" t="s">
        <v>8877</v>
      </c>
      <c r="BN183" s="1" t="s">
        <v>8878</v>
      </c>
      <c r="BO183" s="1">
        <v>33786800</v>
      </c>
      <c r="BP183" s="1" t="s">
        <v>1507</v>
      </c>
      <c r="BQ183" s="1" t="s">
        <v>1507</v>
      </c>
      <c r="BR183" s="1" t="s">
        <v>1507</v>
      </c>
      <c r="BS183" s="1" t="s">
        <v>13744</v>
      </c>
      <c r="BT183" s="1" t="s">
        <v>8879</v>
      </c>
      <c r="BU183" s="1" t="str">
        <f>HYPERLINK("https%3A%2F%2Fwww.webofscience.com%2Fwos%2Fwoscc%2Ffull-record%2FWOS:000635075300002","View Full Record in Web of Science")</f>
        <v>View Full Record in Web of Science</v>
      </c>
    </row>
    <row r="184" spans="1:73" x14ac:dyDescent="0.25">
      <c r="A184" s="1">
        <v>207</v>
      </c>
      <c r="B184" s="1" t="s">
        <v>5882</v>
      </c>
      <c r="C184" s="1" t="s">
        <v>5883</v>
      </c>
      <c r="D184" s="1" t="s">
        <v>1507</v>
      </c>
      <c r="E184" s="1" t="s">
        <v>5884</v>
      </c>
      <c r="F184" s="1" t="s">
        <v>1507</v>
      </c>
      <c r="G184" s="1" t="s">
        <v>5885</v>
      </c>
      <c r="H184" s="1" t="s">
        <v>1507</v>
      </c>
      <c r="I184" s="1" t="s">
        <v>1507</v>
      </c>
      <c r="J184" s="1" t="s">
        <v>5886</v>
      </c>
      <c r="K184" s="1" t="s">
        <v>5887</v>
      </c>
      <c r="L184" s="1" t="s">
        <v>1507</v>
      </c>
      <c r="M184" s="1" t="s">
        <v>1507</v>
      </c>
      <c r="N184" s="1" t="s">
        <v>42</v>
      </c>
      <c r="O184" s="1" t="s">
        <v>5888</v>
      </c>
      <c r="P184" s="1" t="s">
        <v>1507</v>
      </c>
      <c r="Q184" s="1" t="s">
        <v>1507</v>
      </c>
      <c r="R184" s="1" t="s">
        <v>1507</v>
      </c>
      <c r="S184" s="1" t="s">
        <v>1507</v>
      </c>
      <c r="T184" s="1" t="s">
        <v>1507</v>
      </c>
      <c r="U184" s="1" t="s">
        <v>1507</v>
      </c>
      <c r="V184" s="1" t="s">
        <v>1507</v>
      </c>
      <c r="W184" s="1" t="s">
        <v>1507</v>
      </c>
      <c r="X184" s="1" t="s">
        <v>5889</v>
      </c>
      <c r="Y184" s="1" t="s">
        <v>5890</v>
      </c>
      <c r="Z184" s="1" t="s">
        <v>5891</v>
      </c>
      <c r="AA184" s="1" t="s">
        <v>1507</v>
      </c>
      <c r="AB184" s="1" t="s">
        <v>1507</v>
      </c>
      <c r="AC184" s="1" t="s">
        <v>1507</v>
      </c>
      <c r="AD184" s="1" t="s">
        <v>5892</v>
      </c>
      <c r="AE184" s="1" t="s">
        <v>5893</v>
      </c>
      <c r="AF184" s="1" t="s">
        <v>5894</v>
      </c>
      <c r="AG184" s="1" t="s">
        <v>1507</v>
      </c>
      <c r="AH184" s="1">
        <v>4</v>
      </c>
      <c r="AI184" s="1">
        <v>0</v>
      </c>
      <c r="AJ184" s="1">
        <v>0</v>
      </c>
      <c r="AK184" s="1">
        <v>0</v>
      </c>
      <c r="AL184" s="1">
        <v>0</v>
      </c>
      <c r="AM184" s="1" t="s">
        <v>5895</v>
      </c>
      <c r="AN184" s="1" t="s">
        <v>5896</v>
      </c>
      <c r="AO184" s="1" t="s">
        <v>5897</v>
      </c>
      <c r="AP184" s="1" t="s">
        <v>1507</v>
      </c>
      <c r="AQ184" s="1" t="s">
        <v>1507</v>
      </c>
      <c r="AR184" s="1" t="s">
        <v>5898</v>
      </c>
      <c r="AS184" s="1" t="s">
        <v>1507</v>
      </c>
      <c r="AT184" s="1" t="s">
        <v>1507</v>
      </c>
      <c r="AU184" s="1" t="s">
        <v>1507</v>
      </c>
      <c r="AV184" s="1">
        <v>2023</v>
      </c>
      <c r="AW184" s="1" t="s">
        <v>1507</v>
      </c>
      <c r="AX184" s="1" t="s">
        <v>1507</v>
      </c>
      <c r="AY184" s="1" t="s">
        <v>1507</v>
      </c>
      <c r="AZ184" s="1" t="s">
        <v>1507</v>
      </c>
      <c r="BA184" s="1" t="s">
        <v>1507</v>
      </c>
      <c r="BB184" s="1" t="s">
        <v>1507</v>
      </c>
      <c r="BC184" s="1">
        <v>209</v>
      </c>
      <c r="BD184" s="1">
        <v>224</v>
      </c>
      <c r="BE184" s="1" t="s">
        <v>1507</v>
      </c>
      <c r="BF184" s="1" t="s">
        <v>1507</v>
      </c>
      <c r="BG184" s="1" t="s">
        <v>1507</v>
      </c>
      <c r="BH184" s="1" t="s">
        <v>1507</v>
      </c>
      <c r="BI184" s="1" t="s">
        <v>1507</v>
      </c>
      <c r="BJ184" s="1">
        <v>16</v>
      </c>
      <c r="BK184" s="1" t="s">
        <v>1535</v>
      </c>
      <c r="BL184" s="1" t="s">
        <v>5899</v>
      </c>
      <c r="BM184" s="1" t="s">
        <v>1536</v>
      </c>
      <c r="BN184" s="1" t="s">
        <v>5900</v>
      </c>
      <c r="BO184" s="1" t="s">
        <v>1507</v>
      </c>
      <c r="BP184" s="1" t="s">
        <v>1507</v>
      </c>
      <c r="BQ184" s="1" t="s">
        <v>1507</v>
      </c>
      <c r="BR184" s="1" t="s">
        <v>1507</v>
      </c>
      <c r="BS184" s="1" t="s">
        <v>13744</v>
      </c>
      <c r="BT184" s="1" t="s">
        <v>5901</v>
      </c>
      <c r="BU184" s="1" t="str">
        <f>HYPERLINK("https%3A%2F%2Fwww.webofscience.com%2Fwos%2Fwoscc%2Ffull-record%2FWOS:001061847900011","View Full Record in Web of Science")</f>
        <v>View Full Record in Web of Science</v>
      </c>
    </row>
    <row r="185" spans="1:73" x14ac:dyDescent="0.25">
      <c r="A185" s="1">
        <v>208</v>
      </c>
      <c r="B185" s="1" t="s">
        <v>1506</v>
      </c>
      <c r="C185" s="1" t="s">
        <v>1655</v>
      </c>
      <c r="D185" s="1" t="s">
        <v>1507</v>
      </c>
      <c r="E185" s="1" t="s">
        <v>1507</v>
      </c>
      <c r="F185" s="1" t="s">
        <v>1507</v>
      </c>
      <c r="G185" s="1" t="s">
        <v>1656</v>
      </c>
      <c r="H185" s="1" t="s">
        <v>1507</v>
      </c>
      <c r="I185" s="1" t="s">
        <v>1507</v>
      </c>
      <c r="J185" s="1" t="s">
        <v>559</v>
      </c>
      <c r="K185" s="1" t="s">
        <v>1657</v>
      </c>
      <c r="L185" s="1" t="s">
        <v>1507</v>
      </c>
      <c r="M185" s="1" t="s">
        <v>1507</v>
      </c>
      <c r="N185" s="1" t="s">
        <v>42</v>
      </c>
      <c r="O185" s="1" t="s">
        <v>56</v>
      </c>
      <c r="P185" s="1" t="s">
        <v>1507</v>
      </c>
      <c r="Q185" s="1" t="s">
        <v>1507</v>
      </c>
      <c r="R185" s="1" t="s">
        <v>1507</v>
      </c>
      <c r="S185" s="1" t="s">
        <v>1507</v>
      </c>
      <c r="T185" s="1" t="s">
        <v>1507</v>
      </c>
      <c r="U185" s="1" t="s">
        <v>1658</v>
      </c>
      <c r="V185" s="1" t="s">
        <v>1659</v>
      </c>
      <c r="W185" s="1" t="s">
        <v>1660</v>
      </c>
      <c r="X185" s="1" t="s">
        <v>1661</v>
      </c>
      <c r="Y185" s="1" t="s">
        <v>1662</v>
      </c>
      <c r="Z185" s="1" t="s">
        <v>1663</v>
      </c>
      <c r="AA185" s="1" t="s">
        <v>1664</v>
      </c>
      <c r="AB185" s="1" t="s">
        <v>1507</v>
      </c>
      <c r="AC185" s="1" t="s">
        <v>13745</v>
      </c>
      <c r="AD185" s="1" t="s">
        <v>1665</v>
      </c>
      <c r="AE185" s="1" t="s">
        <v>1665</v>
      </c>
      <c r="AF185" s="1" t="s">
        <v>1666</v>
      </c>
      <c r="AG185" s="1" t="s">
        <v>1507</v>
      </c>
      <c r="AH185" s="1">
        <v>59</v>
      </c>
      <c r="AI185" s="1">
        <v>1</v>
      </c>
      <c r="AJ185" s="1">
        <v>1</v>
      </c>
      <c r="AK185" s="1">
        <v>23</v>
      </c>
      <c r="AL185" s="1">
        <v>23</v>
      </c>
      <c r="AM185" s="1" t="s">
        <v>1667</v>
      </c>
      <c r="AN185" s="1" t="s">
        <v>1668</v>
      </c>
      <c r="AO185" s="1" t="s">
        <v>1669</v>
      </c>
      <c r="AP185" s="1" t="s">
        <v>1670</v>
      </c>
      <c r="AQ185" s="1" t="s">
        <v>1507</v>
      </c>
      <c r="AR185" s="1" t="s">
        <v>1507</v>
      </c>
      <c r="AS185" s="1" t="s">
        <v>1671</v>
      </c>
      <c r="AT185" s="1" t="s">
        <v>567</v>
      </c>
      <c r="AU185" s="1" t="s">
        <v>1672</v>
      </c>
      <c r="AV185" s="1">
        <v>2023</v>
      </c>
      <c r="AW185" s="1">
        <v>25</v>
      </c>
      <c r="AX185" s="1" t="s">
        <v>1507</v>
      </c>
      <c r="AY185" s="1" t="s">
        <v>1507</v>
      </c>
      <c r="AZ185" s="1" t="s">
        <v>1507</v>
      </c>
      <c r="BA185" s="1" t="s">
        <v>1507</v>
      </c>
      <c r="BB185" s="1" t="s">
        <v>1507</v>
      </c>
      <c r="BC185" s="1" t="s">
        <v>1507</v>
      </c>
      <c r="BD185" s="1" t="s">
        <v>1507</v>
      </c>
      <c r="BE185" s="1" t="s">
        <v>561</v>
      </c>
      <c r="BF185" s="1" t="s">
        <v>562</v>
      </c>
      <c r="BG185" s="1" t="str">
        <f>HYPERLINK("http://dx.doi.org/10.2196/51580","http://dx.doi.org/10.2196/51580")</f>
        <v>http://dx.doi.org/10.2196/51580</v>
      </c>
      <c r="BH185" s="1" t="s">
        <v>1507</v>
      </c>
      <c r="BI185" s="1" t="s">
        <v>1507</v>
      </c>
      <c r="BJ185" s="1">
        <v>15</v>
      </c>
      <c r="BK185" s="1" t="s">
        <v>1585</v>
      </c>
      <c r="BL185" s="1" t="s">
        <v>1573</v>
      </c>
      <c r="BM185" s="1" t="s">
        <v>1585</v>
      </c>
      <c r="BN185" s="1" t="s">
        <v>1673</v>
      </c>
      <c r="BO185" s="1">
        <v>38009003</v>
      </c>
      <c r="BP185" s="1" t="s">
        <v>1674</v>
      </c>
      <c r="BQ185" s="1" t="s">
        <v>1507</v>
      </c>
      <c r="BR185" s="1" t="s">
        <v>1507</v>
      </c>
      <c r="BS185" s="1" t="s">
        <v>13744</v>
      </c>
      <c r="BT185" s="1" t="s">
        <v>1675</v>
      </c>
      <c r="BU185" s="1" t="str">
        <f>HYPERLINK("https%3A%2F%2Fwww.webofscience.com%2Fwos%2Fwoscc%2Ffull-record%2FWOS:001146489700003","View Full Record in Web of Science")</f>
        <v>View Full Record in Web of Science</v>
      </c>
    </row>
    <row r="186" spans="1:73" x14ac:dyDescent="0.25">
      <c r="A186" s="1">
        <v>209</v>
      </c>
      <c r="B186" s="1" t="s">
        <v>1506</v>
      </c>
      <c r="C186" s="1" t="s">
        <v>11342</v>
      </c>
      <c r="D186" s="1" t="s">
        <v>1507</v>
      </c>
      <c r="E186" s="1" t="s">
        <v>1507</v>
      </c>
      <c r="F186" s="1" t="s">
        <v>1507</v>
      </c>
      <c r="G186" s="1" t="s">
        <v>11343</v>
      </c>
      <c r="H186" s="1" t="s">
        <v>1507</v>
      </c>
      <c r="I186" s="1" t="s">
        <v>1507</v>
      </c>
      <c r="J186" s="1" t="s">
        <v>11344</v>
      </c>
      <c r="K186" s="1" t="s">
        <v>11345</v>
      </c>
      <c r="L186" s="1" t="s">
        <v>1507</v>
      </c>
      <c r="M186" s="1" t="s">
        <v>1507</v>
      </c>
      <c r="N186" s="1" t="s">
        <v>42</v>
      </c>
      <c r="O186" s="1" t="s">
        <v>56</v>
      </c>
      <c r="P186" s="1" t="s">
        <v>1507</v>
      </c>
      <c r="Q186" s="1" t="s">
        <v>1507</v>
      </c>
      <c r="R186" s="1" t="s">
        <v>1507</v>
      </c>
      <c r="S186" s="1" t="s">
        <v>1507</v>
      </c>
      <c r="T186" s="1" t="s">
        <v>1507</v>
      </c>
      <c r="U186" s="1" t="s">
        <v>11346</v>
      </c>
      <c r="V186" s="1" t="s">
        <v>1507</v>
      </c>
      <c r="W186" s="1" t="s">
        <v>11347</v>
      </c>
      <c r="X186" s="1" t="s">
        <v>11348</v>
      </c>
      <c r="Y186" s="1" t="s">
        <v>11349</v>
      </c>
      <c r="Z186" s="1" t="s">
        <v>11350</v>
      </c>
      <c r="AA186" s="1" t="s">
        <v>11351</v>
      </c>
      <c r="AB186" s="1" t="s">
        <v>1507</v>
      </c>
      <c r="AC186" s="1" t="s">
        <v>1507</v>
      </c>
      <c r="AD186" s="1" t="s">
        <v>11352</v>
      </c>
      <c r="AE186" s="1" t="s">
        <v>11353</v>
      </c>
      <c r="AF186" s="1" t="s">
        <v>11354</v>
      </c>
      <c r="AG186" s="1" t="s">
        <v>1507</v>
      </c>
      <c r="AH186" s="1">
        <v>88</v>
      </c>
      <c r="AI186" s="1">
        <v>4</v>
      </c>
      <c r="AJ186" s="1">
        <v>4</v>
      </c>
      <c r="AK186" s="1">
        <v>1</v>
      </c>
      <c r="AL186" s="1">
        <v>5</v>
      </c>
      <c r="AM186" s="1" t="s">
        <v>11355</v>
      </c>
      <c r="AN186" s="1" t="s">
        <v>1551</v>
      </c>
      <c r="AO186" s="1" t="s">
        <v>11356</v>
      </c>
      <c r="AP186" s="1" t="s">
        <v>11357</v>
      </c>
      <c r="AQ186" s="1" t="s">
        <v>11358</v>
      </c>
      <c r="AR186" s="1" t="s">
        <v>1507</v>
      </c>
      <c r="AS186" s="1" t="s">
        <v>11359</v>
      </c>
      <c r="AT186" s="1" t="s">
        <v>965</v>
      </c>
      <c r="AU186" s="1" t="s">
        <v>1507</v>
      </c>
      <c r="AV186" s="1">
        <v>2019</v>
      </c>
      <c r="AW186" s="1">
        <v>24</v>
      </c>
      <c r="AX186" s="1">
        <v>1</v>
      </c>
      <c r="AY186" s="1" t="s">
        <v>1507</v>
      </c>
      <c r="AZ186" s="1" t="s">
        <v>1507</v>
      </c>
      <c r="BA186" s="1" t="s">
        <v>1507</v>
      </c>
      <c r="BB186" s="1" t="s">
        <v>1507</v>
      </c>
      <c r="BC186" s="1">
        <v>27</v>
      </c>
      <c r="BD186" s="1">
        <v>48</v>
      </c>
      <c r="BE186" s="1" t="s">
        <v>1507</v>
      </c>
      <c r="BF186" s="1" t="s">
        <v>11360</v>
      </c>
      <c r="BG186" s="1" t="str">
        <f>HYPERLINK("http://dx.doi.org/10.5334/tilr.135","http://dx.doi.org/10.5334/tilr.135")</f>
        <v>http://dx.doi.org/10.5334/tilr.135</v>
      </c>
      <c r="BH186" s="1" t="s">
        <v>1507</v>
      </c>
      <c r="BI186" s="1" t="s">
        <v>1507</v>
      </c>
      <c r="BJ186" s="1">
        <v>22</v>
      </c>
      <c r="BK186" s="1" t="s">
        <v>1535</v>
      </c>
      <c r="BL186" s="1" t="s">
        <v>1529</v>
      </c>
      <c r="BM186" s="1" t="s">
        <v>1536</v>
      </c>
      <c r="BN186" s="1" t="s">
        <v>11361</v>
      </c>
      <c r="BO186" s="1" t="s">
        <v>1507</v>
      </c>
      <c r="BP186" s="1" t="s">
        <v>1952</v>
      </c>
      <c r="BQ186" s="1" t="s">
        <v>1507</v>
      </c>
      <c r="BR186" s="1" t="s">
        <v>1507</v>
      </c>
      <c r="BS186" s="1" t="s">
        <v>13744</v>
      </c>
      <c r="BT186" s="1" t="s">
        <v>11362</v>
      </c>
      <c r="BU186" s="1" t="str">
        <f>HYPERLINK("https%3A%2F%2Fwww.webofscience.com%2Fwos%2Fwoscc%2Ffull-record%2FWOS:000737921400003","View Full Record in Web of Science")</f>
        <v>View Full Record in Web of Science</v>
      </c>
    </row>
    <row r="187" spans="1:73" x14ac:dyDescent="0.25">
      <c r="A187" s="1">
        <v>210</v>
      </c>
      <c r="B187" s="1" t="s">
        <v>1506</v>
      </c>
      <c r="C187" s="1" t="s">
        <v>2197</v>
      </c>
      <c r="D187" s="1" t="s">
        <v>1507</v>
      </c>
      <c r="E187" s="1" t="s">
        <v>1507</v>
      </c>
      <c r="F187" s="1" t="s">
        <v>1507</v>
      </c>
      <c r="G187" s="1" t="s">
        <v>2198</v>
      </c>
      <c r="H187" s="1" t="s">
        <v>1507</v>
      </c>
      <c r="I187" s="1" t="s">
        <v>1507</v>
      </c>
      <c r="J187" s="1" t="s">
        <v>2199</v>
      </c>
      <c r="K187" s="1" t="s">
        <v>2200</v>
      </c>
      <c r="L187" s="1" t="s">
        <v>1507</v>
      </c>
      <c r="M187" s="1" t="s">
        <v>1507</v>
      </c>
      <c r="N187" s="1" t="s">
        <v>42</v>
      </c>
      <c r="O187" s="1" t="s">
        <v>56</v>
      </c>
      <c r="P187" s="1" t="s">
        <v>1507</v>
      </c>
      <c r="Q187" s="1" t="s">
        <v>1507</v>
      </c>
      <c r="R187" s="1" t="s">
        <v>1507</v>
      </c>
      <c r="S187" s="1" t="s">
        <v>1507</v>
      </c>
      <c r="T187" s="1" t="s">
        <v>1507</v>
      </c>
      <c r="U187" s="1" t="s">
        <v>2201</v>
      </c>
      <c r="V187" s="1" t="s">
        <v>2202</v>
      </c>
      <c r="W187" s="1" t="s">
        <v>2203</v>
      </c>
      <c r="X187" s="1" t="s">
        <v>2204</v>
      </c>
      <c r="Y187" s="1" t="s">
        <v>2205</v>
      </c>
      <c r="Z187" s="1" t="s">
        <v>2206</v>
      </c>
      <c r="AA187" s="1" t="s">
        <v>2207</v>
      </c>
      <c r="AB187" s="1" t="s">
        <v>1507</v>
      </c>
      <c r="AC187" s="1" t="s">
        <v>2208</v>
      </c>
      <c r="AD187" s="1" t="s">
        <v>2209</v>
      </c>
      <c r="AE187" s="1" t="s">
        <v>2209</v>
      </c>
      <c r="AF187" s="1" t="s">
        <v>2210</v>
      </c>
      <c r="AG187" s="1" t="s">
        <v>1507</v>
      </c>
      <c r="AH187" s="1">
        <v>55</v>
      </c>
      <c r="AI187" s="1">
        <v>0</v>
      </c>
      <c r="AJ187" s="1">
        <v>0</v>
      </c>
      <c r="AK187" s="1">
        <v>2</v>
      </c>
      <c r="AL187" s="1">
        <v>2</v>
      </c>
      <c r="AM187" s="1" t="s">
        <v>1610</v>
      </c>
      <c r="AN187" s="1" t="s">
        <v>1611</v>
      </c>
      <c r="AO187" s="1" t="s">
        <v>1612</v>
      </c>
      <c r="AP187" s="1" t="s">
        <v>1507</v>
      </c>
      <c r="AQ187" s="1" t="s">
        <v>2211</v>
      </c>
      <c r="AR187" s="1" t="s">
        <v>1507</v>
      </c>
      <c r="AS187" s="1" t="s">
        <v>2200</v>
      </c>
      <c r="AT187" s="1" t="s">
        <v>2212</v>
      </c>
      <c r="AU187" s="1" t="s">
        <v>2191</v>
      </c>
      <c r="AV187" s="1">
        <v>2023</v>
      </c>
      <c r="AW187" s="1">
        <v>10</v>
      </c>
      <c r="AX187" s="1">
        <v>4</v>
      </c>
      <c r="AY187" s="1" t="s">
        <v>1507</v>
      </c>
      <c r="AZ187" s="1" t="s">
        <v>1507</v>
      </c>
      <c r="BA187" s="1" t="s">
        <v>1507</v>
      </c>
      <c r="BB187" s="1" t="s">
        <v>1507</v>
      </c>
      <c r="BC187" s="1" t="s">
        <v>1507</v>
      </c>
      <c r="BD187" s="1" t="s">
        <v>1507</v>
      </c>
      <c r="BE187" s="1">
        <v>89</v>
      </c>
      <c r="BF187" s="1" t="s">
        <v>2213</v>
      </c>
      <c r="BG187" s="1" t="str">
        <f>HYPERLINK("http://dx.doi.org/10.3390/informatics10040089","http://dx.doi.org/10.3390/informatics10040089")</f>
        <v>http://dx.doi.org/10.3390/informatics10040089</v>
      </c>
      <c r="BH187" s="1" t="s">
        <v>1507</v>
      </c>
      <c r="BI187" s="1" t="s">
        <v>1507</v>
      </c>
      <c r="BJ187" s="1">
        <v>20</v>
      </c>
      <c r="BK187" s="1" t="s">
        <v>2214</v>
      </c>
      <c r="BL187" s="1" t="s">
        <v>1529</v>
      </c>
      <c r="BM187" s="1" t="s">
        <v>1577</v>
      </c>
      <c r="BN187" s="1" t="s">
        <v>2215</v>
      </c>
      <c r="BO187" s="1" t="s">
        <v>1507</v>
      </c>
      <c r="BP187" s="1" t="s">
        <v>1531</v>
      </c>
      <c r="BQ187" s="1" t="s">
        <v>1507</v>
      </c>
      <c r="BR187" s="1" t="s">
        <v>1507</v>
      </c>
      <c r="BS187" s="1" t="s">
        <v>13744</v>
      </c>
      <c r="BT187" s="1" t="s">
        <v>2216</v>
      </c>
      <c r="BU187" s="1" t="str">
        <f>HYPERLINK("https%3A%2F%2Fwww.webofscience.com%2Fwos%2Fwoscc%2Ffull-record%2FWOS:001131075800001","View Full Record in Web of Science")</f>
        <v>View Full Record in Web of Science</v>
      </c>
    </row>
    <row r="188" spans="1:73" x14ac:dyDescent="0.25">
      <c r="A188" s="1">
        <v>211</v>
      </c>
      <c r="B188" s="1" t="s">
        <v>1506</v>
      </c>
      <c r="C188" s="1" t="s">
        <v>3800</v>
      </c>
      <c r="D188" s="1" t="s">
        <v>1507</v>
      </c>
      <c r="E188" s="1" t="s">
        <v>1507</v>
      </c>
      <c r="F188" s="1" t="s">
        <v>1507</v>
      </c>
      <c r="G188" s="1" t="s">
        <v>3801</v>
      </c>
      <c r="H188" s="1" t="s">
        <v>1507</v>
      </c>
      <c r="I188" s="1" t="s">
        <v>1507</v>
      </c>
      <c r="J188" s="1" t="s">
        <v>3802</v>
      </c>
      <c r="K188" s="1" t="s">
        <v>3803</v>
      </c>
      <c r="L188" s="1" t="s">
        <v>1507</v>
      </c>
      <c r="M188" s="1" t="s">
        <v>1507</v>
      </c>
      <c r="N188" s="1" t="s">
        <v>42</v>
      </c>
      <c r="O188" s="1" t="s">
        <v>56</v>
      </c>
      <c r="P188" s="1" t="s">
        <v>1507</v>
      </c>
      <c r="Q188" s="1" t="s">
        <v>1507</v>
      </c>
      <c r="R188" s="1" t="s">
        <v>1507</v>
      </c>
      <c r="S188" s="1" t="s">
        <v>1507</v>
      </c>
      <c r="T188" s="1" t="s">
        <v>1507</v>
      </c>
      <c r="U188" s="1" t="s">
        <v>1507</v>
      </c>
      <c r="V188" s="1" t="s">
        <v>3804</v>
      </c>
      <c r="W188" s="1" t="s">
        <v>3805</v>
      </c>
      <c r="X188" s="1" t="s">
        <v>3806</v>
      </c>
      <c r="Y188" s="1" t="s">
        <v>3807</v>
      </c>
      <c r="Z188" s="1" t="s">
        <v>3808</v>
      </c>
      <c r="AA188" s="1" t="s">
        <v>3809</v>
      </c>
      <c r="AB188" s="1" t="s">
        <v>1507</v>
      </c>
      <c r="AC188" s="1" t="s">
        <v>14499</v>
      </c>
      <c r="AD188" s="1" t="s">
        <v>3810</v>
      </c>
      <c r="AE188" s="1" t="s">
        <v>3810</v>
      </c>
      <c r="AF188" s="1" t="s">
        <v>3811</v>
      </c>
      <c r="AG188" s="1" t="s">
        <v>1507</v>
      </c>
      <c r="AH188" s="1">
        <v>35</v>
      </c>
      <c r="AI188" s="1">
        <v>1</v>
      </c>
      <c r="AJ188" s="1">
        <v>1</v>
      </c>
      <c r="AK188" s="1">
        <v>2</v>
      </c>
      <c r="AL188" s="1">
        <v>2</v>
      </c>
      <c r="AM188" s="1" t="s">
        <v>1559</v>
      </c>
      <c r="AN188" s="1" t="s">
        <v>1560</v>
      </c>
      <c r="AO188" s="1" t="s">
        <v>1561</v>
      </c>
      <c r="AP188" s="1" t="s">
        <v>3812</v>
      </c>
      <c r="AQ188" s="1" t="s">
        <v>3813</v>
      </c>
      <c r="AR188" s="1" t="s">
        <v>1507</v>
      </c>
      <c r="AS188" s="1" t="s">
        <v>3814</v>
      </c>
      <c r="AT188" s="1" t="s">
        <v>3815</v>
      </c>
      <c r="AU188" s="1" t="s">
        <v>5362</v>
      </c>
      <c r="AV188" s="1">
        <v>2024</v>
      </c>
      <c r="AW188" s="1">
        <v>61</v>
      </c>
      <c r="AX188" s="1">
        <v>1</v>
      </c>
      <c r="AY188" s="1" t="s">
        <v>1507</v>
      </c>
      <c r="AZ188" s="1" t="s">
        <v>1507</v>
      </c>
      <c r="BA188" s="1" t="s">
        <v>1507</v>
      </c>
      <c r="BB188" s="1" t="s">
        <v>1507</v>
      </c>
      <c r="BC188" s="1">
        <v>150</v>
      </c>
      <c r="BD188" s="1">
        <v>173</v>
      </c>
      <c r="BE188" s="1" t="s">
        <v>1507</v>
      </c>
      <c r="BF188" s="1" t="s">
        <v>3816</v>
      </c>
      <c r="BG188" s="1" t="str">
        <f>HYPERLINK("http://dx.doi.org/10.1111/jedm.12376","http://dx.doi.org/10.1111/jedm.12376")</f>
        <v>http://dx.doi.org/10.1111/jedm.12376</v>
      </c>
      <c r="BH188" s="1" t="s">
        <v>1507</v>
      </c>
      <c r="BI188" s="1" t="s">
        <v>3689</v>
      </c>
      <c r="BJ188" s="1">
        <v>24</v>
      </c>
      <c r="BK188" s="1" t="s">
        <v>3817</v>
      </c>
      <c r="BL188" s="1" t="s">
        <v>1518</v>
      </c>
      <c r="BM188" s="1" t="s">
        <v>1519</v>
      </c>
      <c r="BN188" s="1" t="s">
        <v>14500</v>
      </c>
      <c r="BO188" s="1" t="s">
        <v>1507</v>
      </c>
      <c r="BP188" s="1" t="s">
        <v>3572</v>
      </c>
      <c r="BQ188" s="1" t="s">
        <v>1507</v>
      </c>
      <c r="BR188" s="1" t="s">
        <v>1507</v>
      </c>
      <c r="BS188" s="1" t="s">
        <v>13744</v>
      </c>
      <c r="BT188" s="1" t="s">
        <v>3818</v>
      </c>
      <c r="BU188" s="1" t="str">
        <f>HYPERLINK("https%3A%2F%2Fwww.webofscience.com%2Fwos%2Fwoscc%2Ffull-record%2FWOS:001070195500001","View Full Record in Web of Science")</f>
        <v>View Full Record in Web of Science</v>
      </c>
    </row>
    <row r="189" spans="1:73" x14ac:dyDescent="0.25">
      <c r="A189" s="1">
        <v>212</v>
      </c>
      <c r="B189" s="1" t="s">
        <v>5546</v>
      </c>
      <c r="C189" s="1" t="s">
        <v>7757</v>
      </c>
      <c r="D189" s="1" t="s">
        <v>1507</v>
      </c>
      <c r="E189" s="1" t="s">
        <v>1507</v>
      </c>
      <c r="F189" s="1" t="s">
        <v>5548</v>
      </c>
      <c r="G189" s="1" t="s">
        <v>7758</v>
      </c>
      <c r="H189" s="1" t="s">
        <v>1507</v>
      </c>
      <c r="I189" s="1" t="s">
        <v>1507</v>
      </c>
      <c r="J189" s="1" t="s">
        <v>7759</v>
      </c>
      <c r="K189" s="1" t="s">
        <v>7760</v>
      </c>
      <c r="L189" s="1" t="s">
        <v>1507</v>
      </c>
      <c r="M189" s="1" t="s">
        <v>1507</v>
      </c>
      <c r="N189" s="1" t="s">
        <v>42</v>
      </c>
      <c r="O189" s="1" t="s">
        <v>5552</v>
      </c>
      <c r="P189" s="1" t="s">
        <v>7761</v>
      </c>
      <c r="Q189" s="1" t="s">
        <v>7762</v>
      </c>
      <c r="R189" s="1" t="s">
        <v>7763</v>
      </c>
      <c r="S189" s="1" t="s">
        <v>7764</v>
      </c>
      <c r="T189" s="1" t="s">
        <v>1507</v>
      </c>
      <c r="U189" s="1" t="s">
        <v>7765</v>
      </c>
      <c r="V189" s="1" t="s">
        <v>7766</v>
      </c>
      <c r="W189" s="1" t="s">
        <v>7767</v>
      </c>
      <c r="X189" s="1" t="s">
        <v>7768</v>
      </c>
      <c r="Y189" s="1" t="s">
        <v>7769</v>
      </c>
      <c r="Z189" s="1" t="s">
        <v>7770</v>
      </c>
      <c r="AA189" s="1" t="s">
        <v>7771</v>
      </c>
      <c r="AB189" s="1" t="s">
        <v>1507</v>
      </c>
      <c r="AC189" s="1" t="s">
        <v>1507</v>
      </c>
      <c r="AD189" s="1" t="s">
        <v>1507</v>
      </c>
      <c r="AE189" s="1" t="s">
        <v>1507</v>
      </c>
      <c r="AF189" s="1" t="s">
        <v>1507</v>
      </c>
      <c r="AG189" s="1" t="s">
        <v>1507</v>
      </c>
      <c r="AH189" s="1">
        <v>71</v>
      </c>
      <c r="AI189" s="1">
        <v>1</v>
      </c>
      <c r="AJ189" s="1">
        <v>1</v>
      </c>
      <c r="AK189" s="1">
        <v>0</v>
      </c>
      <c r="AL189" s="1">
        <v>0</v>
      </c>
      <c r="AM189" s="1" t="s">
        <v>5565</v>
      </c>
      <c r="AN189" s="1" t="s">
        <v>1512</v>
      </c>
      <c r="AO189" s="1" t="s">
        <v>5566</v>
      </c>
      <c r="AP189" s="1" t="s">
        <v>1507</v>
      </c>
      <c r="AQ189" s="1" t="s">
        <v>1507</v>
      </c>
      <c r="AR189" s="1" t="s">
        <v>7772</v>
      </c>
      <c r="AS189" s="1" t="s">
        <v>1507</v>
      </c>
      <c r="AT189" s="1" t="s">
        <v>1507</v>
      </c>
      <c r="AU189" s="1" t="s">
        <v>1507</v>
      </c>
      <c r="AV189" s="1">
        <v>2022</v>
      </c>
      <c r="AW189" s="1" t="s">
        <v>1507</v>
      </c>
      <c r="AX189" s="1" t="s">
        <v>1507</v>
      </c>
      <c r="AY189" s="1" t="s">
        <v>1507</v>
      </c>
      <c r="AZ189" s="1" t="s">
        <v>1507</v>
      </c>
      <c r="BA189" s="1" t="s">
        <v>1507</v>
      </c>
      <c r="BB189" s="1" t="s">
        <v>1507</v>
      </c>
      <c r="BC189" s="1" t="s">
        <v>1507</v>
      </c>
      <c r="BD189" s="1" t="s">
        <v>1507</v>
      </c>
      <c r="BE189" s="1" t="s">
        <v>1507</v>
      </c>
      <c r="BF189" s="1" t="s">
        <v>7773</v>
      </c>
      <c r="BG189" s="1" t="str">
        <f>HYPERLINK("http://dx.doi.org/10.1145/3517428.3544819","http://dx.doi.org/10.1145/3517428.3544819")</f>
        <v>http://dx.doi.org/10.1145/3517428.3544819</v>
      </c>
      <c r="BH189" s="1" t="s">
        <v>1507</v>
      </c>
      <c r="BI189" s="1" t="s">
        <v>1507</v>
      </c>
      <c r="BJ189" s="1">
        <v>18</v>
      </c>
      <c r="BK189" s="1" t="s">
        <v>7774</v>
      </c>
      <c r="BL189" s="1" t="s">
        <v>5570</v>
      </c>
      <c r="BM189" s="1" t="s">
        <v>1577</v>
      </c>
      <c r="BN189" s="1" t="s">
        <v>7775</v>
      </c>
      <c r="BO189" s="1" t="s">
        <v>1507</v>
      </c>
      <c r="BP189" s="1" t="s">
        <v>7609</v>
      </c>
      <c r="BQ189" s="1" t="s">
        <v>1507</v>
      </c>
      <c r="BR189" s="1" t="s">
        <v>1507</v>
      </c>
      <c r="BS189" s="1" t="s">
        <v>13744</v>
      </c>
      <c r="BT189" s="1" t="s">
        <v>7777</v>
      </c>
      <c r="BU189" s="1" t="str">
        <f>HYPERLINK("https%3A%2F%2Fwww.webofscience.com%2Fwos%2Fwoscc%2Ffull-record%2FWOS:001146369800024","View Full Record in Web of Science")</f>
        <v>View Full Record in Web of Science</v>
      </c>
    </row>
    <row r="190" spans="1:73" x14ac:dyDescent="0.25">
      <c r="A190" s="1">
        <v>213</v>
      </c>
      <c r="B190" s="1" t="s">
        <v>5546</v>
      </c>
      <c r="C190" s="1" t="s">
        <v>15008</v>
      </c>
      <c r="D190" s="1" t="s">
        <v>1507</v>
      </c>
      <c r="E190" s="1" t="s">
        <v>15009</v>
      </c>
      <c r="F190" s="1" t="s">
        <v>1507</v>
      </c>
      <c r="G190" s="1" t="s">
        <v>15010</v>
      </c>
      <c r="H190" s="1" t="s">
        <v>1507</v>
      </c>
      <c r="I190" s="1" t="s">
        <v>1507</v>
      </c>
      <c r="J190" s="1" t="s">
        <v>15011</v>
      </c>
      <c r="K190" s="1" t="s">
        <v>15012</v>
      </c>
      <c r="L190" s="1" t="s">
        <v>10392</v>
      </c>
      <c r="M190" s="1" t="s">
        <v>1507</v>
      </c>
      <c r="N190" s="1" t="s">
        <v>42</v>
      </c>
      <c r="O190" s="1" t="s">
        <v>5552</v>
      </c>
      <c r="P190" s="1" t="s">
        <v>15013</v>
      </c>
      <c r="Q190" s="1" t="s">
        <v>15014</v>
      </c>
      <c r="R190" s="1" t="s">
        <v>15015</v>
      </c>
      <c r="S190" s="1" t="s">
        <v>15016</v>
      </c>
      <c r="T190" s="1" t="s">
        <v>15017</v>
      </c>
      <c r="U190" s="1" t="s">
        <v>15018</v>
      </c>
      <c r="V190" s="1" t="s">
        <v>1507</v>
      </c>
      <c r="W190" s="1" t="s">
        <v>15019</v>
      </c>
      <c r="X190" s="1" t="s">
        <v>15020</v>
      </c>
      <c r="Y190" s="1" t="s">
        <v>15021</v>
      </c>
      <c r="Z190" s="1" t="s">
        <v>15022</v>
      </c>
      <c r="AA190" s="1" t="s">
        <v>15023</v>
      </c>
      <c r="AB190" s="1" t="s">
        <v>1507</v>
      </c>
      <c r="AC190" s="1" t="s">
        <v>1507</v>
      </c>
      <c r="AD190" s="1" t="s">
        <v>15024</v>
      </c>
      <c r="AE190" s="1" t="s">
        <v>15025</v>
      </c>
      <c r="AF190" s="1" t="s">
        <v>15026</v>
      </c>
      <c r="AG190" s="1" t="s">
        <v>1507</v>
      </c>
      <c r="AH190" s="1">
        <v>26</v>
      </c>
      <c r="AI190" s="1">
        <v>0</v>
      </c>
      <c r="AJ190" s="1">
        <v>0</v>
      </c>
      <c r="AK190" s="1">
        <v>0</v>
      </c>
      <c r="AL190" s="1">
        <v>0</v>
      </c>
      <c r="AM190" s="1" t="s">
        <v>9284</v>
      </c>
      <c r="AN190" s="1" t="s">
        <v>1580</v>
      </c>
      <c r="AO190" s="1" t="s">
        <v>9285</v>
      </c>
      <c r="AP190" s="1" t="s">
        <v>10408</v>
      </c>
      <c r="AQ190" s="1" t="s">
        <v>10409</v>
      </c>
      <c r="AR190" s="1" t="s">
        <v>15027</v>
      </c>
      <c r="AS190" s="1" t="s">
        <v>10411</v>
      </c>
      <c r="AT190" s="1" t="s">
        <v>1507</v>
      </c>
      <c r="AU190" s="1" t="s">
        <v>1507</v>
      </c>
      <c r="AV190" s="1">
        <v>2023</v>
      </c>
      <c r="AW190" s="1">
        <v>379</v>
      </c>
      <c r="AX190" s="1" t="s">
        <v>1507</v>
      </c>
      <c r="AY190" s="1" t="s">
        <v>1507</v>
      </c>
      <c r="AZ190" s="1" t="s">
        <v>1507</v>
      </c>
      <c r="BA190" s="1" t="s">
        <v>1507</v>
      </c>
      <c r="BB190" s="1" t="s">
        <v>1507</v>
      </c>
      <c r="BC190" s="1">
        <v>275</v>
      </c>
      <c r="BD190" s="1">
        <v>280</v>
      </c>
      <c r="BE190" s="1" t="s">
        <v>1507</v>
      </c>
      <c r="BF190" s="1" t="s">
        <v>15028</v>
      </c>
      <c r="BG190" s="1" t="str">
        <f>HYPERLINK("http://dx.doi.org/10.3233/FAIA230974","http://dx.doi.org/10.3233/FAIA230974")</f>
        <v>http://dx.doi.org/10.3233/FAIA230974</v>
      </c>
      <c r="BH190" s="1" t="s">
        <v>1507</v>
      </c>
      <c r="BI190" s="1" t="s">
        <v>1507</v>
      </c>
      <c r="BJ190" s="1">
        <v>6</v>
      </c>
      <c r="BK190" s="1" t="s">
        <v>15029</v>
      </c>
      <c r="BL190" s="1" t="s">
        <v>5695</v>
      </c>
      <c r="BM190" s="1" t="s">
        <v>15030</v>
      </c>
      <c r="BN190" s="1" t="s">
        <v>15031</v>
      </c>
      <c r="BO190" s="1" t="s">
        <v>1507</v>
      </c>
      <c r="BP190" s="1" t="s">
        <v>1537</v>
      </c>
      <c r="BQ190" s="1" t="s">
        <v>1507</v>
      </c>
      <c r="BR190" s="1" t="s">
        <v>1507</v>
      </c>
      <c r="BS190" s="1" t="s">
        <v>13744</v>
      </c>
      <c r="BT190" s="1" t="s">
        <v>15032</v>
      </c>
      <c r="BU190" s="1" t="str">
        <f>HYPERLINK("https%3A%2F%2Fwww.webofscience.com%2Fwos%2Fwoscc%2Ffull-record%2FWOS:001175464100034","View Full Record in Web of Science")</f>
        <v>View Full Record in Web of Science</v>
      </c>
    </row>
    <row r="191" spans="1:73" x14ac:dyDescent="0.25">
      <c r="A191" s="1">
        <v>214</v>
      </c>
      <c r="B191" s="1" t="s">
        <v>1506</v>
      </c>
      <c r="C191" s="1" t="s">
        <v>10831</v>
      </c>
      <c r="D191" s="1" t="s">
        <v>1507</v>
      </c>
      <c r="E191" s="1" t="s">
        <v>1507</v>
      </c>
      <c r="F191" s="1" t="s">
        <v>1507</v>
      </c>
      <c r="G191" s="1" t="s">
        <v>10832</v>
      </c>
      <c r="H191" s="1" t="s">
        <v>1507</v>
      </c>
      <c r="I191" s="1" t="s">
        <v>1507</v>
      </c>
      <c r="J191" s="1" t="s">
        <v>10833</v>
      </c>
      <c r="K191" s="1" t="s">
        <v>10834</v>
      </c>
      <c r="L191" s="1" t="s">
        <v>1507</v>
      </c>
      <c r="M191" s="1" t="s">
        <v>1507</v>
      </c>
      <c r="N191" s="1" t="s">
        <v>42</v>
      </c>
      <c r="O191" s="1" t="s">
        <v>56</v>
      </c>
      <c r="P191" s="1" t="s">
        <v>1507</v>
      </c>
      <c r="Q191" s="1" t="s">
        <v>1507</v>
      </c>
      <c r="R191" s="1" t="s">
        <v>1507</v>
      </c>
      <c r="S191" s="1" t="s">
        <v>1507</v>
      </c>
      <c r="T191" s="1" t="s">
        <v>1507</v>
      </c>
      <c r="U191" s="1" t="s">
        <v>1507</v>
      </c>
      <c r="V191" s="1" t="s">
        <v>10835</v>
      </c>
      <c r="W191" s="1" t="s">
        <v>10836</v>
      </c>
      <c r="X191" s="1" t="s">
        <v>10837</v>
      </c>
      <c r="Y191" s="1" t="s">
        <v>10838</v>
      </c>
      <c r="Z191" s="1" t="s">
        <v>10839</v>
      </c>
      <c r="AA191" s="1" t="s">
        <v>10840</v>
      </c>
      <c r="AB191" s="1" t="s">
        <v>15920</v>
      </c>
      <c r="AC191" s="1" t="s">
        <v>15921</v>
      </c>
      <c r="AD191" s="1" t="s">
        <v>10841</v>
      </c>
      <c r="AE191" s="1" t="s">
        <v>10842</v>
      </c>
      <c r="AF191" s="1" t="s">
        <v>10843</v>
      </c>
      <c r="AG191" s="1" t="s">
        <v>1507</v>
      </c>
      <c r="AH191" s="1">
        <v>53</v>
      </c>
      <c r="AI191" s="1">
        <v>4</v>
      </c>
      <c r="AJ191" s="1">
        <v>5</v>
      </c>
      <c r="AK191" s="1">
        <v>0</v>
      </c>
      <c r="AL191" s="1">
        <v>6</v>
      </c>
      <c r="AM191" s="1" t="s">
        <v>1511</v>
      </c>
      <c r="AN191" s="1" t="s">
        <v>1512</v>
      </c>
      <c r="AO191" s="1" t="s">
        <v>8572</v>
      </c>
      <c r="AP191" s="1" t="s">
        <v>10844</v>
      </c>
      <c r="AQ191" s="1" t="s">
        <v>10845</v>
      </c>
      <c r="AR191" s="1" t="s">
        <v>1507</v>
      </c>
      <c r="AS191" s="1" t="s">
        <v>10846</v>
      </c>
      <c r="AT191" s="1" t="s">
        <v>10847</v>
      </c>
      <c r="AU191" s="1" t="s">
        <v>4556</v>
      </c>
      <c r="AV191" s="1">
        <v>2019</v>
      </c>
      <c r="AW191" s="1">
        <v>138</v>
      </c>
      <c r="AX191" s="1">
        <v>7</v>
      </c>
      <c r="AY191" s="1" t="s">
        <v>1507</v>
      </c>
      <c r="AZ191" s="1" t="s">
        <v>1507</v>
      </c>
      <c r="BA191" s="1" t="s">
        <v>1507</v>
      </c>
      <c r="BB191" s="1" t="s">
        <v>1507</v>
      </c>
      <c r="BC191" s="1">
        <v>739</v>
      </c>
      <c r="BD191" s="1">
        <v>748</v>
      </c>
      <c r="BE191" s="1" t="s">
        <v>1507</v>
      </c>
      <c r="BF191" s="1" t="s">
        <v>10848</v>
      </c>
      <c r="BG191" s="1" t="str">
        <f>HYPERLINK("http://dx.doi.org/10.1007/s00439-019-02024-6","http://dx.doi.org/10.1007/s00439-019-02024-6")</f>
        <v>http://dx.doi.org/10.1007/s00439-019-02024-6</v>
      </c>
      <c r="BH191" s="1" t="s">
        <v>1507</v>
      </c>
      <c r="BI191" s="1" t="s">
        <v>1507</v>
      </c>
      <c r="BJ191" s="1">
        <v>10</v>
      </c>
      <c r="BK191" s="1" t="s">
        <v>10544</v>
      </c>
      <c r="BL191" s="1" t="s">
        <v>1573</v>
      </c>
      <c r="BM191" s="1" t="s">
        <v>10544</v>
      </c>
      <c r="BN191" s="1" t="s">
        <v>10849</v>
      </c>
      <c r="BO191" s="1">
        <v>31154530</v>
      </c>
      <c r="BP191" s="1" t="s">
        <v>1507</v>
      </c>
      <c r="BQ191" s="1" t="s">
        <v>1507</v>
      </c>
      <c r="BR191" s="1" t="s">
        <v>1507</v>
      </c>
      <c r="BS191" s="1" t="s">
        <v>13744</v>
      </c>
      <c r="BT191" s="1" t="s">
        <v>10850</v>
      </c>
      <c r="BU191" s="1" t="str">
        <f>HYPERLINK("https%3A%2F%2Fwww.webofscience.com%2Fwos%2Fwoscc%2Ffull-record%2FWOS:000474370900005","View Full Record in Web of Science")</f>
        <v>View Full Record in Web of Science</v>
      </c>
    </row>
    <row r="192" spans="1:73" x14ac:dyDescent="0.25">
      <c r="A192" s="1">
        <v>215</v>
      </c>
      <c r="B192" s="1" t="s">
        <v>1506</v>
      </c>
      <c r="C192" s="1" t="s">
        <v>3530</v>
      </c>
      <c r="D192" s="1" t="s">
        <v>1507</v>
      </c>
      <c r="E192" s="1" t="s">
        <v>1507</v>
      </c>
      <c r="F192" s="1" t="s">
        <v>1507</v>
      </c>
      <c r="G192" s="1" t="s">
        <v>3531</v>
      </c>
      <c r="H192" s="1" t="s">
        <v>1507</v>
      </c>
      <c r="I192" s="1" t="s">
        <v>1507</v>
      </c>
      <c r="J192" s="1" t="s">
        <v>3532</v>
      </c>
      <c r="K192" s="1" t="s">
        <v>3533</v>
      </c>
      <c r="L192" s="1" t="s">
        <v>1507</v>
      </c>
      <c r="M192" s="1" t="s">
        <v>1507</v>
      </c>
      <c r="N192" s="1" t="s">
        <v>42</v>
      </c>
      <c r="O192" s="1" t="s">
        <v>56</v>
      </c>
      <c r="P192" s="1" t="s">
        <v>1507</v>
      </c>
      <c r="Q192" s="1" t="s">
        <v>1507</v>
      </c>
      <c r="R192" s="1" t="s">
        <v>1507</v>
      </c>
      <c r="S192" s="1" t="s">
        <v>1507</v>
      </c>
      <c r="T192" s="1" t="s">
        <v>1507</v>
      </c>
      <c r="U192" s="1" t="s">
        <v>3534</v>
      </c>
      <c r="V192" s="1" t="s">
        <v>3535</v>
      </c>
      <c r="W192" s="1" t="s">
        <v>3536</v>
      </c>
      <c r="X192" s="1" t="s">
        <v>3537</v>
      </c>
      <c r="Y192" s="1" t="s">
        <v>14389</v>
      </c>
      <c r="Z192" s="1" t="s">
        <v>3538</v>
      </c>
      <c r="AA192" s="1" t="s">
        <v>3539</v>
      </c>
      <c r="AB192" s="1" t="s">
        <v>3540</v>
      </c>
      <c r="AC192" s="1" t="s">
        <v>14390</v>
      </c>
      <c r="AD192" s="1" t="s">
        <v>3541</v>
      </c>
      <c r="AE192" s="1" t="s">
        <v>3542</v>
      </c>
      <c r="AF192" s="1" t="s">
        <v>3543</v>
      </c>
      <c r="AG192" s="1" t="s">
        <v>1507</v>
      </c>
      <c r="AH192" s="1">
        <v>31</v>
      </c>
      <c r="AI192" s="1">
        <v>4</v>
      </c>
      <c r="AJ192" s="1">
        <v>4</v>
      </c>
      <c r="AK192" s="1">
        <v>20</v>
      </c>
      <c r="AL192" s="1">
        <v>20</v>
      </c>
      <c r="AM192" s="1" t="s">
        <v>1610</v>
      </c>
      <c r="AN192" s="1" t="s">
        <v>1611</v>
      </c>
      <c r="AO192" s="1" t="s">
        <v>1612</v>
      </c>
      <c r="AP192" s="1" t="s">
        <v>1507</v>
      </c>
      <c r="AQ192" s="1" t="s">
        <v>3544</v>
      </c>
      <c r="AR192" s="1" t="s">
        <v>1507</v>
      </c>
      <c r="AS192" s="1" t="s">
        <v>3545</v>
      </c>
      <c r="AT192" s="1" t="s">
        <v>3546</v>
      </c>
      <c r="AU192" s="1" t="s">
        <v>2889</v>
      </c>
      <c r="AV192" s="1">
        <v>2023</v>
      </c>
      <c r="AW192" s="1">
        <v>13</v>
      </c>
      <c r="AX192" s="1">
        <v>10</v>
      </c>
      <c r="AY192" s="1" t="s">
        <v>1507</v>
      </c>
      <c r="AZ192" s="1" t="s">
        <v>1507</v>
      </c>
      <c r="BA192" s="1" t="s">
        <v>1507</v>
      </c>
      <c r="BB192" s="1" t="s">
        <v>1507</v>
      </c>
      <c r="BC192" s="1" t="s">
        <v>1507</v>
      </c>
      <c r="BD192" s="1" t="s">
        <v>1507</v>
      </c>
      <c r="BE192" s="1">
        <v>1502</v>
      </c>
      <c r="BF192" s="1" t="s">
        <v>3547</v>
      </c>
      <c r="BG192" s="1" t="str">
        <f>HYPERLINK("http://dx.doi.org/10.3390/jpm13101502","http://dx.doi.org/10.3390/jpm13101502")</f>
        <v>http://dx.doi.org/10.3390/jpm13101502</v>
      </c>
      <c r="BH192" s="1" t="s">
        <v>1507</v>
      </c>
      <c r="BI192" s="1" t="s">
        <v>1507</v>
      </c>
      <c r="BJ192" s="1">
        <v>15</v>
      </c>
      <c r="BK192" s="1" t="s">
        <v>3548</v>
      </c>
      <c r="BL192" s="1" t="s">
        <v>1573</v>
      </c>
      <c r="BM192" s="1" t="s">
        <v>3549</v>
      </c>
      <c r="BN192" s="1" t="s">
        <v>3550</v>
      </c>
      <c r="BO192" s="1">
        <v>37888113</v>
      </c>
      <c r="BP192" s="1" t="s">
        <v>1952</v>
      </c>
      <c r="BQ192" s="1" t="s">
        <v>1507</v>
      </c>
      <c r="BR192" s="1" t="s">
        <v>1507</v>
      </c>
      <c r="BS192" s="1" t="s">
        <v>13744</v>
      </c>
      <c r="BT192" s="1" t="s">
        <v>3551</v>
      </c>
      <c r="BU192" s="1" t="str">
        <f>HYPERLINK("https%3A%2F%2Fwww.webofscience.com%2Fwos%2Fwoscc%2Ffull-record%2FWOS:001090005600001","View Full Record in Web of Science")</f>
        <v>View Full Record in Web of Science</v>
      </c>
    </row>
    <row r="193" spans="1:73" x14ac:dyDescent="0.25">
      <c r="A193" s="1">
        <v>216</v>
      </c>
      <c r="B193" s="1" t="s">
        <v>1506</v>
      </c>
      <c r="C193" s="1" t="s">
        <v>7560</v>
      </c>
      <c r="D193" s="1" t="s">
        <v>1507</v>
      </c>
      <c r="E193" s="1" t="s">
        <v>1507</v>
      </c>
      <c r="F193" s="1" t="s">
        <v>1507</v>
      </c>
      <c r="G193" s="1" t="s">
        <v>7561</v>
      </c>
      <c r="H193" s="1" t="s">
        <v>1507</v>
      </c>
      <c r="I193" s="1" t="s">
        <v>1507</v>
      </c>
      <c r="J193" s="1" t="s">
        <v>7562</v>
      </c>
      <c r="K193" s="1" t="s">
        <v>7563</v>
      </c>
      <c r="L193" s="1" t="s">
        <v>1507</v>
      </c>
      <c r="M193" s="1" t="s">
        <v>1507</v>
      </c>
      <c r="N193" s="1" t="s">
        <v>42</v>
      </c>
      <c r="O193" s="1" t="s">
        <v>56</v>
      </c>
      <c r="P193" s="1" t="s">
        <v>1507</v>
      </c>
      <c r="Q193" s="1" t="s">
        <v>1507</v>
      </c>
      <c r="R193" s="1" t="s">
        <v>1507</v>
      </c>
      <c r="S193" s="1" t="s">
        <v>1507</v>
      </c>
      <c r="T193" s="1" t="s">
        <v>1507</v>
      </c>
      <c r="U193" s="1" t="s">
        <v>1507</v>
      </c>
      <c r="V193" s="1" t="s">
        <v>7564</v>
      </c>
      <c r="W193" s="1" t="s">
        <v>7565</v>
      </c>
      <c r="X193" s="1" t="s">
        <v>7566</v>
      </c>
      <c r="Y193" s="1" t="s">
        <v>7146</v>
      </c>
      <c r="Z193" s="1" t="s">
        <v>7567</v>
      </c>
      <c r="AA193" s="1" t="s">
        <v>7568</v>
      </c>
      <c r="AB193" s="1" t="s">
        <v>15659</v>
      </c>
      <c r="AC193" s="1" t="s">
        <v>15660</v>
      </c>
      <c r="AD193" s="1" t="s">
        <v>7569</v>
      </c>
      <c r="AE193" s="1" t="s">
        <v>7570</v>
      </c>
      <c r="AF193" s="1" t="s">
        <v>7571</v>
      </c>
      <c r="AG193" s="1" t="s">
        <v>1507</v>
      </c>
      <c r="AH193" s="1">
        <v>63</v>
      </c>
      <c r="AI193" s="1">
        <v>15</v>
      </c>
      <c r="AJ193" s="1">
        <v>15</v>
      </c>
      <c r="AK193" s="1">
        <v>2</v>
      </c>
      <c r="AL193" s="1">
        <v>9</v>
      </c>
      <c r="AM193" s="1" t="s">
        <v>1591</v>
      </c>
      <c r="AN193" s="1" t="s">
        <v>1592</v>
      </c>
      <c r="AO193" s="1" t="s">
        <v>1593</v>
      </c>
      <c r="AP193" s="1" t="s">
        <v>1507</v>
      </c>
      <c r="AQ193" s="1" t="s">
        <v>7572</v>
      </c>
      <c r="AR193" s="1" t="s">
        <v>1507</v>
      </c>
      <c r="AS193" s="1" t="s">
        <v>7573</v>
      </c>
      <c r="AT193" s="1" t="s">
        <v>7574</v>
      </c>
      <c r="AU193" s="1" t="s">
        <v>7575</v>
      </c>
      <c r="AV193" s="1">
        <v>2022</v>
      </c>
      <c r="AW193" s="1">
        <v>13</v>
      </c>
      <c r="AX193" s="1">
        <v>1</v>
      </c>
      <c r="AY193" s="1" t="s">
        <v>1507</v>
      </c>
      <c r="AZ193" s="1" t="s">
        <v>1507</v>
      </c>
      <c r="BA193" s="1" t="s">
        <v>1507</v>
      </c>
      <c r="BB193" s="1" t="s">
        <v>1507</v>
      </c>
      <c r="BC193" s="1" t="s">
        <v>1507</v>
      </c>
      <c r="BD193" s="1" t="s">
        <v>1507</v>
      </c>
      <c r="BE193" s="1">
        <v>736</v>
      </c>
      <c r="BF193" s="1" t="s">
        <v>7576</v>
      </c>
      <c r="BG193" s="1" t="str">
        <f>HYPERLINK("http://dx.doi.org/10.1038/s41467-022-28420-7","http://dx.doi.org/10.1038/s41467-022-28420-7")</f>
        <v>http://dx.doi.org/10.1038/s41467-022-28420-7</v>
      </c>
      <c r="BH193" s="1" t="s">
        <v>1507</v>
      </c>
      <c r="BI193" s="1" t="s">
        <v>1507</v>
      </c>
      <c r="BJ193" s="1">
        <v>10</v>
      </c>
      <c r="BK193" s="1" t="s">
        <v>1776</v>
      </c>
      <c r="BL193" s="1" t="s">
        <v>1573</v>
      </c>
      <c r="BM193" s="1" t="s">
        <v>1777</v>
      </c>
      <c r="BN193" s="1" t="s">
        <v>7577</v>
      </c>
      <c r="BO193" s="1">
        <v>35136039</v>
      </c>
      <c r="BP193" s="1" t="s">
        <v>1674</v>
      </c>
      <c r="BQ193" s="1" t="s">
        <v>1507</v>
      </c>
      <c r="BR193" s="1" t="s">
        <v>1507</v>
      </c>
      <c r="BS193" s="1" t="s">
        <v>13744</v>
      </c>
      <c r="BT193" s="1" t="s">
        <v>7578</v>
      </c>
      <c r="BU193" s="1" t="str">
        <f>HYPERLINK("https%3A%2F%2Fwww.webofscience.com%2Fwos%2Fwoscc%2Ffull-record%2FWOS:000757297200002","View Full Record in Web of Science")</f>
        <v>View Full Record in Web of Science</v>
      </c>
    </row>
    <row r="194" spans="1:73" x14ac:dyDescent="0.25">
      <c r="A194" s="1">
        <v>217</v>
      </c>
      <c r="B194" s="1" t="s">
        <v>1506</v>
      </c>
      <c r="C194" s="1" t="s">
        <v>3995</v>
      </c>
      <c r="D194" s="1" t="s">
        <v>1507</v>
      </c>
      <c r="E194" s="1" t="s">
        <v>1507</v>
      </c>
      <c r="F194" s="1" t="s">
        <v>1507</v>
      </c>
      <c r="G194" s="1" t="s">
        <v>3996</v>
      </c>
      <c r="H194" s="1" t="s">
        <v>1507</v>
      </c>
      <c r="I194" s="1" t="s">
        <v>1507</v>
      </c>
      <c r="J194" s="1" t="s">
        <v>3997</v>
      </c>
      <c r="K194" s="1" t="s">
        <v>3998</v>
      </c>
      <c r="L194" s="1" t="s">
        <v>1507</v>
      </c>
      <c r="M194" s="1" t="s">
        <v>1507</v>
      </c>
      <c r="N194" s="1" t="s">
        <v>42</v>
      </c>
      <c r="O194" s="1" t="s">
        <v>56</v>
      </c>
      <c r="P194" s="1" t="s">
        <v>1507</v>
      </c>
      <c r="Q194" s="1" t="s">
        <v>1507</v>
      </c>
      <c r="R194" s="1" t="s">
        <v>1507</v>
      </c>
      <c r="S194" s="1" t="s">
        <v>1507</v>
      </c>
      <c r="T194" s="1" t="s">
        <v>1507</v>
      </c>
      <c r="U194" s="1" t="s">
        <v>3999</v>
      </c>
      <c r="V194" s="1" t="s">
        <v>1507</v>
      </c>
      <c r="W194" s="1" t="s">
        <v>4000</v>
      </c>
      <c r="X194" s="1" t="s">
        <v>4001</v>
      </c>
      <c r="Y194" s="1" t="s">
        <v>4002</v>
      </c>
      <c r="Z194" s="1" t="s">
        <v>4003</v>
      </c>
      <c r="AA194" s="1" t="s">
        <v>4004</v>
      </c>
      <c r="AB194" s="1" t="s">
        <v>14542</v>
      </c>
      <c r="AC194" s="1" t="s">
        <v>14543</v>
      </c>
      <c r="AD194" s="1" t="s">
        <v>4005</v>
      </c>
      <c r="AE194" s="1" t="s">
        <v>4006</v>
      </c>
      <c r="AF194" s="1" t="s">
        <v>4007</v>
      </c>
      <c r="AG194" s="1" t="s">
        <v>1507</v>
      </c>
      <c r="AH194" s="1">
        <v>33</v>
      </c>
      <c r="AI194" s="1">
        <v>4</v>
      </c>
      <c r="AJ194" s="1">
        <v>4</v>
      </c>
      <c r="AK194" s="1">
        <v>59</v>
      </c>
      <c r="AL194" s="1">
        <v>59</v>
      </c>
      <c r="AM194" s="1" t="s">
        <v>4008</v>
      </c>
      <c r="AN194" s="1" t="s">
        <v>4009</v>
      </c>
      <c r="AO194" s="1" t="s">
        <v>4010</v>
      </c>
      <c r="AP194" s="1" t="s">
        <v>4011</v>
      </c>
      <c r="AQ194" s="1" t="s">
        <v>1507</v>
      </c>
      <c r="AR194" s="1" t="s">
        <v>1507</v>
      </c>
      <c r="AS194" s="1" t="s">
        <v>4012</v>
      </c>
      <c r="AT194" s="1" t="s">
        <v>4013</v>
      </c>
      <c r="AU194" s="1" t="s">
        <v>3992</v>
      </c>
      <c r="AV194" s="1">
        <v>2023</v>
      </c>
      <c r="AW194" s="1">
        <v>17</v>
      </c>
      <c r="AX194" s="1">
        <v>9</v>
      </c>
      <c r="AY194" s="1" t="s">
        <v>1507</v>
      </c>
      <c r="AZ194" s="1" t="s">
        <v>1507</v>
      </c>
      <c r="BA194" s="1" t="s">
        <v>1507</v>
      </c>
      <c r="BB194" s="1" t="s">
        <v>1507</v>
      </c>
      <c r="BC194" s="1">
        <v>1292</v>
      </c>
      <c r="BD194" s="1">
        <v>1299</v>
      </c>
      <c r="BE194" s="1" t="s">
        <v>1507</v>
      </c>
      <c r="BF194" s="1" t="s">
        <v>4014</v>
      </c>
      <c r="BG194" s="1" t="str">
        <f>HYPERLINK("http://dx.doi.org/10.3855/jidc.18738","http://dx.doi.org/10.3855/jidc.18738")</f>
        <v>http://dx.doi.org/10.3855/jidc.18738</v>
      </c>
      <c r="BH194" s="1" t="s">
        <v>1507</v>
      </c>
      <c r="BI194" s="1" t="s">
        <v>1507</v>
      </c>
      <c r="BJ194" s="1">
        <v>8</v>
      </c>
      <c r="BK194" s="1" t="s">
        <v>4015</v>
      </c>
      <c r="BL194" s="1" t="s">
        <v>1573</v>
      </c>
      <c r="BM194" s="1" t="s">
        <v>4015</v>
      </c>
      <c r="BN194" s="1" t="s">
        <v>4016</v>
      </c>
      <c r="BO194" s="1">
        <v>37824352</v>
      </c>
      <c r="BP194" s="1" t="s">
        <v>1531</v>
      </c>
      <c r="BQ194" s="1" t="s">
        <v>1507</v>
      </c>
      <c r="BR194" s="1" t="s">
        <v>1507</v>
      </c>
      <c r="BS194" s="1" t="s">
        <v>13744</v>
      </c>
      <c r="BT194" s="1" t="s">
        <v>4017</v>
      </c>
      <c r="BU194" s="1" t="str">
        <f>HYPERLINK("https%3A%2F%2Fwww.webofscience.com%2Fwos%2Fwoscc%2Ffull-record%2FWOS:001108706100020","View Full Record in Web of Science")</f>
        <v>View Full Record in Web of Science</v>
      </c>
    </row>
    <row r="195" spans="1:73" x14ac:dyDescent="0.25">
      <c r="A195" s="1">
        <v>218</v>
      </c>
      <c r="B195" s="1" t="s">
        <v>1506</v>
      </c>
      <c r="C195" s="1" t="s">
        <v>2520</v>
      </c>
      <c r="D195" s="1" t="s">
        <v>1507</v>
      </c>
      <c r="E195" s="1" t="s">
        <v>1507</v>
      </c>
      <c r="F195" s="1" t="s">
        <v>1507</v>
      </c>
      <c r="G195" s="1" t="s">
        <v>2521</v>
      </c>
      <c r="H195" s="1" t="s">
        <v>1507</v>
      </c>
      <c r="I195" s="1" t="s">
        <v>1507</v>
      </c>
      <c r="J195" s="1" t="s">
        <v>2522</v>
      </c>
      <c r="K195" s="1" t="s">
        <v>2523</v>
      </c>
      <c r="L195" s="1" t="s">
        <v>1507</v>
      </c>
      <c r="M195" s="1" t="s">
        <v>1507</v>
      </c>
      <c r="N195" s="1" t="s">
        <v>42</v>
      </c>
      <c r="O195" s="1" t="s">
        <v>56</v>
      </c>
      <c r="P195" s="1" t="s">
        <v>1507</v>
      </c>
      <c r="Q195" s="1" t="s">
        <v>1507</v>
      </c>
      <c r="R195" s="1" t="s">
        <v>1507</v>
      </c>
      <c r="S195" s="1" t="s">
        <v>1507</v>
      </c>
      <c r="T195" s="1" t="s">
        <v>1507</v>
      </c>
      <c r="U195" s="1" t="s">
        <v>1507</v>
      </c>
      <c r="V195" s="1" t="s">
        <v>2524</v>
      </c>
      <c r="W195" s="1" t="s">
        <v>2525</v>
      </c>
      <c r="X195" s="1" t="s">
        <v>2526</v>
      </c>
      <c r="Y195" s="1" t="s">
        <v>2527</v>
      </c>
      <c r="Z195" s="1" t="s">
        <v>2528</v>
      </c>
      <c r="AA195" s="1" t="s">
        <v>2368</v>
      </c>
      <c r="AB195" s="1" t="s">
        <v>13943</v>
      </c>
      <c r="AC195" s="1" t="s">
        <v>2369</v>
      </c>
      <c r="AD195" s="1" t="s">
        <v>2529</v>
      </c>
      <c r="AE195" s="1" t="s">
        <v>2529</v>
      </c>
      <c r="AF195" s="1" t="s">
        <v>2530</v>
      </c>
      <c r="AG195" s="1" t="s">
        <v>1507</v>
      </c>
      <c r="AH195" s="1">
        <v>51</v>
      </c>
      <c r="AI195" s="1">
        <v>3</v>
      </c>
      <c r="AJ195" s="1">
        <v>3</v>
      </c>
      <c r="AK195" s="1">
        <v>3</v>
      </c>
      <c r="AL195" s="1">
        <v>3</v>
      </c>
      <c r="AM195" s="1" t="s">
        <v>2372</v>
      </c>
      <c r="AN195" s="1" t="s">
        <v>2300</v>
      </c>
      <c r="AO195" s="1" t="s">
        <v>2373</v>
      </c>
      <c r="AP195" s="1" t="s">
        <v>2531</v>
      </c>
      <c r="AQ195" s="1" t="s">
        <v>1507</v>
      </c>
      <c r="AR195" s="1" t="s">
        <v>1507</v>
      </c>
      <c r="AS195" s="1" t="s">
        <v>2532</v>
      </c>
      <c r="AT195" s="1" t="s">
        <v>2533</v>
      </c>
      <c r="AU195" s="1" t="s">
        <v>2514</v>
      </c>
      <c r="AV195" s="1">
        <v>2023</v>
      </c>
      <c r="AW195" s="1">
        <v>14</v>
      </c>
      <c r="AX195" s="1">
        <v>46</v>
      </c>
      <c r="AY195" s="1" t="s">
        <v>1507</v>
      </c>
      <c r="AZ195" s="1" t="s">
        <v>1507</v>
      </c>
      <c r="BA195" s="1" t="s">
        <v>1507</v>
      </c>
      <c r="BB195" s="1" t="s">
        <v>1507</v>
      </c>
      <c r="BC195" s="1">
        <v>10427</v>
      </c>
      <c r="BD195" s="1">
        <v>10434</v>
      </c>
      <c r="BE195" s="1" t="s">
        <v>1507</v>
      </c>
      <c r="BF195" s="1" t="s">
        <v>2534</v>
      </c>
      <c r="BG195" s="1" t="str">
        <f>HYPERLINK("http://dx.doi.org/10.1021/acs.jpclett.3c02398","http://dx.doi.org/10.1021/acs.jpclett.3c02398")</f>
        <v>http://dx.doi.org/10.1021/acs.jpclett.3c02398</v>
      </c>
      <c r="BH195" s="1" t="s">
        <v>1507</v>
      </c>
      <c r="BI195" s="1" t="s">
        <v>1507</v>
      </c>
      <c r="BJ195" s="1">
        <v>8</v>
      </c>
      <c r="BK195" s="1" t="s">
        <v>2535</v>
      </c>
      <c r="BL195" s="1" t="s">
        <v>1573</v>
      </c>
      <c r="BM195" s="1" t="s">
        <v>2536</v>
      </c>
      <c r="BN195" s="1" t="s">
        <v>2537</v>
      </c>
      <c r="BO195" s="1">
        <v>37956397</v>
      </c>
      <c r="BP195" s="1" t="s">
        <v>12093</v>
      </c>
      <c r="BQ195" s="1" t="s">
        <v>1507</v>
      </c>
      <c r="BR195" s="1" t="s">
        <v>1507</v>
      </c>
      <c r="BS195" s="1" t="s">
        <v>13744</v>
      </c>
      <c r="BT195" s="1" t="s">
        <v>2538</v>
      </c>
      <c r="BU195" s="1" t="str">
        <f>HYPERLINK("https%3A%2F%2Fwww.webofscience.com%2Fwos%2Fwoscc%2Ffull-record%2FWOS:001141601000001","View Full Record in Web of Science")</f>
        <v>View Full Record in Web of Science</v>
      </c>
    </row>
    <row r="196" spans="1:73" x14ac:dyDescent="0.25">
      <c r="A196" s="1">
        <v>219</v>
      </c>
      <c r="B196" s="1" t="s">
        <v>5546</v>
      </c>
      <c r="C196" s="1" t="s">
        <v>5902</v>
      </c>
      <c r="D196" s="1" t="s">
        <v>1507</v>
      </c>
      <c r="E196" s="1" t="s">
        <v>1507</v>
      </c>
      <c r="F196" s="1" t="s">
        <v>5628</v>
      </c>
      <c r="G196" s="1" t="s">
        <v>5903</v>
      </c>
      <c r="H196" s="1" t="s">
        <v>1507</v>
      </c>
      <c r="I196" s="1" t="s">
        <v>1507</v>
      </c>
      <c r="J196" s="1" t="s">
        <v>5904</v>
      </c>
      <c r="K196" s="1" t="s">
        <v>5905</v>
      </c>
      <c r="L196" s="1" t="s">
        <v>5906</v>
      </c>
      <c r="M196" s="1" t="s">
        <v>1507</v>
      </c>
      <c r="N196" s="1" t="s">
        <v>42</v>
      </c>
      <c r="O196" s="1" t="s">
        <v>5552</v>
      </c>
      <c r="P196" s="1" t="s">
        <v>5907</v>
      </c>
      <c r="Q196" s="1" t="s">
        <v>5908</v>
      </c>
      <c r="R196" s="1" t="s">
        <v>5909</v>
      </c>
      <c r="S196" s="1" t="s">
        <v>5910</v>
      </c>
      <c r="T196" s="1" t="s">
        <v>1507</v>
      </c>
      <c r="U196" s="1" t="s">
        <v>1507</v>
      </c>
      <c r="V196" s="1" t="s">
        <v>1507</v>
      </c>
      <c r="W196" s="1" t="s">
        <v>5911</v>
      </c>
      <c r="X196" s="1" t="s">
        <v>5912</v>
      </c>
      <c r="Y196" s="1" t="s">
        <v>5913</v>
      </c>
      <c r="Z196" s="1" t="s">
        <v>5914</v>
      </c>
      <c r="AA196" s="1" t="s">
        <v>5915</v>
      </c>
      <c r="AB196" s="1" t="s">
        <v>15033</v>
      </c>
      <c r="AC196" s="1" t="s">
        <v>15034</v>
      </c>
      <c r="AD196" s="1" t="s">
        <v>5916</v>
      </c>
      <c r="AE196" s="1" t="s">
        <v>5917</v>
      </c>
      <c r="AF196" s="1" t="s">
        <v>5918</v>
      </c>
      <c r="AG196" s="1" t="s">
        <v>1507</v>
      </c>
      <c r="AH196" s="1">
        <v>67</v>
      </c>
      <c r="AI196" s="1">
        <v>6</v>
      </c>
      <c r="AJ196" s="1">
        <v>6</v>
      </c>
      <c r="AK196" s="1">
        <v>12</v>
      </c>
      <c r="AL196" s="1">
        <v>12</v>
      </c>
      <c r="AM196" s="1" t="s">
        <v>5645</v>
      </c>
      <c r="AN196" s="1" t="s">
        <v>5646</v>
      </c>
      <c r="AO196" s="1" t="s">
        <v>5647</v>
      </c>
      <c r="AP196" s="1" t="s">
        <v>5919</v>
      </c>
      <c r="AQ196" s="1" t="s">
        <v>1507</v>
      </c>
      <c r="AR196" s="1" t="s">
        <v>5920</v>
      </c>
      <c r="AS196" s="1" t="s">
        <v>5921</v>
      </c>
      <c r="AT196" s="1" t="s">
        <v>1507</v>
      </c>
      <c r="AU196" s="1" t="s">
        <v>1507</v>
      </c>
      <c r="AV196" s="1">
        <v>2023</v>
      </c>
      <c r="AW196" s="1" t="s">
        <v>1507</v>
      </c>
      <c r="AX196" s="1" t="s">
        <v>1507</v>
      </c>
      <c r="AY196" s="1" t="s">
        <v>1507</v>
      </c>
      <c r="AZ196" s="1" t="s">
        <v>1507</v>
      </c>
      <c r="BA196" s="1" t="s">
        <v>1507</v>
      </c>
      <c r="BB196" s="1" t="s">
        <v>1507</v>
      </c>
      <c r="BC196" s="1">
        <v>10867</v>
      </c>
      <c r="BD196" s="1">
        <v>10877</v>
      </c>
      <c r="BE196" s="1" t="s">
        <v>1507</v>
      </c>
      <c r="BF196" s="1" t="s">
        <v>5922</v>
      </c>
      <c r="BG196" s="1" t="str">
        <f>HYPERLINK("http://dx.doi.org/10.1109/CVPR52729.2023.01046","http://dx.doi.org/10.1109/CVPR52729.2023.01046")</f>
        <v>http://dx.doi.org/10.1109/CVPR52729.2023.01046</v>
      </c>
      <c r="BH196" s="1" t="s">
        <v>1507</v>
      </c>
      <c r="BI196" s="1" t="s">
        <v>1507</v>
      </c>
      <c r="BJ196" s="1">
        <v>11</v>
      </c>
      <c r="BK196" s="1" t="s">
        <v>2994</v>
      </c>
      <c r="BL196" s="1" t="s">
        <v>5570</v>
      </c>
      <c r="BM196" s="1" t="s">
        <v>1577</v>
      </c>
      <c r="BN196" s="1" t="s">
        <v>5923</v>
      </c>
      <c r="BO196" s="1" t="s">
        <v>1507</v>
      </c>
      <c r="BP196" s="1" t="s">
        <v>1507</v>
      </c>
      <c r="BQ196" s="1" t="s">
        <v>1507</v>
      </c>
      <c r="BR196" s="1" t="s">
        <v>1507</v>
      </c>
      <c r="BS196" s="1" t="s">
        <v>13744</v>
      </c>
      <c r="BT196" s="1" t="s">
        <v>5924</v>
      </c>
      <c r="BU196" s="1" t="str">
        <f>HYPERLINK("https%3A%2F%2Fwww.webofscience.com%2Fwos%2Fwoscc%2Ffull-record%2FWOS:001062522103017","View Full Record in Web of Science")</f>
        <v>View Full Record in Web of Science</v>
      </c>
    </row>
    <row r="197" spans="1:73" x14ac:dyDescent="0.25">
      <c r="A197" s="1">
        <v>220</v>
      </c>
      <c r="B197" s="1" t="s">
        <v>1506</v>
      </c>
      <c r="C197" s="1" t="s">
        <v>2457</v>
      </c>
      <c r="D197" s="1" t="s">
        <v>1507</v>
      </c>
      <c r="E197" s="1" t="s">
        <v>1507</v>
      </c>
      <c r="F197" s="1" t="s">
        <v>1507</v>
      </c>
      <c r="G197" s="1" t="s">
        <v>2458</v>
      </c>
      <c r="H197" s="1" t="s">
        <v>1507</v>
      </c>
      <c r="I197" s="1" t="s">
        <v>1507</v>
      </c>
      <c r="J197" s="1" t="s">
        <v>293</v>
      </c>
      <c r="K197" s="1" t="s">
        <v>2459</v>
      </c>
      <c r="L197" s="1" t="s">
        <v>1507</v>
      </c>
      <c r="M197" s="1" t="s">
        <v>1507</v>
      </c>
      <c r="N197" s="1" t="s">
        <v>42</v>
      </c>
      <c r="O197" s="1" t="s">
        <v>56</v>
      </c>
      <c r="P197" s="1" t="s">
        <v>1507</v>
      </c>
      <c r="Q197" s="1" t="s">
        <v>1507</v>
      </c>
      <c r="R197" s="1" t="s">
        <v>1507</v>
      </c>
      <c r="S197" s="1" t="s">
        <v>1507</v>
      </c>
      <c r="T197" s="1" t="s">
        <v>1507</v>
      </c>
      <c r="U197" s="1" t="s">
        <v>2460</v>
      </c>
      <c r="V197" s="1" t="s">
        <v>2461</v>
      </c>
      <c r="W197" s="1" t="s">
        <v>2462</v>
      </c>
      <c r="X197" s="1" t="s">
        <v>2463</v>
      </c>
      <c r="Y197" s="1" t="s">
        <v>2464</v>
      </c>
      <c r="Z197" s="1" t="s">
        <v>2465</v>
      </c>
      <c r="AA197" s="1" t="s">
        <v>2466</v>
      </c>
      <c r="AB197" s="1" t="s">
        <v>1507</v>
      </c>
      <c r="AC197" s="1" t="s">
        <v>2467</v>
      </c>
      <c r="AD197" s="1" t="s">
        <v>1507</v>
      </c>
      <c r="AE197" s="1" t="s">
        <v>1507</v>
      </c>
      <c r="AF197" s="1" t="s">
        <v>1507</v>
      </c>
      <c r="AG197" s="1" t="s">
        <v>1507</v>
      </c>
      <c r="AH197" s="1">
        <v>41</v>
      </c>
      <c r="AI197" s="1">
        <v>3</v>
      </c>
      <c r="AJ197" s="1">
        <v>3</v>
      </c>
      <c r="AK197" s="1">
        <v>70</v>
      </c>
      <c r="AL197" s="1">
        <v>70</v>
      </c>
      <c r="AM197" s="1" t="s">
        <v>2372</v>
      </c>
      <c r="AN197" s="1" t="s">
        <v>2300</v>
      </c>
      <c r="AO197" s="1" t="s">
        <v>2373</v>
      </c>
      <c r="AP197" s="1" t="s">
        <v>2468</v>
      </c>
      <c r="AQ197" s="1" t="s">
        <v>2469</v>
      </c>
      <c r="AR197" s="1" t="s">
        <v>1507</v>
      </c>
      <c r="AS197" s="1" t="s">
        <v>2470</v>
      </c>
      <c r="AT197" s="1" t="s">
        <v>2471</v>
      </c>
      <c r="AU197" s="1" t="s">
        <v>2472</v>
      </c>
      <c r="AV197" s="1">
        <v>2023</v>
      </c>
      <c r="AW197" s="1">
        <v>100</v>
      </c>
      <c r="AX197" s="1">
        <v>12</v>
      </c>
      <c r="AY197" s="1" t="s">
        <v>1507</v>
      </c>
      <c r="AZ197" s="1" t="s">
        <v>1507</v>
      </c>
      <c r="BA197" s="1" t="s">
        <v>1507</v>
      </c>
      <c r="BB197" s="1" t="s">
        <v>1507</v>
      </c>
      <c r="BC197" s="1">
        <v>4876</v>
      </c>
      <c r="BD197" s="1">
        <v>4883</v>
      </c>
      <c r="BE197" s="1" t="s">
        <v>1507</v>
      </c>
      <c r="BF197" s="1" t="s">
        <v>295</v>
      </c>
      <c r="BG197" s="1" t="str">
        <f>HYPERLINK("http://dx.doi.org/10.1021/acs.jchemed.3c00505","http://dx.doi.org/10.1021/acs.jchemed.3c00505")</f>
        <v>http://dx.doi.org/10.1021/acs.jchemed.3c00505</v>
      </c>
      <c r="BH197" s="1" t="s">
        <v>1507</v>
      </c>
      <c r="BI197" s="1" t="s">
        <v>1507</v>
      </c>
      <c r="BJ197" s="1">
        <v>8</v>
      </c>
      <c r="BK197" s="1" t="s">
        <v>2473</v>
      </c>
      <c r="BL197" s="1" t="s">
        <v>1573</v>
      </c>
      <c r="BM197" s="1" t="s">
        <v>2474</v>
      </c>
      <c r="BN197" s="1" t="s">
        <v>2475</v>
      </c>
      <c r="BO197" s="1" t="s">
        <v>1507</v>
      </c>
      <c r="BP197" s="1" t="s">
        <v>1537</v>
      </c>
      <c r="BQ197" s="1" t="s">
        <v>1507</v>
      </c>
      <c r="BR197" s="1" t="s">
        <v>1507</v>
      </c>
      <c r="BS197" s="1" t="s">
        <v>13744</v>
      </c>
      <c r="BT197" s="1" t="s">
        <v>2476</v>
      </c>
      <c r="BU197" s="1" t="str">
        <f>HYPERLINK("https%3A%2F%2Fwww.webofscience.com%2Fwos%2Fwoscc%2Ffull-record%2FWOS:001125210200001","View Full Record in Web of Science")</f>
        <v>View Full Record in Web of Science</v>
      </c>
    </row>
    <row r="198" spans="1:73" x14ac:dyDescent="0.25">
      <c r="A198" s="1">
        <v>221</v>
      </c>
      <c r="B198" s="1" t="s">
        <v>1506</v>
      </c>
      <c r="C198" s="1" t="s">
        <v>9637</v>
      </c>
      <c r="D198" s="1" t="s">
        <v>1507</v>
      </c>
      <c r="E198" s="1" t="s">
        <v>1507</v>
      </c>
      <c r="F198" s="1" t="s">
        <v>1507</v>
      </c>
      <c r="G198" s="1" t="s">
        <v>9638</v>
      </c>
      <c r="H198" s="1" t="s">
        <v>1507</v>
      </c>
      <c r="I198" s="1" t="s">
        <v>1507</v>
      </c>
      <c r="J198" s="1" t="s">
        <v>9639</v>
      </c>
      <c r="K198" s="1" t="s">
        <v>9640</v>
      </c>
      <c r="L198" s="1" t="s">
        <v>1507</v>
      </c>
      <c r="M198" s="1" t="s">
        <v>1507</v>
      </c>
      <c r="N198" s="1" t="s">
        <v>42</v>
      </c>
      <c r="O198" s="1" t="s">
        <v>56</v>
      </c>
      <c r="P198" s="1" t="s">
        <v>1507</v>
      </c>
      <c r="Q198" s="1" t="s">
        <v>1507</v>
      </c>
      <c r="R198" s="1" t="s">
        <v>1507</v>
      </c>
      <c r="S198" s="1" t="s">
        <v>1507</v>
      </c>
      <c r="T198" s="1" t="s">
        <v>1507</v>
      </c>
      <c r="U198" s="1" t="s">
        <v>1507</v>
      </c>
      <c r="V198" s="1" t="s">
        <v>1507</v>
      </c>
      <c r="W198" s="1" t="s">
        <v>9641</v>
      </c>
      <c r="X198" s="1" t="s">
        <v>9642</v>
      </c>
      <c r="Y198" s="1" t="s">
        <v>15798</v>
      </c>
      <c r="Z198" s="1" t="s">
        <v>9643</v>
      </c>
      <c r="AA198" s="1" t="s">
        <v>9644</v>
      </c>
      <c r="AB198" s="1" t="s">
        <v>15799</v>
      </c>
      <c r="AC198" s="1" t="s">
        <v>15800</v>
      </c>
      <c r="AD198" s="1" t="s">
        <v>9645</v>
      </c>
      <c r="AE198" s="1" t="s">
        <v>9646</v>
      </c>
      <c r="AF198" s="1" t="s">
        <v>9647</v>
      </c>
      <c r="AG198" s="1" t="s">
        <v>1507</v>
      </c>
      <c r="AH198" s="1">
        <v>28</v>
      </c>
      <c r="AI198" s="1">
        <v>161</v>
      </c>
      <c r="AJ198" s="1">
        <v>174</v>
      </c>
      <c r="AK198" s="1">
        <v>0</v>
      </c>
      <c r="AL198" s="1">
        <v>15</v>
      </c>
      <c r="AM198" s="1" t="s">
        <v>1591</v>
      </c>
      <c r="AN198" s="1" t="s">
        <v>1592</v>
      </c>
      <c r="AO198" s="1" t="s">
        <v>1593</v>
      </c>
      <c r="AP198" s="1" t="s">
        <v>9648</v>
      </c>
      <c r="AQ198" s="1" t="s">
        <v>9649</v>
      </c>
      <c r="AR198" s="1" t="s">
        <v>1507</v>
      </c>
      <c r="AS198" s="1" t="s">
        <v>9650</v>
      </c>
      <c r="AT198" s="1" t="s">
        <v>9651</v>
      </c>
      <c r="AU198" s="1" t="s">
        <v>2889</v>
      </c>
      <c r="AV198" s="1">
        <v>2020</v>
      </c>
      <c r="AW198" s="1">
        <v>21</v>
      </c>
      <c r="AX198" s="1">
        <v>10</v>
      </c>
      <c r="AY198" s="1" t="s">
        <v>1507</v>
      </c>
      <c r="AZ198" s="1" t="s">
        <v>1507</v>
      </c>
      <c r="BA198" s="1" t="s">
        <v>1507</v>
      </c>
      <c r="BB198" s="1" t="s">
        <v>1507</v>
      </c>
      <c r="BC198" s="1">
        <v>1293</v>
      </c>
      <c r="BD198" s="1" t="s">
        <v>1774</v>
      </c>
      <c r="BE198" s="1" t="s">
        <v>1507</v>
      </c>
      <c r="BF198" s="1" t="s">
        <v>9652</v>
      </c>
      <c r="BG198" s="1" t="str">
        <f>HYPERLINK("http://dx.doi.org/10.1038/s41590-020-0773-7","http://dx.doi.org/10.1038/s41590-020-0773-7")</f>
        <v>http://dx.doi.org/10.1038/s41590-020-0773-7</v>
      </c>
      <c r="BH198" s="1" t="s">
        <v>1507</v>
      </c>
      <c r="BI198" s="1" t="s">
        <v>9633</v>
      </c>
      <c r="BJ198" s="1">
        <v>18</v>
      </c>
      <c r="BK198" s="1" t="s">
        <v>9653</v>
      </c>
      <c r="BL198" s="1" t="s">
        <v>1573</v>
      </c>
      <c r="BM198" s="1" t="s">
        <v>9653</v>
      </c>
      <c r="BN198" s="1" t="s">
        <v>9654</v>
      </c>
      <c r="BO198" s="1">
        <v>32807944</v>
      </c>
      <c r="BP198" s="1" t="s">
        <v>7609</v>
      </c>
      <c r="BQ198" s="1" t="s">
        <v>1507</v>
      </c>
      <c r="BR198" s="1" t="s">
        <v>1507</v>
      </c>
      <c r="BS198" s="1" t="s">
        <v>13744</v>
      </c>
      <c r="BT198" s="1" t="s">
        <v>9655</v>
      </c>
      <c r="BU198" s="1" t="str">
        <f>HYPERLINK("https%3A%2F%2Fwww.webofscience.com%2Fwos%2Fwoscc%2Ffull-record%2FWOS:000561014100001","View Full Record in Web of Science")</f>
        <v>View Full Record in Web of Science</v>
      </c>
    </row>
    <row r="199" spans="1:73" x14ac:dyDescent="0.25">
      <c r="A199" s="1">
        <v>222</v>
      </c>
      <c r="B199" s="1" t="s">
        <v>1506</v>
      </c>
      <c r="C199" s="1" t="s">
        <v>2142</v>
      </c>
      <c r="D199" s="1" t="s">
        <v>1507</v>
      </c>
      <c r="E199" s="1" t="s">
        <v>1507</v>
      </c>
      <c r="F199" s="1" t="s">
        <v>1507</v>
      </c>
      <c r="G199" s="1" t="s">
        <v>2143</v>
      </c>
      <c r="H199" s="1" t="s">
        <v>1507</v>
      </c>
      <c r="I199" s="1" t="s">
        <v>1507</v>
      </c>
      <c r="J199" s="1" t="s">
        <v>531</v>
      </c>
      <c r="K199" s="1" t="s">
        <v>1562</v>
      </c>
      <c r="L199" s="1" t="s">
        <v>1507</v>
      </c>
      <c r="M199" s="1" t="s">
        <v>1507</v>
      </c>
      <c r="N199" s="1" t="s">
        <v>42</v>
      </c>
      <c r="O199" s="1" t="s">
        <v>56</v>
      </c>
      <c r="P199" s="1" t="s">
        <v>1507</v>
      </c>
      <c r="Q199" s="1" t="s">
        <v>1507</v>
      </c>
      <c r="R199" s="1" t="s">
        <v>1507</v>
      </c>
      <c r="S199" s="1" t="s">
        <v>1507</v>
      </c>
      <c r="T199" s="1" t="s">
        <v>1507</v>
      </c>
      <c r="U199" s="1" t="s">
        <v>2144</v>
      </c>
      <c r="V199" s="1" t="s">
        <v>1507</v>
      </c>
      <c r="W199" s="1" t="s">
        <v>2145</v>
      </c>
      <c r="X199" s="1" t="s">
        <v>2146</v>
      </c>
      <c r="Y199" s="1" t="s">
        <v>2147</v>
      </c>
      <c r="Z199" s="1" t="s">
        <v>2148</v>
      </c>
      <c r="AA199" s="1" t="s">
        <v>2149</v>
      </c>
      <c r="AB199" s="1" t="s">
        <v>1507</v>
      </c>
      <c r="AC199" s="1" t="s">
        <v>13872</v>
      </c>
      <c r="AD199" s="1" t="s">
        <v>2150</v>
      </c>
      <c r="AE199" s="1" t="s">
        <v>2151</v>
      </c>
      <c r="AF199" s="1" t="s">
        <v>2152</v>
      </c>
      <c r="AG199" s="1" t="s">
        <v>1507</v>
      </c>
      <c r="AH199" s="1">
        <v>28</v>
      </c>
      <c r="AI199" s="1">
        <v>0</v>
      </c>
      <c r="AJ199" s="1">
        <v>0</v>
      </c>
      <c r="AK199" s="1">
        <v>9</v>
      </c>
      <c r="AL199" s="1">
        <v>9</v>
      </c>
      <c r="AM199" s="1" t="s">
        <v>1564</v>
      </c>
      <c r="AN199" s="1" t="s">
        <v>1565</v>
      </c>
      <c r="AO199" s="1" t="s">
        <v>1566</v>
      </c>
      <c r="AP199" s="1" t="s">
        <v>1507</v>
      </c>
      <c r="AQ199" s="1" t="s">
        <v>1567</v>
      </c>
      <c r="AR199" s="1" t="s">
        <v>1507</v>
      </c>
      <c r="AS199" s="1" t="s">
        <v>1568</v>
      </c>
      <c r="AT199" s="1" t="s">
        <v>342</v>
      </c>
      <c r="AU199" s="1" t="s">
        <v>2153</v>
      </c>
      <c r="AV199" s="1">
        <v>2023</v>
      </c>
      <c r="AW199" s="1">
        <v>8</v>
      </c>
      <c r="AX199" s="1" t="s">
        <v>1507</v>
      </c>
      <c r="AY199" s="1" t="s">
        <v>1507</v>
      </c>
      <c r="AZ199" s="1" t="s">
        <v>1507</v>
      </c>
      <c r="BA199" s="1" t="s">
        <v>1507</v>
      </c>
      <c r="BB199" s="1" t="s">
        <v>1507</v>
      </c>
      <c r="BC199" s="1" t="s">
        <v>1507</v>
      </c>
      <c r="BD199" s="1" t="s">
        <v>1507</v>
      </c>
      <c r="BE199" s="1">
        <v>1272229</v>
      </c>
      <c r="BF199" s="1" t="s">
        <v>532</v>
      </c>
      <c r="BG199" s="1" t="str">
        <f>HYPERLINK("http://dx.doi.org/10.3389/feduc.2023.1272229","http://dx.doi.org/10.3389/feduc.2023.1272229")</f>
        <v>http://dx.doi.org/10.3389/feduc.2023.1272229</v>
      </c>
      <c r="BH199" s="1" t="s">
        <v>1507</v>
      </c>
      <c r="BI199" s="1" t="s">
        <v>1507</v>
      </c>
      <c r="BJ199" s="1">
        <v>8</v>
      </c>
      <c r="BK199" s="1" t="s">
        <v>1558</v>
      </c>
      <c r="BL199" s="1" t="s">
        <v>1529</v>
      </c>
      <c r="BM199" s="1" t="s">
        <v>1558</v>
      </c>
      <c r="BN199" s="1" t="s">
        <v>2154</v>
      </c>
      <c r="BO199" s="1" t="s">
        <v>1507</v>
      </c>
      <c r="BP199" s="1" t="s">
        <v>1531</v>
      </c>
      <c r="BQ199" s="1" t="s">
        <v>1507</v>
      </c>
      <c r="BR199" s="1" t="s">
        <v>1507</v>
      </c>
      <c r="BS199" s="1" t="s">
        <v>13744</v>
      </c>
      <c r="BT199" s="1" t="s">
        <v>2155</v>
      </c>
      <c r="BU199" s="1" t="str">
        <f>HYPERLINK("https%3A%2F%2Fwww.webofscience.com%2Fwos%2Fwoscc%2Ffull-record%2FWOS:001126912400001","View Full Record in Web of Science")</f>
        <v>View Full Record in Web of Science</v>
      </c>
    </row>
    <row r="200" spans="1:73" x14ac:dyDescent="0.25">
      <c r="A200" s="1">
        <v>223</v>
      </c>
      <c r="B200" s="1" t="s">
        <v>1506</v>
      </c>
      <c r="C200" s="1" t="s">
        <v>3398</v>
      </c>
      <c r="D200" s="1" t="s">
        <v>1507</v>
      </c>
      <c r="E200" s="1" t="s">
        <v>1507</v>
      </c>
      <c r="F200" s="1" t="s">
        <v>1507</v>
      </c>
      <c r="G200" s="1" t="s">
        <v>3399</v>
      </c>
      <c r="H200" s="1" t="s">
        <v>1507</v>
      </c>
      <c r="I200" s="1" t="s">
        <v>1507</v>
      </c>
      <c r="J200" s="1" t="s">
        <v>3400</v>
      </c>
      <c r="K200" s="1" t="s">
        <v>3401</v>
      </c>
      <c r="L200" s="1" t="s">
        <v>1507</v>
      </c>
      <c r="M200" s="1" t="s">
        <v>1507</v>
      </c>
      <c r="N200" s="1" t="s">
        <v>42</v>
      </c>
      <c r="O200" s="1" t="s">
        <v>56</v>
      </c>
      <c r="P200" s="1" t="s">
        <v>1507</v>
      </c>
      <c r="Q200" s="1" t="s">
        <v>1507</v>
      </c>
      <c r="R200" s="1" t="s">
        <v>1507</v>
      </c>
      <c r="S200" s="1" t="s">
        <v>1507</v>
      </c>
      <c r="T200" s="1" t="s">
        <v>1507</v>
      </c>
      <c r="U200" s="1" t="s">
        <v>1507</v>
      </c>
      <c r="V200" s="1" t="s">
        <v>3402</v>
      </c>
      <c r="W200" s="1" t="s">
        <v>3403</v>
      </c>
      <c r="X200" s="1" t="s">
        <v>3404</v>
      </c>
      <c r="Y200" s="1" t="s">
        <v>3405</v>
      </c>
      <c r="Z200" s="1" t="s">
        <v>3406</v>
      </c>
      <c r="AA200" s="1" t="s">
        <v>3407</v>
      </c>
      <c r="AB200" s="1" t="s">
        <v>3408</v>
      </c>
      <c r="AC200" s="1" t="s">
        <v>3409</v>
      </c>
      <c r="AD200" s="1" t="s">
        <v>3410</v>
      </c>
      <c r="AE200" s="1" t="s">
        <v>3411</v>
      </c>
      <c r="AF200" s="1" t="s">
        <v>3412</v>
      </c>
      <c r="AG200" s="1" t="s">
        <v>1507</v>
      </c>
      <c r="AH200" s="1">
        <v>25</v>
      </c>
      <c r="AI200" s="1">
        <v>4</v>
      </c>
      <c r="AJ200" s="1">
        <v>4</v>
      </c>
      <c r="AK200" s="1">
        <v>11</v>
      </c>
      <c r="AL200" s="1">
        <v>11</v>
      </c>
      <c r="AM200" s="1" t="s">
        <v>1601</v>
      </c>
      <c r="AN200" s="1" t="s">
        <v>1551</v>
      </c>
      <c r="AO200" s="1" t="s">
        <v>1602</v>
      </c>
      <c r="AP200" s="1" t="s">
        <v>1507</v>
      </c>
      <c r="AQ200" s="1" t="s">
        <v>3413</v>
      </c>
      <c r="AR200" s="1" t="s">
        <v>1507</v>
      </c>
      <c r="AS200" s="1" t="s">
        <v>3414</v>
      </c>
      <c r="AT200" s="1" t="s">
        <v>3415</v>
      </c>
      <c r="AU200" s="1" t="s">
        <v>2889</v>
      </c>
      <c r="AV200" s="1">
        <v>2023</v>
      </c>
      <c r="AW200" s="1">
        <v>3</v>
      </c>
      <c r="AX200" s="1">
        <v>10</v>
      </c>
      <c r="AY200" s="1" t="s">
        <v>1507</v>
      </c>
      <c r="AZ200" s="1" t="s">
        <v>1507</v>
      </c>
      <c r="BA200" s="1" t="s">
        <v>1507</v>
      </c>
      <c r="BB200" s="1" t="s">
        <v>1507</v>
      </c>
      <c r="BC200" s="1">
        <v>833</v>
      </c>
      <c r="BD200" s="1" t="s">
        <v>1774</v>
      </c>
      <c r="BE200" s="1" t="s">
        <v>1507</v>
      </c>
      <c r="BF200" s="1" t="s">
        <v>3416</v>
      </c>
      <c r="BG200" s="1" t="str">
        <f>HYPERLINK("http://dx.doi.org/10.1038/s43588-023-00527-x","http://dx.doi.org/10.1038/s43588-023-00527-x")</f>
        <v>http://dx.doi.org/10.1038/s43588-023-00527-x</v>
      </c>
      <c r="BH200" s="1" t="s">
        <v>1507</v>
      </c>
      <c r="BI200" s="1" t="s">
        <v>2891</v>
      </c>
      <c r="BJ200" s="1">
        <v>7</v>
      </c>
      <c r="BK200" s="1" t="s">
        <v>3417</v>
      </c>
      <c r="BL200" s="1" t="s">
        <v>1529</v>
      </c>
      <c r="BM200" s="1" t="s">
        <v>3418</v>
      </c>
      <c r="BN200" s="1" t="s">
        <v>3419</v>
      </c>
      <c r="BO200" s="1">
        <v>38177754</v>
      </c>
      <c r="BP200" s="1" t="s">
        <v>8174</v>
      </c>
      <c r="BQ200" s="1" t="s">
        <v>1507</v>
      </c>
      <c r="BR200" s="1" t="s">
        <v>1507</v>
      </c>
      <c r="BS200" s="1" t="s">
        <v>13744</v>
      </c>
      <c r="BT200" s="1" t="s">
        <v>3420</v>
      </c>
      <c r="BU200" s="1" t="str">
        <f>HYPERLINK("https%3A%2F%2Fwww.webofscience.com%2Fwos%2Fwoscc%2Ffull-record%2FWOS:001119334100001","View Full Record in Web of Science")</f>
        <v>View Full Record in Web of Science</v>
      </c>
    </row>
    <row r="201" spans="1:73" x14ac:dyDescent="0.25">
      <c r="A201" s="1">
        <v>224</v>
      </c>
      <c r="B201" s="1" t="s">
        <v>1506</v>
      </c>
      <c r="C201" s="1" t="s">
        <v>5925</v>
      </c>
      <c r="D201" s="1" t="s">
        <v>1507</v>
      </c>
      <c r="E201" s="1" t="s">
        <v>1507</v>
      </c>
      <c r="F201" s="1" t="s">
        <v>1507</v>
      </c>
      <c r="G201" s="1" t="s">
        <v>5926</v>
      </c>
      <c r="H201" s="1" t="s">
        <v>1507</v>
      </c>
      <c r="I201" s="1" t="s">
        <v>1507</v>
      </c>
      <c r="J201" s="1" t="s">
        <v>5927</v>
      </c>
      <c r="K201" s="1" t="s">
        <v>5740</v>
      </c>
      <c r="L201" s="1" t="s">
        <v>1507</v>
      </c>
      <c r="M201" s="1" t="s">
        <v>1507</v>
      </c>
      <c r="N201" s="1" t="s">
        <v>42</v>
      </c>
      <c r="O201" s="1" t="s">
        <v>56</v>
      </c>
      <c r="P201" s="1" t="s">
        <v>1507</v>
      </c>
      <c r="Q201" s="1" t="s">
        <v>1507</v>
      </c>
      <c r="R201" s="1" t="s">
        <v>1507</v>
      </c>
      <c r="S201" s="1" t="s">
        <v>1507</v>
      </c>
      <c r="T201" s="1" t="s">
        <v>1507</v>
      </c>
      <c r="U201" s="1" t="s">
        <v>5928</v>
      </c>
      <c r="V201" s="1" t="s">
        <v>5929</v>
      </c>
      <c r="W201" s="1" t="s">
        <v>5930</v>
      </c>
      <c r="X201" s="1" t="s">
        <v>5931</v>
      </c>
      <c r="Y201" s="1" t="s">
        <v>5932</v>
      </c>
      <c r="Z201" s="1" t="s">
        <v>5933</v>
      </c>
      <c r="AA201" s="1" t="s">
        <v>5934</v>
      </c>
      <c r="AB201" s="1" t="s">
        <v>1507</v>
      </c>
      <c r="AC201" s="1" t="s">
        <v>1507</v>
      </c>
      <c r="AD201" s="1" t="s">
        <v>1507</v>
      </c>
      <c r="AE201" s="1" t="s">
        <v>1507</v>
      </c>
      <c r="AF201" s="1" t="s">
        <v>1507</v>
      </c>
      <c r="AG201" s="1" t="s">
        <v>1507</v>
      </c>
      <c r="AH201" s="1">
        <v>41</v>
      </c>
      <c r="AI201" s="1">
        <v>0</v>
      </c>
      <c r="AJ201" s="1">
        <v>0</v>
      </c>
      <c r="AK201" s="1">
        <v>6</v>
      </c>
      <c r="AL201" s="1">
        <v>6</v>
      </c>
      <c r="AM201" s="1" t="s">
        <v>5748</v>
      </c>
      <c r="AN201" s="1" t="s">
        <v>5749</v>
      </c>
      <c r="AO201" s="1" t="s">
        <v>5750</v>
      </c>
      <c r="AP201" s="1" t="s">
        <v>5751</v>
      </c>
      <c r="AQ201" s="1" t="s">
        <v>1507</v>
      </c>
      <c r="AR201" s="1" t="s">
        <v>1507</v>
      </c>
      <c r="AS201" s="1" t="s">
        <v>5752</v>
      </c>
      <c r="AT201" s="1" t="s">
        <v>804</v>
      </c>
      <c r="AU201" s="1" t="s">
        <v>1507</v>
      </c>
      <c r="AV201" s="1">
        <v>2023</v>
      </c>
      <c r="AW201" s="1">
        <v>20</v>
      </c>
      <c r="AX201" s="1">
        <v>7</v>
      </c>
      <c r="AY201" s="1" t="s">
        <v>1507</v>
      </c>
      <c r="AZ201" s="1" t="s">
        <v>1507</v>
      </c>
      <c r="BA201" s="1" t="s">
        <v>1507</v>
      </c>
      <c r="BB201" s="1" t="s">
        <v>1507</v>
      </c>
      <c r="BC201" s="1" t="s">
        <v>1507</v>
      </c>
      <c r="BD201" s="1" t="s">
        <v>1507</v>
      </c>
      <c r="BE201" s="1">
        <v>8</v>
      </c>
      <c r="BF201" s="1" t="s">
        <v>1171</v>
      </c>
      <c r="BG201" s="1" t="str">
        <f>HYPERLINK("http://dx.doi.org/10.53761/1.20.7.08","http://dx.doi.org/10.53761/1.20.7.08")</f>
        <v>http://dx.doi.org/10.53761/1.20.7.08</v>
      </c>
      <c r="BH201" s="1" t="s">
        <v>1507</v>
      </c>
      <c r="BI201" s="1" t="s">
        <v>1507</v>
      </c>
      <c r="BJ201" s="1">
        <v>23</v>
      </c>
      <c r="BK201" s="1" t="s">
        <v>1558</v>
      </c>
      <c r="BL201" s="1" t="s">
        <v>1529</v>
      </c>
      <c r="BM201" s="1" t="s">
        <v>1558</v>
      </c>
      <c r="BN201" s="1" t="s">
        <v>5754</v>
      </c>
      <c r="BO201" s="1" t="s">
        <v>1507</v>
      </c>
      <c r="BP201" s="1" t="s">
        <v>1553</v>
      </c>
      <c r="BQ201" s="1" t="s">
        <v>1507</v>
      </c>
      <c r="BR201" s="1" t="s">
        <v>1507</v>
      </c>
      <c r="BS201" s="1" t="s">
        <v>13744</v>
      </c>
      <c r="BT201" s="1" t="s">
        <v>5935</v>
      </c>
      <c r="BU201" s="1" t="str">
        <f>HYPERLINK("https%3A%2F%2Fwww.webofscience.com%2Fwos%2Fwoscc%2Ffull-record%2FWOS:001103781300006","View Full Record in Web of Science")</f>
        <v>View Full Record in Web of Science</v>
      </c>
    </row>
    <row r="202" spans="1:73" x14ac:dyDescent="0.25">
      <c r="A202" s="1">
        <v>225</v>
      </c>
      <c r="B202" s="1" t="s">
        <v>1506</v>
      </c>
      <c r="C202" s="1" t="s">
        <v>3878</v>
      </c>
      <c r="D202" s="1" t="s">
        <v>1507</v>
      </c>
      <c r="E202" s="1" t="s">
        <v>1507</v>
      </c>
      <c r="F202" s="1" t="s">
        <v>1507</v>
      </c>
      <c r="G202" s="1" t="s">
        <v>3879</v>
      </c>
      <c r="H202" s="1" t="s">
        <v>1507</v>
      </c>
      <c r="I202" s="1" t="s">
        <v>1507</v>
      </c>
      <c r="J202" s="1" t="s">
        <v>3880</v>
      </c>
      <c r="K202" s="1" t="s">
        <v>3881</v>
      </c>
      <c r="L202" s="1" t="s">
        <v>1507</v>
      </c>
      <c r="M202" s="1" t="s">
        <v>1507</v>
      </c>
      <c r="N202" s="1" t="s">
        <v>42</v>
      </c>
      <c r="O202" s="1" t="s">
        <v>56</v>
      </c>
      <c r="P202" s="1" t="s">
        <v>1507</v>
      </c>
      <c r="Q202" s="1" t="s">
        <v>1507</v>
      </c>
      <c r="R202" s="1" t="s">
        <v>1507</v>
      </c>
      <c r="S202" s="1" t="s">
        <v>1507</v>
      </c>
      <c r="T202" s="1" t="s">
        <v>1507</v>
      </c>
      <c r="U202" s="1" t="s">
        <v>3882</v>
      </c>
      <c r="V202" s="1" t="s">
        <v>3883</v>
      </c>
      <c r="W202" s="1" t="s">
        <v>3884</v>
      </c>
      <c r="X202" s="1" t="s">
        <v>3885</v>
      </c>
      <c r="Y202" s="1" t="s">
        <v>3886</v>
      </c>
      <c r="Z202" s="1" t="s">
        <v>3887</v>
      </c>
      <c r="AA202" s="1" t="s">
        <v>3888</v>
      </c>
      <c r="AB202" s="1" t="s">
        <v>1507</v>
      </c>
      <c r="AC202" s="1" t="s">
        <v>14506</v>
      </c>
      <c r="AD202" s="1" t="s">
        <v>3889</v>
      </c>
      <c r="AE202" s="1" t="s">
        <v>3890</v>
      </c>
      <c r="AF202" s="1" t="s">
        <v>3891</v>
      </c>
      <c r="AG202" s="1" t="s">
        <v>1507</v>
      </c>
      <c r="AH202" s="1">
        <v>73</v>
      </c>
      <c r="AI202" s="1">
        <v>0</v>
      </c>
      <c r="AJ202" s="1">
        <v>0</v>
      </c>
      <c r="AK202" s="1">
        <v>23</v>
      </c>
      <c r="AL202" s="1">
        <v>23</v>
      </c>
      <c r="AM202" s="1" t="s">
        <v>1579</v>
      </c>
      <c r="AN202" s="1" t="s">
        <v>1580</v>
      </c>
      <c r="AO202" s="1" t="s">
        <v>1581</v>
      </c>
      <c r="AP202" s="1" t="s">
        <v>3892</v>
      </c>
      <c r="AQ202" s="1" t="s">
        <v>3893</v>
      </c>
      <c r="AR202" s="1" t="s">
        <v>1507</v>
      </c>
      <c r="AS202" s="1" t="s">
        <v>3894</v>
      </c>
      <c r="AT202" s="1" t="s">
        <v>3895</v>
      </c>
      <c r="AU202" s="1" t="s">
        <v>1616</v>
      </c>
      <c r="AV202" s="1">
        <v>2024</v>
      </c>
      <c r="AW202" s="1">
        <v>83</v>
      </c>
      <c r="AX202" s="1" t="s">
        <v>1507</v>
      </c>
      <c r="AY202" s="1" t="s">
        <v>1507</v>
      </c>
      <c r="AZ202" s="1" t="s">
        <v>1507</v>
      </c>
      <c r="BA202" s="1" t="s">
        <v>1507</v>
      </c>
      <c r="BB202" s="1" t="s">
        <v>1507</v>
      </c>
      <c r="BC202" s="1" t="s">
        <v>1507</v>
      </c>
      <c r="BD202" s="1" t="s">
        <v>1507</v>
      </c>
      <c r="BE202" s="1">
        <v>101155</v>
      </c>
      <c r="BF202" s="1" t="s">
        <v>3896</v>
      </c>
      <c r="BG202" s="1" t="str">
        <f>HYPERLINK("http://dx.doi.org/10.1016/j.cogsys.2023.101155","http://dx.doi.org/10.1016/j.cogsys.2023.101155")</f>
        <v>http://dx.doi.org/10.1016/j.cogsys.2023.101155</v>
      </c>
      <c r="BH202" s="1" t="s">
        <v>1507</v>
      </c>
      <c r="BI202" s="1" t="s">
        <v>3689</v>
      </c>
      <c r="BJ202" s="1">
        <v>28</v>
      </c>
      <c r="BK202" s="1" t="s">
        <v>3897</v>
      </c>
      <c r="BL202" s="1" t="s">
        <v>1598</v>
      </c>
      <c r="BM202" s="1" t="s">
        <v>3898</v>
      </c>
      <c r="BN202" s="1" t="s">
        <v>3899</v>
      </c>
      <c r="BO202" s="1" t="s">
        <v>1507</v>
      </c>
      <c r="BP202" s="1" t="s">
        <v>2574</v>
      </c>
      <c r="BQ202" s="1" t="s">
        <v>1507</v>
      </c>
      <c r="BR202" s="1" t="s">
        <v>1507</v>
      </c>
      <c r="BS202" s="1" t="s">
        <v>13744</v>
      </c>
      <c r="BT202" s="1" t="s">
        <v>3900</v>
      </c>
      <c r="BU202" s="1" t="str">
        <f>HYPERLINK("https%3A%2F%2Fwww.webofscience.com%2Fwos%2Fwoscc%2Ffull-record%2FWOS:001078641500001","View Full Record in Web of Science")</f>
        <v>View Full Record in Web of Science</v>
      </c>
    </row>
    <row r="203" spans="1:73" x14ac:dyDescent="0.25">
      <c r="A203" s="1">
        <v>226</v>
      </c>
      <c r="B203" s="1" t="s">
        <v>1506</v>
      </c>
      <c r="C203" s="1" t="s">
        <v>7338</v>
      </c>
      <c r="D203" s="1" t="s">
        <v>1507</v>
      </c>
      <c r="E203" s="1" t="s">
        <v>1507</v>
      </c>
      <c r="F203" s="1" t="s">
        <v>1507</v>
      </c>
      <c r="G203" s="1" t="s">
        <v>7339</v>
      </c>
      <c r="H203" s="1" t="s">
        <v>1507</v>
      </c>
      <c r="I203" s="1" t="s">
        <v>1507</v>
      </c>
      <c r="J203" s="1" t="s">
        <v>7340</v>
      </c>
      <c r="K203" s="1" t="s">
        <v>7341</v>
      </c>
      <c r="L203" s="1" t="s">
        <v>1507</v>
      </c>
      <c r="M203" s="1" t="s">
        <v>1507</v>
      </c>
      <c r="N203" s="1" t="s">
        <v>42</v>
      </c>
      <c r="O203" s="1" t="s">
        <v>56</v>
      </c>
      <c r="P203" s="1" t="s">
        <v>1507</v>
      </c>
      <c r="Q203" s="1" t="s">
        <v>1507</v>
      </c>
      <c r="R203" s="1" t="s">
        <v>1507</v>
      </c>
      <c r="S203" s="1" t="s">
        <v>1507</v>
      </c>
      <c r="T203" s="1" t="s">
        <v>1507</v>
      </c>
      <c r="U203" s="1" t="s">
        <v>7342</v>
      </c>
      <c r="V203" s="1" t="s">
        <v>7343</v>
      </c>
      <c r="W203" s="1" t="s">
        <v>7344</v>
      </c>
      <c r="X203" s="1" t="s">
        <v>7345</v>
      </c>
      <c r="Y203" s="1" t="s">
        <v>7346</v>
      </c>
      <c r="Z203" s="1" t="s">
        <v>7347</v>
      </c>
      <c r="AA203" s="1" t="s">
        <v>7348</v>
      </c>
      <c r="AB203" s="1" t="s">
        <v>15622</v>
      </c>
      <c r="AC203" s="1" t="s">
        <v>15623</v>
      </c>
      <c r="AD203" s="1" t="s">
        <v>7349</v>
      </c>
      <c r="AE203" s="1" t="s">
        <v>7350</v>
      </c>
      <c r="AF203" s="1" t="s">
        <v>7351</v>
      </c>
      <c r="AG203" s="1" t="s">
        <v>1507</v>
      </c>
      <c r="AH203" s="1">
        <v>47</v>
      </c>
      <c r="AI203" s="1">
        <v>6</v>
      </c>
      <c r="AJ203" s="1">
        <v>6</v>
      </c>
      <c r="AK203" s="1">
        <v>4</v>
      </c>
      <c r="AL203" s="1">
        <v>34</v>
      </c>
      <c r="AM203" s="1" t="s">
        <v>1511</v>
      </c>
      <c r="AN203" s="1" t="s">
        <v>1512</v>
      </c>
      <c r="AO203" s="1" t="s">
        <v>1513</v>
      </c>
      <c r="AP203" s="1" t="s">
        <v>7352</v>
      </c>
      <c r="AQ203" s="1" t="s">
        <v>7353</v>
      </c>
      <c r="AR203" s="1" t="s">
        <v>1507</v>
      </c>
      <c r="AS203" s="1" t="s">
        <v>7354</v>
      </c>
      <c r="AT203" s="1" t="s">
        <v>7355</v>
      </c>
      <c r="AU203" s="1" t="s">
        <v>5201</v>
      </c>
      <c r="AV203" s="1">
        <v>2022</v>
      </c>
      <c r="AW203" s="1">
        <v>141</v>
      </c>
      <c r="AX203" s="1">
        <v>4</v>
      </c>
      <c r="AY203" s="1" t="s">
        <v>1507</v>
      </c>
      <c r="AZ203" s="1" t="s">
        <v>1507</v>
      </c>
      <c r="BA203" s="1" t="s">
        <v>1507</v>
      </c>
      <c r="BB203" s="1" t="s">
        <v>1507</v>
      </c>
      <c r="BC203" s="1" t="s">
        <v>1507</v>
      </c>
      <c r="BD203" s="1" t="s">
        <v>1507</v>
      </c>
      <c r="BE203" s="1">
        <v>23</v>
      </c>
      <c r="BF203" s="1" t="s">
        <v>7356</v>
      </c>
      <c r="BG203" s="1" t="str">
        <f>HYPERLINK("http://dx.doi.org/10.1007/s00214-022-02886-6","http://dx.doi.org/10.1007/s00214-022-02886-6")</f>
        <v>http://dx.doi.org/10.1007/s00214-022-02886-6</v>
      </c>
      <c r="BH203" s="1" t="s">
        <v>1507</v>
      </c>
      <c r="BI203" s="1" t="s">
        <v>1507</v>
      </c>
      <c r="BJ203" s="1">
        <v>17</v>
      </c>
      <c r="BK203" s="1" t="s">
        <v>2379</v>
      </c>
      <c r="BL203" s="1" t="s">
        <v>1573</v>
      </c>
      <c r="BM203" s="1" t="s">
        <v>2380</v>
      </c>
      <c r="BN203" s="1" t="s">
        <v>7357</v>
      </c>
      <c r="BO203" s="1" t="s">
        <v>1507</v>
      </c>
      <c r="BP203" s="1" t="s">
        <v>1507</v>
      </c>
      <c r="BQ203" s="1" t="s">
        <v>1507</v>
      </c>
      <c r="BR203" s="1" t="s">
        <v>1507</v>
      </c>
      <c r="BS203" s="1" t="s">
        <v>13744</v>
      </c>
      <c r="BT203" s="1" t="s">
        <v>7358</v>
      </c>
      <c r="BU203" s="1" t="str">
        <f>HYPERLINK("https%3A%2F%2Fwww.webofscience.com%2Fwos%2Fwoscc%2Ffull-record%2FWOS:000781343100002","View Full Record in Web of Science")</f>
        <v>View Full Record in Web of Science</v>
      </c>
    </row>
    <row r="204" spans="1:73" x14ac:dyDescent="0.25">
      <c r="A204" s="1">
        <v>227</v>
      </c>
      <c r="B204" s="1" t="s">
        <v>5546</v>
      </c>
      <c r="C204" s="1" t="s">
        <v>5936</v>
      </c>
      <c r="D204" s="1" t="s">
        <v>1507</v>
      </c>
      <c r="E204" s="1" t="s">
        <v>1507</v>
      </c>
      <c r="F204" s="1" t="s">
        <v>5565</v>
      </c>
      <c r="G204" s="1" t="s">
        <v>5937</v>
      </c>
      <c r="H204" s="1" t="s">
        <v>1507</v>
      </c>
      <c r="I204" s="1" t="s">
        <v>1507</v>
      </c>
      <c r="J204" s="1" t="s">
        <v>5938</v>
      </c>
      <c r="K204" s="1" t="s">
        <v>5939</v>
      </c>
      <c r="L204" s="1" t="s">
        <v>1507</v>
      </c>
      <c r="M204" s="1" t="s">
        <v>1507</v>
      </c>
      <c r="N204" s="1" t="s">
        <v>42</v>
      </c>
      <c r="O204" s="1" t="s">
        <v>5552</v>
      </c>
      <c r="P204" s="1" t="s">
        <v>5940</v>
      </c>
      <c r="Q204" s="1" t="s">
        <v>5941</v>
      </c>
      <c r="R204" s="1" t="s">
        <v>5942</v>
      </c>
      <c r="S204" s="1" t="s">
        <v>5681</v>
      </c>
      <c r="T204" s="1" t="s">
        <v>1507</v>
      </c>
      <c r="U204" s="1" t="s">
        <v>5943</v>
      </c>
      <c r="V204" s="1" t="s">
        <v>1507</v>
      </c>
      <c r="W204" s="1" t="s">
        <v>5944</v>
      </c>
      <c r="X204" s="1" t="s">
        <v>5945</v>
      </c>
      <c r="Y204" s="1" t="s">
        <v>5946</v>
      </c>
      <c r="Z204" s="1" t="s">
        <v>5947</v>
      </c>
      <c r="AA204" s="1" t="s">
        <v>5948</v>
      </c>
      <c r="AB204" s="1" t="s">
        <v>1507</v>
      </c>
      <c r="AC204" s="1" t="s">
        <v>15035</v>
      </c>
      <c r="AD204" s="1" t="s">
        <v>5949</v>
      </c>
      <c r="AE204" s="1" t="s">
        <v>5950</v>
      </c>
      <c r="AF204" s="1" t="s">
        <v>5951</v>
      </c>
      <c r="AG204" s="1" t="s">
        <v>1507</v>
      </c>
      <c r="AH204" s="1">
        <v>72</v>
      </c>
      <c r="AI204" s="1">
        <v>1</v>
      </c>
      <c r="AJ204" s="1">
        <v>1</v>
      </c>
      <c r="AK204" s="1">
        <v>40</v>
      </c>
      <c r="AL204" s="1">
        <v>40</v>
      </c>
      <c r="AM204" s="1" t="s">
        <v>5565</v>
      </c>
      <c r="AN204" s="1" t="s">
        <v>1512</v>
      </c>
      <c r="AO204" s="1" t="s">
        <v>5566</v>
      </c>
      <c r="AP204" s="1" t="s">
        <v>1507</v>
      </c>
      <c r="AQ204" s="1" t="s">
        <v>1507</v>
      </c>
      <c r="AR204" s="1" t="s">
        <v>5952</v>
      </c>
      <c r="AS204" s="1" t="s">
        <v>1507</v>
      </c>
      <c r="AT204" s="1" t="s">
        <v>1507</v>
      </c>
      <c r="AU204" s="1" t="s">
        <v>1507</v>
      </c>
      <c r="AV204" s="1">
        <v>2023</v>
      </c>
      <c r="AW204" s="1" t="s">
        <v>1507</v>
      </c>
      <c r="AX204" s="1" t="s">
        <v>1507</v>
      </c>
      <c r="AY204" s="1" t="s">
        <v>1507</v>
      </c>
      <c r="AZ204" s="1" t="s">
        <v>1507</v>
      </c>
      <c r="BA204" s="1" t="s">
        <v>1507</v>
      </c>
      <c r="BB204" s="1" t="s">
        <v>1507</v>
      </c>
      <c r="BC204" s="1">
        <v>931</v>
      </c>
      <c r="BD204" s="1">
        <v>942</v>
      </c>
      <c r="BE204" s="1" t="s">
        <v>1507</v>
      </c>
      <c r="BF204" s="1" t="s">
        <v>5953</v>
      </c>
      <c r="BG204" s="1" t="str">
        <f>HYPERLINK("http://dx.doi.org/10.1145/3593013.3594052","http://dx.doi.org/10.1145/3593013.3594052")</f>
        <v>http://dx.doi.org/10.1145/3593013.3594052</v>
      </c>
      <c r="BH204" s="1" t="s">
        <v>1507</v>
      </c>
      <c r="BI204" s="1" t="s">
        <v>1507</v>
      </c>
      <c r="BJ204" s="1">
        <v>12</v>
      </c>
      <c r="BK204" s="1" t="s">
        <v>5954</v>
      </c>
      <c r="BL204" s="1" t="s">
        <v>5695</v>
      </c>
      <c r="BM204" s="1" t="s">
        <v>5955</v>
      </c>
      <c r="BN204" s="1" t="s">
        <v>5956</v>
      </c>
      <c r="BO204" s="1" t="s">
        <v>1507</v>
      </c>
      <c r="BP204" s="1" t="s">
        <v>5957</v>
      </c>
      <c r="BQ204" s="1" t="s">
        <v>1507</v>
      </c>
      <c r="BR204" s="1" t="s">
        <v>1507</v>
      </c>
      <c r="BS204" s="1" t="s">
        <v>13744</v>
      </c>
      <c r="BT204" s="1" t="s">
        <v>5958</v>
      </c>
      <c r="BU204" s="1" t="str">
        <f>HYPERLINK("https%3A%2F%2Fwww.webofscience.com%2Fwos%2Fwoscc%2Ffull-record%2FWOS:001062819300081","View Full Record in Web of Science")</f>
        <v>View Full Record in Web of Science</v>
      </c>
    </row>
    <row r="205" spans="1:73" x14ac:dyDescent="0.25">
      <c r="A205" s="1">
        <v>228</v>
      </c>
      <c r="B205" s="1" t="s">
        <v>5882</v>
      </c>
      <c r="C205" s="1" t="s">
        <v>7778</v>
      </c>
      <c r="D205" s="1" t="s">
        <v>1507</v>
      </c>
      <c r="E205" s="1" t="s">
        <v>7779</v>
      </c>
      <c r="F205" s="1" t="s">
        <v>1507</v>
      </c>
      <c r="G205" s="1" t="s">
        <v>7780</v>
      </c>
      <c r="H205" s="1" t="s">
        <v>1507</v>
      </c>
      <c r="I205" s="1" t="s">
        <v>1507</v>
      </c>
      <c r="J205" s="1" t="s">
        <v>7781</v>
      </c>
      <c r="K205" s="1" t="s">
        <v>7782</v>
      </c>
      <c r="L205" s="1" t="s">
        <v>7783</v>
      </c>
      <c r="M205" s="1" t="s">
        <v>1507</v>
      </c>
      <c r="N205" s="1" t="s">
        <v>42</v>
      </c>
      <c r="O205" s="1" t="s">
        <v>5888</v>
      </c>
      <c r="P205" s="1" t="s">
        <v>1507</v>
      </c>
      <c r="Q205" s="1" t="s">
        <v>1507</v>
      </c>
      <c r="R205" s="1" t="s">
        <v>1507</v>
      </c>
      <c r="S205" s="1" t="s">
        <v>1507</v>
      </c>
      <c r="T205" s="1" t="s">
        <v>1507</v>
      </c>
      <c r="U205" s="1" t="s">
        <v>1507</v>
      </c>
      <c r="V205" s="1" t="s">
        <v>7784</v>
      </c>
      <c r="W205" s="1" t="s">
        <v>7785</v>
      </c>
      <c r="X205" s="1" t="s">
        <v>7786</v>
      </c>
      <c r="Y205" s="1" t="s">
        <v>5835</v>
      </c>
      <c r="Z205" s="1" t="s">
        <v>7787</v>
      </c>
      <c r="AA205" s="1" t="s">
        <v>1507</v>
      </c>
      <c r="AB205" s="1" t="s">
        <v>7788</v>
      </c>
      <c r="AC205" s="1" t="s">
        <v>7789</v>
      </c>
      <c r="AD205" s="1" t="s">
        <v>1507</v>
      </c>
      <c r="AE205" s="1" t="s">
        <v>1507</v>
      </c>
      <c r="AF205" s="1" t="s">
        <v>1507</v>
      </c>
      <c r="AG205" s="1" t="s">
        <v>1507</v>
      </c>
      <c r="AH205" s="1">
        <v>39</v>
      </c>
      <c r="AI205" s="1">
        <v>0</v>
      </c>
      <c r="AJ205" s="1">
        <v>0</v>
      </c>
      <c r="AK205" s="1">
        <v>0</v>
      </c>
      <c r="AL205" s="1">
        <v>0</v>
      </c>
      <c r="AM205" s="1" t="s">
        <v>7790</v>
      </c>
      <c r="AN205" s="1" t="s">
        <v>1556</v>
      </c>
      <c r="AO205" s="1" t="s">
        <v>7791</v>
      </c>
      <c r="AP205" s="1" t="s">
        <v>1507</v>
      </c>
      <c r="AQ205" s="1" t="s">
        <v>1507</v>
      </c>
      <c r="AR205" s="1" t="s">
        <v>7792</v>
      </c>
      <c r="AS205" s="1" t="s">
        <v>7793</v>
      </c>
      <c r="AT205" s="1" t="s">
        <v>1507</v>
      </c>
      <c r="AU205" s="1" t="s">
        <v>1507</v>
      </c>
      <c r="AV205" s="1">
        <v>2022</v>
      </c>
      <c r="AW205" s="1" t="s">
        <v>1507</v>
      </c>
      <c r="AX205" s="1" t="s">
        <v>1507</v>
      </c>
      <c r="AY205" s="1" t="s">
        <v>1507</v>
      </c>
      <c r="AZ205" s="1" t="s">
        <v>1507</v>
      </c>
      <c r="BA205" s="1" t="s">
        <v>1507</v>
      </c>
      <c r="BB205" s="1" t="s">
        <v>1507</v>
      </c>
      <c r="BC205" s="1">
        <v>46</v>
      </c>
      <c r="BD205" s="1">
        <v>60</v>
      </c>
      <c r="BE205" s="1" t="s">
        <v>1507</v>
      </c>
      <c r="BF205" s="1" t="s">
        <v>7794</v>
      </c>
      <c r="BG205" s="1" t="str">
        <f>HYPERLINK("http://dx.doi.org/10.4324/9781003025115-4","http://dx.doi.org/10.4324/9781003025115-4")</f>
        <v>http://dx.doi.org/10.4324/9781003025115-4</v>
      </c>
      <c r="BH205" s="1" t="s">
        <v>7795</v>
      </c>
      <c r="BI205" s="1" t="s">
        <v>1507</v>
      </c>
      <c r="BJ205" s="1">
        <v>15</v>
      </c>
      <c r="BK205" s="1" t="s">
        <v>4526</v>
      </c>
      <c r="BL205" s="1" t="s">
        <v>5899</v>
      </c>
      <c r="BM205" s="1" t="s">
        <v>4526</v>
      </c>
      <c r="BN205" s="1" t="s">
        <v>7796</v>
      </c>
      <c r="BO205" s="1" t="s">
        <v>1507</v>
      </c>
      <c r="BP205" s="1" t="s">
        <v>1507</v>
      </c>
      <c r="BQ205" s="1" t="s">
        <v>1507</v>
      </c>
      <c r="BR205" s="1" t="s">
        <v>1507</v>
      </c>
      <c r="BS205" s="1" t="s">
        <v>13744</v>
      </c>
      <c r="BT205" s="1" t="s">
        <v>7797</v>
      </c>
      <c r="BU205" s="1" t="str">
        <f>HYPERLINK("https%3A%2F%2Fwww.webofscience.com%2Fwos%2Fwoscc%2Ffull-record%2FWOS:000839183400004","View Full Record in Web of Science")</f>
        <v>View Full Record in Web of Science</v>
      </c>
    </row>
    <row r="206" spans="1:73" x14ac:dyDescent="0.25">
      <c r="A206" s="1">
        <v>229</v>
      </c>
      <c r="B206" s="1" t="s">
        <v>1506</v>
      </c>
      <c r="C206" s="1" t="s">
        <v>3940</v>
      </c>
      <c r="D206" s="1" t="s">
        <v>1507</v>
      </c>
      <c r="E206" s="1" t="s">
        <v>1507</v>
      </c>
      <c r="F206" s="1" t="s">
        <v>1507</v>
      </c>
      <c r="G206" s="1" t="s">
        <v>3941</v>
      </c>
      <c r="H206" s="1" t="s">
        <v>1507</v>
      </c>
      <c r="I206" s="1" t="s">
        <v>1507</v>
      </c>
      <c r="J206" s="1" t="s">
        <v>3942</v>
      </c>
      <c r="K206" s="1" t="s">
        <v>2982</v>
      </c>
      <c r="L206" s="1" t="s">
        <v>1507</v>
      </c>
      <c r="M206" s="1" t="s">
        <v>1507</v>
      </c>
      <c r="N206" s="1" t="s">
        <v>42</v>
      </c>
      <c r="O206" s="1" t="s">
        <v>1509</v>
      </c>
      <c r="P206" s="1" t="s">
        <v>1507</v>
      </c>
      <c r="Q206" s="1" t="s">
        <v>1507</v>
      </c>
      <c r="R206" s="1" t="s">
        <v>1507</v>
      </c>
      <c r="S206" s="1" t="s">
        <v>1507</v>
      </c>
      <c r="T206" s="1" t="s">
        <v>1507</v>
      </c>
      <c r="U206" s="1" t="s">
        <v>3943</v>
      </c>
      <c r="V206" s="1" t="s">
        <v>1507</v>
      </c>
      <c r="W206" s="1" t="s">
        <v>3944</v>
      </c>
      <c r="X206" s="1" t="s">
        <v>3945</v>
      </c>
      <c r="Y206" s="1" t="s">
        <v>3946</v>
      </c>
      <c r="Z206" s="1" t="s">
        <v>3947</v>
      </c>
      <c r="AA206" s="1" t="s">
        <v>3948</v>
      </c>
      <c r="AB206" s="1" t="s">
        <v>1507</v>
      </c>
      <c r="AC206" s="1" t="s">
        <v>3949</v>
      </c>
      <c r="AD206" s="1" t="s">
        <v>3950</v>
      </c>
      <c r="AE206" s="1" t="s">
        <v>3950</v>
      </c>
      <c r="AF206" s="1" t="s">
        <v>3951</v>
      </c>
      <c r="AG206" s="1" t="s">
        <v>1507</v>
      </c>
      <c r="AH206" s="1">
        <v>49</v>
      </c>
      <c r="AI206" s="1">
        <v>4</v>
      </c>
      <c r="AJ206" s="1">
        <v>4</v>
      </c>
      <c r="AK206" s="1">
        <v>50</v>
      </c>
      <c r="AL206" s="1">
        <v>62</v>
      </c>
      <c r="AM206" s="1" t="s">
        <v>1511</v>
      </c>
      <c r="AN206" s="1" t="s">
        <v>1512</v>
      </c>
      <c r="AO206" s="1" t="s">
        <v>1513</v>
      </c>
      <c r="AP206" s="1" t="s">
        <v>2990</v>
      </c>
      <c r="AQ206" s="1" t="s">
        <v>2991</v>
      </c>
      <c r="AR206" s="1" t="s">
        <v>1507</v>
      </c>
      <c r="AS206" s="1" t="s">
        <v>2992</v>
      </c>
      <c r="AT206" s="1" t="s">
        <v>1185</v>
      </c>
      <c r="AU206" s="1" t="s">
        <v>3952</v>
      </c>
      <c r="AV206" s="1">
        <v>2023</v>
      </c>
      <c r="AW206" s="1" t="s">
        <v>1507</v>
      </c>
      <c r="AX206" s="1" t="s">
        <v>1507</v>
      </c>
      <c r="AY206" s="1" t="s">
        <v>1507</v>
      </c>
      <c r="AZ206" s="1" t="s">
        <v>1507</v>
      </c>
      <c r="BA206" s="1" t="s">
        <v>1507</v>
      </c>
      <c r="BB206" s="1" t="s">
        <v>1507</v>
      </c>
      <c r="BC206" s="1" t="s">
        <v>1507</v>
      </c>
      <c r="BD206" s="1" t="s">
        <v>1507</v>
      </c>
      <c r="BE206" s="1" t="s">
        <v>1507</v>
      </c>
      <c r="BF206" s="1" t="s">
        <v>3953</v>
      </c>
      <c r="BG206" s="1" t="str">
        <f>HYPERLINK("http://dx.doi.org/10.1007/s00146-023-01752-8","http://dx.doi.org/10.1007/s00146-023-01752-8")</f>
        <v>http://dx.doi.org/10.1007/s00146-023-01752-8</v>
      </c>
      <c r="BH206" s="1" t="s">
        <v>1507</v>
      </c>
      <c r="BI206" s="1" t="s">
        <v>3689</v>
      </c>
      <c r="BJ206" s="1">
        <v>16</v>
      </c>
      <c r="BK206" s="1" t="s">
        <v>2994</v>
      </c>
      <c r="BL206" s="1" t="s">
        <v>1529</v>
      </c>
      <c r="BM206" s="1" t="s">
        <v>1577</v>
      </c>
      <c r="BN206" s="1" t="s">
        <v>3954</v>
      </c>
      <c r="BO206" s="1" t="s">
        <v>1507</v>
      </c>
      <c r="BP206" s="1" t="s">
        <v>1537</v>
      </c>
      <c r="BQ206" s="1" t="s">
        <v>1507</v>
      </c>
      <c r="BR206" s="1" t="s">
        <v>1507</v>
      </c>
      <c r="BS206" s="1" t="s">
        <v>13744</v>
      </c>
      <c r="BT206" s="1" t="s">
        <v>3955</v>
      </c>
      <c r="BU206" s="1" t="str">
        <f>HYPERLINK("https%3A%2F%2Fwww.webofscience.com%2Fwos%2Fwoscc%2Ffull-record%2FWOS:001058308100001","View Full Record in Web of Science")</f>
        <v>View Full Record in Web of Science</v>
      </c>
    </row>
    <row r="207" spans="1:73" x14ac:dyDescent="0.25">
      <c r="A207" s="1">
        <v>230</v>
      </c>
      <c r="B207" s="1" t="s">
        <v>1506</v>
      </c>
      <c r="C207" s="1" t="s">
        <v>11973</v>
      </c>
      <c r="D207" s="1" t="s">
        <v>1507</v>
      </c>
      <c r="E207" s="1" t="s">
        <v>1507</v>
      </c>
      <c r="F207" s="1" t="s">
        <v>1507</v>
      </c>
      <c r="G207" s="1" t="s">
        <v>11974</v>
      </c>
      <c r="H207" s="1" t="s">
        <v>1507</v>
      </c>
      <c r="I207" s="1" t="s">
        <v>1507</v>
      </c>
      <c r="J207" s="1" t="s">
        <v>11975</v>
      </c>
      <c r="K207" s="1" t="s">
        <v>11976</v>
      </c>
      <c r="L207" s="1" t="s">
        <v>1507</v>
      </c>
      <c r="M207" s="1" t="s">
        <v>1507</v>
      </c>
      <c r="N207" s="1" t="s">
        <v>42</v>
      </c>
      <c r="O207" s="1" t="s">
        <v>56</v>
      </c>
      <c r="P207" s="1" t="s">
        <v>1507</v>
      </c>
      <c r="Q207" s="1" t="s">
        <v>1507</v>
      </c>
      <c r="R207" s="1" t="s">
        <v>1507</v>
      </c>
      <c r="S207" s="1" t="s">
        <v>1507</v>
      </c>
      <c r="T207" s="1" t="s">
        <v>1507</v>
      </c>
      <c r="U207" s="1" t="s">
        <v>11977</v>
      </c>
      <c r="V207" s="1" t="s">
        <v>11978</v>
      </c>
      <c r="W207" s="1" t="s">
        <v>11979</v>
      </c>
      <c r="X207" s="1" t="s">
        <v>11980</v>
      </c>
      <c r="Y207" s="1" t="s">
        <v>11981</v>
      </c>
      <c r="Z207" s="1" t="s">
        <v>11982</v>
      </c>
      <c r="AA207" s="1" t="s">
        <v>11726</v>
      </c>
      <c r="AB207" s="1" t="s">
        <v>1507</v>
      </c>
      <c r="AC207" s="1" t="s">
        <v>11983</v>
      </c>
      <c r="AD207" s="1" t="s">
        <v>1507</v>
      </c>
      <c r="AE207" s="1" t="s">
        <v>1507</v>
      </c>
      <c r="AF207" s="1" t="s">
        <v>1507</v>
      </c>
      <c r="AG207" s="1" t="s">
        <v>1507</v>
      </c>
      <c r="AH207" s="1">
        <v>34</v>
      </c>
      <c r="AI207" s="1">
        <v>0</v>
      </c>
      <c r="AJ207" s="1">
        <v>0</v>
      </c>
      <c r="AK207" s="1">
        <v>0</v>
      </c>
      <c r="AL207" s="1">
        <v>3</v>
      </c>
      <c r="AM207" s="1" t="s">
        <v>11984</v>
      </c>
      <c r="AN207" s="1" t="s">
        <v>11985</v>
      </c>
      <c r="AO207" s="1" t="s">
        <v>11986</v>
      </c>
      <c r="AP207" s="1" t="s">
        <v>11987</v>
      </c>
      <c r="AQ207" s="1" t="s">
        <v>11988</v>
      </c>
      <c r="AR207" s="1" t="s">
        <v>1507</v>
      </c>
      <c r="AS207" s="1" t="s">
        <v>11989</v>
      </c>
      <c r="AT207" s="1" t="s">
        <v>11990</v>
      </c>
      <c r="AU207" s="1" t="s">
        <v>1507</v>
      </c>
      <c r="AV207" s="1">
        <v>2018</v>
      </c>
      <c r="AW207" s="1">
        <v>67</v>
      </c>
      <c r="AX207" s="1">
        <v>3</v>
      </c>
      <c r="AY207" s="1" t="s">
        <v>1507</v>
      </c>
      <c r="AZ207" s="1" t="s">
        <v>1507</v>
      </c>
      <c r="BA207" s="1" t="s">
        <v>1507</v>
      </c>
      <c r="BB207" s="1" t="s">
        <v>1507</v>
      </c>
      <c r="BC207" s="1">
        <v>218</v>
      </c>
      <c r="BD207" s="1">
        <v>225</v>
      </c>
      <c r="BE207" s="1" t="s">
        <v>1507</v>
      </c>
      <c r="BF207" s="1" t="s">
        <v>11991</v>
      </c>
      <c r="BG207" s="1" t="str">
        <f>HYPERLINK("http://dx.doi.org/10.7727/wimj.2017.222","http://dx.doi.org/10.7727/wimj.2017.222")</f>
        <v>http://dx.doi.org/10.7727/wimj.2017.222</v>
      </c>
      <c r="BH207" s="1" t="s">
        <v>1507</v>
      </c>
      <c r="BI207" s="1" t="s">
        <v>1507</v>
      </c>
      <c r="BJ207" s="1">
        <v>8</v>
      </c>
      <c r="BK207" s="1" t="s">
        <v>1949</v>
      </c>
      <c r="BL207" s="1" t="s">
        <v>1598</v>
      </c>
      <c r="BM207" s="1" t="s">
        <v>1950</v>
      </c>
      <c r="BN207" s="1" t="s">
        <v>11992</v>
      </c>
      <c r="BO207" s="1" t="s">
        <v>1507</v>
      </c>
      <c r="BP207" s="1" t="s">
        <v>7776</v>
      </c>
      <c r="BQ207" s="1" t="s">
        <v>1507</v>
      </c>
      <c r="BR207" s="1" t="s">
        <v>1507</v>
      </c>
      <c r="BS207" s="1" t="s">
        <v>13744</v>
      </c>
      <c r="BT207" s="1" t="s">
        <v>11993</v>
      </c>
      <c r="BU207" s="1" t="str">
        <f>HYPERLINK("https%3A%2F%2Fwww.webofscience.com%2Fwos%2Fwoscc%2Ffull-record%2FWOS:000452531100005","View Full Record in Web of Science")</f>
        <v>View Full Record in Web of Science</v>
      </c>
    </row>
    <row r="208" spans="1:73" x14ac:dyDescent="0.25">
      <c r="A208" s="1">
        <v>231</v>
      </c>
      <c r="B208" s="1" t="s">
        <v>1506</v>
      </c>
      <c r="C208" s="1" t="s">
        <v>8702</v>
      </c>
      <c r="D208" s="1" t="s">
        <v>1507</v>
      </c>
      <c r="E208" s="1" t="s">
        <v>1507</v>
      </c>
      <c r="F208" s="1" t="s">
        <v>1507</v>
      </c>
      <c r="G208" s="1" t="s">
        <v>8703</v>
      </c>
      <c r="H208" s="1" t="s">
        <v>1507</v>
      </c>
      <c r="I208" s="1" t="s">
        <v>1507</v>
      </c>
      <c r="J208" s="1" t="s">
        <v>8704</v>
      </c>
      <c r="K208" s="1" t="s">
        <v>5034</v>
      </c>
      <c r="L208" s="1" t="s">
        <v>1507</v>
      </c>
      <c r="M208" s="1" t="s">
        <v>1507</v>
      </c>
      <c r="N208" s="1" t="s">
        <v>42</v>
      </c>
      <c r="O208" s="1" t="s">
        <v>56</v>
      </c>
      <c r="P208" s="1" t="s">
        <v>1507</v>
      </c>
      <c r="Q208" s="1" t="s">
        <v>1507</v>
      </c>
      <c r="R208" s="1" t="s">
        <v>1507</v>
      </c>
      <c r="S208" s="1" t="s">
        <v>1507</v>
      </c>
      <c r="T208" s="1" t="s">
        <v>1507</v>
      </c>
      <c r="U208" s="1" t="s">
        <v>1507</v>
      </c>
      <c r="V208" s="1" t="s">
        <v>8705</v>
      </c>
      <c r="W208" s="1" t="s">
        <v>1507</v>
      </c>
      <c r="X208" s="1" t="s">
        <v>8706</v>
      </c>
      <c r="Y208" s="1" t="s">
        <v>5341</v>
      </c>
      <c r="Z208" s="1" t="s">
        <v>8707</v>
      </c>
      <c r="AA208" s="1" t="s">
        <v>1507</v>
      </c>
      <c r="AB208" s="1" t="s">
        <v>1507</v>
      </c>
      <c r="AC208" s="1" t="s">
        <v>1507</v>
      </c>
      <c r="AD208" s="1" t="s">
        <v>8708</v>
      </c>
      <c r="AE208" s="1" t="s">
        <v>8708</v>
      </c>
      <c r="AF208" s="1" t="s">
        <v>8709</v>
      </c>
      <c r="AG208" s="1" t="s">
        <v>1507</v>
      </c>
      <c r="AH208" s="1">
        <v>58</v>
      </c>
      <c r="AI208" s="1">
        <v>1</v>
      </c>
      <c r="AJ208" s="1">
        <v>1</v>
      </c>
      <c r="AK208" s="1">
        <v>0</v>
      </c>
      <c r="AL208" s="1">
        <v>1</v>
      </c>
      <c r="AM208" s="1" t="s">
        <v>3500</v>
      </c>
      <c r="AN208" s="1" t="s">
        <v>3501</v>
      </c>
      <c r="AO208" s="1" t="s">
        <v>3502</v>
      </c>
      <c r="AP208" s="1" t="s">
        <v>5041</v>
      </c>
      <c r="AQ208" s="1" t="s">
        <v>5042</v>
      </c>
      <c r="AR208" s="1" t="s">
        <v>1507</v>
      </c>
      <c r="AS208" s="1" t="s">
        <v>5043</v>
      </c>
      <c r="AT208" s="1" t="s">
        <v>5044</v>
      </c>
      <c r="AU208" s="1" t="s">
        <v>5045</v>
      </c>
      <c r="AV208" s="1">
        <v>2021</v>
      </c>
      <c r="AW208" s="1">
        <v>29</v>
      </c>
      <c r="AX208" s="1">
        <v>2</v>
      </c>
      <c r="AY208" s="1" t="s">
        <v>1507</v>
      </c>
      <c r="AZ208" s="1" t="s">
        <v>1507</v>
      </c>
      <c r="BA208" s="1" t="s">
        <v>1507</v>
      </c>
      <c r="BB208" s="1" t="s">
        <v>1507</v>
      </c>
      <c r="BC208" s="1">
        <v>263</v>
      </c>
      <c r="BD208" s="1">
        <v>287</v>
      </c>
      <c r="BE208" s="1" t="s">
        <v>1507</v>
      </c>
      <c r="BF208" s="1" t="s">
        <v>8710</v>
      </c>
      <c r="BG208" s="1" t="str">
        <f>HYPERLINK("http://dx.doi.org/10.3366/ajicl.2021.0363","http://dx.doi.org/10.3366/ajicl.2021.0363")</f>
        <v>http://dx.doi.org/10.3366/ajicl.2021.0363</v>
      </c>
      <c r="BH208" s="1" t="s">
        <v>1507</v>
      </c>
      <c r="BI208" s="1" t="s">
        <v>1507</v>
      </c>
      <c r="BJ208" s="1">
        <v>25</v>
      </c>
      <c r="BK208" s="1" t="s">
        <v>1535</v>
      </c>
      <c r="BL208" s="1" t="s">
        <v>1529</v>
      </c>
      <c r="BM208" s="1" t="s">
        <v>1536</v>
      </c>
      <c r="BN208" s="1" t="s">
        <v>8711</v>
      </c>
      <c r="BO208" s="1" t="s">
        <v>1507</v>
      </c>
      <c r="BP208" s="1" t="s">
        <v>1507</v>
      </c>
      <c r="BQ208" s="1" t="s">
        <v>1507</v>
      </c>
      <c r="BR208" s="1" t="s">
        <v>1507</v>
      </c>
      <c r="BS208" s="1" t="s">
        <v>13744</v>
      </c>
      <c r="BT208" s="1" t="s">
        <v>8712</v>
      </c>
      <c r="BU208" s="1" t="str">
        <f>HYPERLINK("https%3A%2F%2Fwww.webofscience.com%2Fwos%2Fwoscc%2Ffull-record%2FWOS:000646952100005","View Full Record in Web of Science")</f>
        <v>View Full Record in Web of Science</v>
      </c>
    </row>
    <row r="209" spans="1:73" x14ac:dyDescent="0.25">
      <c r="A209" s="1">
        <v>232</v>
      </c>
      <c r="B209" s="1" t="s">
        <v>1506</v>
      </c>
      <c r="C209" s="1" t="s">
        <v>5959</v>
      </c>
      <c r="D209" s="1" t="s">
        <v>1507</v>
      </c>
      <c r="E209" s="1" t="s">
        <v>1507</v>
      </c>
      <c r="F209" s="1" t="s">
        <v>1507</v>
      </c>
      <c r="G209" s="1" t="s">
        <v>5960</v>
      </c>
      <c r="H209" s="1" t="s">
        <v>1507</v>
      </c>
      <c r="I209" s="1" t="s">
        <v>1507</v>
      </c>
      <c r="J209" s="1" t="s">
        <v>5961</v>
      </c>
      <c r="K209" s="1" t="s">
        <v>5962</v>
      </c>
      <c r="L209" s="1" t="s">
        <v>1507</v>
      </c>
      <c r="M209" s="1" t="s">
        <v>1507</v>
      </c>
      <c r="N209" s="1" t="s">
        <v>42</v>
      </c>
      <c r="O209" s="1" t="s">
        <v>56</v>
      </c>
      <c r="P209" s="1" t="s">
        <v>1507</v>
      </c>
      <c r="Q209" s="1" t="s">
        <v>1507</v>
      </c>
      <c r="R209" s="1" t="s">
        <v>1507</v>
      </c>
      <c r="S209" s="1" t="s">
        <v>1507</v>
      </c>
      <c r="T209" s="1" t="s">
        <v>1507</v>
      </c>
      <c r="U209" s="1" t="s">
        <v>5963</v>
      </c>
      <c r="V209" s="1" t="s">
        <v>4023</v>
      </c>
      <c r="W209" s="1" t="s">
        <v>5964</v>
      </c>
      <c r="X209" s="1" t="s">
        <v>5965</v>
      </c>
      <c r="Y209" s="1" t="s">
        <v>5966</v>
      </c>
      <c r="Z209" s="1" t="s">
        <v>5967</v>
      </c>
      <c r="AA209" s="1" t="s">
        <v>3463</v>
      </c>
      <c r="AB209" s="1" t="s">
        <v>3464</v>
      </c>
      <c r="AC209" s="1" t="s">
        <v>15036</v>
      </c>
      <c r="AD209" s="1" t="s">
        <v>1507</v>
      </c>
      <c r="AE209" s="1" t="s">
        <v>1507</v>
      </c>
      <c r="AF209" s="1" t="s">
        <v>1507</v>
      </c>
      <c r="AG209" s="1" t="s">
        <v>1507</v>
      </c>
      <c r="AH209" s="1">
        <v>27</v>
      </c>
      <c r="AI209" s="1">
        <v>9</v>
      </c>
      <c r="AJ209" s="1">
        <v>9</v>
      </c>
      <c r="AK209" s="1">
        <v>12</v>
      </c>
      <c r="AL209" s="1">
        <v>12</v>
      </c>
      <c r="AM209" s="1" t="s">
        <v>1667</v>
      </c>
      <c r="AN209" s="1" t="s">
        <v>1668</v>
      </c>
      <c r="AO209" s="1" t="s">
        <v>1669</v>
      </c>
      <c r="AP209" s="1" t="s">
        <v>1507</v>
      </c>
      <c r="AQ209" s="1" t="s">
        <v>5968</v>
      </c>
      <c r="AR209" s="1" t="s">
        <v>1507</v>
      </c>
      <c r="AS209" s="1" t="s">
        <v>5969</v>
      </c>
      <c r="AT209" s="1" t="s">
        <v>5970</v>
      </c>
      <c r="AU209" s="1" t="s">
        <v>1507</v>
      </c>
      <c r="AV209" s="1">
        <v>2023</v>
      </c>
      <c r="AW209" s="1">
        <v>11</v>
      </c>
      <c r="AX209" s="1" t="s">
        <v>1507</v>
      </c>
      <c r="AY209" s="1" t="s">
        <v>1507</v>
      </c>
      <c r="AZ209" s="1" t="s">
        <v>1507</v>
      </c>
      <c r="BA209" s="1" t="s">
        <v>1507</v>
      </c>
      <c r="BB209" s="1" t="s">
        <v>1507</v>
      </c>
      <c r="BC209" s="1" t="s">
        <v>1507</v>
      </c>
      <c r="BD209" s="1" t="s">
        <v>1507</v>
      </c>
      <c r="BE209" s="1" t="s">
        <v>1277</v>
      </c>
      <c r="BF209" s="1" t="s">
        <v>1278</v>
      </c>
      <c r="BG209" s="1" t="str">
        <f>HYPERLINK("http://dx.doi.org/10.2196/48808","http://dx.doi.org/10.2196/48808")</f>
        <v>http://dx.doi.org/10.2196/48808</v>
      </c>
      <c r="BH209" s="1" t="s">
        <v>1507</v>
      </c>
      <c r="BI209" s="1" t="s">
        <v>1507</v>
      </c>
      <c r="BJ209" s="1">
        <v>11</v>
      </c>
      <c r="BK209" s="1" t="s">
        <v>5971</v>
      </c>
      <c r="BL209" s="1" t="s">
        <v>1573</v>
      </c>
      <c r="BM209" s="1" t="s">
        <v>5971</v>
      </c>
      <c r="BN209" s="1" t="s">
        <v>5972</v>
      </c>
      <c r="BO209" s="1">
        <v>37812468</v>
      </c>
      <c r="BP209" s="1" t="s">
        <v>1952</v>
      </c>
      <c r="BQ209" s="1" t="s">
        <v>1507</v>
      </c>
      <c r="BR209" s="1" t="s">
        <v>1507</v>
      </c>
      <c r="BS209" s="1" t="s">
        <v>13744</v>
      </c>
      <c r="BT209" s="1" t="s">
        <v>5973</v>
      </c>
      <c r="BU209" s="1" t="str">
        <f>HYPERLINK("https%3A%2F%2Fwww.webofscience.com%2Fwos%2Fwoscc%2Ffull-record%2FWOS:001085515100002","View Full Record in Web of Science")</f>
        <v>View Full Record in Web of Science</v>
      </c>
    </row>
    <row r="210" spans="1:73" x14ac:dyDescent="0.25">
      <c r="A210" s="1">
        <v>233</v>
      </c>
      <c r="B210" s="1" t="s">
        <v>1506</v>
      </c>
      <c r="C210" s="1" t="s">
        <v>3454</v>
      </c>
      <c r="D210" s="1" t="s">
        <v>1507</v>
      </c>
      <c r="E210" s="1" t="s">
        <v>1507</v>
      </c>
      <c r="F210" s="1" t="s">
        <v>1507</v>
      </c>
      <c r="G210" s="1" t="s">
        <v>3455</v>
      </c>
      <c r="H210" s="1" t="s">
        <v>1507</v>
      </c>
      <c r="I210" s="1" t="s">
        <v>1507</v>
      </c>
      <c r="J210" s="1" t="s">
        <v>3456</v>
      </c>
      <c r="K210" s="1" t="s">
        <v>3457</v>
      </c>
      <c r="L210" s="1" t="s">
        <v>1507</v>
      </c>
      <c r="M210" s="1" t="s">
        <v>1507</v>
      </c>
      <c r="N210" s="1" t="s">
        <v>42</v>
      </c>
      <c r="O210" s="1" t="s">
        <v>56</v>
      </c>
      <c r="P210" s="1" t="s">
        <v>1507</v>
      </c>
      <c r="Q210" s="1" t="s">
        <v>1507</v>
      </c>
      <c r="R210" s="1" t="s">
        <v>1507</v>
      </c>
      <c r="S210" s="1" t="s">
        <v>1507</v>
      </c>
      <c r="T210" s="1" t="s">
        <v>1507</v>
      </c>
      <c r="U210" s="1" t="s">
        <v>3458</v>
      </c>
      <c r="V210" s="1" t="s">
        <v>1507</v>
      </c>
      <c r="W210" s="1" t="s">
        <v>3459</v>
      </c>
      <c r="X210" s="1" t="s">
        <v>3460</v>
      </c>
      <c r="Y210" s="1" t="s">
        <v>3461</v>
      </c>
      <c r="Z210" s="1" t="s">
        <v>3462</v>
      </c>
      <c r="AA210" s="1" t="s">
        <v>3463</v>
      </c>
      <c r="AB210" s="1" t="s">
        <v>3464</v>
      </c>
      <c r="AC210" s="1" t="s">
        <v>3465</v>
      </c>
      <c r="AD210" s="1" t="s">
        <v>3466</v>
      </c>
      <c r="AE210" s="1" t="s">
        <v>3466</v>
      </c>
      <c r="AF210" s="1" t="s">
        <v>3466</v>
      </c>
      <c r="AG210" s="1" t="s">
        <v>1507</v>
      </c>
      <c r="AH210" s="1">
        <v>10</v>
      </c>
      <c r="AI210" s="1">
        <v>1</v>
      </c>
      <c r="AJ210" s="1">
        <v>1</v>
      </c>
      <c r="AK210" s="1">
        <v>18</v>
      </c>
      <c r="AL210" s="1">
        <v>19</v>
      </c>
      <c r="AM210" s="1" t="s">
        <v>1689</v>
      </c>
      <c r="AN210" s="1" t="s">
        <v>1592</v>
      </c>
      <c r="AO210" s="1" t="s">
        <v>1690</v>
      </c>
      <c r="AP210" s="1" t="s">
        <v>3467</v>
      </c>
      <c r="AQ210" s="1" t="s">
        <v>3468</v>
      </c>
      <c r="AR210" s="1" t="s">
        <v>1507</v>
      </c>
      <c r="AS210" s="1" t="s">
        <v>3457</v>
      </c>
      <c r="AT210" s="1" t="s">
        <v>3469</v>
      </c>
      <c r="AU210" s="1" t="s">
        <v>14307</v>
      </c>
      <c r="AV210" s="1">
        <v>2024</v>
      </c>
      <c r="AW210" s="1">
        <v>11</v>
      </c>
      <c r="AX210" s="1">
        <v>1</v>
      </c>
      <c r="AY210" s="1" t="s">
        <v>1507</v>
      </c>
      <c r="AZ210" s="1" t="s">
        <v>1507</v>
      </c>
      <c r="BA210" s="1" t="s">
        <v>1507</v>
      </c>
      <c r="BB210" s="1" t="s">
        <v>1507</v>
      </c>
      <c r="BC210" s="1">
        <v>102</v>
      </c>
      <c r="BD210" s="1">
        <v>105</v>
      </c>
      <c r="BE210" s="1" t="s">
        <v>1507</v>
      </c>
      <c r="BF210" s="1" t="s">
        <v>3470</v>
      </c>
      <c r="BG210" s="1" t="str">
        <f>HYPERLINK("http://dx.doi.org/10.1515/dx-2023-0116","http://dx.doi.org/10.1515/dx-2023-0116")</f>
        <v>http://dx.doi.org/10.1515/dx-2023-0116</v>
      </c>
      <c r="BH210" s="1" t="s">
        <v>1507</v>
      </c>
      <c r="BI210" s="1" t="s">
        <v>2891</v>
      </c>
      <c r="BJ210" s="1">
        <v>4</v>
      </c>
      <c r="BK210" s="1" t="s">
        <v>1949</v>
      </c>
      <c r="BL210" s="1" t="s">
        <v>1529</v>
      </c>
      <c r="BM210" s="1" t="s">
        <v>1950</v>
      </c>
      <c r="BN210" s="1" t="s">
        <v>14308</v>
      </c>
      <c r="BO210" s="1">
        <v>37779351</v>
      </c>
      <c r="BP210" s="1" t="s">
        <v>1507</v>
      </c>
      <c r="BQ210" s="1" t="s">
        <v>1507</v>
      </c>
      <c r="BR210" s="1" t="s">
        <v>1507</v>
      </c>
      <c r="BS210" s="1" t="s">
        <v>13744</v>
      </c>
      <c r="BT210" s="1" t="s">
        <v>3471</v>
      </c>
      <c r="BU210" s="1" t="str">
        <f>HYPERLINK("https%3A%2F%2Fwww.webofscience.com%2Fwos%2Fwoscc%2Ffull-record%2FWOS:001077103200001","View Full Record in Web of Science")</f>
        <v>View Full Record in Web of Science</v>
      </c>
    </row>
    <row r="211" spans="1:73" x14ac:dyDescent="0.25">
      <c r="A211" s="1">
        <v>234</v>
      </c>
      <c r="B211" s="1" t="s">
        <v>1506</v>
      </c>
      <c r="C211" s="1" t="s">
        <v>2084</v>
      </c>
      <c r="D211" s="1" t="s">
        <v>1507</v>
      </c>
      <c r="E211" s="1" t="s">
        <v>1507</v>
      </c>
      <c r="F211" s="1" t="s">
        <v>1507</v>
      </c>
      <c r="G211" s="1" t="s">
        <v>2085</v>
      </c>
      <c r="H211" s="1" t="s">
        <v>1507</v>
      </c>
      <c r="I211" s="1" t="s">
        <v>1507</v>
      </c>
      <c r="J211" s="1" t="s">
        <v>2086</v>
      </c>
      <c r="K211" s="1" t="s">
        <v>2087</v>
      </c>
      <c r="L211" s="1" t="s">
        <v>1507</v>
      </c>
      <c r="M211" s="1" t="s">
        <v>1507</v>
      </c>
      <c r="N211" s="1" t="s">
        <v>42</v>
      </c>
      <c r="O211" s="1" t="s">
        <v>56</v>
      </c>
      <c r="P211" s="1" t="s">
        <v>1507</v>
      </c>
      <c r="Q211" s="1" t="s">
        <v>1507</v>
      </c>
      <c r="R211" s="1" t="s">
        <v>1507</v>
      </c>
      <c r="S211" s="1" t="s">
        <v>1507</v>
      </c>
      <c r="T211" s="1" t="s">
        <v>1507</v>
      </c>
      <c r="U211" s="1" t="s">
        <v>2088</v>
      </c>
      <c r="V211" s="1" t="s">
        <v>1507</v>
      </c>
      <c r="W211" s="1" t="s">
        <v>2089</v>
      </c>
      <c r="X211" s="1" t="s">
        <v>2090</v>
      </c>
      <c r="Y211" s="1" t="s">
        <v>2091</v>
      </c>
      <c r="Z211" s="1" t="s">
        <v>2092</v>
      </c>
      <c r="AA211" s="1" t="s">
        <v>2093</v>
      </c>
      <c r="AB211" s="1" t="s">
        <v>1507</v>
      </c>
      <c r="AC211" s="1" t="s">
        <v>2094</v>
      </c>
      <c r="AD211" s="1" t="s">
        <v>2095</v>
      </c>
      <c r="AE211" s="1" t="s">
        <v>2096</v>
      </c>
      <c r="AF211" s="1" t="s">
        <v>2097</v>
      </c>
      <c r="AG211" s="1" t="s">
        <v>1507</v>
      </c>
      <c r="AH211" s="1">
        <v>53</v>
      </c>
      <c r="AI211" s="1">
        <v>2</v>
      </c>
      <c r="AJ211" s="1">
        <v>2</v>
      </c>
      <c r="AK211" s="1">
        <v>0</v>
      </c>
      <c r="AL211" s="1">
        <v>0</v>
      </c>
      <c r="AM211" s="1" t="s">
        <v>1511</v>
      </c>
      <c r="AN211" s="1" t="s">
        <v>1512</v>
      </c>
      <c r="AO211" s="1" t="s">
        <v>1513</v>
      </c>
      <c r="AP211" s="1" t="s">
        <v>2098</v>
      </c>
      <c r="AQ211" s="1" t="s">
        <v>1507</v>
      </c>
      <c r="AR211" s="1" t="s">
        <v>1507</v>
      </c>
      <c r="AS211" s="1" t="s">
        <v>2099</v>
      </c>
      <c r="AT211" s="1" t="s">
        <v>2100</v>
      </c>
      <c r="AU211" s="1" t="s">
        <v>2101</v>
      </c>
      <c r="AV211" s="1">
        <v>2023</v>
      </c>
      <c r="AW211" s="1" t="s">
        <v>1507</v>
      </c>
      <c r="AX211" s="1">
        <v>12</v>
      </c>
      <c r="AY211" s="1" t="s">
        <v>1507</v>
      </c>
      <c r="AZ211" s="1" t="s">
        <v>1507</v>
      </c>
      <c r="BA211" s="1" t="s">
        <v>1507</v>
      </c>
      <c r="BB211" s="1" t="s">
        <v>1507</v>
      </c>
      <c r="BC211" s="1" t="s">
        <v>1507</v>
      </c>
      <c r="BD211" s="1" t="s">
        <v>1507</v>
      </c>
      <c r="BE211" s="1">
        <v>46</v>
      </c>
      <c r="BF211" s="1" t="s">
        <v>2102</v>
      </c>
      <c r="BG211" s="1" t="str">
        <f>HYPERLINK("http://dx.doi.org/10.1007/JHEP12(2023)046","http://dx.doi.org/10.1007/JHEP12(2023)046")</f>
        <v>http://dx.doi.org/10.1007/JHEP12(2023)046</v>
      </c>
      <c r="BH211" s="1" t="s">
        <v>1507</v>
      </c>
      <c r="BI211" s="1" t="s">
        <v>1507</v>
      </c>
      <c r="BJ211" s="1">
        <v>33</v>
      </c>
      <c r="BK211" s="1" t="s">
        <v>2103</v>
      </c>
      <c r="BL211" s="1" t="s">
        <v>1573</v>
      </c>
      <c r="BM211" s="1" t="s">
        <v>2104</v>
      </c>
      <c r="BN211" s="1" t="s">
        <v>2105</v>
      </c>
      <c r="BO211" s="1" t="s">
        <v>1507</v>
      </c>
      <c r="BP211" s="1" t="s">
        <v>1553</v>
      </c>
      <c r="BQ211" s="1" t="s">
        <v>1507</v>
      </c>
      <c r="BR211" s="1" t="s">
        <v>1507</v>
      </c>
      <c r="BS211" s="1" t="s">
        <v>13744</v>
      </c>
      <c r="BT211" s="1" t="s">
        <v>2106</v>
      </c>
      <c r="BU211" s="1" t="str">
        <f>HYPERLINK("https%3A%2F%2Fwww.webofscience.com%2Fwos%2Fwoscc%2Ffull-record%2FWOS:001120634400001","View Full Record in Web of Science")</f>
        <v>View Full Record in Web of Science</v>
      </c>
    </row>
    <row r="212" spans="1:73" x14ac:dyDescent="0.25">
      <c r="A212" s="1">
        <v>235</v>
      </c>
      <c r="B212" s="1" t="s">
        <v>1506</v>
      </c>
      <c r="C212" s="1" t="s">
        <v>11694</v>
      </c>
      <c r="D212" s="1" t="s">
        <v>1507</v>
      </c>
      <c r="E212" s="1" t="s">
        <v>1507</v>
      </c>
      <c r="F212" s="1" t="s">
        <v>1507</v>
      </c>
      <c r="G212" s="1" t="s">
        <v>11695</v>
      </c>
      <c r="H212" s="1" t="s">
        <v>1507</v>
      </c>
      <c r="I212" s="1" t="s">
        <v>1507</v>
      </c>
      <c r="J212" s="1" t="s">
        <v>11696</v>
      </c>
      <c r="K212" s="1" t="s">
        <v>11697</v>
      </c>
      <c r="L212" s="1" t="s">
        <v>1507</v>
      </c>
      <c r="M212" s="1" t="s">
        <v>1507</v>
      </c>
      <c r="N212" s="1" t="s">
        <v>42</v>
      </c>
      <c r="O212" s="1" t="s">
        <v>56</v>
      </c>
      <c r="P212" s="1" t="s">
        <v>1507</v>
      </c>
      <c r="Q212" s="1" t="s">
        <v>1507</v>
      </c>
      <c r="R212" s="1" t="s">
        <v>1507</v>
      </c>
      <c r="S212" s="1" t="s">
        <v>1507</v>
      </c>
      <c r="T212" s="1" t="s">
        <v>1507</v>
      </c>
      <c r="U212" s="1" t="s">
        <v>11698</v>
      </c>
      <c r="V212" s="1" t="s">
        <v>11699</v>
      </c>
      <c r="W212" s="1" t="s">
        <v>11700</v>
      </c>
      <c r="X212" s="1" t="s">
        <v>11701</v>
      </c>
      <c r="Y212" s="1" t="s">
        <v>11702</v>
      </c>
      <c r="Z212" s="1" t="s">
        <v>11703</v>
      </c>
      <c r="AA212" s="1" t="s">
        <v>11704</v>
      </c>
      <c r="AB212" s="1" t="s">
        <v>1507</v>
      </c>
      <c r="AC212" s="1" t="s">
        <v>11705</v>
      </c>
      <c r="AD212" s="1" t="s">
        <v>11706</v>
      </c>
      <c r="AE212" s="1" t="s">
        <v>11707</v>
      </c>
      <c r="AF212" s="1" t="s">
        <v>11708</v>
      </c>
      <c r="AG212" s="1" t="s">
        <v>1507</v>
      </c>
      <c r="AH212" s="1">
        <v>73</v>
      </c>
      <c r="AI212" s="1">
        <v>10</v>
      </c>
      <c r="AJ212" s="1">
        <v>11</v>
      </c>
      <c r="AK212" s="1">
        <v>1</v>
      </c>
      <c r="AL212" s="1">
        <v>22</v>
      </c>
      <c r="AM212" s="1" t="s">
        <v>11014</v>
      </c>
      <c r="AN212" s="1" t="s">
        <v>11015</v>
      </c>
      <c r="AO212" s="1" t="s">
        <v>11016</v>
      </c>
      <c r="AP212" s="1" t="s">
        <v>11709</v>
      </c>
      <c r="AQ212" s="1" t="s">
        <v>11710</v>
      </c>
      <c r="AR212" s="1" t="s">
        <v>1507</v>
      </c>
      <c r="AS212" s="1" t="s">
        <v>11711</v>
      </c>
      <c r="AT212" s="1" t="s">
        <v>11712</v>
      </c>
      <c r="AU212" s="1" t="s">
        <v>4721</v>
      </c>
      <c r="AV212" s="1">
        <v>2018</v>
      </c>
      <c r="AW212" s="1">
        <v>37</v>
      </c>
      <c r="AX212" s="1">
        <v>3</v>
      </c>
      <c r="AY212" s="1" t="s">
        <v>1507</v>
      </c>
      <c r="AZ212" s="1" t="s">
        <v>1507</v>
      </c>
      <c r="BA212" s="1" t="s">
        <v>1507</v>
      </c>
      <c r="BB212" s="1" t="s">
        <v>1507</v>
      </c>
      <c r="BC212" s="1">
        <v>131</v>
      </c>
      <c r="BD212" s="1">
        <v>161</v>
      </c>
      <c r="BE212" s="1" t="s">
        <v>1507</v>
      </c>
      <c r="BF212" s="1" t="s">
        <v>11713</v>
      </c>
      <c r="BG212" s="1" t="str">
        <f>HYPERLINK("http://dx.doi.org/10.1089/blr.2018.29073.cmh","http://dx.doi.org/10.1089/blr.2018.29073.cmh")</f>
        <v>http://dx.doi.org/10.1089/blr.2018.29073.cmh</v>
      </c>
      <c r="BH212" s="1" t="s">
        <v>1507</v>
      </c>
      <c r="BI212" s="1" t="s">
        <v>1507</v>
      </c>
      <c r="BJ212" s="1">
        <v>31</v>
      </c>
      <c r="BK212" s="1" t="s">
        <v>5447</v>
      </c>
      <c r="BL212" s="1" t="s">
        <v>1598</v>
      </c>
      <c r="BM212" s="1" t="s">
        <v>5447</v>
      </c>
      <c r="BN212" s="1" t="s">
        <v>11714</v>
      </c>
      <c r="BO212" s="1" t="s">
        <v>1507</v>
      </c>
      <c r="BP212" s="1" t="s">
        <v>1600</v>
      </c>
      <c r="BQ212" s="1" t="s">
        <v>1507</v>
      </c>
      <c r="BR212" s="1" t="s">
        <v>1507</v>
      </c>
      <c r="BS212" s="1" t="s">
        <v>13744</v>
      </c>
      <c r="BT212" s="1" t="s">
        <v>11715</v>
      </c>
      <c r="BU212" s="1" t="str">
        <f>HYPERLINK("https%3A%2F%2Fwww.webofscience.com%2Fwos%2Fwoscc%2Ffull-record%2FWOS:000435327500007","View Full Record in Web of Science")</f>
        <v>View Full Record in Web of Science</v>
      </c>
    </row>
    <row r="213" spans="1:73" x14ac:dyDescent="0.25">
      <c r="A213" s="1">
        <v>236</v>
      </c>
      <c r="B213" s="1" t="s">
        <v>1506</v>
      </c>
      <c r="C213" s="1" t="s">
        <v>9106</v>
      </c>
      <c r="D213" s="1" t="s">
        <v>1507</v>
      </c>
      <c r="E213" s="1" t="s">
        <v>1507</v>
      </c>
      <c r="F213" s="1" t="s">
        <v>1507</v>
      </c>
      <c r="G213" s="1" t="s">
        <v>9107</v>
      </c>
      <c r="H213" s="1" t="s">
        <v>1507</v>
      </c>
      <c r="I213" s="1" t="s">
        <v>1507</v>
      </c>
      <c r="J213" s="1" t="s">
        <v>9108</v>
      </c>
      <c r="K213" s="1" t="s">
        <v>7538</v>
      </c>
      <c r="L213" s="1" t="s">
        <v>1507</v>
      </c>
      <c r="M213" s="1" t="s">
        <v>1507</v>
      </c>
      <c r="N213" s="1" t="s">
        <v>42</v>
      </c>
      <c r="O213" s="1" t="s">
        <v>56</v>
      </c>
      <c r="P213" s="1" t="s">
        <v>1507</v>
      </c>
      <c r="Q213" s="1" t="s">
        <v>1507</v>
      </c>
      <c r="R213" s="1" t="s">
        <v>1507</v>
      </c>
      <c r="S213" s="1" t="s">
        <v>1507</v>
      </c>
      <c r="T213" s="1" t="s">
        <v>1507</v>
      </c>
      <c r="U213" s="1" t="s">
        <v>9109</v>
      </c>
      <c r="V213" s="1" t="s">
        <v>9110</v>
      </c>
      <c r="W213" s="1" t="s">
        <v>9111</v>
      </c>
      <c r="X213" s="1" t="s">
        <v>9112</v>
      </c>
      <c r="Y213" s="1" t="s">
        <v>9113</v>
      </c>
      <c r="Z213" s="1" t="s">
        <v>9114</v>
      </c>
      <c r="AA213" s="1" t="s">
        <v>7545</v>
      </c>
      <c r="AB213" s="1" t="s">
        <v>9115</v>
      </c>
      <c r="AC213" s="1" t="s">
        <v>7546</v>
      </c>
      <c r="AD213" s="1" t="s">
        <v>7547</v>
      </c>
      <c r="AE213" s="1" t="s">
        <v>7548</v>
      </c>
      <c r="AF213" s="1" t="s">
        <v>9116</v>
      </c>
      <c r="AG213" s="1" t="s">
        <v>1507</v>
      </c>
      <c r="AH213" s="1">
        <v>63</v>
      </c>
      <c r="AI213" s="1">
        <v>81</v>
      </c>
      <c r="AJ213" s="1">
        <v>84</v>
      </c>
      <c r="AK213" s="1">
        <v>1</v>
      </c>
      <c r="AL213" s="1">
        <v>34</v>
      </c>
      <c r="AM213" s="1" t="s">
        <v>2372</v>
      </c>
      <c r="AN213" s="1" t="s">
        <v>2300</v>
      </c>
      <c r="AO213" s="1" t="s">
        <v>2373</v>
      </c>
      <c r="AP213" s="1" t="s">
        <v>7550</v>
      </c>
      <c r="AQ213" s="1" t="s">
        <v>7551</v>
      </c>
      <c r="AR213" s="1" t="s">
        <v>1507</v>
      </c>
      <c r="AS213" s="1" t="s">
        <v>7552</v>
      </c>
      <c r="AT213" s="1" t="s">
        <v>7553</v>
      </c>
      <c r="AU213" s="1" t="s">
        <v>15761</v>
      </c>
      <c r="AV213" s="1">
        <v>2021</v>
      </c>
      <c r="AW213" s="1">
        <v>13</v>
      </c>
      <c r="AX213" s="1">
        <v>5</v>
      </c>
      <c r="AY213" s="1" t="s">
        <v>1507</v>
      </c>
      <c r="AZ213" s="1" t="s">
        <v>1507</v>
      </c>
      <c r="BA213" s="1" t="s">
        <v>1507</v>
      </c>
      <c r="BB213" s="1" t="s">
        <v>1507</v>
      </c>
      <c r="BC213" s="1">
        <v>5919</v>
      </c>
      <c r="BD213" s="1">
        <v>5928</v>
      </c>
      <c r="BE213" s="1" t="s">
        <v>1507</v>
      </c>
      <c r="BF213" s="1" t="s">
        <v>9117</v>
      </c>
      <c r="BG213" s="1" t="str">
        <f>HYPERLINK("http://dx.doi.org/10.1021/acsami.0c19465","http://dx.doi.org/10.1021/acsami.0c19465")</f>
        <v>http://dx.doi.org/10.1021/acsami.0c19465</v>
      </c>
      <c r="BH213" s="1" t="s">
        <v>1507</v>
      </c>
      <c r="BI213" s="1" t="s">
        <v>9118</v>
      </c>
      <c r="BJ213" s="1">
        <v>10</v>
      </c>
      <c r="BK213" s="1" t="s">
        <v>7555</v>
      </c>
      <c r="BL213" s="1" t="s">
        <v>1573</v>
      </c>
      <c r="BM213" s="1" t="s">
        <v>7556</v>
      </c>
      <c r="BN213" s="1" t="s">
        <v>9119</v>
      </c>
      <c r="BO213" s="1">
        <v>33480246</v>
      </c>
      <c r="BP213" s="1" t="s">
        <v>9120</v>
      </c>
      <c r="BQ213" s="1" t="s">
        <v>1507</v>
      </c>
      <c r="BR213" s="1" t="s">
        <v>1507</v>
      </c>
      <c r="BS213" s="1" t="s">
        <v>13744</v>
      </c>
      <c r="BT213" s="1" t="s">
        <v>9121</v>
      </c>
      <c r="BU213" s="1" t="str">
        <f>HYPERLINK("https%3A%2F%2Fwww.webofscience.com%2Fwos%2Fwoscc%2Ffull-record%2FWOS:000619638400002","View Full Record in Web of Science")</f>
        <v>View Full Record in Web of Science</v>
      </c>
    </row>
    <row r="214" spans="1:73" x14ac:dyDescent="0.25">
      <c r="A214" s="1">
        <v>237</v>
      </c>
      <c r="B214" s="1" t="s">
        <v>1506</v>
      </c>
      <c r="C214" s="1" t="s">
        <v>7535</v>
      </c>
      <c r="D214" s="1" t="s">
        <v>1507</v>
      </c>
      <c r="E214" s="1" t="s">
        <v>1507</v>
      </c>
      <c r="F214" s="1" t="s">
        <v>1507</v>
      </c>
      <c r="G214" s="1" t="s">
        <v>7536</v>
      </c>
      <c r="H214" s="1" t="s">
        <v>1507</v>
      </c>
      <c r="I214" s="1" t="s">
        <v>1507</v>
      </c>
      <c r="J214" s="1" t="s">
        <v>7537</v>
      </c>
      <c r="K214" s="1" t="s">
        <v>7538</v>
      </c>
      <c r="L214" s="1" t="s">
        <v>1507</v>
      </c>
      <c r="M214" s="1" t="s">
        <v>1507</v>
      </c>
      <c r="N214" s="1" t="s">
        <v>42</v>
      </c>
      <c r="O214" s="1" t="s">
        <v>56</v>
      </c>
      <c r="P214" s="1" t="s">
        <v>1507</v>
      </c>
      <c r="Q214" s="1" t="s">
        <v>1507</v>
      </c>
      <c r="R214" s="1" t="s">
        <v>1507</v>
      </c>
      <c r="S214" s="1" t="s">
        <v>1507</v>
      </c>
      <c r="T214" s="1" t="s">
        <v>1507</v>
      </c>
      <c r="U214" s="1" t="s">
        <v>7539</v>
      </c>
      <c r="V214" s="1" t="s">
        <v>7540</v>
      </c>
      <c r="W214" s="1" t="s">
        <v>7541</v>
      </c>
      <c r="X214" s="1" t="s">
        <v>7542</v>
      </c>
      <c r="Y214" s="1" t="s">
        <v>7543</v>
      </c>
      <c r="Z214" s="1" t="s">
        <v>7544</v>
      </c>
      <c r="AA214" s="1" t="s">
        <v>7545</v>
      </c>
      <c r="AB214" s="1" t="s">
        <v>15657</v>
      </c>
      <c r="AC214" s="1" t="s">
        <v>7546</v>
      </c>
      <c r="AD214" s="1" t="s">
        <v>7547</v>
      </c>
      <c r="AE214" s="1" t="s">
        <v>7548</v>
      </c>
      <c r="AF214" s="1" t="s">
        <v>7549</v>
      </c>
      <c r="AG214" s="1" t="s">
        <v>1507</v>
      </c>
      <c r="AH214" s="1">
        <v>70</v>
      </c>
      <c r="AI214" s="1">
        <v>24</v>
      </c>
      <c r="AJ214" s="1">
        <v>25</v>
      </c>
      <c r="AK214" s="1">
        <v>4</v>
      </c>
      <c r="AL214" s="1">
        <v>29</v>
      </c>
      <c r="AM214" s="1" t="s">
        <v>2372</v>
      </c>
      <c r="AN214" s="1" t="s">
        <v>2300</v>
      </c>
      <c r="AO214" s="1" t="s">
        <v>2373</v>
      </c>
      <c r="AP214" s="1" t="s">
        <v>7550</v>
      </c>
      <c r="AQ214" s="1" t="s">
        <v>7551</v>
      </c>
      <c r="AR214" s="1" t="s">
        <v>1507</v>
      </c>
      <c r="AS214" s="1" t="s">
        <v>7552</v>
      </c>
      <c r="AT214" s="1" t="s">
        <v>7553</v>
      </c>
      <c r="AU214" s="1" t="s">
        <v>15658</v>
      </c>
      <c r="AV214" s="1">
        <v>2022</v>
      </c>
      <c r="AW214" s="1">
        <v>14</v>
      </c>
      <c r="AX214" s="1">
        <v>7</v>
      </c>
      <c r="AY214" s="1" t="s">
        <v>1507</v>
      </c>
      <c r="AZ214" s="1" t="s">
        <v>1507</v>
      </c>
      <c r="BA214" s="1" t="s">
        <v>1507</v>
      </c>
      <c r="BB214" s="1" t="s">
        <v>1507</v>
      </c>
      <c r="BC214" s="1">
        <v>8718</v>
      </c>
      <c r="BD214" s="1">
        <v>8727</v>
      </c>
      <c r="BE214" s="1" t="s">
        <v>1507</v>
      </c>
      <c r="BF214" s="1" t="s">
        <v>7554</v>
      </c>
      <c r="BG214" s="1" t="str">
        <f>HYPERLINK("http://dx.doi.org/10.1021/acsami.1c20872","http://dx.doi.org/10.1021/acsami.1c20872")</f>
        <v>http://dx.doi.org/10.1021/acsami.1c20872</v>
      </c>
      <c r="BH214" s="1" t="s">
        <v>1507</v>
      </c>
      <c r="BI214" s="1" t="s">
        <v>7483</v>
      </c>
      <c r="BJ214" s="1">
        <v>10</v>
      </c>
      <c r="BK214" s="1" t="s">
        <v>7555</v>
      </c>
      <c r="BL214" s="1" t="s">
        <v>1573</v>
      </c>
      <c r="BM214" s="1" t="s">
        <v>7556</v>
      </c>
      <c r="BN214" s="1" t="s">
        <v>7557</v>
      </c>
      <c r="BO214" s="1">
        <v>35138100</v>
      </c>
      <c r="BP214" s="1" t="s">
        <v>9945</v>
      </c>
      <c r="BQ214" s="1" t="s">
        <v>1507</v>
      </c>
      <c r="BR214" s="1" t="s">
        <v>1507</v>
      </c>
      <c r="BS214" s="1" t="s">
        <v>13744</v>
      </c>
      <c r="BT214" s="1" t="s">
        <v>7559</v>
      </c>
      <c r="BU214" s="1" t="str">
        <f>HYPERLINK("https%3A%2F%2Fwww.webofscience.com%2Fwos%2Fwoscc%2Ffull-record%2FWOS:000758019200001","View Full Record in Web of Science")</f>
        <v>View Full Record in Web of Science</v>
      </c>
    </row>
    <row r="215" spans="1:73" x14ac:dyDescent="0.25">
      <c r="A215" s="1">
        <v>238</v>
      </c>
      <c r="B215" s="1" t="s">
        <v>1506</v>
      </c>
      <c r="C215" s="1" t="s">
        <v>3421</v>
      </c>
      <c r="D215" s="1" t="s">
        <v>1507</v>
      </c>
      <c r="E215" s="1" t="s">
        <v>1507</v>
      </c>
      <c r="F215" s="1" t="s">
        <v>1507</v>
      </c>
      <c r="G215" s="1" t="s">
        <v>3422</v>
      </c>
      <c r="H215" s="1" t="s">
        <v>1507</v>
      </c>
      <c r="I215" s="1" t="s">
        <v>1507</v>
      </c>
      <c r="J215" s="1" t="s">
        <v>485</v>
      </c>
      <c r="K215" s="1" t="s">
        <v>1999</v>
      </c>
      <c r="L215" s="1" t="s">
        <v>1507</v>
      </c>
      <c r="M215" s="1" t="s">
        <v>1507</v>
      </c>
      <c r="N215" s="1" t="s">
        <v>42</v>
      </c>
      <c r="O215" s="1" t="s">
        <v>56</v>
      </c>
      <c r="P215" s="1" t="s">
        <v>1507</v>
      </c>
      <c r="Q215" s="1" t="s">
        <v>1507</v>
      </c>
      <c r="R215" s="1" t="s">
        <v>1507</v>
      </c>
      <c r="S215" s="1" t="s">
        <v>1507</v>
      </c>
      <c r="T215" s="1" t="s">
        <v>1507</v>
      </c>
      <c r="U215" s="1" t="s">
        <v>1507</v>
      </c>
      <c r="V215" s="1" t="s">
        <v>1507</v>
      </c>
      <c r="W215" s="1" t="s">
        <v>3423</v>
      </c>
      <c r="X215" s="1" t="s">
        <v>3424</v>
      </c>
      <c r="Y215" s="1" t="s">
        <v>3425</v>
      </c>
      <c r="Z215" s="1" t="s">
        <v>3426</v>
      </c>
      <c r="AA215" s="1" t="s">
        <v>3427</v>
      </c>
      <c r="AB215" s="1" t="s">
        <v>14303</v>
      </c>
      <c r="AC215" s="1" t="s">
        <v>14304</v>
      </c>
      <c r="AD215" s="1" t="s">
        <v>3428</v>
      </c>
      <c r="AE215" s="1" t="s">
        <v>3429</v>
      </c>
      <c r="AF215" s="1" t="s">
        <v>3430</v>
      </c>
      <c r="AG215" s="1" t="s">
        <v>1507</v>
      </c>
      <c r="AH215" s="1">
        <v>40</v>
      </c>
      <c r="AI215" s="1">
        <v>7</v>
      </c>
      <c r="AJ215" s="1">
        <v>7</v>
      </c>
      <c r="AK215" s="1">
        <v>17</v>
      </c>
      <c r="AL215" s="1">
        <v>18</v>
      </c>
      <c r="AM215" s="1" t="s">
        <v>2009</v>
      </c>
      <c r="AN215" s="1" t="s">
        <v>2010</v>
      </c>
      <c r="AO215" s="1" t="s">
        <v>2011</v>
      </c>
      <c r="AP215" s="1" t="s">
        <v>2012</v>
      </c>
      <c r="AQ215" s="1" t="s">
        <v>1507</v>
      </c>
      <c r="AR215" s="1" t="s">
        <v>1507</v>
      </c>
      <c r="AS215" s="1" t="s">
        <v>1999</v>
      </c>
      <c r="AT215" s="1" t="s">
        <v>2013</v>
      </c>
      <c r="AU215" s="1" t="s">
        <v>3431</v>
      </c>
      <c r="AV215" s="1">
        <v>2023</v>
      </c>
      <c r="AW215" s="1">
        <v>18</v>
      </c>
      <c r="AX215" s="1">
        <v>10</v>
      </c>
      <c r="AY215" s="1" t="s">
        <v>1507</v>
      </c>
      <c r="AZ215" s="1" t="s">
        <v>1507</v>
      </c>
      <c r="BA215" s="1" t="s">
        <v>1507</v>
      </c>
      <c r="BB215" s="1" t="s">
        <v>1507</v>
      </c>
      <c r="BC215" s="1" t="s">
        <v>1507</v>
      </c>
      <c r="BD215" s="1" t="s">
        <v>1507</v>
      </c>
      <c r="BE215" s="1" t="s">
        <v>488</v>
      </c>
      <c r="BF215" s="1" t="s">
        <v>489</v>
      </c>
      <c r="BG215" s="1" t="str">
        <f>HYPERLINK("http://dx.doi.org/10.1371/journal.pone.0292216","http://dx.doi.org/10.1371/journal.pone.0292216")</f>
        <v>http://dx.doi.org/10.1371/journal.pone.0292216</v>
      </c>
      <c r="BH215" s="1" t="s">
        <v>1507</v>
      </c>
      <c r="BI215" s="1" t="s">
        <v>1507</v>
      </c>
      <c r="BJ215" s="1">
        <v>14</v>
      </c>
      <c r="BK215" s="1" t="s">
        <v>1776</v>
      </c>
      <c r="BL215" s="1" t="s">
        <v>1573</v>
      </c>
      <c r="BM215" s="1" t="s">
        <v>1777</v>
      </c>
      <c r="BN215" s="1" t="s">
        <v>3432</v>
      </c>
      <c r="BO215" s="1">
        <v>37796786</v>
      </c>
      <c r="BP215" s="1" t="s">
        <v>2040</v>
      </c>
      <c r="BQ215" s="1" t="s">
        <v>1507</v>
      </c>
      <c r="BR215" s="1" t="s">
        <v>1507</v>
      </c>
      <c r="BS215" s="1" t="s">
        <v>13744</v>
      </c>
      <c r="BT215" s="1" t="s">
        <v>3434</v>
      </c>
      <c r="BU215" s="1" t="str">
        <f>HYPERLINK("https%3A%2F%2Fwww.webofscience.com%2Fwos%2Fwoscc%2Ffull-record%2FWOS:001116853300110","View Full Record in Web of Science")</f>
        <v>View Full Record in Web of Science</v>
      </c>
    </row>
    <row r="216" spans="1:73" x14ac:dyDescent="0.25">
      <c r="A216" s="1">
        <v>239</v>
      </c>
      <c r="B216" s="1" t="s">
        <v>1506</v>
      </c>
      <c r="C216" s="1" t="s">
        <v>10904</v>
      </c>
      <c r="D216" s="1" t="s">
        <v>1507</v>
      </c>
      <c r="E216" s="1" t="s">
        <v>1507</v>
      </c>
      <c r="F216" s="1" t="s">
        <v>1507</v>
      </c>
      <c r="G216" s="1" t="s">
        <v>10905</v>
      </c>
      <c r="H216" s="1" t="s">
        <v>1507</v>
      </c>
      <c r="I216" s="1" t="s">
        <v>1507</v>
      </c>
      <c r="J216" s="1" t="s">
        <v>10906</v>
      </c>
      <c r="K216" s="1" t="s">
        <v>10907</v>
      </c>
      <c r="L216" s="1" t="s">
        <v>1507</v>
      </c>
      <c r="M216" s="1" t="s">
        <v>1507</v>
      </c>
      <c r="N216" s="1" t="s">
        <v>42</v>
      </c>
      <c r="O216" s="1" t="s">
        <v>56</v>
      </c>
      <c r="P216" s="1" t="s">
        <v>1507</v>
      </c>
      <c r="Q216" s="1" t="s">
        <v>1507</v>
      </c>
      <c r="R216" s="1" t="s">
        <v>1507</v>
      </c>
      <c r="S216" s="1" t="s">
        <v>1507</v>
      </c>
      <c r="T216" s="1" t="s">
        <v>1507</v>
      </c>
      <c r="U216" s="1" t="s">
        <v>10908</v>
      </c>
      <c r="V216" s="1" t="s">
        <v>10909</v>
      </c>
      <c r="W216" s="1" t="s">
        <v>10910</v>
      </c>
      <c r="X216" s="1" t="s">
        <v>10911</v>
      </c>
      <c r="Y216" s="1" t="s">
        <v>10912</v>
      </c>
      <c r="Z216" s="1" t="s">
        <v>10913</v>
      </c>
      <c r="AA216" s="1" t="s">
        <v>10914</v>
      </c>
      <c r="AB216" s="1" t="s">
        <v>10915</v>
      </c>
      <c r="AC216" s="1" t="s">
        <v>10916</v>
      </c>
      <c r="AD216" s="1" t="s">
        <v>10917</v>
      </c>
      <c r="AE216" s="1" t="s">
        <v>10917</v>
      </c>
      <c r="AF216" s="1" t="s">
        <v>10918</v>
      </c>
      <c r="AG216" s="1" t="s">
        <v>1507</v>
      </c>
      <c r="AH216" s="1">
        <v>63</v>
      </c>
      <c r="AI216" s="1">
        <v>4</v>
      </c>
      <c r="AJ216" s="1">
        <v>4</v>
      </c>
      <c r="AK216" s="1">
        <v>4</v>
      </c>
      <c r="AL216" s="1">
        <v>32</v>
      </c>
      <c r="AM216" s="1" t="s">
        <v>1555</v>
      </c>
      <c r="AN216" s="1" t="s">
        <v>1556</v>
      </c>
      <c r="AO216" s="1" t="s">
        <v>1557</v>
      </c>
      <c r="AP216" s="1" t="s">
        <v>10919</v>
      </c>
      <c r="AQ216" s="1" t="s">
        <v>10920</v>
      </c>
      <c r="AR216" s="1" t="s">
        <v>1507</v>
      </c>
      <c r="AS216" s="1" t="s">
        <v>10921</v>
      </c>
      <c r="AT216" s="1" t="s">
        <v>10922</v>
      </c>
      <c r="AU216" s="1" t="s">
        <v>1507</v>
      </c>
      <c r="AV216" s="1">
        <v>2019</v>
      </c>
      <c r="AW216" s="1">
        <v>27</v>
      </c>
      <c r="AX216" s="1">
        <v>9</v>
      </c>
      <c r="AY216" s="1" t="s">
        <v>1507</v>
      </c>
      <c r="AZ216" s="1" t="s">
        <v>1507</v>
      </c>
      <c r="BA216" s="1" t="s">
        <v>1507</v>
      </c>
      <c r="BB216" s="1" t="s">
        <v>1507</v>
      </c>
      <c r="BC216" s="1">
        <v>1661</v>
      </c>
      <c r="BD216" s="1">
        <v>1686</v>
      </c>
      <c r="BE216" s="1" t="s">
        <v>1507</v>
      </c>
      <c r="BF216" s="1" t="s">
        <v>10923</v>
      </c>
      <c r="BG216" s="1" t="str">
        <f>HYPERLINK("http://dx.doi.org/10.1080/09654313.2019.1626351","http://dx.doi.org/10.1080/09654313.2019.1626351")</f>
        <v>http://dx.doi.org/10.1080/09654313.2019.1626351</v>
      </c>
      <c r="BH216" s="1" t="s">
        <v>1507</v>
      </c>
      <c r="BI216" s="1" t="s">
        <v>10924</v>
      </c>
      <c r="BJ216" s="1">
        <v>26</v>
      </c>
      <c r="BK216" s="1" t="s">
        <v>10925</v>
      </c>
      <c r="BL216" s="1" t="s">
        <v>1518</v>
      </c>
      <c r="BM216" s="1" t="s">
        <v>10926</v>
      </c>
      <c r="BN216" s="1" t="s">
        <v>10927</v>
      </c>
      <c r="BO216" s="1" t="s">
        <v>1507</v>
      </c>
      <c r="BP216" s="1" t="s">
        <v>1507</v>
      </c>
      <c r="BQ216" s="1" t="s">
        <v>1507</v>
      </c>
      <c r="BR216" s="1" t="s">
        <v>1507</v>
      </c>
      <c r="BS216" s="1" t="s">
        <v>13744</v>
      </c>
      <c r="BT216" s="1" t="s">
        <v>10928</v>
      </c>
      <c r="BU216" s="1" t="str">
        <f>HYPERLINK("https%3A%2F%2Fwww.webofscience.com%2Fwos%2Fwoscc%2Ffull-record%2FWOS:000472344600001","View Full Record in Web of Science")</f>
        <v>View Full Record in Web of Science</v>
      </c>
    </row>
    <row r="217" spans="1:73" x14ac:dyDescent="0.25">
      <c r="A217" s="1">
        <v>240</v>
      </c>
      <c r="B217" s="1" t="s">
        <v>5546</v>
      </c>
      <c r="C217" s="1" t="s">
        <v>7798</v>
      </c>
      <c r="D217" s="1" t="s">
        <v>1507</v>
      </c>
      <c r="E217" s="1" t="s">
        <v>1507</v>
      </c>
      <c r="F217" s="1" t="s">
        <v>5548</v>
      </c>
      <c r="G217" s="1" t="s">
        <v>7799</v>
      </c>
      <c r="H217" s="1" t="s">
        <v>1507</v>
      </c>
      <c r="I217" s="1" t="s">
        <v>1507</v>
      </c>
      <c r="J217" s="1" t="s">
        <v>7800</v>
      </c>
      <c r="K217" s="1" t="s">
        <v>7801</v>
      </c>
      <c r="L217" s="1" t="s">
        <v>1507</v>
      </c>
      <c r="M217" s="1" t="s">
        <v>1507</v>
      </c>
      <c r="N217" s="1" t="s">
        <v>42</v>
      </c>
      <c r="O217" s="1" t="s">
        <v>5552</v>
      </c>
      <c r="P217" s="1" t="s">
        <v>7802</v>
      </c>
      <c r="Q217" s="1" t="s">
        <v>7803</v>
      </c>
      <c r="R217" s="1" t="s">
        <v>7804</v>
      </c>
      <c r="S217" s="1" t="s">
        <v>7805</v>
      </c>
      <c r="T217" s="1" t="s">
        <v>1507</v>
      </c>
      <c r="U217" s="1" t="s">
        <v>7806</v>
      </c>
      <c r="V217" s="1" t="s">
        <v>1507</v>
      </c>
      <c r="W217" s="1" t="s">
        <v>7807</v>
      </c>
      <c r="X217" s="1" t="s">
        <v>7808</v>
      </c>
      <c r="Y217" s="1" t="s">
        <v>7809</v>
      </c>
      <c r="Z217" s="1" t="s">
        <v>7810</v>
      </c>
      <c r="AA217" s="1" t="s">
        <v>7811</v>
      </c>
      <c r="AB217" s="1" t="s">
        <v>1507</v>
      </c>
      <c r="AC217" s="1" t="s">
        <v>7812</v>
      </c>
      <c r="AD217" s="1" t="s">
        <v>7813</v>
      </c>
      <c r="AE217" s="1" t="s">
        <v>7814</v>
      </c>
      <c r="AF217" s="1" t="s">
        <v>7815</v>
      </c>
      <c r="AG217" s="1" t="s">
        <v>1507</v>
      </c>
      <c r="AH217" s="1">
        <v>26</v>
      </c>
      <c r="AI217" s="1">
        <v>1</v>
      </c>
      <c r="AJ217" s="1">
        <v>1</v>
      </c>
      <c r="AK217" s="1">
        <v>4</v>
      </c>
      <c r="AL217" s="1">
        <v>4</v>
      </c>
      <c r="AM217" s="1" t="s">
        <v>5565</v>
      </c>
      <c r="AN217" s="1" t="s">
        <v>1512</v>
      </c>
      <c r="AO217" s="1" t="s">
        <v>5566</v>
      </c>
      <c r="AP217" s="1" t="s">
        <v>1507</v>
      </c>
      <c r="AQ217" s="1" t="s">
        <v>1507</v>
      </c>
      <c r="AR217" s="1" t="s">
        <v>7816</v>
      </c>
      <c r="AS217" s="1" t="s">
        <v>1507</v>
      </c>
      <c r="AT217" s="1" t="s">
        <v>1507</v>
      </c>
      <c r="AU217" s="1" t="s">
        <v>1507</v>
      </c>
      <c r="AV217" s="1">
        <v>2022</v>
      </c>
      <c r="AW217" s="1" t="s">
        <v>1507</v>
      </c>
      <c r="AX217" s="1" t="s">
        <v>1507</v>
      </c>
      <c r="AY217" s="1" t="s">
        <v>1507</v>
      </c>
      <c r="AZ217" s="1" t="s">
        <v>1507</v>
      </c>
      <c r="BA217" s="1" t="s">
        <v>1507</v>
      </c>
      <c r="BB217" s="1" t="s">
        <v>1507</v>
      </c>
      <c r="BC217" s="1">
        <v>1141</v>
      </c>
      <c r="BD217" s="1">
        <v>1147</v>
      </c>
      <c r="BE217" s="1" t="s">
        <v>1507</v>
      </c>
      <c r="BF217" s="1" t="s">
        <v>7817</v>
      </c>
      <c r="BG217" s="1" t="str">
        <f>HYPERLINK("http://dx.doi.org/10.1145/3560905.3568431","http://dx.doi.org/10.1145/3560905.3568431")</f>
        <v>http://dx.doi.org/10.1145/3560905.3568431</v>
      </c>
      <c r="BH217" s="1" t="s">
        <v>1507</v>
      </c>
      <c r="BI217" s="1" t="s">
        <v>1507</v>
      </c>
      <c r="BJ217" s="1">
        <v>7</v>
      </c>
      <c r="BK217" s="1" t="s">
        <v>1631</v>
      </c>
      <c r="BL217" s="1" t="s">
        <v>5570</v>
      </c>
      <c r="BM217" s="1" t="s">
        <v>1632</v>
      </c>
      <c r="BN217" s="1" t="s">
        <v>7818</v>
      </c>
      <c r="BO217" s="1" t="s">
        <v>1507</v>
      </c>
      <c r="BP217" s="1" t="s">
        <v>3572</v>
      </c>
      <c r="BQ217" s="1" t="s">
        <v>1507</v>
      </c>
      <c r="BR217" s="1" t="s">
        <v>1507</v>
      </c>
      <c r="BS217" s="1" t="s">
        <v>13744</v>
      </c>
      <c r="BT217" s="1" t="s">
        <v>7819</v>
      </c>
      <c r="BU217" s="1" t="str">
        <f>HYPERLINK("https%3A%2F%2Fwww.webofscience.com%2Fwos%2Fwoscc%2Ffull-record%2FWOS:001082249700152","View Full Record in Web of Science")</f>
        <v>View Full Record in Web of Science</v>
      </c>
    </row>
    <row r="218" spans="1:73" x14ac:dyDescent="0.25">
      <c r="A218" s="1">
        <v>241</v>
      </c>
      <c r="B218" s="1" t="s">
        <v>1506</v>
      </c>
      <c r="C218" s="1" t="s">
        <v>10308</v>
      </c>
      <c r="D218" s="1" t="s">
        <v>1507</v>
      </c>
      <c r="E218" s="1" t="s">
        <v>1507</v>
      </c>
      <c r="F218" s="1" t="s">
        <v>1507</v>
      </c>
      <c r="G218" s="1" t="s">
        <v>10309</v>
      </c>
      <c r="H218" s="1" t="s">
        <v>1507</v>
      </c>
      <c r="I218" s="1" t="s">
        <v>1507</v>
      </c>
      <c r="J218" s="1" t="s">
        <v>10310</v>
      </c>
      <c r="K218" s="1" t="s">
        <v>10311</v>
      </c>
      <c r="L218" s="1" t="s">
        <v>1507</v>
      </c>
      <c r="M218" s="1" t="s">
        <v>1507</v>
      </c>
      <c r="N218" s="1" t="s">
        <v>42</v>
      </c>
      <c r="O218" s="1" t="s">
        <v>56</v>
      </c>
      <c r="P218" s="1" t="s">
        <v>1507</v>
      </c>
      <c r="Q218" s="1" t="s">
        <v>1507</v>
      </c>
      <c r="R218" s="1" t="s">
        <v>1507</v>
      </c>
      <c r="S218" s="1" t="s">
        <v>1507</v>
      </c>
      <c r="T218" s="1" t="s">
        <v>1507</v>
      </c>
      <c r="U218" s="1" t="s">
        <v>1507</v>
      </c>
      <c r="V218" s="1" t="s">
        <v>1507</v>
      </c>
      <c r="W218" s="1" t="s">
        <v>10312</v>
      </c>
      <c r="X218" s="1" t="s">
        <v>10313</v>
      </c>
      <c r="Y218" s="1" t="s">
        <v>10314</v>
      </c>
      <c r="Z218" s="1" t="s">
        <v>10315</v>
      </c>
      <c r="AA218" s="1" t="s">
        <v>1507</v>
      </c>
      <c r="AB218" s="1" t="s">
        <v>1507</v>
      </c>
      <c r="AC218" s="1" t="s">
        <v>1507</v>
      </c>
      <c r="AD218" s="1" t="s">
        <v>10316</v>
      </c>
      <c r="AE218" s="1" t="s">
        <v>10317</v>
      </c>
      <c r="AF218" s="1" t="s">
        <v>10318</v>
      </c>
      <c r="AG218" s="1" t="s">
        <v>1507</v>
      </c>
      <c r="AH218" s="1">
        <v>67</v>
      </c>
      <c r="AI218" s="1">
        <v>1</v>
      </c>
      <c r="AJ218" s="1">
        <v>3</v>
      </c>
      <c r="AK218" s="1">
        <v>0</v>
      </c>
      <c r="AL218" s="1">
        <v>3</v>
      </c>
      <c r="AM218" s="1" t="s">
        <v>10319</v>
      </c>
      <c r="AN218" s="1" t="s">
        <v>10320</v>
      </c>
      <c r="AO218" s="1" t="s">
        <v>10321</v>
      </c>
      <c r="AP218" s="1" t="s">
        <v>10322</v>
      </c>
      <c r="AQ218" s="1" t="s">
        <v>1507</v>
      </c>
      <c r="AR218" s="1" t="s">
        <v>1507</v>
      </c>
      <c r="AS218" s="1" t="s">
        <v>10323</v>
      </c>
      <c r="AT218" s="1" t="s">
        <v>10324</v>
      </c>
      <c r="AU218" s="1" t="s">
        <v>1507</v>
      </c>
      <c r="AV218" s="1">
        <v>2020</v>
      </c>
      <c r="AW218" s="1" t="s">
        <v>1507</v>
      </c>
      <c r="AX218" s="1">
        <v>50</v>
      </c>
      <c r="AY218" s="1" t="s">
        <v>1507</v>
      </c>
      <c r="AZ218" s="1" t="s">
        <v>1507</v>
      </c>
      <c r="BA218" s="1" t="s">
        <v>3506</v>
      </c>
      <c r="BB218" s="1" t="s">
        <v>1507</v>
      </c>
      <c r="BC218" s="1">
        <v>137</v>
      </c>
      <c r="BD218" s="1">
        <v>178</v>
      </c>
      <c r="BE218" s="1" t="s">
        <v>1507</v>
      </c>
      <c r="BF218" s="1" t="s">
        <v>10325</v>
      </c>
      <c r="BG218" s="1" t="str">
        <f>HYPERLINK("http://dx.doi.org/10.22584/nr50.2020.006","http://dx.doi.org/10.22584/nr50.2020.006")</f>
        <v>http://dx.doi.org/10.22584/nr50.2020.006</v>
      </c>
      <c r="BH218" s="1" t="s">
        <v>1507</v>
      </c>
      <c r="BI218" s="1" t="s">
        <v>1507</v>
      </c>
      <c r="BJ218" s="1">
        <v>42</v>
      </c>
      <c r="BK218" s="1" t="s">
        <v>10326</v>
      </c>
      <c r="BL218" s="1" t="s">
        <v>1529</v>
      </c>
      <c r="BM218" s="1" t="s">
        <v>10326</v>
      </c>
      <c r="BN218" s="1" t="s">
        <v>10327</v>
      </c>
      <c r="BO218" s="1" t="s">
        <v>1507</v>
      </c>
      <c r="BP218" s="1" t="s">
        <v>1537</v>
      </c>
      <c r="BQ218" s="1" t="s">
        <v>1507</v>
      </c>
      <c r="BR218" s="1" t="s">
        <v>1507</v>
      </c>
      <c r="BS218" s="1" t="s">
        <v>13744</v>
      </c>
      <c r="BT218" s="1" t="s">
        <v>10328</v>
      </c>
      <c r="BU218" s="1" t="str">
        <f>HYPERLINK("https%3A%2F%2Fwww.webofscience.com%2Fwos%2Fwoscc%2Ffull-record%2FWOS:000524979300006","View Full Record in Web of Science")</f>
        <v>View Full Record in Web of Science</v>
      </c>
    </row>
    <row r="219" spans="1:73" x14ac:dyDescent="0.25">
      <c r="A219" s="1">
        <v>242</v>
      </c>
      <c r="B219" s="1" t="s">
        <v>1506</v>
      </c>
      <c r="C219" s="1" t="s">
        <v>10308</v>
      </c>
      <c r="D219" s="1" t="s">
        <v>1507</v>
      </c>
      <c r="E219" s="1" t="s">
        <v>1507</v>
      </c>
      <c r="F219" s="1" t="s">
        <v>1507</v>
      </c>
      <c r="G219" s="1" t="s">
        <v>10309</v>
      </c>
      <c r="H219" s="1" t="s">
        <v>1507</v>
      </c>
      <c r="I219" s="1" t="s">
        <v>1507</v>
      </c>
      <c r="J219" s="1" t="s">
        <v>11363</v>
      </c>
      <c r="K219" s="1" t="s">
        <v>9248</v>
      </c>
      <c r="L219" s="1" t="s">
        <v>1507</v>
      </c>
      <c r="M219" s="1" t="s">
        <v>1507</v>
      </c>
      <c r="N219" s="1" t="s">
        <v>42</v>
      </c>
      <c r="O219" s="1" t="s">
        <v>56</v>
      </c>
      <c r="P219" s="1" t="s">
        <v>1507</v>
      </c>
      <c r="Q219" s="1" t="s">
        <v>1507</v>
      </c>
      <c r="R219" s="1" t="s">
        <v>1507</v>
      </c>
      <c r="S219" s="1" t="s">
        <v>1507</v>
      </c>
      <c r="T219" s="1" t="s">
        <v>1507</v>
      </c>
      <c r="U219" s="1" t="s">
        <v>1507</v>
      </c>
      <c r="V219" s="1" t="s">
        <v>1507</v>
      </c>
      <c r="W219" s="1" t="s">
        <v>11364</v>
      </c>
      <c r="X219" s="1" t="s">
        <v>11365</v>
      </c>
      <c r="Y219" s="1" t="s">
        <v>1507</v>
      </c>
      <c r="Z219" s="1" t="s">
        <v>11366</v>
      </c>
      <c r="AA219" s="1" t="s">
        <v>1507</v>
      </c>
      <c r="AB219" s="1" t="s">
        <v>1507</v>
      </c>
      <c r="AC219" s="1" t="s">
        <v>1507</v>
      </c>
      <c r="AD219" s="1" t="s">
        <v>10316</v>
      </c>
      <c r="AE219" s="1" t="s">
        <v>10317</v>
      </c>
      <c r="AF219" s="1" t="s">
        <v>11367</v>
      </c>
      <c r="AG219" s="1" t="s">
        <v>1507</v>
      </c>
      <c r="AH219" s="1">
        <v>64</v>
      </c>
      <c r="AI219" s="1">
        <v>4</v>
      </c>
      <c r="AJ219" s="1">
        <v>6</v>
      </c>
      <c r="AK219" s="1">
        <v>1</v>
      </c>
      <c r="AL219" s="1">
        <v>8</v>
      </c>
      <c r="AM219" s="1" t="s">
        <v>9256</v>
      </c>
      <c r="AN219" s="1" t="s">
        <v>9257</v>
      </c>
      <c r="AO219" s="1" t="s">
        <v>9258</v>
      </c>
      <c r="AP219" s="1" t="s">
        <v>9259</v>
      </c>
      <c r="AQ219" s="1" t="s">
        <v>9260</v>
      </c>
      <c r="AR219" s="1" t="s">
        <v>1507</v>
      </c>
      <c r="AS219" s="1" t="s">
        <v>9261</v>
      </c>
      <c r="AT219" s="1" t="s">
        <v>9262</v>
      </c>
      <c r="AU219" s="1" t="s">
        <v>1507</v>
      </c>
      <c r="AV219" s="1">
        <v>2019</v>
      </c>
      <c r="AW219" s="1">
        <v>56</v>
      </c>
      <c r="AX219" s="1">
        <v>3</v>
      </c>
      <c r="AY219" s="1" t="s">
        <v>1507</v>
      </c>
      <c r="AZ219" s="1" t="s">
        <v>1507</v>
      </c>
      <c r="BA219" s="1" t="s">
        <v>3506</v>
      </c>
      <c r="BB219" s="1" t="s">
        <v>1507</v>
      </c>
      <c r="BC219" s="1">
        <v>841</v>
      </c>
      <c r="BD219" s="1">
        <v>880</v>
      </c>
      <c r="BE219" s="1" t="s">
        <v>1507</v>
      </c>
      <c r="BF219" s="1" t="s">
        <v>1507</v>
      </c>
      <c r="BG219" s="1" t="s">
        <v>1507</v>
      </c>
      <c r="BH219" s="1" t="s">
        <v>1507</v>
      </c>
      <c r="BI219" s="1" t="s">
        <v>1507</v>
      </c>
      <c r="BJ219" s="1">
        <v>40</v>
      </c>
      <c r="BK219" s="1" t="s">
        <v>1535</v>
      </c>
      <c r="BL219" s="1" t="s">
        <v>1529</v>
      </c>
      <c r="BM219" s="1" t="s">
        <v>1536</v>
      </c>
      <c r="BN219" s="1" t="s">
        <v>11368</v>
      </c>
      <c r="BO219" s="1" t="s">
        <v>1507</v>
      </c>
      <c r="BP219" s="1" t="s">
        <v>1507</v>
      </c>
      <c r="BQ219" s="1" t="s">
        <v>1507</v>
      </c>
      <c r="BR219" s="1" t="s">
        <v>1507</v>
      </c>
      <c r="BS219" s="1" t="s">
        <v>13744</v>
      </c>
      <c r="BT219" s="1" t="s">
        <v>11369</v>
      </c>
      <c r="BU219" s="1" t="str">
        <f>HYPERLINK("https%3A%2F%2Fwww.webofscience.com%2Fwos%2Fwoscc%2Ffull-record%2FWOS:000463151900008","View Full Record in Web of Science")</f>
        <v>View Full Record in Web of Science</v>
      </c>
    </row>
    <row r="220" spans="1:73" x14ac:dyDescent="0.25">
      <c r="A220" s="1">
        <v>243</v>
      </c>
      <c r="B220" s="1" t="s">
        <v>1506</v>
      </c>
      <c r="C220" s="1" t="s">
        <v>9431</v>
      </c>
      <c r="D220" s="1" t="s">
        <v>1507</v>
      </c>
      <c r="E220" s="1" t="s">
        <v>1507</v>
      </c>
      <c r="F220" s="1" t="s">
        <v>1507</v>
      </c>
      <c r="G220" s="1" t="s">
        <v>9432</v>
      </c>
      <c r="H220" s="1" t="s">
        <v>1507</v>
      </c>
      <c r="I220" s="1" t="s">
        <v>1507</v>
      </c>
      <c r="J220" s="1" t="s">
        <v>9433</v>
      </c>
      <c r="K220" s="1" t="s">
        <v>9434</v>
      </c>
      <c r="L220" s="1" t="s">
        <v>1507</v>
      </c>
      <c r="M220" s="1" t="s">
        <v>1507</v>
      </c>
      <c r="N220" s="1" t="s">
        <v>42</v>
      </c>
      <c r="O220" s="1" t="s">
        <v>56</v>
      </c>
      <c r="P220" s="1" t="s">
        <v>1507</v>
      </c>
      <c r="Q220" s="1" t="s">
        <v>1507</v>
      </c>
      <c r="R220" s="1" t="s">
        <v>1507</v>
      </c>
      <c r="S220" s="1" t="s">
        <v>1507</v>
      </c>
      <c r="T220" s="1" t="s">
        <v>1507</v>
      </c>
      <c r="U220" s="1" t="s">
        <v>9435</v>
      </c>
      <c r="V220" s="1" t="s">
        <v>9436</v>
      </c>
      <c r="W220" s="1" t="s">
        <v>9437</v>
      </c>
      <c r="X220" s="1" t="s">
        <v>9438</v>
      </c>
      <c r="Y220" s="1" t="s">
        <v>15791</v>
      </c>
      <c r="Z220" s="1" t="s">
        <v>9439</v>
      </c>
      <c r="AA220" s="1" t="s">
        <v>9440</v>
      </c>
      <c r="AB220" s="1" t="s">
        <v>9441</v>
      </c>
      <c r="AC220" s="1" t="s">
        <v>15792</v>
      </c>
      <c r="AD220" s="1" t="s">
        <v>9442</v>
      </c>
      <c r="AE220" s="1" t="s">
        <v>9443</v>
      </c>
      <c r="AF220" s="1" t="s">
        <v>9444</v>
      </c>
      <c r="AG220" s="1" t="s">
        <v>1507</v>
      </c>
      <c r="AH220" s="1">
        <v>109</v>
      </c>
      <c r="AI220" s="1">
        <v>9</v>
      </c>
      <c r="AJ220" s="1">
        <v>9</v>
      </c>
      <c r="AK220" s="1">
        <v>2</v>
      </c>
      <c r="AL220" s="1">
        <v>5</v>
      </c>
      <c r="AM220" s="1" t="s">
        <v>1579</v>
      </c>
      <c r="AN220" s="1" t="s">
        <v>1580</v>
      </c>
      <c r="AO220" s="1" t="s">
        <v>8485</v>
      </c>
      <c r="AP220" s="1" t="s">
        <v>9445</v>
      </c>
      <c r="AQ220" s="1" t="s">
        <v>9446</v>
      </c>
      <c r="AR220" s="1" t="s">
        <v>1507</v>
      </c>
      <c r="AS220" s="1" t="s">
        <v>9447</v>
      </c>
      <c r="AT220" s="1" t="s">
        <v>9448</v>
      </c>
      <c r="AU220" s="1" t="s">
        <v>2771</v>
      </c>
      <c r="AV220" s="1">
        <v>2020</v>
      </c>
      <c r="AW220" s="1">
        <v>206</v>
      </c>
      <c r="AX220" s="1" t="s">
        <v>1507</v>
      </c>
      <c r="AY220" s="1" t="s">
        <v>1507</v>
      </c>
      <c r="AZ220" s="1" t="s">
        <v>1507</v>
      </c>
      <c r="BA220" s="1" t="s">
        <v>1507</v>
      </c>
      <c r="BB220" s="1" t="s">
        <v>1507</v>
      </c>
      <c r="BC220" s="1" t="s">
        <v>1507</v>
      </c>
      <c r="BD220" s="1" t="s">
        <v>1507</v>
      </c>
      <c r="BE220" s="1">
        <v>103623</v>
      </c>
      <c r="BF220" s="1" t="s">
        <v>9449</v>
      </c>
      <c r="BG220" s="1" t="str">
        <f>HYPERLINK("http://dx.doi.org/10.1016/j.gloplacha.2021.103623","http://dx.doi.org/10.1016/j.gloplacha.2021.103623")</f>
        <v>http://dx.doi.org/10.1016/j.gloplacha.2021.103623</v>
      </c>
      <c r="BH220" s="1" t="s">
        <v>1507</v>
      </c>
      <c r="BI220" s="1" t="s">
        <v>1507</v>
      </c>
      <c r="BJ220" s="1">
        <v>16</v>
      </c>
      <c r="BK220" s="1" t="s">
        <v>9450</v>
      </c>
      <c r="BL220" s="1" t="s">
        <v>1573</v>
      </c>
      <c r="BM220" s="1" t="s">
        <v>9451</v>
      </c>
      <c r="BN220" s="1" t="s">
        <v>9452</v>
      </c>
      <c r="BO220" s="1" t="s">
        <v>1507</v>
      </c>
      <c r="BP220" s="1" t="s">
        <v>1507</v>
      </c>
      <c r="BQ220" s="1" t="s">
        <v>1507</v>
      </c>
      <c r="BR220" s="1" t="s">
        <v>1507</v>
      </c>
      <c r="BS220" s="1" t="s">
        <v>13744</v>
      </c>
      <c r="BT220" s="1" t="s">
        <v>9453</v>
      </c>
      <c r="BU220" s="1" t="str">
        <f>HYPERLINK("https%3A%2F%2Fwww.webofscience.com%2Fwos%2Fwoscc%2Ffull-record%2FWOS:000704342700001","View Full Record in Web of Science")</f>
        <v>View Full Record in Web of Science</v>
      </c>
    </row>
    <row r="221" spans="1:73" x14ac:dyDescent="0.25">
      <c r="A221" s="1">
        <v>244</v>
      </c>
      <c r="B221" s="1" t="s">
        <v>1506</v>
      </c>
      <c r="C221" s="1" t="s">
        <v>5475</v>
      </c>
      <c r="D221" s="1" t="s">
        <v>1507</v>
      </c>
      <c r="E221" s="1" t="s">
        <v>1507</v>
      </c>
      <c r="F221" s="1" t="s">
        <v>1507</v>
      </c>
      <c r="G221" s="1" t="s">
        <v>5476</v>
      </c>
      <c r="H221" s="1" t="s">
        <v>1507</v>
      </c>
      <c r="I221" s="1" t="s">
        <v>1507</v>
      </c>
      <c r="J221" s="1" t="s">
        <v>5477</v>
      </c>
      <c r="K221" s="1" t="s">
        <v>5478</v>
      </c>
      <c r="L221" s="1" t="s">
        <v>1507</v>
      </c>
      <c r="M221" s="1" t="s">
        <v>1507</v>
      </c>
      <c r="N221" s="1" t="s">
        <v>42</v>
      </c>
      <c r="O221" s="1" t="s">
        <v>56</v>
      </c>
      <c r="P221" s="1" t="s">
        <v>1507</v>
      </c>
      <c r="Q221" s="1" t="s">
        <v>1507</v>
      </c>
      <c r="R221" s="1" t="s">
        <v>1507</v>
      </c>
      <c r="S221" s="1" t="s">
        <v>1507</v>
      </c>
      <c r="T221" s="1" t="s">
        <v>1507</v>
      </c>
      <c r="U221" s="1" t="s">
        <v>5479</v>
      </c>
      <c r="V221" s="1" t="s">
        <v>5480</v>
      </c>
      <c r="W221" s="1" t="s">
        <v>5481</v>
      </c>
      <c r="X221" s="1" t="s">
        <v>5482</v>
      </c>
      <c r="Y221" s="1" t="s">
        <v>5483</v>
      </c>
      <c r="Z221" s="1" t="s">
        <v>5484</v>
      </c>
      <c r="AA221" s="1" t="s">
        <v>5485</v>
      </c>
      <c r="AB221" s="1" t="s">
        <v>1507</v>
      </c>
      <c r="AC221" s="1" t="s">
        <v>14814</v>
      </c>
      <c r="AD221" s="1" t="s">
        <v>5486</v>
      </c>
      <c r="AE221" s="1" t="s">
        <v>5487</v>
      </c>
      <c r="AF221" s="1" t="s">
        <v>5488</v>
      </c>
      <c r="AG221" s="1" t="s">
        <v>1507</v>
      </c>
      <c r="AH221" s="1">
        <v>81</v>
      </c>
      <c r="AI221" s="1">
        <v>31</v>
      </c>
      <c r="AJ221" s="1">
        <v>34</v>
      </c>
      <c r="AK221" s="1">
        <v>207</v>
      </c>
      <c r="AL221" s="1">
        <v>349</v>
      </c>
      <c r="AM221" s="1" t="s">
        <v>1559</v>
      </c>
      <c r="AN221" s="1" t="s">
        <v>1560</v>
      </c>
      <c r="AO221" s="1" t="s">
        <v>1561</v>
      </c>
      <c r="AP221" s="1" t="s">
        <v>5489</v>
      </c>
      <c r="AQ221" s="1" t="s">
        <v>5490</v>
      </c>
      <c r="AR221" s="1" t="s">
        <v>1507</v>
      </c>
      <c r="AS221" s="1" t="s">
        <v>5491</v>
      </c>
      <c r="AT221" s="1" t="s">
        <v>5492</v>
      </c>
      <c r="AU221" s="1" t="s">
        <v>5045</v>
      </c>
      <c r="AV221" s="1">
        <v>2023</v>
      </c>
      <c r="AW221" s="1">
        <v>40</v>
      </c>
      <c r="AX221" s="1">
        <v>2</v>
      </c>
      <c r="AY221" s="1" t="s">
        <v>1507</v>
      </c>
      <c r="AZ221" s="1" t="s">
        <v>1507</v>
      </c>
      <c r="BA221" s="1" t="s">
        <v>1507</v>
      </c>
      <c r="BB221" s="1" t="s">
        <v>1507</v>
      </c>
      <c r="BC221" s="1">
        <v>806</v>
      </c>
      <c r="BD221" s="1">
        <v>841</v>
      </c>
      <c r="BE221" s="1" t="s">
        <v>1507</v>
      </c>
      <c r="BF221" s="1" t="s">
        <v>5493</v>
      </c>
      <c r="BG221" s="1" t="str">
        <f>HYPERLINK("http://dx.doi.org/10.1111/1911-3846.12832","http://dx.doi.org/10.1111/1911-3846.12832")</f>
        <v>http://dx.doi.org/10.1111/1911-3846.12832</v>
      </c>
      <c r="BH221" s="1" t="s">
        <v>1507</v>
      </c>
      <c r="BI221" s="1" t="s">
        <v>5446</v>
      </c>
      <c r="BJ221" s="1">
        <v>36</v>
      </c>
      <c r="BK221" s="1" t="s">
        <v>3165</v>
      </c>
      <c r="BL221" s="1" t="s">
        <v>1518</v>
      </c>
      <c r="BM221" s="1" t="s">
        <v>3118</v>
      </c>
      <c r="BN221" s="1" t="s">
        <v>5494</v>
      </c>
      <c r="BO221" s="1" t="s">
        <v>1507</v>
      </c>
      <c r="BP221" s="1" t="s">
        <v>1537</v>
      </c>
      <c r="BQ221" s="1" t="s">
        <v>1507</v>
      </c>
      <c r="BR221" s="1" t="s">
        <v>1507</v>
      </c>
      <c r="BS221" s="1" t="s">
        <v>13744</v>
      </c>
      <c r="BT221" s="1" t="s">
        <v>5495</v>
      </c>
      <c r="BU221" s="1" t="str">
        <f>HYPERLINK("https%3A%2F%2Fwww.webofscience.com%2Fwos%2Fwoscc%2Ffull-record%2FWOS:000909014900001","View Full Record in Web of Science")</f>
        <v>View Full Record in Web of Science</v>
      </c>
    </row>
    <row r="222" spans="1:73" x14ac:dyDescent="0.25">
      <c r="A222" s="1">
        <v>245</v>
      </c>
      <c r="B222" s="1" t="s">
        <v>1506</v>
      </c>
      <c r="C222" s="1" t="s">
        <v>11852</v>
      </c>
      <c r="D222" s="1" t="s">
        <v>1507</v>
      </c>
      <c r="E222" s="1" t="s">
        <v>1507</v>
      </c>
      <c r="F222" s="1" t="s">
        <v>1507</v>
      </c>
      <c r="G222" s="1" t="s">
        <v>11853</v>
      </c>
      <c r="H222" s="1" t="s">
        <v>1507</v>
      </c>
      <c r="I222" s="1" t="s">
        <v>1507</v>
      </c>
      <c r="J222" s="1" t="s">
        <v>11854</v>
      </c>
      <c r="K222" s="1" t="s">
        <v>3376</v>
      </c>
      <c r="L222" s="1" t="s">
        <v>1507</v>
      </c>
      <c r="M222" s="1" t="s">
        <v>1507</v>
      </c>
      <c r="N222" s="1" t="s">
        <v>42</v>
      </c>
      <c r="O222" s="1" t="s">
        <v>56</v>
      </c>
      <c r="P222" s="1" t="s">
        <v>1507</v>
      </c>
      <c r="Q222" s="1" t="s">
        <v>1507</v>
      </c>
      <c r="R222" s="1" t="s">
        <v>1507</v>
      </c>
      <c r="S222" s="1" t="s">
        <v>1507</v>
      </c>
      <c r="T222" s="1" t="s">
        <v>1507</v>
      </c>
      <c r="U222" s="1" t="s">
        <v>11855</v>
      </c>
      <c r="V222" s="1" t="s">
        <v>11856</v>
      </c>
      <c r="W222" s="1" t="s">
        <v>11857</v>
      </c>
      <c r="X222" s="1" t="s">
        <v>11858</v>
      </c>
      <c r="Y222" s="1" t="s">
        <v>11859</v>
      </c>
      <c r="Z222" s="1" t="s">
        <v>11860</v>
      </c>
      <c r="AA222" s="1" t="s">
        <v>11861</v>
      </c>
      <c r="AB222" s="1" t="s">
        <v>1507</v>
      </c>
      <c r="AC222" s="1" t="s">
        <v>11862</v>
      </c>
      <c r="AD222" s="1" t="s">
        <v>11863</v>
      </c>
      <c r="AE222" s="1" t="s">
        <v>11864</v>
      </c>
      <c r="AF222" s="1" t="s">
        <v>11865</v>
      </c>
      <c r="AG222" s="1" t="s">
        <v>1507</v>
      </c>
      <c r="AH222" s="1">
        <v>35</v>
      </c>
      <c r="AI222" s="1">
        <v>26</v>
      </c>
      <c r="AJ222" s="1">
        <v>29</v>
      </c>
      <c r="AK222" s="1">
        <v>1</v>
      </c>
      <c r="AL222" s="1">
        <v>49</v>
      </c>
      <c r="AM222" s="1" t="s">
        <v>3385</v>
      </c>
      <c r="AN222" s="1" t="s">
        <v>3386</v>
      </c>
      <c r="AO222" s="1" t="s">
        <v>3387</v>
      </c>
      <c r="AP222" s="1" t="s">
        <v>3388</v>
      </c>
      <c r="AQ222" s="1" t="s">
        <v>3389</v>
      </c>
      <c r="AR222" s="1" t="s">
        <v>1507</v>
      </c>
      <c r="AS222" s="1" t="s">
        <v>3390</v>
      </c>
      <c r="AT222" s="1" t="s">
        <v>3391</v>
      </c>
      <c r="AU222" s="1" t="s">
        <v>9054</v>
      </c>
      <c r="AV222" s="1">
        <v>2018</v>
      </c>
      <c r="AW222" s="1">
        <v>43</v>
      </c>
      <c r="AX222" s="1">
        <v>2</v>
      </c>
      <c r="AY222" s="1" t="s">
        <v>1507</v>
      </c>
      <c r="AZ222" s="1" t="s">
        <v>1507</v>
      </c>
      <c r="BA222" s="1" t="s">
        <v>1507</v>
      </c>
      <c r="BB222" s="1" t="s">
        <v>1507</v>
      </c>
      <c r="BC222" s="1">
        <v>188</v>
      </c>
      <c r="BD222" s="1">
        <v>193</v>
      </c>
      <c r="BE222" s="1" t="s">
        <v>1507</v>
      </c>
      <c r="BF222" s="1" t="s">
        <v>11866</v>
      </c>
      <c r="BG222" s="1" t="str">
        <f>HYPERLINK("http://dx.doi.org/10.1002/prep.201700154","http://dx.doi.org/10.1002/prep.201700154")</f>
        <v>http://dx.doi.org/10.1002/prep.201700154</v>
      </c>
      <c r="BH222" s="1" t="s">
        <v>1507</v>
      </c>
      <c r="BI222" s="1" t="s">
        <v>1507</v>
      </c>
      <c r="BJ222" s="1">
        <v>6</v>
      </c>
      <c r="BK222" s="1" t="s">
        <v>3394</v>
      </c>
      <c r="BL222" s="1" t="s">
        <v>1573</v>
      </c>
      <c r="BM222" s="1" t="s">
        <v>3395</v>
      </c>
      <c r="BN222" s="1" t="s">
        <v>11867</v>
      </c>
      <c r="BO222" s="1" t="s">
        <v>1507</v>
      </c>
      <c r="BP222" s="1" t="s">
        <v>3572</v>
      </c>
      <c r="BQ222" s="1" t="s">
        <v>1507</v>
      </c>
      <c r="BR222" s="1" t="s">
        <v>1507</v>
      </c>
      <c r="BS222" s="1" t="s">
        <v>13744</v>
      </c>
      <c r="BT222" s="1" t="s">
        <v>11868</v>
      </c>
      <c r="BU222" s="1" t="str">
        <f>HYPERLINK("https%3A%2F%2Fwww.webofscience.com%2Fwos%2Fwoscc%2Ffull-record%2FWOS:000425138300013","View Full Record in Web of Science")</f>
        <v>View Full Record in Web of Science</v>
      </c>
    </row>
    <row r="223" spans="1:73" x14ac:dyDescent="0.25">
      <c r="A223" s="1">
        <v>246</v>
      </c>
      <c r="B223" s="1" t="s">
        <v>5546</v>
      </c>
      <c r="C223" s="1" t="s">
        <v>15037</v>
      </c>
      <c r="D223" s="1" t="s">
        <v>1507</v>
      </c>
      <c r="E223" s="1" t="s">
        <v>14984</v>
      </c>
      <c r="F223" s="1" t="s">
        <v>1507</v>
      </c>
      <c r="G223" s="1" t="s">
        <v>15038</v>
      </c>
      <c r="H223" s="1" t="s">
        <v>1507</v>
      </c>
      <c r="I223" s="1" t="s">
        <v>1507</v>
      </c>
      <c r="J223" s="1" t="s">
        <v>13015</v>
      </c>
      <c r="K223" s="1" t="s">
        <v>14987</v>
      </c>
      <c r="L223" s="1" t="s">
        <v>14988</v>
      </c>
      <c r="M223" s="1" t="s">
        <v>1507</v>
      </c>
      <c r="N223" s="1" t="s">
        <v>42</v>
      </c>
      <c r="O223" s="1" t="s">
        <v>5552</v>
      </c>
      <c r="P223" s="1" t="s">
        <v>14989</v>
      </c>
      <c r="Q223" s="1" t="s">
        <v>14990</v>
      </c>
      <c r="R223" s="1" t="s">
        <v>14991</v>
      </c>
      <c r="S223" s="1" t="s">
        <v>14992</v>
      </c>
      <c r="T223" s="1" t="s">
        <v>1507</v>
      </c>
      <c r="U223" s="1" t="s">
        <v>15039</v>
      </c>
      <c r="V223" s="1" t="s">
        <v>1507</v>
      </c>
      <c r="W223" s="1" t="s">
        <v>15040</v>
      </c>
      <c r="X223" s="1" t="s">
        <v>15041</v>
      </c>
      <c r="Y223" s="1" t="s">
        <v>15042</v>
      </c>
      <c r="Z223" s="1" t="s">
        <v>15043</v>
      </c>
      <c r="AA223" s="1" t="s">
        <v>15044</v>
      </c>
      <c r="AB223" s="1" t="s">
        <v>15045</v>
      </c>
      <c r="AC223" s="1" t="s">
        <v>15046</v>
      </c>
      <c r="AD223" s="1" t="s">
        <v>15047</v>
      </c>
      <c r="AE223" s="1" t="s">
        <v>15048</v>
      </c>
      <c r="AF223" s="1" t="s">
        <v>13005</v>
      </c>
      <c r="AG223" s="1" t="s">
        <v>1507</v>
      </c>
      <c r="AH223" s="1">
        <v>11</v>
      </c>
      <c r="AI223" s="1">
        <v>0</v>
      </c>
      <c r="AJ223" s="1">
        <v>0</v>
      </c>
      <c r="AK223" s="1">
        <v>4</v>
      </c>
      <c r="AL223" s="1">
        <v>4</v>
      </c>
      <c r="AM223" s="1" t="s">
        <v>5645</v>
      </c>
      <c r="AN223" s="1" t="s">
        <v>5646</v>
      </c>
      <c r="AO223" s="1" t="s">
        <v>5647</v>
      </c>
      <c r="AP223" s="1" t="s">
        <v>15002</v>
      </c>
      <c r="AQ223" s="1" t="s">
        <v>1507</v>
      </c>
      <c r="AR223" s="1" t="s">
        <v>15003</v>
      </c>
      <c r="AS223" s="1" t="s">
        <v>15004</v>
      </c>
      <c r="AT223" s="1" t="s">
        <v>1507</v>
      </c>
      <c r="AU223" s="1" t="s">
        <v>1507</v>
      </c>
      <c r="AV223" s="1">
        <v>2023</v>
      </c>
      <c r="AW223" s="1" t="s">
        <v>1507</v>
      </c>
      <c r="AX223" s="1" t="s">
        <v>1507</v>
      </c>
      <c r="AY223" s="1" t="s">
        <v>1507</v>
      </c>
      <c r="AZ223" s="1" t="s">
        <v>1507</v>
      </c>
      <c r="BA223" s="1" t="s">
        <v>1507</v>
      </c>
      <c r="BB223" s="1" t="s">
        <v>1507</v>
      </c>
      <c r="BC223" s="1">
        <v>499</v>
      </c>
      <c r="BD223" s="1">
        <v>505</v>
      </c>
      <c r="BE223" s="1" t="s">
        <v>1507</v>
      </c>
      <c r="BF223" s="1" t="s">
        <v>13013</v>
      </c>
      <c r="BG223" s="1" t="str">
        <f>HYPERLINK("http://dx.doi.org/10.1109/ICDMW60847.2023.00071","http://dx.doi.org/10.1109/ICDMW60847.2023.00071")</f>
        <v>http://dx.doi.org/10.1109/ICDMW60847.2023.00071</v>
      </c>
      <c r="BH223" s="1" t="s">
        <v>1507</v>
      </c>
      <c r="BI223" s="1" t="s">
        <v>1507</v>
      </c>
      <c r="BJ223" s="1">
        <v>7</v>
      </c>
      <c r="BK223" s="1" t="s">
        <v>2230</v>
      </c>
      <c r="BL223" s="1" t="s">
        <v>5570</v>
      </c>
      <c r="BM223" s="1" t="s">
        <v>1577</v>
      </c>
      <c r="BN223" s="1" t="s">
        <v>15006</v>
      </c>
      <c r="BO223" s="1" t="s">
        <v>1507</v>
      </c>
      <c r="BP223" s="1" t="s">
        <v>1507</v>
      </c>
      <c r="BQ223" s="1" t="s">
        <v>1507</v>
      </c>
      <c r="BR223" s="1" t="s">
        <v>1507</v>
      </c>
      <c r="BS223" s="1" t="s">
        <v>13744</v>
      </c>
      <c r="BT223" s="1" t="s">
        <v>15049</v>
      </c>
      <c r="BU223" s="1" t="str">
        <f>HYPERLINK("https%3A%2F%2Fwww.webofscience.com%2Fwos%2Fwoscc%2Ffull-record%2FWOS:001164077500063","View Full Record in Web of Science")</f>
        <v>View Full Record in Web of Science</v>
      </c>
    </row>
    <row r="224" spans="1:73" x14ac:dyDescent="0.25">
      <c r="A224" s="1">
        <v>247</v>
      </c>
      <c r="B224" s="1" t="s">
        <v>1506</v>
      </c>
      <c r="C224" s="1" t="s">
        <v>3694</v>
      </c>
      <c r="D224" s="1" t="s">
        <v>1507</v>
      </c>
      <c r="E224" s="1" t="s">
        <v>1507</v>
      </c>
      <c r="F224" s="1" t="s">
        <v>1507</v>
      </c>
      <c r="G224" s="1" t="s">
        <v>3695</v>
      </c>
      <c r="H224" s="1" t="s">
        <v>1507</v>
      </c>
      <c r="I224" s="1" t="s">
        <v>1507</v>
      </c>
      <c r="J224" s="1" t="s">
        <v>3696</v>
      </c>
      <c r="K224" s="1" t="s">
        <v>2662</v>
      </c>
      <c r="L224" s="1" t="s">
        <v>1507</v>
      </c>
      <c r="M224" s="1" t="s">
        <v>1507</v>
      </c>
      <c r="N224" s="1" t="s">
        <v>42</v>
      </c>
      <c r="O224" s="1" t="s">
        <v>56</v>
      </c>
      <c r="P224" s="1" t="s">
        <v>1507</v>
      </c>
      <c r="Q224" s="1" t="s">
        <v>1507</v>
      </c>
      <c r="R224" s="1" t="s">
        <v>1507</v>
      </c>
      <c r="S224" s="1" t="s">
        <v>1507</v>
      </c>
      <c r="T224" s="1" t="s">
        <v>1507</v>
      </c>
      <c r="U224" s="1" t="s">
        <v>3697</v>
      </c>
      <c r="V224" s="1" t="s">
        <v>1507</v>
      </c>
      <c r="W224" s="1" t="s">
        <v>3698</v>
      </c>
      <c r="X224" s="1" t="s">
        <v>3699</v>
      </c>
      <c r="Y224" s="1" t="s">
        <v>3700</v>
      </c>
      <c r="Z224" s="1" t="s">
        <v>3701</v>
      </c>
      <c r="AA224" s="1" t="s">
        <v>3702</v>
      </c>
      <c r="AB224" s="1" t="s">
        <v>1507</v>
      </c>
      <c r="AC224" s="1" t="s">
        <v>3703</v>
      </c>
      <c r="AD224" s="1" t="s">
        <v>3704</v>
      </c>
      <c r="AE224" s="1" t="s">
        <v>3705</v>
      </c>
      <c r="AF224" s="1" t="s">
        <v>3706</v>
      </c>
      <c r="AG224" s="1" t="s">
        <v>1507</v>
      </c>
      <c r="AH224" s="1">
        <v>40</v>
      </c>
      <c r="AI224" s="1">
        <v>0</v>
      </c>
      <c r="AJ224" s="1">
        <v>0</v>
      </c>
      <c r="AK224" s="1">
        <v>11</v>
      </c>
      <c r="AL224" s="1">
        <v>11</v>
      </c>
      <c r="AM224" s="1" t="s">
        <v>1579</v>
      </c>
      <c r="AN224" s="1" t="s">
        <v>1580</v>
      </c>
      <c r="AO224" s="1" t="s">
        <v>1581</v>
      </c>
      <c r="AP224" s="1" t="s">
        <v>2673</v>
      </c>
      <c r="AQ224" s="1" t="s">
        <v>2674</v>
      </c>
      <c r="AR224" s="1" t="s">
        <v>1507</v>
      </c>
      <c r="AS224" s="1" t="s">
        <v>2675</v>
      </c>
      <c r="AT224" s="1" t="s">
        <v>2676</v>
      </c>
      <c r="AU224" s="1" t="s">
        <v>9054</v>
      </c>
      <c r="AV224" s="1">
        <v>2024</v>
      </c>
      <c r="AW224" s="1">
        <v>102</v>
      </c>
      <c r="AX224" s="1" t="s">
        <v>1507</v>
      </c>
      <c r="AY224" s="1" t="s">
        <v>1507</v>
      </c>
      <c r="AZ224" s="1" t="s">
        <v>1507</v>
      </c>
      <c r="BA224" s="1" t="s">
        <v>1507</v>
      </c>
      <c r="BB224" s="1" t="s">
        <v>1507</v>
      </c>
      <c r="BC224" s="1" t="s">
        <v>1507</v>
      </c>
      <c r="BD224" s="1" t="s">
        <v>1507</v>
      </c>
      <c r="BE224" s="1">
        <v>102022</v>
      </c>
      <c r="BF224" s="1" t="s">
        <v>3707</v>
      </c>
      <c r="BG224" s="1" t="str">
        <f>HYPERLINK("http://dx.doi.org/10.1016/j.inffus.2023.102022","http://dx.doi.org/10.1016/j.inffus.2023.102022")</f>
        <v>http://dx.doi.org/10.1016/j.inffus.2023.102022</v>
      </c>
      <c r="BH224" s="1" t="s">
        <v>1507</v>
      </c>
      <c r="BI224" s="1" t="s">
        <v>3689</v>
      </c>
      <c r="BJ224" s="1">
        <v>9</v>
      </c>
      <c r="BK224" s="1" t="s">
        <v>2678</v>
      </c>
      <c r="BL224" s="1" t="s">
        <v>1573</v>
      </c>
      <c r="BM224" s="1" t="s">
        <v>1577</v>
      </c>
      <c r="BN224" s="1" t="s">
        <v>3708</v>
      </c>
      <c r="BO224" s="1" t="s">
        <v>1507</v>
      </c>
      <c r="BP224" s="1" t="s">
        <v>1507</v>
      </c>
      <c r="BQ224" s="1" t="s">
        <v>1507</v>
      </c>
      <c r="BR224" s="1" t="s">
        <v>1507</v>
      </c>
      <c r="BS224" s="1" t="s">
        <v>13744</v>
      </c>
      <c r="BT224" s="1" t="s">
        <v>3709</v>
      </c>
      <c r="BU224" s="1" t="str">
        <f>HYPERLINK("https%3A%2F%2Fwww.webofscience.com%2Fwos%2Fwoscc%2Ffull-record%2FWOS:001083713100001","View Full Record in Web of Science")</f>
        <v>View Full Record in Web of Science</v>
      </c>
    </row>
    <row r="225" spans="1:73" x14ac:dyDescent="0.25">
      <c r="A225" s="1">
        <v>249</v>
      </c>
      <c r="B225" s="1" t="s">
        <v>1506</v>
      </c>
      <c r="C225" s="1" t="s">
        <v>5974</v>
      </c>
      <c r="D225" s="1" t="s">
        <v>1507</v>
      </c>
      <c r="E225" s="1" t="s">
        <v>1507</v>
      </c>
      <c r="F225" s="1" t="s">
        <v>1507</v>
      </c>
      <c r="G225" s="1" t="s">
        <v>5975</v>
      </c>
      <c r="H225" s="1" t="s">
        <v>1507</v>
      </c>
      <c r="I225" s="1" t="s">
        <v>1507</v>
      </c>
      <c r="J225" s="1" t="s">
        <v>995</v>
      </c>
      <c r="K225" s="1" t="s">
        <v>5976</v>
      </c>
      <c r="L225" s="1" t="s">
        <v>1507</v>
      </c>
      <c r="M225" s="1" t="s">
        <v>1507</v>
      </c>
      <c r="N225" s="1" t="s">
        <v>42</v>
      </c>
      <c r="O225" s="1" t="s">
        <v>56</v>
      </c>
      <c r="P225" s="1" t="s">
        <v>1507</v>
      </c>
      <c r="Q225" s="1" t="s">
        <v>1507</v>
      </c>
      <c r="R225" s="1" t="s">
        <v>1507</v>
      </c>
      <c r="S225" s="1" t="s">
        <v>1507</v>
      </c>
      <c r="T225" s="1" t="s">
        <v>1507</v>
      </c>
      <c r="U225" s="1" t="s">
        <v>5977</v>
      </c>
      <c r="V225" s="1" t="s">
        <v>1507</v>
      </c>
      <c r="W225" s="1" t="s">
        <v>5978</v>
      </c>
      <c r="X225" s="1" t="s">
        <v>5979</v>
      </c>
      <c r="Y225" s="1" t="s">
        <v>5980</v>
      </c>
      <c r="Z225" s="1" t="s">
        <v>5981</v>
      </c>
      <c r="AA225" s="1" t="s">
        <v>5982</v>
      </c>
      <c r="AB225" s="1" t="s">
        <v>15050</v>
      </c>
      <c r="AC225" s="1" t="s">
        <v>15051</v>
      </c>
      <c r="AD225" s="1" t="s">
        <v>1507</v>
      </c>
      <c r="AE225" s="1" t="s">
        <v>1507</v>
      </c>
      <c r="AF225" s="1" t="s">
        <v>1507</v>
      </c>
      <c r="AG225" s="1" t="s">
        <v>1507</v>
      </c>
      <c r="AH225" s="1">
        <v>20</v>
      </c>
      <c r="AI225" s="1">
        <v>3</v>
      </c>
      <c r="AJ225" s="1">
        <v>3</v>
      </c>
      <c r="AK225" s="1">
        <v>12</v>
      </c>
      <c r="AL225" s="1">
        <v>12</v>
      </c>
      <c r="AM225" s="1" t="s">
        <v>1667</v>
      </c>
      <c r="AN225" s="1" t="s">
        <v>1668</v>
      </c>
      <c r="AO225" s="1" t="s">
        <v>1669</v>
      </c>
      <c r="AP225" s="1" t="s">
        <v>5983</v>
      </c>
      <c r="AQ225" s="1" t="s">
        <v>1507</v>
      </c>
      <c r="AR225" s="1" t="s">
        <v>1507</v>
      </c>
      <c r="AS225" s="1" t="s">
        <v>5984</v>
      </c>
      <c r="AT225" s="1" t="s">
        <v>1003</v>
      </c>
      <c r="AU225" s="1" t="s">
        <v>1507</v>
      </c>
      <c r="AV225" s="1">
        <v>2023</v>
      </c>
      <c r="AW225" s="1">
        <v>9</v>
      </c>
      <c r="AX225" s="1" t="s">
        <v>1507</v>
      </c>
      <c r="AY225" s="1" t="s">
        <v>1507</v>
      </c>
      <c r="AZ225" s="1" t="s">
        <v>1507</v>
      </c>
      <c r="BA225" s="1" t="s">
        <v>1507</v>
      </c>
      <c r="BB225" s="1" t="s">
        <v>1507</v>
      </c>
      <c r="BC225" s="1" t="s">
        <v>1507</v>
      </c>
      <c r="BD225" s="1" t="s">
        <v>1507</v>
      </c>
      <c r="BE225" s="1" t="s">
        <v>997</v>
      </c>
      <c r="BF225" s="1" t="s">
        <v>998</v>
      </c>
      <c r="BG225" s="1" t="str">
        <f>HYPERLINK("http://dx.doi.org/10.2196/50514","http://dx.doi.org/10.2196/50514")</f>
        <v>http://dx.doi.org/10.2196/50514</v>
      </c>
      <c r="BH225" s="1" t="s">
        <v>1507</v>
      </c>
      <c r="BI225" s="1" t="s">
        <v>1507</v>
      </c>
      <c r="BJ225" s="1">
        <v>9</v>
      </c>
      <c r="BK225" s="1" t="s">
        <v>2721</v>
      </c>
      <c r="BL225" s="1" t="s">
        <v>1529</v>
      </c>
      <c r="BM225" s="1" t="s">
        <v>1558</v>
      </c>
      <c r="BN225" s="1" t="s">
        <v>5985</v>
      </c>
      <c r="BO225" s="1">
        <v>37725411</v>
      </c>
      <c r="BP225" s="1" t="s">
        <v>1674</v>
      </c>
      <c r="BQ225" s="1" t="s">
        <v>1507</v>
      </c>
      <c r="BR225" s="1" t="s">
        <v>1507</v>
      </c>
      <c r="BS225" s="1" t="s">
        <v>13744</v>
      </c>
      <c r="BT225" s="1" t="s">
        <v>5986</v>
      </c>
      <c r="BU225" s="1" t="str">
        <f>HYPERLINK("https%3A%2F%2Fwww.webofscience.com%2Fwos%2Fwoscc%2Ffull-record%2FWOS:001085615600001","View Full Record in Web of Science")</f>
        <v>View Full Record in Web of Science</v>
      </c>
    </row>
    <row r="226" spans="1:73" x14ac:dyDescent="0.25">
      <c r="A226" s="1">
        <v>250</v>
      </c>
      <c r="B226" s="1" t="s">
        <v>1506</v>
      </c>
      <c r="C226" s="1" t="s">
        <v>11994</v>
      </c>
      <c r="D226" s="1" t="s">
        <v>1507</v>
      </c>
      <c r="E226" s="1" t="s">
        <v>1507</v>
      </c>
      <c r="F226" s="1" t="s">
        <v>1507</v>
      </c>
      <c r="G226" s="1" t="s">
        <v>11995</v>
      </c>
      <c r="H226" s="1" t="s">
        <v>1507</v>
      </c>
      <c r="I226" s="1" t="s">
        <v>1507</v>
      </c>
      <c r="J226" s="1" t="s">
        <v>11996</v>
      </c>
      <c r="K226" s="1" t="s">
        <v>11997</v>
      </c>
      <c r="L226" s="1" t="s">
        <v>1507</v>
      </c>
      <c r="M226" s="1" t="s">
        <v>1507</v>
      </c>
      <c r="N226" s="1" t="s">
        <v>42</v>
      </c>
      <c r="O226" s="1" t="s">
        <v>56</v>
      </c>
      <c r="P226" s="1" t="s">
        <v>1507</v>
      </c>
      <c r="Q226" s="1" t="s">
        <v>1507</v>
      </c>
      <c r="R226" s="1" t="s">
        <v>1507</v>
      </c>
      <c r="S226" s="1" t="s">
        <v>1507</v>
      </c>
      <c r="T226" s="1" t="s">
        <v>1507</v>
      </c>
      <c r="U226" s="1" t="s">
        <v>11998</v>
      </c>
      <c r="V226" s="1" t="s">
        <v>1507</v>
      </c>
      <c r="W226" s="1" t="s">
        <v>11999</v>
      </c>
      <c r="X226" s="1" t="s">
        <v>12000</v>
      </c>
      <c r="Y226" s="1" t="s">
        <v>12001</v>
      </c>
      <c r="Z226" s="1" t="s">
        <v>12002</v>
      </c>
      <c r="AA226" s="1" t="s">
        <v>12003</v>
      </c>
      <c r="AB226" s="1" t="s">
        <v>12004</v>
      </c>
      <c r="AC226" s="1" t="s">
        <v>1507</v>
      </c>
      <c r="AD226" s="1" t="s">
        <v>12005</v>
      </c>
      <c r="AE226" s="1" t="s">
        <v>12006</v>
      </c>
      <c r="AF226" s="1" t="s">
        <v>12007</v>
      </c>
      <c r="AG226" s="1" t="s">
        <v>1507</v>
      </c>
      <c r="AH226" s="1">
        <v>16</v>
      </c>
      <c r="AI226" s="1">
        <v>1</v>
      </c>
      <c r="AJ226" s="1">
        <v>1</v>
      </c>
      <c r="AK226" s="1">
        <v>3</v>
      </c>
      <c r="AL226" s="1">
        <v>15</v>
      </c>
      <c r="AM226" s="1" t="s">
        <v>5178</v>
      </c>
      <c r="AN226" s="1" t="s">
        <v>5179</v>
      </c>
      <c r="AO226" s="1" t="s">
        <v>5180</v>
      </c>
      <c r="AP226" s="1" t="s">
        <v>12008</v>
      </c>
      <c r="AQ226" s="1" t="s">
        <v>12009</v>
      </c>
      <c r="AR226" s="1" t="s">
        <v>1507</v>
      </c>
      <c r="AS226" s="1" t="s">
        <v>12010</v>
      </c>
      <c r="AT226" s="1" t="s">
        <v>12011</v>
      </c>
      <c r="AU226" s="1" t="s">
        <v>1507</v>
      </c>
      <c r="AV226" s="1">
        <v>2018</v>
      </c>
      <c r="AW226" s="1">
        <v>90</v>
      </c>
      <c r="AX226" s="1">
        <v>1</v>
      </c>
      <c r="AY226" s="1" t="s">
        <v>1507</v>
      </c>
      <c r="AZ226" s="1" t="s">
        <v>1507</v>
      </c>
      <c r="BA226" s="1" t="s">
        <v>1507</v>
      </c>
      <c r="BB226" s="1" t="s">
        <v>1507</v>
      </c>
      <c r="BC226" s="1">
        <v>196</v>
      </c>
      <c r="BD226" s="1">
        <v>201</v>
      </c>
      <c r="BE226" s="1" t="s">
        <v>1507</v>
      </c>
      <c r="BF226" s="1" t="s">
        <v>12012</v>
      </c>
      <c r="BG226" s="1" t="str">
        <f>HYPERLINK("http://dx.doi.org/10.1108/AEAT-06-2016-0102","http://dx.doi.org/10.1108/AEAT-06-2016-0102")</f>
        <v>http://dx.doi.org/10.1108/AEAT-06-2016-0102</v>
      </c>
      <c r="BH226" s="1" t="s">
        <v>1507</v>
      </c>
      <c r="BI226" s="1" t="s">
        <v>1507</v>
      </c>
      <c r="BJ226" s="1">
        <v>6</v>
      </c>
      <c r="BK226" s="1" t="s">
        <v>11432</v>
      </c>
      <c r="BL226" s="1" t="s">
        <v>1573</v>
      </c>
      <c r="BM226" s="1" t="s">
        <v>3691</v>
      </c>
      <c r="BN226" s="1" t="s">
        <v>12013</v>
      </c>
      <c r="BO226" s="1" t="s">
        <v>1507</v>
      </c>
      <c r="BP226" s="1" t="s">
        <v>1507</v>
      </c>
      <c r="BQ226" s="1" t="s">
        <v>1507</v>
      </c>
      <c r="BR226" s="1" t="s">
        <v>1507</v>
      </c>
      <c r="BS226" s="1" t="s">
        <v>13744</v>
      </c>
      <c r="BT226" s="1" t="s">
        <v>12014</v>
      </c>
      <c r="BU226" s="1" t="str">
        <f>HYPERLINK("https%3A%2F%2Fwww.webofscience.com%2Fwos%2Fwoscc%2Ffull-record%2FWOS:000424215400021","View Full Record in Web of Science")</f>
        <v>View Full Record in Web of Science</v>
      </c>
    </row>
    <row r="227" spans="1:73" x14ac:dyDescent="0.25">
      <c r="A227" s="1">
        <v>251</v>
      </c>
      <c r="B227" s="1" t="s">
        <v>1506</v>
      </c>
      <c r="C227" s="1" t="s">
        <v>3862</v>
      </c>
      <c r="D227" s="1" t="s">
        <v>1507</v>
      </c>
      <c r="E227" s="1" t="s">
        <v>1507</v>
      </c>
      <c r="F227" s="1" t="s">
        <v>1507</v>
      </c>
      <c r="G227" s="1" t="s">
        <v>3863</v>
      </c>
      <c r="H227" s="1" t="s">
        <v>1507</v>
      </c>
      <c r="I227" s="1" t="s">
        <v>1507</v>
      </c>
      <c r="J227" s="1" t="s">
        <v>966</v>
      </c>
      <c r="K227" s="1" t="s">
        <v>3864</v>
      </c>
      <c r="L227" s="1" t="s">
        <v>1507</v>
      </c>
      <c r="M227" s="1" t="s">
        <v>1507</v>
      </c>
      <c r="N227" s="1" t="s">
        <v>42</v>
      </c>
      <c r="O227" s="1" t="s">
        <v>56</v>
      </c>
      <c r="P227" s="1" t="s">
        <v>1507</v>
      </c>
      <c r="Q227" s="1" t="s">
        <v>1507</v>
      </c>
      <c r="R227" s="1" t="s">
        <v>1507</v>
      </c>
      <c r="S227" s="1" t="s">
        <v>1507</v>
      </c>
      <c r="T227" s="1" t="s">
        <v>1507</v>
      </c>
      <c r="U227" s="1" t="s">
        <v>3865</v>
      </c>
      <c r="V227" s="1" t="s">
        <v>3866</v>
      </c>
      <c r="W227" s="1" t="s">
        <v>3867</v>
      </c>
      <c r="X227" s="1" t="s">
        <v>3868</v>
      </c>
      <c r="Y227" s="1" t="s">
        <v>3869</v>
      </c>
      <c r="Z227" s="1" t="s">
        <v>3870</v>
      </c>
      <c r="AA227" s="1" t="s">
        <v>3871</v>
      </c>
      <c r="AB227" s="1" t="s">
        <v>1507</v>
      </c>
      <c r="AC227" s="1" t="s">
        <v>3872</v>
      </c>
      <c r="AD227" s="1" t="s">
        <v>1507</v>
      </c>
      <c r="AE227" s="1" t="s">
        <v>1507</v>
      </c>
      <c r="AF227" s="1" t="s">
        <v>1507</v>
      </c>
      <c r="AG227" s="1" t="s">
        <v>1507</v>
      </c>
      <c r="AH227" s="1">
        <v>53</v>
      </c>
      <c r="AI227" s="1">
        <v>4</v>
      </c>
      <c r="AJ227" s="1">
        <v>4</v>
      </c>
      <c r="AK227" s="1">
        <v>16</v>
      </c>
      <c r="AL227" s="1">
        <v>17</v>
      </c>
      <c r="AM227" s="1" t="s">
        <v>1564</v>
      </c>
      <c r="AN227" s="1" t="s">
        <v>1565</v>
      </c>
      <c r="AO227" s="1" t="s">
        <v>1566</v>
      </c>
      <c r="AP227" s="1" t="s">
        <v>3873</v>
      </c>
      <c r="AQ227" s="1" t="s">
        <v>1507</v>
      </c>
      <c r="AR227" s="1" t="s">
        <v>1507</v>
      </c>
      <c r="AS227" s="1" t="s">
        <v>3874</v>
      </c>
      <c r="AT227" s="1" t="s">
        <v>975</v>
      </c>
      <c r="AU227" s="1" t="s">
        <v>3855</v>
      </c>
      <c r="AV227" s="1">
        <v>2023</v>
      </c>
      <c r="AW227" s="1">
        <v>13</v>
      </c>
      <c r="AX227" s="1" t="s">
        <v>1507</v>
      </c>
      <c r="AY227" s="1" t="s">
        <v>1507</v>
      </c>
      <c r="AZ227" s="1" t="s">
        <v>1507</v>
      </c>
      <c r="BA227" s="1" t="s">
        <v>1507</v>
      </c>
      <c r="BB227" s="1" t="s">
        <v>1507</v>
      </c>
      <c r="BC227" s="1" t="s">
        <v>1507</v>
      </c>
      <c r="BD227" s="1" t="s">
        <v>1507</v>
      </c>
      <c r="BE227" s="1">
        <v>1265024</v>
      </c>
      <c r="BF227" s="1" t="s">
        <v>968</v>
      </c>
      <c r="BG227" s="1" t="str">
        <f>HYPERLINK("http://dx.doi.org/10.3389/fonc.2023.1265024","http://dx.doi.org/10.3389/fonc.2023.1265024")</f>
        <v>http://dx.doi.org/10.3389/fonc.2023.1265024</v>
      </c>
      <c r="BH227" s="1" t="s">
        <v>1507</v>
      </c>
      <c r="BI227" s="1" t="s">
        <v>1507</v>
      </c>
      <c r="BJ227" s="1">
        <v>13</v>
      </c>
      <c r="BK227" s="1" t="s">
        <v>3875</v>
      </c>
      <c r="BL227" s="1" t="s">
        <v>1573</v>
      </c>
      <c r="BM227" s="1" t="s">
        <v>3875</v>
      </c>
      <c r="BN227" s="1" t="s">
        <v>3876</v>
      </c>
      <c r="BO227" s="1">
        <v>37790756</v>
      </c>
      <c r="BP227" s="1" t="s">
        <v>1674</v>
      </c>
      <c r="BQ227" s="1" t="s">
        <v>1507</v>
      </c>
      <c r="BR227" s="1" t="s">
        <v>1507</v>
      </c>
      <c r="BS227" s="1" t="s">
        <v>13744</v>
      </c>
      <c r="BT227" s="1" t="s">
        <v>3877</v>
      </c>
      <c r="BU227" s="1" t="str">
        <f>HYPERLINK("https%3A%2F%2Fwww.webofscience.com%2Fwos%2Fwoscc%2Ffull-record%2FWOS:001119288400001","View Full Record in Web of Science")</f>
        <v>View Full Record in Web of Science</v>
      </c>
    </row>
    <row r="228" spans="1:73" x14ac:dyDescent="0.25">
      <c r="A228" s="1">
        <v>252</v>
      </c>
      <c r="B228" s="1" t="s">
        <v>5546</v>
      </c>
      <c r="C228" s="1" t="s">
        <v>15052</v>
      </c>
      <c r="D228" s="1" t="s">
        <v>1507</v>
      </c>
      <c r="E228" s="1" t="s">
        <v>1507</v>
      </c>
      <c r="F228" s="1" t="s">
        <v>5548</v>
      </c>
      <c r="G228" s="1" t="s">
        <v>15053</v>
      </c>
      <c r="H228" s="1" t="s">
        <v>1507</v>
      </c>
      <c r="I228" s="1" t="s">
        <v>1507</v>
      </c>
      <c r="J228" s="1" t="s">
        <v>15054</v>
      </c>
      <c r="K228" s="1" t="s">
        <v>14923</v>
      </c>
      <c r="L228" s="1" t="s">
        <v>1507</v>
      </c>
      <c r="M228" s="1" t="s">
        <v>1507</v>
      </c>
      <c r="N228" s="1" t="s">
        <v>42</v>
      </c>
      <c r="O228" s="1" t="s">
        <v>5552</v>
      </c>
      <c r="P228" s="1" t="s">
        <v>14924</v>
      </c>
      <c r="Q228" s="1" t="s">
        <v>14925</v>
      </c>
      <c r="R228" s="1" t="s">
        <v>6272</v>
      </c>
      <c r="S228" s="1" t="s">
        <v>14926</v>
      </c>
      <c r="T228" s="1" t="s">
        <v>1507</v>
      </c>
      <c r="U228" s="1" t="s">
        <v>15055</v>
      </c>
      <c r="V228" s="1" t="s">
        <v>1507</v>
      </c>
      <c r="W228" s="1" t="s">
        <v>15056</v>
      </c>
      <c r="X228" s="1" t="s">
        <v>15057</v>
      </c>
      <c r="Y228" s="1" t="s">
        <v>15058</v>
      </c>
      <c r="Z228" s="1" t="s">
        <v>15059</v>
      </c>
      <c r="AA228" s="1" t="s">
        <v>15060</v>
      </c>
      <c r="AB228" s="1" t="s">
        <v>14933</v>
      </c>
      <c r="AC228" s="1" t="s">
        <v>15061</v>
      </c>
      <c r="AD228" s="1" t="s">
        <v>1507</v>
      </c>
      <c r="AE228" s="1" t="s">
        <v>1507</v>
      </c>
      <c r="AF228" s="1" t="s">
        <v>1507</v>
      </c>
      <c r="AG228" s="1" t="s">
        <v>1507</v>
      </c>
      <c r="AH228" s="1">
        <v>42</v>
      </c>
      <c r="AI228" s="1">
        <v>1</v>
      </c>
      <c r="AJ228" s="1">
        <v>1</v>
      </c>
      <c r="AK228" s="1">
        <v>0</v>
      </c>
      <c r="AL228" s="1">
        <v>0</v>
      </c>
      <c r="AM228" s="1" t="s">
        <v>5565</v>
      </c>
      <c r="AN228" s="1" t="s">
        <v>1512</v>
      </c>
      <c r="AO228" s="1" t="s">
        <v>5566</v>
      </c>
      <c r="AP228" s="1" t="s">
        <v>1507</v>
      </c>
      <c r="AQ228" s="1" t="s">
        <v>1507</v>
      </c>
      <c r="AR228" s="1" t="s">
        <v>14938</v>
      </c>
      <c r="AS228" s="1" t="s">
        <v>1507</v>
      </c>
      <c r="AT228" s="1" t="s">
        <v>1507</v>
      </c>
      <c r="AU228" s="1" t="s">
        <v>1507</v>
      </c>
      <c r="AV228" s="1">
        <v>2023</v>
      </c>
      <c r="AW228" s="1" t="s">
        <v>1507</v>
      </c>
      <c r="AX228" s="1" t="s">
        <v>1507</v>
      </c>
      <c r="AY228" s="1" t="s">
        <v>1507</v>
      </c>
      <c r="AZ228" s="1" t="s">
        <v>1507</v>
      </c>
      <c r="BA228" s="1" t="s">
        <v>1507</v>
      </c>
      <c r="BB228" s="1" t="s">
        <v>1507</v>
      </c>
      <c r="BC228" s="1">
        <v>325</v>
      </c>
      <c r="BD228" s="1">
        <v>329</v>
      </c>
      <c r="BE228" s="1" t="s">
        <v>1507</v>
      </c>
      <c r="BF228" s="1" t="s">
        <v>15062</v>
      </c>
      <c r="BG228" s="1" t="str">
        <f>HYPERLINK("http://dx.doi.org/10.1145/3591196.3596818","http://dx.doi.org/10.1145/3591196.3596818")</f>
        <v>http://dx.doi.org/10.1145/3591196.3596818</v>
      </c>
      <c r="BH228" s="1" t="s">
        <v>1507</v>
      </c>
      <c r="BI228" s="1" t="s">
        <v>1507</v>
      </c>
      <c r="BJ228" s="1">
        <v>5</v>
      </c>
      <c r="BK228" s="1" t="s">
        <v>14940</v>
      </c>
      <c r="BL228" s="1" t="s">
        <v>5695</v>
      </c>
      <c r="BM228" s="1" t="s">
        <v>14941</v>
      </c>
      <c r="BN228" s="1" t="s">
        <v>14942</v>
      </c>
      <c r="BO228" s="1" t="s">
        <v>1507</v>
      </c>
      <c r="BP228" s="1" t="s">
        <v>1507</v>
      </c>
      <c r="BQ228" s="1" t="s">
        <v>1507</v>
      </c>
      <c r="BR228" s="1" t="s">
        <v>1507</v>
      </c>
      <c r="BS228" s="1" t="s">
        <v>13744</v>
      </c>
      <c r="BT228" s="1" t="s">
        <v>15063</v>
      </c>
      <c r="BU228" s="1" t="str">
        <f>HYPERLINK("https%3A%2F%2Fwww.webofscience.com%2Fwos%2Fwoscc%2Ffull-record%2FWOS:001119074200044","View Full Record in Web of Science")</f>
        <v>View Full Record in Web of Science</v>
      </c>
    </row>
    <row r="229" spans="1:73" x14ac:dyDescent="0.25">
      <c r="A229" s="1">
        <v>253</v>
      </c>
      <c r="B229" s="1" t="s">
        <v>1506</v>
      </c>
      <c r="C229" s="1" t="s">
        <v>14102</v>
      </c>
      <c r="D229" s="1" t="s">
        <v>1507</v>
      </c>
      <c r="E229" s="1" t="s">
        <v>1507</v>
      </c>
      <c r="F229" s="1" t="s">
        <v>1507</v>
      </c>
      <c r="G229" s="1" t="s">
        <v>14103</v>
      </c>
      <c r="H229" s="1" t="s">
        <v>1507</v>
      </c>
      <c r="I229" s="1" t="s">
        <v>1507</v>
      </c>
      <c r="J229" s="1" t="s">
        <v>600</v>
      </c>
      <c r="K229" s="1" t="s">
        <v>14104</v>
      </c>
      <c r="L229" s="1" t="s">
        <v>1507</v>
      </c>
      <c r="M229" s="1" t="s">
        <v>1507</v>
      </c>
      <c r="N229" s="1" t="s">
        <v>42</v>
      </c>
      <c r="O229" s="1" t="s">
        <v>56</v>
      </c>
      <c r="P229" s="1" t="s">
        <v>1507</v>
      </c>
      <c r="Q229" s="1" t="s">
        <v>1507</v>
      </c>
      <c r="R229" s="1" t="s">
        <v>1507</v>
      </c>
      <c r="S229" s="1" t="s">
        <v>1507</v>
      </c>
      <c r="T229" s="1" t="s">
        <v>1507</v>
      </c>
      <c r="U229" s="1" t="s">
        <v>14105</v>
      </c>
      <c r="V229" s="1" t="s">
        <v>1507</v>
      </c>
      <c r="W229" s="1" t="s">
        <v>14106</v>
      </c>
      <c r="X229" s="1" t="s">
        <v>14107</v>
      </c>
      <c r="Y229" s="1" t="s">
        <v>14108</v>
      </c>
      <c r="Z229" s="1" t="s">
        <v>14109</v>
      </c>
      <c r="AA229" s="1" t="s">
        <v>14110</v>
      </c>
      <c r="AB229" s="1" t="s">
        <v>14111</v>
      </c>
      <c r="AC229" s="1" t="s">
        <v>14112</v>
      </c>
      <c r="AD229" s="1" t="s">
        <v>14113</v>
      </c>
      <c r="AE229" s="1" t="s">
        <v>14114</v>
      </c>
      <c r="AF229" s="1" t="s">
        <v>13575</v>
      </c>
      <c r="AG229" s="1" t="s">
        <v>1507</v>
      </c>
      <c r="AH229" s="1">
        <v>28</v>
      </c>
      <c r="AI229" s="1">
        <v>0</v>
      </c>
      <c r="AJ229" s="1">
        <v>0</v>
      </c>
      <c r="AK229" s="1">
        <v>0</v>
      </c>
      <c r="AL229" s="1">
        <v>0</v>
      </c>
      <c r="AM229" s="1" t="s">
        <v>4605</v>
      </c>
      <c r="AN229" s="1" t="s">
        <v>4606</v>
      </c>
      <c r="AO229" s="1" t="s">
        <v>4607</v>
      </c>
      <c r="AP229" s="1" t="s">
        <v>14115</v>
      </c>
      <c r="AQ229" s="1" t="s">
        <v>1507</v>
      </c>
      <c r="AR229" s="1" t="s">
        <v>1507</v>
      </c>
      <c r="AS229" s="1" t="s">
        <v>14116</v>
      </c>
      <c r="AT229" s="1" t="s">
        <v>14117</v>
      </c>
      <c r="AU229" s="1" t="s">
        <v>2771</v>
      </c>
      <c r="AV229" s="1">
        <v>2023</v>
      </c>
      <c r="AW229" s="1">
        <v>5</v>
      </c>
      <c r="AX229" s="1">
        <v>6</v>
      </c>
      <c r="AY229" s="1" t="s">
        <v>1507</v>
      </c>
      <c r="AZ229" s="1" t="s">
        <v>1507</v>
      </c>
      <c r="BA229" s="1" t="s">
        <v>1507</v>
      </c>
      <c r="BB229" s="1" t="s">
        <v>1507</v>
      </c>
      <c r="BC229" s="1" t="s">
        <v>1507</v>
      </c>
      <c r="BD229" s="1" t="s">
        <v>1507</v>
      </c>
      <c r="BE229" s="1" t="s">
        <v>602</v>
      </c>
      <c r="BF229" s="1" t="s">
        <v>603</v>
      </c>
      <c r="BG229" s="1" t="str">
        <f>HYPERLINK("http://dx.doi.org/10.1148/ryai.220281","http://dx.doi.org/10.1148/ryai.220281")</f>
        <v>http://dx.doi.org/10.1148/ryai.220281</v>
      </c>
      <c r="BH229" s="1" t="s">
        <v>1507</v>
      </c>
      <c r="BI229" s="1" t="s">
        <v>1507</v>
      </c>
      <c r="BJ229" s="1">
        <v>8</v>
      </c>
      <c r="BK229" s="1" t="s">
        <v>14118</v>
      </c>
      <c r="BL229" s="1" t="s">
        <v>1529</v>
      </c>
      <c r="BM229" s="1" t="s">
        <v>14119</v>
      </c>
      <c r="BN229" s="1" t="s">
        <v>14120</v>
      </c>
      <c r="BO229" s="1">
        <v>38074793</v>
      </c>
      <c r="BP229" s="1" t="s">
        <v>7508</v>
      </c>
      <c r="BQ229" s="1" t="s">
        <v>1507</v>
      </c>
      <c r="BR229" s="1" t="s">
        <v>1507</v>
      </c>
      <c r="BS229" s="1" t="s">
        <v>13744</v>
      </c>
      <c r="BT229" s="1" t="s">
        <v>14121</v>
      </c>
      <c r="BU229" s="1" t="str">
        <f>HYPERLINK("https%3A%2F%2Fwww.webofscience.com%2Fwos%2Fwoscc%2Ffull-record%2FWOS:001172477100003","View Full Record in Web of Science")</f>
        <v>View Full Record in Web of Science</v>
      </c>
    </row>
    <row r="230" spans="1:73" x14ac:dyDescent="0.25">
      <c r="A230" s="1">
        <v>254</v>
      </c>
      <c r="B230" s="1" t="s">
        <v>1506</v>
      </c>
      <c r="C230" s="1" t="s">
        <v>4171</v>
      </c>
      <c r="D230" s="1" t="s">
        <v>1507</v>
      </c>
      <c r="E230" s="1" t="s">
        <v>1507</v>
      </c>
      <c r="F230" s="1" t="s">
        <v>1507</v>
      </c>
      <c r="G230" s="1" t="s">
        <v>4172</v>
      </c>
      <c r="H230" s="1" t="s">
        <v>1507</v>
      </c>
      <c r="I230" s="1" t="s">
        <v>1507</v>
      </c>
      <c r="J230" s="1" t="s">
        <v>4173</v>
      </c>
      <c r="K230" s="1" t="s">
        <v>4174</v>
      </c>
      <c r="L230" s="1" t="s">
        <v>1507</v>
      </c>
      <c r="M230" s="1" t="s">
        <v>1507</v>
      </c>
      <c r="N230" s="1" t="s">
        <v>42</v>
      </c>
      <c r="O230" s="1" t="s">
        <v>56</v>
      </c>
      <c r="P230" s="1" t="s">
        <v>1507</v>
      </c>
      <c r="Q230" s="1" t="s">
        <v>1507</v>
      </c>
      <c r="R230" s="1" t="s">
        <v>1507</v>
      </c>
      <c r="S230" s="1" t="s">
        <v>1507</v>
      </c>
      <c r="T230" s="1" t="s">
        <v>1507</v>
      </c>
      <c r="U230" s="1" t="s">
        <v>4175</v>
      </c>
      <c r="V230" s="1" t="s">
        <v>1507</v>
      </c>
      <c r="W230" s="1" t="s">
        <v>4176</v>
      </c>
      <c r="X230" s="1" t="s">
        <v>4177</v>
      </c>
      <c r="Y230" s="1" t="s">
        <v>4178</v>
      </c>
      <c r="Z230" s="1" t="s">
        <v>4179</v>
      </c>
      <c r="AA230" s="1" t="s">
        <v>4180</v>
      </c>
      <c r="AB230" s="1" t="s">
        <v>1507</v>
      </c>
      <c r="AC230" s="1" t="s">
        <v>1507</v>
      </c>
      <c r="AD230" s="1" t="s">
        <v>4181</v>
      </c>
      <c r="AE230" s="1" t="s">
        <v>4182</v>
      </c>
      <c r="AF230" s="1" t="s">
        <v>4183</v>
      </c>
      <c r="AG230" s="1" t="s">
        <v>1507</v>
      </c>
      <c r="AH230" s="1">
        <v>30</v>
      </c>
      <c r="AI230" s="1">
        <v>0</v>
      </c>
      <c r="AJ230" s="1">
        <v>0</v>
      </c>
      <c r="AK230" s="1">
        <v>4</v>
      </c>
      <c r="AL230" s="1">
        <v>7</v>
      </c>
      <c r="AM230" s="1" t="s">
        <v>1900</v>
      </c>
      <c r="AN230" s="1" t="s">
        <v>1583</v>
      </c>
      <c r="AO230" s="1" t="s">
        <v>1901</v>
      </c>
      <c r="AP230" s="1" t="s">
        <v>4184</v>
      </c>
      <c r="AQ230" s="1" t="s">
        <v>4185</v>
      </c>
      <c r="AR230" s="1" t="s">
        <v>1507</v>
      </c>
      <c r="AS230" s="1" t="s">
        <v>4186</v>
      </c>
      <c r="AT230" s="1" t="s">
        <v>4187</v>
      </c>
      <c r="AU230" s="1" t="s">
        <v>4188</v>
      </c>
      <c r="AV230" s="1">
        <v>2023</v>
      </c>
      <c r="AW230" s="1">
        <v>234</v>
      </c>
      <c r="AX230" s="1" t="s">
        <v>1507</v>
      </c>
      <c r="AY230" s="1" t="s">
        <v>1507</v>
      </c>
      <c r="AZ230" s="1" t="s">
        <v>1507</v>
      </c>
      <c r="BA230" s="1" t="s">
        <v>1507</v>
      </c>
      <c r="BB230" s="1" t="s">
        <v>1507</v>
      </c>
      <c r="BC230" s="1" t="s">
        <v>1507</v>
      </c>
      <c r="BD230" s="1" t="s">
        <v>1507</v>
      </c>
      <c r="BE230" s="1">
        <v>121029</v>
      </c>
      <c r="BF230" s="1" t="s">
        <v>4189</v>
      </c>
      <c r="BG230" s="1" t="str">
        <f>HYPERLINK("http://dx.doi.org/10.1016/j.eswa.2023.121029","http://dx.doi.org/10.1016/j.eswa.2023.121029")</f>
        <v>http://dx.doi.org/10.1016/j.eswa.2023.121029</v>
      </c>
      <c r="BH230" s="1" t="s">
        <v>1507</v>
      </c>
      <c r="BI230" s="1" t="s">
        <v>4056</v>
      </c>
      <c r="BJ230" s="1">
        <v>8</v>
      </c>
      <c r="BK230" s="1" t="s">
        <v>4190</v>
      </c>
      <c r="BL230" s="1" t="s">
        <v>1573</v>
      </c>
      <c r="BM230" s="1" t="s">
        <v>4191</v>
      </c>
      <c r="BN230" s="1" t="s">
        <v>4192</v>
      </c>
      <c r="BO230" s="1" t="s">
        <v>1507</v>
      </c>
      <c r="BP230" s="1" t="s">
        <v>1507</v>
      </c>
      <c r="BQ230" s="1" t="s">
        <v>1507</v>
      </c>
      <c r="BR230" s="1" t="s">
        <v>1507</v>
      </c>
      <c r="BS230" s="1" t="s">
        <v>13744</v>
      </c>
      <c r="BT230" s="1" t="s">
        <v>4193</v>
      </c>
      <c r="BU230" s="1" t="str">
        <f>HYPERLINK("https%3A%2F%2Fwww.webofscience.com%2Fwos%2Fwoscc%2Ffull-record%2FWOS:001059384300001","View Full Record in Web of Science")</f>
        <v>View Full Record in Web of Science</v>
      </c>
    </row>
    <row r="231" spans="1:73" x14ac:dyDescent="0.25">
      <c r="A231" s="1">
        <v>255</v>
      </c>
      <c r="B231" s="1" t="s">
        <v>1506</v>
      </c>
      <c r="C231" s="1" t="s">
        <v>9696</v>
      </c>
      <c r="D231" s="1" t="s">
        <v>1507</v>
      </c>
      <c r="E231" s="1" t="s">
        <v>1507</v>
      </c>
      <c r="F231" s="1" t="s">
        <v>1507</v>
      </c>
      <c r="G231" s="1" t="s">
        <v>9697</v>
      </c>
      <c r="H231" s="1" t="s">
        <v>1507</v>
      </c>
      <c r="I231" s="1" t="s">
        <v>1507</v>
      </c>
      <c r="J231" s="1" t="s">
        <v>9698</v>
      </c>
      <c r="K231" s="1" t="s">
        <v>9699</v>
      </c>
      <c r="L231" s="1" t="s">
        <v>1507</v>
      </c>
      <c r="M231" s="1" t="s">
        <v>1507</v>
      </c>
      <c r="N231" s="1" t="s">
        <v>42</v>
      </c>
      <c r="O231" s="1" t="s">
        <v>56</v>
      </c>
      <c r="P231" s="1" t="s">
        <v>1507</v>
      </c>
      <c r="Q231" s="1" t="s">
        <v>1507</v>
      </c>
      <c r="R231" s="1" t="s">
        <v>1507</v>
      </c>
      <c r="S231" s="1" t="s">
        <v>1507</v>
      </c>
      <c r="T231" s="1" t="s">
        <v>1507</v>
      </c>
      <c r="U231" s="1" t="s">
        <v>1507</v>
      </c>
      <c r="V231" s="1" t="s">
        <v>9700</v>
      </c>
      <c r="W231" s="1" t="s">
        <v>9701</v>
      </c>
      <c r="X231" s="1" t="s">
        <v>9702</v>
      </c>
      <c r="Y231" s="1" t="s">
        <v>4744</v>
      </c>
      <c r="Z231" s="1" t="s">
        <v>9703</v>
      </c>
      <c r="AA231" s="1" t="s">
        <v>4746</v>
      </c>
      <c r="AB231" s="1" t="s">
        <v>15803</v>
      </c>
      <c r="AC231" s="1" t="s">
        <v>15804</v>
      </c>
      <c r="AD231" s="1" t="s">
        <v>9704</v>
      </c>
      <c r="AE231" s="1" t="s">
        <v>9704</v>
      </c>
      <c r="AF231" s="1" t="s">
        <v>9705</v>
      </c>
      <c r="AG231" s="1" t="s">
        <v>1507</v>
      </c>
      <c r="AH231" s="1">
        <v>30</v>
      </c>
      <c r="AI231" s="1">
        <v>357</v>
      </c>
      <c r="AJ231" s="1">
        <v>379</v>
      </c>
      <c r="AK231" s="1">
        <v>1</v>
      </c>
      <c r="AL231" s="1">
        <v>43</v>
      </c>
      <c r="AM231" s="1" t="s">
        <v>1586</v>
      </c>
      <c r="AN231" s="1" t="s">
        <v>1587</v>
      </c>
      <c r="AO231" s="1" t="s">
        <v>1588</v>
      </c>
      <c r="AP231" s="1" t="s">
        <v>9706</v>
      </c>
      <c r="AQ231" s="1" t="s">
        <v>1507</v>
      </c>
      <c r="AR231" s="1" t="s">
        <v>1507</v>
      </c>
      <c r="AS231" s="1" t="s">
        <v>9707</v>
      </c>
      <c r="AT231" s="1" t="s">
        <v>9708</v>
      </c>
      <c r="AU231" s="1" t="s">
        <v>4556</v>
      </c>
      <c r="AV231" s="1">
        <v>2020</v>
      </c>
      <c r="AW231" s="1">
        <v>8</v>
      </c>
      <c r="AX231" s="1">
        <v>7</v>
      </c>
      <c r="AY231" s="1" t="s">
        <v>1507</v>
      </c>
      <c r="AZ231" s="1" t="s">
        <v>1507</v>
      </c>
      <c r="BA231" s="1" t="s">
        <v>1507</v>
      </c>
      <c r="BB231" s="1" t="s">
        <v>1507</v>
      </c>
      <c r="BC231" s="1">
        <v>687</v>
      </c>
      <c r="BD231" s="1">
        <v>695</v>
      </c>
      <c r="BE231" s="1" t="s">
        <v>1507</v>
      </c>
      <c r="BF231" s="1" t="s">
        <v>9709</v>
      </c>
      <c r="BG231" s="1" t="str">
        <f>HYPERLINK("http://dx.doi.org/10.1016/S2213-2600(20)30193-4","http://dx.doi.org/10.1016/S2213-2600(20)30193-4")</f>
        <v>http://dx.doi.org/10.1016/S2213-2600(20)30193-4</v>
      </c>
      <c r="BH231" s="1" t="s">
        <v>1507</v>
      </c>
      <c r="BI231" s="1" t="s">
        <v>1507</v>
      </c>
      <c r="BJ231" s="1">
        <v>9</v>
      </c>
      <c r="BK231" s="1" t="s">
        <v>9710</v>
      </c>
      <c r="BL231" s="1" t="s">
        <v>1573</v>
      </c>
      <c r="BM231" s="1" t="s">
        <v>9711</v>
      </c>
      <c r="BN231" s="1" t="s">
        <v>9712</v>
      </c>
      <c r="BO231" s="1">
        <v>32386571</v>
      </c>
      <c r="BP231" s="1" t="s">
        <v>2309</v>
      </c>
      <c r="BQ231" s="1" t="s">
        <v>1507</v>
      </c>
      <c r="BR231" s="1" t="s">
        <v>1507</v>
      </c>
      <c r="BS231" s="1" t="s">
        <v>13744</v>
      </c>
      <c r="BT231" s="1" t="s">
        <v>9714</v>
      </c>
      <c r="BU231" s="1" t="str">
        <f>HYPERLINK("https%3A%2F%2Fwww.webofscience.com%2Fwos%2Fwoscc%2Ffull-record%2FWOS:000547326600021","View Full Record in Web of Science")</f>
        <v>View Full Record in Web of Science</v>
      </c>
    </row>
    <row r="232" spans="1:73" x14ac:dyDescent="0.25">
      <c r="A232" s="1">
        <v>256</v>
      </c>
      <c r="B232" s="1" t="s">
        <v>1506</v>
      </c>
      <c r="C232" s="1" t="s">
        <v>7596</v>
      </c>
      <c r="D232" s="1" t="s">
        <v>1507</v>
      </c>
      <c r="E232" s="1" t="s">
        <v>1507</v>
      </c>
      <c r="F232" s="1" t="s">
        <v>1507</v>
      </c>
      <c r="G232" s="1" t="s">
        <v>7597</v>
      </c>
      <c r="H232" s="1" t="s">
        <v>1507</v>
      </c>
      <c r="I232" s="1" t="s">
        <v>1507</v>
      </c>
      <c r="J232" s="1" t="s">
        <v>7598</v>
      </c>
      <c r="K232" s="1" t="s">
        <v>1760</v>
      </c>
      <c r="L232" s="1" t="s">
        <v>1507</v>
      </c>
      <c r="M232" s="1" t="s">
        <v>1507</v>
      </c>
      <c r="N232" s="1" t="s">
        <v>42</v>
      </c>
      <c r="O232" s="1" t="s">
        <v>56</v>
      </c>
      <c r="P232" s="1" t="s">
        <v>1507</v>
      </c>
      <c r="Q232" s="1" t="s">
        <v>1507</v>
      </c>
      <c r="R232" s="1" t="s">
        <v>1507</v>
      </c>
      <c r="S232" s="1" t="s">
        <v>1507</v>
      </c>
      <c r="T232" s="1" t="s">
        <v>1507</v>
      </c>
      <c r="U232" s="1" t="s">
        <v>1507</v>
      </c>
      <c r="V232" s="1" t="s">
        <v>7599</v>
      </c>
      <c r="W232" s="1" t="s">
        <v>7600</v>
      </c>
      <c r="X232" s="1" t="s">
        <v>7601</v>
      </c>
      <c r="Y232" s="1" t="s">
        <v>7062</v>
      </c>
      <c r="Z232" s="1" t="s">
        <v>7602</v>
      </c>
      <c r="AA232" s="1" t="s">
        <v>4746</v>
      </c>
      <c r="AB232" s="1" t="s">
        <v>15663</v>
      </c>
      <c r="AC232" s="1" t="s">
        <v>7603</v>
      </c>
      <c r="AD232" s="1" t="s">
        <v>7604</v>
      </c>
      <c r="AE232" s="1" t="s">
        <v>7605</v>
      </c>
      <c r="AF232" s="1" t="s">
        <v>7606</v>
      </c>
      <c r="AG232" s="1" t="s">
        <v>1507</v>
      </c>
      <c r="AH232" s="1">
        <v>45</v>
      </c>
      <c r="AI232" s="1">
        <v>443</v>
      </c>
      <c r="AJ232" s="1">
        <v>491</v>
      </c>
      <c r="AK232" s="1">
        <v>18</v>
      </c>
      <c r="AL232" s="1">
        <v>104</v>
      </c>
      <c r="AM232" s="1" t="s">
        <v>1591</v>
      </c>
      <c r="AN232" s="1" t="s">
        <v>1592</v>
      </c>
      <c r="AO232" s="1" t="s">
        <v>1593</v>
      </c>
      <c r="AP232" s="1" t="s">
        <v>1770</v>
      </c>
      <c r="AQ232" s="1" t="s">
        <v>1771</v>
      </c>
      <c r="AR232" s="1" t="s">
        <v>1507</v>
      </c>
      <c r="AS232" s="1" t="s">
        <v>1760</v>
      </c>
      <c r="AT232" s="1" t="s">
        <v>1772</v>
      </c>
      <c r="AU232" s="1" t="s">
        <v>15664</v>
      </c>
      <c r="AV232" s="1">
        <v>2022</v>
      </c>
      <c r="AW232" s="1">
        <v>603</v>
      </c>
      <c r="AX232" s="1">
        <v>7902</v>
      </c>
      <c r="AY232" s="1" t="s">
        <v>1507</v>
      </c>
      <c r="AZ232" s="1" t="s">
        <v>1507</v>
      </c>
      <c r="BA232" s="1" t="s">
        <v>1507</v>
      </c>
      <c r="BB232" s="1" t="s">
        <v>1507</v>
      </c>
      <c r="BC232" s="1">
        <v>715</v>
      </c>
      <c r="BD232" s="1" t="s">
        <v>1774</v>
      </c>
      <c r="BE232" s="1" t="s">
        <v>1507</v>
      </c>
      <c r="BF232" s="1" t="s">
        <v>7607</v>
      </c>
      <c r="BG232" s="1" t="str">
        <f>HYPERLINK("http://dx.doi.org/10.1038/s41586-022-04479-6","http://dx.doi.org/10.1038/s41586-022-04479-6")</f>
        <v>http://dx.doi.org/10.1038/s41586-022-04479-6</v>
      </c>
      <c r="BH232" s="1" t="s">
        <v>1507</v>
      </c>
      <c r="BI232" s="1" t="s">
        <v>7483</v>
      </c>
      <c r="BJ232" s="1">
        <v>20</v>
      </c>
      <c r="BK232" s="1" t="s">
        <v>1776</v>
      </c>
      <c r="BL232" s="1" t="s">
        <v>1573</v>
      </c>
      <c r="BM232" s="1" t="s">
        <v>1777</v>
      </c>
      <c r="BN232" s="1" t="s">
        <v>7608</v>
      </c>
      <c r="BO232" s="1">
        <v>35104836</v>
      </c>
      <c r="BP232" s="1" t="s">
        <v>7776</v>
      </c>
      <c r="BQ232" s="1" t="s">
        <v>1507</v>
      </c>
      <c r="BR232" s="1" t="s">
        <v>1507</v>
      </c>
      <c r="BS232" s="1" t="s">
        <v>13744</v>
      </c>
      <c r="BT232" s="1" t="s">
        <v>7610</v>
      </c>
      <c r="BU232" s="1" t="str">
        <f>HYPERLINK("https%3A%2F%2Fwww.webofscience.com%2Fwos%2Fwoscc%2Ffull-record%2FWOS:000769826200001","View Full Record in Web of Science")</f>
        <v>View Full Record in Web of Science</v>
      </c>
    </row>
    <row r="233" spans="1:73" x14ac:dyDescent="0.25">
      <c r="A233" s="1">
        <v>257</v>
      </c>
      <c r="B233" s="1" t="s">
        <v>1506</v>
      </c>
      <c r="C233" s="1" t="s">
        <v>4739</v>
      </c>
      <c r="D233" s="1" t="s">
        <v>1507</v>
      </c>
      <c r="E233" s="1" t="s">
        <v>1507</v>
      </c>
      <c r="F233" s="1" t="s">
        <v>1507</v>
      </c>
      <c r="G233" s="1" t="s">
        <v>4740</v>
      </c>
      <c r="H233" s="1" t="s">
        <v>1507</v>
      </c>
      <c r="I233" s="1" t="s">
        <v>1507</v>
      </c>
      <c r="J233" s="1" t="s">
        <v>4741</v>
      </c>
      <c r="K233" s="1" t="s">
        <v>4742</v>
      </c>
      <c r="L233" s="1" t="s">
        <v>1507</v>
      </c>
      <c r="M233" s="1" t="s">
        <v>1507</v>
      </c>
      <c r="N233" s="1" t="s">
        <v>42</v>
      </c>
      <c r="O233" s="1" t="s">
        <v>56</v>
      </c>
      <c r="P233" s="1" t="s">
        <v>1507</v>
      </c>
      <c r="Q233" s="1" t="s">
        <v>1507</v>
      </c>
      <c r="R233" s="1" t="s">
        <v>1507</v>
      </c>
      <c r="S233" s="1" t="s">
        <v>1507</v>
      </c>
      <c r="T233" s="1" t="s">
        <v>1507</v>
      </c>
      <c r="U233" s="1" t="s">
        <v>1507</v>
      </c>
      <c r="V233" s="1" t="s">
        <v>1507</v>
      </c>
      <c r="W233" s="1" t="s">
        <v>1507</v>
      </c>
      <c r="X233" s="1" t="s">
        <v>4743</v>
      </c>
      <c r="Y233" s="1" t="s">
        <v>4744</v>
      </c>
      <c r="Z233" s="1" t="s">
        <v>4745</v>
      </c>
      <c r="AA233" s="1" t="s">
        <v>4746</v>
      </c>
      <c r="AB233" s="1" t="s">
        <v>14682</v>
      </c>
      <c r="AC233" s="1" t="s">
        <v>14683</v>
      </c>
      <c r="AD233" s="1" t="s">
        <v>4747</v>
      </c>
      <c r="AE233" s="1" t="s">
        <v>4748</v>
      </c>
      <c r="AF233" s="1" t="s">
        <v>4749</v>
      </c>
      <c r="AG233" s="1" t="s">
        <v>1507</v>
      </c>
      <c r="AH233" s="1">
        <v>8</v>
      </c>
      <c r="AI233" s="1">
        <v>1</v>
      </c>
      <c r="AJ233" s="1">
        <v>1</v>
      </c>
      <c r="AK233" s="1">
        <v>3</v>
      </c>
      <c r="AL233" s="1">
        <v>6</v>
      </c>
      <c r="AM233" s="1" t="s">
        <v>4750</v>
      </c>
      <c r="AN233" s="1" t="s">
        <v>4751</v>
      </c>
      <c r="AO233" s="1" t="s">
        <v>4752</v>
      </c>
      <c r="AP233" s="1" t="s">
        <v>4753</v>
      </c>
      <c r="AQ233" s="1" t="s">
        <v>4754</v>
      </c>
      <c r="AR233" s="1" t="s">
        <v>1507</v>
      </c>
      <c r="AS233" s="1" t="s">
        <v>4755</v>
      </c>
      <c r="AT233" s="1" t="s">
        <v>4756</v>
      </c>
      <c r="AU233" s="1" t="s">
        <v>4721</v>
      </c>
      <c r="AV233" s="1">
        <v>2023</v>
      </c>
      <c r="AW233" s="1">
        <v>29</v>
      </c>
      <c r="AX233" s="1">
        <v>6</v>
      </c>
      <c r="AY233" s="1" t="s">
        <v>1507</v>
      </c>
      <c r="AZ233" s="1" t="s">
        <v>1507</v>
      </c>
      <c r="BA233" s="1" t="s">
        <v>1507</v>
      </c>
      <c r="BB233" s="1" t="s">
        <v>1507</v>
      </c>
      <c r="BC233" s="1">
        <v>1210</v>
      </c>
      <c r="BD233" s="1">
        <v>1214</v>
      </c>
      <c r="BE233" s="1" t="s">
        <v>1507</v>
      </c>
      <c r="BF233" s="1" t="s">
        <v>4757</v>
      </c>
      <c r="BG233" s="1" t="str">
        <f>HYPERLINK("http://dx.doi.org/10.3201/eid2906.221680","http://dx.doi.org/10.3201/eid2906.221680")</f>
        <v>http://dx.doi.org/10.3201/eid2906.221680</v>
      </c>
      <c r="BH233" s="1" t="s">
        <v>1507</v>
      </c>
      <c r="BI233" s="1" t="s">
        <v>1507</v>
      </c>
      <c r="BJ233" s="1">
        <v>5</v>
      </c>
      <c r="BK233" s="1" t="s">
        <v>4758</v>
      </c>
      <c r="BL233" s="1" t="s">
        <v>1573</v>
      </c>
      <c r="BM233" s="1" t="s">
        <v>4758</v>
      </c>
      <c r="BN233" s="1" t="s">
        <v>4759</v>
      </c>
      <c r="BO233" s="1">
        <v>37095078</v>
      </c>
      <c r="BP233" s="1" t="s">
        <v>1674</v>
      </c>
      <c r="BQ233" s="1" t="s">
        <v>1507</v>
      </c>
      <c r="BR233" s="1" t="s">
        <v>1507</v>
      </c>
      <c r="BS233" s="1" t="s">
        <v>13744</v>
      </c>
      <c r="BT233" s="1" t="s">
        <v>4760</v>
      </c>
      <c r="BU233" s="1" t="str">
        <f>HYPERLINK("https%3A%2F%2Fwww.webofscience.com%2Fwos%2Fwoscc%2Ffull-record%2FWOS:001007464900016","View Full Record in Web of Science")</f>
        <v>View Full Record in Web of Science</v>
      </c>
    </row>
    <row r="234" spans="1:73" x14ac:dyDescent="0.25">
      <c r="A234" s="1">
        <v>258</v>
      </c>
      <c r="B234" s="1" t="s">
        <v>1506</v>
      </c>
      <c r="C234" s="1" t="s">
        <v>7055</v>
      </c>
      <c r="D234" s="1" t="s">
        <v>1507</v>
      </c>
      <c r="E234" s="1" t="s">
        <v>1507</v>
      </c>
      <c r="F234" s="1" t="s">
        <v>1507</v>
      </c>
      <c r="G234" s="1" t="s">
        <v>7056</v>
      </c>
      <c r="H234" s="1" t="s">
        <v>1507</v>
      </c>
      <c r="I234" s="1" t="s">
        <v>1507</v>
      </c>
      <c r="J234" s="1" t="s">
        <v>7057</v>
      </c>
      <c r="K234" s="1" t="s">
        <v>7058</v>
      </c>
      <c r="L234" s="1" t="s">
        <v>1507</v>
      </c>
      <c r="M234" s="1" t="s">
        <v>1507</v>
      </c>
      <c r="N234" s="1" t="s">
        <v>42</v>
      </c>
      <c r="O234" s="1" t="s">
        <v>56</v>
      </c>
      <c r="P234" s="1" t="s">
        <v>1507</v>
      </c>
      <c r="Q234" s="1" t="s">
        <v>1507</v>
      </c>
      <c r="R234" s="1" t="s">
        <v>1507</v>
      </c>
      <c r="S234" s="1" t="s">
        <v>1507</v>
      </c>
      <c r="T234" s="1" t="s">
        <v>1507</v>
      </c>
      <c r="U234" s="1" t="s">
        <v>7059</v>
      </c>
      <c r="V234" s="1" t="s">
        <v>1507</v>
      </c>
      <c r="W234" s="1" t="s">
        <v>7060</v>
      </c>
      <c r="X234" s="1" t="s">
        <v>7061</v>
      </c>
      <c r="Y234" s="1" t="s">
        <v>7062</v>
      </c>
      <c r="Z234" s="1" t="s">
        <v>4745</v>
      </c>
      <c r="AA234" s="1" t="s">
        <v>4746</v>
      </c>
      <c r="AB234" s="1" t="s">
        <v>15599</v>
      </c>
      <c r="AC234" s="1" t="s">
        <v>7063</v>
      </c>
      <c r="AD234" s="1" t="s">
        <v>7064</v>
      </c>
      <c r="AE234" s="1" t="s">
        <v>7065</v>
      </c>
      <c r="AF234" s="1" t="s">
        <v>7066</v>
      </c>
      <c r="AG234" s="1" t="s">
        <v>1507</v>
      </c>
      <c r="AH234" s="1">
        <v>26</v>
      </c>
      <c r="AI234" s="1">
        <v>37</v>
      </c>
      <c r="AJ234" s="1">
        <v>39</v>
      </c>
      <c r="AK234" s="1">
        <v>1</v>
      </c>
      <c r="AL234" s="1">
        <v>8</v>
      </c>
      <c r="AM234" s="1" t="s">
        <v>1579</v>
      </c>
      <c r="AN234" s="1" t="s">
        <v>1580</v>
      </c>
      <c r="AO234" s="1" t="s">
        <v>1581</v>
      </c>
      <c r="AP234" s="1" t="s">
        <v>7067</v>
      </c>
      <c r="AQ234" s="1" t="s">
        <v>1507</v>
      </c>
      <c r="AR234" s="1" t="s">
        <v>1507</v>
      </c>
      <c r="AS234" s="1" t="s">
        <v>7058</v>
      </c>
      <c r="AT234" s="1" t="s">
        <v>7068</v>
      </c>
      <c r="AU234" s="1" t="s">
        <v>3992</v>
      </c>
      <c r="AV234" s="1">
        <v>2022</v>
      </c>
      <c r="AW234" s="1">
        <v>83</v>
      </c>
      <c r="AX234" s="1" t="s">
        <v>1507</v>
      </c>
      <c r="AY234" s="1" t="s">
        <v>1507</v>
      </c>
      <c r="AZ234" s="1" t="s">
        <v>1507</v>
      </c>
      <c r="BA234" s="1" t="s">
        <v>1507</v>
      </c>
      <c r="BB234" s="1" t="s">
        <v>1507</v>
      </c>
      <c r="BC234" s="1" t="s">
        <v>1507</v>
      </c>
      <c r="BD234" s="1" t="s">
        <v>1507</v>
      </c>
      <c r="BE234" s="1">
        <v>104232</v>
      </c>
      <c r="BF234" s="1" t="s">
        <v>7069</v>
      </c>
      <c r="BG234" s="1" t="str">
        <f>HYPERLINK("http://dx.doi.org/10.1016/j.ebiom.2022.104232","http://dx.doi.org/10.1016/j.ebiom.2022.104232")</f>
        <v>http://dx.doi.org/10.1016/j.ebiom.2022.104232</v>
      </c>
      <c r="BH234" s="1" t="s">
        <v>1507</v>
      </c>
      <c r="BI234" s="1" t="s">
        <v>7037</v>
      </c>
      <c r="BJ234" s="1">
        <v>9</v>
      </c>
      <c r="BK234" s="1" t="s">
        <v>7070</v>
      </c>
      <c r="BL234" s="1" t="s">
        <v>1573</v>
      </c>
      <c r="BM234" s="1" t="s">
        <v>7071</v>
      </c>
      <c r="BN234" s="1" t="s">
        <v>7072</v>
      </c>
      <c r="BO234" s="1">
        <v>35988466</v>
      </c>
      <c r="BP234" s="1" t="s">
        <v>5071</v>
      </c>
      <c r="BQ234" s="1" t="s">
        <v>1507</v>
      </c>
      <c r="BR234" s="1" t="s">
        <v>1507</v>
      </c>
      <c r="BS234" s="1" t="s">
        <v>13744</v>
      </c>
      <c r="BT234" s="1" t="s">
        <v>7073</v>
      </c>
      <c r="BU234" s="1" t="str">
        <f>HYPERLINK("https%3A%2F%2Fwww.webofscience.com%2Fwos%2Fwoscc%2Ffull-record%2FWOS:000861176800001","View Full Record in Web of Science")</f>
        <v>View Full Record in Web of Science</v>
      </c>
    </row>
    <row r="235" spans="1:73" x14ac:dyDescent="0.25">
      <c r="A235" s="1">
        <v>259</v>
      </c>
      <c r="B235" s="1" t="s">
        <v>1506</v>
      </c>
      <c r="C235" s="1" t="s">
        <v>3295</v>
      </c>
      <c r="D235" s="1" t="s">
        <v>1507</v>
      </c>
      <c r="E235" s="1" t="s">
        <v>1507</v>
      </c>
      <c r="F235" s="1" t="s">
        <v>1507</v>
      </c>
      <c r="G235" s="1" t="s">
        <v>3296</v>
      </c>
      <c r="H235" s="1" t="s">
        <v>1507</v>
      </c>
      <c r="I235" s="1" t="s">
        <v>1507</v>
      </c>
      <c r="J235" s="1" t="s">
        <v>553</v>
      </c>
      <c r="K235" s="1" t="s">
        <v>3297</v>
      </c>
      <c r="L235" s="1" t="s">
        <v>1507</v>
      </c>
      <c r="M235" s="1" t="s">
        <v>1507</v>
      </c>
      <c r="N235" s="1" t="s">
        <v>42</v>
      </c>
      <c r="O235" s="1" t="s">
        <v>56</v>
      </c>
      <c r="P235" s="1" t="s">
        <v>1507</v>
      </c>
      <c r="Q235" s="1" t="s">
        <v>1507</v>
      </c>
      <c r="R235" s="1" t="s">
        <v>1507</v>
      </c>
      <c r="S235" s="1" t="s">
        <v>1507</v>
      </c>
      <c r="T235" s="1" t="s">
        <v>1507</v>
      </c>
      <c r="U235" s="1" t="s">
        <v>1507</v>
      </c>
      <c r="V235" s="1" t="s">
        <v>3298</v>
      </c>
      <c r="W235" s="1" t="s">
        <v>3299</v>
      </c>
      <c r="X235" s="1" t="s">
        <v>3300</v>
      </c>
      <c r="Y235" s="1" t="s">
        <v>3301</v>
      </c>
      <c r="Z235" s="1" t="s">
        <v>3302</v>
      </c>
      <c r="AA235" s="1" t="s">
        <v>3303</v>
      </c>
      <c r="AB235" s="1" t="s">
        <v>14297</v>
      </c>
      <c r="AC235" s="1" t="s">
        <v>14298</v>
      </c>
      <c r="AD235" s="1" t="s">
        <v>3304</v>
      </c>
      <c r="AE235" s="1" t="s">
        <v>3305</v>
      </c>
      <c r="AF235" s="1" t="s">
        <v>3306</v>
      </c>
      <c r="AG235" s="1" t="s">
        <v>1507</v>
      </c>
      <c r="AH235" s="1">
        <v>61</v>
      </c>
      <c r="AI235" s="1">
        <v>12</v>
      </c>
      <c r="AJ235" s="1">
        <v>12</v>
      </c>
      <c r="AK235" s="1">
        <v>11</v>
      </c>
      <c r="AL235" s="1">
        <v>16</v>
      </c>
      <c r="AM235" s="1" t="s">
        <v>1591</v>
      </c>
      <c r="AN235" s="1" t="s">
        <v>1592</v>
      </c>
      <c r="AO235" s="1" t="s">
        <v>1593</v>
      </c>
      <c r="AP235" s="1" t="s">
        <v>3307</v>
      </c>
      <c r="AQ235" s="1" t="s">
        <v>1507</v>
      </c>
      <c r="AR235" s="1" t="s">
        <v>1507</v>
      </c>
      <c r="AS235" s="1" t="s">
        <v>3308</v>
      </c>
      <c r="AT235" s="1" t="s">
        <v>3309</v>
      </c>
      <c r="AU235" s="1" t="s">
        <v>3269</v>
      </c>
      <c r="AV235" s="1">
        <v>2023</v>
      </c>
      <c r="AW235" s="1">
        <v>13</v>
      </c>
      <c r="AX235" s="1">
        <v>1</v>
      </c>
      <c r="AY235" s="1" t="s">
        <v>1507</v>
      </c>
      <c r="AZ235" s="1" t="s">
        <v>1507</v>
      </c>
      <c r="BA235" s="1" t="s">
        <v>1507</v>
      </c>
      <c r="BB235" s="1" t="s">
        <v>1507</v>
      </c>
      <c r="BC235" s="1" t="s">
        <v>1507</v>
      </c>
      <c r="BD235" s="1" t="s">
        <v>1507</v>
      </c>
      <c r="BE235" s="1">
        <v>12187</v>
      </c>
      <c r="BF235" s="1" t="s">
        <v>554</v>
      </c>
      <c r="BG235" s="1" t="str">
        <f>HYPERLINK("http://dx.doi.org/10.1038/s41598-023-38964-3","http://dx.doi.org/10.1038/s41598-023-38964-3")</f>
        <v>http://dx.doi.org/10.1038/s41598-023-38964-3</v>
      </c>
      <c r="BH235" s="1" t="s">
        <v>1507</v>
      </c>
      <c r="BI235" s="1" t="s">
        <v>1507</v>
      </c>
      <c r="BJ235" s="1">
        <v>13</v>
      </c>
      <c r="BK235" s="1" t="s">
        <v>1776</v>
      </c>
      <c r="BL235" s="1" t="s">
        <v>1573</v>
      </c>
      <c r="BM235" s="1" t="s">
        <v>1777</v>
      </c>
      <c r="BN235" s="1" t="s">
        <v>3310</v>
      </c>
      <c r="BO235" s="1">
        <v>37620342</v>
      </c>
      <c r="BP235" s="1" t="s">
        <v>4312</v>
      </c>
      <c r="BQ235" s="1" t="s">
        <v>1507</v>
      </c>
      <c r="BR235" s="1" t="s">
        <v>1507</v>
      </c>
      <c r="BS235" s="1" t="s">
        <v>13744</v>
      </c>
      <c r="BT235" s="1" t="s">
        <v>3311</v>
      </c>
      <c r="BU235" s="1" t="str">
        <f>HYPERLINK("https%3A%2F%2Fwww.webofscience.com%2Fwos%2Fwoscc%2Ffull-record%2FWOS:001099084800001","View Full Record in Web of Science")</f>
        <v>View Full Record in Web of Science</v>
      </c>
    </row>
    <row r="236" spans="1:73" x14ac:dyDescent="0.25">
      <c r="A236" s="1">
        <v>260</v>
      </c>
      <c r="B236" s="1" t="s">
        <v>1506</v>
      </c>
      <c r="C236" s="1" t="s">
        <v>2217</v>
      </c>
      <c r="D236" s="1" t="s">
        <v>1507</v>
      </c>
      <c r="E236" s="1" t="s">
        <v>1507</v>
      </c>
      <c r="F236" s="1" t="s">
        <v>1507</v>
      </c>
      <c r="G236" s="1" t="s">
        <v>2218</v>
      </c>
      <c r="H236" s="1" t="s">
        <v>1507</v>
      </c>
      <c r="I236" s="1" t="s">
        <v>1507</v>
      </c>
      <c r="J236" s="1" t="s">
        <v>2219</v>
      </c>
      <c r="K236" s="1" t="s">
        <v>2220</v>
      </c>
      <c r="L236" s="1" t="s">
        <v>1507</v>
      </c>
      <c r="M236" s="1" t="s">
        <v>1507</v>
      </c>
      <c r="N236" s="1" t="s">
        <v>42</v>
      </c>
      <c r="O236" s="1" t="s">
        <v>56</v>
      </c>
      <c r="P236" s="1" t="s">
        <v>1507</v>
      </c>
      <c r="Q236" s="1" t="s">
        <v>1507</v>
      </c>
      <c r="R236" s="1" t="s">
        <v>1507</v>
      </c>
      <c r="S236" s="1" t="s">
        <v>1507</v>
      </c>
      <c r="T236" s="1" t="s">
        <v>1507</v>
      </c>
      <c r="U236" s="1" t="s">
        <v>2221</v>
      </c>
      <c r="V236" s="1" t="s">
        <v>1507</v>
      </c>
      <c r="W236" s="1" t="s">
        <v>2222</v>
      </c>
      <c r="X236" s="1" t="s">
        <v>2223</v>
      </c>
      <c r="Y236" s="1" t="s">
        <v>2224</v>
      </c>
      <c r="Z236" s="1" t="s">
        <v>2225</v>
      </c>
      <c r="AA236" s="1" t="s">
        <v>2226</v>
      </c>
      <c r="AB236" s="1" t="s">
        <v>1507</v>
      </c>
      <c r="AC236" s="1" t="s">
        <v>13897</v>
      </c>
      <c r="AD236" s="1" t="s">
        <v>1507</v>
      </c>
      <c r="AE236" s="1" t="s">
        <v>1507</v>
      </c>
      <c r="AF236" s="1" t="s">
        <v>1507</v>
      </c>
      <c r="AG236" s="1" t="s">
        <v>1507</v>
      </c>
      <c r="AH236" s="1">
        <v>48</v>
      </c>
      <c r="AI236" s="1">
        <v>0</v>
      </c>
      <c r="AJ236" s="1">
        <v>0</v>
      </c>
      <c r="AK236" s="1">
        <v>2</v>
      </c>
      <c r="AL236" s="1">
        <v>2</v>
      </c>
      <c r="AM236" s="1" t="s">
        <v>1610</v>
      </c>
      <c r="AN236" s="1" t="s">
        <v>1611</v>
      </c>
      <c r="AO236" s="1" t="s">
        <v>1612</v>
      </c>
      <c r="AP236" s="1" t="s">
        <v>1507</v>
      </c>
      <c r="AQ236" s="1" t="s">
        <v>2227</v>
      </c>
      <c r="AR236" s="1" t="s">
        <v>1507</v>
      </c>
      <c r="AS236" s="1" t="s">
        <v>2228</v>
      </c>
      <c r="AT236" s="1" t="s">
        <v>2229</v>
      </c>
      <c r="AU236" s="1" t="s">
        <v>2191</v>
      </c>
      <c r="AV236" s="1">
        <v>2023</v>
      </c>
      <c r="AW236" s="1">
        <v>7</v>
      </c>
      <c r="AX236" s="1">
        <v>4</v>
      </c>
      <c r="AY236" s="1" t="s">
        <v>1507</v>
      </c>
      <c r="AZ236" s="1" t="s">
        <v>1507</v>
      </c>
      <c r="BA236" s="1" t="s">
        <v>1507</v>
      </c>
      <c r="BB236" s="1" t="s">
        <v>1507</v>
      </c>
      <c r="BC236" s="1" t="s">
        <v>1507</v>
      </c>
      <c r="BD236" s="1" t="s">
        <v>1507</v>
      </c>
      <c r="BE236" s="1">
        <v>182</v>
      </c>
      <c r="BF236" s="1" t="s">
        <v>739</v>
      </c>
      <c r="BG236" s="1" t="str">
        <f>HYPERLINK("http://dx.doi.org/10.3390/bdcc7040182","http://dx.doi.org/10.3390/bdcc7040182")</f>
        <v>http://dx.doi.org/10.3390/bdcc7040182</v>
      </c>
      <c r="BH236" s="1" t="s">
        <v>1507</v>
      </c>
      <c r="BI236" s="1" t="s">
        <v>1507</v>
      </c>
      <c r="BJ236" s="1">
        <v>22</v>
      </c>
      <c r="BK236" s="1" t="s">
        <v>2230</v>
      </c>
      <c r="BL236" s="1" t="s">
        <v>1529</v>
      </c>
      <c r="BM236" s="1" t="s">
        <v>1577</v>
      </c>
      <c r="BN236" s="1" t="s">
        <v>2231</v>
      </c>
      <c r="BO236" s="1" t="s">
        <v>1507</v>
      </c>
      <c r="BP236" s="1" t="s">
        <v>1531</v>
      </c>
      <c r="BQ236" s="1" t="s">
        <v>1507</v>
      </c>
      <c r="BR236" s="1" t="s">
        <v>1507</v>
      </c>
      <c r="BS236" s="1" t="s">
        <v>13744</v>
      </c>
      <c r="BT236" s="1" t="s">
        <v>2232</v>
      </c>
      <c r="BU236" s="1" t="str">
        <f>HYPERLINK("https%3A%2F%2Fwww.webofscience.com%2Fwos%2Fwoscc%2Ffull-record%2FWOS:001137855700001","View Full Record in Web of Science")</f>
        <v>View Full Record in Web of Science</v>
      </c>
    </row>
    <row r="237" spans="1:73" x14ac:dyDescent="0.25">
      <c r="A237" s="1">
        <v>262</v>
      </c>
      <c r="B237" s="1" t="s">
        <v>1506</v>
      </c>
      <c r="C237" s="1" t="s">
        <v>1676</v>
      </c>
      <c r="D237" s="1" t="s">
        <v>1507</v>
      </c>
      <c r="E237" s="1" t="s">
        <v>1507</v>
      </c>
      <c r="F237" s="1" t="s">
        <v>1507</v>
      </c>
      <c r="G237" s="1" t="s">
        <v>1677</v>
      </c>
      <c r="H237" s="1" t="s">
        <v>1507</v>
      </c>
      <c r="I237" s="1" t="s">
        <v>1507</v>
      </c>
      <c r="J237" s="1" t="s">
        <v>1678</v>
      </c>
      <c r="K237" s="1" t="s">
        <v>1679</v>
      </c>
      <c r="L237" s="1" t="s">
        <v>1507</v>
      </c>
      <c r="M237" s="1" t="s">
        <v>1507</v>
      </c>
      <c r="N237" s="1" t="s">
        <v>42</v>
      </c>
      <c r="O237" s="1" t="s">
        <v>56</v>
      </c>
      <c r="P237" s="1" t="s">
        <v>1507</v>
      </c>
      <c r="Q237" s="1" t="s">
        <v>1507</v>
      </c>
      <c r="R237" s="1" t="s">
        <v>1507</v>
      </c>
      <c r="S237" s="1" t="s">
        <v>1507</v>
      </c>
      <c r="T237" s="1" t="s">
        <v>1507</v>
      </c>
      <c r="U237" s="1" t="s">
        <v>1680</v>
      </c>
      <c r="V237" s="1" t="s">
        <v>1507</v>
      </c>
      <c r="W237" s="1" t="s">
        <v>1681</v>
      </c>
      <c r="X237" s="1" t="s">
        <v>1682</v>
      </c>
      <c r="Y237" s="1" t="s">
        <v>1683</v>
      </c>
      <c r="Z237" s="1" t="s">
        <v>1684</v>
      </c>
      <c r="AA237" s="1" t="s">
        <v>1685</v>
      </c>
      <c r="AB237" s="1" t="s">
        <v>1507</v>
      </c>
      <c r="AC237" s="1" t="s">
        <v>1686</v>
      </c>
      <c r="AD237" s="1" t="s">
        <v>1687</v>
      </c>
      <c r="AE237" s="1" t="s">
        <v>1687</v>
      </c>
      <c r="AF237" s="1" t="s">
        <v>1688</v>
      </c>
      <c r="AG237" s="1" t="s">
        <v>1507</v>
      </c>
      <c r="AH237" s="1">
        <v>17</v>
      </c>
      <c r="AI237" s="1">
        <v>0</v>
      </c>
      <c r="AJ237" s="1">
        <v>0</v>
      </c>
      <c r="AK237" s="1">
        <v>2</v>
      </c>
      <c r="AL237" s="1">
        <v>2</v>
      </c>
      <c r="AM237" s="1" t="s">
        <v>1689</v>
      </c>
      <c r="AN237" s="1" t="s">
        <v>1592</v>
      </c>
      <c r="AO237" s="1" t="s">
        <v>1690</v>
      </c>
      <c r="AP237" s="1" t="s">
        <v>1691</v>
      </c>
      <c r="AQ237" s="1" t="s">
        <v>1692</v>
      </c>
      <c r="AR237" s="1" t="s">
        <v>1507</v>
      </c>
      <c r="AS237" s="1" t="s">
        <v>1693</v>
      </c>
      <c r="AT237" s="1" t="s">
        <v>1694</v>
      </c>
      <c r="AU237" s="1" t="s">
        <v>13746</v>
      </c>
      <c r="AV237" s="1">
        <v>2024</v>
      </c>
      <c r="AW237" s="1">
        <v>15</v>
      </c>
      <c r="AX237" s="1">
        <v>1</v>
      </c>
      <c r="AY237" s="1" t="s">
        <v>1507</v>
      </c>
      <c r="AZ237" s="1" t="s">
        <v>1507</v>
      </c>
      <c r="BA237" s="1" t="s">
        <v>1507</v>
      </c>
      <c r="BB237" s="1" t="s">
        <v>1507</v>
      </c>
      <c r="BC237" s="1">
        <v>1</v>
      </c>
      <c r="BD237" s="1">
        <v>29</v>
      </c>
      <c r="BE237" s="1" t="s">
        <v>1507</v>
      </c>
      <c r="BF237" s="1" t="s">
        <v>1695</v>
      </c>
      <c r="BG237" s="1" t="str">
        <f>HYPERLINK("http://dx.doi.org/10.1515/ajle-2023-0125","http://dx.doi.org/10.1515/ajle-2023-0125")</f>
        <v>http://dx.doi.org/10.1515/ajle-2023-0125</v>
      </c>
      <c r="BH237" s="1" t="s">
        <v>1507</v>
      </c>
      <c r="BI237" s="1" t="s">
        <v>1652</v>
      </c>
      <c r="BJ237" s="1">
        <v>29</v>
      </c>
      <c r="BK237" s="1" t="s">
        <v>1535</v>
      </c>
      <c r="BL237" s="1" t="s">
        <v>1529</v>
      </c>
      <c r="BM237" s="1" t="s">
        <v>1536</v>
      </c>
      <c r="BN237" s="1" t="s">
        <v>13747</v>
      </c>
      <c r="BO237" s="1" t="s">
        <v>1507</v>
      </c>
      <c r="BP237" s="1" t="s">
        <v>1537</v>
      </c>
      <c r="BQ237" s="1" t="s">
        <v>1507</v>
      </c>
      <c r="BR237" s="1" t="s">
        <v>1507</v>
      </c>
      <c r="BS237" s="1" t="s">
        <v>13744</v>
      </c>
      <c r="BT237" s="1" t="s">
        <v>1696</v>
      </c>
      <c r="BU237" s="1" t="str">
        <f>HYPERLINK("https%3A%2F%2Fwww.webofscience.com%2Fwos%2Fwoscc%2Ffull-record%2FWOS:001131721500001","View Full Record in Web of Science")</f>
        <v>View Full Record in Web of Science</v>
      </c>
    </row>
    <row r="238" spans="1:73" x14ac:dyDescent="0.25">
      <c r="A238" s="1">
        <v>263</v>
      </c>
      <c r="B238" s="1" t="s">
        <v>1506</v>
      </c>
      <c r="C238" s="1" t="s">
        <v>7192</v>
      </c>
      <c r="D238" s="1" t="s">
        <v>1507</v>
      </c>
      <c r="E238" s="1" t="s">
        <v>1507</v>
      </c>
      <c r="F238" s="1" t="s">
        <v>1507</v>
      </c>
      <c r="G238" s="1" t="s">
        <v>7193</v>
      </c>
      <c r="H238" s="1" t="s">
        <v>1507</v>
      </c>
      <c r="I238" s="1" t="s">
        <v>7194</v>
      </c>
      <c r="J238" s="1" t="s">
        <v>7195</v>
      </c>
      <c r="K238" s="1" t="s">
        <v>7196</v>
      </c>
      <c r="L238" s="1" t="s">
        <v>1507</v>
      </c>
      <c r="M238" s="1" t="s">
        <v>1507</v>
      </c>
      <c r="N238" s="1" t="s">
        <v>42</v>
      </c>
      <c r="O238" s="1" t="s">
        <v>56</v>
      </c>
      <c r="P238" s="1" t="s">
        <v>1507</v>
      </c>
      <c r="Q238" s="1" t="s">
        <v>1507</v>
      </c>
      <c r="R238" s="1" t="s">
        <v>1507</v>
      </c>
      <c r="S238" s="1" t="s">
        <v>1507</v>
      </c>
      <c r="T238" s="1" t="s">
        <v>1507</v>
      </c>
      <c r="U238" s="1" t="s">
        <v>7197</v>
      </c>
      <c r="V238" s="1" t="s">
        <v>7198</v>
      </c>
      <c r="W238" s="1" t="s">
        <v>7199</v>
      </c>
      <c r="X238" s="1" t="s">
        <v>7200</v>
      </c>
      <c r="Y238" s="1" t="s">
        <v>15610</v>
      </c>
      <c r="Z238" s="1" t="s">
        <v>7201</v>
      </c>
      <c r="AA238" s="1" t="s">
        <v>7202</v>
      </c>
      <c r="AB238" s="1" t="s">
        <v>15611</v>
      </c>
      <c r="AC238" s="1" t="s">
        <v>15612</v>
      </c>
      <c r="AD238" s="1" t="s">
        <v>15613</v>
      </c>
      <c r="AE238" s="1" t="s">
        <v>7203</v>
      </c>
      <c r="AF238" s="1" t="s">
        <v>7204</v>
      </c>
      <c r="AG238" s="1" t="s">
        <v>1507</v>
      </c>
      <c r="AH238" s="1">
        <v>51</v>
      </c>
      <c r="AI238" s="1">
        <v>3</v>
      </c>
      <c r="AJ238" s="1">
        <v>3</v>
      </c>
      <c r="AK238" s="1">
        <v>1</v>
      </c>
      <c r="AL238" s="1">
        <v>6</v>
      </c>
      <c r="AM238" s="1" t="s">
        <v>1532</v>
      </c>
      <c r="AN238" s="1" t="s">
        <v>1533</v>
      </c>
      <c r="AO238" s="1" t="s">
        <v>1534</v>
      </c>
      <c r="AP238" s="1" t="s">
        <v>7205</v>
      </c>
      <c r="AQ238" s="1" t="s">
        <v>7206</v>
      </c>
      <c r="AR238" s="1" t="s">
        <v>1507</v>
      </c>
      <c r="AS238" s="1" t="s">
        <v>7207</v>
      </c>
      <c r="AT238" s="1" t="s">
        <v>7208</v>
      </c>
      <c r="AU238" s="1" t="s">
        <v>2889</v>
      </c>
      <c r="AV238" s="1">
        <v>2022</v>
      </c>
      <c r="AW238" s="1">
        <v>61</v>
      </c>
      <c r="AX238" s="1">
        <v>7</v>
      </c>
      <c r="AY238" s="1" t="s">
        <v>1507</v>
      </c>
      <c r="AZ238" s="1" t="s">
        <v>1507</v>
      </c>
      <c r="BA238" s="1" t="s">
        <v>1507</v>
      </c>
      <c r="BB238" s="1" t="s">
        <v>1507</v>
      </c>
      <c r="BC238" s="1">
        <v>3649</v>
      </c>
      <c r="BD238" s="1">
        <v>3667</v>
      </c>
      <c r="BE238" s="1" t="s">
        <v>1507</v>
      </c>
      <c r="BF238" s="1" t="s">
        <v>7209</v>
      </c>
      <c r="BG238" s="1" t="str">
        <f>HYPERLINK("http://dx.doi.org/10.1007/s00394-022-02909-9","http://dx.doi.org/10.1007/s00394-022-02909-9")</f>
        <v>http://dx.doi.org/10.1007/s00394-022-02909-9</v>
      </c>
      <c r="BH238" s="1" t="s">
        <v>1507</v>
      </c>
      <c r="BI238" s="1" t="s">
        <v>7210</v>
      </c>
      <c r="BJ238" s="1">
        <v>19</v>
      </c>
      <c r="BK238" s="1" t="s">
        <v>7211</v>
      </c>
      <c r="BL238" s="1" t="s">
        <v>1573</v>
      </c>
      <c r="BM238" s="1" t="s">
        <v>7211</v>
      </c>
      <c r="BN238" s="1" t="s">
        <v>7212</v>
      </c>
      <c r="BO238" s="1">
        <v>35641800</v>
      </c>
      <c r="BP238" s="1" t="s">
        <v>2309</v>
      </c>
      <c r="BQ238" s="1" t="s">
        <v>1507</v>
      </c>
      <c r="BR238" s="1" t="s">
        <v>1507</v>
      </c>
      <c r="BS238" s="1" t="s">
        <v>13744</v>
      </c>
      <c r="BT238" s="1" t="s">
        <v>7213</v>
      </c>
      <c r="BU238" s="1" t="str">
        <f>HYPERLINK("https%3A%2F%2Fwww.webofscience.com%2Fwos%2Fwoscc%2Ffull-record%2FWOS:000803874400001","View Full Record in Web of Science")</f>
        <v>View Full Record in Web of Science</v>
      </c>
    </row>
    <row r="239" spans="1:73" x14ac:dyDescent="0.25">
      <c r="A239" s="1">
        <v>264</v>
      </c>
      <c r="B239" s="1" t="s">
        <v>1506</v>
      </c>
      <c r="C239" s="1" t="s">
        <v>3121</v>
      </c>
      <c r="D239" s="1" t="s">
        <v>1507</v>
      </c>
      <c r="E239" s="1" t="s">
        <v>1507</v>
      </c>
      <c r="F239" s="1" t="s">
        <v>1507</v>
      </c>
      <c r="G239" s="1" t="s">
        <v>3122</v>
      </c>
      <c r="H239" s="1" t="s">
        <v>1507</v>
      </c>
      <c r="I239" s="1" t="s">
        <v>1507</v>
      </c>
      <c r="J239" s="1" t="s">
        <v>3123</v>
      </c>
      <c r="K239" s="1" t="s">
        <v>3124</v>
      </c>
      <c r="L239" s="1" t="s">
        <v>1507</v>
      </c>
      <c r="M239" s="1" t="s">
        <v>1507</v>
      </c>
      <c r="N239" s="1" t="s">
        <v>42</v>
      </c>
      <c r="O239" s="1" t="s">
        <v>56</v>
      </c>
      <c r="P239" s="1" t="s">
        <v>1507</v>
      </c>
      <c r="Q239" s="1" t="s">
        <v>1507</v>
      </c>
      <c r="R239" s="1" t="s">
        <v>1507</v>
      </c>
      <c r="S239" s="1" t="s">
        <v>1507</v>
      </c>
      <c r="T239" s="1" t="s">
        <v>1507</v>
      </c>
      <c r="U239" s="1" t="s">
        <v>3125</v>
      </c>
      <c r="V239" s="1" t="s">
        <v>3126</v>
      </c>
      <c r="W239" s="1" t="s">
        <v>3127</v>
      </c>
      <c r="X239" s="1" t="s">
        <v>3128</v>
      </c>
      <c r="Y239" s="1" t="s">
        <v>3129</v>
      </c>
      <c r="Z239" s="1" t="s">
        <v>3130</v>
      </c>
      <c r="AA239" s="1" t="s">
        <v>3131</v>
      </c>
      <c r="AB239" s="1" t="s">
        <v>14292</v>
      </c>
      <c r="AC239" s="1" t="s">
        <v>14293</v>
      </c>
      <c r="AD239" s="1" t="s">
        <v>3132</v>
      </c>
      <c r="AE239" s="1" t="s">
        <v>3133</v>
      </c>
      <c r="AF239" s="1" t="s">
        <v>3134</v>
      </c>
      <c r="AG239" s="1" t="s">
        <v>1507</v>
      </c>
      <c r="AH239" s="1">
        <v>89</v>
      </c>
      <c r="AI239" s="1">
        <v>1</v>
      </c>
      <c r="AJ239" s="1">
        <v>1</v>
      </c>
      <c r="AK239" s="1">
        <v>0</v>
      </c>
      <c r="AL239" s="1">
        <v>0</v>
      </c>
      <c r="AM239" s="1" t="s">
        <v>1579</v>
      </c>
      <c r="AN239" s="1" t="s">
        <v>1580</v>
      </c>
      <c r="AO239" s="1" t="s">
        <v>1581</v>
      </c>
      <c r="AP239" s="1" t="s">
        <v>3135</v>
      </c>
      <c r="AQ239" s="1" t="s">
        <v>1507</v>
      </c>
      <c r="AR239" s="1" t="s">
        <v>1507</v>
      </c>
      <c r="AS239" s="1" t="s">
        <v>3136</v>
      </c>
      <c r="AT239" s="1" t="s">
        <v>3137</v>
      </c>
      <c r="AU239" s="1" t="s">
        <v>2191</v>
      </c>
      <c r="AV239" s="1">
        <v>2023</v>
      </c>
      <c r="AW239" s="1">
        <v>52</v>
      </c>
      <c r="AX239" s="1" t="s">
        <v>1507</v>
      </c>
      <c r="AY239" s="1" t="s">
        <v>1507</v>
      </c>
      <c r="AZ239" s="1" t="s">
        <v>1507</v>
      </c>
      <c r="BA239" s="1" t="s">
        <v>1507</v>
      </c>
      <c r="BB239" s="1" t="s">
        <v>1507</v>
      </c>
      <c r="BC239" s="1" t="s">
        <v>1507</v>
      </c>
      <c r="BD239" s="1" t="s">
        <v>1507</v>
      </c>
      <c r="BE239" s="1">
        <v>104238</v>
      </c>
      <c r="BF239" s="1" t="s">
        <v>3138</v>
      </c>
      <c r="BG239" s="1" t="str">
        <f>HYPERLINK("http://dx.doi.org/10.1016/j.jasrep.2023.104238","http://dx.doi.org/10.1016/j.jasrep.2023.104238")</f>
        <v>http://dx.doi.org/10.1016/j.jasrep.2023.104238</v>
      </c>
      <c r="BH239" s="1" t="s">
        <v>1507</v>
      </c>
      <c r="BI239" s="1" t="s">
        <v>2891</v>
      </c>
      <c r="BJ239" s="1">
        <v>10</v>
      </c>
      <c r="BK239" s="1" t="s">
        <v>3139</v>
      </c>
      <c r="BL239" s="1" t="s">
        <v>3140</v>
      </c>
      <c r="BM239" s="1" t="s">
        <v>3139</v>
      </c>
      <c r="BN239" s="1" t="s">
        <v>3141</v>
      </c>
      <c r="BO239" s="1" t="s">
        <v>1507</v>
      </c>
      <c r="BP239" s="1" t="s">
        <v>1574</v>
      </c>
      <c r="BQ239" s="1" t="s">
        <v>1507</v>
      </c>
      <c r="BR239" s="1" t="s">
        <v>1507</v>
      </c>
      <c r="BS239" s="1" t="s">
        <v>13744</v>
      </c>
      <c r="BT239" s="1" t="s">
        <v>3142</v>
      </c>
      <c r="BU239" s="1" t="str">
        <f>HYPERLINK("https%3A%2F%2Fwww.webofscience.com%2Fwos%2Fwoscc%2Ffull-record%2FWOS:001101348700001","View Full Record in Web of Science")</f>
        <v>View Full Record in Web of Science</v>
      </c>
    </row>
    <row r="240" spans="1:73" x14ac:dyDescent="0.25">
      <c r="A240" s="1">
        <v>266</v>
      </c>
      <c r="B240" s="1" t="s">
        <v>5546</v>
      </c>
      <c r="C240" s="1" t="s">
        <v>7820</v>
      </c>
      <c r="D240" s="1" t="s">
        <v>1507</v>
      </c>
      <c r="E240" s="1" t="s">
        <v>7821</v>
      </c>
      <c r="F240" s="1" t="s">
        <v>1507</v>
      </c>
      <c r="G240" s="1" t="s">
        <v>7822</v>
      </c>
      <c r="H240" s="1" t="s">
        <v>1507</v>
      </c>
      <c r="I240" s="1" t="s">
        <v>1507</v>
      </c>
      <c r="J240" s="1" t="s">
        <v>7823</v>
      </c>
      <c r="K240" s="1" t="s">
        <v>7824</v>
      </c>
      <c r="L240" s="1" t="s">
        <v>6208</v>
      </c>
      <c r="M240" s="1" t="s">
        <v>1507</v>
      </c>
      <c r="N240" s="1" t="s">
        <v>42</v>
      </c>
      <c r="O240" s="1" t="s">
        <v>5552</v>
      </c>
      <c r="P240" s="1" t="s">
        <v>7825</v>
      </c>
      <c r="Q240" s="1" t="s">
        <v>7826</v>
      </c>
      <c r="R240" s="1" t="s">
        <v>7827</v>
      </c>
      <c r="S240" s="1" t="s">
        <v>1507</v>
      </c>
      <c r="T240" s="1" t="s">
        <v>1507</v>
      </c>
      <c r="U240" s="1" t="s">
        <v>1507</v>
      </c>
      <c r="V240" s="1" t="s">
        <v>1507</v>
      </c>
      <c r="W240" s="1" t="s">
        <v>7828</v>
      </c>
      <c r="X240" s="1" t="s">
        <v>7829</v>
      </c>
      <c r="Y240" s="1" t="s">
        <v>7830</v>
      </c>
      <c r="Z240" s="1" t="s">
        <v>7831</v>
      </c>
      <c r="AA240" s="1" t="s">
        <v>7832</v>
      </c>
      <c r="AB240" s="1" t="s">
        <v>7833</v>
      </c>
      <c r="AC240" s="1" t="s">
        <v>7834</v>
      </c>
      <c r="AD240" s="1" t="s">
        <v>7835</v>
      </c>
      <c r="AE240" s="1" t="s">
        <v>7836</v>
      </c>
      <c r="AF240" s="1" t="s">
        <v>7837</v>
      </c>
      <c r="AG240" s="1" t="s">
        <v>1507</v>
      </c>
      <c r="AH240" s="1">
        <v>71</v>
      </c>
      <c r="AI240" s="1">
        <v>70</v>
      </c>
      <c r="AJ240" s="1">
        <v>73</v>
      </c>
      <c r="AK240" s="1">
        <v>11</v>
      </c>
      <c r="AL240" s="1">
        <v>22</v>
      </c>
      <c r="AM240" s="1" t="s">
        <v>6221</v>
      </c>
      <c r="AN240" s="1" t="s">
        <v>6222</v>
      </c>
      <c r="AO240" s="1" t="s">
        <v>6223</v>
      </c>
      <c r="AP240" s="1" t="s">
        <v>6224</v>
      </c>
      <c r="AQ240" s="1" t="s">
        <v>6225</v>
      </c>
      <c r="AR240" s="1" t="s">
        <v>7838</v>
      </c>
      <c r="AS240" s="1" t="s">
        <v>6227</v>
      </c>
      <c r="AT240" s="1" t="s">
        <v>1507</v>
      </c>
      <c r="AU240" s="1" t="s">
        <v>1507</v>
      </c>
      <c r="AV240" s="1">
        <v>2022</v>
      </c>
      <c r="AW240" s="1">
        <v>13693</v>
      </c>
      <c r="AX240" s="1" t="s">
        <v>1507</v>
      </c>
      <c r="AY240" s="1" t="s">
        <v>1507</v>
      </c>
      <c r="AZ240" s="1" t="s">
        <v>1507</v>
      </c>
      <c r="BA240" s="1" t="s">
        <v>1507</v>
      </c>
      <c r="BB240" s="1" t="s">
        <v>1507</v>
      </c>
      <c r="BC240" s="1">
        <v>709</v>
      </c>
      <c r="BD240" s="1">
        <v>727</v>
      </c>
      <c r="BE240" s="1" t="s">
        <v>1507</v>
      </c>
      <c r="BF240" s="1" t="s">
        <v>7839</v>
      </c>
      <c r="BG240" s="1" t="str">
        <f>HYPERLINK("http://dx.doi.org/10.1007/978-3-031-19827-4_41","http://dx.doi.org/10.1007/978-3-031-19827-4_41")</f>
        <v>http://dx.doi.org/10.1007/978-3-031-19827-4_41</v>
      </c>
      <c r="BH240" s="1" t="s">
        <v>1507</v>
      </c>
      <c r="BI240" s="1" t="s">
        <v>1507</v>
      </c>
      <c r="BJ240" s="1">
        <v>19</v>
      </c>
      <c r="BK240" s="1" t="s">
        <v>7840</v>
      </c>
      <c r="BL240" s="1" t="s">
        <v>5570</v>
      </c>
      <c r="BM240" s="1" t="s">
        <v>7841</v>
      </c>
      <c r="BN240" s="1" t="s">
        <v>7842</v>
      </c>
      <c r="BO240" s="1" t="s">
        <v>1507</v>
      </c>
      <c r="BP240" s="1" t="s">
        <v>1507</v>
      </c>
      <c r="BQ240" s="1" t="s">
        <v>1507</v>
      </c>
      <c r="BR240" s="1" t="s">
        <v>1507</v>
      </c>
      <c r="BS240" s="1" t="s">
        <v>13744</v>
      </c>
      <c r="BT240" s="1" t="s">
        <v>7843</v>
      </c>
      <c r="BU240" s="1" t="str">
        <f>HYPERLINK("https%3A%2F%2Fwww.webofscience.com%2Fwos%2Fwoscc%2Ffull-record%2FWOS:000903572500041","View Full Record in Web of Science")</f>
        <v>View Full Record in Web of Science</v>
      </c>
    </row>
    <row r="241" spans="1:73" x14ac:dyDescent="0.25">
      <c r="A241" s="1">
        <v>267</v>
      </c>
      <c r="B241" s="1" t="s">
        <v>5546</v>
      </c>
      <c r="C241" s="1" t="s">
        <v>5987</v>
      </c>
      <c r="D241" s="1" t="s">
        <v>1507</v>
      </c>
      <c r="E241" s="1" t="s">
        <v>1507</v>
      </c>
      <c r="F241" s="1" t="s">
        <v>5548</v>
      </c>
      <c r="G241" s="1" t="s">
        <v>5988</v>
      </c>
      <c r="H241" s="1" t="s">
        <v>1507</v>
      </c>
      <c r="I241" s="1" t="s">
        <v>1507</v>
      </c>
      <c r="J241" s="1" t="s">
        <v>5989</v>
      </c>
      <c r="K241" s="1" t="s">
        <v>5990</v>
      </c>
      <c r="L241" s="1" t="s">
        <v>1507</v>
      </c>
      <c r="M241" s="1" t="s">
        <v>1507</v>
      </c>
      <c r="N241" s="1" t="s">
        <v>42</v>
      </c>
      <c r="O241" s="1" t="s">
        <v>5552</v>
      </c>
      <c r="P241" s="1" t="s">
        <v>5991</v>
      </c>
      <c r="Q241" s="1" t="s">
        <v>5992</v>
      </c>
      <c r="R241" s="1" t="s">
        <v>5993</v>
      </c>
      <c r="S241" s="1" t="s">
        <v>5994</v>
      </c>
      <c r="T241" s="1" t="s">
        <v>5995</v>
      </c>
      <c r="U241" s="1" t="s">
        <v>5996</v>
      </c>
      <c r="V241" s="1" t="s">
        <v>1507</v>
      </c>
      <c r="W241" s="1" t="s">
        <v>5997</v>
      </c>
      <c r="X241" s="1" t="s">
        <v>5998</v>
      </c>
      <c r="Y241" s="1" t="s">
        <v>5999</v>
      </c>
      <c r="Z241" s="1" t="s">
        <v>6000</v>
      </c>
      <c r="AA241" s="1" t="s">
        <v>6001</v>
      </c>
      <c r="AB241" s="1" t="s">
        <v>1507</v>
      </c>
      <c r="AC241" s="1" t="s">
        <v>1507</v>
      </c>
      <c r="AD241" s="1" t="s">
        <v>6002</v>
      </c>
      <c r="AE241" s="1" t="s">
        <v>6003</v>
      </c>
      <c r="AF241" s="1" t="s">
        <v>6004</v>
      </c>
      <c r="AG241" s="1" t="s">
        <v>1507</v>
      </c>
      <c r="AH241" s="1">
        <v>26</v>
      </c>
      <c r="AI241" s="1">
        <v>0</v>
      </c>
      <c r="AJ241" s="1">
        <v>0</v>
      </c>
      <c r="AK241" s="1">
        <v>7</v>
      </c>
      <c r="AL241" s="1">
        <v>7</v>
      </c>
      <c r="AM241" s="1" t="s">
        <v>5565</v>
      </c>
      <c r="AN241" s="1" t="s">
        <v>1512</v>
      </c>
      <c r="AO241" s="1" t="s">
        <v>5566</v>
      </c>
      <c r="AP241" s="1" t="s">
        <v>1507</v>
      </c>
      <c r="AQ241" s="1" t="s">
        <v>1507</v>
      </c>
      <c r="AR241" s="1" t="s">
        <v>6005</v>
      </c>
      <c r="AS241" s="1" t="s">
        <v>1507</v>
      </c>
      <c r="AT241" s="1" t="s">
        <v>1507</v>
      </c>
      <c r="AU241" s="1" t="s">
        <v>1507</v>
      </c>
      <c r="AV241" s="1">
        <v>2023</v>
      </c>
      <c r="AW241" s="1" t="s">
        <v>1507</v>
      </c>
      <c r="AX241" s="1" t="s">
        <v>1507</v>
      </c>
      <c r="AY241" s="1" t="s">
        <v>1507</v>
      </c>
      <c r="AZ241" s="1" t="s">
        <v>1507</v>
      </c>
      <c r="BA241" s="1" t="s">
        <v>1507</v>
      </c>
      <c r="BB241" s="1" t="s">
        <v>1507</v>
      </c>
      <c r="BC241" s="1">
        <v>417</v>
      </c>
      <c r="BD241" s="1">
        <v>421</v>
      </c>
      <c r="BE241" s="1" t="s">
        <v>1507</v>
      </c>
      <c r="BF241" s="1" t="s">
        <v>6006</v>
      </c>
      <c r="BG241" s="1" t="str">
        <f>HYPERLINK("http://dx.doi.org/10.1145/3594536.3595170","http://dx.doi.org/10.1145/3594536.3595170")</f>
        <v>http://dx.doi.org/10.1145/3594536.3595170</v>
      </c>
      <c r="BH241" s="1" t="s">
        <v>1507</v>
      </c>
      <c r="BI241" s="1" t="s">
        <v>1507</v>
      </c>
      <c r="BJ241" s="1">
        <v>5</v>
      </c>
      <c r="BK241" s="1" t="s">
        <v>6007</v>
      </c>
      <c r="BL241" s="1" t="s">
        <v>5695</v>
      </c>
      <c r="BM241" s="1" t="s">
        <v>6008</v>
      </c>
      <c r="BN241" s="1" t="s">
        <v>6009</v>
      </c>
      <c r="BO241" s="1" t="s">
        <v>1507</v>
      </c>
      <c r="BP241" s="1" t="s">
        <v>1507</v>
      </c>
      <c r="BQ241" s="1" t="s">
        <v>1507</v>
      </c>
      <c r="BR241" s="1" t="s">
        <v>1507</v>
      </c>
      <c r="BS241" s="1" t="s">
        <v>13744</v>
      </c>
      <c r="BT241" s="1" t="s">
        <v>6010</v>
      </c>
      <c r="BU241" s="1" t="str">
        <f>HYPERLINK("https%3A%2F%2Fwww.webofscience.com%2Fwos%2Fwoscc%2Ffull-record%2FWOS:001139079400047","View Full Record in Web of Science")</f>
        <v>View Full Record in Web of Science</v>
      </c>
    </row>
    <row r="242" spans="1:73" x14ac:dyDescent="0.25">
      <c r="A242" s="1">
        <v>268</v>
      </c>
      <c r="B242" s="1" t="s">
        <v>1506</v>
      </c>
      <c r="C242" s="1" t="s">
        <v>4678</v>
      </c>
      <c r="D242" s="1" t="s">
        <v>1507</v>
      </c>
      <c r="E242" s="1" t="s">
        <v>1507</v>
      </c>
      <c r="F242" s="1" t="s">
        <v>1507</v>
      </c>
      <c r="G242" s="1" t="s">
        <v>4679</v>
      </c>
      <c r="H242" s="1" t="s">
        <v>1507</v>
      </c>
      <c r="I242" s="1" t="s">
        <v>1507</v>
      </c>
      <c r="J242" s="1" t="s">
        <v>4680</v>
      </c>
      <c r="K242" s="1" t="s">
        <v>1760</v>
      </c>
      <c r="L242" s="1" t="s">
        <v>1507</v>
      </c>
      <c r="M242" s="1" t="s">
        <v>1507</v>
      </c>
      <c r="N242" s="1" t="s">
        <v>42</v>
      </c>
      <c r="O242" s="1" t="s">
        <v>56</v>
      </c>
      <c r="P242" s="1" t="s">
        <v>1507</v>
      </c>
      <c r="Q242" s="1" t="s">
        <v>1507</v>
      </c>
      <c r="R242" s="1" t="s">
        <v>1507</v>
      </c>
      <c r="S242" s="1" t="s">
        <v>1507</v>
      </c>
      <c r="T242" s="1" t="s">
        <v>1507</v>
      </c>
      <c r="U242" s="1" t="s">
        <v>1507</v>
      </c>
      <c r="V242" s="1" t="s">
        <v>1507</v>
      </c>
      <c r="W242" s="1" t="s">
        <v>4681</v>
      </c>
      <c r="X242" s="1" t="s">
        <v>4682</v>
      </c>
      <c r="Y242" s="1" t="s">
        <v>4683</v>
      </c>
      <c r="Z242" s="1" t="s">
        <v>4684</v>
      </c>
      <c r="AA242" s="1" t="s">
        <v>4685</v>
      </c>
      <c r="AB242" s="1" t="s">
        <v>1507</v>
      </c>
      <c r="AC242" s="1" t="s">
        <v>14678</v>
      </c>
      <c r="AD242" s="1" t="s">
        <v>4686</v>
      </c>
      <c r="AE242" s="1" t="s">
        <v>4687</v>
      </c>
      <c r="AF242" s="1" t="s">
        <v>4688</v>
      </c>
      <c r="AG242" s="1" t="s">
        <v>1507</v>
      </c>
      <c r="AH242" s="1">
        <v>46</v>
      </c>
      <c r="AI242" s="1">
        <v>33</v>
      </c>
      <c r="AJ242" s="1">
        <v>33</v>
      </c>
      <c r="AK242" s="1">
        <v>25</v>
      </c>
      <c r="AL242" s="1">
        <v>41</v>
      </c>
      <c r="AM242" s="1" t="s">
        <v>1591</v>
      </c>
      <c r="AN242" s="1" t="s">
        <v>1592</v>
      </c>
      <c r="AO242" s="1" t="s">
        <v>1593</v>
      </c>
      <c r="AP242" s="1" t="s">
        <v>1770</v>
      </c>
      <c r="AQ242" s="1" t="s">
        <v>1771</v>
      </c>
      <c r="AR242" s="1" t="s">
        <v>1507</v>
      </c>
      <c r="AS242" s="1" t="s">
        <v>1760</v>
      </c>
      <c r="AT242" s="1" t="s">
        <v>1772</v>
      </c>
      <c r="AU242" s="1" t="s">
        <v>12092</v>
      </c>
      <c r="AV242" s="1">
        <v>2023</v>
      </c>
      <c r="AW242" s="1">
        <v>619</v>
      </c>
      <c r="AX242" s="1">
        <v>7969</v>
      </c>
      <c r="AY242" s="1" t="s">
        <v>1507</v>
      </c>
      <c r="AZ242" s="1" t="s">
        <v>1507</v>
      </c>
      <c r="BA242" s="1" t="s">
        <v>1507</v>
      </c>
      <c r="BB242" s="1" t="s">
        <v>1507</v>
      </c>
      <c r="BC242" s="1">
        <v>357</v>
      </c>
      <c r="BD242" s="1" t="s">
        <v>1774</v>
      </c>
      <c r="BE242" s="1" t="s">
        <v>1507</v>
      </c>
      <c r="BF242" s="1" t="s">
        <v>4689</v>
      </c>
      <c r="BG242" s="1" t="str">
        <f>HYPERLINK("http://dx.doi.org/10.1038/s41586-023-06160-y","http://dx.doi.org/10.1038/s41586-023-06160-y")</f>
        <v>http://dx.doi.org/10.1038/s41586-023-06160-y</v>
      </c>
      <c r="BH242" s="1" t="s">
        <v>1507</v>
      </c>
      <c r="BI242" s="1" t="s">
        <v>4630</v>
      </c>
      <c r="BJ242" s="1">
        <v>25</v>
      </c>
      <c r="BK242" s="1" t="s">
        <v>1776</v>
      </c>
      <c r="BL242" s="1" t="s">
        <v>1573</v>
      </c>
      <c r="BM242" s="1" t="s">
        <v>1777</v>
      </c>
      <c r="BN242" s="1" t="s">
        <v>4690</v>
      </c>
      <c r="BO242" s="1">
        <v>37286606</v>
      </c>
      <c r="BP242" s="1" t="s">
        <v>2309</v>
      </c>
      <c r="BQ242" s="1" t="s">
        <v>1507</v>
      </c>
      <c r="BR242" s="1" t="s">
        <v>1507</v>
      </c>
      <c r="BS242" s="1" t="s">
        <v>13744</v>
      </c>
      <c r="BT242" s="1" t="s">
        <v>4691</v>
      </c>
      <c r="BU242" s="1" t="str">
        <f>HYPERLINK("https%3A%2F%2Fwww.webofscience.com%2Fwos%2Fwoscc%2Ffull-record%2FWOS:001005804900017","View Full Record in Web of Science")</f>
        <v>View Full Record in Web of Science</v>
      </c>
    </row>
    <row r="243" spans="1:73" x14ac:dyDescent="0.25">
      <c r="A243" s="1">
        <v>269</v>
      </c>
      <c r="B243" s="1" t="s">
        <v>5546</v>
      </c>
      <c r="C243" s="1" t="s">
        <v>6011</v>
      </c>
      <c r="D243" s="1" t="s">
        <v>1507</v>
      </c>
      <c r="E243" s="1" t="s">
        <v>1507</v>
      </c>
      <c r="F243" s="1" t="s">
        <v>5628</v>
      </c>
      <c r="G243" s="1" t="s">
        <v>6012</v>
      </c>
      <c r="H243" s="1" t="s">
        <v>1507</v>
      </c>
      <c r="I243" s="1" t="s">
        <v>1507</v>
      </c>
      <c r="J243" s="1" t="s">
        <v>6013</v>
      </c>
      <c r="K243" s="1" t="s">
        <v>6014</v>
      </c>
      <c r="L243" s="1" t="s">
        <v>6015</v>
      </c>
      <c r="M243" s="1" t="s">
        <v>1507</v>
      </c>
      <c r="N243" s="1" t="s">
        <v>42</v>
      </c>
      <c r="O243" s="1" t="s">
        <v>5552</v>
      </c>
      <c r="P243" s="1" t="s">
        <v>6016</v>
      </c>
      <c r="Q243" s="1" t="s">
        <v>6017</v>
      </c>
      <c r="R243" s="1" t="s">
        <v>6018</v>
      </c>
      <c r="S243" s="1" t="s">
        <v>6019</v>
      </c>
      <c r="T243" s="1" t="s">
        <v>1507</v>
      </c>
      <c r="U243" s="1" t="s">
        <v>1507</v>
      </c>
      <c r="V243" s="1" t="s">
        <v>1507</v>
      </c>
      <c r="W243" s="1" t="s">
        <v>6020</v>
      </c>
      <c r="X243" s="1" t="s">
        <v>6021</v>
      </c>
      <c r="Y243" s="1" t="s">
        <v>6022</v>
      </c>
      <c r="Z243" s="1" t="s">
        <v>6023</v>
      </c>
      <c r="AA243" s="1" t="s">
        <v>6024</v>
      </c>
      <c r="AB243" s="1" t="s">
        <v>6025</v>
      </c>
      <c r="AC243" s="1" t="s">
        <v>6026</v>
      </c>
      <c r="AD243" s="1" t="s">
        <v>6027</v>
      </c>
      <c r="AE243" s="1" t="s">
        <v>6028</v>
      </c>
      <c r="AF243" s="1" t="s">
        <v>6029</v>
      </c>
      <c r="AG243" s="1" t="s">
        <v>1507</v>
      </c>
      <c r="AH243" s="1">
        <v>57</v>
      </c>
      <c r="AI243" s="1">
        <v>0</v>
      </c>
      <c r="AJ243" s="1">
        <v>0</v>
      </c>
      <c r="AK243" s="1">
        <v>2</v>
      </c>
      <c r="AL243" s="1">
        <v>2</v>
      </c>
      <c r="AM243" s="1" t="s">
        <v>5645</v>
      </c>
      <c r="AN243" s="1" t="s">
        <v>5646</v>
      </c>
      <c r="AO243" s="1" t="s">
        <v>5647</v>
      </c>
      <c r="AP243" s="1" t="s">
        <v>6030</v>
      </c>
      <c r="AQ243" s="1" t="s">
        <v>1507</v>
      </c>
      <c r="AR243" s="1" t="s">
        <v>6031</v>
      </c>
      <c r="AS243" s="1" t="s">
        <v>6032</v>
      </c>
      <c r="AT243" s="1" t="s">
        <v>1507</v>
      </c>
      <c r="AU243" s="1" t="s">
        <v>1507</v>
      </c>
      <c r="AV243" s="1">
        <v>2023</v>
      </c>
      <c r="AW243" s="1" t="s">
        <v>1507</v>
      </c>
      <c r="AX243" s="1" t="s">
        <v>1507</v>
      </c>
      <c r="AY243" s="1" t="s">
        <v>1507</v>
      </c>
      <c r="AZ243" s="1" t="s">
        <v>1507</v>
      </c>
      <c r="BA243" s="1" t="s">
        <v>1507</v>
      </c>
      <c r="BB243" s="1" t="s">
        <v>1507</v>
      </c>
      <c r="BC243" s="1">
        <v>358</v>
      </c>
      <c r="BD243" s="1">
        <v>370</v>
      </c>
      <c r="BE243" s="1" t="s">
        <v>1507</v>
      </c>
      <c r="BF243" s="1" t="s">
        <v>6033</v>
      </c>
      <c r="BG243" s="1" t="str">
        <f>HYPERLINK("http://dx.doi.org/10.1109/ASE56229.2023.00040","http://dx.doi.org/10.1109/ASE56229.2023.00040")</f>
        <v>http://dx.doi.org/10.1109/ASE56229.2023.00040</v>
      </c>
      <c r="BH243" s="1" t="s">
        <v>1507</v>
      </c>
      <c r="BI243" s="1" t="s">
        <v>1507</v>
      </c>
      <c r="BJ243" s="1">
        <v>13</v>
      </c>
      <c r="BK243" s="1" t="s">
        <v>6034</v>
      </c>
      <c r="BL243" s="1" t="s">
        <v>5570</v>
      </c>
      <c r="BM243" s="1" t="s">
        <v>6035</v>
      </c>
      <c r="BN243" s="1" t="s">
        <v>6036</v>
      </c>
      <c r="BO243" s="1" t="s">
        <v>1507</v>
      </c>
      <c r="BP243" s="1" t="s">
        <v>1507</v>
      </c>
      <c r="BQ243" s="1" t="s">
        <v>1507</v>
      </c>
      <c r="BR243" s="1" t="s">
        <v>1507</v>
      </c>
      <c r="BS243" s="1" t="s">
        <v>13744</v>
      </c>
      <c r="BT243" s="1" t="s">
        <v>6037</v>
      </c>
      <c r="BU243" s="1" t="str">
        <f>HYPERLINK("https%3A%2F%2Fwww.webofscience.com%2Fwos%2Fwoscc%2Ffull-record%2FWOS:001103357200029","View Full Record in Web of Science")</f>
        <v>View Full Record in Web of Science</v>
      </c>
    </row>
    <row r="244" spans="1:73" x14ac:dyDescent="0.25">
      <c r="A244" s="1">
        <v>271</v>
      </c>
      <c r="B244" s="1" t="s">
        <v>1506</v>
      </c>
      <c r="C244" s="1" t="s">
        <v>6038</v>
      </c>
      <c r="D244" s="1" t="s">
        <v>1507</v>
      </c>
      <c r="E244" s="1" t="s">
        <v>1507</v>
      </c>
      <c r="F244" s="1" t="s">
        <v>1507</v>
      </c>
      <c r="G244" s="1" t="s">
        <v>6039</v>
      </c>
      <c r="H244" s="1" t="s">
        <v>1507</v>
      </c>
      <c r="I244" s="1" t="s">
        <v>1507</v>
      </c>
      <c r="J244" s="1" t="s">
        <v>6040</v>
      </c>
      <c r="K244" s="1" t="s">
        <v>1625</v>
      </c>
      <c r="L244" s="1" t="s">
        <v>1507</v>
      </c>
      <c r="M244" s="1" t="s">
        <v>1507</v>
      </c>
      <c r="N244" s="1" t="s">
        <v>42</v>
      </c>
      <c r="O244" s="1" t="s">
        <v>56</v>
      </c>
      <c r="P244" s="1" t="s">
        <v>1507</v>
      </c>
      <c r="Q244" s="1" t="s">
        <v>1507</v>
      </c>
      <c r="R244" s="1" t="s">
        <v>1507</v>
      </c>
      <c r="S244" s="1" t="s">
        <v>1507</v>
      </c>
      <c r="T244" s="1" t="s">
        <v>1507</v>
      </c>
      <c r="U244" s="1" t="s">
        <v>6041</v>
      </c>
      <c r="V244" s="1" t="s">
        <v>1507</v>
      </c>
      <c r="W244" s="1" t="s">
        <v>6042</v>
      </c>
      <c r="X244" s="1" t="s">
        <v>6043</v>
      </c>
      <c r="Y244" s="1" t="s">
        <v>6044</v>
      </c>
      <c r="Z244" s="1" t="s">
        <v>6045</v>
      </c>
      <c r="AA244" s="1" t="s">
        <v>6046</v>
      </c>
      <c r="AB244" s="1" t="s">
        <v>1507</v>
      </c>
      <c r="AC244" s="1" t="s">
        <v>15064</v>
      </c>
      <c r="AD244" s="1" t="s">
        <v>6047</v>
      </c>
      <c r="AE244" s="1" t="s">
        <v>6047</v>
      </c>
      <c r="AF244" s="1" t="s">
        <v>1510</v>
      </c>
      <c r="AG244" s="1" t="s">
        <v>1507</v>
      </c>
      <c r="AH244" s="1">
        <v>34</v>
      </c>
      <c r="AI244" s="1">
        <v>0</v>
      </c>
      <c r="AJ244" s="1">
        <v>0</v>
      </c>
      <c r="AK244" s="1">
        <v>1</v>
      </c>
      <c r="AL244" s="1">
        <v>1</v>
      </c>
      <c r="AM244" s="1" t="s">
        <v>1626</v>
      </c>
      <c r="AN244" s="1" t="s">
        <v>1627</v>
      </c>
      <c r="AO244" s="1" t="s">
        <v>1628</v>
      </c>
      <c r="AP244" s="1" t="s">
        <v>1629</v>
      </c>
      <c r="AQ244" s="1" t="s">
        <v>1507</v>
      </c>
      <c r="AR244" s="1" t="s">
        <v>1507</v>
      </c>
      <c r="AS244" s="1" t="s">
        <v>1625</v>
      </c>
      <c r="AT244" s="1" t="s">
        <v>1630</v>
      </c>
      <c r="AU244" s="1" t="s">
        <v>1507</v>
      </c>
      <c r="AV244" s="1">
        <v>2023</v>
      </c>
      <c r="AW244" s="1">
        <v>11</v>
      </c>
      <c r="AX244" s="1" t="s">
        <v>1507</v>
      </c>
      <c r="AY244" s="1" t="s">
        <v>1507</v>
      </c>
      <c r="AZ244" s="1" t="s">
        <v>1507</v>
      </c>
      <c r="BA244" s="1" t="s">
        <v>1507</v>
      </c>
      <c r="BB244" s="1" t="s">
        <v>1507</v>
      </c>
      <c r="BC244" s="1">
        <v>141406</v>
      </c>
      <c r="BD244" s="1">
        <v>141420</v>
      </c>
      <c r="BE244" s="1" t="s">
        <v>1507</v>
      </c>
      <c r="BF244" s="1" t="s">
        <v>6048</v>
      </c>
      <c r="BG244" s="1" t="str">
        <f>HYPERLINK("http://dx.doi.org/10.1109/ACCESS.2023.3341007","http://dx.doi.org/10.1109/ACCESS.2023.3341007")</f>
        <v>http://dx.doi.org/10.1109/ACCESS.2023.3341007</v>
      </c>
      <c r="BH244" s="1" t="s">
        <v>1507</v>
      </c>
      <c r="BI244" s="1" t="s">
        <v>1507</v>
      </c>
      <c r="BJ244" s="1">
        <v>15</v>
      </c>
      <c r="BK244" s="1" t="s">
        <v>1631</v>
      </c>
      <c r="BL244" s="1" t="s">
        <v>1573</v>
      </c>
      <c r="BM244" s="1" t="s">
        <v>1632</v>
      </c>
      <c r="BN244" s="1" t="s">
        <v>6049</v>
      </c>
      <c r="BO244" s="1" t="s">
        <v>1507</v>
      </c>
      <c r="BP244" s="1" t="s">
        <v>1531</v>
      </c>
      <c r="BQ244" s="1" t="s">
        <v>1507</v>
      </c>
      <c r="BR244" s="1" t="s">
        <v>1507</v>
      </c>
      <c r="BS244" s="1" t="s">
        <v>13744</v>
      </c>
      <c r="BT244" s="1" t="s">
        <v>6050</v>
      </c>
      <c r="BU244" s="1" t="str">
        <f>HYPERLINK("https%3A%2F%2Fwww.webofscience.com%2Fwos%2Fwoscc%2Ffull-record%2FWOS:001127772400001","View Full Record in Web of Science")</f>
        <v>View Full Record in Web of Science</v>
      </c>
    </row>
    <row r="245" spans="1:73" x14ac:dyDescent="0.25">
      <c r="A245" s="1">
        <v>272</v>
      </c>
      <c r="B245" s="1" t="s">
        <v>1506</v>
      </c>
      <c r="C245" s="1" t="s">
        <v>8367</v>
      </c>
      <c r="D245" s="1" t="s">
        <v>1507</v>
      </c>
      <c r="E245" s="1" t="s">
        <v>1507</v>
      </c>
      <c r="F245" s="1" t="s">
        <v>1507</v>
      </c>
      <c r="G245" s="1" t="s">
        <v>8368</v>
      </c>
      <c r="H245" s="1" t="s">
        <v>1507</v>
      </c>
      <c r="I245" s="1" t="s">
        <v>1507</v>
      </c>
      <c r="J245" s="1" t="s">
        <v>8369</v>
      </c>
      <c r="K245" s="1" t="s">
        <v>8370</v>
      </c>
      <c r="L245" s="1" t="s">
        <v>1507</v>
      </c>
      <c r="M245" s="1" t="s">
        <v>1507</v>
      </c>
      <c r="N245" s="1" t="s">
        <v>42</v>
      </c>
      <c r="O245" s="1" t="s">
        <v>56</v>
      </c>
      <c r="P245" s="1" t="s">
        <v>1507</v>
      </c>
      <c r="Q245" s="1" t="s">
        <v>1507</v>
      </c>
      <c r="R245" s="1" t="s">
        <v>1507</v>
      </c>
      <c r="S245" s="1" t="s">
        <v>1507</v>
      </c>
      <c r="T245" s="1" t="s">
        <v>1507</v>
      </c>
      <c r="U245" s="1" t="s">
        <v>1507</v>
      </c>
      <c r="V245" s="1" t="s">
        <v>8371</v>
      </c>
      <c r="W245" s="1" t="s">
        <v>8372</v>
      </c>
      <c r="X245" s="1" t="s">
        <v>8373</v>
      </c>
      <c r="Y245" s="1" t="s">
        <v>15722</v>
      </c>
      <c r="Z245" s="1" t="s">
        <v>8374</v>
      </c>
      <c r="AA245" s="1" t="s">
        <v>8375</v>
      </c>
      <c r="AB245" s="1" t="s">
        <v>15723</v>
      </c>
      <c r="AC245" s="1" t="s">
        <v>15724</v>
      </c>
      <c r="AD245" s="1" t="s">
        <v>15725</v>
      </c>
      <c r="AE245" s="1" t="s">
        <v>8376</v>
      </c>
      <c r="AF245" s="1" t="s">
        <v>8377</v>
      </c>
      <c r="AG245" s="1" t="s">
        <v>1507</v>
      </c>
      <c r="AH245" s="1">
        <v>92</v>
      </c>
      <c r="AI245" s="1">
        <v>73</v>
      </c>
      <c r="AJ245" s="1">
        <v>79</v>
      </c>
      <c r="AK245" s="1">
        <v>28</v>
      </c>
      <c r="AL245" s="1">
        <v>160</v>
      </c>
      <c r="AM245" s="1" t="s">
        <v>1601</v>
      </c>
      <c r="AN245" s="1" t="s">
        <v>1551</v>
      </c>
      <c r="AO245" s="1" t="s">
        <v>1602</v>
      </c>
      <c r="AP245" s="1" t="s">
        <v>8378</v>
      </c>
      <c r="AQ245" s="1" t="s">
        <v>8379</v>
      </c>
      <c r="AR245" s="1" t="s">
        <v>1507</v>
      </c>
      <c r="AS245" s="1" t="s">
        <v>8380</v>
      </c>
      <c r="AT245" s="1" t="s">
        <v>8381</v>
      </c>
      <c r="AU245" s="1" t="s">
        <v>1616</v>
      </c>
      <c r="AV245" s="1">
        <v>2022</v>
      </c>
      <c r="AW245" s="1">
        <v>16</v>
      </c>
      <c r="AX245" s="1">
        <v>1</v>
      </c>
      <c r="AY245" s="1" t="s">
        <v>1507</v>
      </c>
      <c r="AZ245" s="1" t="s">
        <v>1507</v>
      </c>
      <c r="BA245" s="1" t="s">
        <v>1507</v>
      </c>
      <c r="BB245" s="1" t="s">
        <v>1507</v>
      </c>
      <c r="BC245" s="1">
        <v>272</v>
      </c>
      <c r="BD245" s="1">
        <v>283</v>
      </c>
      <c r="BE245" s="1" t="s">
        <v>1507</v>
      </c>
      <c r="BF245" s="1" t="s">
        <v>8382</v>
      </c>
      <c r="BG245" s="1" t="str">
        <f>HYPERLINK("http://dx.doi.org/10.1038/s41396-021-01064-z","http://dx.doi.org/10.1038/s41396-021-01064-z")</f>
        <v>http://dx.doi.org/10.1038/s41396-021-01064-z</v>
      </c>
      <c r="BH245" s="1" t="s">
        <v>1507</v>
      </c>
      <c r="BI245" s="1" t="s">
        <v>8383</v>
      </c>
      <c r="BJ245" s="1">
        <v>12</v>
      </c>
      <c r="BK245" s="1" t="s">
        <v>8384</v>
      </c>
      <c r="BL245" s="1" t="s">
        <v>1573</v>
      </c>
      <c r="BM245" s="1" t="s">
        <v>8385</v>
      </c>
      <c r="BN245" s="1" t="s">
        <v>8386</v>
      </c>
      <c r="BO245" s="1">
        <v>34316016</v>
      </c>
      <c r="BP245" s="1" t="s">
        <v>15726</v>
      </c>
      <c r="BQ245" s="1" t="s">
        <v>1507</v>
      </c>
      <c r="BR245" s="1" t="s">
        <v>1507</v>
      </c>
      <c r="BS245" s="1" t="s">
        <v>13744</v>
      </c>
      <c r="BT245" s="1" t="s">
        <v>8387</v>
      </c>
      <c r="BU245" s="1" t="str">
        <f>HYPERLINK("https%3A%2F%2Fwww.webofscience.com%2Fwos%2Fwoscc%2Ffull-record%2FWOS:000677942400001","View Full Record in Web of Science")</f>
        <v>View Full Record in Web of Science</v>
      </c>
    </row>
    <row r="246" spans="1:73" x14ac:dyDescent="0.25">
      <c r="A246" s="1">
        <v>273</v>
      </c>
      <c r="B246" s="1" t="s">
        <v>1506</v>
      </c>
      <c r="C246" s="1" t="s">
        <v>4194</v>
      </c>
      <c r="D246" s="1" t="s">
        <v>1507</v>
      </c>
      <c r="E246" s="1" t="s">
        <v>1507</v>
      </c>
      <c r="F246" s="1" t="s">
        <v>1507</v>
      </c>
      <c r="G246" s="1" t="s">
        <v>4195</v>
      </c>
      <c r="H246" s="1" t="s">
        <v>1507</v>
      </c>
      <c r="I246" s="1" t="s">
        <v>1507</v>
      </c>
      <c r="J246" s="1" t="s">
        <v>4196</v>
      </c>
      <c r="K246" s="1" t="s">
        <v>4197</v>
      </c>
      <c r="L246" s="1" t="s">
        <v>1507</v>
      </c>
      <c r="M246" s="1" t="s">
        <v>1507</v>
      </c>
      <c r="N246" s="1" t="s">
        <v>42</v>
      </c>
      <c r="O246" s="1" t="s">
        <v>56</v>
      </c>
      <c r="P246" s="1" t="s">
        <v>1507</v>
      </c>
      <c r="Q246" s="1" t="s">
        <v>1507</v>
      </c>
      <c r="R246" s="1" t="s">
        <v>1507</v>
      </c>
      <c r="S246" s="1" t="s">
        <v>1507</v>
      </c>
      <c r="T246" s="1" t="s">
        <v>1507</v>
      </c>
      <c r="U246" s="1" t="s">
        <v>4198</v>
      </c>
      <c r="V246" s="1" t="s">
        <v>1507</v>
      </c>
      <c r="W246" s="1" t="s">
        <v>4199</v>
      </c>
      <c r="X246" s="1" t="s">
        <v>4200</v>
      </c>
      <c r="Y246" s="1" t="s">
        <v>4201</v>
      </c>
      <c r="Z246" s="1" t="s">
        <v>4202</v>
      </c>
      <c r="AA246" s="1" t="s">
        <v>4203</v>
      </c>
      <c r="AB246" s="1" t="s">
        <v>4204</v>
      </c>
      <c r="AC246" s="1" t="s">
        <v>4205</v>
      </c>
      <c r="AD246" s="1" t="s">
        <v>4206</v>
      </c>
      <c r="AE246" s="1" t="s">
        <v>4206</v>
      </c>
      <c r="AF246" s="1" t="s">
        <v>4207</v>
      </c>
      <c r="AG246" s="1" t="s">
        <v>1507</v>
      </c>
      <c r="AH246" s="1">
        <v>24</v>
      </c>
      <c r="AI246" s="1">
        <v>6</v>
      </c>
      <c r="AJ246" s="1">
        <v>6</v>
      </c>
      <c r="AK246" s="1">
        <v>13</v>
      </c>
      <c r="AL246" s="1">
        <v>19</v>
      </c>
      <c r="AM246" s="1" t="s">
        <v>1511</v>
      </c>
      <c r="AN246" s="1" t="s">
        <v>1512</v>
      </c>
      <c r="AO246" s="1" t="s">
        <v>1513</v>
      </c>
      <c r="AP246" s="1" t="s">
        <v>4208</v>
      </c>
      <c r="AQ246" s="1" t="s">
        <v>4209</v>
      </c>
      <c r="AR246" s="1" t="s">
        <v>1507</v>
      </c>
      <c r="AS246" s="1" t="s">
        <v>4210</v>
      </c>
      <c r="AT246" s="1" t="s">
        <v>4211</v>
      </c>
      <c r="AU246" s="1" t="s">
        <v>2771</v>
      </c>
      <c r="AV246" s="1">
        <v>2023</v>
      </c>
      <c r="AW246" s="1">
        <v>31</v>
      </c>
      <c r="AX246" s="1">
        <v>11</v>
      </c>
      <c r="AY246" s="1" t="s">
        <v>1507</v>
      </c>
      <c r="AZ246" s="1" t="s">
        <v>1507</v>
      </c>
      <c r="BA246" s="1" t="s">
        <v>1507</v>
      </c>
      <c r="BB246" s="1" t="s">
        <v>1507</v>
      </c>
      <c r="BC246" s="1">
        <v>5190</v>
      </c>
      <c r="BD246" s="1">
        <v>5198</v>
      </c>
      <c r="BE246" s="1" t="s">
        <v>1507</v>
      </c>
      <c r="BF246" s="1" t="s">
        <v>4212</v>
      </c>
      <c r="BG246" s="1" t="str">
        <f>HYPERLINK("http://dx.doi.org/10.1007/s00167-023-07529-2","http://dx.doi.org/10.1007/s00167-023-07529-2")</f>
        <v>http://dx.doi.org/10.1007/s00167-023-07529-2</v>
      </c>
      <c r="BH246" s="1" t="s">
        <v>1507</v>
      </c>
      <c r="BI246" s="1" t="s">
        <v>4056</v>
      </c>
      <c r="BJ246" s="1">
        <v>9</v>
      </c>
      <c r="BK246" s="1" t="s">
        <v>4213</v>
      </c>
      <c r="BL246" s="1" t="s">
        <v>1573</v>
      </c>
      <c r="BM246" s="1" t="s">
        <v>4213</v>
      </c>
      <c r="BN246" s="1" t="s">
        <v>14562</v>
      </c>
      <c r="BO246" s="1">
        <v>37553552</v>
      </c>
      <c r="BP246" s="1" t="s">
        <v>2309</v>
      </c>
      <c r="BQ246" s="1" t="s">
        <v>1507</v>
      </c>
      <c r="BR246" s="1" t="s">
        <v>1507</v>
      </c>
      <c r="BS246" s="1" t="s">
        <v>13744</v>
      </c>
      <c r="BT246" s="1" t="s">
        <v>4215</v>
      </c>
      <c r="BU246" s="1" t="str">
        <f>HYPERLINK("https%3A%2F%2Fwww.webofscience.com%2Fwos%2Fwoscc%2Ffull-record%2FWOS:001044338600003","View Full Record in Web of Science")</f>
        <v>View Full Record in Web of Science</v>
      </c>
    </row>
    <row r="247" spans="1:73" x14ac:dyDescent="0.25">
      <c r="A247" s="1">
        <v>274</v>
      </c>
      <c r="B247" s="1" t="s">
        <v>1506</v>
      </c>
      <c r="C247" s="1" t="s">
        <v>8088</v>
      </c>
      <c r="D247" s="1" t="s">
        <v>1507</v>
      </c>
      <c r="E247" s="1" t="s">
        <v>1507</v>
      </c>
      <c r="F247" s="1" t="s">
        <v>1507</v>
      </c>
      <c r="G247" s="1" t="s">
        <v>8089</v>
      </c>
      <c r="H247" s="1" t="s">
        <v>1507</v>
      </c>
      <c r="I247" s="1" t="s">
        <v>1507</v>
      </c>
      <c r="J247" s="1" t="s">
        <v>8090</v>
      </c>
      <c r="K247" s="1" t="s">
        <v>8091</v>
      </c>
      <c r="L247" s="1" t="s">
        <v>1507</v>
      </c>
      <c r="M247" s="1" t="s">
        <v>1507</v>
      </c>
      <c r="N247" s="1" t="s">
        <v>42</v>
      </c>
      <c r="O247" s="1" t="s">
        <v>56</v>
      </c>
      <c r="P247" s="1" t="s">
        <v>1507</v>
      </c>
      <c r="Q247" s="1" t="s">
        <v>1507</v>
      </c>
      <c r="R247" s="1" t="s">
        <v>1507</v>
      </c>
      <c r="S247" s="1" t="s">
        <v>1507</v>
      </c>
      <c r="T247" s="1" t="s">
        <v>1507</v>
      </c>
      <c r="U247" s="1" t="s">
        <v>8092</v>
      </c>
      <c r="V247" s="1" t="s">
        <v>8093</v>
      </c>
      <c r="W247" s="1" t="s">
        <v>8094</v>
      </c>
      <c r="X247" s="1" t="s">
        <v>8095</v>
      </c>
      <c r="Y247" s="1" t="s">
        <v>15689</v>
      </c>
      <c r="Z247" s="1" t="s">
        <v>8096</v>
      </c>
      <c r="AA247" s="1" t="s">
        <v>8097</v>
      </c>
      <c r="AB247" s="1" t="s">
        <v>15690</v>
      </c>
      <c r="AC247" s="1" t="s">
        <v>15691</v>
      </c>
      <c r="AD247" s="1" t="s">
        <v>8098</v>
      </c>
      <c r="AE247" s="1" t="s">
        <v>8099</v>
      </c>
      <c r="AF247" s="1" t="s">
        <v>8100</v>
      </c>
      <c r="AG247" s="1" t="s">
        <v>1507</v>
      </c>
      <c r="AH247" s="1">
        <v>40</v>
      </c>
      <c r="AI247" s="1">
        <v>1</v>
      </c>
      <c r="AJ247" s="1">
        <v>1</v>
      </c>
      <c r="AK247" s="1">
        <v>0</v>
      </c>
      <c r="AL247" s="1">
        <v>3</v>
      </c>
      <c r="AM247" s="1" t="s">
        <v>1582</v>
      </c>
      <c r="AN247" s="1" t="s">
        <v>1583</v>
      </c>
      <c r="AO247" s="1" t="s">
        <v>1584</v>
      </c>
      <c r="AP247" s="1" t="s">
        <v>8101</v>
      </c>
      <c r="AQ247" s="1" t="s">
        <v>8102</v>
      </c>
      <c r="AR247" s="1" t="s">
        <v>1507</v>
      </c>
      <c r="AS247" s="1" t="s">
        <v>8103</v>
      </c>
      <c r="AT247" s="1" t="s">
        <v>8104</v>
      </c>
      <c r="AU247" s="1" t="s">
        <v>2771</v>
      </c>
      <c r="AV247" s="1">
        <v>2021</v>
      </c>
      <c r="AW247" s="1">
        <v>151</v>
      </c>
      <c r="AX247" s="1">
        <v>11</v>
      </c>
      <c r="AY247" s="1" t="s">
        <v>1507</v>
      </c>
      <c r="AZ247" s="1" t="s">
        <v>1507</v>
      </c>
      <c r="BA247" s="1" t="s">
        <v>1507</v>
      </c>
      <c r="BB247" s="1" t="s">
        <v>1507</v>
      </c>
      <c r="BC247" s="1">
        <v>3579</v>
      </c>
      <c r="BD247" s="1">
        <v>3587</v>
      </c>
      <c r="BE247" s="1" t="s">
        <v>1507</v>
      </c>
      <c r="BF247" s="1" t="s">
        <v>8105</v>
      </c>
      <c r="BG247" s="1" t="str">
        <f>HYPERLINK("http://dx.doi.org/10.1093/jn/nxab300","http://dx.doi.org/10.1093/jn/nxab300")</f>
        <v>http://dx.doi.org/10.1093/jn/nxab300</v>
      </c>
      <c r="BH247" s="1" t="s">
        <v>1507</v>
      </c>
      <c r="BI247" s="1" t="s">
        <v>1507</v>
      </c>
      <c r="BJ247" s="1">
        <v>9</v>
      </c>
      <c r="BK247" s="1" t="s">
        <v>7211</v>
      </c>
      <c r="BL247" s="1" t="s">
        <v>1573</v>
      </c>
      <c r="BM247" s="1" t="s">
        <v>7211</v>
      </c>
      <c r="BN247" s="1" t="s">
        <v>8106</v>
      </c>
      <c r="BO247" s="1">
        <v>34590125</v>
      </c>
      <c r="BP247" s="1" t="s">
        <v>2309</v>
      </c>
      <c r="BQ247" s="1" t="s">
        <v>1507</v>
      </c>
      <c r="BR247" s="1" t="s">
        <v>1507</v>
      </c>
      <c r="BS247" s="1" t="s">
        <v>13744</v>
      </c>
      <c r="BT247" s="1" t="s">
        <v>8107</v>
      </c>
      <c r="BU247" s="1" t="str">
        <f>HYPERLINK("https%3A%2F%2Fwww.webofscience.com%2Fwos%2Fwoscc%2Ffull-record%2FWOS:000731863600032","View Full Record in Web of Science")</f>
        <v>View Full Record in Web of Science</v>
      </c>
    </row>
    <row r="248" spans="1:73" x14ac:dyDescent="0.25">
      <c r="A248" s="1">
        <v>276</v>
      </c>
      <c r="B248" s="1" t="s">
        <v>5546</v>
      </c>
      <c r="C248" s="1" t="s">
        <v>15065</v>
      </c>
      <c r="D248" s="1" t="s">
        <v>1507</v>
      </c>
      <c r="E248" s="1" t="s">
        <v>1507</v>
      </c>
      <c r="F248" s="1" t="s">
        <v>5628</v>
      </c>
      <c r="G248" s="1" t="s">
        <v>15066</v>
      </c>
      <c r="H248" s="1" t="s">
        <v>1507</v>
      </c>
      <c r="I248" s="1" t="s">
        <v>1507</v>
      </c>
      <c r="J248" s="1" t="s">
        <v>15067</v>
      </c>
      <c r="K248" s="1" t="s">
        <v>15068</v>
      </c>
      <c r="L248" s="1" t="s">
        <v>15069</v>
      </c>
      <c r="M248" s="1" t="s">
        <v>1507</v>
      </c>
      <c r="N248" s="1" t="s">
        <v>42</v>
      </c>
      <c r="O248" s="1" t="s">
        <v>5552</v>
      </c>
      <c r="P248" s="1" t="s">
        <v>15070</v>
      </c>
      <c r="Q248" s="1" t="s">
        <v>15071</v>
      </c>
      <c r="R248" s="1" t="s">
        <v>15072</v>
      </c>
      <c r="S248" s="1" t="s">
        <v>15073</v>
      </c>
      <c r="T248" s="1" t="s">
        <v>1507</v>
      </c>
      <c r="U248" s="1" t="s">
        <v>15074</v>
      </c>
      <c r="V248" s="1" t="s">
        <v>15075</v>
      </c>
      <c r="W248" s="1" t="s">
        <v>15076</v>
      </c>
      <c r="X248" s="1" t="s">
        <v>15077</v>
      </c>
      <c r="Y248" s="1" t="s">
        <v>15078</v>
      </c>
      <c r="Z248" s="1" t="s">
        <v>15079</v>
      </c>
      <c r="AA248" s="1" t="s">
        <v>15080</v>
      </c>
      <c r="AB248" s="1" t="s">
        <v>1507</v>
      </c>
      <c r="AC248" s="1" t="s">
        <v>1507</v>
      </c>
      <c r="AD248" s="1" t="s">
        <v>1507</v>
      </c>
      <c r="AE248" s="1" t="s">
        <v>1507</v>
      </c>
      <c r="AF248" s="1" t="s">
        <v>1507</v>
      </c>
      <c r="AG248" s="1" t="s">
        <v>1507</v>
      </c>
      <c r="AH248" s="1">
        <v>87</v>
      </c>
      <c r="AI248" s="1">
        <v>0</v>
      </c>
      <c r="AJ248" s="1">
        <v>0</v>
      </c>
      <c r="AK248" s="1">
        <v>1</v>
      </c>
      <c r="AL248" s="1">
        <v>1</v>
      </c>
      <c r="AM248" s="1" t="s">
        <v>5628</v>
      </c>
      <c r="AN248" s="1" t="s">
        <v>1512</v>
      </c>
      <c r="AO248" s="1" t="s">
        <v>6457</v>
      </c>
      <c r="AP248" s="1" t="s">
        <v>15081</v>
      </c>
      <c r="AQ248" s="1" t="s">
        <v>1507</v>
      </c>
      <c r="AR248" s="1" t="s">
        <v>15082</v>
      </c>
      <c r="AS248" s="1" t="s">
        <v>15083</v>
      </c>
      <c r="AT248" s="1" t="s">
        <v>1507</v>
      </c>
      <c r="AU248" s="1" t="s">
        <v>1507</v>
      </c>
      <c r="AV248" s="1">
        <v>2023</v>
      </c>
      <c r="AW248" s="1" t="s">
        <v>1507</v>
      </c>
      <c r="AX248" s="1" t="s">
        <v>1507</v>
      </c>
      <c r="AY248" s="1" t="s">
        <v>1507</v>
      </c>
      <c r="AZ248" s="1" t="s">
        <v>1507</v>
      </c>
      <c r="BA248" s="1" t="s">
        <v>1507</v>
      </c>
      <c r="BB248" s="1" t="s">
        <v>1507</v>
      </c>
      <c r="BC248" s="1">
        <v>110</v>
      </c>
      <c r="BD248" s="1">
        <v>117</v>
      </c>
      <c r="BE248" s="1" t="s">
        <v>1507</v>
      </c>
      <c r="BF248" s="1" t="s">
        <v>15084</v>
      </c>
      <c r="BG248" s="1" t="str">
        <f>HYPERLINK("http://dx.doi.org/10.1109/VLSI-SoC57769.2023.10321880","http://dx.doi.org/10.1109/VLSI-SoC57769.2023.10321880")</f>
        <v>http://dx.doi.org/10.1109/VLSI-SoC57769.2023.10321880</v>
      </c>
      <c r="BH248" s="1" t="s">
        <v>1507</v>
      </c>
      <c r="BI248" s="1" t="s">
        <v>1507</v>
      </c>
      <c r="BJ248" s="1">
        <v>8</v>
      </c>
      <c r="BK248" s="1" t="s">
        <v>15085</v>
      </c>
      <c r="BL248" s="1" t="s">
        <v>5570</v>
      </c>
      <c r="BM248" s="1" t="s">
        <v>1578</v>
      </c>
      <c r="BN248" s="1" t="s">
        <v>15086</v>
      </c>
      <c r="BO248" s="1" t="s">
        <v>1507</v>
      </c>
      <c r="BP248" s="1" t="s">
        <v>1507</v>
      </c>
      <c r="BQ248" s="1" t="s">
        <v>1507</v>
      </c>
      <c r="BR248" s="1" t="s">
        <v>1507</v>
      </c>
      <c r="BS248" s="1" t="s">
        <v>13744</v>
      </c>
      <c r="BT248" s="1" t="s">
        <v>15087</v>
      </c>
      <c r="BU248" s="1" t="str">
        <f>HYPERLINK("https%3A%2F%2Fwww.webofscience.com%2Fwos%2Fwoscc%2Ffull-record%2FWOS:001108827200019","View Full Record in Web of Science")</f>
        <v>View Full Record in Web of Science</v>
      </c>
    </row>
    <row r="249" spans="1:73" x14ac:dyDescent="0.25">
      <c r="A249" s="1">
        <v>277</v>
      </c>
      <c r="B249" s="1" t="s">
        <v>1506</v>
      </c>
      <c r="C249" s="1" t="s">
        <v>11751</v>
      </c>
      <c r="D249" s="1" t="s">
        <v>1507</v>
      </c>
      <c r="E249" s="1" t="s">
        <v>1507</v>
      </c>
      <c r="F249" s="1" t="s">
        <v>1507</v>
      </c>
      <c r="G249" s="1" t="s">
        <v>11752</v>
      </c>
      <c r="H249" s="1" t="s">
        <v>1507</v>
      </c>
      <c r="I249" s="1" t="s">
        <v>1507</v>
      </c>
      <c r="J249" s="1" t="s">
        <v>11753</v>
      </c>
      <c r="K249" s="1" t="s">
        <v>11754</v>
      </c>
      <c r="L249" s="1" t="s">
        <v>1507</v>
      </c>
      <c r="M249" s="1" t="s">
        <v>1507</v>
      </c>
      <c r="N249" s="1" t="s">
        <v>42</v>
      </c>
      <c r="O249" s="1" t="s">
        <v>56</v>
      </c>
      <c r="P249" s="1" t="s">
        <v>1507</v>
      </c>
      <c r="Q249" s="1" t="s">
        <v>1507</v>
      </c>
      <c r="R249" s="1" t="s">
        <v>1507</v>
      </c>
      <c r="S249" s="1" t="s">
        <v>1507</v>
      </c>
      <c r="T249" s="1" t="s">
        <v>1507</v>
      </c>
      <c r="U249" s="1" t="s">
        <v>11755</v>
      </c>
      <c r="V249" s="1" t="s">
        <v>11756</v>
      </c>
      <c r="W249" s="1" t="s">
        <v>11757</v>
      </c>
      <c r="X249" s="1" t="s">
        <v>11758</v>
      </c>
      <c r="Y249" s="1" t="s">
        <v>11759</v>
      </c>
      <c r="Z249" s="1" t="s">
        <v>11760</v>
      </c>
      <c r="AA249" s="1" t="s">
        <v>11761</v>
      </c>
      <c r="AB249" s="1" t="s">
        <v>16006</v>
      </c>
      <c r="AC249" s="1" t="s">
        <v>16007</v>
      </c>
      <c r="AD249" s="1" t="s">
        <v>1507</v>
      </c>
      <c r="AE249" s="1" t="s">
        <v>1507</v>
      </c>
      <c r="AF249" s="1" t="s">
        <v>1507</v>
      </c>
      <c r="AG249" s="1" t="s">
        <v>1507</v>
      </c>
      <c r="AH249" s="1">
        <v>39</v>
      </c>
      <c r="AI249" s="1">
        <v>33</v>
      </c>
      <c r="AJ249" s="1">
        <v>36</v>
      </c>
      <c r="AK249" s="1">
        <v>1</v>
      </c>
      <c r="AL249" s="1">
        <v>6</v>
      </c>
      <c r="AM249" s="1" t="s">
        <v>11762</v>
      </c>
      <c r="AN249" s="1" t="s">
        <v>1551</v>
      </c>
      <c r="AO249" s="1" t="s">
        <v>11763</v>
      </c>
      <c r="AP249" s="1" t="s">
        <v>11764</v>
      </c>
      <c r="AQ249" s="1" t="s">
        <v>11765</v>
      </c>
      <c r="AR249" s="1" t="s">
        <v>1507</v>
      </c>
      <c r="AS249" s="1" t="s">
        <v>11766</v>
      </c>
      <c r="AT249" s="1" t="s">
        <v>11767</v>
      </c>
      <c r="AU249" s="1" t="s">
        <v>11768</v>
      </c>
      <c r="AV249" s="1">
        <v>2018</v>
      </c>
      <c r="AW249" s="1">
        <v>11</v>
      </c>
      <c r="AX249" s="1">
        <v>3</v>
      </c>
      <c r="AY249" s="1" t="s">
        <v>1507</v>
      </c>
      <c r="AZ249" s="1" t="s">
        <v>1507</v>
      </c>
      <c r="BA249" s="1" t="s">
        <v>1507</v>
      </c>
      <c r="BB249" s="1" t="s">
        <v>1507</v>
      </c>
      <c r="BC249" s="1">
        <v>331</v>
      </c>
      <c r="BD249" s="1">
        <v>338</v>
      </c>
      <c r="BE249" s="1" t="s">
        <v>1507</v>
      </c>
      <c r="BF249" s="1" t="s">
        <v>11769</v>
      </c>
      <c r="BG249" s="1" t="str">
        <f>HYPERLINK("http://dx.doi.org/10.1016/j.jiph.2017.00.022","http://dx.doi.org/10.1016/j.jiph.2017.00.022")</f>
        <v>http://dx.doi.org/10.1016/j.jiph.2017.00.022</v>
      </c>
      <c r="BH249" s="1" t="s">
        <v>1507</v>
      </c>
      <c r="BI249" s="1" t="s">
        <v>1507</v>
      </c>
      <c r="BJ249" s="1">
        <v>8</v>
      </c>
      <c r="BK249" s="1" t="s">
        <v>11770</v>
      </c>
      <c r="BL249" s="1" t="s">
        <v>1573</v>
      </c>
      <c r="BM249" s="1" t="s">
        <v>11770</v>
      </c>
      <c r="BN249" s="1" t="s">
        <v>11771</v>
      </c>
      <c r="BO249" s="1">
        <v>28993171</v>
      </c>
      <c r="BP249" s="1" t="s">
        <v>1507</v>
      </c>
      <c r="BQ249" s="1" t="s">
        <v>1507</v>
      </c>
      <c r="BR249" s="1" t="s">
        <v>1507</v>
      </c>
      <c r="BS249" s="1" t="s">
        <v>13744</v>
      </c>
      <c r="BT249" s="1" t="s">
        <v>11772</v>
      </c>
      <c r="BU249" s="1" t="str">
        <f>HYPERLINK("https%3A%2F%2Fwww.webofscience.com%2Fwos%2Fwoscc%2Ffull-record%2FWOS:000432468400008","View Full Record in Web of Science")</f>
        <v>View Full Record in Web of Science</v>
      </c>
    </row>
    <row r="250" spans="1:73" x14ac:dyDescent="0.25">
      <c r="A250" s="1">
        <v>278</v>
      </c>
      <c r="B250" s="1" t="s">
        <v>1506</v>
      </c>
      <c r="C250" s="1" t="s">
        <v>2808</v>
      </c>
      <c r="D250" s="1" t="s">
        <v>1507</v>
      </c>
      <c r="E250" s="1" t="s">
        <v>1507</v>
      </c>
      <c r="F250" s="1" t="s">
        <v>1507</v>
      </c>
      <c r="G250" s="1" t="s">
        <v>2809</v>
      </c>
      <c r="H250" s="1" t="s">
        <v>1507</v>
      </c>
      <c r="I250" s="1" t="s">
        <v>1507</v>
      </c>
      <c r="J250" s="1" t="s">
        <v>2810</v>
      </c>
      <c r="K250" s="1" t="s">
        <v>2811</v>
      </c>
      <c r="L250" s="1" t="s">
        <v>1507</v>
      </c>
      <c r="M250" s="1" t="s">
        <v>1507</v>
      </c>
      <c r="N250" s="1" t="s">
        <v>42</v>
      </c>
      <c r="O250" s="1" t="s">
        <v>56</v>
      </c>
      <c r="P250" s="1" t="s">
        <v>1507</v>
      </c>
      <c r="Q250" s="1" t="s">
        <v>1507</v>
      </c>
      <c r="R250" s="1" t="s">
        <v>1507</v>
      </c>
      <c r="S250" s="1" t="s">
        <v>1507</v>
      </c>
      <c r="T250" s="1" t="s">
        <v>1507</v>
      </c>
      <c r="U250" s="1" t="s">
        <v>2812</v>
      </c>
      <c r="V250" s="1" t="s">
        <v>2813</v>
      </c>
      <c r="W250" s="1" t="s">
        <v>2814</v>
      </c>
      <c r="X250" s="1" t="s">
        <v>2815</v>
      </c>
      <c r="Y250" s="1" t="s">
        <v>2816</v>
      </c>
      <c r="Z250" s="1" t="s">
        <v>2817</v>
      </c>
      <c r="AA250" s="1" t="s">
        <v>2818</v>
      </c>
      <c r="AB250" s="1" t="s">
        <v>1590</v>
      </c>
      <c r="AC250" s="1" t="s">
        <v>1507</v>
      </c>
      <c r="AD250" s="1" t="s">
        <v>2819</v>
      </c>
      <c r="AE250" s="1" t="s">
        <v>2820</v>
      </c>
      <c r="AF250" s="1" t="s">
        <v>2821</v>
      </c>
      <c r="AG250" s="1" t="s">
        <v>1507</v>
      </c>
      <c r="AH250" s="1">
        <v>172</v>
      </c>
      <c r="AI250" s="1">
        <v>2</v>
      </c>
      <c r="AJ250" s="1">
        <v>2</v>
      </c>
      <c r="AK250" s="1">
        <v>13</v>
      </c>
      <c r="AL250" s="1">
        <v>13</v>
      </c>
      <c r="AM250" s="1" t="s">
        <v>1559</v>
      </c>
      <c r="AN250" s="1" t="s">
        <v>1560</v>
      </c>
      <c r="AO250" s="1" t="s">
        <v>1561</v>
      </c>
      <c r="AP250" s="1" t="s">
        <v>2822</v>
      </c>
      <c r="AQ250" s="1" t="s">
        <v>2823</v>
      </c>
      <c r="AR250" s="1" t="s">
        <v>1507</v>
      </c>
      <c r="AS250" s="1" t="s">
        <v>2824</v>
      </c>
      <c r="AT250" s="1" t="s">
        <v>2825</v>
      </c>
      <c r="AU250" s="1" t="s">
        <v>2771</v>
      </c>
      <c r="AV250" s="1">
        <v>2023</v>
      </c>
      <c r="AW250" s="1">
        <v>47</v>
      </c>
      <c r="AX250" s="1">
        <v>11</v>
      </c>
      <c r="AY250" s="1" t="s">
        <v>1507</v>
      </c>
      <c r="AZ250" s="1" t="s">
        <v>1507</v>
      </c>
      <c r="BA250" s="1" t="s">
        <v>1507</v>
      </c>
      <c r="BB250" s="1" t="s">
        <v>1507</v>
      </c>
      <c r="BC250" s="1" t="s">
        <v>1507</v>
      </c>
      <c r="BD250" s="1" t="s">
        <v>1507</v>
      </c>
      <c r="BE250" s="1" t="s">
        <v>2826</v>
      </c>
      <c r="BF250" s="1" t="s">
        <v>2827</v>
      </c>
      <c r="BG250" s="1" t="str">
        <f>HYPERLINK("http://dx.doi.org/10.1111/cogs.13386","http://dx.doi.org/10.1111/cogs.13386")</f>
        <v>http://dx.doi.org/10.1111/cogs.13386</v>
      </c>
      <c r="BH250" s="1" t="s">
        <v>1507</v>
      </c>
      <c r="BI250" s="1" t="s">
        <v>1507</v>
      </c>
      <c r="BJ250" s="1">
        <v>40</v>
      </c>
      <c r="BK250" s="1" t="s">
        <v>2828</v>
      </c>
      <c r="BL250" s="1" t="s">
        <v>1518</v>
      </c>
      <c r="BM250" s="1" t="s">
        <v>1519</v>
      </c>
      <c r="BN250" s="1" t="s">
        <v>2829</v>
      </c>
      <c r="BO250" s="1">
        <v>38009752</v>
      </c>
      <c r="BP250" s="1" t="s">
        <v>2574</v>
      </c>
      <c r="BQ250" s="1" t="s">
        <v>1507</v>
      </c>
      <c r="BR250" s="1" t="s">
        <v>1507</v>
      </c>
      <c r="BS250" s="1" t="s">
        <v>13744</v>
      </c>
      <c r="BT250" s="1" t="s">
        <v>2830</v>
      </c>
      <c r="BU250" s="1" t="str">
        <f>HYPERLINK("https%3A%2F%2Fwww.webofscience.com%2Fwos%2Fwoscc%2Ffull-record%2FWOS:001108816900001","View Full Record in Web of Science")</f>
        <v>View Full Record in Web of Science</v>
      </c>
    </row>
    <row r="251" spans="1:73" x14ac:dyDescent="0.25">
      <c r="A251" s="1">
        <v>279</v>
      </c>
      <c r="B251" s="1" t="s">
        <v>1506</v>
      </c>
      <c r="C251" s="1" t="s">
        <v>10329</v>
      </c>
      <c r="D251" s="1" t="s">
        <v>1507</v>
      </c>
      <c r="E251" s="1" t="s">
        <v>1507</v>
      </c>
      <c r="F251" s="1" t="s">
        <v>1507</v>
      </c>
      <c r="G251" s="1" t="s">
        <v>10330</v>
      </c>
      <c r="H251" s="1" t="s">
        <v>1507</v>
      </c>
      <c r="I251" s="1" t="s">
        <v>1507</v>
      </c>
      <c r="J251" s="1" t="s">
        <v>10331</v>
      </c>
      <c r="K251" s="1" t="s">
        <v>10332</v>
      </c>
      <c r="L251" s="1" t="s">
        <v>1507</v>
      </c>
      <c r="M251" s="1" t="s">
        <v>1507</v>
      </c>
      <c r="N251" s="1" t="s">
        <v>42</v>
      </c>
      <c r="O251" s="1" t="s">
        <v>56</v>
      </c>
      <c r="P251" s="1" t="s">
        <v>1507</v>
      </c>
      <c r="Q251" s="1" t="s">
        <v>1507</v>
      </c>
      <c r="R251" s="1" t="s">
        <v>1507</v>
      </c>
      <c r="S251" s="1" t="s">
        <v>1507</v>
      </c>
      <c r="T251" s="1" t="s">
        <v>1507</v>
      </c>
      <c r="U251" s="1" t="s">
        <v>10333</v>
      </c>
      <c r="V251" s="1" t="s">
        <v>10334</v>
      </c>
      <c r="W251" s="1" t="s">
        <v>10335</v>
      </c>
      <c r="X251" s="1" t="s">
        <v>10336</v>
      </c>
      <c r="Y251" s="1" t="s">
        <v>15847</v>
      </c>
      <c r="Z251" s="1" t="s">
        <v>10337</v>
      </c>
      <c r="AA251" s="1" t="s">
        <v>10338</v>
      </c>
      <c r="AB251" s="1" t="s">
        <v>15848</v>
      </c>
      <c r="AC251" s="1" t="s">
        <v>15849</v>
      </c>
      <c r="AD251" s="1" t="s">
        <v>10339</v>
      </c>
      <c r="AE251" s="1" t="s">
        <v>10340</v>
      </c>
      <c r="AF251" s="1" t="s">
        <v>10341</v>
      </c>
      <c r="AG251" s="1" t="s">
        <v>1507</v>
      </c>
      <c r="AH251" s="1">
        <v>47</v>
      </c>
      <c r="AI251" s="1">
        <v>14</v>
      </c>
      <c r="AJ251" s="1">
        <v>14</v>
      </c>
      <c r="AK251" s="1">
        <v>0</v>
      </c>
      <c r="AL251" s="1">
        <v>0</v>
      </c>
      <c r="AM251" s="1" t="s">
        <v>1559</v>
      </c>
      <c r="AN251" s="1" t="s">
        <v>1560</v>
      </c>
      <c r="AO251" s="1" t="s">
        <v>1561</v>
      </c>
      <c r="AP251" s="1" t="s">
        <v>1507</v>
      </c>
      <c r="AQ251" s="1" t="s">
        <v>10342</v>
      </c>
      <c r="AR251" s="1" t="s">
        <v>1507</v>
      </c>
      <c r="AS251" s="1" t="s">
        <v>10343</v>
      </c>
      <c r="AT251" s="1" t="s">
        <v>10344</v>
      </c>
      <c r="AU251" s="1" t="s">
        <v>1507</v>
      </c>
      <c r="AV251" s="1">
        <v>2020</v>
      </c>
      <c r="AW251" s="1">
        <v>9</v>
      </c>
      <c r="AX251" s="1">
        <v>2</v>
      </c>
      <c r="AY251" s="1" t="s">
        <v>1507</v>
      </c>
      <c r="AZ251" s="1" t="s">
        <v>1507</v>
      </c>
      <c r="BA251" s="1" t="s">
        <v>1507</v>
      </c>
      <c r="BB251" s="1" t="s">
        <v>1507</v>
      </c>
      <c r="BC251" s="1" t="s">
        <v>1507</v>
      </c>
      <c r="BD251" s="1" t="s">
        <v>1507</v>
      </c>
      <c r="BE251" s="1" t="s">
        <v>10345</v>
      </c>
      <c r="BF251" s="1" t="s">
        <v>10346</v>
      </c>
      <c r="BG251" s="1" t="str">
        <f>HYPERLINK("http://dx.doi.org/10.1002/cti2.1107","http://dx.doi.org/10.1002/cti2.1107")</f>
        <v>http://dx.doi.org/10.1002/cti2.1107</v>
      </c>
      <c r="BH251" s="1" t="s">
        <v>1507</v>
      </c>
      <c r="BI251" s="1" t="s">
        <v>1507</v>
      </c>
      <c r="BJ251" s="1">
        <v>18</v>
      </c>
      <c r="BK251" s="1" t="s">
        <v>9653</v>
      </c>
      <c r="BL251" s="1" t="s">
        <v>1573</v>
      </c>
      <c r="BM251" s="1" t="s">
        <v>9653</v>
      </c>
      <c r="BN251" s="1" t="s">
        <v>10347</v>
      </c>
      <c r="BO251" s="1">
        <v>32025302</v>
      </c>
      <c r="BP251" s="1" t="s">
        <v>1674</v>
      </c>
      <c r="BQ251" s="1" t="s">
        <v>1507</v>
      </c>
      <c r="BR251" s="1" t="s">
        <v>1507</v>
      </c>
      <c r="BS251" s="1" t="s">
        <v>13744</v>
      </c>
      <c r="BT251" s="1" t="s">
        <v>10348</v>
      </c>
      <c r="BU251" s="1" t="str">
        <f>HYPERLINK("https%3A%2F%2Fwww.webofscience.com%2Fwos%2Fwoscc%2Ffull-record%2FWOS:000519748300009","View Full Record in Web of Science")</f>
        <v>View Full Record in Web of Science</v>
      </c>
    </row>
    <row r="252" spans="1:73" x14ac:dyDescent="0.25">
      <c r="A252" s="1">
        <v>280</v>
      </c>
      <c r="B252" s="1" t="s">
        <v>1506</v>
      </c>
      <c r="C252" s="1" t="s">
        <v>6719</v>
      </c>
      <c r="D252" s="1" t="s">
        <v>1507</v>
      </c>
      <c r="E252" s="1" t="s">
        <v>1507</v>
      </c>
      <c r="F252" s="1" t="s">
        <v>1507</v>
      </c>
      <c r="G252" s="1" t="s">
        <v>6720</v>
      </c>
      <c r="H252" s="1" t="s">
        <v>1507</v>
      </c>
      <c r="I252" s="1" t="s">
        <v>1507</v>
      </c>
      <c r="J252" s="1" t="s">
        <v>943</v>
      </c>
      <c r="K252" s="1" t="s">
        <v>6721</v>
      </c>
      <c r="L252" s="1" t="s">
        <v>1507</v>
      </c>
      <c r="M252" s="1" t="s">
        <v>1507</v>
      </c>
      <c r="N252" s="1" t="s">
        <v>42</v>
      </c>
      <c r="O252" s="1" t="s">
        <v>56</v>
      </c>
      <c r="P252" s="1" t="s">
        <v>1507</v>
      </c>
      <c r="Q252" s="1" t="s">
        <v>1507</v>
      </c>
      <c r="R252" s="1" t="s">
        <v>1507</v>
      </c>
      <c r="S252" s="1" t="s">
        <v>1507</v>
      </c>
      <c r="T252" s="1" t="s">
        <v>1507</v>
      </c>
      <c r="U252" s="1" t="s">
        <v>949</v>
      </c>
      <c r="V252" s="1" t="s">
        <v>6722</v>
      </c>
      <c r="W252" s="1" t="s">
        <v>6723</v>
      </c>
      <c r="X252" s="1" t="s">
        <v>6724</v>
      </c>
      <c r="Y252" s="1" t="s">
        <v>6725</v>
      </c>
      <c r="Z252" s="1" t="s">
        <v>6726</v>
      </c>
      <c r="AA252" s="1" t="s">
        <v>6727</v>
      </c>
      <c r="AB252" s="1" t="s">
        <v>15543</v>
      </c>
      <c r="AC252" s="1" t="s">
        <v>6728</v>
      </c>
      <c r="AD252" s="1" t="s">
        <v>1507</v>
      </c>
      <c r="AE252" s="1" t="s">
        <v>1507</v>
      </c>
      <c r="AF252" s="1" t="s">
        <v>1507</v>
      </c>
      <c r="AG252" s="1" t="s">
        <v>1507</v>
      </c>
      <c r="AH252" s="1">
        <v>100</v>
      </c>
      <c r="AI252" s="1">
        <v>5</v>
      </c>
      <c r="AJ252" s="1">
        <v>5</v>
      </c>
      <c r="AK252" s="1">
        <v>11</v>
      </c>
      <c r="AL252" s="1">
        <v>30</v>
      </c>
      <c r="AM252" s="1" t="s">
        <v>6729</v>
      </c>
      <c r="AN252" s="1" t="s">
        <v>2300</v>
      </c>
      <c r="AO252" s="1" t="s">
        <v>6730</v>
      </c>
      <c r="AP252" s="1" t="s">
        <v>6731</v>
      </c>
      <c r="AQ252" s="1" t="s">
        <v>6732</v>
      </c>
      <c r="AR252" s="1" t="s">
        <v>1507</v>
      </c>
      <c r="AS252" s="1" t="s">
        <v>6733</v>
      </c>
      <c r="AT252" s="1" t="s">
        <v>952</v>
      </c>
      <c r="AU252" s="1" t="s">
        <v>1616</v>
      </c>
      <c r="AV252" s="1">
        <v>2023</v>
      </c>
      <c r="AW252" s="1">
        <v>112</v>
      </c>
      <c r="AX252" s="1">
        <v>1</v>
      </c>
      <c r="AY252" s="1" t="s">
        <v>1507</v>
      </c>
      <c r="AZ252" s="1" t="s">
        <v>1507</v>
      </c>
      <c r="BA252" s="1" t="s">
        <v>1507</v>
      </c>
      <c r="BB252" s="1" t="s">
        <v>1507</v>
      </c>
      <c r="BC252" s="1">
        <v>90</v>
      </c>
      <c r="BD252" s="1">
        <v>107</v>
      </c>
      <c r="BE252" s="1" t="s">
        <v>1507</v>
      </c>
      <c r="BF252" s="1" t="s">
        <v>945</v>
      </c>
      <c r="BG252" s="1" t="str">
        <f>HYPERLINK("http://dx.doi.org/10.1002/jee.20499","http://dx.doi.org/10.1002/jee.20499")</f>
        <v>http://dx.doi.org/10.1002/jee.20499</v>
      </c>
      <c r="BH252" s="1" t="s">
        <v>1507</v>
      </c>
      <c r="BI252" s="1" t="s">
        <v>6734</v>
      </c>
      <c r="BJ252" s="1">
        <v>18</v>
      </c>
      <c r="BK252" s="1" t="s">
        <v>6735</v>
      </c>
      <c r="BL252" s="1" t="s">
        <v>1598</v>
      </c>
      <c r="BM252" s="1" t="s">
        <v>6736</v>
      </c>
      <c r="BN252" s="1" t="s">
        <v>6737</v>
      </c>
      <c r="BO252" s="1" t="s">
        <v>1507</v>
      </c>
      <c r="BP252" s="1" t="s">
        <v>15544</v>
      </c>
      <c r="BQ252" s="1" t="s">
        <v>1507</v>
      </c>
      <c r="BR252" s="1" t="s">
        <v>1507</v>
      </c>
      <c r="BS252" s="1" t="s">
        <v>13744</v>
      </c>
      <c r="BT252" s="1" t="s">
        <v>6738</v>
      </c>
      <c r="BU252" s="1" t="str">
        <f>HYPERLINK("https%3A%2F%2Fwww.webofscience.com%2Fwos%2Fwoscc%2Ffull-record%2FWOS:000905689200001","View Full Record in Web of Science")</f>
        <v>View Full Record in Web of Science</v>
      </c>
    </row>
    <row r="253" spans="1:73" x14ac:dyDescent="0.25">
      <c r="A253" s="1">
        <v>281</v>
      </c>
      <c r="B253" s="1" t="s">
        <v>5546</v>
      </c>
      <c r="C253" s="1" t="s">
        <v>6051</v>
      </c>
      <c r="D253" s="1" t="s">
        <v>1507</v>
      </c>
      <c r="E253" s="1" t="s">
        <v>1507</v>
      </c>
      <c r="F253" s="1" t="s">
        <v>5548</v>
      </c>
      <c r="G253" s="1" t="s">
        <v>6052</v>
      </c>
      <c r="H253" s="1" t="s">
        <v>1507</v>
      </c>
      <c r="I253" s="1" t="s">
        <v>1507</v>
      </c>
      <c r="J253" s="1" t="s">
        <v>6053</v>
      </c>
      <c r="K253" s="1" t="s">
        <v>6054</v>
      </c>
      <c r="L253" s="1" t="s">
        <v>1507</v>
      </c>
      <c r="M253" s="1" t="s">
        <v>1507</v>
      </c>
      <c r="N253" s="1" t="s">
        <v>42</v>
      </c>
      <c r="O253" s="1" t="s">
        <v>5552</v>
      </c>
      <c r="P253" s="1" t="s">
        <v>6055</v>
      </c>
      <c r="Q253" s="1" t="s">
        <v>6056</v>
      </c>
      <c r="R253" s="1" t="s">
        <v>6057</v>
      </c>
      <c r="S253" s="1" t="s">
        <v>6058</v>
      </c>
      <c r="T253" s="1" t="s">
        <v>1507</v>
      </c>
      <c r="U253" s="1" t="s">
        <v>6059</v>
      </c>
      <c r="V253" s="1" t="s">
        <v>6060</v>
      </c>
      <c r="W253" s="1" t="s">
        <v>6061</v>
      </c>
      <c r="X253" s="1" t="s">
        <v>6062</v>
      </c>
      <c r="Y253" s="1" t="s">
        <v>6063</v>
      </c>
      <c r="Z253" s="1" t="s">
        <v>6064</v>
      </c>
      <c r="AA253" s="1" t="s">
        <v>6065</v>
      </c>
      <c r="AB253" s="1" t="s">
        <v>1507</v>
      </c>
      <c r="AC253" s="1" t="s">
        <v>15088</v>
      </c>
      <c r="AD253" s="1" t="s">
        <v>1507</v>
      </c>
      <c r="AE253" s="1" t="s">
        <v>1507</v>
      </c>
      <c r="AF253" s="1" t="s">
        <v>1507</v>
      </c>
      <c r="AG253" s="1" t="s">
        <v>1507</v>
      </c>
      <c r="AH253" s="1">
        <v>94</v>
      </c>
      <c r="AI253" s="1">
        <v>20</v>
      </c>
      <c r="AJ253" s="1">
        <v>20</v>
      </c>
      <c r="AK253" s="1">
        <v>25</v>
      </c>
      <c r="AL253" s="1">
        <v>25</v>
      </c>
      <c r="AM253" s="1" t="s">
        <v>5565</v>
      </c>
      <c r="AN253" s="1" t="s">
        <v>1512</v>
      </c>
      <c r="AO253" s="1" t="s">
        <v>5566</v>
      </c>
      <c r="AP253" s="1" t="s">
        <v>1507</v>
      </c>
      <c r="AQ253" s="1" t="s">
        <v>1507</v>
      </c>
      <c r="AR253" s="1" t="s">
        <v>6066</v>
      </c>
      <c r="AS253" s="1" t="s">
        <v>1507</v>
      </c>
      <c r="AT253" s="1" t="s">
        <v>1507</v>
      </c>
      <c r="AU253" s="1" t="s">
        <v>1507</v>
      </c>
      <c r="AV253" s="1">
        <v>2023</v>
      </c>
      <c r="AW253" s="1" t="s">
        <v>1507</v>
      </c>
      <c r="AX253" s="1" t="s">
        <v>1507</v>
      </c>
      <c r="AY253" s="1" t="s">
        <v>1507</v>
      </c>
      <c r="AZ253" s="1" t="s">
        <v>1507</v>
      </c>
      <c r="BA253" s="1" t="s">
        <v>1507</v>
      </c>
      <c r="BB253" s="1" t="s">
        <v>1507</v>
      </c>
      <c r="BC253" s="1" t="s">
        <v>1507</v>
      </c>
      <c r="BD253" s="1" t="s">
        <v>1507</v>
      </c>
      <c r="BE253" s="1" t="s">
        <v>1507</v>
      </c>
      <c r="BF253" s="1" t="s">
        <v>6067</v>
      </c>
      <c r="BG253" s="1" t="str">
        <f>HYPERLINK("http://dx.doi.org/10.1145/3544548.3580919","http://dx.doi.org/10.1145/3544548.3580919")</f>
        <v>http://dx.doi.org/10.1145/3544548.3580919</v>
      </c>
      <c r="BH253" s="1" t="s">
        <v>1507</v>
      </c>
      <c r="BI253" s="1" t="s">
        <v>1507</v>
      </c>
      <c r="BJ253" s="1">
        <v>23</v>
      </c>
      <c r="BK253" s="1" t="s">
        <v>6068</v>
      </c>
      <c r="BL253" s="1" t="s">
        <v>5570</v>
      </c>
      <c r="BM253" s="1" t="s">
        <v>2194</v>
      </c>
      <c r="BN253" s="1" t="s">
        <v>6069</v>
      </c>
      <c r="BO253" s="1" t="s">
        <v>1507</v>
      </c>
      <c r="BP253" s="1" t="s">
        <v>1600</v>
      </c>
      <c r="BQ253" s="1" t="s">
        <v>1507</v>
      </c>
      <c r="BR253" s="1" t="s">
        <v>1507</v>
      </c>
      <c r="BS253" s="1" t="s">
        <v>13744</v>
      </c>
      <c r="BT253" s="1" t="s">
        <v>6070</v>
      </c>
      <c r="BU253" s="1" t="str">
        <f>HYPERLINK("https%3A%2F%2Fwww.webofscience.com%2Fwos%2Fwoscc%2Ffull-record%2FWOS:001037809504017","View Full Record in Web of Science")</f>
        <v>View Full Record in Web of Science</v>
      </c>
    </row>
    <row r="254" spans="1:73" x14ac:dyDescent="0.25">
      <c r="A254" s="1">
        <v>282</v>
      </c>
      <c r="B254" s="1" t="s">
        <v>1506</v>
      </c>
      <c r="C254" s="1" t="s">
        <v>6071</v>
      </c>
      <c r="D254" s="1" t="s">
        <v>1507</v>
      </c>
      <c r="E254" s="1" t="s">
        <v>1507</v>
      </c>
      <c r="F254" s="1" t="s">
        <v>1507</v>
      </c>
      <c r="G254" s="1" t="s">
        <v>6072</v>
      </c>
      <c r="H254" s="1" t="s">
        <v>1507</v>
      </c>
      <c r="I254" s="1" t="s">
        <v>1507</v>
      </c>
      <c r="J254" s="1" t="s">
        <v>6073</v>
      </c>
      <c r="K254" s="1" t="s">
        <v>6074</v>
      </c>
      <c r="L254" s="1" t="s">
        <v>1507</v>
      </c>
      <c r="M254" s="1" t="s">
        <v>1507</v>
      </c>
      <c r="N254" s="1" t="s">
        <v>42</v>
      </c>
      <c r="O254" s="1" t="s">
        <v>56</v>
      </c>
      <c r="P254" s="1" t="s">
        <v>1507</v>
      </c>
      <c r="Q254" s="1" t="s">
        <v>1507</v>
      </c>
      <c r="R254" s="1" t="s">
        <v>1507</v>
      </c>
      <c r="S254" s="1" t="s">
        <v>1507</v>
      </c>
      <c r="T254" s="1" t="s">
        <v>1507</v>
      </c>
      <c r="U254" s="1" t="s">
        <v>1507</v>
      </c>
      <c r="V254" s="1" t="s">
        <v>1507</v>
      </c>
      <c r="W254" s="1" t="s">
        <v>1507</v>
      </c>
      <c r="X254" s="1" t="s">
        <v>6075</v>
      </c>
      <c r="Y254" s="1" t="s">
        <v>6076</v>
      </c>
      <c r="Z254" s="1" t="s">
        <v>6077</v>
      </c>
      <c r="AA254" s="1" t="s">
        <v>1507</v>
      </c>
      <c r="AB254" s="1" t="s">
        <v>1507</v>
      </c>
      <c r="AC254" s="1" t="s">
        <v>1507</v>
      </c>
      <c r="AD254" s="1" t="s">
        <v>1507</v>
      </c>
      <c r="AE254" s="1" t="s">
        <v>1507</v>
      </c>
      <c r="AF254" s="1" t="s">
        <v>1507</v>
      </c>
      <c r="AG254" s="1" t="s">
        <v>1507</v>
      </c>
      <c r="AH254" s="1">
        <v>29</v>
      </c>
      <c r="AI254" s="1">
        <v>0</v>
      </c>
      <c r="AJ254" s="1">
        <v>0</v>
      </c>
      <c r="AK254" s="1">
        <v>0</v>
      </c>
      <c r="AL254" s="1">
        <v>0</v>
      </c>
      <c r="AM254" s="1" t="s">
        <v>6078</v>
      </c>
      <c r="AN254" s="1" t="s">
        <v>6079</v>
      </c>
      <c r="AO254" s="1" t="s">
        <v>6080</v>
      </c>
      <c r="AP254" s="1" t="s">
        <v>6081</v>
      </c>
      <c r="AQ254" s="1" t="s">
        <v>6082</v>
      </c>
      <c r="AR254" s="1" t="s">
        <v>1507</v>
      </c>
      <c r="AS254" s="1" t="s">
        <v>6083</v>
      </c>
      <c r="AT254" s="1" t="s">
        <v>6084</v>
      </c>
      <c r="AU254" s="1" t="s">
        <v>1507</v>
      </c>
      <c r="AV254" s="1">
        <v>2023</v>
      </c>
      <c r="AW254" s="1">
        <v>84</v>
      </c>
      <c r="AX254" s="1">
        <v>5</v>
      </c>
      <c r="AY254" s="1" t="s">
        <v>1507</v>
      </c>
      <c r="AZ254" s="1" t="s">
        <v>1507</v>
      </c>
      <c r="BA254" s="1" t="s">
        <v>1507</v>
      </c>
      <c r="BB254" s="1" t="s">
        <v>1507</v>
      </c>
      <c r="BC254" s="1">
        <v>1</v>
      </c>
      <c r="BD254" s="1">
        <v>12</v>
      </c>
      <c r="BE254" s="1" t="s">
        <v>1507</v>
      </c>
      <c r="BF254" s="1" t="s">
        <v>6085</v>
      </c>
      <c r="BG254" s="1" t="str">
        <f>HYPERLINK("http://dx.doi.org/10.5195/lawreview.2023.917","http://dx.doi.org/10.5195/lawreview.2023.917")</f>
        <v>http://dx.doi.org/10.5195/lawreview.2023.917</v>
      </c>
      <c r="BH254" s="1" t="s">
        <v>1507</v>
      </c>
      <c r="BI254" s="1" t="s">
        <v>1507</v>
      </c>
      <c r="BJ254" s="1">
        <v>13</v>
      </c>
      <c r="BK254" s="1" t="s">
        <v>1535</v>
      </c>
      <c r="BL254" s="1" t="s">
        <v>1518</v>
      </c>
      <c r="BM254" s="1" t="s">
        <v>1536</v>
      </c>
      <c r="BN254" s="1" t="s">
        <v>6086</v>
      </c>
      <c r="BO254" s="1" t="s">
        <v>1507</v>
      </c>
      <c r="BP254" s="1" t="s">
        <v>1531</v>
      </c>
      <c r="BQ254" s="1" t="s">
        <v>1507</v>
      </c>
      <c r="BR254" s="1" t="s">
        <v>1507</v>
      </c>
      <c r="BS254" s="1" t="s">
        <v>13744</v>
      </c>
      <c r="BT254" s="1" t="s">
        <v>6087</v>
      </c>
      <c r="BU254" s="1" t="str">
        <f>HYPERLINK("https%3A%2F%2Fwww.webofscience.com%2Fwos%2Fwoscc%2Ffull-record%2FWOS:000957586000001","View Full Record in Web of Science")</f>
        <v>View Full Record in Web of Science</v>
      </c>
    </row>
    <row r="255" spans="1:73" x14ac:dyDescent="0.25">
      <c r="A255" s="1">
        <v>283</v>
      </c>
      <c r="B255" s="1" t="s">
        <v>1506</v>
      </c>
      <c r="C255" s="1" t="s">
        <v>10206</v>
      </c>
      <c r="D255" s="1" t="s">
        <v>1507</v>
      </c>
      <c r="E255" s="1" t="s">
        <v>1507</v>
      </c>
      <c r="F255" s="1" t="s">
        <v>1507</v>
      </c>
      <c r="G255" s="1" t="s">
        <v>10207</v>
      </c>
      <c r="H255" s="1" t="s">
        <v>1507</v>
      </c>
      <c r="I255" s="1" t="s">
        <v>1507</v>
      </c>
      <c r="J255" s="1" t="s">
        <v>10208</v>
      </c>
      <c r="K255" s="1" t="s">
        <v>2087</v>
      </c>
      <c r="L255" s="1" t="s">
        <v>1507</v>
      </c>
      <c r="M255" s="1" t="s">
        <v>1507</v>
      </c>
      <c r="N255" s="1" t="s">
        <v>42</v>
      </c>
      <c r="O255" s="1" t="s">
        <v>56</v>
      </c>
      <c r="P255" s="1" t="s">
        <v>1507</v>
      </c>
      <c r="Q255" s="1" t="s">
        <v>1507</v>
      </c>
      <c r="R255" s="1" t="s">
        <v>1507</v>
      </c>
      <c r="S255" s="1" t="s">
        <v>1507</v>
      </c>
      <c r="T255" s="1" t="s">
        <v>1507</v>
      </c>
      <c r="U255" s="1" t="s">
        <v>10209</v>
      </c>
      <c r="V255" s="1" t="s">
        <v>10210</v>
      </c>
      <c r="W255" s="1" t="s">
        <v>10211</v>
      </c>
      <c r="X255" s="1" t="s">
        <v>10212</v>
      </c>
      <c r="Y255" s="1" t="s">
        <v>10213</v>
      </c>
      <c r="Z255" s="1" t="s">
        <v>10214</v>
      </c>
      <c r="AA255" s="1" t="s">
        <v>10215</v>
      </c>
      <c r="AB255" s="1" t="s">
        <v>1507</v>
      </c>
      <c r="AC255" s="1" t="s">
        <v>10216</v>
      </c>
      <c r="AD255" s="1" t="s">
        <v>10217</v>
      </c>
      <c r="AE255" s="1" t="s">
        <v>10218</v>
      </c>
      <c r="AF255" s="1" t="s">
        <v>10219</v>
      </c>
      <c r="AG255" s="1" t="s">
        <v>1507</v>
      </c>
      <c r="AH255" s="1">
        <v>62</v>
      </c>
      <c r="AI255" s="1">
        <v>14</v>
      </c>
      <c r="AJ255" s="1">
        <v>14</v>
      </c>
      <c r="AK255" s="1">
        <v>0</v>
      </c>
      <c r="AL255" s="1">
        <v>3</v>
      </c>
      <c r="AM255" s="1" t="s">
        <v>1511</v>
      </c>
      <c r="AN255" s="1" t="s">
        <v>1512</v>
      </c>
      <c r="AO255" s="1" t="s">
        <v>1513</v>
      </c>
      <c r="AP255" s="1" t="s">
        <v>2098</v>
      </c>
      <c r="AQ255" s="1" t="s">
        <v>1507</v>
      </c>
      <c r="AR255" s="1" t="s">
        <v>1507</v>
      </c>
      <c r="AS255" s="1" t="s">
        <v>2099</v>
      </c>
      <c r="AT255" s="1" t="s">
        <v>2100</v>
      </c>
      <c r="AU255" s="1" t="s">
        <v>1552</v>
      </c>
      <c r="AV255" s="1">
        <v>2020</v>
      </c>
      <c r="AW255" s="1" t="s">
        <v>1507</v>
      </c>
      <c r="AX255" s="1">
        <v>1</v>
      </c>
      <c r="AY255" s="1" t="s">
        <v>1507</v>
      </c>
      <c r="AZ255" s="1" t="s">
        <v>1507</v>
      </c>
      <c r="BA255" s="1" t="s">
        <v>1507</v>
      </c>
      <c r="BB255" s="1" t="s">
        <v>1507</v>
      </c>
      <c r="BC255" s="1" t="s">
        <v>1507</v>
      </c>
      <c r="BD255" s="1" t="s">
        <v>1507</v>
      </c>
      <c r="BE255" s="1">
        <v>146</v>
      </c>
      <c r="BF255" s="1" t="s">
        <v>10220</v>
      </c>
      <c r="BG255" s="1" t="str">
        <f>HYPERLINK("http://dx.doi.org/10.1007/JHEP01(2020)146","http://dx.doi.org/10.1007/JHEP01(2020)146")</f>
        <v>http://dx.doi.org/10.1007/JHEP01(2020)146</v>
      </c>
      <c r="BH255" s="1" t="s">
        <v>1507</v>
      </c>
      <c r="BI255" s="1" t="s">
        <v>1507</v>
      </c>
      <c r="BJ255" s="1">
        <v>43</v>
      </c>
      <c r="BK255" s="1" t="s">
        <v>2103</v>
      </c>
      <c r="BL255" s="1" t="s">
        <v>1573</v>
      </c>
      <c r="BM255" s="1" t="s">
        <v>2104</v>
      </c>
      <c r="BN255" s="1" t="s">
        <v>10221</v>
      </c>
      <c r="BO255" s="1" t="s">
        <v>1507</v>
      </c>
      <c r="BP255" s="1" t="s">
        <v>1547</v>
      </c>
      <c r="BQ255" s="1" t="s">
        <v>1507</v>
      </c>
      <c r="BR255" s="1" t="s">
        <v>1507</v>
      </c>
      <c r="BS255" s="1" t="s">
        <v>13744</v>
      </c>
      <c r="BT255" s="1" t="s">
        <v>10222</v>
      </c>
      <c r="BU255" s="1" t="str">
        <f>HYPERLINK("https%3A%2F%2Fwww.webofscience.com%2Fwos%2Fwoscc%2Ffull-record%2FWOS:000513933400002","View Full Record in Web of Science")</f>
        <v>View Full Record in Web of Science</v>
      </c>
    </row>
    <row r="256" spans="1:73" x14ac:dyDescent="0.25">
      <c r="A256" s="1">
        <v>284</v>
      </c>
      <c r="B256" s="1" t="s">
        <v>1506</v>
      </c>
      <c r="C256" s="1" t="s">
        <v>3901</v>
      </c>
      <c r="D256" s="1" t="s">
        <v>1507</v>
      </c>
      <c r="E256" s="1" t="s">
        <v>1507</v>
      </c>
      <c r="F256" s="1" t="s">
        <v>1507</v>
      </c>
      <c r="G256" s="1" t="s">
        <v>3902</v>
      </c>
      <c r="H256" s="1" t="s">
        <v>1507</v>
      </c>
      <c r="I256" s="1" t="s">
        <v>1507</v>
      </c>
      <c r="J256" s="1" t="s">
        <v>3903</v>
      </c>
      <c r="K256" s="1" t="s">
        <v>3904</v>
      </c>
      <c r="L256" s="1" t="s">
        <v>1507</v>
      </c>
      <c r="M256" s="1" t="s">
        <v>1507</v>
      </c>
      <c r="N256" s="1" t="s">
        <v>42</v>
      </c>
      <c r="O256" s="1" t="s">
        <v>56</v>
      </c>
      <c r="P256" s="1" t="s">
        <v>1507</v>
      </c>
      <c r="Q256" s="1" t="s">
        <v>1507</v>
      </c>
      <c r="R256" s="1" t="s">
        <v>1507</v>
      </c>
      <c r="S256" s="1" t="s">
        <v>1507</v>
      </c>
      <c r="T256" s="1" t="s">
        <v>1507</v>
      </c>
      <c r="U256" s="1" t="s">
        <v>3905</v>
      </c>
      <c r="V256" s="1" t="s">
        <v>1507</v>
      </c>
      <c r="W256" s="1" t="s">
        <v>1507</v>
      </c>
      <c r="X256" s="1" t="s">
        <v>3906</v>
      </c>
      <c r="Y256" s="1" t="s">
        <v>3907</v>
      </c>
      <c r="Z256" s="1" t="s">
        <v>3908</v>
      </c>
      <c r="AA256" s="1" t="s">
        <v>3909</v>
      </c>
      <c r="AB256" s="1" t="s">
        <v>14525</v>
      </c>
      <c r="AC256" s="1" t="s">
        <v>14526</v>
      </c>
      <c r="AD256" s="1" t="s">
        <v>3910</v>
      </c>
      <c r="AE256" s="1" t="s">
        <v>3910</v>
      </c>
      <c r="AF256" s="1" t="s">
        <v>3910</v>
      </c>
      <c r="AG256" s="1" t="s">
        <v>1507</v>
      </c>
      <c r="AH256" s="1">
        <v>70</v>
      </c>
      <c r="AI256" s="1">
        <v>0</v>
      </c>
      <c r="AJ256" s="1">
        <v>0</v>
      </c>
      <c r="AK256" s="1">
        <v>48</v>
      </c>
      <c r="AL256" s="1">
        <v>57</v>
      </c>
      <c r="AM256" s="1" t="s">
        <v>1559</v>
      </c>
      <c r="AN256" s="1" t="s">
        <v>1560</v>
      </c>
      <c r="AO256" s="1" t="s">
        <v>1561</v>
      </c>
      <c r="AP256" s="1" t="s">
        <v>3911</v>
      </c>
      <c r="AQ256" s="1" t="s">
        <v>3912</v>
      </c>
      <c r="AR256" s="1" t="s">
        <v>1507</v>
      </c>
      <c r="AS256" s="1" t="s">
        <v>3913</v>
      </c>
      <c r="AT256" s="1" t="s">
        <v>3914</v>
      </c>
      <c r="AU256" s="1" t="s">
        <v>1616</v>
      </c>
      <c r="AV256" s="1">
        <v>2024</v>
      </c>
      <c r="AW256" s="1">
        <v>37</v>
      </c>
      <c r="AX256" s="1">
        <v>1</v>
      </c>
      <c r="AY256" s="1" t="s">
        <v>1507</v>
      </c>
      <c r="AZ256" s="1" t="s">
        <v>1507</v>
      </c>
      <c r="BA256" s="1" t="s">
        <v>1507</v>
      </c>
      <c r="BB256" s="1" t="s">
        <v>1507</v>
      </c>
      <c r="BC256" s="1">
        <v>55</v>
      </c>
      <c r="BD256" s="1">
        <v>62</v>
      </c>
      <c r="BE256" s="1" t="s">
        <v>1507</v>
      </c>
      <c r="BF256" s="1" t="s">
        <v>3915</v>
      </c>
      <c r="BG256" s="1" t="str">
        <f>HYPERLINK("http://dx.doi.org/10.1002/leap.1578","http://dx.doi.org/10.1002/leap.1578")</f>
        <v>http://dx.doi.org/10.1002/leap.1578</v>
      </c>
      <c r="BH256" s="1" t="s">
        <v>1507</v>
      </c>
      <c r="BI256" s="1" t="s">
        <v>3689</v>
      </c>
      <c r="BJ256" s="1">
        <v>8</v>
      </c>
      <c r="BK256" s="1" t="s">
        <v>3916</v>
      </c>
      <c r="BL256" s="1" t="s">
        <v>1518</v>
      </c>
      <c r="BM256" s="1" t="s">
        <v>3916</v>
      </c>
      <c r="BN256" s="1" t="s">
        <v>3917</v>
      </c>
      <c r="BO256" s="1" t="s">
        <v>1507</v>
      </c>
      <c r="BP256" s="1" t="s">
        <v>1507</v>
      </c>
      <c r="BQ256" s="1" t="s">
        <v>1507</v>
      </c>
      <c r="BR256" s="1" t="s">
        <v>1507</v>
      </c>
      <c r="BS256" s="1" t="s">
        <v>13744</v>
      </c>
      <c r="BT256" s="1" t="s">
        <v>3918</v>
      </c>
      <c r="BU256" s="1" t="str">
        <f>HYPERLINK("https%3A%2F%2Fwww.webofscience.com%2Fwos%2Fwoscc%2Ffull-record%2FWOS:001064030500001","View Full Record in Web of Science")</f>
        <v>View Full Record in Web of Science</v>
      </c>
    </row>
    <row r="257" spans="1:73" x14ac:dyDescent="0.25">
      <c r="A257" s="1">
        <v>285</v>
      </c>
      <c r="B257" s="1" t="s">
        <v>1506</v>
      </c>
      <c r="C257" s="1" t="s">
        <v>8461</v>
      </c>
      <c r="D257" s="1" t="s">
        <v>1507</v>
      </c>
      <c r="E257" s="1" t="s">
        <v>1507</v>
      </c>
      <c r="F257" s="1" t="s">
        <v>1507</v>
      </c>
      <c r="G257" s="1" t="s">
        <v>8462</v>
      </c>
      <c r="H257" s="1" t="s">
        <v>1507</v>
      </c>
      <c r="I257" s="1" t="s">
        <v>1507</v>
      </c>
      <c r="J257" s="1" t="s">
        <v>1127</v>
      </c>
      <c r="K257" s="1" t="s">
        <v>5077</v>
      </c>
      <c r="L257" s="1" t="s">
        <v>1507</v>
      </c>
      <c r="M257" s="1" t="s">
        <v>1507</v>
      </c>
      <c r="N257" s="1" t="s">
        <v>42</v>
      </c>
      <c r="O257" s="1" t="s">
        <v>56</v>
      </c>
      <c r="P257" s="1" t="s">
        <v>1507</v>
      </c>
      <c r="Q257" s="1" t="s">
        <v>1507</v>
      </c>
      <c r="R257" s="1" t="s">
        <v>1507</v>
      </c>
      <c r="S257" s="1" t="s">
        <v>1507</v>
      </c>
      <c r="T257" s="1" t="s">
        <v>1507</v>
      </c>
      <c r="U257" s="1" t="s">
        <v>1132</v>
      </c>
      <c r="V257" s="1" t="s">
        <v>4989</v>
      </c>
      <c r="W257" s="1" t="s">
        <v>8463</v>
      </c>
      <c r="X257" s="1" t="s">
        <v>8464</v>
      </c>
      <c r="Y257" s="1" t="s">
        <v>8465</v>
      </c>
      <c r="Z257" s="1" t="s">
        <v>8466</v>
      </c>
      <c r="AA257" s="1" t="s">
        <v>8467</v>
      </c>
      <c r="AB257" s="1" t="s">
        <v>8468</v>
      </c>
      <c r="AC257" s="1" t="s">
        <v>8469</v>
      </c>
      <c r="AD257" s="1" t="s">
        <v>1507</v>
      </c>
      <c r="AE257" s="1" t="s">
        <v>1507</v>
      </c>
      <c r="AF257" s="1" t="s">
        <v>1507</v>
      </c>
      <c r="AG257" s="1" t="s">
        <v>1507</v>
      </c>
      <c r="AH257" s="1">
        <v>39</v>
      </c>
      <c r="AI257" s="1">
        <v>5</v>
      </c>
      <c r="AJ257" s="1">
        <v>5</v>
      </c>
      <c r="AK257" s="1">
        <v>6</v>
      </c>
      <c r="AL257" s="1">
        <v>27</v>
      </c>
      <c r="AM257" s="1" t="s">
        <v>1586</v>
      </c>
      <c r="AN257" s="1" t="s">
        <v>1583</v>
      </c>
      <c r="AO257" s="1" t="s">
        <v>3684</v>
      </c>
      <c r="AP257" s="1" t="s">
        <v>8184</v>
      </c>
      <c r="AQ257" s="1" t="s">
        <v>8185</v>
      </c>
      <c r="AR257" s="1" t="s">
        <v>1507</v>
      </c>
      <c r="AS257" s="1" t="s">
        <v>5077</v>
      </c>
      <c r="AT257" s="1" t="s">
        <v>1016</v>
      </c>
      <c r="AU257" s="1" t="s">
        <v>4336</v>
      </c>
      <c r="AV257" s="1">
        <v>2021</v>
      </c>
      <c r="AW257" s="1">
        <v>100</v>
      </c>
      <c r="AX257" s="1" t="s">
        <v>1507</v>
      </c>
      <c r="AY257" s="1" t="s">
        <v>1507</v>
      </c>
      <c r="AZ257" s="1" t="s">
        <v>1507</v>
      </c>
      <c r="BA257" s="1" t="s">
        <v>1507</v>
      </c>
      <c r="BB257" s="1" t="s">
        <v>1507</v>
      </c>
      <c r="BC257" s="1" t="s">
        <v>1507</v>
      </c>
      <c r="BD257" s="1" t="s">
        <v>1507</v>
      </c>
      <c r="BE257" s="1">
        <v>102551</v>
      </c>
      <c r="BF257" s="1" t="s">
        <v>1128</v>
      </c>
      <c r="BG257" s="1" t="str">
        <f>HYPERLINK("http://dx.doi.org/10.1016/j.system.2021.102551","http://dx.doi.org/10.1016/j.system.2021.102551")</f>
        <v>http://dx.doi.org/10.1016/j.system.2021.102551</v>
      </c>
      <c r="BH257" s="1" t="s">
        <v>1507</v>
      </c>
      <c r="BI257" s="1" t="s">
        <v>8441</v>
      </c>
      <c r="BJ257" s="1">
        <v>11</v>
      </c>
      <c r="BK257" s="1" t="s">
        <v>4526</v>
      </c>
      <c r="BL257" s="1" t="s">
        <v>1518</v>
      </c>
      <c r="BM257" s="1" t="s">
        <v>4526</v>
      </c>
      <c r="BN257" s="1" t="s">
        <v>8470</v>
      </c>
      <c r="BO257" s="1" t="s">
        <v>1507</v>
      </c>
      <c r="BP257" s="1" t="s">
        <v>1507</v>
      </c>
      <c r="BQ257" s="1" t="s">
        <v>1507</v>
      </c>
      <c r="BR257" s="1" t="s">
        <v>1507</v>
      </c>
      <c r="BS257" s="1" t="s">
        <v>13744</v>
      </c>
      <c r="BT257" s="1" t="s">
        <v>8471</v>
      </c>
      <c r="BU257" s="1" t="str">
        <f>HYPERLINK("https%3A%2F%2Fwww.webofscience.com%2Fwos%2Fwoscc%2Ffull-record%2FWOS:000671110300016","View Full Record in Web of Science")</f>
        <v>View Full Record in Web of Science</v>
      </c>
    </row>
    <row r="258" spans="1:73" x14ac:dyDescent="0.25">
      <c r="A258" s="1">
        <v>286</v>
      </c>
      <c r="B258" s="1" t="s">
        <v>1506</v>
      </c>
      <c r="C258" s="1" t="s">
        <v>4572</v>
      </c>
      <c r="D258" s="1" t="s">
        <v>1507</v>
      </c>
      <c r="E258" s="1" t="s">
        <v>1507</v>
      </c>
      <c r="F258" s="1" t="s">
        <v>1507</v>
      </c>
      <c r="G258" s="1" t="s">
        <v>4573</v>
      </c>
      <c r="H258" s="1" t="s">
        <v>1507</v>
      </c>
      <c r="I258" s="1" t="s">
        <v>1507</v>
      </c>
      <c r="J258" s="1" t="s">
        <v>4574</v>
      </c>
      <c r="K258" s="1" t="s">
        <v>4575</v>
      </c>
      <c r="L258" s="1" t="s">
        <v>1507</v>
      </c>
      <c r="M258" s="1" t="s">
        <v>1507</v>
      </c>
      <c r="N258" s="1" t="s">
        <v>42</v>
      </c>
      <c r="O258" s="1" t="s">
        <v>56</v>
      </c>
      <c r="P258" s="1" t="s">
        <v>1507</v>
      </c>
      <c r="Q258" s="1" t="s">
        <v>1507</v>
      </c>
      <c r="R258" s="1" t="s">
        <v>1507</v>
      </c>
      <c r="S258" s="1" t="s">
        <v>1507</v>
      </c>
      <c r="T258" s="1" t="s">
        <v>1507</v>
      </c>
      <c r="U258" s="1" t="s">
        <v>4576</v>
      </c>
      <c r="V258" s="1" t="s">
        <v>1507</v>
      </c>
      <c r="W258" s="1" t="s">
        <v>4577</v>
      </c>
      <c r="X258" s="1" t="s">
        <v>4578</v>
      </c>
      <c r="Y258" s="1" t="s">
        <v>4579</v>
      </c>
      <c r="Z258" s="1" t="s">
        <v>4580</v>
      </c>
      <c r="AA258" s="1" t="s">
        <v>4581</v>
      </c>
      <c r="AB258" s="1" t="s">
        <v>14636</v>
      </c>
      <c r="AC258" s="1" t="s">
        <v>14637</v>
      </c>
      <c r="AD258" s="1" t="s">
        <v>4582</v>
      </c>
      <c r="AE258" s="1" t="s">
        <v>4583</v>
      </c>
      <c r="AF258" s="1" t="s">
        <v>4584</v>
      </c>
      <c r="AG258" s="1" t="s">
        <v>1507</v>
      </c>
      <c r="AH258" s="1">
        <v>30</v>
      </c>
      <c r="AI258" s="1">
        <v>1</v>
      </c>
      <c r="AJ258" s="1">
        <v>1</v>
      </c>
      <c r="AK258" s="1">
        <v>5</v>
      </c>
      <c r="AL258" s="1">
        <v>6</v>
      </c>
      <c r="AM258" s="1" t="s">
        <v>1610</v>
      </c>
      <c r="AN258" s="1" t="s">
        <v>1611</v>
      </c>
      <c r="AO258" s="1" t="s">
        <v>1612</v>
      </c>
      <c r="AP258" s="1" t="s">
        <v>1507</v>
      </c>
      <c r="AQ258" s="1" t="s">
        <v>4585</v>
      </c>
      <c r="AR258" s="1" t="s">
        <v>1507</v>
      </c>
      <c r="AS258" s="1" t="s">
        <v>4586</v>
      </c>
      <c r="AT258" s="1" t="s">
        <v>4587</v>
      </c>
      <c r="AU258" s="1" t="s">
        <v>4556</v>
      </c>
      <c r="AV258" s="1">
        <v>2023</v>
      </c>
      <c r="AW258" s="1">
        <v>15</v>
      </c>
      <c r="AX258" s="1">
        <v>14</v>
      </c>
      <c r="AY258" s="1" t="s">
        <v>1507</v>
      </c>
      <c r="AZ258" s="1" t="s">
        <v>1507</v>
      </c>
      <c r="BA258" s="1" t="s">
        <v>1507</v>
      </c>
      <c r="BB258" s="1" t="s">
        <v>1507</v>
      </c>
      <c r="BC258" s="1" t="s">
        <v>1507</v>
      </c>
      <c r="BD258" s="1" t="s">
        <v>1507</v>
      </c>
      <c r="BE258" s="1">
        <v>10828</v>
      </c>
      <c r="BF258" s="1" t="s">
        <v>4588</v>
      </c>
      <c r="BG258" s="1" t="str">
        <f>HYPERLINK("http://dx.doi.org/10.3390/su151410828","http://dx.doi.org/10.3390/su151410828")</f>
        <v>http://dx.doi.org/10.3390/su151410828</v>
      </c>
      <c r="BH258" s="1" t="s">
        <v>1507</v>
      </c>
      <c r="BI258" s="1" t="s">
        <v>1507</v>
      </c>
      <c r="BJ258" s="1">
        <v>11</v>
      </c>
      <c r="BK258" s="1" t="s">
        <v>4589</v>
      </c>
      <c r="BL258" s="1" t="s">
        <v>1598</v>
      </c>
      <c r="BM258" s="1" t="s">
        <v>4590</v>
      </c>
      <c r="BN258" s="1" t="s">
        <v>4591</v>
      </c>
      <c r="BO258" s="1" t="s">
        <v>1507</v>
      </c>
      <c r="BP258" s="1" t="s">
        <v>1531</v>
      </c>
      <c r="BQ258" s="1" t="s">
        <v>1507</v>
      </c>
      <c r="BR258" s="1" t="s">
        <v>1507</v>
      </c>
      <c r="BS258" s="1" t="s">
        <v>13744</v>
      </c>
      <c r="BT258" s="1" t="s">
        <v>4592</v>
      </c>
      <c r="BU258" s="1" t="str">
        <f>HYPERLINK("https%3A%2F%2Fwww.webofscience.com%2Fwos%2Fwoscc%2Ffull-record%2FWOS:001038876500001","View Full Record in Web of Science")</f>
        <v>View Full Record in Web of Science</v>
      </c>
    </row>
    <row r="259" spans="1:73" x14ac:dyDescent="0.25">
      <c r="A259" s="1">
        <v>287</v>
      </c>
      <c r="B259" s="1" t="s">
        <v>1506</v>
      </c>
      <c r="C259" s="1" t="s">
        <v>8490</v>
      </c>
      <c r="D259" s="1" t="s">
        <v>1507</v>
      </c>
      <c r="E259" s="1" t="s">
        <v>1507</v>
      </c>
      <c r="F259" s="1" t="s">
        <v>1507</v>
      </c>
      <c r="G259" s="1" t="s">
        <v>8491</v>
      </c>
      <c r="H259" s="1" t="s">
        <v>1507</v>
      </c>
      <c r="I259" s="1" t="s">
        <v>1507</v>
      </c>
      <c r="J259" s="1" t="s">
        <v>8492</v>
      </c>
      <c r="K259" s="1" t="s">
        <v>8493</v>
      </c>
      <c r="L259" s="1" t="s">
        <v>1507</v>
      </c>
      <c r="M259" s="1" t="s">
        <v>1507</v>
      </c>
      <c r="N259" s="1" t="s">
        <v>42</v>
      </c>
      <c r="O259" s="1" t="s">
        <v>56</v>
      </c>
      <c r="P259" s="1" t="s">
        <v>1507</v>
      </c>
      <c r="Q259" s="1" t="s">
        <v>1507</v>
      </c>
      <c r="R259" s="1" t="s">
        <v>1507</v>
      </c>
      <c r="S259" s="1" t="s">
        <v>1507</v>
      </c>
      <c r="T259" s="1" t="s">
        <v>1507</v>
      </c>
      <c r="U259" s="1" t="s">
        <v>8494</v>
      </c>
      <c r="V259" s="1" t="s">
        <v>8495</v>
      </c>
      <c r="W259" s="1" t="s">
        <v>8496</v>
      </c>
      <c r="X259" s="1" t="s">
        <v>8497</v>
      </c>
      <c r="Y259" s="1" t="s">
        <v>8498</v>
      </c>
      <c r="Z259" s="1" t="s">
        <v>8499</v>
      </c>
      <c r="AA259" s="1" t="s">
        <v>8500</v>
      </c>
      <c r="AB259" s="1" t="s">
        <v>15734</v>
      </c>
      <c r="AC259" s="1" t="s">
        <v>15735</v>
      </c>
      <c r="AD259" s="1" t="s">
        <v>8501</v>
      </c>
      <c r="AE259" s="1" t="s">
        <v>8502</v>
      </c>
      <c r="AF259" s="1" t="s">
        <v>8503</v>
      </c>
      <c r="AG259" s="1" t="s">
        <v>1507</v>
      </c>
      <c r="AH259" s="1">
        <v>70</v>
      </c>
      <c r="AI259" s="1">
        <v>30</v>
      </c>
      <c r="AJ259" s="1">
        <v>30</v>
      </c>
      <c r="AK259" s="1">
        <v>6</v>
      </c>
      <c r="AL259" s="1">
        <v>30</v>
      </c>
      <c r="AM259" s="1" t="s">
        <v>1900</v>
      </c>
      <c r="AN259" s="1" t="s">
        <v>1583</v>
      </c>
      <c r="AO259" s="1" t="s">
        <v>1901</v>
      </c>
      <c r="AP259" s="1" t="s">
        <v>8504</v>
      </c>
      <c r="AQ259" s="1" t="s">
        <v>8505</v>
      </c>
      <c r="AR259" s="1" t="s">
        <v>1507</v>
      </c>
      <c r="AS259" s="1" t="s">
        <v>8506</v>
      </c>
      <c r="AT259" s="1" t="s">
        <v>8507</v>
      </c>
      <c r="AU259" s="1" t="s">
        <v>15736</v>
      </c>
      <c r="AV259" s="1">
        <v>2021</v>
      </c>
      <c r="AW259" s="1">
        <v>279</v>
      </c>
      <c r="AX259" s="1" t="s">
        <v>1507</v>
      </c>
      <c r="AY259" s="1" t="s">
        <v>1507</v>
      </c>
      <c r="AZ259" s="1" t="s">
        <v>1507</v>
      </c>
      <c r="BA259" s="1" t="s">
        <v>1507</v>
      </c>
      <c r="BB259" s="1" t="s">
        <v>1507</v>
      </c>
      <c r="BC259" s="1" t="s">
        <v>1507</v>
      </c>
      <c r="BD259" s="1" t="s">
        <v>1507</v>
      </c>
      <c r="BE259" s="1">
        <v>119674</v>
      </c>
      <c r="BF259" s="1" t="s">
        <v>8508</v>
      </c>
      <c r="BG259" s="1" t="str">
        <f>HYPERLINK("http://dx.doi.org/10.1016/j.lfs.2021.119674","http://dx.doi.org/10.1016/j.lfs.2021.119674")</f>
        <v>http://dx.doi.org/10.1016/j.lfs.2021.119674</v>
      </c>
      <c r="BH259" s="1" t="s">
        <v>1507</v>
      </c>
      <c r="BI259" s="1" t="s">
        <v>8441</v>
      </c>
      <c r="BJ259" s="1">
        <v>10</v>
      </c>
      <c r="BK259" s="1" t="s">
        <v>8509</v>
      </c>
      <c r="BL259" s="1" t="s">
        <v>1573</v>
      </c>
      <c r="BM259" s="1" t="s">
        <v>8510</v>
      </c>
      <c r="BN259" s="1" t="s">
        <v>8511</v>
      </c>
      <c r="BO259" s="1">
        <v>34081992</v>
      </c>
      <c r="BP259" s="1" t="s">
        <v>1507</v>
      </c>
      <c r="BQ259" s="1" t="s">
        <v>1507</v>
      </c>
      <c r="BR259" s="1" t="s">
        <v>1507</v>
      </c>
      <c r="BS259" s="1" t="s">
        <v>13744</v>
      </c>
      <c r="BT259" s="1" t="s">
        <v>8512</v>
      </c>
      <c r="BU259" s="1" t="str">
        <f>HYPERLINK("https%3A%2F%2Fwww.webofscience.com%2Fwos%2Fwoscc%2Ffull-record%2FWOS:000664113400004","View Full Record in Web of Science")</f>
        <v>View Full Record in Web of Science</v>
      </c>
    </row>
    <row r="260" spans="1:73" x14ac:dyDescent="0.25">
      <c r="A260" s="1">
        <v>288</v>
      </c>
      <c r="B260" s="1" t="s">
        <v>1506</v>
      </c>
      <c r="C260" s="1" t="s">
        <v>3776</v>
      </c>
      <c r="D260" s="1" t="s">
        <v>1507</v>
      </c>
      <c r="E260" s="1" t="s">
        <v>1507</v>
      </c>
      <c r="F260" s="1" t="s">
        <v>1507</v>
      </c>
      <c r="G260" s="1" t="s">
        <v>3777</v>
      </c>
      <c r="H260" s="1" t="s">
        <v>1507</v>
      </c>
      <c r="I260" s="1" t="s">
        <v>1507</v>
      </c>
      <c r="J260" s="1" t="s">
        <v>3778</v>
      </c>
      <c r="K260" s="1" t="s">
        <v>3779</v>
      </c>
      <c r="L260" s="1" t="s">
        <v>1507</v>
      </c>
      <c r="M260" s="1" t="s">
        <v>1507</v>
      </c>
      <c r="N260" s="1" t="s">
        <v>42</v>
      </c>
      <c r="O260" s="1" t="s">
        <v>1509</v>
      </c>
      <c r="P260" s="1" t="s">
        <v>1507</v>
      </c>
      <c r="Q260" s="1" t="s">
        <v>1507</v>
      </c>
      <c r="R260" s="1" t="s">
        <v>1507</v>
      </c>
      <c r="S260" s="1" t="s">
        <v>1507</v>
      </c>
      <c r="T260" s="1" t="s">
        <v>1507</v>
      </c>
      <c r="U260" s="1" t="s">
        <v>3780</v>
      </c>
      <c r="V260" s="1" t="s">
        <v>3781</v>
      </c>
      <c r="W260" s="1" t="s">
        <v>3782</v>
      </c>
      <c r="X260" s="1" t="s">
        <v>3783</v>
      </c>
      <c r="Y260" s="1" t="s">
        <v>3784</v>
      </c>
      <c r="Z260" s="1" t="s">
        <v>3785</v>
      </c>
      <c r="AA260" s="1" t="s">
        <v>3786</v>
      </c>
      <c r="AB260" s="1" t="s">
        <v>3787</v>
      </c>
      <c r="AC260" s="1" t="s">
        <v>3788</v>
      </c>
      <c r="AD260" s="1" t="s">
        <v>3789</v>
      </c>
      <c r="AE260" s="1" t="s">
        <v>3790</v>
      </c>
      <c r="AF260" s="1" t="s">
        <v>3791</v>
      </c>
      <c r="AG260" s="1" t="s">
        <v>1507</v>
      </c>
      <c r="AH260" s="1">
        <v>30</v>
      </c>
      <c r="AI260" s="1">
        <v>0</v>
      </c>
      <c r="AJ260" s="1">
        <v>0</v>
      </c>
      <c r="AK260" s="1">
        <v>33</v>
      </c>
      <c r="AL260" s="1">
        <v>37</v>
      </c>
      <c r="AM260" s="1" t="s">
        <v>1555</v>
      </c>
      <c r="AN260" s="1" t="s">
        <v>1556</v>
      </c>
      <c r="AO260" s="1" t="s">
        <v>1557</v>
      </c>
      <c r="AP260" s="1" t="s">
        <v>3792</v>
      </c>
      <c r="AQ260" s="1" t="s">
        <v>3793</v>
      </c>
      <c r="AR260" s="1" t="s">
        <v>1507</v>
      </c>
      <c r="AS260" s="1" t="s">
        <v>3794</v>
      </c>
      <c r="AT260" s="1" t="s">
        <v>3795</v>
      </c>
      <c r="AU260" s="1" t="s">
        <v>3796</v>
      </c>
      <c r="AV260" s="1">
        <v>2023</v>
      </c>
      <c r="AW260" s="1" t="s">
        <v>1507</v>
      </c>
      <c r="AX260" s="1" t="s">
        <v>1507</v>
      </c>
      <c r="AY260" s="1" t="s">
        <v>1507</v>
      </c>
      <c r="AZ260" s="1" t="s">
        <v>1507</v>
      </c>
      <c r="BA260" s="1" t="s">
        <v>1507</v>
      </c>
      <c r="BB260" s="1" t="s">
        <v>1507</v>
      </c>
      <c r="BC260" s="1" t="s">
        <v>1507</v>
      </c>
      <c r="BD260" s="1" t="s">
        <v>1507</v>
      </c>
      <c r="BE260" s="1" t="s">
        <v>1507</v>
      </c>
      <c r="BF260" s="1" t="s">
        <v>3797</v>
      </c>
      <c r="BG260" s="1" t="str">
        <f>HYPERLINK("http://dx.doi.org/10.1080/14703297.2023.2258842","http://dx.doi.org/10.1080/14703297.2023.2258842")</f>
        <v>http://dx.doi.org/10.1080/14703297.2023.2258842</v>
      </c>
      <c r="BH260" s="1" t="s">
        <v>1507</v>
      </c>
      <c r="BI260" s="1" t="s">
        <v>3689</v>
      </c>
      <c r="BJ260" s="1">
        <v>10</v>
      </c>
      <c r="BK260" s="1" t="s">
        <v>1558</v>
      </c>
      <c r="BL260" s="1" t="s">
        <v>1518</v>
      </c>
      <c r="BM260" s="1" t="s">
        <v>1558</v>
      </c>
      <c r="BN260" s="1" t="s">
        <v>3798</v>
      </c>
      <c r="BO260" s="1" t="s">
        <v>1507</v>
      </c>
      <c r="BP260" s="1" t="s">
        <v>1507</v>
      </c>
      <c r="BQ260" s="1" t="s">
        <v>1507</v>
      </c>
      <c r="BR260" s="1" t="s">
        <v>1507</v>
      </c>
      <c r="BS260" s="1" t="s">
        <v>13744</v>
      </c>
      <c r="BT260" s="1" t="s">
        <v>3799</v>
      </c>
      <c r="BU260" s="1" t="str">
        <f>HYPERLINK("https%3A%2F%2Fwww.webofscience.com%2Fwos%2Fwoscc%2Ffull-record%2FWOS:001065511400001","View Full Record in Web of Science")</f>
        <v>View Full Record in Web of Science</v>
      </c>
    </row>
    <row r="261" spans="1:73" x14ac:dyDescent="0.25">
      <c r="A261" s="1">
        <v>289</v>
      </c>
      <c r="B261" s="1" t="s">
        <v>1506</v>
      </c>
      <c r="C261" s="1" t="s">
        <v>9070</v>
      </c>
      <c r="D261" s="1" t="s">
        <v>1507</v>
      </c>
      <c r="E261" s="1" t="s">
        <v>1507</v>
      </c>
      <c r="F261" s="1" t="s">
        <v>1507</v>
      </c>
      <c r="G261" s="1" t="s">
        <v>9071</v>
      </c>
      <c r="H261" s="1" t="s">
        <v>1507</v>
      </c>
      <c r="I261" s="1" t="s">
        <v>1507</v>
      </c>
      <c r="J261" s="1" t="s">
        <v>9072</v>
      </c>
      <c r="K261" s="1" t="s">
        <v>3555</v>
      </c>
      <c r="L261" s="1" t="s">
        <v>1507</v>
      </c>
      <c r="M261" s="1" t="s">
        <v>1507</v>
      </c>
      <c r="N261" s="1" t="s">
        <v>42</v>
      </c>
      <c r="O261" s="1" t="s">
        <v>56</v>
      </c>
      <c r="P261" s="1" t="s">
        <v>1507</v>
      </c>
      <c r="Q261" s="1" t="s">
        <v>1507</v>
      </c>
      <c r="R261" s="1" t="s">
        <v>1507</v>
      </c>
      <c r="S261" s="1" t="s">
        <v>1507</v>
      </c>
      <c r="T261" s="1" t="s">
        <v>1507</v>
      </c>
      <c r="U261" s="1" t="s">
        <v>9073</v>
      </c>
      <c r="V261" s="1" t="s">
        <v>1507</v>
      </c>
      <c r="W261" s="1" t="s">
        <v>9074</v>
      </c>
      <c r="X261" s="1" t="s">
        <v>9075</v>
      </c>
      <c r="Y261" s="1" t="s">
        <v>5170</v>
      </c>
      <c r="Z261" s="1" t="s">
        <v>9076</v>
      </c>
      <c r="AA261" s="1" t="s">
        <v>9077</v>
      </c>
      <c r="AB261" s="1" t="s">
        <v>1507</v>
      </c>
      <c r="AC261" s="1" t="s">
        <v>1507</v>
      </c>
      <c r="AD261" s="1" t="s">
        <v>9078</v>
      </c>
      <c r="AE261" s="1" t="s">
        <v>9078</v>
      </c>
      <c r="AF261" s="1" t="s">
        <v>9079</v>
      </c>
      <c r="AG261" s="1" t="s">
        <v>1507</v>
      </c>
      <c r="AH261" s="1">
        <v>11</v>
      </c>
      <c r="AI261" s="1">
        <v>0</v>
      </c>
      <c r="AJ261" s="1">
        <v>0</v>
      </c>
      <c r="AK261" s="1">
        <v>0</v>
      </c>
      <c r="AL261" s="1">
        <v>2</v>
      </c>
      <c r="AM261" s="1" t="s">
        <v>3564</v>
      </c>
      <c r="AN261" s="1" t="s">
        <v>1523</v>
      </c>
      <c r="AO261" s="1" t="s">
        <v>3565</v>
      </c>
      <c r="AP261" s="1" t="s">
        <v>3566</v>
      </c>
      <c r="AQ261" s="1" t="s">
        <v>3567</v>
      </c>
      <c r="AR261" s="1" t="s">
        <v>1507</v>
      </c>
      <c r="AS261" s="1" t="s">
        <v>3568</v>
      </c>
      <c r="AT261" s="1" t="s">
        <v>3569</v>
      </c>
      <c r="AU261" s="1" t="s">
        <v>9054</v>
      </c>
      <c r="AV261" s="1">
        <v>2021</v>
      </c>
      <c r="AW261" s="1">
        <v>65</v>
      </c>
      <c r="AX261" s="1">
        <v>1</v>
      </c>
      <c r="AY261" s="1" t="s">
        <v>1507</v>
      </c>
      <c r="AZ261" s="1" t="s">
        <v>1507</v>
      </c>
      <c r="BA261" s="1" t="s">
        <v>1507</v>
      </c>
      <c r="BB261" s="1" t="s">
        <v>1507</v>
      </c>
      <c r="BC261" s="1">
        <v>69</v>
      </c>
      <c r="BD261" s="1">
        <v>86</v>
      </c>
      <c r="BE261" s="1" t="s">
        <v>9080</v>
      </c>
      <c r="BF261" s="1" t="s">
        <v>9081</v>
      </c>
      <c r="BG261" s="1" t="str">
        <f>HYPERLINK("http://dx.doi.org/10.1017/S0021855320000236","http://dx.doi.org/10.1017/S0021855320000236")</f>
        <v>http://dx.doi.org/10.1017/S0021855320000236</v>
      </c>
      <c r="BH261" s="1" t="s">
        <v>1507</v>
      </c>
      <c r="BI261" s="1" t="s">
        <v>1507</v>
      </c>
      <c r="BJ261" s="1">
        <v>18</v>
      </c>
      <c r="BK261" s="1" t="s">
        <v>1535</v>
      </c>
      <c r="BL261" s="1" t="s">
        <v>1518</v>
      </c>
      <c r="BM261" s="1" t="s">
        <v>1536</v>
      </c>
      <c r="BN261" s="1" t="s">
        <v>9082</v>
      </c>
      <c r="BO261" s="1" t="s">
        <v>1507</v>
      </c>
      <c r="BP261" s="1" t="s">
        <v>1507</v>
      </c>
      <c r="BQ261" s="1" t="s">
        <v>1507</v>
      </c>
      <c r="BR261" s="1" t="s">
        <v>1507</v>
      </c>
      <c r="BS261" s="1" t="s">
        <v>13744</v>
      </c>
      <c r="BT261" s="1" t="s">
        <v>9083</v>
      </c>
      <c r="BU261" s="1" t="str">
        <f>HYPERLINK("https%3A%2F%2Fwww.webofscience.com%2Fwos%2Fwoscc%2Ffull-record%2FWOS:000625214500004","View Full Record in Web of Science")</f>
        <v>View Full Record in Web of Science</v>
      </c>
    </row>
    <row r="262" spans="1:73" x14ac:dyDescent="0.25">
      <c r="A262" s="1">
        <v>290</v>
      </c>
      <c r="B262" s="1" t="s">
        <v>1506</v>
      </c>
      <c r="C262" s="1" t="s">
        <v>4908</v>
      </c>
      <c r="D262" s="1" t="s">
        <v>1507</v>
      </c>
      <c r="E262" s="1" t="s">
        <v>1507</v>
      </c>
      <c r="F262" s="1" t="s">
        <v>1507</v>
      </c>
      <c r="G262" s="1" t="s">
        <v>4909</v>
      </c>
      <c r="H262" s="1" t="s">
        <v>1507</v>
      </c>
      <c r="I262" s="1" t="s">
        <v>1507</v>
      </c>
      <c r="J262" s="1" t="s">
        <v>4910</v>
      </c>
      <c r="K262" s="1" t="s">
        <v>4911</v>
      </c>
      <c r="L262" s="1" t="s">
        <v>1507</v>
      </c>
      <c r="M262" s="1" t="s">
        <v>1507</v>
      </c>
      <c r="N262" s="1" t="s">
        <v>42</v>
      </c>
      <c r="O262" s="1" t="s">
        <v>56</v>
      </c>
      <c r="P262" s="1" t="s">
        <v>1507</v>
      </c>
      <c r="Q262" s="1" t="s">
        <v>1507</v>
      </c>
      <c r="R262" s="1" t="s">
        <v>1507</v>
      </c>
      <c r="S262" s="1" t="s">
        <v>1507</v>
      </c>
      <c r="T262" s="1" t="s">
        <v>1507</v>
      </c>
      <c r="U262" s="1" t="s">
        <v>4912</v>
      </c>
      <c r="V262" s="1" t="s">
        <v>4913</v>
      </c>
      <c r="W262" s="1" t="s">
        <v>4914</v>
      </c>
      <c r="X262" s="1" t="s">
        <v>4915</v>
      </c>
      <c r="Y262" s="1" t="s">
        <v>4916</v>
      </c>
      <c r="Z262" s="1" t="s">
        <v>4917</v>
      </c>
      <c r="AA262" s="1" t="s">
        <v>4918</v>
      </c>
      <c r="AB262" s="1" t="s">
        <v>1507</v>
      </c>
      <c r="AC262" s="1" t="s">
        <v>14689</v>
      </c>
      <c r="AD262" s="1" t="s">
        <v>1507</v>
      </c>
      <c r="AE262" s="1" t="s">
        <v>1507</v>
      </c>
      <c r="AF262" s="1" t="s">
        <v>1507</v>
      </c>
      <c r="AG262" s="1" t="s">
        <v>1507</v>
      </c>
      <c r="AH262" s="1">
        <v>13</v>
      </c>
      <c r="AI262" s="1">
        <v>2</v>
      </c>
      <c r="AJ262" s="1">
        <v>2</v>
      </c>
      <c r="AK262" s="1">
        <v>85</v>
      </c>
      <c r="AL262" s="1">
        <v>166</v>
      </c>
      <c r="AM262" s="1" t="s">
        <v>4267</v>
      </c>
      <c r="AN262" s="1" t="s">
        <v>4268</v>
      </c>
      <c r="AO262" s="1" t="s">
        <v>4269</v>
      </c>
      <c r="AP262" s="1" t="s">
        <v>4919</v>
      </c>
      <c r="AQ262" s="1" t="s">
        <v>4920</v>
      </c>
      <c r="AR262" s="1" t="s">
        <v>1507</v>
      </c>
      <c r="AS262" s="1" t="s">
        <v>4921</v>
      </c>
      <c r="AT262" s="1" t="s">
        <v>464</v>
      </c>
      <c r="AU262" s="1" t="s">
        <v>4556</v>
      </c>
      <c r="AV262" s="1">
        <v>2023</v>
      </c>
      <c r="AW262" s="1">
        <v>42</v>
      </c>
      <c r="AX262" s="1">
        <v>3</v>
      </c>
      <c r="AY262" s="1" t="s">
        <v>1507</v>
      </c>
      <c r="AZ262" s="1" t="s">
        <v>1507</v>
      </c>
      <c r="BA262" s="1" t="s">
        <v>1507</v>
      </c>
      <c r="BB262" s="1" t="s">
        <v>1507</v>
      </c>
      <c r="BC262" s="1">
        <v>385</v>
      </c>
      <c r="BD262" s="1">
        <v>389</v>
      </c>
      <c r="BE262" s="1" t="s">
        <v>1507</v>
      </c>
      <c r="BF262" s="1" t="s">
        <v>458</v>
      </c>
      <c r="BG262" s="1" t="str">
        <f>HYPERLINK("http://dx.doi.org/10.1123/jtpe.2023-0058","http://dx.doi.org/10.1123/jtpe.2023-0058")</f>
        <v>http://dx.doi.org/10.1123/jtpe.2023-0058</v>
      </c>
      <c r="BH262" s="1" t="s">
        <v>1507</v>
      </c>
      <c r="BI262" s="1" t="s">
        <v>4832</v>
      </c>
      <c r="BJ262" s="1">
        <v>5</v>
      </c>
      <c r="BK262" s="1" t="s">
        <v>4922</v>
      </c>
      <c r="BL262" s="1" t="s">
        <v>1598</v>
      </c>
      <c r="BM262" s="1" t="s">
        <v>4922</v>
      </c>
      <c r="BN262" s="1" t="s">
        <v>4923</v>
      </c>
      <c r="BO262" s="1" t="s">
        <v>1507</v>
      </c>
      <c r="BP262" s="1" t="s">
        <v>4924</v>
      </c>
      <c r="BQ262" s="1" t="s">
        <v>1507</v>
      </c>
      <c r="BR262" s="1" t="s">
        <v>1507</v>
      </c>
      <c r="BS262" s="1" t="s">
        <v>13744</v>
      </c>
      <c r="BT262" s="1" t="s">
        <v>4925</v>
      </c>
      <c r="BU262" s="1" t="str">
        <f>HYPERLINK("https%3A%2F%2Fwww.webofscience.com%2Fwos%2Fwoscc%2Ffull-record%2FWOS:001001106200001","View Full Record in Web of Science")</f>
        <v>View Full Record in Web of Science</v>
      </c>
    </row>
    <row r="263" spans="1:73" x14ac:dyDescent="0.25">
      <c r="A263" s="1">
        <v>291</v>
      </c>
      <c r="B263" s="1" t="s">
        <v>1506</v>
      </c>
      <c r="C263" s="1" t="s">
        <v>2831</v>
      </c>
      <c r="D263" s="1" t="s">
        <v>1507</v>
      </c>
      <c r="E263" s="1" t="s">
        <v>1507</v>
      </c>
      <c r="F263" s="1" t="s">
        <v>1507</v>
      </c>
      <c r="G263" s="1" t="s">
        <v>2832</v>
      </c>
      <c r="H263" s="1" t="s">
        <v>1507</v>
      </c>
      <c r="I263" s="1" t="s">
        <v>1507</v>
      </c>
      <c r="J263" s="1" t="s">
        <v>2833</v>
      </c>
      <c r="K263" s="1" t="s">
        <v>1609</v>
      </c>
      <c r="L263" s="1" t="s">
        <v>1507</v>
      </c>
      <c r="M263" s="1" t="s">
        <v>1507</v>
      </c>
      <c r="N263" s="1" t="s">
        <v>42</v>
      </c>
      <c r="O263" s="1" t="s">
        <v>56</v>
      </c>
      <c r="P263" s="1" t="s">
        <v>1507</v>
      </c>
      <c r="Q263" s="1" t="s">
        <v>1507</v>
      </c>
      <c r="R263" s="1" t="s">
        <v>1507</v>
      </c>
      <c r="S263" s="1" t="s">
        <v>1507</v>
      </c>
      <c r="T263" s="1" t="s">
        <v>1507</v>
      </c>
      <c r="U263" s="1" t="s">
        <v>2834</v>
      </c>
      <c r="V263" s="1" t="s">
        <v>1507</v>
      </c>
      <c r="W263" s="1" t="s">
        <v>2835</v>
      </c>
      <c r="X263" s="1" t="s">
        <v>2836</v>
      </c>
      <c r="Y263" s="1" t="s">
        <v>2837</v>
      </c>
      <c r="Z263" s="1" t="s">
        <v>2838</v>
      </c>
      <c r="AA263" s="1" t="s">
        <v>2839</v>
      </c>
      <c r="AB263" s="1" t="s">
        <v>1507</v>
      </c>
      <c r="AC263" s="1" t="s">
        <v>2840</v>
      </c>
      <c r="AD263" s="1" t="s">
        <v>2841</v>
      </c>
      <c r="AE263" s="1" t="s">
        <v>2842</v>
      </c>
      <c r="AF263" s="1" t="s">
        <v>2843</v>
      </c>
      <c r="AG263" s="1" t="s">
        <v>1507</v>
      </c>
      <c r="AH263" s="1">
        <v>21</v>
      </c>
      <c r="AI263" s="1">
        <v>0</v>
      </c>
      <c r="AJ263" s="1">
        <v>0</v>
      </c>
      <c r="AK263" s="1">
        <v>16</v>
      </c>
      <c r="AL263" s="1">
        <v>16</v>
      </c>
      <c r="AM263" s="1" t="s">
        <v>1610</v>
      </c>
      <c r="AN263" s="1" t="s">
        <v>1611</v>
      </c>
      <c r="AO263" s="1" t="s">
        <v>1612</v>
      </c>
      <c r="AP263" s="1" t="s">
        <v>1507</v>
      </c>
      <c r="AQ263" s="1" t="s">
        <v>1613</v>
      </c>
      <c r="AR263" s="1" t="s">
        <v>1507</v>
      </c>
      <c r="AS263" s="1" t="s">
        <v>1614</v>
      </c>
      <c r="AT263" s="1" t="s">
        <v>1615</v>
      </c>
      <c r="AU263" s="1" t="s">
        <v>2771</v>
      </c>
      <c r="AV263" s="1">
        <v>2023</v>
      </c>
      <c r="AW263" s="1">
        <v>11</v>
      </c>
      <c r="AX263" s="1">
        <v>21</v>
      </c>
      <c r="AY263" s="1" t="s">
        <v>1507</v>
      </c>
      <c r="AZ263" s="1" t="s">
        <v>1507</v>
      </c>
      <c r="BA263" s="1" t="s">
        <v>1507</v>
      </c>
      <c r="BB263" s="1" t="s">
        <v>1507</v>
      </c>
      <c r="BC263" s="1" t="s">
        <v>1507</v>
      </c>
      <c r="BD263" s="1" t="s">
        <v>1507</v>
      </c>
      <c r="BE263" s="1">
        <v>4479</v>
      </c>
      <c r="BF263" s="1" t="s">
        <v>2844</v>
      </c>
      <c r="BG263" s="1" t="str">
        <f>HYPERLINK("http://dx.doi.org/10.3390/math11214479","http://dx.doi.org/10.3390/math11214479")</f>
        <v>http://dx.doi.org/10.3390/math11214479</v>
      </c>
      <c r="BH263" s="1" t="s">
        <v>1507</v>
      </c>
      <c r="BI263" s="1" t="s">
        <v>1507</v>
      </c>
      <c r="BJ263" s="1">
        <v>19</v>
      </c>
      <c r="BK263" s="1" t="s">
        <v>1615</v>
      </c>
      <c r="BL263" s="1" t="s">
        <v>1573</v>
      </c>
      <c r="BM263" s="1" t="s">
        <v>1615</v>
      </c>
      <c r="BN263" s="1" t="s">
        <v>2845</v>
      </c>
      <c r="BO263" s="1" t="s">
        <v>1507</v>
      </c>
      <c r="BP263" s="1" t="s">
        <v>1507</v>
      </c>
      <c r="BQ263" s="1" t="s">
        <v>1507</v>
      </c>
      <c r="BR263" s="1" t="s">
        <v>1507</v>
      </c>
      <c r="BS263" s="1" t="s">
        <v>13744</v>
      </c>
      <c r="BT263" s="1" t="s">
        <v>2846</v>
      </c>
      <c r="BU263" s="1" t="str">
        <f>HYPERLINK("https%3A%2F%2Fwww.webofscience.com%2Fwos%2Fwoscc%2Ffull-record%2FWOS:001100441000001","View Full Record in Web of Science")</f>
        <v>View Full Record in Web of Science</v>
      </c>
    </row>
    <row r="264" spans="1:73" x14ac:dyDescent="0.25">
      <c r="A264" s="1">
        <v>293</v>
      </c>
      <c r="B264" s="1" t="s">
        <v>1506</v>
      </c>
      <c r="C264" s="1" t="s">
        <v>3143</v>
      </c>
      <c r="D264" s="1" t="s">
        <v>1507</v>
      </c>
      <c r="E264" s="1" t="s">
        <v>1507</v>
      </c>
      <c r="F264" s="1" t="s">
        <v>1507</v>
      </c>
      <c r="G264" s="1" t="s">
        <v>3144</v>
      </c>
      <c r="H264" s="1" t="s">
        <v>1507</v>
      </c>
      <c r="I264" s="1" t="s">
        <v>1507</v>
      </c>
      <c r="J264" s="1" t="s">
        <v>3145</v>
      </c>
      <c r="K264" s="1" t="s">
        <v>3146</v>
      </c>
      <c r="L264" s="1" t="s">
        <v>1507</v>
      </c>
      <c r="M264" s="1" t="s">
        <v>1507</v>
      </c>
      <c r="N264" s="1" t="s">
        <v>42</v>
      </c>
      <c r="O264" s="1" t="s">
        <v>56</v>
      </c>
      <c r="P264" s="1" t="s">
        <v>1507</v>
      </c>
      <c r="Q264" s="1" t="s">
        <v>1507</v>
      </c>
      <c r="R264" s="1" t="s">
        <v>1507</v>
      </c>
      <c r="S264" s="1" t="s">
        <v>1507</v>
      </c>
      <c r="T264" s="1" t="s">
        <v>1507</v>
      </c>
      <c r="U264" s="1" t="s">
        <v>3147</v>
      </c>
      <c r="V264" s="1" t="s">
        <v>1507</v>
      </c>
      <c r="W264" s="1" t="s">
        <v>3148</v>
      </c>
      <c r="X264" s="1" t="s">
        <v>3149</v>
      </c>
      <c r="Y264" s="1" t="s">
        <v>3150</v>
      </c>
      <c r="Z264" s="1" t="s">
        <v>3151</v>
      </c>
      <c r="AA264" s="1" t="s">
        <v>3152</v>
      </c>
      <c r="AB264" s="1" t="s">
        <v>1507</v>
      </c>
      <c r="AC264" s="1" t="s">
        <v>1507</v>
      </c>
      <c r="AD264" s="1" t="s">
        <v>3153</v>
      </c>
      <c r="AE264" s="1" t="s">
        <v>3154</v>
      </c>
      <c r="AF264" s="1" t="s">
        <v>3155</v>
      </c>
      <c r="AG264" s="1" t="s">
        <v>1507</v>
      </c>
      <c r="AH264" s="1">
        <v>14</v>
      </c>
      <c r="AI264" s="1">
        <v>2</v>
      </c>
      <c r="AJ264" s="1">
        <v>2</v>
      </c>
      <c r="AK264" s="1">
        <v>47</v>
      </c>
      <c r="AL264" s="1">
        <v>47</v>
      </c>
      <c r="AM264" s="1" t="s">
        <v>3156</v>
      </c>
      <c r="AN264" s="1" t="s">
        <v>3157</v>
      </c>
      <c r="AO264" s="1" t="s">
        <v>3158</v>
      </c>
      <c r="AP264" s="1" t="s">
        <v>3159</v>
      </c>
      <c r="AQ264" s="1" t="s">
        <v>3160</v>
      </c>
      <c r="AR264" s="1" t="s">
        <v>1507</v>
      </c>
      <c r="AS264" s="1" t="s">
        <v>3161</v>
      </c>
      <c r="AT264" s="1" t="s">
        <v>3162</v>
      </c>
      <c r="AU264" s="1" t="s">
        <v>2191</v>
      </c>
      <c r="AV264" s="1">
        <v>2023</v>
      </c>
      <c r="AW264" s="1">
        <v>58</v>
      </c>
      <c r="AX264" s="1" t="s">
        <v>1507</v>
      </c>
      <c r="AY264" s="1" t="s">
        <v>3163</v>
      </c>
      <c r="AZ264" s="1" t="s">
        <v>1507</v>
      </c>
      <c r="BA264" s="1" t="s">
        <v>1507</v>
      </c>
      <c r="BB264" s="1" t="s">
        <v>1507</v>
      </c>
      <c r="BC264" s="1" t="s">
        <v>1507</v>
      </c>
      <c r="BD264" s="1" t="s">
        <v>1507</v>
      </c>
      <c r="BE264" s="1">
        <v>104580</v>
      </c>
      <c r="BF264" s="1" t="s">
        <v>3164</v>
      </c>
      <c r="BG264" s="1" t="str">
        <f>HYPERLINK("http://dx.doi.org/10.1016/j.frl.2023.104580","http://dx.doi.org/10.1016/j.frl.2023.104580")</f>
        <v>http://dx.doi.org/10.1016/j.frl.2023.104580</v>
      </c>
      <c r="BH264" s="1" t="s">
        <v>1507</v>
      </c>
      <c r="BI264" s="1" t="s">
        <v>2891</v>
      </c>
      <c r="BJ264" s="1">
        <v>7</v>
      </c>
      <c r="BK264" s="1" t="s">
        <v>3165</v>
      </c>
      <c r="BL264" s="1" t="s">
        <v>1518</v>
      </c>
      <c r="BM264" s="1" t="s">
        <v>3118</v>
      </c>
      <c r="BN264" s="1" t="s">
        <v>3166</v>
      </c>
      <c r="BO264" s="1" t="s">
        <v>1507</v>
      </c>
      <c r="BP264" s="1" t="s">
        <v>1507</v>
      </c>
      <c r="BQ264" s="1" t="s">
        <v>1507</v>
      </c>
      <c r="BR264" s="1" t="s">
        <v>1507</v>
      </c>
      <c r="BS264" s="1" t="s">
        <v>13744</v>
      </c>
      <c r="BT264" s="1" t="s">
        <v>3167</v>
      </c>
      <c r="BU264" s="1" t="str">
        <f>HYPERLINK("https%3A%2F%2Fwww.webofscience.com%2Fwos%2Fwoscc%2Ffull-record%2FWOS:001098428500001","View Full Record in Web of Science")</f>
        <v>View Full Record in Web of Science</v>
      </c>
    </row>
    <row r="265" spans="1:73" x14ac:dyDescent="0.25">
      <c r="A265" s="1">
        <v>294</v>
      </c>
      <c r="B265" s="1" t="s">
        <v>5546</v>
      </c>
      <c r="C265" s="1" t="s">
        <v>15089</v>
      </c>
      <c r="D265" s="1" t="s">
        <v>1507</v>
      </c>
      <c r="E265" s="1" t="s">
        <v>1507</v>
      </c>
      <c r="F265" s="1" t="s">
        <v>5548</v>
      </c>
      <c r="G265" s="1" t="s">
        <v>15090</v>
      </c>
      <c r="H265" s="1" t="s">
        <v>1507</v>
      </c>
      <c r="I265" s="1" t="s">
        <v>1507</v>
      </c>
      <c r="J265" s="1" t="s">
        <v>15091</v>
      </c>
      <c r="K265" s="1" t="s">
        <v>15092</v>
      </c>
      <c r="L265" s="1" t="s">
        <v>1507</v>
      </c>
      <c r="M265" s="1" t="s">
        <v>1507</v>
      </c>
      <c r="N265" s="1" t="s">
        <v>42</v>
      </c>
      <c r="O265" s="1" t="s">
        <v>5552</v>
      </c>
      <c r="P265" s="1" t="s">
        <v>15093</v>
      </c>
      <c r="Q265" s="1" t="s">
        <v>15094</v>
      </c>
      <c r="R265" s="1" t="s">
        <v>15095</v>
      </c>
      <c r="S265" s="1" t="s">
        <v>15096</v>
      </c>
      <c r="T265" s="1" t="s">
        <v>1507</v>
      </c>
      <c r="U265" s="1" t="s">
        <v>15097</v>
      </c>
      <c r="V265" s="1" t="s">
        <v>1507</v>
      </c>
      <c r="W265" s="1" t="s">
        <v>15098</v>
      </c>
      <c r="X265" s="1" t="s">
        <v>15099</v>
      </c>
      <c r="Y265" s="1" t="s">
        <v>15100</v>
      </c>
      <c r="Z265" s="1" t="s">
        <v>15101</v>
      </c>
      <c r="AA265" s="1" t="s">
        <v>15102</v>
      </c>
      <c r="AB265" s="1" t="s">
        <v>1507</v>
      </c>
      <c r="AC265" s="1" t="s">
        <v>15103</v>
      </c>
      <c r="AD265" s="1" t="s">
        <v>15104</v>
      </c>
      <c r="AE265" s="1" t="s">
        <v>15105</v>
      </c>
      <c r="AF265" s="1" t="s">
        <v>15106</v>
      </c>
      <c r="AG265" s="1" t="s">
        <v>1507</v>
      </c>
      <c r="AH265" s="1">
        <v>21</v>
      </c>
      <c r="AI265" s="1">
        <v>0</v>
      </c>
      <c r="AJ265" s="1">
        <v>0</v>
      </c>
      <c r="AK265" s="1">
        <v>0</v>
      </c>
      <c r="AL265" s="1">
        <v>0</v>
      </c>
      <c r="AM265" s="1" t="s">
        <v>5565</v>
      </c>
      <c r="AN265" s="1" t="s">
        <v>1512</v>
      </c>
      <c r="AO265" s="1" t="s">
        <v>5566</v>
      </c>
      <c r="AP265" s="1" t="s">
        <v>1507</v>
      </c>
      <c r="AQ265" s="1" t="s">
        <v>1507</v>
      </c>
      <c r="AR265" s="1" t="s">
        <v>15107</v>
      </c>
      <c r="AS265" s="1" t="s">
        <v>1507</v>
      </c>
      <c r="AT265" s="1" t="s">
        <v>1507</v>
      </c>
      <c r="AU265" s="1" t="s">
        <v>1507</v>
      </c>
      <c r="AV265" s="1">
        <v>2023</v>
      </c>
      <c r="AW265" s="1" t="s">
        <v>1507</v>
      </c>
      <c r="AX265" s="1" t="s">
        <v>1507</v>
      </c>
      <c r="AY265" s="1" t="s">
        <v>1507</v>
      </c>
      <c r="AZ265" s="1" t="s">
        <v>1507</v>
      </c>
      <c r="BA265" s="1" t="s">
        <v>1507</v>
      </c>
      <c r="BB265" s="1" t="s">
        <v>1507</v>
      </c>
      <c r="BC265" s="1">
        <v>4018</v>
      </c>
      <c r="BD265" s="1">
        <v>4022</v>
      </c>
      <c r="BE265" s="1" t="s">
        <v>1507</v>
      </c>
      <c r="BF265" s="1" t="s">
        <v>15108</v>
      </c>
      <c r="BG265" s="1" t="str">
        <f>HYPERLINK("http://dx.doi.org/10.1145/3583780.3615234","http://dx.doi.org/10.1145/3583780.3615234")</f>
        <v>http://dx.doi.org/10.1145/3583780.3615234</v>
      </c>
      <c r="BH265" s="1" t="s">
        <v>1507</v>
      </c>
      <c r="BI265" s="1" t="s">
        <v>1507</v>
      </c>
      <c r="BJ265" s="1">
        <v>5</v>
      </c>
      <c r="BK265" s="1" t="s">
        <v>5650</v>
      </c>
      <c r="BL265" s="1" t="s">
        <v>5570</v>
      </c>
      <c r="BM265" s="1" t="s">
        <v>1577</v>
      </c>
      <c r="BN265" s="1" t="s">
        <v>15109</v>
      </c>
      <c r="BO265" s="1" t="s">
        <v>1507</v>
      </c>
      <c r="BP265" s="1" t="s">
        <v>1507</v>
      </c>
      <c r="BQ265" s="1" t="s">
        <v>1507</v>
      </c>
      <c r="BR265" s="1" t="s">
        <v>1507</v>
      </c>
      <c r="BS265" s="1" t="s">
        <v>13744</v>
      </c>
      <c r="BT265" s="1" t="s">
        <v>15110</v>
      </c>
      <c r="BU265" s="1" t="str">
        <f>HYPERLINK("https%3A%2F%2Fwww.webofscience.com%2Fwos%2Fwoscc%2Ffull-record%2FWOS:001161549504012","View Full Record in Web of Science")</f>
        <v>View Full Record in Web of Science</v>
      </c>
    </row>
    <row r="266" spans="1:73" x14ac:dyDescent="0.25">
      <c r="A266" s="1">
        <v>295</v>
      </c>
      <c r="B266" s="1" t="s">
        <v>5546</v>
      </c>
      <c r="C266" s="1" t="s">
        <v>15111</v>
      </c>
      <c r="D266" s="1" t="s">
        <v>1507</v>
      </c>
      <c r="E266" s="1" t="s">
        <v>15112</v>
      </c>
      <c r="F266" s="1" t="s">
        <v>1507</v>
      </c>
      <c r="G266" s="1" t="s">
        <v>15113</v>
      </c>
      <c r="H266" s="1" t="s">
        <v>1507</v>
      </c>
      <c r="I266" s="1" t="s">
        <v>1507</v>
      </c>
      <c r="J266" s="1" t="s">
        <v>15114</v>
      </c>
      <c r="K266" s="1" t="s">
        <v>15115</v>
      </c>
      <c r="L266" s="1" t="s">
        <v>1507</v>
      </c>
      <c r="M266" s="1" t="s">
        <v>1507</v>
      </c>
      <c r="N266" s="1" t="s">
        <v>42</v>
      </c>
      <c r="O266" s="1" t="s">
        <v>5552</v>
      </c>
      <c r="P266" s="1" t="s">
        <v>15116</v>
      </c>
      <c r="Q266" s="1" t="s">
        <v>15117</v>
      </c>
      <c r="R266" s="1" t="s">
        <v>15118</v>
      </c>
      <c r="S266" s="1" t="s">
        <v>15119</v>
      </c>
      <c r="T266" s="1" t="s">
        <v>1507</v>
      </c>
      <c r="U266" s="1" t="s">
        <v>1507</v>
      </c>
      <c r="V266" s="1" t="s">
        <v>1507</v>
      </c>
      <c r="W266" s="1" t="s">
        <v>15120</v>
      </c>
      <c r="X266" s="1" t="s">
        <v>15121</v>
      </c>
      <c r="Y266" s="1" t="s">
        <v>15122</v>
      </c>
      <c r="Z266" s="1" t="s">
        <v>15123</v>
      </c>
      <c r="AA266" s="1" t="s">
        <v>15124</v>
      </c>
      <c r="AB266" s="1" t="s">
        <v>1507</v>
      </c>
      <c r="AC266" s="1" t="s">
        <v>1507</v>
      </c>
      <c r="AD266" s="1" t="s">
        <v>15125</v>
      </c>
      <c r="AE266" s="1" t="s">
        <v>15126</v>
      </c>
      <c r="AF266" s="1" t="s">
        <v>15127</v>
      </c>
      <c r="AG266" s="1" t="s">
        <v>1507</v>
      </c>
      <c r="AH266" s="1">
        <v>49</v>
      </c>
      <c r="AI266" s="1">
        <v>0</v>
      </c>
      <c r="AJ266" s="1">
        <v>0</v>
      </c>
      <c r="AK266" s="1">
        <v>0</v>
      </c>
      <c r="AL266" s="1">
        <v>0</v>
      </c>
      <c r="AM266" s="1" t="s">
        <v>7663</v>
      </c>
      <c r="AN266" s="1" t="s">
        <v>7664</v>
      </c>
      <c r="AO266" s="1" t="s">
        <v>7665</v>
      </c>
      <c r="AP266" s="1" t="s">
        <v>1507</v>
      </c>
      <c r="AQ266" s="1" t="s">
        <v>1507</v>
      </c>
      <c r="AR266" s="1" t="s">
        <v>15128</v>
      </c>
      <c r="AS266" s="1" t="s">
        <v>1507</v>
      </c>
      <c r="AT266" s="1" t="s">
        <v>1507</v>
      </c>
      <c r="AU266" s="1" t="s">
        <v>1507</v>
      </c>
      <c r="AV266" s="1">
        <v>2023</v>
      </c>
      <c r="AW266" s="1" t="s">
        <v>1507</v>
      </c>
      <c r="AX266" s="1" t="s">
        <v>1507</v>
      </c>
      <c r="AY266" s="1" t="s">
        <v>1507</v>
      </c>
      <c r="AZ266" s="1" t="s">
        <v>1507</v>
      </c>
      <c r="BA266" s="1" t="s">
        <v>1507</v>
      </c>
      <c r="BB266" s="1" t="s">
        <v>1507</v>
      </c>
      <c r="BC266" s="1">
        <v>195</v>
      </c>
      <c r="BD266" s="1">
        <v>208</v>
      </c>
      <c r="BE266" s="1" t="s">
        <v>1507</v>
      </c>
      <c r="BF266" s="1" t="s">
        <v>1507</v>
      </c>
      <c r="BG266" s="1" t="s">
        <v>1507</v>
      </c>
      <c r="BH266" s="1" t="s">
        <v>1507</v>
      </c>
      <c r="BI266" s="1" t="s">
        <v>1507</v>
      </c>
      <c r="BJ266" s="1">
        <v>14</v>
      </c>
      <c r="BK266" s="1" t="s">
        <v>2678</v>
      </c>
      <c r="BL266" s="1" t="s">
        <v>5570</v>
      </c>
      <c r="BM266" s="1" t="s">
        <v>1577</v>
      </c>
      <c r="BN266" s="1" t="s">
        <v>15129</v>
      </c>
      <c r="BO266" s="1" t="s">
        <v>1507</v>
      </c>
      <c r="BP266" s="1" t="s">
        <v>1507</v>
      </c>
      <c r="BQ266" s="1" t="s">
        <v>1507</v>
      </c>
      <c r="BR266" s="1" t="s">
        <v>1507</v>
      </c>
      <c r="BS266" s="1" t="s">
        <v>13744</v>
      </c>
      <c r="BT266" s="1" t="s">
        <v>15130</v>
      </c>
      <c r="BU266" s="1" t="str">
        <f>HYPERLINK("https%3A%2F%2Fwww.webofscience.com%2Fwos%2Fwoscc%2Ffull-record%2FWOS:001181069700023","View Full Record in Web of Science")</f>
        <v>View Full Record in Web of Science</v>
      </c>
    </row>
    <row r="267" spans="1:73" x14ac:dyDescent="0.25">
      <c r="A267" s="1">
        <v>296</v>
      </c>
      <c r="B267" s="1" t="s">
        <v>1506</v>
      </c>
      <c r="C267" s="1" t="s">
        <v>3099</v>
      </c>
      <c r="D267" s="1" t="s">
        <v>1507</v>
      </c>
      <c r="E267" s="1" t="s">
        <v>1507</v>
      </c>
      <c r="F267" s="1" t="s">
        <v>1507</v>
      </c>
      <c r="G267" s="1" t="s">
        <v>3100</v>
      </c>
      <c r="H267" s="1" t="s">
        <v>1507</v>
      </c>
      <c r="I267" s="1" t="s">
        <v>1507</v>
      </c>
      <c r="J267" s="1" t="s">
        <v>3101</v>
      </c>
      <c r="K267" s="1" t="s">
        <v>3102</v>
      </c>
      <c r="L267" s="1" t="s">
        <v>1507</v>
      </c>
      <c r="M267" s="1" t="s">
        <v>1507</v>
      </c>
      <c r="N267" s="1" t="s">
        <v>42</v>
      </c>
      <c r="O267" s="1" t="s">
        <v>56</v>
      </c>
      <c r="P267" s="1" t="s">
        <v>1507</v>
      </c>
      <c r="Q267" s="1" t="s">
        <v>1507</v>
      </c>
      <c r="R267" s="1" t="s">
        <v>1507</v>
      </c>
      <c r="S267" s="1" t="s">
        <v>1507</v>
      </c>
      <c r="T267" s="1" t="s">
        <v>1507</v>
      </c>
      <c r="U267" s="1" t="s">
        <v>3103</v>
      </c>
      <c r="V267" s="1" t="s">
        <v>3104</v>
      </c>
      <c r="W267" s="1" t="s">
        <v>3105</v>
      </c>
      <c r="X267" s="1" t="s">
        <v>3106</v>
      </c>
      <c r="Y267" s="1" t="s">
        <v>3107</v>
      </c>
      <c r="Z267" s="1" t="s">
        <v>3108</v>
      </c>
      <c r="AA267" s="1" t="s">
        <v>3109</v>
      </c>
      <c r="AB267" s="1" t="s">
        <v>1507</v>
      </c>
      <c r="AC267" s="1" t="s">
        <v>1507</v>
      </c>
      <c r="AD267" s="1" t="s">
        <v>3110</v>
      </c>
      <c r="AE267" s="1" t="s">
        <v>3110</v>
      </c>
      <c r="AF267" s="1" t="s">
        <v>3111</v>
      </c>
      <c r="AG267" s="1" t="s">
        <v>1507</v>
      </c>
      <c r="AH267" s="1">
        <v>67</v>
      </c>
      <c r="AI267" s="1">
        <v>2</v>
      </c>
      <c r="AJ267" s="1">
        <v>2</v>
      </c>
      <c r="AK267" s="1">
        <v>72</v>
      </c>
      <c r="AL267" s="1">
        <v>72</v>
      </c>
      <c r="AM267" s="1" t="s">
        <v>1586</v>
      </c>
      <c r="AN267" s="1" t="s">
        <v>1587</v>
      </c>
      <c r="AO267" s="1" t="s">
        <v>1588</v>
      </c>
      <c r="AP267" s="1" t="s">
        <v>3112</v>
      </c>
      <c r="AQ267" s="1" t="s">
        <v>3113</v>
      </c>
      <c r="AR267" s="1" t="s">
        <v>1507</v>
      </c>
      <c r="AS267" s="1" t="s">
        <v>3114</v>
      </c>
      <c r="AT267" s="1" t="s">
        <v>3115</v>
      </c>
      <c r="AU267" s="1" t="s">
        <v>1616</v>
      </c>
      <c r="AV267" s="1">
        <v>2024</v>
      </c>
      <c r="AW267" s="1">
        <v>76</v>
      </c>
      <c r="AX267" s="1" t="s">
        <v>1507</v>
      </c>
      <c r="AY267" s="1" t="s">
        <v>1507</v>
      </c>
      <c r="AZ267" s="1" t="s">
        <v>1507</v>
      </c>
      <c r="BA267" s="1" t="s">
        <v>1507</v>
      </c>
      <c r="BB267" s="1" t="s">
        <v>1507</v>
      </c>
      <c r="BC267" s="1" t="s">
        <v>1507</v>
      </c>
      <c r="BD267" s="1" t="s">
        <v>1507</v>
      </c>
      <c r="BE267" s="1">
        <v>103580</v>
      </c>
      <c r="BF267" s="1" t="s">
        <v>3116</v>
      </c>
      <c r="BG267" s="1" t="str">
        <f>HYPERLINK("http://dx.doi.org/10.1016/j.jretconser.2023.103580","http://dx.doi.org/10.1016/j.jretconser.2023.103580")</f>
        <v>http://dx.doi.org/10.1016/j.jretconser.2023.103580</v>
      </c>
      <c r="BH267" s="1" t="s">
        <v>1507</v>
      </c>
      <c r="BI267" s="1" t="s">
        <v>2891</v>
      </c>
      <c r="BJ267" s="1">
        <v>13</v>
      </c>
      <c r="BK267" s="1" t="s">
        <v>3117</v>
      </c>
      <c r="BL267" s="1" t="s">
        <v>1518</v>
      </c>
      <c r="BM267" s="1" t="s">
        <v>3118</v>
      </c>
      <c r="BN267" s="1" t="s">
        <v>3119</v>
      </c>
      <c r="BO267" s="1" t="s">
        <v>1507</v>
      </c>
      <c r="BP267" s="1" t="s">
        <v>1537</v>
      </c>
      <c r="BQ267" s="1" t="s">
        <v>1507</v>
      </c>
      <c r="BR267" s="1" t="s">
        <v>1507</v>
      </c>
      <c r="BS267" s="1" t="s">
        <v>13744</v>
      </c>
      <c r="BT267" s="1" t="s">
        <v>3120</v>
      </c>
      <c r="BU267" s="1" t="str">
        <f>HYPERLINK("https%3A%2F%2Fwww.webofscience.com%2Fwos%2Fwoscc%2Ffull-record%2FWOS:001108563800001","View Full Record in Web of Science")</f>
        <v>View Full Record in Web of Science</v>
      </c>
    </row>
    <row r="268" spans="1:73" x14ac:dyDescent="0.25">
      <c r="A268" s="1">
        <v>297</v>
      </c>
      <c r="B268" s="1" t="s">
        <v>1506</v>
      </c>
      <c r="C268" s="1" t="s">
        <v>2383</v>
      </c>
      <c r="D268" s="1" t="s">
        <v>1507</v>
      </c>
      <c r="E268" s="1" t="s">
        <v>1507</v>
      </c>
      <c r="F268" s="1" t="s">
        <v>1507</v>
      </c>
      <c r="G268" s="1" t="s">
        <v>2384</v>
      </c>
      <c r="H268" s="1" t="s">
        <v>1507</v>
      </c>
      <c r="I268" s="1" t="s">
        <v>1507</v>
      </c>
      <c r="J268" s="1" t="s">
        <v>1347</v>
      </c>
      <c r="K268" s="1" t="s">
        <v>2385</v>
      </c>
      <c r="L268" s="1" t="s">
        <v>1507</v>
      </c>
      <c r="M268" s="1" t="s">
        <v>1507</v>
      </c>
      <c r="N268" s="1" t="s">
        <v>42</v>
      </c>
      <c r="O268" s="1" t="s">
        <v>1509</v>
      </c>
      <c r="P268" s="1" t="s">
        <v>1507</v>
      </c>
      <c r="Q268" s="1" t="s">
        <v>1507</v>
      </c>
      <c r="R268" s="1" t="s">
        <v>1507</v>
      </c>
      <c r="S268" s="1" t="s">
        <v>1507</v>
      </c>
      <c r="T268" s="1" t="s">
        <v>1507</v>
      </c>
      <c r="U268" s="1" t="s">
        <v>2386</v>
      </c>
      <c r="V268" s="1" t="s">
        <v>1507</v>
      </c>
      <c r="W268" s="1" t="s">
        <v>2387</v>
      </c>
      <c r="X268" s="1" t="s">
        <v>2388</v>
      </c>
      <c r="Y268" s="1" t="s">
        <v>2389</v>
      </c>
      <c r="Z268" s="1" t="s">
        <v>2390</v>
      </c>
      <c r="AA268" s="1" t="s">
        <v>2391</v>
      </c>
      <c r="AB268" s="1" t="s">
        <v>1507</v>
      </c>
      <c r="AC268" s="1" t="s">
        <v>1507</v>
      </c>
      <c r="AD268" s="1" t="s">
        <v>1507</v>
      </c>
      <c r="AE268" s="1" t="s">
        <v>1507</v>
      </c>
      <c r="AF268" s="1" t="s">
        <v>1507</v>
      </c>
      <c r="AG268" s="1" t="s">
        <v>1507</v>
      </c>
      <c r="AH268" s="1">
        <v>58</v>
      </c>
      <c r="AI268" s="1">
        <v>0</v>
      </c>
      <c r="AJ268" s="1">
        <v>0</v>
      </c>
      <c r="AK268" s="1">
        <v>50</v>
      </c>
      <c r="AL268" s="1">
        <v>50</v>
      </c>
      <c r="AM268" s="1" t="s">
        <v>1555</v>
      </c>
      <c r="AN268" s="1" t="s">
        <v>1556</v>
      </c>
      <c r="AO268" s="1" t="s">
        <v>1557</v>
      </c>
      <c r="AP268" s="1" t="s">
        <v>2392</v>
      </c>
      <c r="AQ268" s="1" t="s">
        <v>2393</v>
      </c>
      <c r="AR268" s="1" t="s">
        <v>1507</v>
      </c>
      <c r="AS268" s="1" t="s">
        <v>2394</v>
      </c>
      <c r="AT268" s="1" t="s">
        <v>1354</v>
      </c>
      <c r="AU268" s="1" t="s">
        <v>2395</v>
      </c>
      <c r="AV268" s="1">
        <v>2023</v>
      </c>
      <c r="AW268" s="1" t="s">
        <v>1507</v>
      </c>
      <c r="AX268" s="1" t="s">
        <v>1507</v>
      </c>
      <c r="AY268" s="1" t="s">
        <v>1507</v>
      </c>
      <c r="AZ268" s="1" t="s">
        <v>1507</v>
      </c>
      <c r="BA268" s="1" t="s">
        <v>1507</v>
      </c>
      <c r="BB268" s="1" t="s">
        <v>1507</v>
      </c>
      <c r="BC268" s="1" t="s">
        <v>1507</v>
      </c>
      <c r="BD268" s="1" t="s">
        <v>1507</v>
      </c>
      <c r="BE268" s="1" t="s">
        <v>1507</v>
      </c>
      <c r="BF268" s="1" t="s">
        <v>1349</v>
      </c>
      <c r="BG268" s="1" t="str">
        <f>HYPERLINK("http://dx.doi.org/10.1080/03323315.2023.2284901","http://dx.doi.org/10.1080/03323315.2023.2284901")</f>
        <v>http://dx.doi.org/10.1080/03323315.2023.2284901</v>
      </c>
      <c r="BH268" s="1" t="s">
        <v>1507</v>
      </c>
      <c r="BI268" s="1" t="s">
        <v>2396</v>
      </c>
      <c r="BJ268" s="1">
        <v>18</v>
      </c>
      <c r="BK268" s="1" t="s">
        <v>1558</v>
      </c>
      <c r="BL268" s="1" t="s">
        <v>1518</v>
      </c>
      <c r="BM268" s="1" t="s">
        <v>1558</v>
      </c>
      <c r="BN268" s="1" t="s">
        <v>2397</v>
      </c>
      <c r="BO268" s="1" t="s">
        <v>1507</v>
      </c>
      <c r="BP268" s="1" t="s">
        <v>1507</v>
      </c>
      <c r="BQ268" s="1" t="s">
        <v>1507</v>
      </c>
      <c r="BR268" s="1" t="s">
        <v>1507</v>
      </c>
      <c r="BS268" s="1" t="s">
        <v>13744</v>
      </c>
      <c r="BT268" s="1" t="s">
        <v>2398</v>
      </c>
      <c r="BU268" s="1" t="str">
        <f>HYPERLINK("https%3A%2F%2Fwww.webofscience.com%2Fwos%2Fwoscc%2Ffull-record%2FWOS:001105574000001","View Full Record in Web of Science")</f>
        <v>View Full Record in Web of Science</v>
      </c>
    </row>
    <row r="269" spans="1:73" x14ac:dyDescent="0.25">
      <c r="A269" s="1">
        <v>298</v>
      </c>
      <c r="B269" s="1" t="s">
        <v>1506</v>
      </c>
      <c r="C269" s="1" t="s">
        <v>11607</v>
      </c>
      <c r="D269" s="1" t="s">
        <v>1507</v>
      </c>
      <c r="E269" s="1" t="s">
        <v>1507</v>
      </c>
      <c r="F269" s="1" t="s">
        <v>1507</v>
      </c>
      <c r="G269" s="1" t="s">
        <v>11608</v>
      </c>
      <c r="H269" s="1" t="s">
        <v>1507</v>
      </c>
      <c r="I269" s="1" t="s">
        <v>1507</v>
      </c>
      <c r="J269" s="1" t="s">
        <v>11609</v>
      </c>
      <c r="K269" s="1" t="s">
        <v>11610</v>
      </c>
      <c r="L269" s="1" t="s">
        <v>1507</v>
      </c>
      <c r="M269" s="1" t="s">
        <v>1507</v>
      </c>
      <c r="N269" s="1" t="s">
        <v>42</v>
      </c>
      <c r="O269" s="1" t="s">
        <v>56</v>
      </c>
      <c r="P269" s="1" t="s">
        <v>1507</v>
      </c>
      <c r="Q269" s="1" t="s">
        <v>1507</v>
      </c>
      <c r="R269" s="1" t="s">
        <v>1507</v>
      </c>
      <c r="S269" s="1" t="s">
        <v>1507</v>
      </c>
      <c r="T269" s="1" t="s">
        <v>1507</v>
      </c>
      <c r="U269" s="1" t="s">
        <v>11611</v>
      </c>
      <c r="V269" s="1" t="s">
        <v>11612</v>
      </c>
      <c r="W269" s="1" t="s">
        <v>11613</v>
      </c>
      <c r="X269" s="1" t="s">
        <v>11614</v>
      </c>
      <c r="Y269" s="1" t="s">
        <v>11615</v>
      </c>
      <c r="Z269" s="1" t="s">
        <v>11616</v>
      </c>
      <c r="AA269" s="1" t="s">
        <v>11617</v>
      </c>
      <c r="AB269" s="1" t="s">
        <v>11618</v>
      </c>
      <c r="AC269" s="1" t="s">
        <v>11619</v>
      </c>
      <c r="AD269" s="1" t="s">
        <v>11620</v>
      </c>
      <c r="AE269" s="1" t="s">
        <v>11621</v>
      </c>
      <c r="AF269" s="1" t="s">
        <v>11622</v>
      </c>
      <c r="AG269" s="1" t="s">
        <v>1507</v>
      </c>
      <c r="AH269" s="1">
        <v>42</v>
      </c>
      <c r="AI269" s="1">
        <v>9</v>
      </c>
      <c r="AJ269" s="1">
        <v>10</v>
      </c>
      <c r="AK269" s="1">
        <v>0</v>
      </c>
      <c r="AL269" s="1">
        <v>23</v>
      </c>
      <c r="AM269" s="1" t="s">
        <v>11623</v>
      </c>
      <c r="AN269" s="1" t="s">
        <v>1580</v>
      </c>
      <c r="AO269" s="1" t="s">
        <v>11624</v>
      </c>
      <c r="AP269" s="1" t="s">
        <v>11625</v>
      </c>
      <c r="AQ269" s="1" t="s">
        <v>11626</v>
      </c>
      <c r="AR269" s="1" t="s">
        <v>1507</v>
      </c>
      <c r="AS269" s="1" t="s">
        <v>11627</v>
      </c>
      <c r="AT269" s="1" t="s">
        <v>11628</v>
      </c>
      <c r="AU269" s="1" t="s">
        <v>3992</v>
      </c>
      <c r="AV269" s="1">
        <v>2018</v>
      </c>
      <c r="AW269" s="1">
        <v>143</v>
      </c>
      <c r="AX269" s="1" t="s">
        <v>1507</v>
      </c>
      <c r="AY269" s="1" t="s">
        <v>1507</v>
      </c>
      <c r="AZ269" s="1" t="s">
        <v>1507</v>
      </c>
      <c r="BA269" s="1" t="s">
        <v>1507</v>
      </c>
      <c r="BB269" s="1" t="s">
        <v>1507</v>
      </c>
      <c r="BC269" s="1">
        <v>102</v>
      </c>
      <c r="BD269" s="1">
        <v>111</v>
      </c>
      <c r="BE269" s="1" t="s">
        <v>1507</v>
      </c>
      <c r="BF269" s="1" t="s">
        <v>11629</v>
      </c>
      <c r="BG269" s="1" t="str">
        <f>HYPERLINK("http://dx.doi.org/10.1016/j.postharvbio.2018.04.018","http://dx.doi.org/10.1016/j.postharvbio.2018.04.018")</f>
        <v>http://dx.doi.org/10.1016/j.postharvbio.2018.04.018</v>
      </c>
      <c r="BH269" s="1" t="s">
        <v>1507</v>
      </c>
      <c r="BI269" s="1" t="s">
        <v>1507</v>
      </c>
      <c r="BJ269" s="1">
        <v>10</v>
      </c>
      <c r="BK269" s="1" t="s">
        <v>11630</v>
      </c>
      <c r="BL269" s="1" t="s">
        <v>1573</v>
      </c>
      <c r="BM269" s="1" t="s">
        <v>11631</v>
      </c>
      <c r="BN269" s="1" t="s">
        <v>11632</v>
      </c>
      <c r="BO269" s="1" t="s">
        <v>1507</v>
      </c>
      <c r="BP269" s="1" t="s">
        <v>1507</v>
      </c>
      <c r="BQ269" s="1" t="s">
        <v>1507</v>
      </c>
      <c r="BR269" s="1" t="s">
        <v>1507</v>
      </c>
      <c r="BS269" s="1" t="s">
        <v>13744</v>
      </c>
      <c r="BT269" s="1" t="s">
        <v>11633</v>
      </c>
      <c r="BU269" s="1" t="str">
        <f>HYPERLINK("https%3A%2F%2Fwww.webofscience.com%2Fwos%2Fwoscc%2Ffull-record%2FWOS:000433225900012","View Full Record in Web of Science")</f>
        <v>View Full Record in Web of Science</v>
      </c>
    </row>
    <row r="270" spans="1:73" x14ac:dyDescent="0.25">
      <c r="A270" s="1">
        <v>299</v>
      </c>
      <c r="B270" s="1" t="s">
        <v>1506</v>
      </c>
      <c r="C270" s="1" t="s">
        <v>10115</v>
      </c>
      <c r="D270" s="1" t="s">
        <v>1507</v>
      </c>
      <c r="E270" s="1" t="s">
        <v>1507</v>
      </c>
      <c r="F270" s="1" t="s">
        <v>1507</v>
      </c>
      <c r="G270" s="1" t="s">
        <v>10116</v>
      </c>
      <c r="H270" s="1" t="s">
        <v>1507</v>
      </c>
      <c r="I270" s="1" t="s">
        <v>1507</v>
      </c>
      <c r="J270" s="1" t="s">
        <v>10117</v>
      </c>
      <c r="K270" s="1" t="s">
        <v>9535</v>
      </c>
      <c r="L270" s="1" t="s">
        <v>1507</v>
      </c>
      <c r="M270" s="1" t="s">
        <v>1507</v>
      </c>
      <c r="N270" s="1" t="s">
        <v>42</v>
      </c>
      <c r="O270" s="1" t="s">
        <v>56</v>
      </c>
      <c r="P270" s="1" t="s">
        <v>1507</v>
      </c>
      <c r="Q270" s="1" t="s">
        <v>1507</v>
      </c>
      <c r="R270" s="1" t="s">
        <v>1507</v>
      </c>
      <c r="S270" s="1" t="s">
        <v>1507</v>
      </c>
      <c r="T270" s="1" t="s">
        <v>1507</v>
      </c>
      <c r="U270" s="1" t="s">
        <v>10118</v>
      </c>
      <c r="V270" s="1" t="s">
        <v>1507</v>
      </c>
      <c r="W270" s="1" t="s">
        <v>10119</v>
      </c>
      <c r="X270" s="1" t="s">
        <v>10120</v>
      </c>
      <c r="Y270" s="1" t="s">
        <v>15829</v>
      </c>
      <c r="Z270" s="1" t="s">
        <v>10121</v>
      </c>
      <c r="AA270" s="1" t="s">
        <v>10122</v>
      </c>
      <c r="AB270" s="1" t="s">
        <v>1507</v>
      </c>
      <c r="AC270" s="1" t="s">
        <v>10123</v>
      </c>
      <c r="AD270" s="1" t="s">
        <v>10124</v>
      </c>
      <c r="AE270" s="1" t="s">
        <v>10125</v>
      </c>
      <c r="AF270" s="1" t="s">
        <v>10126</v>
      </c>
      <c r="AG270" s="1" t="s">
        <v>1507</v>
      </c>
      <c r="AH270" s="1">
        <v>79</v>
      </c>
      <c r="AI270" s="1">
        <v>12</v>
      </c>
      <c r="AJ270" s="1">
        <v>12</v>
      </c>
      <c r="AK270" s="1">
        <v>3</v>
      </c>
      <c r="AL270" s="1">
        <v>25</v>
      </c>
      <c r="AM270" s="1" t="s">
        <v>9546</v>
      </c>
      <c r="AN270" s="1" t="s">
        <v>9547</v>
      </c>
      <c r="AO270" s="1" t="s">
        <v>9548</v>
      </c>
      <c r="AP270" s="1" t="s">
        <v>9549</v>
      </c>
      <c r="AQ270" s="1" t="s">
        <v>9550</v>
      </c>
      <c r="AR270" s="1" t="s">
        <v>1507</v>
      </c>
      <c r="AS270" s="1" t="s">
        <v>9551</v>
      </c>
      <c r="AT270" s="1" t="s">
        <v>9552</v>
      </c>
      <c r="AU270" s="1" t="s">
        <v>9054</v>
      </c>
      <c r="AV270" s="1">
        <v>2020</v>
      </c>
      <c r="AW270" s="1">
        <v>21</v>
      </c>
      <c r="AX270" s="1">
        <v>1</v>
      </c>
      <c r="AY270" s="1" t="s">
        <v>1507</v>
      </c>
      <c r="AZ270" s="1" t="s">
        <v>1507</v>
      </c>
      <c r="BA270" s="1" t="s">
        <v>3506</v>
      </c>
      <c r="BB270" s="1" t="s">
        <v>1507</v>
      </c>
      <c r="BC270" s="1">
        <v>104</v>
      </c>
      <c r="BD270" s="1">
        <v>139</v>
      </c>
      <c r="BE270" s="1" t="s">
        <v>1507</v>
      </c>
      <c r="BF270" s="1" t="s">
        <v>10127</v>
      </c>
      <c r="BG270" s="1" t="str">
        <f>HYPERLINK("http://dx.doi.org/10.1163/22119000-12340169","http://dx.doi.org/10.1163/22119000-12340169")</f>
        <v>http://dx.doi.org/10.1163/22119000-12340169</v>
      </c>
      <c r="BH270" s="1" t="s">
        <v>1507</v>
      </c>
      <c r="BI270" s="1" t="s">
        <v>1507</v>
      </c>
      <c r="BJ270" s="1">
        <v>36</v>
      </c>
      <c r="BK270" s="1" t="s">
        <v>1535</v>
      </c>
      <c r="BL270" s="1" t="s">
        <v>1529</v>
      </c>
      <c r="BM270" s="1" t="s">
        <v>1536</v>
      </c>
      <c r="BN270" s="1" t="s">
        <v>10128</v>
      </c>
      <c r="BO270" s="1" t="s">
        <v>1507</v>
      </c>
      <c r="BP270" s="1" t="s">
        <v>1507</v>
      </c>
      <c r="BQ270" s="1" t="s">
        <v>1507</v>
      </c>
      <c r="BR270" s="1" t="s">
        <v>1507</v>
      </c>
      <c r="BS270" s="1" t="s">
        <v>13744</v>
      </c>
      <c r="BT270" s="1" t="s">
        <v>10129</v>
      </c>
      <c r="BU270" s="1" t="str">
        <f>HYPERLINK("https%3A%2F%2Fwww.webofscience.com%2Fwos%2Fwoscc%2Ffull-record%2FWOS:000514808400005","View Full Record in Web of Science")</f>
        <v>View Full Record in Web of Science</v>
      </c>
    </row>
    <row r="271" spans="1:73" x14ac:dyDescent="0.25">
      <c r="A271" s="1">
        <v>300</v>
      </c>
      <c r="B271" s="1" t="s">
        <v>1506</v>
      </c>
      <c r="C271" s="1" t="s">
        <v>7236</v>
      </c>
      <c r="D271" s="1" t="s">
        <v>1507</v>
      </c>
      <c r="E271" s="1" t="s">
        <v>1507</v>
      </c>
      <c r="F271" s="1" t="s">
        <v>1507</v>
      </c>
      <c r="G271" s="1" t="s">
        <v>7237</v>
      </c>
      <c r="H271" s="1" t="s">
        <v>1507</v>
      </c>
      <c r="I271" s="1" t="s">
        <v>1507</v>
      </c>
      <c r="J271" s="1" t="s">
        <v>7238</v>
      </c>
      <c r="K271" s="1" t="s">
        <v>7239</v>
      </c>
      <c r="L271" s="1" t="s">
        <v>1507</v>
      </c>
      <c r="M271" s="1" t="s">
        <v>1507</v>
      </c>
      <c r="N271" s="1" t="s">
        <v>42</v>
      </c>
      <c r="O271" s="1" t="s">
        <v>56</v>
      </c>
      <c r="P271" s="1" t="s">
        <v>1507</v>
      </c>
      <c r="Q271" s="1" t="s">
        <v>1507</v>
      </c>
      <c r="R271" s="1" t="s">
        <v>1507</v>
      </c>
      <c r="S271" s="1" t="s">
        <v>1507</v>
      </c>
      <c r="T271" s="1" t="s">
        <v>1507</v>
      </c>
      <c r="U271" s="1" t="s">
        <v>7240</v>
      </c>
      <c r="V271" s="1" t="s">
        <v>7241</v>
      </c>
      <c r="W271" s="1" t="s">
        <v>7242</v>
      </c>
      <c r="X271" s="1" t="s">
        <v>7243</v>
      </c>
      <c r="Y271" s="1" t="s">
        <v>7244</v>
      </c>
      <c r="Z271" s="1" t="s">
        <v>7245</v>
      </c>
      <c r="AA271" s="1" t="s">
        <v>7246</v>
      </c>
      <c r="AB271" s="1" t="s">
        <v>7247</v>
      </c>
      <c r="AC271" s="1" t="s">
        <v>15616</v>
      </c>
      <c r="AD271" s="1" t="s">
        <v>7248</v>
      </c>
      <c r="AE271" s="1" t="s">
        <v>7249</v>
      </c>
      <c r="AF271" s="1" t="s">
        <v>7250</v>
      </c>
      <c r="AG271" s="1" t="s">
        <v>1507</v>
      </c>
      <c r="AH271" s="1">
        <v>60</v>
      </c>
      <c r="AI271" s="1">
        <v>1</v>
      </c>
      <c r="AJ271" s="1">
        <v>1</v>
      </c>
      <c r="AK271" s="1">
        <v>1</v>
      </c>
      <c r="AL271" s="1">
        <v>4</v>
      </c>
      <c r="AM271" s="1" t="s">
        <v>1610</v>
      </c>
      <c r="AN271" s="1" t="s">
        <v>1611</v>
      </c>
      <c r="AO271" s="1" t="s">
        <v>1612</v>
      </c>
      <c r="AP271" s="1" t="s">
        <v>1507</v>
      </c>
      <c r="AQ271" s="1" t="s">
        <v>7251</v>
      </c>
      <c r="AR271" s="1" t="s">
        <v>1507</v>
      </c>
      <c r="AS271" s="1" t="s">
        <v>7239</v>
      </c>
      <c r="AT271" s="1" t="s">
        <v>7252</v>
      </c>
      <c r="AU271" s="1" t="s">
        <v>5045</v>
      </c>
      <c r="AV271" s="1">
        <v>2022</v>
      </c>
      <c r="AW271" s="1">
        <v>10</v>
      </c>
      <c r="AX271" s="1">
        <v>5</v>
      </c>
      <c r="AY271" s="1" t="s">
        <v>1507</v>
      </c>
      <c r="AZ271" s="1" t="s">
        <v>1507</v>
      </c>
      <c r="BA271" s="1" t="s">
        <v>1507</v>
      </c>
      <c r="BB271" s="1" t="s">
        <v>1507</v>
      </c>
      <c r="BC271" s="1" t="s">
        <v>1507</v>
      </c>
      <c r="BD271" s="1" t="s">
        <v>1507</v>
      </c>
      <c r="BE271" s="1">
        <v>39</v>
      </c>
      <c r="BF271" s="1" t="s">
        <v>7253</v>
      </c>
      <c r="BG271" s="1" t="str">
        <f>HYPERLINK("http://dx.doi.org/10.3390/fib10050039","http://dx.doi.org/10.3390/fib10050039")</f>
        <v>http://dx.doi.org/10.3390/fib10050039</v>
      </c>
      <c r="BH271" s="1" t="s">
        <v>1507</v>
      </c>
      <c r="BI271" s="1" t="s">
        <v>1507</v>
      </c>
      <c r="BJ271" s="1">
        <v>20</v>
      </c>
      <c r="BK271" s="1" t="s">
        <v>7254</v>
      </c>
      <c r="BL271" s="1" t="s">
        <v>1529</v>
      </c>
      <c r="BM271" s="1" t="s">
        <v>7255</v>
      </c>
      <c r="BN271" s="1" t="s">
        <v>7256</v>
      </c>
      <c r="BO271" s="1" t="s">
        <v>1507</v>
      </c>
      <c r="BP271" s="1" t="s">
        <v>1531</v>
      </c>
      <c r="BQ271" s="1" t="s">
        <v>1507</v>
      </c>
      <c r="BR271" s="1" t="s">
        <v>1507</v>
      </c>
      <c r="BS271" s="1" t="s">
        <v>13744</v>
      </c>
      <c r="BT271" s="1" t="s">
        <v>7257</v>
      </c>
      <c r="BU271" s="1" t="str">
        <f>HYPERLINK("https%3A%2F%2Fwww.webofscience.com%2Fwos%2Fwoscc%2Ffull-record%2FWOS:000802462500001","View Full Record in Web of Science")</f>
        <v>View Full Record in Web of Science</v>
      </c>
    </row>
    <row r="272" spans="1:73" x14ac:dyDescent="0.25">
      <c r="A272" s="1">
        <v>301</v>
      </c>
      <c r="B272" s="1" t="s">
        <v>1506</v>
      </c>
      <c r="C272" s="1" t="s">
        <v>4663</v>
      </c>
      <c r="D272" s="1" t="s">
        <v>1507</v>
      </c>
      <c r="E272" s="1" t="s">
        <v>1507</v>
      </c>
      <c r="F272" s="1" t="s">
        <v>1507</v>
      </c>
      <c r="G272" s="1" t="s">
        <v>4664</v>
      </c>
      <c r="H272" s="1" t="s">
        <v>1507</v>
      </c>
      <c r="I272" s="1" t="s">
        <v>1507</v>
      </c>
      <c r="J272" s="1" t="s">
        <v>4665</v>
      </c>
      <c r="K272" s="1" t="s">
        <v>2662</v>
      </c>
      <c r="L272" s="1" t="s">
        <v>1507</v>
      </c>
      <c r="M272" s="1" t="s">
        <v>1507</v>
      </c>
      <c r="N272" s="1" t="s">
        <v>42</v>
      </c>
      <c r="O272" s="1" t="s">
        <v>56</v>
      </c>
      <c r="P272" s="1" t="s">
        <v>1507</v>
      </c>
      <c r="Q272" s="1" t="s">
        <v>1507</v>
      </c>
      <c r="R272" s="1" t="s">
        <v>1507</v>
      </c>
      <c r="S272" s="1" t="s">
        <v>1507</v>
      </c>
      <c r="T272" s="1" t="s">
        <v>1507</v>
      </c>
      <c r="U272" s="1" t="s">
        <v>4666</v>
      </c>
      <c r="V272" s="1" t="s">
        <v>1507</v>
      </c>
      <c r="W272" s="1" t="s">
        <v>4667</v>
      </c>
      <c r="X272" s="1" t="s">
        <v>4668</v>
      </c>
      <c r="Y272" s="1" t="s">
        <v>4669</v>
      </c>
      <c r="Z272" s="1" t="s">
        <v>4670</v>
      </c>
      <c r="AA272" s="1" t="s">
        <v>4671</v>
      </c>
      <c r="AB272" s="1" t="s">
        <v>14676</v>
      </c>
      <c r="AC272" s="1" t="s">
        <v>14677</v>
      </c>
      <c r="AD272" s="1" t="s">
        <v>4672</v>
      </c>
      <c r="AE272" s="1" t="s">
        <v>4673</v>
      </c>
      <c r="AF272" s="1" t="s">
        <v>4674</v>
      </c>
      <c r="AG272" s="1" t="s">
        <v>1507</v>
      </c>
      <c r="AH272" s="1">
        <v>105</v>
      </c>
      <c r="AI272" s="1">
        <v>38</v>
      </c>
      <c r="AJ272" s="1">
        <v>38</v>
      </c>
      <c r="AK272" s="1">
        <v>79</v>
      </c>
      <c r="AL272" s="1">
        <v>132</v>
      </c>
      <c r="AM272" s="1" t="s">
        <v>1579</v>
      </c>
      <c r="AN272" s="1" t="s">
        <v>1580</v>
      </c>
      <c r="AO272" s="1" t="s">
        <v>1581</v>
      </c>
      <c r="AP272" s="1" t="s">
        <v>2673</v>
      </c>
      <c r="AQ272" s="1" t="s">
        <v>2674</v>
      </c>
      <c r="AR272" s="1" t="s">
        <v>1507</v>
      </c>
      <c r="AS272" s="1" t="s">
        <v>2675</v>
      </c>
      <c r="AT272" s="1" t="s">
        <v>2676</v>
      </c>
      <c r="AU272" s="1" t="s">
        <v>2771</v>
      </c>
      <c r="AV272" s="1">
        <v>2023</v>
      </c>
      <c r="AW272" s="1">
        <v>99</v>
      </c>
      <c r="AX272" s="1" t="s">
        <v>1507</v>
      </c>
      <c r="AY272" s="1" t="s">
        <v>1507</v>
      </c>
      <c r="AZ272" s="1" t="s">
        <v>1507</v>
      </c>
      <c r="BA272" s="1" t="s">
        <v>1507</v>
      </c>
      <c r="BB272" s="1" t="s">
        <v>1507</v>
      </c>
      <c r="BC272" s="1" t="s">
        <v>1507</v>
      </c>
      <c r="BD272" s="1" t="s">
        <v>1507</v>
      </c>
      <c r="BE272" s="1">
        <v>101861</v>
      </c>
      <c r="BF272" s="1" t="s">
        <v>4675</v>
      </c>
      <c r="BG272" s="1" t="str">
        <f>HYPERLINK("http://dx.doi.org/10.1016/j.inffus.2023.101861","http://dx.doi.org/10.1016/j.inffus.2023.101861")</f>
        <v>http://dx.doi.org/10.1016/j.inffus.2023.101861</v>
      </c>
      <c r="BH272" s="1" t="s">
        <v>1507</v>
      </c>
      <c r="BI272" s="1" t="s">
        <v>4630</v>
      </c>
      <c r="BJ272" s="1">
        <v>37</v>
      </c>
      <c r="BK272" s="1" t="s">
        <v>2678</v>
      </c>
      <c r="BL272" s="1" t="s">
        <v>1573</v>
      </c>
      <c r="BM272" s="1" t="s">
        <v>1577</v>
      </c>
      <c r="BN272" s="1" t="s">
        <v>4676</v>
      </c>
      <c r="BO272" s="1" t="s">
        <v>1507</v>
      </c>
      <c r="BP272" s="1" t="s">
        <v>2574</v>
      </c>
      <c r="BQ272" s="1" t="s">
        <v>1507</v>
      </c>
      <c r="BR272" s="1" t="s">
        <v>1507</v>
      </c>
      <c r="BS272" s="1" t="s">
        <v>13744</v>
      </c>
      <c r="BT272" s="1" t="s">
        <v>4677</v>
      </c>
      <c r="BU272" s="1" t="str">
        <f>HYPERLINK("https%3A%2F%2Fwww.webofscience.com%2Fwos%2Fwoscc%2Ffull-record%2FWOS:001025183100001","View Full Record in Web of Science")</f>
        <v>View Full Record in Web of Science</v>
      </c>
    </row>
    <row r="273" spans="1:73" x14ac:dyDescent="0.25">
      <c r="A273" s="1">
        <v>302</v>
      </c>
      <c r="B273" s="1" t="s">
        <v>1506</v>
      </c>
      <c r="C273" s="1" t="s">
        <v>3669</v>
      </c>
      <c r="D273" s="1" t="s">
        <v>1507</v>
      </c>
      <c r="E273" s="1" t="s">
        <v>1507</v>
      </c>
      <c r="F273" s="1" t="s">
        <v>1507</v>
      </c>
      <c r="G273" s="1" t="s">
        <v>3670</v>
      </c>
      <c r="H273" s="1" t="s">
        <v>1507</v>
      </c>
      <c r="I273" s="1" t="s">
        <v>1507</v>
      </c>
      <c r="J273" s="1" t="s">
        <v>3671</v>
      </c>
      <c r="K273" s="1" t="s">
        <v>3672</v>
      </c>
      <c r="L273" s="1" t="s">
        <v>1507</v>
      </c>
      <c r="M273" s="1" t="s">
        <v>1507</v>
      </c>
      <c r="N273" s="1" t="s">
        <v>42</v>
      </c>
      <c r="O273" s="1" t="s">
        <v>56</v>
      </c>
      <c r="P273" s="1" t="s">
        <v>1507</v>
      </c>
      <c r="Q273" s="1" t="s">
        <v>1507</v>
      </c>
      <c r="R273" s="1" t="s">
        <v>1507</v>
      </c>
      <c r="S273" s="1" t="s">
        <v>1507</v>
      </c>
      <c r="T273" s="1" t="s">
        <v>1507</v>
      </c>
      <c r="U273" s="1" t="s">
        <v>3673</v>
      </c>
      <c r="V273" s="1" t="s">
        <v>3674</v>
      </c>
      <c r="W273" s="1" t="s">
        <v>3675</v>
      </c>
      <c r="X273" s="1" t="s">
        <v>3676</v>
      </c>
      <c r="Y273" s="1" t="s">
        <v>14460</v>
      </c>
      <c r="Z273" s="1" t="s">
        <v>3677</v>
      </c>
      <c r="AA273" s="1" t="s">
        <v>3678</v>
      </c>
      <c r="AB273" s="1" t="s">
        <v>3679</v>
      </c>
      <c r="AC273" s="1" t="s">
        <v>3680</v>
      </c>
      <c r="AD273" s="1" t="s">
        <v>3681</v>
      </c>
      <c r="AE273" s="1" t="s">
        <v>3682</v>
      </c>
      <c r="AF273" s="1" t="s">
        <v>3683</v>
      </c>
      <c r="AG273" s="1" t="s">
        <v>1507</v>
      </c>
      <c r="AH273" s="1">
        <v>27</v>
      </c>
      <c r="AI273" s="1">
        <v>1</v>
      </c>
      <c r="AJ273" s="1">
        <v>1</v>
      </c>
      <c r="AK273" s="1">
        <v>12</v>
      </c>
      <c r="AL273" s="1">
        <v>12</v>
      </c>
      <c r="AM273" s="1" t="s">
        <v>1586</v>
      </c>
      <c r="AN273" s="1" t="s">
        <v>1583</v>
      </c>
      <c r="AO273" s="1" t="s">
        <v>3684</v>
      </c>
      <c r="AP273" s="1" t="s">
        <v>3685</v>
      </c>
      <c r="AQ273" s="1" t="s">
        <v>1507</v>
      </c>
      <c r="AR273" s="1" t="s">
        <v>1507</v>
      </c>
      <c r="AS273" s="1" t="s">
        <v>3686</v>
      </c>
      <c r="AT273" s="1" t="s">
        <v>3687</v>
      </c>
      <c r="AU273" s="1" t="s">
        <v>2191</v>
      </c>
      <c r="AV273" s="1">
        <v>2023</v>
      </c>
      <c r="AW273" s="1">
        <v>9</v>
      </c>
      <c r="AX273" s="1" t="s">
        <v>1507</v>
      </c>
      <c r="AY273" s="1" t="s">
        <v>1507</v>
      </c>
      <c r="AZ273" s="1" t="s">
        <v>1507</v>
      </c>
      <c r="BA273" s="1" t="s">
        <v>1507</v>
      </c>
      <c r="BB273" s="1" t="s">
        <v>1507</v>
      </c>
      <c r="BC273" s="1" t="s">
        <v>1507</v>
      </c>
      <c r="BD273" s="1" t="s">
        <v>1507</v>
      </c>
      <c r="BE273" s="1">
        <v>100126</v>
      </c>
      <c r="BF273" s="1" t="s">
        <v>3688</v>
      </c>
      <c r="BG273" s="1" t="str">
        <f>HYPERLINK("http://dx.doi.org/10.1016/j.dche.2023.100126","http://dx.doi.org/10.1016/j.dche.2023.100126")</f>
        <v>http://dx.doi.org/10.1016/j.dche.2023.100126</v>
      </c>
      <c r="BH273" s="1" t="s">
        <v>1507</v>
      </c>
      <c r="BI273" s="1" t="s">
        <v>3689</v>
      </c>
      <c r="BJ273" s="1">
        <v>11</v>
      </c>
      <c r="BK273" s="1" t="s">
        <v>3690</v>
      </c>
      <c r="BL273" s="1" t="s">
        <v>1529</v>
      </c>
      <c r="BM273" s="1" t="s">
        <v>3691</v>
      </c>
      <c r="BN273" s="1" t="s">
        <v>3692</v>
      </c>
      <c r="BO273" s="1" t="s">
        <v>1507</v>
      </c>
      <c r="BP273" s="1" t="s">
        <v>1531</v>
      </c>
      <c r="BQ273" s="1" t="s">
        <v>1507</v>
      </c>
      <c r="BR273" s="1" t="s">
        <v>1507</v>
      </c>
      <c r="BS273" s="1" t="s">
        <v>13744</v>
      </c>
      <c r="BT273" s="1" t="s">
        <v>3693</v>
      </c>
      <c r="BU273" s="1" t="str">
        <f>HYPERLINK("https%3A%2F%2Fwww.webofscience.com%2Fwos%2Fwoscc%2Ffull-record%2FWOS:001097784400001","View Full Record in Web of Science")</f>
        <v>View Full Record in Web of Science</v>
      </c>
    </row>
    <row r="274" spans="1:73" x14ac:dyDescent="0.25">
      <c r="A274" s="1">
        <v>303</v>
      </c>
      <c r="B274" s="1" t="s">
        <v>1506</v>
      </c>
      <c r="C274" s="1" t="s">
        <v>6780</v>
      </c>
      <c r="D274" s="1" t="s">
        <v>1507</v>
      </c>
      <c r="E274" s="1" t="s">
        <v>1507</v>
      </c>
      <c r="F274" s="1" t="s">
        <v>1507</v>
      </c>
      <c r="G274" s="1" t="s">
        <v>6781</v>
      </c>
      <c r="H274" s="1" t="s">
        <v>1507</v>
      </c>
      <c r="I274" s="1" t="s">
        <v>1507</v>
      </c>
      <c r="J274" s="1" t="s">
        <v>6782</v>
      </c>
      <c r="K274" s="1" t="s">
        <v>6783</v>
      </c>
      <c r="L274" s="1" t="s">
        <v>1507</v>
      </c>
      <c r="M274" s="1" t="s">
        <v>1507</v>
      </c>
      <c r="N274" s="1" t="s">
        <v>42</v>
      </c>
      <c r="O274" s="1" t="s">
        <v>1509</v>
      </c>
      <c r="P274" s="1" t="s">
        <v>1507</v>
      </c>
      <c r="Q274" s="1" t="s">
        <v>1507</v>
      </c>
      <c r="R274" s="1" t="s">
        <v>1507</v>
      </c>
      <c r="S274" s="1" t="s">
        <v>1507</v>
      </c>
      <c r="T274" s="1" t="s">
        <v>1507</v>
      </c>
      <c r="U274" s="1" t="s">
        <v>1507</v>
      </c>
      <c r="V274" s="1" t="s">
        <v>6784</v>
      </c>
      <c r="W274" s="1" t="s">
        <v>6785</v>
      </c>
      <c r="X274" s="1" t="s">
        <v>6786</v>
      </c>
      <c r="Y274" s="1" t="s">
        <v>6787</v>
      </c>
      <c r="Z274" s="1" t="s">
        <v>6788</v>
      </c>
      <c r="AA274" s="1" t="s">
        <v>1507</v>
      </c>
      <c r="AB274" s="1" t="s">
        <v>5251</v>
      </c>
      <c r="AC274" s="1" t="s">
        <v>6789</v>
      </c>
      <c r="AD274" s="1" t="s">
        <v>6790</v>
      </c>
      <c r="AE274" s="1" t="s">
        <v>6791</v>
      </c>
      <c r="AF274" s="1" t="s">
        <v>6792</v>
      </c>
      <c r="AG274" s="1" t="s">
        <v>1507</v>
      </c>
      <c r="AH274" s="1">
        <v>39</v>
      </c>
      <c r="AI274" s="1">
        <v>1</v>
      </c>
      <c r="AJ274" s="1">
        <v>1</v>
      </c>
      <c r="AK274" s="1">
        <v>3</v>
      </c>
      <c r="AL274" s="1">
        <v>10</v>
      </c>
      <c r="AM274" s="1" t="s">
        <v>2372</v>
      </c>
      <c r="AN274" s="1" t="s">
        <v>2300</v>
      </c>
      <c r="AO274" s="1" t="s">
        <v>2373</v>
      </c>
      <c r="AP274" s="1" t="s">
        <v>6793</v>
      </c>
      <c r="AQ274" s="1" t="s">
        <v>6794</v>
      </c>
      <c r="AR274" s="1" t="s">
        <v>1507</v>
      </c>
      <c r="AS274" s="1" t="s">
        <v>6795</v>
      </c>
      <c r="AT274" s="1" t="s">
        <v>6796</v>
      </c>
      <c r="AU274" s="1" t="s">
        <v>6797</v>
      </c>
      <c r="AV274" s="1">
        <v>2022</v>
      </c>
      <c r="AW274" s="1" t="s">
        <v>1507</v>
      </c>
      <c r="AX274" s="1" t="s">
        <v>1507</v>
      </c>
      <c r="AY274" s="1" t="s">
        <v>1507</v>
      </c>
      <c r="AZ274" s="1" t="s">
        <v>1507</v>
      </c>
      <c r="BA274" s="1" t="s">
        <v>1507</v>
      </c>
      <c r="BB274" s="1" t="s">
        <v>1507</v>
      </c>
      <c r="BC274" s="1" t="s">
        <v>1507</v>
      </c>
      <c r="BD274" s="1" t="s">
        <v>1507</v>
      </c>
      <c r="BE274" s="1" t="s">
        <v>1507</v>
      </c>
      <c r="BF274" s="1" t="s">
        <v>6798</v>
      </c>
      <c r="BG274" s="1" t="str">
        <f>HYPERLINK("http://dx.doi.org/10.1021/acs.analchem.2c03972","http://dx.doi.org/10.1021/acs.analchem.2c03972")</f>
        <v>http://dx.doi.org/10.1021/acs.analchem.2c03972</v>
      </c>
      <c r="BH274" s="1" t="s">
        <v>1507</v>
      </c>
      <c r="BI274" s="1" t="s">
        <v>6799</v>
      </c>
      <c r="BJ274" s="1">
        <v>9</v>
      </c>
      <c r="BK274" s="1" t="s">
        <v>6800</v>
      </c>
      <c r="BL274" s="1" t="s">
        <v>1573</v>
      </c>
      <c r="BM274" s="1" t="s">
        <v>2380</v>
      </c>
      <c r="BN274" s="1" t="s">
        <v>6801</v>
      </c>
      <c r="BO274" s="1">
        <v>36418227</v>
      </c>
      <c r="BP274" s="1" t="s">
        <v>1507</v>
      </c>
      <c r="BQ274" s="1" t="s">
        <v>1507</v>
      </c>
      <c r="BR274" s="1" t="s">
        <v>1507</v>
      </c>
      <c r="BS274" s="1" t="s">
        <v>13744</v>
      </c>
      <c r="BT274" s="1" t="s">
        <v>6802</v>
      </c>
      <c r="BU274" s="1" t="str">
        <f>HYPERLINK("https%3A%2F%2Fwww.webofscience.com%2Fwos%2Fwoscc%2Ffull-record%2FWOS:000892860100001","View Full Record in Web of Science")</f>
        <v>View Full Record in Web of Science</v>
      </c>
    </row>
    <row r="275" spans="1:73" x14ac:dyDescent="0.25">
      <c r="A275" s="1">
        <v>304</v>
      </c>
      <c r="B275" s="1" t="s">
        <v>1506</v>
      </c>
      <c r="C275" s="1" t="s">
        <v>8429</v>
      </c>
      <c r="D275" s="1" t="s">
        <v>1507</v>
      </c>
      <c r="E275" s="1" t="s">
        <v>1507</v>
      </c>
      <c r="F275" s="1" t="s">
        <v>1507</v>
      </c>
      <c r="G275" s="1" t="s">
        <v>8430</v>
      </c>
      <c r="H275" s="1" t="s">
        <v>1507</v>
      </c>
      <c r="I275" s="1" t="s">
        <v>1507</v>
      </c>
      <c r="J275" s="1" t="s">
        <v>8431</v>
      </c>
      <c r="K275" s="1" t="s">
        <v>6783</v>
      </c>
      <c r="L275" s="1" t="s">
        <v>1507</v>
      </c>
      <c r="M275" s="1" t="s">
        <v>1507</v>
      </c>
      <c r="N275" s="1" t="s">
        <v>42</v>
      </c>
      <c r="O275" s="1" t="s">
        <v>56</v>
      </c>
      <c r="P275" s="1" t="s">
        <v>1507</v>
      </c>
      <c r="Q275" s="1" t="s">
        <v>1507</v>
      </c>
      <c r="R275" s="1" t="s">
        <v>1507</v>
      </c>
      <c r="S275" s="1" t="s">
        <v>1507</v>
      </c>
      <c r="T275" s="1" t="s">
        <v>1507</v>
      </c>
      <c r="U275" s="1" t="s">
        <v>1507</v>
      </c>
      <c r="V275" s="1" t="s">
        <v>8432</v>
      </c>
      <c r="W275" s="1" t="s">
        <v>8433</v>
      </c>
      <c r="X275" s="1" t="s">
        <v>8434</v>
      </c>
      <c r="Y275" s="1" t="s">
        <v>8435</v>
      </c>
      <c r="Z275" s="1" t="s">
        <v>8436</v>
      </c>
      <c r="AA275" s="1" t="s">
        <v>6852</v>
      </c>
      <c r="AB275" s="1" t="s">
        <v>15728</v>
      </c>
      <c r="AC275" s="1" t="s">
        <v>15729</v>
      </c>
      <c r="AD275" s="1" t="s">
        <v>8437</v>
      </c>
      <c r="AE275" s="1" t="s">
        <v>8438</v>
      </c>
      <c r="AF275" s="1" t="s">
        <v>8439</v>
      </c>
      <c r="AG275" s="1" t="s">
        <v>1507</v>
      </c>
      <c r="AH275" s="1">
        <v>79</v>
      </c>
      <c r="AI275" s="1">
        <v>8</v>
      </c>
      <c r="AJ275" s="1">
        <v>9</v>
      </c>
      <c r="AK275" s="1">
        <v>4</v>
      </c>
      <c r="AL275" s="1">
        <v>26</v>
      </c>
      <c r="AM275" s="1" t="s">
        <v>2372</v>
      </c>
      <c r="AN275" s="1" t="s">
        <v>2300</v>
      </c>
      <c r="AO275" s="1" t="s">
        <v>2373</v>
      </c>
      <c r="AP275" s="1" t="s">
        <v>6793</v>
      </c>
      <c r="AQ275" s="1" t="s">
        <v>6794</v>
      </c>
      <c r="AR275" s="1" t="s">
        <v>1507</v>
      </c>
      <c r="AS275" s="1" t="s">
        <v>6795</v>
      </c>
      <c r="AT275" s="1" t="s">
        <v>6796</v>
      </c>
      <c r="AU275" s="1" t="s">
        <v>12092</v>
      </c>
      <c r="AV275" s="1">
        <v>2021</v>
      </c>
      <c r="AW275" s="1">
        <v>93</v>
      </c>
      <c r="AX275" s="1">
        <v>27</v>
      </c>
      <c r="AY275" s="1" t="s">
        <v>1507</v>
      </c>
      <c r="AZ275" s="1" t="s">
        <v>1507</v>
      </c>
      <c r="BA275" s="1" t="s">
        <v>1507</v>
      </c>
      <c r="BB275" s="1" t="s">
        <v>1507</v>
      </c>
      <c r="BC275" s="1">
        <v>9418</v>
      </c>
      <c r="BD275" s="1">
        <v>9427</v>
      </c>
      <c r="BE275" s="1" t="s">
        <v>1507</v>
      </c>
      <c r="BF275" s="1" t="s">
        <v>8440</v>
      </c>
      <c r="BG275" s="1" t="str">
        <f>HYPERLINK("http://dx.doi.org/10.1021/acs.analchem.1c01018","http://dx.doi.org/10.1021/acs.analchem.1c01018")</f>
        <v>http://dx.doi.org/10.1021/acs.analchem.1c01018</v>
      </c>
      <c r="BH275" s="1" t="s">
        <v>1507</v>
      </c>
      <c r="BI275" s="1" t="s">
        <v>8441</v>
      </c>
      <c r="BJ275" s="1">
        <v>10</v>
      </c>
      <c r="BK275" s="1" t="s">
        <v>6800</v>
      </c>
      <c r="BL275" s="1" t="s">
        <v>1573</v>
      </c>
      <c r="BM275" s="1" t="s">
        <v>2380</v>
      </c>
      <c r="BN275" s="1" t="s">
        <v>8442</v>
      </c>
      <c r="BO275" s="1">
        <v>34170684</v>
      </c>
      <c r="BP275" s="1" t="s">
        <v>1507</v>
      </c>
      <c r="BQ275" s="1" t="s">
        <v>1507</v>
      </c>
      <c r="BR275" s="1" t="s">
        <v>1507</v>
      </c>
      <c r="BS275" s="1" t="s">
        <v>13744</v>
      </c>
      <c r="BT275" s="1" t="s">
        <v>8443</v>
      </c>
      <c r="BU275" s="1" t="str">
        <f>HYPERLINK("https%3A%2F%2Fwww.webofscience.com%2Fwos%2Fwoscc%2Ffull-record%2FWOS:000674254900016","View Full Record in Web of Science")</f>
        <v>View Full Record in Web of Science</v>
      </c>
    </row>
    <row r="276" spans="1:73" x14ac:dyDescent="0.25">
      <c r="A276" s="1">
        <v>305</v>
      </c>
      <c r="B276" s="1" t="s">
        <v>1506</v>
      </c>
      <c r="C276" s="1" t="s">
        <v>2019</v>
      </c>
      <c r="D276" s="1" t="s">
        <v>1507</v>
      </c>
      <c r="E276" s="1" t="s">
        <v>1507</v>
      </c>
      <c r="F276" s="1" t="s">
        <v>1507</v>
      </c>
      <c r="G276" s="1" t="s">
        <v>2020</v>
      </c>
      <c r="H276" s="1" t="s">
        <v>1507</v>
      </c>
      <c r="I276" s="1" t="s">
        <v>1507</v>
      </c>
      <c r="J276" s="1" t="s">
        <v>2021</v>
      </c>
      <c r="K276" s="1" t="s">
        <v>2022</v>
      </c>
      <c r="L276" s="1" t="s">
        <v>1507</v>
      </c>
      <c r="M276" s="1" t="s">
        <v>1507</v>
      </c>
      <c r="N276" s="1" t="s">
        <v>42</v>
      </c>
      <c r="O276" s="1" t="s">
        <v>56</v>
      </c>
      <c r="P276" s="1" t="s">
        <v>1507</v>
      </c>
      <c r="Q276" s="1" t="s">
        <v>1507</v>
      </c>
      <c r="R276" s="1" t="s">
        <v>1507</v>
      </c>
      <c r="S276" s="1" t="s">
        <v>1507</v>
      </c>
      <c r="T276" s="1" t="s">
        <v>1507</v>
      </c>
      <c r="U276" s="1" t="s">
        <v>1507</v>
      </c>
      <c r="V276" s="1" t="s">
        <v>2023</v>
      </c>
      <c r="W276" s="1" t="s">
        <v>2024</v>
      </c>
      <c r="X276" s="1" t="s">
        <v>2025</v>
      </c>
      <c r="Y276" s="1" t="s">
        <v>2026</v>
      </c>
      <c r="Z276" s="1" t="s">
        <v>2027</v>
      </c>
      <c r="AA276" s="1" t="s">
        <v>2028</v>
      </c>
      <c r="AB276" s="1" t="s">
        <v>1507</v>
      </c>
      <c r="AC276" s="1" t="s">
        <v>2029</v>
      </c>
      <c r="AD276" s="1" t="s">
        <v>2030</v>
      </c>
      <c r="AE276" s="1" t="s">
        <v>2031</v>
      </c>
      <c r="AF276" s="1" t="s">
        <v>2032</v>
      </c>
      <c r="AG276" s="1" t="s">
        <v>1507</v>
      </c>
      <c r="AH276" s="1">
        <v>57</v>
      </c>
      <c r="AI276" s="1">
        <v>0</v>
      </c>
      <c r="AJ276" s="1">
        <v>0</v>
      </c>
      <c r="AK276" s="1">
        <v>1</v>
      </c>
      <c r="AL276" s="1">
        <v>1</v>
      </c>
      <c r="AM276" s="1" t="s">
        <v>2033</v>
      </c>
      <c r="AN276" s="1" t="s">
        <v>1523</v>
      </c>
      <c r="AO276" s="1" t="s">
        <v>2034</v>
      </c>
      <c r="AP276" s="1" t="s">
        <v>2035</v>
      </c>
      <c r="AQ276" s="1" t="s">
        <v>1507</v>
      </c>
      <c r="AR276" s="1" t="s">
        <v>1507</v>
      </c>
      <c r="AS276" s="1" t="s">
        <v>2022</v>
      </c>
      <c r="AT276" s="1" t="s">
        <v>2036</v>
      </c>
      <c r="AU276" s="1" t="s">
        <v>2014</v>
      </c>
      <c r="AV276" s="1">
        <v>2023</v>
      </c>
      <c r="AW276" s="1">
        <v>4</v>
      </c>
      <c r="AX276" s="1">
        <v>12</v>
      </c>
      <c r="AY276" s="1" t="s">
        <v>1507</v>
      </c>
      <c r="AZ276" s="1" t="s">
        <v>1507</v>
      </c>
      <c r="BA276" s="1" t="s">
        <v>1507</v>
      </c>
      <c r="BB276" s="1" t="s">
        <v>1507</v>
      </c>
      <c r="BC276" s="1" t="s">
        <v>1507</v>
      </c>
      <c r="BD276" s="1" t="s">
        <v>1507</v>
      </c>
      <c r="BE276" s="1">
        <v>100865</v>
      </c>
      <c r="BF276" s="1" t="s">
        <v>2037</v>
      </c>
      <c r="BG276" s="1" t="str">
        <f>HYPERLINK("http://dx.doi.org/10.1016/j.patter.2023.100865","http://dx.doi.org/10.1016/j.patter.2023.100865")</f>
        <v>http://dx.doi.org/10.1016/j.patter.2023.100865</v>
      </c>
      <c r="BH276" s="1" t="s">
        <v>1507</v>
      </c>
      <c r="BI276" s="1" t="s">
        <v>1652</v>
      </c>
      <c r="BJ276" s="1">
        <v>13</v>
      </c>
      <c r="BK276" s="1" t="s">
        <v>2038</v>
      </c>
      <c r="BL276" s="1" t="s">
        <v>1529</v>
      </c>
      <c r="BM276" s="1" t="s">
        <v>1577</v>
      </c>
      <c r="BN276" s="1" t="s">
        <v>2039</v>
      </c>
      <c r="BO276" s="1">
        <v>38106612</v>
      </c>
      <c r="BP276" s="1" t="s">
        <v>3433</v>
      </c>
      <c r="BQ276" s="1" t="s">
        <v>1507</v>
      </c>
      <c r="BR276" s="1" t="s">
        <v>1507</v>
      </c>
      <c r="BS276" s="1" t="s">
        <v>13744</v>
      </c>
      <c r="BT276" s="1" t="s">
        <v>2041</v>
      </c>
      <c r="BU276" s="1" t="str">
        <f>HYPERLINK("https%3A%2F%2Fwww.webofscience.com%2Fwos%2Fwoscc%2Ffull-record%2FWOS:001133582500001","View Full Record in Web of Science")</f>
        <v>View Full Record in Web of Science</v>
      </c>
    </row>
    <row r="277" spans="1:73" x14ac:dyDescent="0.25">
      <c r="A277" s="1">
        <v>307</v>
      </c>
      <c r="B277" s="1" t="s">
        <v>1506</v>
      </c>
      <c r="C277" s="1" t="s">
        <v>8581</v>
      </c>
      <c r="D277" s="1" t="s">
        <v>1507</v>
      </c>
      <c r="E277" s="1" t="s">
        <v>1507</v>
      </c>
      <c r="F277" s="1" t="s">
        <v>1507</v>
      </c>
      <c r="G277" s="1" t="s">
        <v>8582</v>
      </c>
      <c r="H277" s="1" t="s">
        <v>1507</v>
      </c>
      <c r="I277" s="1" t="s">
        <v>1507</v>
      </c>
      <c r="J277" s="1" t="s">
        <v>8583</v>
      </c>
      <c r="K277" s="1" t="s">
        <v>8584</v>
      </c>
      <c r="L277" s="1" t="s">
        <v>1507</v>
      </c>
      <c r="M277" s="1" t="s">
        <v>1507</v>
      </c>
      <c r="N277" s="1" t="s">
        <v>42</v>
      </c>
      <c r="O277" s="1" t="s">
        <v>56</v>
      </c>
      <c r="P277" s="1" t="s">
        <v>1507</v>
      </c>
      <c r="Q277" s="1" t="s">
        <v>1507</v>
      </c>
      <c r="R277" s="1" t="s">
        <v>1507</v>
      </c>
      <c r="S277" s="1" t="s">
        <v>1507</v>
      </c>
      <c r="T277" s="1" t="s">
        <v>1507</v>
      </c>
      <c r="U277" s="1" t="s">
        <v>8585</v>
      </c>
      <c r="V277" s="1" t="s">
        <v>1507</v>
      </c>
      <c r="W277" s="1" t="s">
        <v>8586</v>
      </c>
      <c r="X277" s="1" t="s">
        <v>8587</v>
      </c>
      <c r="Y277" s="1" t="s">
        <v>8588</v>
      </c>
      <c r="Z277" s="1" t="s">
        <v>8589</v>
      </c>
      <c r="AA277" s="1" t="s">
        <v>8590</v>
      </c>
      <c r="AB277" s="1" t="s">
        <v>15739</v>
      </c>
      <c r="AC277" s="1" t="s">
        <v>15740</v>
      </c>
      <c r="AD277" s="1" t="s">
        <v>8591</v>
      </c>
      <c r="AE277" s="1" t="s">
        <v>8592</v>
      </c>
      <c r="AF277" s="1" t="s">
        <v>8593</v>
      </c>
      <c r="AG277" s="1" t="s">
        <v>1507</v>
      </c>
      <c r="AH277" s="1">
        <v>21</v>
      </c>
      <c r="AI277" s="1">
        <v>5</v>
      </c>
      <c r="AJ277" s="1">
        <v>6</v>
      </c>
      <c r="AK277" s="1">
        <v>0</v>
      </c>
      <c r="AL277" s="1">
        <v>1</v>
      </c>
      <c r="AM277" s="1" t="s">
        <v>8594</v>
      </c>
      <c r="AN277" s="1" t="s">
        <v>8595</v>
      </c>
      <c r="AO277" s="1" t="s">
        <v>8596</v>
      </c>
      <c r="AP277" s="1" t="s">
        <v>8597</v>
      </c>
      <c r="AQ277" s="1" t="s">
        <v>8598</v>
      </c>
      <c r="AR277" s="1" t="s">
        <v>1507</v>
      </c>
      <c r="AS277" s="1" t="s">
        <v>8584</v>
      </c>
      <c r="AT277" s="1" t="s">
        <v>8599</v>
      </c>
      <c r="AU277" s="1" t="s">
        <v>4848</v>
      </c>
      <c r="AV277" s="1">
        <v>2021</v>
      </c>
      <c r="AW277" s="1">
        <v>4980</v>
      </c>
      <c r="AX277" s="1">
        <v>1</v>
      </c>
      <c r="AY277" s="1" t="s">
        <v>1507</v>
      </c>
      <c r="AZ277" s="1" t="s">
        <v>1507</v>
      </c>
      <c r="BA277" s="1" t="s">
        <v>1507</v>
      </c>
      <c r="BB277" s="1" t="s">
        <v>1507</v>
      </c>
      <c r="BC277" s="1">
        <v>45</v>
      </c>
      <c r="BD277" s="1">
        <v>63</v>
      </c>
      <c r="BE277" s="1" t="s">
        <v>1507</v>
      </c>
      <c r="BF277" s="1" t="s">
        <v>8600</v>
      </c>
      <c r="BG277" s="1" t="str">
        <f>HYPERLINK("http://dx.doi.org/10.11646/zootaxa.4980.1.3","http://dx.doi.org/10.11646/zootaxa.4980.1.3")</f>
        <v>http://dx.doi.org/10.11646/zootaxa.4980.1.3</v>
      </c>
      <c r="BH277" s="1" t="s">
        <v>1507</v>
      </c>
      <c r="BI277" s="1" t="s">
        <v>1507</v>
      </c>
      <c r="BJ277" s="1">
        <v>19</v>
      </c>
      <c r="BK277" s="1" t="s">
        <v>8601</v>
      </c>
      <c r="BL277" s="1" t="s">
        <v>1573</v>
      </c>
      <c r="BM277" s="1" t="s">
        <v>8601</v>
      </c>
      <c r="BN277" s="1" t="s">
        <v>8602</v>
      </c>
      <c r="BO277" s="1">
        <v>34186992</v>
      </c>
      <c r="BP277" s="1" t="s">
        <v>1507</v>
      </c>
      <c r="BQ277" s="1" t="s">
        <v>1507</v>
      </c>
      <c r="BR277" s="1" t="s">
        <v>1507</v>
      </c>
      <c r="BS277" s="1" t="s">
        <v>13744</v>
      </c>
      <c r="BT277" s="1" t="s">
        <v>8603</v>
      </c>
      <c r="BU277" s="1" t="str">
        <f>HYPERLINK("https%3A%2F%2Fwww.webofscience.com%2Fwos%2Fwoscc%2Ffull-record%2FWOS:000659190800003","View Full Record in Web of Science")</f>
        <v>View Full Record in Web of Science</v>
      </c>
    </row>
    <row r="278" spans="1:73" x14ac:dyDescent="0.25">
      <c r="A278" s="1">
        <v>308</v>
      </c>
      <c r="B278" s="1" t="s">
        <v>1506</v>
      </c>
      <c r="C278" s="1" t="s">
        <v>11570</v>
      </c>
      <c r="D278" s="1" t="s">
        <v>1507</v>
      </c>
      <c r="E278" s="1" t="s">
        <v>1507</v>
      </c>
      <c r="F278" s="1" t="s">
        <v>1507</v>
      </c>
      <c r="G278" s="1" t="s">
        <v>11571</v>
      </c>
      <c r="H278" s="1" t="s">
        <v>1507</v>
      </c>
      <c r="I278" s="1" t="s">
        <v>1507</v>
      </c>
      <c r="J278" s="1" t="s">
        <v>11572</v>
      </c>
      <c r="K278" s="1" t="s">
        <v>11573</v>
      </c>
      <c r="L278" s="1" t="s">
        <v>1507</v>
      </c>
      <c r="M278" s="1" t="s">
        <v>1507</v>
      </c>
      <c r="N278" s="1" t="s">
        <v>42</v>
      </c>
      <c r="O278" s="1" t="s">
        <v>56</v>
      </c>
      <c r="P278" s="1" t="s">
        <v>1507</v>
      </c>
      <c r="Q278" s="1" t="s">
        <v>1507</v>
      </c>
      <c r="R278" s="1" t="s">
        <v>1507</v>
      </c>
      <c r="S278" s="1" t="s">
        <v>1507</v>
      </c>
      <c r="T278" s="1" t="s">
        <v>1507</v>
      </c>
      <c r="U278" s="1" t="s">
        <v>1507</v>
      </c>
      <c r="V278" s="1" t="s">
        <v>11574</v>
      </c>
      <c r="W278" s="1" t="s">
        <v>11575</v>
      </c>
      <c r="X278" s="1" t="s">
        <v>11576</v>
      </c>
      <c r="Y278" s="1" t="s">
        <v>11577</v>
      </c>
      <c r="Z278" s="1" t="s">
        <v>11578</v>
      </c>
      <c r="AA278" s="1" t="s">
        <v>11579</v>
      </c>
      <c r="AB278" s="1" t="s">
        <v>1507</v>
      </c>
      <c r="AC278" s="1" t="s">
        <v>1507</v>
      </c>
      <c r="AD278" s="1" t="s">
        <v>11580</v>
      </c>
      <c r="AE278" s="1" t="s">
        <v>11581</v>
      </c>
      <c r="AF278" s="1" t="s">
        <v>11582</v>
      </c>
      <c r="AG278" s="1" t="s">
        <v>1507</v>
      </c>
      <c r="AH278" s="1">
        <v>33</v>
      </c>
      <c r="AI278" s="1">
        <v>3</v>
      </c>
      <c r="AJ278" s="1">
        <v>3</v>
      </c>
      <c r="AK278" s="1">
        <v>0</v>
      </c>
      <c r="AL278" s="1">
        <v>1</v>
      </c>
      <c r="AM278" s="1" t="s">
        <v>1511</v>
      </c>
      <c r="AN278" s="1" t="s">
        <v>1512</v>
      </c>
      <c r="AO278" s="1" t="s">
        <v>8572</v>
      </c>
      <c r="AP278" s="1" t="s">
        <v>11583</v>
      </c>
      <c r="AQ278" s="1" t="s">
        <v>11584</v>
      </c>
      <c r="AR278" s="1" t="s">
        <v>1507</v>
      </c>
      <c r="AS278" s="1" t="s">
        <v>11585</v>
      </c>
      <c r="AT278" s="1" t="s">
        <v>11586</v>
      </c>
      <c r="AU278" s="1" t="s">
        <v>11587</v>
      </c>
      <c r="AV278" s="1">
        <v>2018</v>
      </c>
      <c r="AW278" s="1">
        <v>78</v>
      </c>
      <c r="AX278" s="1">
        <v>10</v>
      </c>
      <c r="AY278" s="1" t="s">
        <v>1507</v>
      </c>
      <c r="AZ278" s="1" t="s">
        <v>1507</v>
      </c>
      <c r="BA278" s="1" t="s">
        <v>1507</v>
      </c>
      <c r="BB278" s="1" t="s">
        <v>1507</v>
      </c>
      <c r="BC278" s="1" t="s">
        <v>1507</v>
      </c>
      <c r="BD278" s="1" t="s">
        <v>1507</v>
      </c>
      <c r="BE278" s="1">
        <v>856</v>
      </c>
      <c r="BF278" s="1" t="s">
        <v>11588</v>
      </c>
      <c r="BG278" s="1" t="str">
        <f>HYPERLINK("http://dx.doi.org/10.1140/epjc/s10052-018-6324-9","http://dx.doi.org/10.1140/epjc/s10052-018-6324-9")</f>
        <v>http://dx.doi.org/10.1140/epjc/s10052-018-6324-9</v>
      </c>
      <c r="BH278" s="1" t="s">
        <v>1507</v>
      </c>
      <c r="BI278" s="1" t="s">
        <v>1507</v>
      </c>
      <c r="BJ278" s="1">
        <v>16</v>
      </c>
      <c r="BK278" s="1" t="s">
        <v>2103</v>
      </c>
      <c r="BL278" s="1" t="s">
        <v>1573</v>
      </c>
      <c r="BM278" s="1" t="s">
        <v>2104</v>
      </c>
      <c r="BN278" s="1" t="s">
        <v>11589</v>
      </c>
      <c r="BO278" s="1" t="s">
        <v>1507</v>
      </c>
      <c r="BP278" s="1" t="s">
        <v>1547</v>
      </c>
      <c r="BQ278" s="1" t="s">
        <v>1507</v>
      </c>
      <c r="BR278" s="1" t="s">
        <v>1507</v>
      </c>
      <c r="BS278" s="1" t="s">
        <v>13744</v>
      </c>
      <c r="BT278" s="1" t="s">
        <v>11590</v>
      </c>
      <c r="BU278" s="1" t="str">
        <f>HYPERLINK("https%3A%2F%2Fwww.webofscience.com%2Fwos%2Fwoscc%2Ffull-record%2FWOS:000448427200002","View Full Record in Web of Science")</f>
        <v>View Full Record in Web of Science</v>
      </c>
    </row>
    <row r="279" spans="1:73" x14ac:dyDescent="0.25">
      <c r="A279" s="1">
        <v>309</v>
      </c>
      <c r="B279" s="1" t="s">
        <v>1506</v>
      </c>
      <c r="C279" s="1" t="s">
        <v>11570</v>
      </c>
      <c r="D279" s="1" t="s">
        <v>1507</v>
      </c>
      <c r="E279" s="1" t="s">
        <v>1507</v>
      </c>
      <c r="F279" s="1" t="s">
        <v>1507</v>
      </c>
      <c r="G279" s="1" t="s">
        <v>11571</v>
      </c>
      <c r="H279" s="1" t="s">
        <v>1507</v>
      </c>
      <c r="I279" s="1" t="s">
        <v>1507</v>
      </c>
      <c r="J279" s="1" t="s">
        <v>11738</v>
      </c>
      <c r="K279" s="1" t="s">
        <v>2087</v>
      </c>
      <c r="L279" s="1" t="s">
        <v>1507</v>
      </c>
      <c r="M279" s="1" t="s">
        <v>1507</v>
      </c>
      <c r="N279" s="1" t="s">
        <v>42</v>
      </c>
      <c r="O279" s="1" t="s">
        <v>56</v>
      </c>
      <c r="P279" s="1" t="s">
        <v>1507</v>
      </c>
      <c r="Q279" s="1" t="s">
        <v>1507</v>
      </c>
      <c r="R279" s="1" t="s">
        <v>1507</v>
      </c>
      <c r="S279" s="1" t="s">
        <v>1507</v>
      </c>
      <c r="T279" s="1" t="s">
        <v>1507</v>
      </c>
      <c r="U279" s="1" t="s">
        <v>11739</v>
      </c>
      <c r="V279" s="1" t="s">
        <v>11740</v>
      </c>
      <c r="W279" s="1" t="s">
        <v>11741</v>
      </c>
      <c r="X279" s="1" t="s">
        <v>11742</v>
      </c>
      <c r="Y279" s="1" t="s">
        <v>11743</v>
      </c>
      <c r="Z279" s="1" t="s">
        <v>11744</v>
      </c>
      <c r="AA279" s="1" t="s">
        <v>11579</v>
      </c>
      <c r="AB279" s="1" t="s">
        <v>1507</v>
      </c>
      <c r="AC279" s="1" t="s">
        <v>1507</v>
      </c>
      <c r="AD279" s="1" t="s">
        <v>11745</v>
      </c>
      <c r="AE279" s="1" t="s">
        <v>11581</v>
      </c>
      <c r="AF279" s="1" t="s">
        <v>11746</v>
      </c>
      <c r="AG279" s="1" t="s">
        <v>1507</v>
      </c>
      <c r="AH279" s="1">
        <v>67</v>
      </c>
      <c r="AI279" s="1">
        <v>8</v>
      </c>
      <c r="AJ279" s="1">
        <v>8</v>
      </c>
      <c r="AK279" s="1">
        <v>0</v>
      </c>
      <c r="AL279" s="1">
        <v>1</v>
      </c>
      <c r="AM279" s="1" t="s">
        <v>1511</v>
      </c>
      <c r="AN279" s="1" t="s">
        <v>1512</v>
      </c>
      <c r="AO279" s="1" t="s">
        <v>8572</v>
      </c>
      <c r="AP279" s="1" t="s">
        <v>2098</v>
      </c>
      <c r="AQ279" s="1" t="s">
        <v>1507</v>
      </c>
      <c r="AR279" s="1" t="s">
        <v>1507</v>
      </c>
      <c r="AS279" s="1" t="s">
        <v>2099</v>
      </c>
      <c r="AT279" s="1" t="s">
        <v>2100</v>
      </c>
      <c r="AU279" s="1" t="s">
        <v>11747</v>
      </c>
      <c r="AV279" s="1">
        <v>2018</v>
      </c>
      <c r="AW279" s="1" t="s">
        <v>1507</v>
      </c>
      <c r="AX279" s="1">
        <v>5</v>
      </c>
      <c r="AY279" s="1" t="s">
        <v>1507</v>
      </c>
      <c r="AZ279" s="1" t="s">
        <v>1507</v>
      </c>
      <c r="BA279" s="1" t="s">
        <v>1507</v>
      </c>
      <c r="BB279" s="1" t="s">
        <v>1507</v>
      </c>
      <c r="BC279" s="1" t="s">
        <v>1507</v>
      </c>
      <c r="BD279" s="1" t="s">
        <v>1507</v>
      </c>
      <c r="BE279" s="1">
        <v>9</v>
      </c>
      <c r="BF279" s="1" t="s">
        <v>11748</v>
      </c>
      <c r="BG279" s="1" t="str">
        <f>HYPERLINK("http://dx.doi.org/10.1007/JHEP05(2018)009","http://dx.doi.org/10.1007/JHEP05(2018)009")</f>
        <v>http://dx.doi.org/10.1007/JHEP05(2018)009</v>
      </c>
      <c r="BH279" s="1" t="s">
        <v>1507</v>
      </c>
      <c r="BI279" s="1" t="s">
        <v>1507</v>
      </c>
      <c r="BJ279" s="1">
        <v>36</v>
      </c>
      <c r="BK279" s="1" t="s">
        <v>2103</v>
      </c>
      <c r="BL279" s="1" t="s">
        <v>1573</v>
      </c>
      <c r="BM279" s="1" t="s">
        <v>2104</v>
      </c>
      <c r="BN279" s="1" t="s">
        <v>11749</v>
      </c>
      <c r="BO279" s="1" t="s">
        <v>1507</v>
      </c>
      <c r="BP279" s="1" t="s">
        <v>1553</v>
      </c>
      <c r="BQ279" s="1" t="s">
        <v>1507</v>
      </c>
      <c r="BR279" s="1" t="s">
        <v>1507</v>
      </c>
      <c r="BS279" s="1" t="s">
        <v>13744</v>
      </c>
      <c r="BT279" s="1" t="s">
        <v>11750</v>
      </c>
      <c r="BU279" s="1" t="str">
        <f>HYPERLINK("https%3A%2F%2Fwww.webofscience.com%2Fwos%2Fwoscc%2Ffull-record%2FWOS:000432046400002","View Full Record in Web of Science")</f>
        <v>View Full Record in Web of Science</v>
      </c>
    </row>
    <row r="280" spans="1:73" x14ac:dyDescent="0.25">
      <c r="A280" s="1">
        <v>311</v>
      </c>
      <c r="B280" s="1" t="s">
        <v>5546</v>
      </c>
      <c r="C280" s="1" t="s">
        <v>6088</v>
      </c>
      <c r="D280" s="1" t="s">
        <v>1507</v>
      </c>
      <c r="E280" s="1" t="s">
        <v>6089</v>
      </c>
      <c r="F280" s="1" t="s">
        <v>1507</v>
      </c>
      <c r="G280" s="1" t="s">
        <v>6090</v>
      </c>
      <c r="H280" s="1" t="s">
        <v>1507</v>
      </c>
      <c r="I280" s="1" t="s">
        <v>1507</v>
      </c>
      <c r="J280" s="1" t="s">
        <v>6091</v>
      </c>
      <c r="K280" s="1" t="s">
        <v>6092</v>
      </c>
      <c r="L280" s="1" t="s">
        <v>6093</v>
      </c>
      <c r="M280" s="1" t="s">
        <v>1507</v>
      </c>
      <c r="N280" s="1" t="s">
        <v>42</v>
      </c>
      <c r="O280" s="1" t="s">
        <v>5552</v>
      </c>
      <c r="P280" s="1" t="s">
        <v>6094</v>
      </c>
      <c r="Q280" s="1" t="s">
        <v>6095</v>
      </c>
      <c r="R280" s="1" t="s">
        <v>6096</v>
      </c>
      <c r="S280" s="1" t="s">
        <v>6097</v>
      </c>
      <c r="T280" s="1" t="s">
        <v>1507</v>
      </c>
      <c r="U280" s="1" t="s">
        <v>6098</v>
      </c>
      <c r="V280" s="1" t="s">
        <v>1507</v>
      </c>
      <c r="W280" s="1" t="s">
        <v>6099</v>
      </c>
      <c r="X280" s="1" t="s">
        <v>6100</v>
      </c>
      <c r="Y280" s="1" t="s">
        <v>6101</v>
      </c>
      <c r="Z280" s="1" t="s">
        <v>6102</v>
      </c>
      <c r="AA280" s="1" t="s">
        <v>6103</v>
      </c>
      <c r="AB280" s="1" t="s">
        <v>1507</v>
      </c>
      <c r="AC280" s="1" t="s">
        <v>15131</v>
      </c>
      <c r="AD280" s="1" t="s">
        <v>1507</v>
      </c>
      <c r="AE280" s="1" t="s">
        <v>1507</v>
      </c>
      <c r="AF280" s="1" t="s">
        <v>1507</v>
      </c>
      <c r="AG280" s="1" t="s">
        <v>1507</v>
      </c>
      <c r="AH280" s="1">
        <v>21</v>
      </c>
      <c r="AI280" s="1">
        <v>2</v>
      </c>
      <c r="AJ280" s="1">
        <v>2</v>
      </c>
      <c r="AK280" s="1">
        <v>72</v>
      </c>
      <c r="AL280" s="1">
        <v>72</v>
      </c>
      <c r="AM280" s="1" t="s">
        <v>5645</v>
      </c>
      <c r="AN280" s="1" t="s">
        <v>5646</v>
      </c>
      <c r="AO280" s="1" t="s">
        <v>5647</v>
      </c>
      <c r="AP280" s="1" t="s">
        <v>6104</v>
      </c>
      <c r="AQ280" s="1" t="s">
        <v>1507</v>
      </c>
      <c r="AR280" s="1" t="s">
        <v>6105</v>
      </c>
      <c r="AS280" s="1" t="s">
        <v>6106</v>
      </c>
      <c r="AT280" s="1" t="s">
        <v>1507</v>
      </c>
      <c r="AU280" s="1" t="s">
        <v>1507</v>
      </c>
      <c r="AV280" s="1">
        <v>2023</v>
      </c>
      <c r="AW280" s="1" t="s">
        <v>1507</v>
      </c>
      <c r="AX280" s="1" t="s">
        <v>1507</v>
      </c>
      <c r="AY280" s="1" t="s">
        <v>1507</v>
      </c>
      <c r="AZ280" s="1" t="s">
        <v>1507</v>
      </c>
      <c r="BA280" s="1" t="s">
        <v>1507</v>
      </c>
      <c r="BB280" s="1" t="s">
        <v>1507</v>
      </c>
      <c r="BC280" s="1">
        <v>226</v>
      </c>
      <c r="BD280" s="1">
        <v>230</v>
      </c>
      <c r="BE280" s="1" t="s">
        <v>1507</v>
      </c>
      <c r="BF280" s="1" t="s">
        <v>1259</v>
      </c>
      <c r="BG280" s="1" t="str">
        <f>HYPERLINK("http://dx.doi.org/10.1109/ICALT58122.2023.00072","http://dx.doi.org/10.1109/ICALT58122.2023.00072")</f>
        <v>http://dx.doi.org/10.1109/ICALT58122.2023.00072</v>
      </c>
      <c r="BH280" s="1" t="s">
        <v>1507</v>
      </c>
      <c r="BI280" s="1" t="s">
        <v>1507</v>
      </c>
      <c r="BJ280" s="1">
        <v>5</v>
      </c>
      <c r="BK280" s="1" t="s">
        <v>6107</v>
      </c>
      <c r="BL280" s="1" t="s">
        <v>5695</v>
      </c>
      <c r="BM280" s="1" t="s">
        <v>6108</v>
      </c>
      <c r="BN280" s="1" t="s">
        <v>6109</v>
      </c>
      <c r="BO280" s="1" t="s">
        <v>1507</v>
      </c>
      <c r="BP280" s="1" t="s">
        <v>1507</v>
      </c>
      <c r="BQ280" s="1" t="s">
        <v>1507</v>
      </c>
      <c r="BR280" s="1" t="s">
        <v>1507</v>
      </c>
      <c r="BS280" s="1" t="s">
        <v>13744</v>
      </c>
      <c r="BT280" s="1" t="s">
        <v>6110</v>
      </c>
      <c r="BU280" s="1" t="str">
        <f>HYPERLINK("https%3A%2F%2Fwww.webofscience.com%2Fwos%2Fwoscc%2Ffull-record%2FWOS:001094548800066","View Full Record in Web of Science")</f>
        <v>View Full Record in Web of Science</v>
      </c>
    </row>
    <row r="281" spans="1:73" x14ac:dyDescent="0.25">
      <c r="A281" s="1">
        <v>312</v>
      </c>
      <c r="B281" s="1" t="s">
        <v>1506</v>
      </c>
      <c r="C281" s="1" t="s">
        <v>4470</v>
      </c>
      <c r="D281" s="1" t="s">
        <v>1507</v>
      </c>
      <c r="E281" s="1" t="s">
        <v>1507</v>
      </c>
      <c r="F281" s="1" t="s">
        <v>1507</v>
      </c>
      <c r="G281" s="1" t="s">
        <v>4471</v>
      </c>
      <c r="H281" s="1" t="s">
        <v>1507</v>
      </c>
      <c r="I281" s="1" t="s">
        <v>1507</v>
      </c>
      <c r="J281" s="1" t="s">
        <v>685</v>
      </c>
      <c r="K281" s="1" t="s">
        <v>4472</v>
      </c>
      <c r="L281" s="1" t="s">
        <v>1507</v>
      </c>
      <c r="M281" s="1" t="s">
        <v>1507</v>
      </c>
      <c r="N281" s="1" t="s">
        <v>42</v>
      </c>
      <c r="O281" s="1" t="s">
        <v>56</v>
      </c>
      <c r="P281" s="1" t="s">
        <v>1507</v>
      </c>
      <c r="Q281" s="1" t="s">
        <v>1507</v>
      </c>
      <c r="R281" s="1" t="s">
        <v>1507</v>
      </c>
      <c r="S281" s="1" t="s">
        <v>1507</v>
      </c>
      <c r="T281" s="1" t="s">
        <v>1507</v>
      </c>
      <c r="U281" s="1" t="s">
        <v>1507</v>
      </c>
      <c r="V281" s="1" t="s">
        <v>1507</v>
      </c>
      <c r="W281" s="1" t="s">
        <v>4473</v>
      </c>
      <c r="X281" s="1" t="s">
        <v>4474</v>
      </c>
      <c r="Y281" s="1" t="s">
        <v>4475</v>
      </c>
      <c r="Z281" s="1" t="s">
        <v>4476</v>
      </c>
      <c r="AA281" s="1" t="s">
        <v>4477</v>
      </c>
      <c r="AB281" s="1" t="s">
        <v>1507</v>
      </c>
      <c r="AC281" s="1" t="s">
        <v>14602</v>
      </c>
      <c r="AD281" s="1" t="s">
        <v>1507</v>
      </c>
      <c r="AE281" s="1" t="s">
        <v>1507</v>
      </c>
      <c r="AF281" s="1" t="s">
        <v>1507</v>
      </c>
      <c r="AG281" s="1" t="s">
        <v>1507</v>
      </c>
      <c r="AH281" s="1">
        <v>13</v>
      </c>
      <c r="AI281" s="1">
        <v>0</v>
      </c>
      <c r="AJ281" s="1">
        <v>0</v>
      </c>
      <c r="AK281" s="1">
        <v>32</v>
      </c>
      <c r="AL281" s="1">
        <v>54</v>
      </c>
      <c r="AM281" s="1" t="s">
        <v>4478</v>
      </c>
      <c r="AN281" s="1" t="s">
        <v>4479</v>
      </c>
      <c r="AO281" s="1" t="s">
        <v>4480</v>
      </c>
      <c r="AP281" s="1" t="s">
        <v>4481</v>
      </c>
      <c r="AQ281" s="1" t="s">
        <v>4482</v>
      </c>
      <c r="AR281" s="1" t="s">
        <v>1507</v>
      </c>
      <c r="AS281" s="1" t="s">
        <v>4483</v>
      </c>
      <c r="AT281" s="1" t="s">
        <v>4484</v>
      </c>
      <c r="AU281" s="1" t="s">
        <v>1507</v>
      </c>
      <c r="AV281" s="1">
        <v>2023</v>
      </c>
      <c r="AW281" s="1">
        <v>44</v>
      </c>
      <c r="AX281" s="1">
        <v>3</v>
      </c>
      <c r="AY281" s="1" t="s">
        <v>1507</v>
      </c>
      <c r="AZ281" s="1" t="s">
        <v>1507</v>
      </c>
      <c r="BA281" s="1" t="s">
        <v>1507</v>
      </c>
      <c r="BB281" s="1" t="s">
        <v>1507</v>
      </c>
      <c r="BC281" s="1">
        <v>124</v>
      </c>
      <c r="BD281" s="1">
        <v>126</v>
      </c>
      <c r="BE281" s="1" t="s">
        <v>1507</v>
      </c>
      <c r="BF281" s="1" t="s">
        <v>687</v>
      </c>
      <c r="BG281" s="1" t="str">
        <f>HYPERLINK("http://dx.doi.org/10.1071/MA23036","http://dx.doi.org/10.1071/MA23036")</f>
        <v>http://dx.doi.org/10.1071/MA23036</v>
      </c>
      <c r="BH281" s="1" t="s">
        <v>1507</v>
      </c>
      <c r="BI281" s="1" t="s">
        <v>4389</v>
      </c>
      <c r="BJ281" s="1">
        <v>3</v>
      </c>
      <c r="BK281" s="1" t="s">
        <v>4485</v>
      </c>
      <c r="BL281" s="1" t="s">
        <v>1529</v>
      </c>
      <c r="BM281" s="1" t="s">
        <v>4485</v>
      </c>
      <c r="BN281" s="1" t="s">
        <v>14603</v>
      </c>
      <c r="BO281" s="1" t="s">
        <v>1507</v>
      </c>
      <c r="BP281" s="1" t="s">
        <v>4357</v>
      </c>
      <c r="BQ281" s="1" t="s">
        <v>1507</v>
      </c>
      <c r="BR281" s="1" t="s">
        <v>1507</v>
      </c>
      <c r="BS281" s="1" t="s">
        <v>13744</v>
      </c>
      <c r="BT281" s="1" t="s">
        <v>4486</v>
      </c>
      <c r="BU281" s="1" t="str">
        <f>HYPERLINK("https%3A%2F%2Fwww.webofscience.com%2Fwos%2Fwoscc%2Ffull-record%2FWOS:001027882700001","View Full Record in Web of Science")</f>
        <v>View Full Record in Web of Science</v>
      </c>
    </row>
    <row r="282" spans="1:73" x14ac:dyDescent="0.25">
      <c r="A282" s="1">
        <v>313</v>
      </c>
      <c r="B282" s="1" t="s">
        <v>1506</v>
      </c>
      <c r="C282" s="1" t="s">
        <v>10851</v>
      </c>
      <c r="D282" s="1" t="s">
        <v>1507</v>
      </c>
      <c r="E282" s="1" t="s">
        <v>1507</v>
      </c>
      <c r="F282" s="1" t="s">
        <v>1507</v>
      </c>
      <c r="G282" s="1" t="s">
        <v>10852</v>
      </c>
      <c r="H282" s="1" t="s">
        <v>1507</v>
      </c>
      <c r="I282" s="1" t="s">
        <v>1507</v>
      </c>
      <c r="J282" s="1" t="s">
        <v>10853</v>
      </c>
      <c r="K282" s="1" t="s">
        <v>10008</v>
      </c>
      <c r="L282" s="1" t="s">
        <v>1507</v>
      </c>
      <c r="M282" s="1" t="s">
        <v>1507</v>
      </c>
      <c r="N282" s="1" t="s">
        <v>42</v>
      </c>
      <c r="O282" s="1" t="s">
        <v>56</v>
      </c>
      <c r="P282" s="1" t="s">
        <v>1507</v>
      </c>
      <c r="Q282" s="1" t="s">
        <v>1507</v>
      </c>
      <c r="R282" s="1" t="s">
        <v>1507</v>
      </c>
      <c r="S282" s="1" t="s">
        <v>1507</v>
      </c>
      <c r="T282" s="1" t="s">
        <v>1507</v>
      </c>
      <c r="U282" s="1" t="s">
        <v>1507</v>
      </c>
      <c r="V282" s="1" t="s">
        <v>10854</v>
      </c>
      <c r="W282" s="1" t="s">
        <v>10855</v>
      </c>
      <c r="X282" s="1" t="s">
        <v>10856</v>
      </c>
      <c r="Y282" s="1" t="s">
        <v>10857</v>
      </c>
      <c r="Z282" s="1" t="s">
        <v>10858</v>
      </c>
      <c r="AA282" s="1" t="s">
        <v>10015</v>
      </c>
      <c r="AB282" s="1" t="s">
        <v>1507</v>
      </c>
      <c r="AC282" s="1" t="s">
        <v>15922</v>
      </c>
      <c r="AD282" s="1" t="s">
        <v>10859</v>
      </c>
      <c r="AE282" s="1" t="s">
        <v>10860</v>
      </c>
      <c r="AF282" s="1" t="s">
        <v>10861</v>
      </c>
      <c r="AG282" s="1" t="s">
        <v>1507</v>
      </c>
      <c r="AH282" s="1">
        <v>59</v>
      </c>
      <c r="AI282" s="1">
        <v>6</v>
      </c>
      <c r="AJ282" s="1">
        <v>6</v>
      </c>
      <c r="AK282" s="1">
        <v>4</v>
      </c>
      <c r="AL282" s="1">
        <v>23</v>
      </c>
      <c r="AM282" s="1" t="s">
        <v>1559</v>
      </c>
      <c r="AN282" s="1" t="s">
        <v>1560</v>
      </c>
      <c r="AO282" s="1" t="s">
        <v>1561</v>
      </c>
      <c r="AP282" s="1" t="s">
        <v>10018</v>
      </c>
      <c r="AQ282" s="1" t="s">
        <v>10019</v>
      </c>
      <c r="AR282" s="1" t="s">
        <v>1507</v>
      </c>
      <c r="AS282" s="1" t="s">
        <v>10020</v>
      </c>
      <c r="AT282" s="1" t="s">
        <v>10021</v>
      </c>
      <c r="AU282" s="1" t="s">
        <v>4556</v>
      </c>
      <c r="AV282" s="1">
        <v>2019</v>
      </c>
      <c r="AW282" s="1">
        <v>112</v>
      </c>
      <c r="AX282" s="1">
        <v>1</v>
      </c>
      <c r="AY282" s="1" t="s">
        <v>1507</v>
      </c>
      <c r="AZ282" s="1" t="s">
        <v>1507</v>
      </c>
      <c r="BA282" s="1" t="s">
        <v>1507</v>
      </c>
      <c r="BB282" s="1" t="s">
        <v>1507</v>
      </c>
      <c r="BC282" s="1">
        <v>99</v>
      </c>
      <c r="BD282" s="1">
        <v>113</v>
      </c>
      <c r="BE282" s="1" t="s">
        <v>1507</v>
      </c>
      <c r="BF282" s="1" t="s">
        <v>10862</v>
      </c>
      <c r="BG282" s="1" t="str">
        <f>HYPERLINK("http://dx.doi.org/10.1111/mmi.14256","http://dx.doi.org/10.1111/mmi.14256")</f>
        <v>http://dx.doi.org/10.1111/mmi.14256</v>
      </c>
      <c r="BH282" s="1" t="s">
        <v>1507</v>
      </c>
      <c r="BI282" s="1" t="s">
        <v>1507</v>
      </c>
      <c r="BJ282" s="1">
        <v>15</v>
      </c>
      <c r="BK282" s="1" t="s">
        <v>10024</v>
      </c>
      <c r="BL282" s="1" t="s">
        <v>1573</v>
      </c>
      <c r="BM282" s="1" t="s">
        <v>10024</v>
      </c>
      <c r="BN282" s="1" t="s">
        <v>10863</v>
      </c>
      <c r="BO282" s="1">
        <v>30938898</v>
      </c>
      <c r="BP282" s="1" t="s">
        <v>7558</v>
      </c>
      <c r="BQ282" s="1" t="s">
        <v>1507</v>
      </c>
      <c r="BR282" s="1" t="s">
        <v>1507</v>
      </c>
      <c r="BS282" s="1" t="s">
        <v>13744</v>
      </c>
      <c r="BT282" s="1" t="s">
        <v>10864</v>
      </c>
      <c r="BU282" s="1" t="str">
        <f>HYPERLINK("https%3A%2F%2Fwww.webofscience.com%2Fwos%2Fwoscc%2Ffull-record%2FWOS:000474705900007","View Full Record in Web of Science")</f>
        <v>View Full Record in Web of Science</v>
      </c>
    </row>
    <row r="283" spans="1:73" x14ac:dyDescent="0.25">
      <c r="A283" s="1">
        <v>314</v>
      </c>
      <c r="B283" s="1" t="s">
        <v>1506</v>
      </c>
      <c r="C283" s="1" t="s">
        <v>2233</v>
      </c>
      <c r="D283" s="1" t="s">
        <v>1507</v>
      </c>
      <c r="E283" s="1" t="s">
        <v>1507</v>
      </c>
      <c r="F283" s="1" t="s">
        <v>1507</v>
      </c>
      <c r="G283" s="1" t="s">
        <v>2234</v>
      </c>
      <c r="H283" s="1" t="s">
        <v>1507</v>
      </c>
      <c r="I283" s="1" t="s">
        <v>1507</v>
      </c>
      <c r="J283" s="1" t="s">
        <v>2235</v>
      </c>
      <c r="K283" s="1" t="s">
        <v>2236</v>
      </c>
      <c r="L283" s="1" t="s">
        <v>1507</v>
      </c>
      <c r="M283" s="1" t="s">
        <v>1507</v>
      </c>
      <c r="N283" s="1" t="s">
        <v>42</v>
      </c>
      <c r="O283" s="1" t="s">
        <v>56</v>
      </c>
      <c r="P283" s="1" t="s">
        <v>1507</v>
      </c>
      <c r="Q283" s="1" t="s">
        <v>1507</v>
      </c>
      <c r="R283" s="1" t="s">
        <v>1507</v>
      </c>
      <c r="S283" s="1" t="s">
        <v>1507</v>
      </c>
      <c r="T283" s="1" t="s">
        <v>1507</v>
      </c>
      <c r="U283" s="1" t="s">
        <v>2237</v>
      </c>
      <c r="V283" s="1" t="s">
        <v>1507</v>
      </c>
      <c r="W283" s="1" t="s">
        <v>2238</v>
      </c>
      <c r="X283" s="1" t="s">
        <v>2239</v>
      </c>
      <c r="Y283" s="1" t="s">
        <v>2240</v>
      </c>
      <c r="Z283" s="1" t="s">
        <v>2241</v>
      </c>
      <c r="AA283" s="1" t="s">
        <v>2242</v>
      </c>
      <c r="AB283" s="1" t="s">
        <v>1507</v>
      </c>
      <c r="AC283" s="1" t="s">
        <v>13898</v>
      </c>
      <c r="AD283" s="1" t="s">
        <v>2243</v>
      </c>
      <c r="AE283" s="1" t="s">
        <v>2244</v>
      </c>
      <c r="AF283" s="1" t="s">
        <v>2245</v>
      </c>
      <c r="AG283" s="1" t="s">
        <v>1507</v>
      </c>
      <c r="AH283" s="1">
        <v>50</v>
      </c>
      <c r="AI283" s="1">
        <v>1</v>
      </c>
      <c r="AJ283" s="1">
        <v>1</v>
      </c>
      <c r="AK283" s="1">
        <v>5</v>
      </c>
      <c r="AL283" s="1">
        <v>5</v>
      </c>
      <c r="AM283" s="1" t="s">
        <v>1610</v>
      </c>
      <c r="AN283" s="1" t="s">
        <v>1611</v>
      </c>
      <c r="AO283" s="1" t="s">
        <v>1612</v>
      </c>
      <c r="AP283" s="1" t="s">
        <v>1507</v>
      </c>
      <c r="AQ283" s="1" t="s">
        <v>2246</v>
      </c>
      <c r="AR283" s="1" t="s">
        <v>1507</v>
      </c>
      <c r="AS283" s="1" t="s">
        <v>2236</v>
      </c>
      <c r="AT283" s="1" t="s">
        <v>2247</v>
      </c>
      <c r="AU283" s="1" t="s">
        <v>2191</v>
      </c>
      <c r="AV283" s="1">
        <v>2023</v>
      </c>
      <c r="AW283" s="1">
        <v>14</v>
      </c>
      <c r="AX283" s="1">
        <v>12</v>
      </c>
      <c r="AY283" s="1" t="s">
        <v>1507</v>
      </c>
      <c r="AZ283" s="1" t="s">
        <v>1507</v>
      </c>
      <c r="BA283" s="1" t="s">
        <v>1507</v>
      </c>
      <c r="BB283" s="1" t="s">
        <v>1507</v>
      </c>
      <c r="BC283" s="1" t="s">
        <v>1507</v>
      </c>
      <c r="BD283" s="1" t="s">
        <v>1507</v>
      </c>
      <c r="BE283" s="1">
        <v>638</v>
      </c>
      <c r="BF283" s="1" t="s">
        <v>2248</v>
      </c>
      <c r="BG283" s="1" t="str">
        <f>HYPERLINK("http://dx.doi.org/10.3390/info14120638","http://dx.doi.org/10.3390/info14120638")</f>
        <v>http://dx.doi.org/10.3390/info14120638</v>
      </c>
      <c r="BH283" s="1" t="s">
        <v>1507</v>
      </c>
      <c r="BI283" s="1" t="s">
        <v>1507</v>
      </c>
      <c r="BJ283" s="1">
        <v>24</v>
      </c>
      <c r="BK283" s="1" t="s">
        <v>1576</v>
      </c>
      <c r="BL283" s="1" t="s">
        <v>1529</v>
      </c>
      <c r="BM283" s="1" t="s">
        <v>1577</v>
      </c>
      <c r="BN283" s="1" t="s">
        <v>2249</v>
      </c>
      <c r="BO283" s="1" t="s">
        <v>1507</v>
      </c>
      <c r="BP283" s="1" t="s">
        <v>1531</v>
      </c>
      <c r="BQ283" s="1" t="s">
        <v>1507</v>
      </c>
      <c r="BR283" s="1" t="s">
        <v>1507</v>
      </c>
      <c r="BS283" s="1" t="s">
        <v>13744</v>
      </c>
      <c r="BT283" s="1" t="s">
        <v>2250</v>
      </c>
      <c r="BU283" s="1" t="str">
        <f>HYPERLINK("https%3A%2F%2Fwww.webofscience.com%2Fwos%2Fwoscc%2Ffull-record%2FWOS:001130965600001","View Full Record in Web of Science")</f>
        <v>View Full Record in Web of Science</v>
      </c>
    </row>
    <row r="284" spans="1:73" x14ac:dyDescent="0.25">
      <c r="A284" s="1">
        <v>315</v>
      </c>
      <c r="B284" s="1" t="s">
        <v>1506</v>
      </c>
      <c r="C284" s="1" t="s">
        <v>2553</v>
      </c>
      <c r="D284" s="1" t="s">
        <v>1507</v>
      </c>
      <c r="E284" s="1" t="s">
        <v>1507</v>
      </c>
      <c r="F284" s="1" t="s">
        <v>1507</v>
      </c>
      <c r="G284" s="1" t="s">
        <v>2554</v>
      </c>
      <c r="H284" s="1" t="s">
        <v>1507</v>
      </c>
      <c r="I284" s="1" t="s">
        <v>1507</v>
      </c>
      <c r="J284" s="1" t="s">
        <v>2555</v>
      </c>
      <c r="K284" s="1" t="s">
        <v>2556</v>
      </c>
      <c r="L284" s="1" t="s">
        <v>1507</v>
      </c>
      <c r="M284" s="1" t="s">
        <v>1507</v>
      </c>
      <c r="N284" s="1" t="s">
        <v>42</v>
      </c>
      <c r="O284" s="1" t="s">
        <v>56</v>
      </c>
      <c r="P284" s="1" t="s">
        <v>1507</v>
      </c>
      <c r="Q284" s="1" t="s">
        <v>1507</v>
      </c>
      <c r="R284" s="1" t="s">
        <v>1507</v>
      </c>
      <c r="S284" s="1" t="s">
        <v>1507</v>
      </c>
      <c r="T284" s="1" t="s">
        <v>1507</v>
      </c>
      <c r="U284" s="1" t="s">
        <v>2557</v>
      </c>
      <c r="V284" s="1" t="s">
        <v>1507</v>
      </c>
      <c r="W284" s="1" t="s">
        <v>2558</v>
      </c>
      <c r="X284" s="1" t="s">
        <v>2559</v>
      </c>
      <c r="Y284" s="1" t="s">
        <v>2560</v>
      </c>
      <c r="Z284" s="1" t="s">
        <v>2561</v>
      </c>
      <c r="AA284" s="1" t="s">
        <v>2562</v>
      </c>
      <c r="AB284" s="1" t="s">
        <v>1507</v>
      </c>
      <c r="AC284" s="1" t="s">
        <v>1507</v>
      </c>
      <c r="AD284" s="1" t="s">
        <v>2563</v>
      </c>
      <c r="AE284" s="1" t="s">
        <v>2564</v>
      </c>
      <c r="AF284" s="1" t="s">
        <v>2565</v>
      </c>
      <c r="AG284" s="1" t="s">
        <v>1507</v>
      </c>
      <c r="AH284" s="1">
        <v>48</v>
      </c>
      <c r="AI284" s="1">
        <v>0</v>
      </c>
      <c r="AJ284" s="1">
        <v>0</v>
      </c>
      <c r="AK284" s="1">
        <v>7</v>
      </c>
      <c r="AL284" s="1">
        <v>7</v>
      </c>
      <c r="AM284" s="1" t="s">
        <v>1511</v>
      </c>
      <c r="AN284" s="1" t="s">
        <v>1570</v>
      </c>
      <c r="AO284" s="1" t="s">
        <v>1571</v>
      </c>
      <c r="AP284" s="1" t="s">
        <v>2566</v>
      </c>
      <c r="AQ284" s="1" t="s">
        <v>2567</v>
      </c>
      <c r="AR284" s="1" t="s">
        <v>1507</v>
      </c>
      <c r="AS284" s="1" t="s">
        <v>2568</v>
      </c>
      <c r="AT284" s="1" t="s">
        <v>2569</v>
      </c>
      <c r="AU284" s="1" t="s">
        <v>5362</v>
      </c>
      <c r="AV284" s="1">
        <v>2024</v>
      </c>
      <c r="AW284" s="1">
        <v>33</v>
      </c>
      <c r="AX284" s="1">
        <v>1</v>
      </c>
      <c r="AY284" s="1" t="s">
        <v>1507</v>
      </c>
      <c r="AZ284" s="1" t="s">
        <v>1507</v>
      </c>
      <c r="BA284" s="1" t="s">
        <v>3506</v>
      </c>
      <c r="BB284" s="1" t="s">
        <v>1507</v>
      </c>
      <c r="BC284" s="1">
        <v>9</v>
      </c>
      <c r="BD284" s="1">
        <v>20</v>
      </c>
      <c r="BE284" s="1" t="s">
        <v>1507</v>
      </c>
      <c r="BF284" s="1" t="s">
        <v>2570</v>
      </c>
      <c r="BG284" s="1" t="str">
        <f>HYPERLINK("http://dx.doi.org/10.1007/s10849-023-09409-x","http://dx.doi.org/10.1007/s10849-023-09409-x")</f>
        <v>http://dx.doi.org/10.1007/s10849-023-09409-x</v>
      </c>
      <c r="BH284" s="1" t="s">
        <v>1507</v>
      </c>
      <c r="BI284" s="1" t="s">
        <v>2396</v>
      </c>
      <c r="BJ284" s="1">
        <v>12</v>
      </c>
      <c r="BK284" s="1" t="s">
        <v>2571</v>
      </c>
      <c r="BL284" s="1" t="s">
        <v>2572</v>
      </c>
      <c r="BM284" s="1" t="s">
        <v>2573</v>
      </c>
      <c r="BN284" s="1" t="s">
        <v>13998</v>
      </c>
      <c r="BO284" s="1" t="s">
        <v>1507</v>
      </c>
      <c r="BP284" s="1" t="s">
        <v>2574</v>
      </c>
      <c r="BQ284" s="1" t="s">
        <v>1507</v>
      </c>
      <c r="BR284" s="1" t="s">
        <v>1507</v>
      </c>
      <c r="BS284" s="1" t="s">
        <v>13744</v>
      </c>
      <c r="BT284" s="1" t="s">
        <v>2575</v>
      </c>
      <c r="BU284" s="1" t="str">
        <f>HYPERLINK("https%3A%2F%2Fwww.webofscience.com%2Fwos%2Fwoscc%2Ffull-record%2FWOS:001100636300002","View Full Record in Web of Science")</f>
        <v>View Full Record in Web of Science</v>
      </c>
    </row>
    <row r="285" spans="1:73" x14ac:dyDescent="0.25">
      <c r="A285" s="1">
        <v>316</v>
      </c>
      <c r="B285" s="1" t="s">
        <v>1506</v>
      </c>
      <c r="C285" s="1" t="s">
        <v>8131</v>
      </c>
      <c r="D285" s="1" t="s">
        <v>1507</v>
      </c>
      <c r="E285" s="1" t="s">
        <v>1507</v>
      </c>
      <c r="F285" s="1" t="s">
        <v>1507</v>
      </c>
      <c r="G285" s="1" t="s">
        <v>8132</v>
      </c>
      <c r="H285" s="1" t="s">
        <v>1507</v>
      </c>
      <c r="I285" s="1" t="s">
        <v>1507</v>
      </c>
      <c r="J285" s="1" t="s">
        <v>8133</v>
      </c>
      <c r="K285" s="1" t="s">
        <v>8134</v>
      </c>
      <c r="L285" s="1" t="s">
        <v>1507</v>
      </c>
      <c r="M285" s="1" t="s">
        <v>1507</v>
      </c>
      <c r="N285" s="1" t="s">
        <v>42</v>
      </c>
      <c r="O285" s="1" t="s">
        <v>56</v>
      </c>
      <c r="P285" s="1" t="s">
        <v>1507</v>
      </c>
      <c r="Q285" s="1" t="s">
        <v>1507</v>
      </c>
      <c r="R285" s="1" t="s">
        <v>1507</v>
      </c>
      <c r="S285" s="1" t="s">
        <v>1507</v>
      </c>
      <c r="T285" s="1" t="s">
        <v>1507</v>
      </c>
      <c r="U285" s="1" t="s">
        <v>8135</v>
      </c>
      <c r="V285" s="1" t="s">
        <v>8136</v>
      </c>
      <c r="W285" s="1" t="s">
        <v>8137</v>
      </c>
      <c r="X285" s="1" t="s">
        <v>8138</v>
      </c>
      <c r="Y285" s="1" t="s">
        <v>8139</v>
      </c>
      <c r="Z285" s="1" t="s">
        <v>8140</v>
      </c>
      <c r="AA285" s="1" t="s">
        <v>2295</v>
      </c>
      <c r="AB285" s="1" t="s">
        <v>8141</v>
      </c>
      <c r="AC285" s="1" t="s">
        <v>8142</v>
      </c>
      <c r="AD285" s="1" t="s">
        <v>8143</v>
      </c>
      <c r="AE285" s="1" t="s">
        <v>8144</v>
      </c>
      <c r="AF285" s="1" t="s">
        <v>8145</v>
      </c>
      <c r="AG285" s="1" t="s">
        <v>1507</v>
      </c>
      <c r="AH285" s="1">
        <v>33</v>
      </c>
      <c r="AI285" s="1">
        <v>36</v>
      </c>
      <c r="AJ285" s="1">
        <v>38</v>
      </c>
      <c r="AK285" s="1">
        <v>0</v>
      </c>
      <c r="AL285" s="1">
        <v>4</v>
      </c>
      <c r="AM285" s="1" t="s">
        <v>1579</v>
      </c>
      <c r="AN285" s="1" t="s">
        <v>1580</v>
      </c>
      <c r="AO285" s="1" t="s">
        <v>1581</v>
      </c>
      <c r="AP285" s="1" t="s">
        <v>1507</v>
      </c>
      <c r="AQ285" s="1" t="s">
        <v>8146</v>
      </c>
      <c r="AR285" s="1" t="s">
        <v>1507</v>
      </c>
      <c r="AS285" s="1" t="s">
        <v>8134</v>
      </c>
      <c r="AT285" s="1" t="s">
        <v>8147</v>
      </c>
      <c r="AU285" s="1" t="s">
        <v>2771</v>
      </c>
      <c r="AV285" s="1">
        <v>2021</v>
      </c>
      <c r="AW285" s="1">
        <v>41</v>
      </c>
      <c r="AX285" s="1" t="s">
        <v>1507</v>
      </c>
      <c r="AY285" s="1" t="s">
        <v>1507</v>
      </c>
      <c r="AZ285" s="1" t="s">
        <v>1507</v>
      </c>
      <c r="BA285" s="1" t="s">
        <v>1507</v>
      </c>
      <c r="BB285" s="1" t="s">
        <v>1507</v>
      </c>
      <c r="BC285" s="1" t="s">
        <v>1507</v>
      </c>
      <c r="BD285" s="1" t="s">
        <v>1507</v>
      </c>
      <c r="BE285" s="1">
        <v>101174</v>
      </c>
      <c r="BF285" s="1" t="s">
        <v>8148</v>
      </c>
      <c r="BG285" s="1" t="str">
        <f>HYPERLINK("http://dx.doi.org/10.1016/j.eclinm.2021.101174","http://dx.doi.org/10.1016/j.eclinm.2021.101174")</f>
        <v>http://dx.doi.org/10.1016/j.eclinm.2021.101174</v>
      </c>
      <c r="BH285" s="1" t="s">
        <v>1507</v>
      </c>
      <c r="BI285" s="1" t="s">
        <v>8149</v>
      </c>
      <c r="BJ285" s="1">
        <v>8</v>
      </c>
      <c r="BK285" s="1" t="s">
        <v>1949</v>
      </c>
      <c r="BL285" s="1" t="s">
        <v>1573</v>
      </c>
      <c r="BM285" s="1" t="s">
        <v>1950</v>
      </c>
      <c r="BN285" s="1" t="s">
        <v>8150</v>
      </c>
      <c r="BO285" s="1">
        <v>34746725</v>
      </c>
      <c r="BP285" s="1" t="s">
        <v>1674</v>
      </c>
      <c r="BQ285" s="1" t="s">
        <v>1507</v>
      </c>
      <c r="BR285" s="1" t="s">
        <v>1507</v>
      </c>
      <c r="BS285" s="1" t="s">
        <v>13744</v>
      </c>
      <c r="BT285" s="1" t="s">
        <v>8151</v>
      </c>
      <c r="BU285" s="1" t="str">
        <f>HYPERLINK("https%3A%2F%2Fwww.webofscience.com%2Fwos%2Fwoscc%2Ffull-record%2FWOS:000723039100003","View Full Record in Web of Science")</f>
        <v>View Full Record in Web of Science</v>
      </c>
    </row>
    <row r="286" spans="1:73" x14ac:dyDescent="0.25">
      <c r="A286" s="1">
        <v>317</v>
      </c>
      <c r="B286" s="1" t="s">
        <v>5546</v>
      </c>
      <c r="C286" s="1" t="s">
        <v>6111</v>
      </c>
      <c r="D286" s="1" t="s">
        <v>1507</v>
      </c>
      <c r="E286" s="1" t="s">
        <v>1507</v>
      </c>
      <c r="F286" s="1" t="s">
        <v>5548</v>
      </c>
      <c r="G286" s="1" t="s">
        <v>6112</v>
      </c>
      <c r="H286" s="1" t="s">
        <v>1507</v>
      </c>
      <c r="I286" s="1" t="s">
        <v>1507</v>
      </c>
      <c r="J286" s="1" t="s">
        <v>6113</v>
      </c>
      <c r="K286" s="1" t="s">
        <v>6114</v>
      </c>
      <c r="L286" s="1" t="s">
        <v>1507</v>
      </c>
      <c r="M286" s="1" t="s">
        <v>1507</v>
      </c>
      <c r="N286" s="1" t="s">
        <v>42</v>
      </c>
      <c r="O286" s="1" t="s">
        <v>5552</v>
      </c>
      <c r="P286" s="1" t="s">
        <v>6115</v>
      </c>
      <c r="Q286" s="1" t="s">
        <v>6116</v>
      </c>
      <c r="R286" s="1" t="s">
        <v>5942</v>
      </c>
      <c r="S286" s="1" t="s">
        <v>6117</v>
      </c>
      <c r="T286" s="1" t="s">
        <v>1507</v>
      </c>
      <c r="U286" s="1" t="s">
        <v>6118</v>
      </c>
      <c r="V286" s="1" t="s">
        <v>1507</v>
      </c>
      <c r="W286" s="1" t="s">
        <v>6119</v>
      </c>
      <c r="X286" s="1" t="s">
        <v>6120</v>
      </c>
      <c r="Y286" s="1" t="s">
        <v>6121</v>
      </c>
      <c r="Z286" s="1" t="s">
        <v>6122</v>
      </c>
      <c r="AA286" s="1" t="s">
        <v>6123</v>
      </c>
      <c r="AB286" s="1" t="s">
        <v>1507</v>
      </c>
      <c r="AC286" s="1" t="s">
        <v>1507</v>
      </c>
      <c r="AD286" s="1" t="s">
        <v>6124</v>
      </c>
      <c r="AE286" s="1" t="s">
        <v>6125</v>
      </c>
      <c r="AF286" s="1" t="s">
        <v>6126</v>
      </c>
      <c r="AG286" s="1" t="s">
        <v>1507</v>
      </c>
      <c r="AH286" s="1">
        <v>115</v>
      </c>
      <c r="AI286" s="1">
        <v>7</v>
      </c>
      <c r="AJ286" s="1">
        <v>7</v>
      </c>
      <c r="AK286" s="1">
        <v>3</v>
      </c>
      <c r="AL286" s="1">
        <v>3</v>
      </c>
      <c r="AM286" s="1" t="s">
        <v>5565</v>
      </c>
      <c r="AN286" s="1" t="s">
        <v>1512</v>
      </c>
      <c r="AO286" s="1" t="s">
        <v>5566</v>
      </c>
      <c r="AP286" s="1" t="s">
        <v>1507</v>
      </c>
      <c r="AQ286" s="1" t="s">
        <v>1507</v>
      </c>
      <c r="AR286" s="1" t="s">
        <v>6127</v>
      </c>
      <c r="AS286" s="1" t="s">
        <v>1507</v>
      </c>
      <c r="AT286" s="1" t="s">
        <v>1507</v>
      </c>
      <c r="AU286" s="1" t="s">
        <v>1507</v>
      </c>
      <c r="AV286" s="1">
        <v>2023</v>
      </c>
      <c r="AW286" s="1" t="s">
        <v>1507</v>
      </c>
      <c r="AX286" s="1" t="s">
        <v>1507</v>
      </c>
      <c r="AY286" s="1" t="s">
        <v>1507</v>
      </c>
      <c r="AZ286" s="1" t="s">
        <v>1507</v>
      </c>
      <c r="BA286" s="1" t="s">
        <v>1507</v>
      </c>
      <c r="BB286" s="1" t="s">
        <v>1507</v>
      </c>
      <c r="BC286" s="1">
        <v>106</v>
      </c>
      <c r="BD286" s="1">
        <v>121</v>
      </c>
      <c r="BE286" s="1" t="s">
        <v>1507</v>
      </c>
      <c r="BF286" s="1" t="s">
        <v>450</v>
      </c>
      <c r="BG286" s="1" t="str">
        <f>HYPERLINK("http://dx.doi.org/10.1145/3568813.3600138","http://dx.doi.org/10.1145/3568813.3600138")</f>
        <v>http://dx.doi.org/10.1145/3568813.3600138</v>
      </c>
      <c r="BH286" s="1" t="s">
        <v>1507</v>
      </c>
      <c r="BI286" s="1" t="s">
        <v>1507</v>
      </c>
      <c r="BJ286" s="1">
        <v>16</v>
      </c>
      <c r="BK286" s="1" t="s">
        <v>6128</v>
      </c>
      <c r="BL286" s="1" t="s">
        <v>5695</v>
      </c>
      <c r="BM286" s="1" t="s">
        <v>6108</v>
      </c>
      <c r="BN286" s="1" t="s">
        <v>6129</v>
      </c>
      <c r="BO286" s="1" t="s">
        <v>1507</v>
      </c>
      <c r="BP286" s="1" t="s">
        <v>1507</v>
      </c>
      <c r="BQ286" s="1" t="s">
        <v>1507</v>
      </c>
      <c r="BR286" s="1" t="s">
        <v>1507</v>
      </c>
      <c r="BS286" s="1" t="s">
        <v>13744</v>
      </c>
      <c r="BT286" s="1" t="s">
        <v>6130</v>
      </c>
      <c r="BU286" s="1" t="str">
        <f>HYPERLINK("https%3A%2F%2Fwww.webofscience.com%2Fwos%2Fwoscc%2Ffull-record%2FWOS:001141973500008","View Full Record in Web of Science")</f>
        <v>View Full Record in Web of Science</v>
      </c>
    </row>
    <row r="287" spans="1:73" x14ac:dyDescent="0.25">
      <c r="A287" s="1">
        <v>318</v>
      </c>
      <c r="B287" s="1" t="s">
        <v>1506</v>
      </c>
      <c r="C287" s="1" t="s">
        <v>8793</v>
      </c>
      <c r="D287" s="1" t="s">
        <v>1507</v>
      </c>
      <c r="E287" s="1" t="s">
        <v>1507</v>
      </c>
      <c r="F287" s="1" t="s">
        <v>1507</v>
      </c>
      <c r="G287" s="1" t="s">
        <v>8794</v>
      </c>
      <c r="H287" s="1" t="s">
        <v>1507</v>
      </c>
      <c r="I287" s="1" t="s">
        <v>1507</v>
      </c>
      <c r="J287" s="1" t="s">
        <v>8795</v>
      </c>
      <c r="K287" s="1" t="s">
        <v>8796</v>
      </c>
      <c r="L287" s="1" t="s">
        <v>1507</v>
      </c>
      <c r="M287" s="1" t="s">
        <v>1507</v>
      </c>
      <c r="N287" s="1" t="s">
        <v>42</v>
      </c>
      <c r="O287" s="1" t="s">
        <v>56</v>
      </c>
      <c r="P287" s="1" t="s">
        <v>1507</v>
      </c>
      <c r="Q287" s="1" t="s">
        <v>1507</v>
      </c>
      <c r="R287" s="1" t="s">
        <v>1507</v>
      </c>
      <c r="S287" s="1" t="s">
        <v>1507</v>
      </c>
      <c r="T287" s="1" t="s">
        <v>1507</v>
      </c>
      <c r="U287" s="1" t="s">
        <v>1507</v>
      </c>
      <c r="V287" s="1" t="s">
        <v>1507</v>
      </c>
      <c r="W287" s="1" t="s">
        <v>8797</v>
      </c>
      <c r="X287" s="1" t="s">
        <v>8798</v>
      </c>
      <c r="Y287" s="1" t="s">
        <v>8799</v>
      </c>
      <c r="Z287" s="1" t="s">
        <v>8800</v>
      </c>
      <c r="AA287" s="1" t="s">
        <v>8801</v>
      </c>
      <c r="AB287" s="1" t="s">
        <v>1507</v>
      </c>
      <c r="AC287" s="1" t="s">
        <v>8802</v>
      </c>
      <c r="AD287" s="1" t="s">
        <v>8803</v>
      </c>
      <c r="AE287" s="1" t="s">
        <v>8803</v>
      </c>
      <c r="AF287" s="1" t="s">
        <v>8804</v>
      </c>
      <c r="AG287" s="1" t="s">
        <v>1507</v>
      </c>
      <c r="AH287" s="1">
        <v>33</v>
      </c>
      <c r="AI287" s="1">
        <v>1</v>
      </c>
      <c r="AJ287" s="1">
        <v>1</v>
      </c>
      <c r="AK287" s="1">
        <v>0</v>
      </c>
      <c r="AL287" s="1">
        <v>0</v>
      </c>
      <c r="AM287" s="1" t="s">
        <v>1582</v>
      </c>
      <c r="AN287" s="1" t="s">
        <v>1583</v>
      </c>
      <c r="AO287" s="1" t="s">
        <v>1584</v>
      </c>
      <c r="AP287" s="1" t="s">
        <v>8805</v>
      </c>
      <c r="AQ287" s="1" t="s">
        <v>8806</v>
      </c>
      <c r="AR287" s="1" t="s">
        <v>1507</v>
      </c>
      <c r="AS287" s="1" t="s">
        <v>8807</v>
      </c>
      <c r="AT287" s="1" t="s">
        <v>8808</v>
      </c>
      <c r="AU287" s="1" t="s">
        <v>5045</v>
      </c>
      <c r="AV287" s="1">
        <v>2021</v>
      </c>
      <c r="AW287" s="1">
        <v>27</v>
      </c>
      <c r="AX287" s="1">
        <v>4</v>
      </c>
      <c r="AY287" s="1" t="s">
        <v>1507</v>
      </c>
      <c r="AZ287" s="1" t="s">
        <v>1507</v>
      </c>
      <c r="BA287" s="1" t="s">
        <v>1507</v>
      </c>
      <c r="BB287" s="1" t="s">
        <v>1507</v>
      </c>
      <c r="BC287" s="1">
        <v>302</v>
      </c>
      <c r="BD287" s="1">
        <v>310</v>
      </c>
      <c r="BE287" s="1" t="s">
        <v>1507</v>
      </c>
      <c r="BF287" s="1" t="s">
        <v>8809</v>
      </c>
      <c r="BG287" s="1" t="str">
        <f>HYPERLINK("http://dx.doi.org/10.1093/tandt/ttab013","http://dx.doi.org/10.1093/tandt/ttab013")</f>
        <v>http://dx.doi.org/10.1093/tandt/ttab013</v>
      </c>
      <c r="BH287" s="1" t="s">
        <v>1507</v>
      </c>
      <c r="BI287" s="1" t="s">
        <v>8746</v>
      </c>
      <c r="BJ287" s="1">
        <v>9</v>
      </c>
      <c r="BK287" s="1" t="s">
        <v>1535</v>
      </c>
      <c r="BL287" s="1" t="s">
        <v>1529</v>
      </c>
      <c r="BM287" s="1" t="s">
        <v>1536</v>
      </c>
      <c r="BN287" s="1" t="s">
        <v>8810</v>
      </c>
      <c r="BO287" s="1" t="s">
        <v>1507</v>
      </c>
      <c r="BP287" s="1" t="s">
        <v>12107</v>
      </c>
      <c r="BQ287" s="1" t="s">
        <v>1507</v>
      </c>
      <c r="BR287" s="1" t="s">
        <v>1507</v>
      </c>
      <c r="BS287" s="1" t="s">
        <v>13744</v>
      </c>
      <c r="BT287" s="1" t="s">
        <v>8812</v>
      </c>
      <c r="BU287" s="1" t="str">
        <f>HYPERLINK("https%3A%2F%2Fwww.webofscience.com%2Fwos%2Fwoscc%2Ffull-record%2FWOS:000695741400005","View Full Record in Web of Science")</f>
        <v>View Full Record in Web of Science</v>
      </c>
    </row>
    <row r="288" spans="1:73" x14ac:dyDescent="0.25">
      <c r="A288" s="1">
        <v>319</v>
      </c>
      <c r="B288" s="1" t="s">
        <v>1506</v>
      </c>
      <c r="C288" s="1" t="s">
        <v>8793</v>
      </c>
      <c r="D288" s="1" t="s">
        <v>1507</v>
      </c>
      <c r="E288" s="1" t="s">
        <v>1507</v>
      </c>
      <c r="F288" s="1" t="s">
        <v>1507</v>
      </c>
      <c r="G288" s="1" t="s">
        <v>9215</v>
      </c>
      <c r="H288" s="1" t="s">
        <v>1507</v>
      </c>
      <c r="I288" s="1" t="s">
        <v>1507</v>
      </c>
      <c r="J288" s="1" t="s">
        <v>9216</v>
      </c>
      <c r="K288" s="1" t="s">
        <v>7697</v>
      </c>
      <c r="L288" s="1" t="s">
        <v>1507</v>
      </c>
      <c r="M288" s="1" t="s">
        <v>1507</v>
      </c>
      <c r="N288" s="1" t="s">
        <v>42</v>
      </c>
      <c r="O288" s="1" t="s">
        <v>56</v>
      </c>
      <c r="P288" s="1" t="s">
        <v>1507</v>
      </c>
      <c r="Q288" s="1" t="s">
        <v>1507</v>
      </c>
      <c r="R288" s="1" t="s">
        <v>1507</v>
      </c>
      <c r="S288" s="1" t="s">
        <v>1507</v>
      </c>
      <c r="T288" s="1" t="s">
        <v>1507</v>
      </c>
      <c r="U288" s="1" t="s">
        <v>1507</v>
      </c>
      <c r="V288" s="1" t="s">
        <v>9217</v>
      </c>
      <c r="W288" s="1" t="s">
        <v>9218</v>
      </c>
      <c r="X288" s="1" t="s">
        <v>9219</v>
      </c>
      <c r="Y288" s="1" t="s">
        <v>1683</v>
      </c>
      <c r="Z288" s="1" t="s">
        <v>9220</v>
      </c>
      <c r="AA288" s="1" t="s">
        <v>9221</v>
      </c>
      <c r="AB288" s="1" t="s">
        <v>1507</v>
      </c>
      <c r="AC288" s="1" t="s">
        <v>1507</v>
      </c>
      <c r="AD288" s="1" t="s">
        <v>9222</v>
      </c>
      <c r="AE288" s="1" t="s">
        <v>9222</v>
      </c>
      <c r="AF288" s="1" t="s">
        <v>9223</v>
      </c>
      <c r="AG288" s="1" t="s">
        <v>1507</v>
      </c>
      <c r="AH288" s="1">
        <v>74</v>
      </c>
      <c r="AI288" s="1">
        <v>0</v>
      </c>
      <c r="AJ288" s="1">
        <v>0</v>
      </c>
      <c r="AK288" s="1">
        <v>0</v>
      </c>
      <c r="AL288" s="1">
        <v>1</v>
      </c>
      <c r="AM288" s="1" t="s">
        <v>7708</v>
      </c>
      <c r="AN288" s="1" t="s">
        <v>7709</v>
      </c>
      <c r="AO288" s="1" t="s">
        <v>7710</v>
      </c>
      <c r="AP288" s="1" t="s">
        <v>7711</v>
      </c>
      <c r="AQ288" s="1" t="s">
        <v>1507</v>
      </c>
      <c r="AR288" s="1" t="s">
        <v>1507</v>
      </c>
      <c r="AS288" s="1" t="s">
        <v>7712</v>
      </c>
      <c r="AT288" s="1" t="s">
        <v>7713</v>
      </c>
      <c r="AU288" s="1" t="s">
        <v>1507</v>
      </c>
      <c r="AV288" s="1">
        <v>2021</v>
      </c>
      <c r="AW288" s="1">
        <v>51</v>
      </c>
      <c r="AX288" s="1" t="s">
        <v>1507</v>
      </c>
      <c r="AY288" s="1">
        <v>1</v>
      </c>
      <c r="AZ288" s="1" t="s">
        <v>1507</v>
      </c>
      <c r="BA288" s="1" t="s">
        <v>1507</v>
      </c>
      <c r="BB288" s="1" t="s">
        <v>1507</v>
      </c>
      <c r="BC288" s="1">
        <v>169</v>
      </c>
      <c r="BD288" s="1">
        <v>201</v>
      </c>
      <c r="BE288" s="1" t="s">
        <v>1507</v>
      </c>
      <c r="BF288" s="1" t="s">
        <v>1507</v>
      </c>
      <c r="BG288" s="1" t="s">
        <v>1507</v>
      </c>
      <c r="BH288" s="1" t="s">
        <v>1507</v>
      </c>
      <c r="BI288" s="1" t="s">
        <v>1507</v>
      </c>
      <c r="BJ288" s="1">
        <v>33</v>
      </c>
      <c r="BK288" s="1" t="s">
        <v>1535</v>
      </c>
      <c r="BL288" s="1" t="s">
        <v>1518</v>
      </c>
      <c r="BM288" s="1" t="s">
        <v>1536</v>
      </c>
      <c r="BN288" s="1" t="s">
        <v>9224</v>
      </c>
      <c r="BO288" s="1" t="s">
        <v>1507</v>
      </c>
      <c r="BP288" s="1" t="s">
        <v>1507</v>
      </c>
      <c r="BQ288" s="1" t="s">
        <v>1507</v>
      </c>
      <c r="BR288" s="1" t="s">
        <v>1507</v>
      </c>
      <c r="BS288" s="1" t="s">
        <v>13744</v>
      </c>
      <c r="BT288" s="1" t="s">
        <v>9225</v>
      </c>
      <c r="BU288" s="1" t="str">
        <f>HYPERLINK("https%3A%2F%2Fwww.webofscience.com%2Fwos%2Fwoscc%2Ffull-record%2FWOS:000820773100009","View Full Record in Web of Science")</f>
        <v>View Full Record in Web of Science</v>
      </c>
    </row>
    <row r="289" spans="1:73" x14ac:dyDescent="0.25">
      <c r="A289" s="1">
        <v>320</v>
      </c>
      <c r="B289" s="1" t="s">
        <v>1506</v>
      </c>
      <c r="C289" s="1" t="s">
        <v>1911</v>
      </c>
      <c r="D289" s="1" t="s">
        <v>1507</v>
      </c>
      <c r="E289" s="1" t="s">
        <v>1507</v>
      </c>
      <c r="F289" s="1" t="s">
        <v>1507</v>
      </c>
      <c r="G289" s="1" t="s">
        <v>1912</v>
      </c>
      <c r="H289" s="1" t="s">
        <v>1507</v>
      </c>
      <c r="I289" s="1" t="s">
        <v>1507</v>
      </c>
      <c r="J289" s="1" t="s">
        <v>1913</v>
      </c>
      <c r="K289" s="1" t="s">
        <v>1914</v>
      </c>
      <c r="L289" s="1" t="s">
        <v>1507</v>
      </c>
      <c r="M289" s="1" t="s">
        <v>1507</v>
      </c>
      <c r="N289" s="1" t="s">
        <v>42</v>
      </c>
      <c r="O289" s="1" t="s">
        <v>56</v>
      </c>
      <c r="P289" s="1" t="s">
        <v>1507</v>
      </c>
      <c r="Q289" s="1" t="s">
        <v>1507</v>
      </c>
      <c r="R289" s="1" t="s">
        <v>1507</v>
      </c>
      <c r="S289" s="1" t="s">
        <v>1507</v>
      </c>
      <c r="T289" s="1" t="s">
        <v>1507</v>
      </c>
      <c r="U289" s="1" t="s">
        <v>1915</v>
      </c>
      <c r="V289" s="1" t="s">
        <v>1916</v>
      </c>
      <c r="W289" s="1" t="s">
        <v>1917</v>
      </c>
      <c r="X289" s="1" t="s">
        <v>1918</v>
      </c>
      <c r="Y289" s="1" t="s">
        <v>1919</v>
      </c>
      <c r="Z289" s="1" t="s">
        <v>1920</v>
      </c>
      <c r="AA289" s="1" t="s">
        <v>1921</v>
      </c>
      <c r="AB289" s="1" t="s">
        <v>1507</v>
      </c>
      <c r="AC289" s="1" t="s">
        <v>1507</v>
      </c>
      <c r="AD289" s="1" t="s">
        <v>1922</v>
      </c>
      <c r="AE289" s="1" t="s">
        <v>1923</v>
      </c>
      <c r="AF289" s="1" t="s">
        <v>1924</v>
      </c>
      <c r="AG289" s="1" t="s">
        <v>1507</v>
      </c>
      <c r="AH289" s="1">
        <v>43</v>
      </c>
      <c r="AI289" s="1">
        <v>0</v>
      </c>
      <c r="AJ289" s="1">
        <v>0</v>
      </c>
      <c r="AK289" s="1">
        <v>3</v>
      </c>
      <c r="AL289" s="1">
        <v>3</v>
      </c>
      <c r="AM289" s="1" t="s">
        <v>1925</v>
      </c>
      <c r="AN289" s="1" t="s">
        <v>1746</v>
      </c>
      <c r="AO289" s="1" t="s">
        <v>1926</v>
      </c>
      <c r="AP289" s="1" t="s">
        <v>1927</v>
      </c>
      <c r="AQ289" s="1" t="s">
        <v>1928</v>
      </c>
      <c r="AR289" s="1" t="s">
        <v>1507</v>
      </c>
      <c r="AS289" s="1" t="s">
        <v>1929</v>
      </c>
      <c r="AT289" s="1" t="s">
        <v>1930</v>
      </c>
      <c r="AU289" s="1" t="s">
        <v>5362</v>
      </c>
      <c r="AV289" s="1">
        <v>2024</v>
      </c>
      <c r="AW289" s="1">
        <v>77</v>
      </c>
      <c r="AX289" s="1" t="s">
        <v>1507</v>
      </c>
      <c r="AY289" s="1" t="s">
        <v>1507</v>
      </c>
      <c r="AZ289" s="1" t="s">
        <v>1507</v>
      </c>
      <c r="BA289" s="1" t="s">
        <v>1507</v>
      </c>
      <c r="BB289" s="1" t="s">
        <v>1507</v>
      </c>
      <c r="BC289" s="1">
        <v>29</v>
      </c>
      <c r="BD289" s="1">
        <v>38</v>
      </c>
      <c r="BE289" s="1" t="s">
        <v>1507</v>
      </c>
      <c r="BF289" s="1" t="s">
        <v>1931</v>
      </c>
      <c r="BG289" s="1" t="str">
        <f>HYPERLINK("http://dx.doi.org/10.1016/j.ajem.2023.11.063","http://dx.doi.org/10.1016/j.ajem.2023.11.063")</f>
        <v>http://dx.doi.org/10.1016/j.ajem.2023.11.063</v>
      </c>
      <c r="BH289" s="1" t="s">
        <v>1507</v>
      </c>
      <c r="BI289" s="1" t="s">
        <v>1652</v>
      </c>
      <c r="BJ289" s="1">
        <v>10</v>
      </c>
      <c r="BK289" s="1" t="s">
        <v>1932</v>
      </c>
      <c r="BL289" s="1" t="s">
        <v>1573</v>
      </c>
      <c r="BM289" s="1" t="s">
        <v>1932</v>
      </c>
      <c r="BN289" s="1" t="s">
        <v>1933</v>
      </c>
      <c r="BO289" s="1">
        <v>38096637</v>
      </c>
      <c r="BP289" s="1" t="s">
        <v>1507</v>
      </c>
      <c r="BQ289" s="1" t="s">
        <v>1507</v>
      </c>
      <c r="BR289" s="1" t="s">
        <v>1507</v>
      </c>
      <c r="BS289" s="1" t="s">
        <v>13744</v>
      </c>
      <c r="BT289" s="1" t="s">
        <v>1934</v>
      </c>
      <c r="BU289" s="1" t="str">
        <f>HYPERLINK("https%3A%2F%2Fwww.webofscience.com%2Fwos%2Fwoscc%2Ffull-record%2FWOS:001137546400001","View Full Record in Web of Science")</f>
        <v>View Full Record in Web of Science</v>
      </c>
    </row>
    <row r="290" spans="1:73" x14ac:dyDescent="0.25">
      <c r="A290" s="1">
        <v>321</v>
      </c>
      <c r="B290" s="1" t="s">
        <v>5546</v>
      </c>
      <c r="C290" s="1" t="s">
        <v>15132</v>
      </c>
      <c r="D290" s="1" t="s">
        <v>1507</v>
      </c>
      <c r="E290" s="1" t="s">
        <v>1507</v>
      </c>
      <c r="F290" s="1" t="s">
        <v>5628</v>
      </c>
      <c r="G290" s="1" t="s">
        <v>15133</v>
      </c>
      <c r="H290" s="1" t="s">
        <v>1507</v>
      </c>
      <c r="I290" s="1" t="s">
        <v>1507</v>
      </c>
      <c r="J290" s="1" t="s">
        <v>15134</v>
      </c>
      <c r="K290" s="1" t="s">
        <v>15135</v>
      </c>
      <c r="L290" s="1" t="s">
        <v>15136</v>
      </c>
      <c r="M290" s="1" t="s">
        <v>1507</v>
      </c>
      <c r="N290" s="1" t="s">
        <v>42</v>
      </c>
      <c r="O290" s="1" t="s">
        <v>5552</v>
      </c>
      <c r="P290" s="1" t="s">
        <v>15137</v>
      </c>
      <c r="Q290" s="1" t="s">
        <v>15138</v>
      </c>
      <c r="R290" s="1" t="s">
        <v>6272</v>
      </c>
      <c r="S290" s="1" t="s">
        <v>5628</v>
      </c>
      <c r="T290" s="1" t="s">
        <v>1507</v>
      </c>
      <c r="U290" s="1" t="s">
        <v>15139</v>
      </c>
      <c r="V290" s="1" t="s">
        <v>1507</v>
      </c>
      <c r="W290" s="1" t="s">
        <v>15140</v>
      </c>
      <c r="X290" s="1" t="s">
        <v>15141</v>
      </c>
      <c r="Y290" s="1" t="s">
        <v>15142</v>
      </c>
      <c r="Z290" s="1" t="s">
        <v>15143</v>
      </c>
      <c r="AA290" s="1" t="s">
        <v>15144</v>
      </c>
      <c r="AB290" s="1" t="s">
        <v>1507</v>
      </c>
      <c r="AC290" s="1" t="s">
        <v>1507</v>
      </c>
      <c r="AD290" s="1" t="s">
        <v>15145</v>
      </c>
      <c r="AE290" s="1" t="s">
        <v>15146</v>
      </c>
      <c r="AF290" s="1" t="s">
        <v>15147</v>
      </c>
      <c r="AG290" s="1" t="s">
        <v>1507</v>
      </c>
      <c r="AH290" s="1">
        <v>20</v>
      </c>
      <c r="AI290" s="1">
        <v>0</v>
      </c>
      <c r="AJ290" s="1">
        <v>0</v>
      </c>
      <c r="AK290" s="1">
        <v>0</v>
      </c>
      <c r="AL290" s="1">
        <v>0</v>
      </c>
      <c r="AM290" s="1" t="s">
        <v>5628</v>
      </c>
      <c r="AN290" s="1" t="s">
        <v>1512</v>
      </c>
      <c r="AO290" s="1" t="s">
        <v>6457</v>
      </c>
      <c r="AP290" s="1" t="s">
        <v>15148</v>
      </c>
      <c r="AQ290" s="1" t="s">
        <v>1507</v>
      </c>
      <c r="AR290" s="1" t="s">
        <v>15149</v>
      </c>
      <c r="AS290" s="1" t="s">
        <v>15150</v>
      </c>
      <c r="AT290" s="1" t="s">
        <v>1507</v>
      </c>
      <c r="AU290" s="1" t="s">
        <v>1507</v>
      </c>
      <c r="AV290" s="1">
        <v>2023</v>
      </c>
      <c r="AW290" s="1" t="s">
        <v>1507</v>
      </c>
      <c r="AX290" s="1" t="s">
        <v>1507</v>
      </c>
      <c r="AY290" s="1" t="s">
        <v>1507</v>
      </c>
      <c r="AZ290" s="1" t="s">
        <v>1507</v>
      </c>
      <c r="BA290" s="1" t="s">
        <v>1507</v>
      </c>
      <c r="BB290" s="1" t="s">
        <v>1507</v>
      </c>
      <c r="BC290" s="1" t="s">
        <v>1507</v>
      </c>
      <c r="BD290" s="1" t="s">
        <v>1507</v>
      </c>
      <c r="BE290" s="1" t="s">
        <v>1507</v>
      </c>
      <c r="BF290" s="1" t="s">
        <v>15151</v>
      </c>
      <c r="BG290" s="1" t="str">
        <f>HYPERLINK("http://dx.doi.org/10.1109/HPEC58863.2023.10363534","http://dx.doi.org/10.1109/HPEC58863.2023.10363534")</f>
        <v>http://dx.doi.org/10.1109/HPEC58863.2023.10363534</v>
      </c>
      <c r="BH290" s="1" t="s">
        <v>1507</v>
      </c>
      <c r="BI290" s="1" t="s">
        <v>1507</v>
      </c>
      <c r="BJ290" s="1">
        <v>7</v>
      </c>
      <c r="BK290" s="1" t="s">
        <v>15152</v>
      </c>
      <c r="BL290" s="1" t="s">
        <v>5570</v>
      </c>
      <c r="BM290" s="1" t="s">
        <v>1578</v>
      </c>
      <c r="BN290" s="1" t="s">
        <v>15153</v>
      </c>
      <c r="BO290" s="1" t="s">
        <v>1507</v>
      </c>
      <c r="BP290" s="1" t="s">
        <v>1600</v>
      </c>
      <c r="BQ290" s="1" t="s">
        <v>1507</v>
      </c>
      <c r="BR290" s="1" t="s">
        <v>1507</v>
      </c>
      <c r="BS290" s="1" t="s">
        <v>13744</v>
      </c>
      <c r="BT290" s="1" t="s">
        <v>15154</v>
      </c>
      <c r="BU290" s="1" t="str">
        <f>HYPERLINK("https%3A%2F%2Fwww.webofscience.com%2Fwos%2Fwoscc%2Ffull-record%2FWOS:001156959800048","View Full Record in Web of Science")</f>
        <v>View Full Record in Web of Science</v>
      </c>
    </row>
    <row r="291" spans="1:73" x14ac:dyDescent="0.25">
      <c r="A291" s="1">
        <v>322</v>
      </c>
      <c r="B291" s="1" t="s">
        <v>1506</v>
      </c>
      <c r="C291" s="1" t="s">
        <v>8333</v>
      </c>
      <c r="D291" s="1" t="s">
        <v>1507</v>
      </c>
      <c r="E291" s="1" t="s">
        <v>1507</v>
      </c>
      <c r="F291" s="1" t="s">
        <v>1507</v>
      </c>
      <c r="G291" s="1" t="s">
        <v>8334</v>
      </c>
      <c r="H291" s="1" t="s">
        <v>1507</v>
      </c>
      <c r="I291" s="1" t="s">
        <v>1507</v>
      </c>
      <c r="J291" s="1" t="s">
        <v>8335</v>
      </c>
      <c r="K291" s="1" t="s">
        <v>8336</v>
      </c>
      <c r="L291" s="1" t="s">
        <v>1507</v>
      </c>
      <c r="M291" s="1" t="s">
        <v>1507</v>
      </c>
      <c r="N291" s="1" t="s">
        <v>42</v>
      </c>
      <c r="O291" s="1" t="s">
        <v>56</v>
      </c>
      <c r="P291" s="1" t="s">
        <v>1507</v>
      </c>
      <c r="Q291" s="1" t="s">
        <v>1507</v>
      </c>
      <c r="R291" s="1" t="s">
        <v>1507</v>
      </c>
      <c r="S291" s="1" t="s">
        <v>1507</v>
      </c>
      <c r="T291" s="1" t="s">
        <v>1507</v>
      </c>
      <c r="U291" s="1" t="s">
        <v>8337</v>
      </c>
      <c r="V291" s="1" t="s">
        <v>8338</v>
      </c>
      <c r="W291" s="1" t="s">
        <v>8339</v>
      </c>
      <c r="X291" s="1" t="s">
        <v>8340</v>
      </c>
      <c r="Y291" s="1" t="s">
        <v>15719</v>
      </c>
      <c r="Z291" s="1" t="s">
        <v>8341</v>
      </c>
      <c r="AA291" s="1" t="s">
        <v>8342</v>
      </c>
      <c r="AB291" s="1" t="s">
        <v>15720</v>
      </c>
      <c r="AC291" s="1" t="s">
        <v>15721</v>
      </c>
      <c r="AD291" s="1" t="s">
        <v>8343</v>
      </c>
      <c r="AE291" s="1" t="s">
        <v>8344</v>
      </c>
      <c r="AF291" s="1" t="s">
        <v>8345</v>
      </c>
      <c r="AG291" s="1" t="s">
        <v>1507</v>
      </c>
      <c r="AH291" s="1">
        <v>66</v>
      </c>
      <c r="AI291" s="1">
        <v>9</v>
      </c>
      <c r="AJ291" s="1">
        <v>9</v>
      </c>
      <c r="AK291" s="1">
        <v>1</v>
      </c>
      <c r="AL291" s="1">
        <v>16</v>
      </c>
      <c r="AM291" s="1" t="s">
        <v>1610</v>
      </c>
      <c r="AN291" s="1" t="s">
        <v>1611</v>
      </c>
      <c r="AO291" s="1" t="s">
        <v>1612</v>
      </c>
      <c r="AP291" s="1" t="s">
        <v>1507</v>
      </c>
      <c r="AQ291" s="1" t="s">
        <v>8346</v>
      </c>
      <c r="AR291" s="1" t="s">
        <v>1507</v>
      </c>
      <c r="AS291" s="1" t="s">
        <v>8336</v>
      </c>
      <c r="AT291" s="1" t="s">
        <v>8347</v>
      </c>
      <c r="AU291" s="1" t="s">
        <v>4336</v>
      </c>
      <c r="AV291" s="1">
        <v>2021</v>
      </c>
      <c r="AW291" s="1">
        <v>13</v>
      </c>
      <c r="AX291" s="1">
        <v>8</v>
      </c>
      <c r="AY291" s="1" t="s">
        <v>1507</v>
      </c>
      <c r="AZ291" s="1" t="s">
        <v>1507</v>
      </c>
      <c r="BA291" s="1" t="s">
        <v>1507</v>
      </c>
      <c r="BB291" s="1" t="s">
        <v>1507</v>
      </c>
      <c r="BC291" s="1" t="s">
        <v>1507</v>
      </c>
      <c r="BD291" s="1" t="s">
        <v>1507</v>
      </c>
      <c r="BE291" s="1">
        <v>564</v>
      </c>
      <c r="BF291" s="1" t="s">
        <v>8348</v>
      </c>
      <c r="BG291" s="1" t="str">
        <f>HYPERLINK("http://dx.doi.org/10.3390/toxins13080564","http://dx.doi.org/10.3390/toxins13080564")</f>
        <v>http://dx.doi.org/10.3390/toxins13080564</v>
      </c>
      <c r="BH291" s="1" t="s">
        <v>1507</v>
      </c>
      <c r="BI291" s="1" t="s">
        <v>1507</v>
      </c>
      <c r="BJ291" s="1">
        <v>19</v>
      </c>
      <c r="BK291" s="1" t="s">
        <v>8349</v>
      </c>
      <c r="BL291" s="1" t="s">
        <v>1573</v>
      </c>
      <c r="BM291" s="1" t="s">
        <v>8349</v>
      </c>
      <c r="BN291" s="1" t="s">
        <v>8350</v>
      </c>
      <c r="BO291" s="1">
        <v>34437435</v>
      </c>
      <c r="BP291" s="1" t="s">
        <v>1952</v>
      </c>
      <c r="BQ291" s="1" t="s">
        <v>1507</v>
      </c>
      <c r="BR291" s="1" t="s">
        <v>1507</v>
      </c>
      <c r="BS291" s="1" t="s">
        <v>13744</v>
      </c>
      <c r="BT291" s="1" t="s">
        <v>8351</v>
      </c>
      <c r="BU291" s="1" t="str">
        <f>HYPERLINK("https%3A%2F%2Fwww.webofscience.com%2Fwos%2Fwoscc%2Ffull-record%2FWOS:000690137800001","View Full Record in Web of Science")</f>
        <v>View Full Record in Web of Science</v>
      </c>
    </row>
    <row r="292" spans="1:73" x14ac:dyDescent="0.25">
      <c r="A292" s="1">
        <v>323</v>
      </c>
      <c r="B292" s="1" t="s">
        <v>1506</v>
      </c>
      <c r="C292" s="1" t="s">
        <v>9226</v>
      </c>
      <c r="D292" s="1" t="s">
        <v>1507</v>
      </c>
      <c r="E292" s="1" t="s">
        <v>1507</v>
      </c>
      <c r="F292" s="1" t="s">
        <v>1507</v>
      </c>
      <c r="G292" s="1" t="s">
        <v>9227</v>
      </c>
      <c r="H292" s="1" t="s">
        <v>1507</v>
      </c>
      <c r="I292" s="1" t="s">
        <v>1507</v>
      </c>
      <c r="J292" s="1" t="s">
        <v>9228</v>
      </c>
      <c r="K292" s="1" t="s">
        <v>9229</v>
      </c>
      <c r="L292" s="1" t="s">
        <v>1507</v>
      </c>
      <c r="M292" s="1" t="s">
        <v>1507</v>
      </c>
      <c r="N292" s="1" t="s">
        <v>42</v>
      </c>
      <c r="O292" s="1" t="s">
        <v>56</v>
      </c>
      <c r="P292" s="1" t="s">
        <v>1507</v>
      </c>
      <c r="Q292" s="1" t="s">
        <v>1507</v>
      </c>
      <c r="R292" s="1" t="s">
        <v>1507</v>
      </c>
      <c r="S292" s="1" t="s">
        <v>1507</v>
      </c>
      <c r="T292" s="1" t="s">
        <v>1507</v>
      </c>
      <c r="U292" s="1" t="s">
        <v>1507</v>
      </c>
      <c r="V292" s="1" t="s">
        <v>9230</v>
      </c>
      <c r="W292" s="1" t="s">
        <v>9231</v>
      </c>
      <c r="X292" s="1" t="s">
        <v>9232</v>
      </c>
      <c r="Y292" s="1" t="s">
        <v>9233</v>
      </c>
      <c r="Z292" s="1" t="s">
        <v>9234</v>
      </c>
      <c r="AA292" s="1" t="s">
        <v>1507</v>
      </c>
      <c r="AB292" s="1" t="s">
        <v>1507</v>
      </c>
      <c r="AC292" s="1" t="s">
        <v>1507</v>
      </c>
      <c r="AD292" s="1" t="s">
        <v>9235</v>
      </c>
      <c r="AE292" s="1" t="s">
        <v>9235</v>
      </c>
      <c r="AF292" s="1" t="s">
        <v>9236</v>
      </c>
      <c r="AG292" s="1" t="s">
        <v>1507</v>
      </c>
      <c r="AH292" s="1">
        <v>66</v>
      </c>
      <c r="AI292" s="1">
        <v>0</v>
      </c>
      <c r="AJ292" s="1">
        <v>0</v>
      </c>
      <c r="AK292" s="1">
        <v>0</v>
      </c>
      <c r="AL292" s="1">
        <v>1</v>
      </c>
      <c r="AM292" s="1" t="s">
        <v>9237</v>
      </c>
      <c r="AN292" s="1" t="s">
        <v>9238</v>
      </c>
      <c r="AO292" s="1" t="s">
        <v>9239</v>
      </c>
      <c r="AP292" s="1" t="s">
        <v>9240</v>
      </c>
      <c r="AQ292" s="1" t="s">
        <v>1507</v>
      </c>
      <c r="AR292" s="1" t="s">
        <v>1507</v>
      </c>
      <c r="AS292" s="1" t="s">
        <v>9241</v>
      </c>
      <c r="AT292" s="1" t="s">
        <v>9242</v>
      </c>
      <c r="AU292" s="1" t="s">
        <v>1507</v>
      </c>
      <c r="AV292" s="1">
        <v>2021</v>
      </c>
      <c r="AW292" s="1">
        <v>31</v>
      </c>
      <c r="AX292" s="1">
        <v>3</v>
      </c>
      <c r="AY292" s="1" t="s">
        <v>1507</v>
      </c>
      <c r="AZ292" s="1" t="s">
        <v>1507</v>
      </c>
      <c r="BA292" s="1" t="s">
        <v>1507</v>
      </c>
      <c r="BB292" s="1" t="s">
        <v>1507</v>
      </c>
      <c r="BC292" s="1">
        <v>223</v>
      </c>
      <c r="BD292" s="1">
        <v>234</v>
      </c>
      <c r="BE292" s="1" t="s">
        <v>1507</v>
      </c>
      <c r="BF292" s="1" t="s">
        <v>1507</v>
      </c>
      <c r="BG292" s="1" t="s">
        <v>1507</v>
      </c>
      <c r="BH292" s="1" t="s">
        <v>1507</v>
      </c>
      <c r="BI292" s="1" t="s">
        <v>1507</v>
      </c>
      <c r="BJ292" s="1">
        <v>12</v>
      </c>
      <c r="BK292" s="1" t="s">
        <v>1535</v>
      </c>
      <c r="BL292" s="1" t="s">
        <v>1529</v>
      </c>
      <c r="BM292" s="1" t="s">
        <v>1536</v>
      </c>
      <c r="BN292" s="1" t="s">
        <v>9243</v>
      </c>
      <c r="BO292" s="1" t="s">
        <v>1507</v>
      </c>
      <c r="BP292" s="1" t="s">
        <v>1507</v>
      </c>
      <c r="BQ292" s="1" t="s">
        <v>1507</v>
      </c>
      <c r="BR292" s="1" t="s">
        <v>1507</v>
      </c>
      <c r="BS292" s="1" t="s">
        <v>13744</v>
      </c>
      <c r="BT292" s="1" t="s">
        <v>9244</v>
      </c>
      <c r="BU292" s="1" t="str">
        <f>HYPERLINK("https%3A%2F%2Fwww.webofscience.com%2Fwos%2Fwoscc%2Ffull-record%2FWOS:000727303100005","View Full Record in Web of Science")</f>
        <v>View Full Record in Web of Science</v>
      </c>
    </row>
    <row r="293" spans="1:73" x14ac:dyDescent="0.25">
      <c r="A293" s="1">
        <v>324</v>
      </c>
      <c r="B293" s="1" t="s">
        <v>1506</v>
      </c>
      <c r="C293" s="1" t="s">
        <v>9752</v>
      </c>
      <c r="D293" s="1" t="s">
        <v>1507</v>
      </c>
      <c r="E293" s="1" t="s">
        <v>1507</v>
      </c>
      <c r="F293" s="1" t="s">
        <v>1507</v>
      </c>
      <c r="G293" s="1" t="s">
        <v>9753</v>
      </c>
      <c r="H293" s="1" t="s">
        <v>1507</v>
      </c>
      <c r="I293" s="1" t="s">
        <v>1507</v>
      </c>
      <c r="J293" s="1" t="s">
        <v>9754</v>
      </c>
      <c r="K293" s="1" t="s">
        <v>9755</v>
      </c>
      <c r="L293" s="1" t="s">
        <v>1507</v>
      </c>
      <c r="M293" s="1" t="s">
        <v>1507</v>
      </c>
      <c r="N293" s="1" t="s">
        <v>42</v>
      </c>
      <c r="O293" s="1" t="s">
        <v>56</v>
      </c>
      <c r="P293" s="1" t="s">
        <v>1507</v>
      </c>
      <c r="Q293" s="1" t="s">
        <v>1507</v>
      </c>
      <c r="R293" s="1" t="s">
        <v>1507</v>
      </c>
      <c r="S293" s="1" t="s">
        <v>1507</v>
      </c>
      <c r="T293" s="1" t="s">
        <v>1507</v>
      </c>
      <c r="U293" s="1" t="s">
        <v>9756</v>
      </c>
      <c r="V293" s="1" t="s">
        <v>9757</v>
      </c>
      <c r="W293" s="1" t="s">
        <v>9758</v>
      </c>
      <c r="X293" s="1" t="s">
        <v>9759</v>
      </c>
      <c r="Y293" s="1" t="s">
        <v>9760</v>
      </c>
      <c r="Z293" s="1" t="s">
        <v>9761</v>
      </c>
      <c r="AA293" s="1" t="s">
        <v>9762</v>
      </c>
      <c r="AB293" s="1" t="s">
        <v>9763</v>
      </c>
      <c r="AC293" s="1" t="s">
        <v>15807</v>
      </c>
      <c r="AD293" s="1" t="s">
        <v>9764</v>
      </c>
      <c r="AE293" s="1" t="s">
        <v>9765</v>
      </c>
      <c r="AF293" s="1" t="s">
        <v>9766</v>
      </c>
      <c r="AG293" s="1" t="s">
        <v>1507</v>
      </c>
      <c r="AH293" s="1">
        <v>34</v>
      </c>
      <c r="AI293" s="1">
        <v>11</v>
      </c>
      <c r="AJ293" s="1">
        <v>11</v>
      </c>
      <c r="AK293" s="1">
        <v>2</v>
      </c>
      <c r="AL293" s="1">
        <v>11</v>
      </c>
      <c r="AM293" s="1" t="s">
        <v>1559</v>
      </c>
      <c r="AN293" s="1" t="s">
        <v>1560</v>
      </c>
      <c r="AO293" s="1" t="s">
        <v>1561</v>
      </c>
      <c r="AP293" s="1" t="s">
        <v>9767</v>
      </c>
      <c r="AQ293" s="1" t="s">
        <v>9768</v>
      </c>
      <c r="AR293" s="1" t="s">
        <v>1507</v>
      </c>
      <c r="AS293" s="1" t="s">
        <v>9769</v>
      </c>
      <c r="AT293" s="1" t="s">
        <v>9770</v>
      </c>
      <c r="AU293" s="1" t="s">
        <v>2771</v>
      </c>
      <c r="AV293" s="1">
        <v>2020</v>
      </c>
      <c r="AW293" s="1">
        <v>14</v>
      </c>
      <c r="AX293" s="1">
        <v>6</v>
      </c>
      <c r="AY293" s="1" t="s">
        <v>1507</v>
      </c>
      <c r="AZ293" s="1" t="s">
        <v>1507</v>
      </c>
      <c r="BA293" s="1" t="s">
        <v>1507</v>
      </c>
      <c r="BB293" s="1" t="s">
        <v>1507</v>
      </c>
      <c r="BC293" s="1">
        <v>720</v>
      </c>
      <c r="BD293" s="1">
        <v>729</v>
      </c>
      <c r="BE293" s="1" t="s">
        <v>1507</v>
      </c>
      <c r="BF293" s="1" t="s">
        <v>9771</v>
      </c>
      <c r="BG293" s="1" t="str">
        <f>HYPERLINK("http://dx.doi.org/10.1111/irv.12769","http://dx.doi.org/10.1111/irv.12769")</f>
        <v>http://dx.doi.org/10.1111/irv.12769</v>
      </c>
      <c r="BH293" s="1" t="s">
        <v>1507</v>
      </c>
      <c r="BI293" s="1" t="s">
        <v>9748</v>
      </c>
      <c r="BJ293" s="1">
        <v>10</v>
      </c>
      <c r="BK293" s="1" t="s">
        <v>9772</v>
      </c>
      <c r="BL293" s="1" t="s">
        <v>1573</v>
      </c>
      <c r="BM293" s="1" t="s">
        <v>9772</v>
      </c>
      <c r="BN293" s="1" t="s">
        <v>9773</v>
      </c>
      <c r="BO293" s="1">
        <v>32519796</v>
      </c>
      <c r="BP293" s="1" t="s">
        <v>5071</v>
      </c>
      <c r="BQ293" s="1" t="s">
        <v>1507</v>
      </c>
      <c r="BR293" s="1" t="s">
        <v>1507</v>
      </c>
      <c r="BS293" s="1" t="s">
        <v>13744</v>
      </c>
      <c r="BT293" s="1" t="s">
        <v>9774</v>
      </c>
      <c r="BU293" s="1" t="str">
        <f>HYPERLINK("https%3A%2F%2Fwww.webofscience.com%2Fwos%2Fwoscc%2Ffull-record%2FWOS:000547924200001","View Full Record in Web of Science")</f>
        <v>View Full Record in Web of Science</v>
      </c>
    </row>
    <row r="294" spans="1:73" x14ac:dyDescent="0.25">
      <c r="A294" s="1">
        <v>326</v>
      </c>
      <c r="B294" s="1" t="s">
        <v>1506</v>
      </c>
      <c r="C294" s="1" t="s">
        <v>6921</v>
      </c>
      <c r="D294" s="1" t="s">
        <v>1507</v>
      </c>
      <c r="E294" s="1" t="s">
        <v>1507</v>
      </c>
      <c r="F294" s="1" t="s">
        <v>1507</v>
      </c>
      <c r="G294" s="1" t="s">
        <v>6922</v>
      </c>
      <c r="H294" s="1" t="s">
        <v>1507</v>
      </c>
      <c r="I294" s="1" t="s">
        <v>1507</v>
      </c>
      <c r="J294" s="1" t="s">
        <v>6923</v>
      </c>
      <c r="K294" s="1" t="s">
        <v>6924</v>
      </c>
      <c r="L294" s="1" t="s">
        <v>1507</v>
      </c>
      <c r="M294" s="1" t="s">
        <v>1507</v>
      </c>
      <c r="N294" s="1" t="s">
        <v>42</v>
      </c>
      <c r="O294" s="1" t="s">
        <v>56</v>
      </c>
      <c r="P294" s="1" t="s">
        <v>1507</v>
      </c>
      <c r="Q294" s="1" t="s">
        <v>1507</v>
      </c>
      <c r="R294" s="1" t="s">
        <v>1507</v>
      </c>
      <c r="S294" s="1" t="s">
        <v>1507</v>
      </c>
      <c r="T294" s="1" t="s">
        <v>1507</v>
      </c>
      <c r="U294" s="1" t="s">
        <v>6925</v>
      </c>
      <c r="V294" s="1" t="s">
        <v>6926</v>
      </c>
      <c r="W294" s="1" t="s">
        <v>6927</v>
      </c>
      <c r="X294" s="1" t="s">
        <v>6928</v>
      </c>
      <c r="Y294" s="1" t="s">
        <v>6929</v>
      </c>
      <c r="Z294" s="1" t="s">
        <v>6930</v>
      </c>
      <c r="AA294" s="1" t="s">
        <v>6931</v>
      </c>
      <c r="AB294" s="1" t="s">
        <v>15589</v>
      </c>
      <c r="AC294" s="1" t="s">
        <v>6932</v>
      </c>
      <c r="AD294" s="1" t="s">
        <v>6933</v>
      </c>
      <c r="AE294" s="1" t="s">
        <v>6934</v>
      </c>
      <c r="AF294" s="1" t="s">
        <v>6935</v>
      </c>
      <c r="AG294" s="1" t="s">
        <v>1507</v>
      </c>
      <c r="AH294" s="1">
        <v>33</v>
      </c>
      <c r="AI294" s="1">
        <v>2</v>
      </c>
      <c r="AJ294" s="1">
        <v>2</v>
      </c>
      <c r="AK294" s="1">
        <v>0</v>
      </c>
      <c r="AL294" s="1">
        <v>1</v>
      </c>
      <c r="AM294" s="1" t="s">
        <v>1559</v>
      </c>
      <c r="AN294" s="1" t="s">
        <v>1560</v>
      </c>
      <c r="AO294" s="1" t="s">
        <v>1561</v>
      </c>
      <c r="AP294" s="1" t="s">
        <v>6936</v>
      </c>
      <c r="AQ294" s="1" t="s">
        <v>6937</v>
      </c>
      <c r="AR294" s="1" t="s">
        <v>1507</v>
      </c>
      <c r="AS294" s="1" t="s">
        <v>6938</v>
      </c>
      <c r="AT294" s="1" t="s">
        <v>6939</v>
      </c>
      <c r="AU294" s="1" t="s">
        <v>2889</v>
      </c>
      <c r="AV294" s="1">
        <v>2023</v>
      </c>
      <c r="AW294" s="1">
        <v>29</v>
      </c>
      <c r="AX294" s="1">
        <v>7</v>
      </c>
      <c r="AY294" s="1" t="s">
        <v>1507</v>
      </c>
      <c r="AZ294" s="1" t="s">
        <v>1507</v>
      </c>
      <c r="BA294" s="1" t="s">
        <v>1507</v>
      </c>
      <c r="BB294" s="1" t="s">
        <v>1507</v>
      </c>
      <c r="BC294" s="1">
        <v>2650</v>
      </c>
      <c r="BD294" s="1">
        <v>2657</v>
      </c>
      <c r="BE294" s="1" t="s">
        <v>1507</v>
      </c>
      <c r="BF294" s="1" t="s">
        <v>6940</v>
      </c>
      <c r="BG294" s="1" t="str">
        <f>HYPERLINK("http://dx.doi.org/10.1111/odi.14340","http://dx.doi.org/10.1111/odi.14340")</f>
        <v>http://dx.doi.org/10.1111/odi.14340</v>
      </c>
      <c r="BH294" s="1" t="s">
        <v>1507</v>
      </c>
      <c r="BI294" s="1" t="s">
        <v>6910</v>
      </c>
      <c r="BJ294" s="1">
        <v>8</v>
      </c>
      <c r="BK294" s="1" t="s">
        <v>6941</v>
      </c>
      <c r="BL294" s="1" t="s">
        <v>1573</v>
      </c>
      <c r="BM294" s="1" t="s">
        <v>6941</v>
      </c>
      <c r="BN294" s="1" t="s">
        <v>6942</v>
      </c>
      <c r="BO294" s="1">
        <v>35925052</v>
      </c>
      <c r="BP294" s="1" t="s">
        <v>1507</v>
      </c>
      <c r="BQ294" s="1" t="s">
        <v>1507</v>
      </c>
      <c r="BR294" s="1" t="s">
        <v>1507</v>
      </c>
      <c r="BS294" s="1" t="s">
        <v>13744</v>
      </c>
      <c r="BT294" s="1" t="s">
        <v>6943</v>
      </c>
      <c r="BU294" s="1" t="str">
        <f>HYPERLINK("https%3A%2F%2Fwww.webofscience.com%2Fwos%2Fwoscc%2Ffull-record%2FWOS:000852977200001","View Full Record in Web of Science")</f>
        <v>View Full Record in Web of Science</v>
      </c>
    </row>
    <row r="295" spans="1:73" x14ac:dyDescent="0.25">
      <c r="A295" s="1">
        <v>328</v>
      </c>
      <c r="B295" s="1" t="s">
        <v>5546</v>
      </c>
      <c r="C295" s="1" t="s">
        <v>7844</v>
      </c>
      <c r="D295" s="1" t="s">
        <v>1507</v>
      </c>
      <c r="E295" s="1" t="s">
        <v>1507</v>
      </c>
      <c r="F295" s="1" t="s">
        <v>7845</v>
      </c>
      <c r="G295" s="1" t="s">
        <v>7846</v>
      </c>
      <c r="H295" s="1" t="s">
        <v>1507</v>
      </c>
      <c r="I295" s="1" t="s">
        <v>1507</v>
      </c>
      <c r="J295" s="1" t="s">
        <v>7847</v>
      </c>
      <c r="K295" s="1" t="s">
        <v>7848</v>
      </c>
      <c r="L295" s="1" t="s">
        <v>1507</v>
      </c>
      <c r="M295" s="1" t="s">
        <v>1507</v>
      </c>
      <c r="N295" s="1" t="s">
        <v>42</v>
      </c>
      <c r="O295" s="1" t="s">
        <v>5552</v>
      </c>
      <c r="P295" s="1" t="s">
        <v>7849</v>
      </c>
      <c r="Q295" s="1" t="s">
        <v>7850</v>
      </c>
      <c r="R295" s="1" t="s">
        <v>7851</v>
      </c>
      <c r="S295" s="1" t="s">
        <v>7852</v>
      </c>
      <c r="T295" s="1" t="s">
        <v>1507</v>
      </c>
      <c r="U295" s="1" t="s">
        <v>1507</v>
      </c>
      <c r="V295" s="1" t="s">
        <v>1507</v>
      </c>
      <c r="W295" s="1" t="s">
        <v>7853</v>
      </c>
      <c r="X295" s="1" t="s">
        <v>7854</v>
      </c>
      <c r="Y295" s="1" t="s">
        <v>7855</v>
      </c>
      <c r="Z295" s="1" t="s">
        <v>7856</v>
      </c>
      <c r="AA295" s="1" t="s">
        <v>7857</v>
      </c>
      <c r="AB295" s="1" t="s">
        <v>15671</v>
      </c>
      <c r="AC295" s="1" t="s">
        <v>15672</v>
      </c>
      <c r="AD295" s="1" t="s">
        <v>7858</v>
      </c>
      <c r="AE295" s="1" t="s">
        <v>7859</v>
      </c>
      <c r="AF295" s="1" t="s">
        <v>7860</v>
      </c>
      <c r="AG295" s="1" t="s">
        <v>1507</v>
      </c>
      <c r="AH295" s="1">
        <v>32</v>
      </c>
      <c r="AI295" s="1">
        <v>2</v>
      </c>
      <c r="AJ295" s="1">
        <v>2</v>
      </c>
      <c r="AK295" s="1">
        <v>0</v>
      </c>
      <c r="AL295" s="1">
        <v>0</v>
      </c>
      <c r="AM295" s="1" t="s">
        <v>7663</v>
      </c>
      <c r="AN295" s="1" t="s">
        <v>7664</v>
      </c>
      <c r="AO295" s="1" t="s">
        <v>7665</v>
      </c>
      <c r="AP295" s="1" t="s">
        <v>1507</v>
      </c>
      <c r="AQ295" s="1" t="s">
        <v>1507</v>
      </c>
      <c r="AR295" s="1" t="s">
        <v>7861</v>
      </c>
      <c r="AS295" s="1" t="s">
        <v>1507</v>
      </c>
      <c r="AT295" s="1" t="s">
        <v>1507</v>
      </c>
      <c r="AU295" s="1" t="s">
        <v>1507</v>
      </c>
      <c r="AV295" s="1">
        <v>2022</v>
      </c>
      <c r="AW295" s="1" t="s">
        <v>1507</v>
      </c>
      <c r="AX295" s="1" t="s">
        <v>1507</v>
      </c>
      <c r="AY295" s="1" t="s">
        <v>1507</v>
      </c>
      <c r="AZ295" s="1" t="s">
        <v>1507</v>
      </c>
      <c r="BA295" s="1" t="s">
        <v>1507</v>
      </c>
      <c r="BB295" s="1" t="s">
        <v>1507</v>
      </c>
      <c r="BC295" s="1">
        <v>5858</v>
      </c>
      <c r="BD295" s="1">
        <v>5870</v>
      </c>
      <c r="BE295" s="1" t="s">
        <v>1507</v>
      </c>
      <c r="BF295" s="1" t="s">
        <v>1507</v>
      </c>
      <c r="BG295" s="1" t="s">
        <v>1507</v>
      </c>
      <c r="BH295" s="1" t="s">
        <v>1507</v>
      </c>
      <c r="BI295" s="1" t="s">
        <v>1507</v>
      </c>
      <c r="BJ295" s="1">
        <v>13</v>
      </c>
      <c r="BK295" s="1" t="s">
        <v>7862</v>
      </c>
      <c r="BL295" s="1" t="s">
        <v>5695</v>
      </c>
      <c r="BM295" s="1" t="s">
        <v>1546</v>
      </c>
      <c r="BN295" s="1" t="s">
        <v>7863</v>
      </c>
      <c r="BO295" s="1" t="s">
        <v>1507</v>
      </c>
      <c r="BP295" s="1" t="s">
        <v>1507</v>
      </c>
      <c r="BQ295" s="1" t="s">
        <v>1507</v>
      </c>
      <c r="BR295" s="1" t="s">
        <v>1507</v>
      </c>
      <c r="BS295" s="1" t="s">
        <v>13744</v>
      </c>
      <c r="BT295" s="1" t="s">
        <v>7864</v>
      </c>
      <c r="BU295" s="1" t="str">
        <f>HYPERLINK("https%3A%2F%2Fwww.webofscience.com%2Fwos%2Fwoscc%2Ffull-record%2FWOS:000859869505071","View Full Record in Web of Science")</f>
        <v>View Full Record in Web of Science</v>
      </c>
    </row>
    <row r="296" spans="1:73" x14ac:dyDescent="0.25">
      <c r="A296" s="1">
        <v>329</v>
      </c>
      <c r="B296" s="1" t="s">
        <v>1506</v>
      </c>
      <c r="C296" s="1" t="s">
        <v>4411</v>
      </c>
      <c r="D296" s="1" t="s">
        <v>1507</v>
      </c>
      <c r="E296" s="1" t="s">
        <v>1507</v>
      </c>
      <c r="F296" s="1" t="s">
        <v>1507</v>
      </c>
      <c r="G296" s="1" t="s">
        <v>4412</v>
      </c>
      <c r="H296" s="1" t="s">
        <v>1507</v>
      </c>
      <c r="I296" s="1" t="s">
        <v>1507</v>
      </c>
      <c r="J296" s="1" t="s">
        <v>4413</v>
      </c>
      <c r="K296" s="1" t="s">
        <v>4414</v>
      </c>
      <c r="L296" s="1" t="s">
        <v>1507</v>
      </c>
      <c r="M296" s="1" t="s">
        <v>1507</v>
      </c>
      <c r="N296" s="1" t="s">
        <v>42</v>
      </c>
      <c r="O296" s="1" t="s">
        <v>56</v>
      </c>
      <c r="P296" s="1" t="s">
        <v>1507</v>
      </c>
      <c r="Q296" s="1" t="s">
        <v>1507</v>
      </c>
      <c r="R296" s="1" t="s">
        <v>1507</v>
      </c>
      <c r="S296" s="1" t="s">
        <v>1507</v>
      </c>
      <c r="T296" s="1" t="s">
        <v>1507</v>
      </c>
      <c r="U296" s="1" t="s">
        <v>1507</v>
      </c>
      <c r="V296" s="1" t="s">
        <v>4415</v>
      </c>
      <c r="W296" s="1" t="s">
        <v>4416</v>
      </c>
      <c r="X296" s="1" t="s">
        <v>4417</v>
      </c>
      <c r="Y296" s="1" t="s">
        <v>4418</v>
      </c>
      <c r="Z296" s="1" t="s">
        <v>4419</v>
      </c>
      <c r="AA296" s="1" t="s">
        <v>4420</v>
      </c>
      <c r="AB296" s="1" t="s">
        <v>14600</v>
      </c>
      <c r="AC296" s="1" t="s">
        <v>4421</v>
      </c>
      <c r="AD296" s="1" t="s">
        <v>4422</v>
      </c>
      <c r="AE296" s="1" t="s">
        <v>4422</v>
      </c>
      <c r="AF296" s="1" t="s">
        <v>4423</v>
      </c>
      <c r="AG296" s="1" t="s">
        <v>1507</v>
      </c>
      <c r="AH296" s="1">
        <v>41</v>
      </c>
      <c r="AI296" s="1">
        <v>0</v>
      </c>
      <c r="AJ296" s="1">
        <v>0</v>
      </c>
      <c r="AK296" s="1">
        <v>3</v>
      </c>
      <c r="AL296" s="1">
        <v>3</v>
      </c>
      <c r="AM296" s="1" t="s">
        <v>1601</v>
      </c>
      <c r="AN296" s="1" t="s">
        <v>1551</v>
      </c>
      <c r="AO296" s="1" t="s">
        <v>1602</v>
      </c>
      <c r="AP296" s="1" t="s">
        <v>4424</v>
      </c>
      <c r="AQ296" s="1" t="s">
        <v>1507</v>
      </c>
      <c r="AR296" s="1" t="s">
        <v>1507</v>
      </c>
      <c r="AS296" s="1" t="s">
        <v>4425</v>
      </c>
      <c r="AT296" s="1" t="s">
        <v>4426</v>
      </c>
      <c r="AU296" s="1" t="s">
        <v>4427</v>
      </c>
      <c r="AV296" s="1">
        <v>2023</v>
      </c>
      <c r="AW296" s="1">
        <v>3</v>
      </c>
      <c r="AX296" s="1">
        <v>1</v>
      </c>
      <c r="AY296" s="1" t="s">
        <v>1507</v>
      </c>
      <c r="AZ296" s="1" t="s">
        <v>1507</v>
      </c>
      <c r="BA296" s="1" t="s">
        <v>1507</v>
      </c>
      <c r="BB296" s="1" t="s">
        <v>1507</v>
      </c>
      <c r="BC296" s="1" t="s">
        <v>1507</v>
      </c>
      <c r="BD296" s="1" t="s">
        <v>1507</v>
      </c>
      <c r="BE296" s="1">
        <v>104</v>
      </c>
      <c r="BF296" s="1" t="s">
        <v>4428</v>
      </c>
      <c r="BG296" s="1" t="str">
        <f>HYPERLINK("http://dx.doi.org/10.1038/s43856-023-00334-5","http://dx.doi.org/10.1038/s43856-023-00334-5")</f>
        <v>http://dx.doi.org/10.1038/s43856-023-00334-5</v>
      </c>
      <c r="BH296" s="1" t="s">
        <v>1507</v>
      </c>
      <c r="BI296" s="1" t="s">
        <v>1507</v>
      </c>
      <c r="BJ296" s="1">
        <v>8</v>
      </c>
      <c r="BK296" s="1" t="s">
        <v>3858</v>
      </c>
      <c r="BL296" s="1" t="s">
        <v>1529</v>
      </c>
      <c r="BM296" s="1" t="s">
        <v>3859</v>
      </c>
      <c r="BN296" s="1" t="s">
        <v>4429</v>
      </c>
      <c r="BO296" s="1">
        <v>37500763</v>
      </c>
      <c r="BP296" s="1" t="s">
        <v>1952</v>
      </c>
      <c r="BQ296" s="1" t="s">
        <v>1507</v>
      </c>
      <c r="BR296" s="1" t="s">
        <v>1507</v>
      </c>
      <c r="BS296" s="1" t="s">
        <v>13744</v>
      </c>
      <c r="BT296" s="1" t="s">
        <v>4430</v>
      </c>
      <c r="BU296" s="1" t="str">
        <f>HYPERLINK("https%3A%2F%2Fwww.webofscience.com%2Fwos%2Fwoscc%2Ffull-record%2FWOS:001037431200001","View Full Record in Web of Science")</f>
        <v>View Full Record in Web of Science</v>
      </c>
    </row>
    <row r="297" spans="1:73" x14ac:dyDescent="0.25">
      <c r="A297" s="1">
        <v>330</v>
      </c>
      <c r="B297" s="1" t="s">
        <v>5546</v>
      </c>
      <c r="C297" s="1" t="s">
        <v>15168</v>
      </c>
      <c r="D297" s="1" t="s">
        <v>1507</v>
      </c>
      <c r="E297" s="1" t="s">
        <v>1507</v>
      </c>
      <c r="F297" s="1" t="s">
        <v>5548</v>
      </c>
      <c r="G297" s="1" t="s">
        <v>15169</v>
      </c>
      <c r="H297" s="1" t="s">
        <v>1507</v>
      </c>
      <c r="I297" s="1" t="s">
        <v>1507</v>
      </c>
      <c r="J297" s="1" t="s">
        <v>15170</v>
      </c>
      <c r="K297" s="1" t="s">
        <v>15092</v>
      </c>
      <c r="L297" s="1" t="s">
        <v>1507</v>
      </c>
      <c r="M297" s="1" t="s">
        <v>1507</v>
      </c>
      <c r="N297" s="1" t="s">
        <v>42</v>
      </c>
      <c r="O297" s="1" t="s">
        <v>5552</v>
      </c>
      <c r="P297" s="1" t="s">
        <v>15093</v>
      </c>
      <c r="Q297" s="1" t="s">
        <v>15094</v>
      </c>
      <c r="R297" s="1" t="s">
        <v>15095</v>
      </c>
      <c r="S297" s="1" t="s">
        <v>15096</v>
      </c>
      <c r="T297" s="1" t="s">
        <v>1507</v>
      </c>
      <c r="U297" s="1" t="s">
        <v>15171</v>
      </c>
      <c r="V297" s="1" t="s">
        <v>1507</v>
      </c>
      <c r="W297" s="1" t="s">
        <v>15172</v>
      </c>
      <c r="X297" s="1" t="s">
        <v>15173</v>
      </c>
      <c r="Y297" s="1" t="s">
        <v>15174</v>
      </c>
      <c r="Z297" s="1" t="s">
        <v>15175</v>
      </c>
      <c r="AA297" s="1" t="s">
        <v>15176</v>
      </c>
      <c r="AB297" s="1" t="s">
        <v>1507</v>
      </c>
      <c r="AC297" s="1" t="s">
        <v>15177</v>
      </c>
      <c r="AD297" s="1" t="s">
        <v>15178</v>
      </c>
      <c r="AE297" s="1" t="s">
        <v>15179</v>
      </c>
      <c r="AF297" s="1" t="s">
        <v>15180</v>
      </c>
      <c r="AG297" s="1" t="s">
        <v>1507</v>
      </c>
      <c r="AH297" s="1">
        <v>47</v>
      </c>
      <c r="AI297" s="1">
        <v>0</v>
      </c>
      <c r="AJ297" s="1">
        <v>0</v>
      </c>
      <c r="AK297" s="1">
        <v>0</v>
      </c>
      <c r="AL297" s="1">
        <v>0</v>
      </c>
      <c r="AM297" s="1" t="s">
        <v>5565</v>
      </c>
      <c r="AN297" s="1" t="s">
        <v>1512</v>
      </c>
      <c r="AO297" s="1" t="s">
        <v>5566</v>
      </c>
      <c r="AP297" s="1" t="s">
        <v>1507</v>
      </c>
      <c r="AQ297" s="1" t="s">
        <v>1507</v>
      </c>
      <c r="AR297" s="1" t="s">
        <v>15107</v>
      </c>
      <c r="AS297" s="1" t="s">
        <v>1507</v>
      </c>
      <c r="AT297" s="1" t="s">
        <v>1507</v>
      </c>
      <c r="AU297" s="1" t="s">
        <v>1507</v>
      </c>
      <c r="AV297" s="1">
        <v>2023</v>
      </c>
      <c r="AW297" s="1" t="s">
        <v>1507</v>
      </c>
      <c r="AX297" s="1" t="s">
        <v>1507</v>
      </c>
      <c r="AY297" s="1" t="s">
        <v>1507</v>
      </c>
      <c r="AZ297" s="1" t="s">
        <v>1507</v>
      </c>
      <c r="BA297" s="1" t="s">
        <v>1507</v>
      </c>
      <c r="BB297" s="1" t="s">
        <v>1507</v>
      </c>
      <c r="BC297" s="1">
        <v>1348</v>
      </c>
      <c r="BD297" s="1">
        <v>1357</v>
      </c>
      <c r="BE297" s="1" t="s">
        <v>1507</v>
      </c>
      <c r="BF297" s="1" t="s">
        <v>15181</v>
      </c>
      <c r="BG297" s="1" t="str">
        <f>HYPERLINK("http://dx.doi.org/10.1145/3583780.3615017","http://dx.doi.org/10.1145/3583780.3615017")</f>
        <v>http://dx.doi.org/10.1145/3583780.3615017</v>
      </c>
      <c r="BH297" s="1" t="s">
        <v>1507</v>
      </c>
      <c r="BI297" s="1" t="s">
        <v>1507</v>
      </c>
      <c r="BJ297" s="1">
        <v>10</v>
      </c>
      <c r="BK297" s="1" t="s">
        <v>5650</v>
      </c>
      <c r="BL297" s="1" t="s">
        <v>5570</v>
      </c>
      <c r="BM297" s="1" t="s">
        <v>1577</v>
      </c>
      <c r="BN297" s="1" t="s">
        <v>15109</v>
      </c>
      <c r="BO297" s="1" t="s">
        <v>1507</v>
      </c>
      <c r="BP297" s="1" t="s">
        <v>1507</v>
      </c>
      <c r="BQ297" s="1" t="s">
        <v>1507</v>
      </c>
      <c r="BR297" s="1" t="s">
        <v>1507</v>
      </c>
      <c r="BS297" s="1" t="s">
        <v>13744</v>
      </c>
      <c r="BT297" s="1" t="s">
        <v>15182</v>
      </c>
      <c r="BU297" s="1" t="str">
        <f>HYPERLINK("https%3A%2F%2Fwww.webofscience.com%2Fwos%2Fwoscc%2Ffull-record%2FWOS:001161549501043","View Full Record in Web of Science")</f>
        <v>View Full Record in Web of Science</v>
      </c>
    </row>
    <row r="298" spans="1:73" x14ac:dyDescent="0.25">
      <c r="A298" s="1">
        <v>331</v>
      </c>
      <c r="B298" s="1" t="s">
        <v>1506</v>
      </c>
      <c r="C298" s="1" t="s">
        <v>3819</v>
      </c>
      <c r="D298" s="1" t="s">
        <v>1507</v>
      </c>
      <c r="E298" s="1" t="s">
        <v>1507</v>
      </c>
      <c r="F298" s="1" t="s">
        <v>1507</v>
      </c>
      <c r="G298" s="1" t="s">
        <v>3820</v>
      </c>
      <c r="H298" s="1" t="s">
        <v>1507</v>
      </c>
      <c r="I298" s="1" t="s">
        <v>1507</v>
      </c>
      <c r="J298" s="1" t="s">
        <v>3821</v>
      </c>
      <c r="K298" s="1" t="s">
        <v>3822</v>
      </c>
      <c r="L298" s="1" t="s">
        <v>1507</v>
      </c>
      <c r="M298" s="1" t="s">
        <v>1507</v>
      </c>
      <c r="N298" s="1" t="s">
        <v>42</v>
      </c>
      <c r="O298" s="1" t="s">
        <v>56</v>
      </c>
      <c r="P298" s="1" t="s">
        <v>1507</v>
      </c>
      <c r="Q298" s="1" t="s">
        <v>1507</v>
      </c>
      <c r="R298" s="1" t="s">
        <v>1507</v>
      </c>
      <c r="S298" s="1" t="s">
        <v>1507</v>
      </c>
      <c r="T298" s="1" t="s">
        <v>1507</v>
      </c>
      <c r="U298" s="1" t="s">
        <v>3823</v>
      </c>
      <c r="V298" s="1" t="s">
        <v>1507</v>
      </c>
      <c r="W298" s="1" t="s">
        <v>3824</v>
      </c>
      <c r="X298" s="1" t="s">
        <v>3825</v>
      </c>
      <c r="Y298" s="1" t="s">
        <v>3826</v>
      </c>
      <c r="Z298" s="1" t="s">
        <v>3827</v>
      </c>
      <c r="AA298" s="1" t="s">
        <v>3828</v>
      </c>
      <c r="AB298" s="1" t="s">
        <v>14501</v>
      </c>
      <c r="AC298" s="1" t="s">
        <v>3829</v>
      </c>
      <c r="AD298" s="1" t="s">
        <v>3830</v>
      </c>
      <c r="AE298" s="1" t="s">
        <v>3831</v>
      </c>
      <c r="AF298" s="1" t="s">
        <v>3832</v>
      </c>
      <c r="AG298" s="1" t="s">
        <v>1507</v>
      </c>
      <c r="AH298" s="1">
        <v>56</v>
      </c>
      <c r="AI298" s="1">
        <v>1</v>
      </c>
      <c r="AJ298" s="1">
        <v>1</v>
      </c>
      <c r="AK298" s="1">
        <v>8</v>
      </c>
      <c r="AL298" s="1">
        <v>8</v>
      </c>
      <c r="AM298" s="1" t="s">
        <v>1579</v>
      </c>
      <c r="AN298" s="1" t="s">
        <v>1580</v>
      </c>
      <c r="AO298" s="1" t="s">
        <v>1581</v>
      </c>
      <c r="AP298" s="1" t="s">
        <v>3833</v>
      </c>
      <c r="AQ298" s="1" t="s">
        <v>3834</v>
      </c>
      <c r="AR298" s="1" t="s">
        <v>1507</v>
      </c>
      <c r="AS298" s="1" t="s">
        <v>3835</v>
      </c>
      <c r="AT298" s="1" t="s">
        <v>3836</v>
      </c>
      <c r="AU298" s="1" t="s">
        <v>14502</v>
      </c>
      <c r="AV298" s="1">
        <v>2023</v>
      </c>
      <c r="AW298" s="1">
        <v>279</v>
      </c>
      <c r="AX298" s="1" t="s">
        <v>1507</v>
      </c>
      <c r="AY298" s="1" t="s">
        <v>1507</v>
      </c>
      <c r="AZ298" s="1" t="s">
        <v>1507</v>
      </c>
      <c r="BA298" s="1" t="s">
        <v>1507</v>
      </c>
      <c r="BB298" s="1" t="s">
        <v>1507</v>
      </c>
      <c r="BC298" s="1" t="s">
        <v>1507</v>
      </c>
      <c r="BD298" s="1" t="s">
        <v>1507</v>
      </c>
      <c r="BE298" s="1">
        <v>110957</v>
      </c>
      <c r="BF298" s="1" t="s">
        <v>3837</v>
      </c>
      <c r="BG298" s="1" t="str">
        <f>HYPERLINK("http://dx.doi.org/10.1016/j.knosys.2023.110957","http://dx.doi.org/10.1016/j.knosys.2023.110957")</f>
        <v>http://dx.doi.org/10.1016/j.knosys.2023.110957</v>
      </c>
      <c r="BH298" s="1" t="s">
        <v>1507</v>
      </c>
      <c r="BI298" s="1" t="s">
        <v>3689</v>
      </c>
      <c r="BJ298" s="1">
        <v>10</v>
      </c>
      <c r="BK298" s="1" t="s">
        <v>2994</v>
      </c>
      <c r="BL298" s="1" t="s">
        <v>1573</v>
      </c>
      <c r="BM298" s="1" t="s">
        <v>1577</v>
      </c>
      <c r="BN298" s="1" t="s">
        <v>3838</v>
      </c>
      <c r="BO298" s="1" t="s">
        <v>1507</v>
      </c>
      <c r="BP298" s="1" t="s">
        <v>1507</v>
      </c>
      <c r="BQ298" s="1" t="s">
        <v>1507</v>
      </c>
      <c r="BR298" s="1" t="s">
        <v>1507</v>
      </c>
      <c r="BS298" s="1" t="s">
        <v>13744</v>
      </c>
      <c r="BT298" s="1" t="s">
        <v>3839</v>
      </c>
      <c r="BU298" s="1" t="str">
        <f>HYPERLINK("https%3A%2F%2Fwww.webofscience.com%2Fwos%2Fwoscc%2Ffull-record%2FWOS:001078705700001","View Full Record in Web of Science")</f>
        <v>View Full Record in Web of Science</v>
      </c>
    </row>
    <row r="299" spans="1:73" x14ac:dyDescent="0.25">
      <c r="A299" s="1">
        <v>332</v>
      </c>
      <c r="B299" s="1" t="s">
        <v>1506</v>
      </c>
      <c r="C299" s="1" t="s">
        <v>8108</v>
      </c>
      <c r="D299" s="1" t="s">
        <v>1507</v>
      </c>
      <c r="E299" s="1" t="s">
        <v>1507</v>
      </c>
      <c r="F299" s="1" t="s">
        <v>1507</v>
      </c>
      <c r="G299" s="1" t="s">
        <v>8109</v>
      </c>
      <c r="H299" s="1" t="s">
        <v>1507</v>
      </c>
      <c r="I299" s="1" t="s">
        <v>1507</v>
      </c>
      <c r="J299" s="1" t="s">
        <v>8110</v>
      </c>
      <c r="K299" s="1" t="s">
        <v>8111</v>
      </c>
      <c r="L299" s="1" t="s">
        <v>1507</v>
      </c>
      <c r="M299" s="1" t="s">
        <v>1507</v>
      </c>
      <c r="N299" s="1" t="s">
        <v>42</v>
      </c>
      <c r="O299" s="1" t="s">
        <v>56</v>
      </c>
      <c r="P299" s="1" t="s">
        <v>1507</v>
      </c>
      <c r="Q299" s="1" t="s">
        <v>1507</v>
      </c>
      <c r="R299" s="1" t="s">
        <v>1507</v>
      </c>
      <c r="S299" s="1" t="s">
        <v>1507</v>
      </c>
      <c r="T299" s="1" t="s">
        <v>1507</v>
      </c>
      <c r="U299" s="1" t="s">
        <v>8112</v>
      </c>
      <c r="V299" s="1" t="s">
        <v>8113</v>
      </c>
      <c r="W299" s="1" t="s">
        <v>8114</v>
      </c>
      <c r="X299" s="1" t="s">
        <v>8115</v>
      </c>
      <c r="Y299" s="1" t="s">
        <v>8116</v>
      </c>
      <c r="Z299" s="1" t="s">
        <v>8117</v>
      </c>
      <c r="AA299" s="1" t="s">
        <v>8118</v>
      </c>
      <c r="AB299" s="1" t="s">
        <v>8119</v>
      </c>
      <c r="AC299" s="1" t="s">
        <v>8120</v>
      </c>
      <c r="AD299" s="1" t="s">
        <v>8121</v>
      </c>
      <c r="AE299" s="1" t="s">
        <v>8122</v>
      </c>
      <c r="AF299" s="1" t="s">
        <v>8123</v>
      </c>
      <c r="AG299" s="1" t="s">
        <v>1507</v>
      </c>
      <c r="AH299" s="1">
        <v>34</v>
      </c>
      <c r="AI299" s="1">
        <v>3</v>
      </c>
      <c r="AJ299" s="1">
        <v>3</v>
      </c>
      <c r="AK299" s="1">
        <v>5</v>
      </c>
      <c r="AL299" s="1">
        <v>24</v>
      </c>
      <c r="AM299" s="1" t="s">
        <v>1610</v>
      </c>
      <c r="AN299" s="1" t="s">
        <v>1611</v>
      </c>
      <c r="AO299" s="1" t="s">
        <v>1612</v>
      </c>
      <c r="AP299" s="1" t="s">
        <v>1507</v>
      </c>
      <c r="AQ299" s="1" t="s">
        <v>8124</v>
      </c>
      <c r="AR299" s="1" t="s">
        <v>1507</v>
      </c>
      <c r="AS299" s="1" t="s">
        <v>8111</v>
      </c>
      <c r="AT299" s="1" t="s">
        <v>8125</v>
      </c>
      <c r="AU299" s="1" t="s">
        <v>2771</v>
      </c>
      <c r="AV299" s="1">
        <v>2021</v>
      </c>
      <c r="AW299" s="1">
        <v>26</v>
      </c>
      <c r="AX299" s="1">
        <v>22</v>
      </c>
      <c r="AY299" s="1" t="s">
        <v>1507</v>
      </c>
      <c r="AZ299" s="1" t="s">
        <v>1507</v>
      </c>
      <c r="BA299" s="1" t="s">
        <v>1507</v>
      </c>
      <c r="BB299" s="1" t="s">
        <v>1507</v>
      </c>
      <c r="BC299" s="1" t="s">
        <v>1507</v>
      </c>
      <c r="BD299" s="1" t="s">
        <v>1507</v>
      </c>
      <c r="BE299" s="1">
        <v>6831</v>
      </c>
      <c r="BF299" s="1" t="s">
        <v>8126</v>
      </c>
      <c r="BG299" s="1" t="str">
        <f>HYPERLINK("http://dx.doi.org/10.3390/molecules26226831","http://dx.doi.org/10.3390/molecules26226831")</f>
        <v>http://dx.doi.org/10.3390/molecules26226831</v>
      </c>
      <c r="BH299" s="1" t="s">
        <v>1507</v>
      </c>
      <c r="BI299" s="1" t="s">
        <v>1507</v>
      </c>
      <c r="BJ299" s="1">
        <v>12</v>
      </c>
      <c r="BK299" s="1" t="s">
        <v>8127</v>
      </c>
      <c r="BL299" s="1" t="s">
        <v>1573</v>
      </c>
      <c r="BM299" s="1" t="s">
        <v>8128</v>
      </c>
      <c r="BN299" s="1" t="s">
        <v>8129</v>
      </c>
      <c r="BO299" s="1">
        <v>34833923</v>
      </c>
      <c r="BP299" s="1" t="s">
        <v>1674</v>
      </c>
      <c r="BQ299" s="1" t="s">
        <v>1507</v>
      </c>
      <c r="BR299" s="1" t="s">
        <v>1507</v>
      </c>
      <c r="BS299" s="1" t="s">
        <v>13744</v>
      </c>
      <c r="BT299" s="1" t="s">
        <v>8130</v>
      </c>
      <c r="BU299" s="1" t="str">
        <f>HYPERLINK("https%3A%2F%2Fwww.webofscience.com%2Fwos%2Fwoscc%2Ffull-record%2FWOS:000724160700001","View Full Record in Web of Science")</f>
        <v>View Full Record in Web of Science</v>
      </c>
    </row>
    <row r="300" spans="1:73" x14ac:dyDescent="0.25">
      <c r="A300" s="1">
        <v>333</v>
      </c>
      <c r="B300" s="1" t="s">
        <v>5546</v>
      </c>
      <c r="C300" s="1" t="s">
        <v>6131</v>
      </c>
      <c r="D300" s="1" t="s">
        <v>1507</v>
      </c>
      <c r="E300" s="1" t="s">
        <v>1507</v>
      </c>
      <c r="F300" s="1" t="s">
        <v>5628</v>
      </c>
      <c r="G300" s="1" t="s">
        <v>6132</v>
      </c>
      <c r="H300" s="1" t="s">
        <v>1507</v>
      </c>
      <c r="I300" s="1" t="s">
        <v>1507</v>
      </c>
      <c r="J300" s="1" t="s">
        <v>6133</v>
      </c>
      <c r="K300" s="1" t="s">
        <v>6014</v>
      </c>
      <c r="L300" s="1" t="s">
        <v>6015</v>
      </c>
      <c r="M300" s="1" t="s">
        <v>1507</v>
      </c>
      <c r="N300" s="1" t="s">
        <v>42</v>
      </c>
      <c r="O300" s="1" t="s">
        <v>5552</v>
      </c>
      <c r="P300" s="1" t="s">
        <v>6016</v>
      </c>
      <c r="Q300" s="1" t="s">
        <v>6017</v>
      </c>
      <c r="R300" s="1" t="s">
        <v>6018</v>
      </c>
      <c r="S300" s="1" t="s">
        <v>6019</v>
      </c>
      <c r="T300" s="1" t="s">
        <v>1507</v>
      </c>
      <c r="U300" s="1" t="s">
        <v>6134</v>
      </c>
      <c r="V300" s="1" t="s">
        <v>1507</v>
      </c>
      <c r="W300" s="1" t="s">
        <v>6135</v>
      </c>
      <c r="X300" s="1" t="s">
        <v>6136</v>
      </c>
      <c r="Y300" s="1" t="s">
        <v>6137</v>
      </c>
      <c r="Z300" s="1" t="s">
        <v>6138</v>
      </c>
      <c r="AA300" s="1" t="s">
        <v>6139</v>
      </c>
      <c r="AB300" s="1" t="s">
        <v>1507</v>
      </c>
      <c r="AC300" s="1" t="s">
        <v>1507</v>
      </c>
      <c r="AD300" s="1" t="s">
        <v>6140</v>
      </c>
      <c r="AE300" s="1" t="s">
        <v>6141</v>
      </c>
      <c r="AF300" s="1" t="s">
        <v>6142</v>
      </c>
      <c r="AG300" s="1" t="s">
        <v>1507</v>
      </c>
      <c r="AH300" s="1">
        <v>56</v>
      </c>
      <c r="AI300" s="1">
        <v>0</v>
      </c>
      <c r="AJ300" s="1">
        <v>0</v>
      </c>
      <c r="AK300" s="1">
        <v>3</v>
      </c>
      <c r="AL300" s="1">
        <v>3</v>
      </c>
      <c r="AM300" s="1" t="s">
        <v>5645</v>
      </c>
      <c r="AN300" s="1" t="s">
        <v>5646</v>
      </c>
      <c r="AO300" s="1" t="s">
        <v>5647</v>
      </c>
      <c r="AP300" s="1" t="s">
        <v>6030</v>
      </c>
      <c r="AQ300" s="1" t="s">
        <v>1507</v>
      </c>
      <c r="AR300" s="1" t="s">
        <v>6031</v>
      </c>
      <c r="AS300" s="1" t="s">
        <v>6032</v>
      </c>
      <c r="AT300" s="1" t="s">
        <v>1507</v>
      </c>
      <c r="AU300" s="1" t="s">
        <v>1507</v>
      </c>
      <c r="AV300" s="1">
        <v>2023</v>
      </c>
      <c r="AW300" s="1" t="s">
        <v>1507</v>
      </c>
      <c r="AX300" s="1" t="s">
        <v>1507</v>
      </c>
      <c r="AY300" s="1" t="s">
        <v>1507</v>
      </c>
      <c r="AZ300" s="1" t="s">
        <v>1507</v>
      </c>
      <c r="BA300" s="1" t="s">
        <v>1507</v>
      </c>
      <c r="BB300" s="1" t="s">
        <v>1507</v>
      </c>
      <c r="BC300" s="1">
        <v>14</v>
      </c>
      <c r="BD300" s="1">
        <v>26</v>
      </c>
      <c r="BE300" s="1" t="s">
        <v>1507</v>
      </c>
      <c r="BF300" s="1" t="s">
        <v>6143</v>
      </c>
      <c r="BG300" s="1" t="str">
        <f>HYPERLINK("http://dx.doi.org/10.1109/ASE56229.2023.00089","http://dx.doi.org/10.1109/ASE56229.2023.00089")</f>
        <v>http://dx.doi.org/10.1109/ASE56229.2023.00089</v>
      </c>
      <c r="BH300" s="1" t="s">
        <v>1507</v>
      </c>
      <c r="BI300" s="1" t="s">
        <v>1507</v>
      </c>
      <c r="BJ300" s="1">
        <v>13</v>
      </c>
      <c r="BK300" s="1" t="s">
        <v>6034</v>
      </c>
      <c r="BL300" s="1" t="s">
        <v>5570</v>
      </c>
      <c r="BM300" s="1" t="s">
        <v>6035</v>
      </c>
      <c r="BN300" s="1" t="s">
        <v>6036</v>
      </c>
      <c r="BO300" s="1" t="s">
        <v>1507</v>
      </c>
      <c r="BP300" s="1" t="s">
        <v>1600</v>
      </c>
      <c r="BQ300" s="1" t="s">
        <v>1507</v>
      </c>
      <c r="BR300" s="1" t="s">
        <v>1507</v>
      </c>
      <c r="BS300" s="1" t="s">
        <v>13744</v>
      </c>
      <c r="BT300" s="1" t="s">
        <v>6144</v>
      </c>
      <c r="BU300" s="1" t="str">
        <f>HYPERLINK("https%3A%2F%2Fwww.webofscience.com%2Fwos%2Fwoscc%2Ffull-record%2FWOS:001103357200002","View Full Record in Web of Science")</f>
        <v>View Full Record in Web of Science</v>
      </c>
    </row>
    <row r="301" spans="1:73" x14ac:dyDescent="0.25">
      <c r="A301" s="1">
        <v>334</v>
      </c>
      <c r="B301" s="1" t="s">
        <v>1506</v>
      </c>
      <c r="C301" s="1" t="s">
        <v>8922</v>
      </c>
      <c r="D301" s="1" t="s">
        <v>1507</v>
      </c>
      <c r="E301" s="1" t="s">
        <v>1507</v>
      </c>
      <c r="F301" s="1" t="s">
        <v>1507</v>
      </c>
      <c r="G301" s="1" t="s">
        <v>8923</v>
      </c>
      <c r="H301" s="1" t="s">
        <v>1507</v>
      </c>
      <c r="I301" s="1" t="s">
        <v>1507</v>
      </c>
      <c r="J301" s="1" t="s">
        <v>8924</v>
      </c>
      <c r="K301" s="1" t="s">
        <v>8925</v>
      </c>
      <c r="L301" s="1" t="s">
        <v>1507</v>
      </c>
      <c r="M301" s="1" t="s">
        <v>1507</v>
      </c>
      <c r="N301" s="1" t="s">
        <v>42</v>
      </c>
      <c r="O301" s="1" t="s">
        <v>56</v>
      </c>
      <c r="P301" s="1" t="s">
        <v>1507</v>
      </c>
      <c r="Q301" s="1" t="s">
        <v>1507</v>
      </c>
      <c r="R301" s="1" t="s">
        <v>1507</v>
      </c>
      <c r="S301" s="1" t="s">
        <v>1507</v>
      </c>
      <c r="T301" s="1" t="s">
        <v>1507</v>
      </c>
      <c r="U301" s="1" t="s">
        <v>8926</v>
      </c>
      <c r="V301" s="1" t="s">
        <v>8927</v>
      </c>
      <c r="W301" s="1" t="s">
        <v>8928</v>
      </c>
      <c r="X301" s="1" t="s">
        <v>8929</v>
      </c>
      <c r="Y301" s="1" t="s">
        <v>8930</v>
      </c>
      <c r="Z301" s="1" t="s">
        <v>8931</v>
      </c>
      <c r="AA301" s="1" t="s">
        <v>8932</v>
      </c>
      <c r="AB301" s="1" t="s">
        <v>15754</v>
      </c>
      <c r="AC301" s="1" t="s">
        <v>1507</v>
      </c>
      <c r="AD301" s="1" t="s">
        <v>8933</v>
      </c>
      <c r="AE301" s="1" t="s">
        <v>8934</v>
      </c>
      <c r="AF301" s="1" t="s">
        <v>8935</v>
      </c>
      <c r="AG301" s="1" t="s">
        <v>1507</v>
      </c>
      <c r="AH301" s="1">
        <v>26</v>
      </c>
      <c r="AI301" s="1">
        <v>6</v>
      </c>
      <c r="AJ301" s="1">
        <v>6</v>
      </c>
      <c r="AK301" s="1">
        <v>6</v>
      </c>
      <c r="AL301" s="1">
        <v>26</v>
      </c>
      <c r="AM301" s="1" t="s">
        <v>2372</v>
      </c>
      <c r="AN301" s="1" t="s">
        <v>2300</v>
      </c>
      <c r="AO301" s="1" t="s">
        <v>2373</v>
      </c>
      <c r="AP301" s="1" t="s">
        <v>8936</v>
      </c>
      <c r="AQ301" s="1" t="s">
        <v>8937</v>
      </c>
      <c r="AR301" s="1" t="s">
        <v>1507</v>
      </c>
      <c r="AS301" s="1" t="s">
        <v>8938</v>
      </c>
      <c r="AT301" s="1" t="s">
        <v>8939</v>
      </c>
      <c r="AU301" s="1" t="s">
        <v>15755</v>
      </c>
      <c r="AV301" s="1">
        <v>2021</v>
      </c>
      <c r="AW301" s="1">
        <v>25</v>
      </c>
      <c r="AX301" s="1">
        <v>4</v>
      </c>
      <c r="AY301" s="1" t="s">
        <v>1507</v>
      </c>
      <c r="AZ301" s="1" t="s">
        <v>1507</v>
      </c>
      <c r="BA301" s="1" t="s">
        <v>1507</v>
      </c>
      <c r="BB301" s="1" t="s">
        <v>1507</v>
      </c>
      <c r="BC301" s="1">
        <v>849</v>
      </c>
      <c r="BD301" s="1">
        <v>857</v>
      </c>
      <c r="BE301" s="1" t="s">
        <v>1507</v>
      </c>
      <c r="BF301" s="1" t="s">
        <v>8940</v>
      </c>
      <c r="BG301" s="1" t="str">
        <f>HYPERLINK("http://dx.doi.org/10.1021/acs.oprd.0c00529","http://dx.doi.org/10.1021/acs.oprd.0c00529")</f>
        <v>http://dx.doi.org/10.1021/acs.oprd.0c00529</v>
      </c>
      <c r="BH301" s="1" t="s">
        <v>1507</v>
      </c>
      <c r="BI301" s="1" t="s">
        <v>8876</v>
      </c>
      <c r="BJ301" s="1">
        <v>9</v>
      </c>
      <c r="BK301" s="1" t="s">
        <v>8941</v>
      </c>
      <c r="BL301" s="1" t="s">
        <v>1573</v>
      </c>
      <c r="BM301" s="1" t="s">
        <v>2380</v>
      </c>
      <c r="BN301" s="1" t="s">
        <v>8942</v>
      </c>
      <c r="BO301" s="1" t="s">
        <v>1507</v>
      </c>
      <c r="BP301" s="1" t="s">
        <v>1507</v>
      </c>
      <c r="BQ301" s="1" t="s">
        <v>1507</v>
      </c>
      <c r="BR301" s="1" t="s">
        <v>1507</v>
      </c>
      <c r="BS301" s="1" t="s">
        <v>13744</v>
      </c>
      <c r="BT301" s="1" t="s">
        <v>8943</v>
      </c>
      <c r="BU301" s="1" t="str">
        <f>HYPERLINK("https%3A%2F%2Fwww.webofscience.com%2Fwos%2Fwoscc%2Ffull-record%2FWOS:000641295300016","View Full Record in Web of Science")</f>
        <v>View Full Record in Web of Science</v>
      </c>
    </row>
    <row r="302" spans="1:73" x14ac:dyDescent="0.25">
      <c r="A302" s="1">
        <v>336</v>
      </c>
      <c r="B302" s="1" t="s">
        <v>1506</v>
      </c>
      <c r="C302" s="1" t="s">
        <v>2042</v>
      </c>
      <c r="D302" s="1" t="s">
        <v>1507</v>
      </c>
      <c r="E302" s="1" t="s">
        <v>1507</v>
      </c>
      <c r="F302" s="1" t="s">
        <v>1507</v>
      </c>
      <c r="G302" s="1" t="s">
        <v>2043</v>
      </c>
      <c r="H302" s="1" t="s">
        <v>1507</v>
      </c>
      <c r="I302" s="1" t="s">
        <v>1507</v>
      </c>
      <c r="J302" s="1" t="s">
        <v>2044</v>
      </c>
      <c r="K302" s="1" t="s">
        <v>2045</v>
      </c>
      <c r="L302" s="1" t="s">
        <v>1507</v>
      </c>
      <c r="M302" s="1" t="s">
        <v>1507</v>
      </c>
      <c r="N302" s="1" t="s">
        <v>42</v>
      </c>
      <c r="O302" s="1" t="s">
        <v>56</v>
      </c>
      <c r="P302" s="1" t="s">
        <v>1507</v>
      </c>
      <c r="Q302" s="1" t="s">
        <v>1507</v>
      </c>
      <c r="R302" s="1" t="s">
        <v>1507</v>
      </c>
      <c r="S302" s="1" t="s">
        <v>1507</v>
      </c>
      <c r="T302" s="1" t="s">
        <v>1507</v>
      </c>
      <c r="U302" s="1" t="s">
        <v>2046</v>
      </c>
      <c r="V302" s="1" t="s">
        <v>1507</v>
      </c>
      <c r="W302" s="1" t="s">
        <v>2047</v>
      </c>
      <c r="X302" s="1" t="s">
        <v>2048</v>
      </c>
      <c r="Y302" s="1" t="s">
        <v>2049</v>
      </c>
      <c r="Z302" s="1" t="s">
        <v>2050</v>
      </c>
      <c r="AA302" s="1" t="s">
        <v>2051</v>
      </c>
      <c r="AB302" s="1" t="s">
        <v>1507</v>
      </c>
      <c r="AC302" s="1" t="s">
        <v>1507</v>
      </c>
      <c r="AD302" s="1" t="s">
        <v>2052</v>
      </c>
      <c r="AE302" s="1" t="s">
        <v>2052</v>
      </c>
      <c r="AF302" s="1" t="s">
        <v>2052</v>
      </c>
      <c r="AG302" s="1" t="s">
        <v>1507</v>
      </c>
      <c r="AH302" s="1">
        <v>63</v>
      </c>
      <c r="AI302" s="1">
        <v>0</v>
      </c>
      <c r="AJ302" s="1">
        <v>0</v>
      </c>
      <c r="AK302" s="1">
        <v>61</v>
      </c>
      <c r="AL302" s="1">
        <v>61</v>
      </c>
      <c r="AM302" s="1" t="s">
        <v>2053</v>
      </c>
      <c r="AN302" s="1" t="s">
        <v>1556</v>
      </c>
      <c r="AO302" s="1" t="s">
        <v>2054</v>
      </c>
      <c r="AP302" s="1" t="s">
        <v>2055</v>
      </c>
      <c r="AQ302" s="1" t="s">
        <v>2056</v>
      </c>
      <c r="AR302" s="1" t="s">
        <v>1507</v>
      </c>
      <c r="AS302" s="1" t="s">
        <v>2057</v>
      </c>
      <c r="AT302" s="1" t="s">
        <v>2058</v>
      </c>
      <c r="AU302" s="1" t="s">
        <v>2014</v>
      </c>
      <c r="AV302" s="1">
        <v>2023</v>
      </c>
      <c r="AW302" s="1">
        <v>16</v>
      </c>
      <c r="AX302" s="1">
        <v>2</v>
      </c>
      <c r="AY302" s="1" t="s">
        <v>1507</v>
      </c>
      <c r="AZ302" s="1" t="s">
        <v>1507</v>
      </c>
      <c r="BA302" s="1" t="s">
        <v>1507</v>
      </c>
      <c r="BB302" s="1" t="s">
        <v>1507</v>
      </c>
      <c r="BC302" s="1">
        <v>4668</v>
      </c>
      <c r="BD302" s="1">
        <v>4686</v>
      </c>
      <c r="BE302" s="1" t="s">
        <v>1507</v>
      </c>
      <c r="BF302" s="1" t="s">
        <v>2059</v>
      </c>
      <c r="BG302" s="1" t="str">
        <f>HYPERLINK("http://dx.doi.org/10.1080/17538947.2023.2278895","http://dx.doi.org/10.1080/17538947.2023.2278895")</f>
        <v>http://dx.doi.org/10.1080/17538947.2023.2278895</v>
      </c>
      <c r="BH302" s="1" t="s">
        <v>1507</v>
      </c>
      <c r="BI302" s="1" t="s">
        <v>1507</v>
      </c>
      <c r="BJ302" s="1">
        <v>19</v>
      </c>
      <c r="BK302" s="1" t="s">
        <v>2060</v>
      </c>
      <c r="BL302" s="1" t="s">
        <v>1573</v>
      </c>
      <c r="BM302" s="1" t="s">
        <v>2061</v>
      </c>
      <c r="BN302" s="1" t="s">
        <v>2062</v>
      </c>
      <c r="BO302" s="1" t="s">
        <v>1507</v>
      </c>
      <c r="BP302" s="1" t="s">
        <v>1553</v>
      </c>
      <c r="BQ302" s="1" t="s">
        <v>1507</v>
      </c>
      <c r="BR302" s="1" t="s">
        <v>1507</v>
      </c>
      <c r="BS302" s="1" t="s">
        <v>13744</v>
      </c>
      <c r="BT302" s="1" t="s">
        <v>2063</v>
      </c>
      <c r="BU302" s="1" t="str">
        <f>HYPERLINK("https%3A%2F%2Fwww.webofscience.com%2Fwos%2Fwoscc%2Ffull-record%2FWOS:001100562400001","View Full Record in Web of Science")</f>
        <v>View Full Record in Web of Science</v>
      </c>
    </row>
    <row r="303" spans="1:73" x14ac:dyDescent="0.25">
      <c r="A303" s="1">
        <v>337</v>
      </c>
      <c r="B303" s="1" t="s">
        <v>1506</v>
      </c>
      <c r="C303" s="1" t="s">
        <v>1633</v>
      </c>
      <c r="D303" s="1" t="s">
        <v>1507</v>
      </c>
      <c r="E303" s="1" t="s">
        <v>1507</v>
      </c>
      <c r="F303" s="1" t="s">
        <v>1507</v>
      </c>
      <c r="G303" s="1" t="s">
        <v>1634</v>
      </c>
      <c r="H303" s="1" t="s">
        <v>1507</v>
      </c>
      <c r="I303" s="1" t="s">
        <v>1507</v>
      </c>
      <c r="J303" s="1" t="s">
        <v>1635</v>
      </c>
      <c r="K303" s="1" t="s">
        <v>1636</v>
      </c>
      <c r="L303" s="1" t="s">
        <v>1507</v>
      </c>
      <c r="M303" s="1" t="s">
        <v>1507</v>
      </c>
      <c r="N303" s="1" t="s">
        <v>42</v>
      </c>
      <c r="O303" s="1" t="s">
        <v>56</v>
      </c>
      <c r="P303" s="1" t="s">
        <v>1507</v>
      </c>
      <c r="Q303" s="1" t="s">
        <v>1507</v>
      </c>
      <c r="R303" s="1" t="s">
        <v>1507</v>
      </c>
      <c r="S303" s="1" t="s">
        <v>1507</v>
      </c>
      <c r="T303" s="1" t="s">
        <v>1507</v>
      </c>
      <c r="U303" s="1" t="s">
        <v>1637</v>
      </c>
      <c r="V303" s="1" t="s">
        <v>1638</v>
      </c>
      <c r="W303" s="1" t="s">
        <v>1639</v>
      </c>
      <c r="X303" s="1" t="s">
        <v>1640</v>
      </c>
      <c r="Y303" s="1" t="s">
        <v>1641</v>
      </c>
      <c r="Z303" s="1" t="s">
        <v>1642</v>
      </c>
      <c r="AA303" s="1" t="s">
        <v>1643</v>
      </c>
      <c r="AB303" s="1" t="s">
        <v>13741</v>
      </c>
      <c r="AC303" s="1" t="s">
        <v>13742</v>
      </c>
      <c r="AD303" s="1" t="s">
        <v>1644</v>
      </c>
      <c r="AE303" s="1" t="s">
        <v>1645</v>
      </c>
      <c r="AF303" s="1" t="s">
        <v>1646</v>
      </c>
      <c r="AG303" s="1" t="s">
        <v>1507</v>
      </c>
      <c r="AH303" s="1">
        <v>76</v>
      </c>
      <c r="AI303" s="1">
        <v>0</v>
      </c>
      <c r="AJ303" s="1">
        <v>0</v>
      </c>
      <c r="AK303" s="1">
        <v>3</v>
      </c>
      <c r="AL303" s="1">
        <v>3</v>
      </c>
      <c r="AM303" s="1" t="s">
        <v>1559</v>
      </c>
      <c r="AN303" s="1" t="s">
        <v>1560</v>
      </c>
      <c r="AO303" s="1" t="s">
        <v>1561</v>
      </c>
      <c r="AP303" s="1" t="s">
        <v>1647</v>
      </c>
      <c r="AQ303" s="1" t="s">
        <v>1648</v>
      </c>
      <c r="AR303" s="1" t="s">
        <v>1507</v>
      </c>
      <c r="AS303" s="1" t="s">
        <v>1649</v>
      </c>
      <c r="AT303" s="1" t="s">
        <v>1650</v>
      </c>
      <c r="AU303" s="1" t="s">
        <v>4721</v>
      </c>
      <c r="AV303" s="1">
        <v>2024</v>
      </c>
      <c r="AW303" s="1">
        <v>91</v>
      </c>
      <c r="AX303" s="1">
        <v>6</v>
      </c>
      <c r="AY303" s="1" t="s">
        <v>1507</v>
      </c>
      <c r="AZ303" s="1" t="s">
        <v>1507</v>
      </c>
      <c r="BA303" s="1" t="s">
        <v>1507</v>
      </c>
      <c r="BB303" s="1" t="s">
        <v>1507</v>
      </c>
      <c r="BC303" s="1">
        <v>2278</v>
      </c>
      <c r="BD303" s="1">
        <v>2293</v>
      </c>
      <c r="BE303" s="1" t="s">
        <v>1507</v>
      </c>
      <c r="BF303" s="1" t="s">
        <v>1651</v>
      </c>
      <c r="BG303" s="1" t="str">
        <f>HYPERLINK("http://dx.doi.org/10.1002/mrm.29990","http://dx.doi.org/10.1002/mrm.29990")</f>
        <v>http://dx.doi.org/10.1002/mrm.29990</v>
      </c>
      <c r="BH303" s="1" t="s">
        <v>1507</v>
      </c>
      <c r="BI303" s="1" t="s">
        <v>1652</v>
      </c>
      <c r="BJ303" s="1">
        <v>16</v>
      </c>
      <c r="BK303" s="1" t="s">
        <v>1653</v>
      </c>
      <c r="BL303" s="1" t="s">
        <v>1573</v>
      </c>
      <c r="BM303" s="1" t="s">
        <v>1653</v>
      </c>
      <c r="BN303" s="1" t="s">
        <v>13743</v>
      </c>
      <c r="BO303" s="1">
        <v>38156945</v>
      </c>
      <c r="BP303" s="1" t="s">
        <v>1507</v>
      </c>
      <c r="BQ303" s="1" t="s">
        <v>1507</v>
      </c>
      <c r="BR303" s="1" t="s">
        <v>1507</v>
      </c>
      <c r="BS303" s="1" t="s">
        <v>13744</v>
      </c>
      <c r="BT303" s="1" t="s">
        <v>1654</v>
      </c>
      <c r="BU303" s="1" t="str">
        <f>HYPERLINK("https%3A%2F%2Fwww.webofscience.com%2Fwos%2Fwoscc%2Ffull-record%2FWOS:001134125600001","View Full Record in Web of Science")</f>
        <v>View Full Record in Web of Science</v>
      </c>
    </row>
    <row r="304" spans="1:73" x14ac:dyDescent="0.25">
      <c r="A304" s="1">
        <v>338</v>
      </c>
      <c r="B304" s="1" t="s">
        <v>1506</v>
      </c>
      <c r="C304" s="1" t="s">
        <v>11068</v>
      </c>
      <c r="D304" s="1" t="s">
        <v>1507</v>
      </c>
      <c r="E304" s="1" t="s">
        <v>1507</v>
      </c>
      <c r="F304" s="1" t="s">
        <v>1507</v>
      </c>
      <c r="G304" s="1" t="s">
        <v>11069</v>
      </c>
      <c r="H304" s="1" t="s">
        <v>1507</v>
      </c>
      <c r="I304" s="1" t="s">
        <v>1507</v>
      </c>
      <c r="J304" s="1" t="s">
        <v>11070</v>
      </c>
      <c r="K304" s="1" t="s">
        <v>4452</v>
      </c>
      <c r="L304" s="1" t="s">
        <v>1507</v>
      </c>
      <c r="M304" s="1" t="s">
        <v>1507</v>
      </c>
      <c r="N304" s="1" t="s">
        <v>42</v>
      </c>
      <c r="O304" s="1" t="s">
        <v>56</v>
      </c>
      <c r="P304" s="1" t="s">
        <v>1507</v>
      </c>
      <c r="Q304" s="1" t="s">
        <v>1507</v>
      </c>
      <c r="R304" s="1" t="s">
        <v>1507</v>
      </c>
      <c r="S304" s="1" t="s">
        <v>1507</v>
      </c>
      <c r="T304" s="1" t="s">
        <v>1507</v>
      </c>
      <c r="U304" s="1" t="s">
        <v>11071</v>
      </c>
      <c r="V304" s="1" t="s">
        <v>11072</v>
      </c>
      <c r="W304" s="1" t="s">
        <v>11073</v>
      </c>
      <c r="X304" s="1" t="s">
        <v>11074</v>
      </c>
      <c r="Y304" s="1" t="s">
        <v>11075</v>
      </c>
      <c r="Z304" s="1" t="s">
        <v>11076</v>
      </c>
      <c r="AA304" s="1" t="s">
        <v>4822</v>
      </c>
      <c r="AB304" s="1" t="s">
        <v>11077</v>
      </c>
      <c r="AC304" s="1" t="s">
        <v>8956</v>
      </c>
      <c r="AD304" s="1" t="s">
        <v>11078</v>
      </c>
      <c r="AE304" s="1" t="s">
        <v>11079</v>
      </c>
      <c r="AF304" s="1" t="s">
        <v>11080</v>
      </c>
      <c r="AG304" s="1" t="s">
        <v>1507</v>
      </c>
      <c r="AH304" s="1">
        <v>54</v>
      </c>
      <c r="AI304" s="1">
        <v>10</v>
      </c>
      <c r="AJ304" s="1">
        <v>11</v>
      </c>
      <c r="AK304" s="1">
        <v>0</v>
      </c>
      <c r="AL304" s="1">
        <v>15</v>
      </c>
      <c r="AM304" s="1" t="s">
        <v>1511</v>
      </c>
      <c r="AN304" s="1" t="s">
        <v>1512</v>
      </c>
      <c r="AO304" s="1" t="s">
        <v>8572</v>
      </c>
      <c r="AP304" s="1" t="s">
        <v>4463</v>
      </c>
      <c r="AQ304" s="1" t="s">
        <v>1507</v>
      </c>
      <c r="AR304" s="1" t="s">
        <v>1507</v>
      </c>
      <c r="AS304" s="1" t="s">
        <v>4464</v>
      </c>
      <c r="AT304" s="1" t="s">
        <v>4465</v>
      </c>
      <c r="AU304" s="1" t="s">
        <v>5201</v>
      </c>
      <c r="AV304" s="1">
        <v>2019</v>
      </c>
      <c r="AW304" s="1">
        <v>44</v>
      </c>
      <c r="AX304" s="1">
        <v>2</v>
      </c>
      <c r="AY304" s="1" t="s">
        <v>1507</v>
      </c>
      <c r="AZ304" s="1" t="s">
        <v>1507</v>
      </c>
      <c r="BA304" s="1" t="s">
        <v>1507</v>
      </c>
      <c r="BB304" s="1" t="s">
        <v>1507</v>
      </c>
      <c r="BC304" s="1">
        <v>140</v>
      </c>
      <c r="BD304" s="1">
        <v>150</v>
      </c>
      <c r="BE304" s="1" t="s">
        <v>1507</v>
      </c>
      <c r="BF304" s="1" t="s">
        <v>11081</v>
      </c>
      <c r="BG304" s="1" t="str">
        <f>HYPERLINK("http://dx.doi.org/10.1007/s40858-018-0254-9","http://dx.doi.org/10.1007/s40858-018-0254-9")</f>
        <v>http://dx.doi.org/10.1007/s40858-018-0254-9</v>
      </c>
      <c r="BH304" s="1" t="s">
        <v>1507</v>
      </c>
      <c r="BI304" s="1" t="s">
        <v>1507</v>
      </c>
      <c r="BJ304" s="1">
        <v>11</v>
      </c>
      <c r="BK304" s="1" t="s">
        <v>2914</v>
      </c>
      <c r="BL304" s="1" t="s">
        <v>1573</v>
      </c>
      <c r="BM304" s="1" t="s">
        <v>2914</v>
      </c>
      <c r="BN304" s="1" t="s">
        <v>11082</v>
      </c>
      <c r="BO304" s="1" t="s">
        <v>1507</v>
      </c>
      <c r="BP304" s="1" t="s">
        <v>3572</v>
      </c>
      <c r="BQ304" s="1" t="s">
        <v>1507</v>
      </c>
      <c r="BR304" s="1" t="s">
        <v>1507</v>
      </c>
      <c r="BS304" s="1" t="s">
        <v>13744</v>
      </c>
      <c r="BT304" s="1" t="s">
        <v>11083</v>
      </c>
      <c r="BU304" s="1" t="str">
        <f>HYPERLINK("https%3A%2F%2Fwww.webofscience.com%2Fwos%2Fwoscc%2Ffull-record%2FWOS:000464764700004","View Full Record in Web of Science")</f>
        <v>View Full Record in Web of Science</v>
      </c>
    </row>
    <row r="305" spans="1:73" x14ac:dyDescent="0.25">
      <c r="A305" s="1">
        <v>339</v>
      </c>
      <c r="B305" s="1" t="s">
        <v>1506</v>
      </c>
      <c r="C305" s="1" t="s">
        <v>9512</v>
      </c>
      <c r="D305" s="1" t="s">
        <v>1507</v>
      </c>
      <c r="E305" s="1" t="s">
        <v>1507</v>
      </c>
      <c r="F305" s="1" t="s">
        <v>1507</v>
      </c>
      <c r="G305" s="1" t="s">
        <v>9513</v>
      </c>
      <c r="H305" s="1" t="s">
        <v>1507</v>
      </c>
      <c r="I305" s="1" t="s">
        <v>1507</v>
      </c>
      <c r="J305" s="1" t="s">
        <v>9514</v>
      </c>
      <c r="K305" s="1" t="s">
        <v>9515</v>
      </c>
      <c r="L305" s="1" t="s">
        <v>1507</v>
      </c>
      <c r="M305" s="1" t="s">
        <v>1507</v>
      </c>
      <c r="N305" s="1" t="s">
        <v>42</v>
      </c>
      <c r="O305" s="1" t="s">
        <v>56</v>
      </c>
      <c r="P305" s="1" t="s">
        <v>1507</v>
      </c>
      <c r="Q305" s="1" t="s">
        <v>1507</v>
      </c>
      <c r="R305" s="1" t="s">
        <v>1507</v>
      </c>
      <c r="S305" s="1" t="s">
        <v>1507</v>
      </c>
      <c r="T305" s="1" t="s">
        <v>1507</v>
      </c>
      <c r="U305" s="1" t="s">
        <v>1507</v>
      </c>
      <c r="V305" s="1" t="s">
        <v>9516</v>
      </c>
      <c r="W305" s="1" t="s">
        <v>9517</v>
      </c>
      <c r="X305" s="1" t="s">
        <v>9518</v>
      </c>
      <c r="Y305" s="1" t="s">
        <v>9519</v>
      </c>
      <c r="Z305" s="1" t="s">
        <v>9520</v>
      </c>
      <c r="AA305" s="1" t="s">
        <v>9521</v>
      </c>
      <c r="AB305" s="1" t="s">
        <v>1507</v>
      </c>
      <c r="AC305" s="1" t="s">
        <v>1507</v>
      </c>
      <c r="AD305" s="1" t="s">
        <v>9522</v>
      </c>
      <c r="AE305" s="1" t="s">
        <v>9522</v>
      </c>
      <c r="AF305" s="1" t="s">
        <v>9523</v>
      </c>
      <c r="AG305" s="1" t="s">
        <v>1507</v>
      </c>
      <c r="AH305" s="1">
        <v>118</v>
      </c>
      <c r="AI305" s="1">
        <v>4</v>
      </c>
      <c r="AJ305" s="1">
        <v>4</v>
      </c>
      <c r="AK305" s="1">
        <v>1</v>
      </c>
      <c r="AL305" s="1">
        <v>6</v>
      </c>
      <c r="AM305" s="1" t="s">
        <v>9524</v>
      </c>
      <c r="AN305" s="1" t="s">
        <v>9525</v>
      </c>
      <c r="AO305" s="1" t="s">
        <v>9526</v>
      </c>
      <c r="AP305" s="1" t="s">
        <v>9527</v>
      </c>
      <c r="AQ305" s="1" t="s">
        <v>1507</v>
      </c>
      <c r="AR305" s="1" t="s">
        <v>1507</v>
      </c>
      <c r="AS305" s="1" t="s">
        <v>9528</v>
      </c>
      <c r="AT305" s="1" t="s">
        <v>9529</v>
      </c>
      <c r="AU305" s="1" t="s">
        <v>2889</v>
      </c>
      <c r="AV305" s="1">
        <v>2020</v>
      </c>
      <c r="AW305" s="1">
        <v>95</v>
      </c>
      <c r="AX305" s="1">
        <v>3</v>
      </c>
      <c r="AY305" s="1" t="s">
        <v>1507</v>
      </c>
      <c r="AZ305" s="1" t="s">
        <v>1507</v>
      </c>
      <c r="BA305" s="1" t="s">
        <v>1507</v>
      </c>
      <c r="BB305" s="1" t="s">
        <v>1507</v>
      </c>
      <c r="BC305" s="1">
        <v>1317</v>
      </c>
      <c r="BD305" s="1">
        <v>1382</v>
      </c>
      <c r="BE305" s="1" t="s">
        <v>1507</v>
      </c>
      <c r="BF305" s="1" t="s">
        <v>1507</v>
      </c>
      <c r="BG305" s="1" t="s">
        <v>1507</v>
      </c>
      <c r="BH305" s="1" t="s">
        <v>1507</v>
      </c>
      <c r="BI305" s="1" t="s">
        <v>1507</v>
      </c>
      <c r="BJ305" s="1">
        <v>66</v>
      </c>
      <c r="BK305" s="1" t="s">
        <v>1535</v>
      </c>
      <c r="BL305" s="1" t="s">
        <v>1518</v>
      </c>
      <c r="BM305" s="1" t="s">
        <v>1536</v>
      </c>
      <c r="BN305" s="1" t="s">
        <v>9530</v>
      </c>
      <c r="BO305" s="1" t="s">
        <v>1507</v>
      </c>
      <c r="BP305" s="1" t="s">
        <v>1507</v>
      </c>
      <c r="BQ305" s="1" t="s">
        <v>1507</v>
      </c>
      <c r="BR305" s="1" t="s">
        <v>1507</v>
      </c>
      <c r="BS305" s="1" t="s">
        <v>13744</v>
      </c>
      <c r="BT305" s="1" t="s">
        <v>9531</v>
      </c>
      <c r="BU305" s="1" t="str">
        <f>HYPERLINK("https%3A%2F%2Fwww.webofscience.com%2Fwos%2Fwoscc%2Ffull-record%2FWOS:000609004500004","View Full Record in Web of Science")</f>
        <v>View Full Record in Web of Science</v>
      </c>
    </row>
    <row r="306" spans="1:73" x14ac:dyDescent="0.25">
      <c r="A306" s="1">
        <v>340</v>
      </c>
      <c r="B306" s="1" t="s">
        <v>1506</v>
      </c>
      <c r="C306" s="1" t="s">
        <v>3956</v>
      </c>
      <c r="D306" s="1" t="s">
        <v>1507</v>
      </c>
      <c r="E306" s="1" t="s">
        <v>1507</v>
      </c>
      <c r="F306" s="1" t="s">
        <v>1507</v>
      </c>
      <c r="G306" s="1" t="s">
        <v>3957</v>
      </c>
      <c r="H306" s="1" t="s">
        <v>1507</v>
      </c>
      <c r="I306" s="1" t="s">
        <v>1507</v>
      </c>
      <c r="J306" s="1" t="s">
        <v>3958</v>
      </c>
      <c r="K306" s="1" t="s">
        <v>3959</v>
      </c>
      <c r="L306" s="1" t="s">
        <v>1507</v>
      </c>
      <c r="M306" s="1" t="s">
        <v>1507</v>
      </c>
      <c r="N306" s="1" t="s">
        <v>42</v>
      </c>
      <c r="O306" s="1" t="s">
        <v>56</v>
      </c>
      <c r="P306" s="1" t="s">
        <v>1507</v>
      </c>
      <c r="Q306" s="1" t="s">
        <v>1507</v>
      </c>
      <c r="R306" s="1" t="s">
        <v>1507</v>
      </c>
      <c r="S306" s="1" t="s">
        <v>1507</v>
      </c>
      <c r="T306" s="1" t="s">
        <v>1507</v>
      </c>
      <c r="U306" s="1" t="s">
        <v>3960</v>
      </c>
      <c r="V306" s="1" t="s">
        <v>3961</v>
      </c>
      <c r="W306" s="1" t="s">
        <v>3962</v>
      </c>
      <c r="X306" s="1" t="s">
        <v>3963</v>
      </c>
      <c r="Y306" s="1" t="s">
        <v>3964</v>
      </c>
      <c r="Z306" s="1" t="s">
        <v>3965</v>
      </c>
      <c r="AA306" s="1" t="s">
        <v>3966</v>
      </c>
      <c r="AB306" s="1" t="s">
        <v>1507</v>
      </c>
      <c r="AC306" s="1" t="s">
        <v>3967</v>
      </c>
      <c r="AD306" s="1" t="s">
        <v>3968</v>
      </c>
      <c r="AE306" s="1" t="s">
        <v>3969</v>
      </c>
      <c r="AF306" s="1" t="s">
        <v>3970</v>
      </c>
      <c r="AG306" s="1" t="s">
        <v>1507</v>
      </c>
      <c r="AH306" s="1">
        <v>39</v>
      </c>
      <c r="AI306" s="1">
        <v>2</v>
      </c>
      <c r="AJ306" s="1">
        <v>2</v>
      </c>
      <c r="AK306" s="1">
        <v>33</v>
      </c>
      <c r="AL306" s="1">
        <v>33</v>
      </c>
      <c r="AM306" s="1" t="s">
        <v>3971</v>
      </c>
      <c r="AN306" s="1" t="s">
        <v>1583</v>
      </c>
      <c r="AO306" s="1" t="s">
        <v>3972</v>
      </c>
      <c r="AP306" s="1" t="s">
        <v>3973</v>
      </c>
      <c r="AQ306" s="1" t="s">
        <v>1507</v>
      </c>
      <c r="AR306" s="1" t="s">
        <v>1507</v>
      </c>
      <c r="AS306" s="1" t="s">
        <v>3974</v>
      </c>
      <c r="AT306" s="1" t="s">
        <v>3975</v>
      </c>
      <c r="AU306" s="1" t="s">
        <v>2771</v>
      </c>
      <c r="AV306" s="1">
        <v>2023</v>
      </c>
      <c r="AW306" s="1">
        <v>51</v>
      </c>
      <c r="AX306" s="1" t="s">
        <v>1507</v>
      </c>
      <c r="AY306" s="1" t="s">
        <v>1507</v>
      </c>
      <c r="AZ306" s="1" t="s">
        <v>1507</v>
      </c>
      <c r="BA306" s="1" t="s">
        <v>1507</v>
      </c>
      <c r="BB306" s="1" t="s">
        <v>1507</v>
      </c>
      <c r="BC306" s="1" t="s">
        <v>1507</v>
      </c>
      <c r="BD306" s="1" t="s">
        <v>1507</v>
      </c>
      <c r="BE306" s="1">
        <v>105864</v>
      </c>
      <c r="BF306" s="1" t="s">
        <v>3976</v>
      </c>
      <c r="BG306" s="1" t="str">
        <f>HYPERLINK("http://dx.doi.org/10.1016/j.clsr.2023.105864","http://dx.doi.org/10.1016/j.clsr.2023.105864")</f>
        <v>http://dx.doi.org/10.1016/j.clsr.2023.105864</v>
      </c>
      <c r="BH306" s="1" t="s">
        <v>1507</v>
      </c>
      <c r="BI306" s="1" t="s">
        <v>3689</v>
      </c>
      <c r="BJ306" s="1">
        <v>10</v>
      </c>
      <c r="BK306" s="1" t="s">
        <v>1535</v>
      </c>
      <c r="BL306" s="1" t="s">
        <v>1518</v>
      </c>
      <c r="BM306" s="1" t="s">
        <v>1536</v>
      </c>
      <c r="BN306" s="1" t="s">
        <v>3977</v>
      </c>
      <c r="BO306" s="1" t="s">
        <v>1507</v>
      </c>
      <c r="BP306" s="1" t="s">
        <v>1507</v>
      </c>
      <c r="BQ306" s="1" t="s">
        <v>1507</v>
      </c>
      <c r="BR306" s="1" t="s">
        <v>1507</v>
      </c>
      <c r="BS306" s="1" t="s">
        <v>13744</v>
      </c>
      <c r="BT306" s="1" t="s">
        <v>3978</v>
      </c>
      <c r="BU306" s="1" t="str">
        <f>HYPERLINK("https%3A%2F%2Fwww.webofscience.com%2Fwos%2Fwoscc%2Ffull-record%2FWOS:001074080200001","View Full Record in Web of Science")</f>
        <v>View Full Record in Web of Science</v>
      </c>
    </row>
    <row r="307" spans="1:73" x14ac:dyDescent="0.25">
      <c r="A307" s="1">
        <v>341</v>
      </c>
      <c r="B307" s="1" t="s">
        <v>1506</v>
      </c>
      <c r="C307" s="1" t="s">
        <v>2894</v>
      </c>
      <c r="D307" s="1" t="s">
        <v>1507</v>
      </c>
      <c r="E307" s="1" t="s">
        <v>1507</v>
      </c>
      <c r="F307" s="1" t="s">
        <v>1507</v>
      </c>
      <c r="G307" s="1" t="s">
        <v>2895</v>
      </c>
      <c r="H307" s="1" t="s">
        <v>1507</v>
      </c>
      <c r="I307" s="1" t="s">
        <v>1507</v>
      </c>
      <c r="J307" s="1" t="s">
        <v>2896</v>
      </c>
      <c r="K307" s="1" t="s">
        <v>2897</v>
      </c>
      <c r="L307" s="1" t="s">
        <v>1507</v>
      </c>
      <c r="M307" s="1" t="s">
        <v>1507</v>
      </c>
      <c r="N307" s="1" t="s">
        <v>42</v>
      </c>
      <c r="O307" s="1" t="s">
        <v>56</v>
      </c>
      <c r="P307" s="1" t="s">
        <v>1507</v>
      </c>
      <c r="Q307" s="1" t="s">
        <v>1507</v>
      </c>
      <c r="R307" s="1" t="s">
        <v>1507</v>
      </c>
      <c r="S307" s="1" t="s">
        <v>1507</v>
      </c>
      <c r="T307" s="1" t="s">
        <v>1507</v>
      </c>
      <c r="U307" s="1" t="s">
        <v>2898</v>
      </c>
      <c r="V307" s="1" t="s">
        <v>2899</v>
      </c>
      <c r="W307" s="1" t="s">
        <v>2900</v>
      </c>
      <c r="X307" s="1" t="s">
        <v>2901</v>
      </c>
      <c r="Y307" s="1" t="s">
        <v>2902</v>
      </c>
      <c r="Z307" s="1" t="s">
        <v>2903</v>
      </c>
      <c r="AA307" s="1" t="s">
        <v>2904</v>
      </c>
      <c r="AB307" s="1" t="s">
        <v>1507</v>
      </c>
      <c r="AC307" s="1" t="s">
        <v>2905</v>
      </c>
      <c r="AD307" s="1" t="s">
        <v>2906</v>
      </c>
      <c r="AE307" s="1" t="s">
        <v>2907</v>
      </c>
      <c r="AF307" s="1" t="s">
        <v>2908</v>
      </c>
      <c r="AG307" s="1" t="s">
        <v>1507</v>
      </c>
      <c r="AH307" s="1">
        <v>61</v>
      </c>
      <c r="AI307" s="1">
        <v>0</v>
      </c>
      <c r="AJ307" s="1">
        <v>0</v>
      </c>
      <c r="AK307" s="1">
        <v>16</v>
      </c>
      <c r="AL307" s="1">
        <v>16</v>
      </c>
      <c r="AM307" s="1" t="s">
        <v>1559</v>
      </c>
      <c r="AN307" s="1" t="s">
        <v>1560</v>
      </c>
      <c r="AO307" s="1" t="s">
        <v>1561</v>
      </c>
      <c r="AP307" s="1" t="s">
        <v>2909</v>
      </c>
      <c r="AQ307" s="1" t="s">
        <v>2910</v>
      </c>
      <c r="AR307" s="1" t="s">
        <v>1507</v>
      </c>
      <c r="AS307" s="1" t="s">
        <v>2911</v>
      </c>
      <c r="AT307" s="1" t="s">
        <v>2912</v>
      </c>
      <c r="AU307" s="1" t="s">
        <v>1616</v>
      </c>
      <c r="AV307" s="1">
        <v>2024</v>
      </c>
      <c r="AW307" s="1">
        <v>117</v>
      </c>
      <c r="AX307" s="1">
        <v>2</v>
      </c>
      <c r="AY307" s="1" t="s">
        <v>1507</v>
      </c>
      <c r="AZ307" s="1" t="s">
        <v>1507</v>
      </c>
      <c r="BA307" s="1" t="s">
        <v>1507</v>
      </c>
      <c r="BB307" s="1" t="s">
        <v>1507</v>
      </c>
      <c r="BC307" s="1">
        <v>599</v>
      </c>
      <c r="BD307" s="1">
        <v>615</v>
      </c>
      <c r="BE307" s="1" t="s">
        <v>1507</v>
      </c>
      <c r="BF307" s="1" t="s">
        <v>2913</v>
      </c>
      <c r="BG307" s="1" t="str">
        <f>HYPERLINK("http://dx.doi.org/10.1111/tpj.16517","http://dx.doi.org/10.1111/tpj.16517")</f>
        <v>http://dx.doi.org/10.1111/tpj.16517</v>
      </c>
      <c r="BH307" s="1" t="s">
        <v>1507</v>
      </c>
      <c r="BI307" s="1" t="s">
        <v>2891</v>
      </c>
      <c r="BJ307" s="1">
        <v>17</v>
      </c>
      <c r="BK307" s="1" t="s">
        <v>2914</v>
      </c>
      <c r="BL307" s="1" t="s">
        <v>1573</v>
      </c>
      <c r="BM307" s="1" t="s">
        <v>2914</v>
      </c>
      <c r="BN307" s="1" t="s">
        <v>2915</v>
      </c>
      <c r="BO307" s="1">
        <v>37902786</v>
      </c>
      <c r="BP307" s="1" t="s">
        <v>1507</v>
      </c>
      <c r="BQ307" s="1" t="s">
        <v>1507</v>
      </c>
      <c r="BR307" s="1" t="s">
        <v>1507</v>
      </c>
      <c r="BS307" s="1" t="s">
        <v>13744</v>
      </c>
      <c r="BT307" s="1" t="s">
        <v>2916</v>
      </c>
      <c r="BU307" s="1" t="str">
        <f>HYPERLINK("https%3A%2F%2Fwww.webofscience.com%2Fwos%2Fwoscc%2Ffull-record%2FWOS:001092672500001","View Full Record in Web of Science")</f>
        <v>View Full Record in Web of Science</v>
      </c>
    </row>
    <row r="308" spans="1:73" x14ac:dyDescent="0.25">
      <c r="A308" s="1">
        <v>342</v>
      </c>
      <c r="B308" s="1" t="s">
        <v>1506</v>
      </c>
      <c r="C308" s="1" t="s">
        <v>4878</v>
      </c>
      <c r="D308" s="1" t="s">
        <v>1507</v>
      </c>
      <c r="E308" s="1" t="s">
        <v>1507</v>
      </c>
      <c r="F308" s="1" t="s">
        <v>1507</v>
      </c>
      <c r="G308" s="1" t="s">
        <v>4879</v>
      </c>
      <c r="H308" s="1" t="s">
        <v>1507</v>
      </c>
      <c r="I308" s="1" t="s">
        <v>1507</v>
      </c>
      <c r="J308" s="1" t="s">
        <v>1187</v>
      </c>
      <c r="K308" s="1" t="s">
        <v>4880</v>
      </c>
      <c r="L308" s="1" t="s">
        <v>1507</v>
      </c>
      <c r="M308" s="1" t="s">
        <v>1507</v>
      </c>
      <c r="N308" s="1" t="s">
        <v>42</v>
      </c>
      <c r="O308" s="1" t="s">
        <v>56</v>
      </c>
      <c r="P308" s="1" t="s">
        <v>1507</v>
      </c>
      <c r="Q308" s="1" t="s">
        <v>1507</v>
      </c>
      <c r="R308" s="1" t="s">
        <v>1507</v>
      </c>
      <c r="S308" s="1" t="s">
        <v>1507</v>
      </c>
      <c r="T308" s="1" t="s">
        <v>1507</v>
      </c>
      <c r="U308" s="1" t="s">
        <v>4881</v>
      </c>
      <c r="V308" s="1" t="s">
        <v>4882</v>
      </c>
      <c r="W308" s="1" t="s">
        <v>4883</v>
      </c>
      <c r="X308" s="1" t="s">
        <v>4884</v>
      </c>
      <c r="Y308" s="1" t="s">
        <v>4885</v>
      </c>
      <c r="Z308" s="1" t="s">
        <v>4886</v>
      </c>
      <c r="AA308" s="1" t="s">
        <v>4887</v>
      </c>
      <c r="AB308" s="1" t="s">
        <v>1507</v>
      </c>
      <c r="AC308" s="1" t="s">
        <v>1507</v>
      </c>
      <c r="AD308" s="1" t="s">
        <v>1507</v>
      </c>
      <c r="AE308" s="1" t="s">
        <v>1507</v>
      </c>
      <c r="AF308" s="1" t="s">
        <v>1507</v>
      </c>
      <c r="AG308" s="1" t="s">
        <v>1507</v>
      </c>
      <c r="AH308" s="1">
        <v>114</v>
      </c>
      <c r="AI308" s="1">
        <v>8</v>
      </c>
      <c r="AJ308" s="1">
        <v>8</v>
      </c>
      <c r="AK308" s="1">
        <v>44</v>
      </c>
      <c r="AL308" s="1">
        <v>70</v>
      </c>
      <c r="AM308" s="1" t="s">
        <v>1564</v>
      </c>
      <c r="AN308" s="1" t="s">
        <v>1565</v>
      </c>
      <c r="AO308" s="1" t="s">
        <v>1566</v>
      </c>
      <c r="AP308" s="1" t="s">
        <v>1507</v>
      </c>
      <c r="AQ308" s="1" t="s">
        <v>4888</v>
      </c>
      <c r="AR308" s="1" t="s">
        <v>1507</v>
      </c>
      <c r="AS308" s="1" t="s">
        <v>4889</v>
      </c>
      <c r="AT308" s="1" t="s">
        <v>1196</v>
      </c>
      <c r="AU308" s="1" t="s">
        <v>4890</v>
      </c>
      <c r="AV308" s="1">
        <v>2023</v>
      </c>
      <c r="AW308" s="1">
        <v>8</v>
      </c>
      <c r="AX308" s="1" t="s">
        <v>1507</v>
      </c>
      <c r="AY308" s="1" t="s">
        <v>1507</v>
      </c>
      <c r="AZ308" s="1" t="s">
        <v>1507</v>
      </c>
      <c r="BA308" s="1" t="s">
        <v>1507</v>
      </c>
      <c r="BB308" s="1" t="s">
        <v>1507</v>
      </c>
      <c r="BC308" s="1" t="s">
        <v>1507</v>
      </c>
      <c r="BD308" s="1" t="s">
        <v>1507</v>
      </c>
      <c r="BE308" s="1">
        <v>1129082</v>
      </c>
      <c r="BF308" s="1" t="s">
        <v>1189</v>
      </c>
      <c r="BG308" s="1" t="str">
        <f>HYPERLINK("http://dx.doi.org/10.3389/fcomm.2023.1129082","http://dx.doi.org/10.3389/fcomm.2023.1129082")</f>
        <v>http://dx.doi.org/10.3389/fcomm.2023.1129082</v>
      </c>
      <c r="BH308" s="1" t="s">
        <v>1507</v>
      </c>
      <c r="BI308" s="1" t="s">
        <v>1507</v>
      </c>
      <c r="BJ308" s="1">
        <v>15</v>
      </c>
      <c r="BK308" s="1" t="s">
        <v>2418</v>
      </c>
      <c r="BL308" s="1" t="s">
        <v>1529</v>
      </c>
      <c r="BM308" s="1" t="s">
        <v>2418</v>
      </c>
      <c r="BN308" s="1" t="s">
        <v>4891</v>
      </c>
      <c r="BO308" s="1" t="s">
        <v>1507</v>
      </c>
      <c r="BP308" s="1" t="s">
        <v>1531</v>
      </c>
      <c r="BQ308" s="1" t="s">
        <v>1507</v>
      </c>
      <c r="BR308" s="1" t="s">
        <v>1507</v>
      </c>
      <c r="BS308" s="1" t="s">
        <v>13744</v>
      </c>
      <c r="BT308" s="1" t="s">
        <v>4892</v>
      </c>
      <c r="BU308" s="1" t="str">
        <f>HYPERLINK("https%3A%2F%2Fwww.webofscience.com%2Fwos%2Fwoscc%2Ffull-record%2FWOS:001003088700001","View Full Record in Web of Science")</f>
        <v>View Full Record in Web of Science</v>
      </c>
    </row>
    <row r="309" spans="1:73" x14ac:dyDescent="0.25">
      <c r="A309" s="1">
        <v>343</v>
      </c>
      <c r="B309" s="1" t="s">
        <v>1506</v>
      </c>
      <c r="C309" s="1" t="s">
        <v>11122</v>
      </c>
      <c r="D309" s="1" t="s">
        <v>1507</v>
      </c>
      <c r="E309" s="1" t="s">
        <v>1507</v>
      </c>
      <c r="F309" s="1" t="s">
        <v>1507</v>
      </c>
      <c r="G309" s="1" t="s">
        <v>11123</v>
      </c>
      <c r="H309" s="1" t="s">
        <v>1507</v>
      </c>
      <c r="I309" s="1" t="s">
        <v>1507</v>
      </c>
      <c r="J309" s="1" t="s">
        <v>11124</v>
      </c>
      <c r="K309" s="1" t="s">
        <v>11125</v>
      </c>
      <c r="L309" s="1" t="s">
        <v>1507</v>
      </c>
      <c r="M309" s="1" t="s">
        <v>1507</v>
      </c>
      <c r="N309" s="1" t="s">
        <v>42</v>
      </c>
      <c r="O309" s="1" t="s">
        <v>56</v>
      </c>
      <c r="P309" s="1" t="s">
        <v>1507</v>
      </c>
      <c r="Q309" s="1" t="s">
        <v>1507</v>
      </c>
      <c r="R309" s="1" t="s">
        <v>1507</v>
      </c>
      <c r="S309" s="1" t="s">
        <v>1507</v>
      </c>
      <c r="T309" s="1" t="s">
        <v>1507</v>
      </c>
      <c r="U309" s="1" t="s">
        <v>11126</v>
      </c>
      <c r="V309" s="1" t="s">
        <v>11127</v>
      </c>
      <c r="W309" s="1" t="s">
        <v>11128</v>
      </c>
      <c r="X309" s="1" t="s">
        <v>11129</v>
      </c>
      <c r="Y309" s="1" t="s">
        <v>11130</v>
      </c>
      <c r="Z309" s="1" t="s">
        <v>11131</v>
      </c>
      <c r="AA309" s="1" t="s">
        <v>11132</v>
      </c>
      <c r="AB309" s="1" t="s">
        <v>1507</v>
      </c>
      <c r="AC309" s="1" t="s">
        <v>15936</v>
      </c>
      <c r="AD309" s="1" t="s">
        <v>11133</v>
      </c>
      <c r="AE309" s="1" t="s">
        <v>11133</v>
      </c>
      <c r="AF309" s="1" t="s">
        <v>11134</v>
      </c>
      <c r="AG309" s="1" t="s">
        <v>1507</v>
      </c>
      <c r="AH309" s="1">
        <v>77</v>
      </c>
      <c r="AI309" s="1">
        <v>8</v>
      </c>
      <c r="AJ309" s="1">
        <v>9</v>
      </c>
      <c r="AK309" s="1">
        <v>1</v>
      </c>
      <c r="AL309" s="1">
        <v>5</v>
      </c>
      <c r="AM309" s="1" t="s">
        <v>3564</v>
      </c>
      <c r="AN309" s="1" t="s">
        <v>1523</v>
      </c>
      <c r="AO309" s="1" t="s">
        <v>3565</v>
      </c>
      <c r="AP309" s="1" t="s">
        <v>11135</v>
      </c>
      <c r="AQ309" s="1" t="s">
        <v>11136</v>
      </c>
      <c r="AR309" s="1" t="s">
        <v>1507</v>
      </c>
      <c r="AS309" s="1" t="s">
        <v>11137</v>
      </c>
      <c r="AT309" s="1" t="s">
        <v>11138</v>
      </c>
      <c r="AU309" s="1" t="s">
        <v>5362</v>
      </c>
      <c r="AV309" s="1">
        <v>2019</v>
      </c>
      <c r="AW309" s="1">
        <v>8</v>
      </c>
      <c r="AX309" s="1">
        <v>1</v>
      </c>
      <c r="AY309" s="1" t="s">
        <v>1507</v>
      </c>
      <c r="AZ309" s="1" t="s">
        <v>1507</v>
      </c>
      <c r="BA309" s="1" t="s">
        <v>1507</v>
      </c>
      <c r="BB309" s="1" t="s">
        <v>1507</v>
      </c>
      <c r="BC309" s="1">
        <v>119</v>
      </c>
      <c r="BD309" s="1">
        <v>142</v>
      </c>
      <c r="BE309" s="1" t="s">
        <v>1507</v>
      </c>
      <c r="BF309" s="1" t="s">
        <v>11139</v>
      </c>
      <c r="BG309" s="1" t="str">
        <f>HYPERLINK("http://dx.doi.org/10.1017/S2047102518000298","http://dx.doi.org/10.1017/S2047102518000298")</f>
        <v>http://dx.doi.org/10.1017/S2047102518000298</v>
      </c>
      <c r="BH309" s="1" t="s">
        <v>1507</v>
      </c>
      <c r="BI309" s="1" t="s">
        <v>1507</v>
      </c>
      <c r="BJ309" s="1">
        <v>24</v>
      </c>
      <c r="BK309" s="1" t="s">
        <v>11140</v>
      </c>
      <c r="BL309" s="1" t="s">
        <v>1518</v>
      </c>
      <c r="BM309" s="1" t="s">
        <v>11141</v>
      </c>
      <c r="BN309" s="1" t="s">
        <v>11142</v>
      </c>
      <c r="BO309" s="1" t="s">
        <v>1507</v>
      </c>
      <c r="BP309" s="1" t="s">
        <v>3572</v>
      </c>
      <c r="BQ309" s="1" t="s">
        <v>1507</v>
      </c>
      <c r="BR309" s="1" t="s">
        <v>1507</v>
      </c>
      <c r="BS309" s="1" t="s">
        <v>13744</v>
      </c>
      <c r="BT309" s="1" t="s">
        <v>11143</v>
      </c>
      <c r="BU309" s="1" t="str">
        <f>HYPERLINK("https%3A%2F%2Fwww.webofscience.com%2Fwos%2Fwoscc%2Ffull-record%2FWOS:000462865800006","View Full Record in Web of Science")</f>
        <v>View Full Record in Web of Science</v>
      </c>
    </row>
    <row r="310" spans="1:73" x14ac:dyDescent="0.25">
      <c r="A310" s="1">
        <v>344</v>
      </c>
      <c r="B310" s="1" t="s">
        <v>1506</v>
      </c>
      <c r="C310" s="1" t="s">
        <v>11144</v>
      </c>
      <c r="D310" s="1" t="s">
        <v>1507</v>
      </c>
      <c r="E310" s="1" t="s">
        <v>1507</v>
      </c>
      <c r="F310" s="1" t="s">
        <v>1507</v>
      </c>
      <c r="G310" s="1" t="s">
        <v>11145</v>
      </c>
      <c r="H310" s="1" t="s">
        <v>1507</v>
      </c>
      <c r="I310" s="1" t="s">
        <v>1507</v>
      </c>
      <c r="J310" s="1" t="s">
        <v>11146</v>
      </c>
      <c r="K310" s="1" t="s">
        <v>11147</v>
      </c>
      <c r="L310" s="1" t="s">
        <v>1507</v>
      </c>
      <c r="M310" s="1" t="s">
        <v>1507</v>
      </c>
      <c r="N310" s="1" t="s">
        <v>42</v>
      </c>
      <c r="O310" s="1" t="s">
        <v>56</v>
      </c>
      <c r="P310" s="1" t="s">
        <v>1507</v>
      </c>
      <c r="Q310" s="1" t="s">
        <v>1507</v>
      </c>
      <c r="R310" s="1" t="s">
        <v>1507</v>
      </c>
      <c r="S310" s="1" t="s">
        <v>1507</v>
      </c>
      <c r="T310" s="1" t="s">
        <v>1507</v>
      </c>
      <c r="U310" s="1" t="s">
        <v>11148</v>
      </c>
      <c r="V310" s="1" t="s">
        <v>11149</v>
      </c>
      <c r="W310" s="1" t="s">
        <v>11150</v>
      </c>
      <c r="X310" s="1" t="s">
        <v>11151</v>
      </c>
      <c r="Y310" s="1" t="s">
        <v>10230</v>
      </c>
      <c r="Z310" s="1" t="s">
        <v>11152</v>
      </c>
      <c r="AA310" s="1" t="s">
        <v>11153</v>
      </c>
      <c r="AB310" s="1" t="s">
        <v>15937</v>
      </c>
      <c r="AC310" s="1" t="s">
        <v>15938</v>
      </c>
      <c r="AD310" s="1" t="s">
        <v>11154</v>
      </c>
      <c r="AE310" s="1" t="s">
        <v>11155</v>
      </c>
      <c r="AF310" s="1" t="s">
        <v>11156</v>
      </c>
      <c r="AG310" s="1" t="s">
        <v>1507</v>
      </c>
      <c r="AH310" s="1">
        <v>27</v>
      </c>
      <c r="AI310" s="1">
        <v>5</v>
      </c>
      <c r="AJ310" s="1">
        <v>8</v>
      </c>
      <c r="AK310" s="1">
        <v>10</v>
      </c>
      <c r="AL310" s="1">
        <v>52</v>
      </c>
      <c r="AM310" s="1" t="s">
        <v>1511</v>
      </c>
      <c r="AN310" s="1" t="s">
        <v>1570</v>
      </c>
      <c r="AO310" s="1" t="s">
        <v>1571</v>
      </c>
      <c r="AP310" s="1" t="s">
        <v>11157</v>
      </c>
      <c r="AQ310" s="1" t="s">
        <v>11158</v>
      </c>
      <c r="AR310" s="1" t="s">
        <v>1507</v>
      </c>
      <c r="AS310" s="1" t="s">
        <v>11159</v>
      </c>
      <c r="AT310" s="1" t="s">
        <v>11160</v>
      </c>
      <c r="AU310" s="1" t="s">
        <v>5362</v>
      </c>
      <c r="AV310" s="1">
        <v>2019</v>
      </c>
      <c r="AW310" s="1">
        <v>135</v>
      </c>
      <c r="AX310" s="1">
        <v>6</v>
      </c>
      <c r="AY310" s="1" t="s">
        <v>1507</v>
      </c>
      <c r="AZ310" s="1" t="s">
        <v>1507</v>
      </c>
      <c r="BA310" s="1" t="s">
        <v>1507</v>
      </c>
      <c r="BB310" s="1" t="s">
        <v>1507</v>
      </c>
      <c r="BC310" s="1">
        <v>3303</v>
      </c>
      <c r="BD310" s="1">
        <v>3309</v>
      </c>
      <c r="BE310" s="1" t="s">
        <v>1507</v>
      </c>
      <c r="BF310" s="1" t="s">
        <v>11161</v>
      </c>
      <c r="BG310" s="1" t="str">
        <f>HYPERLINK("http://dx.doi.org/10.1007/s10973-019-08079-x","http://dx.doi.org/10.1007/s10973-019-08079-x")</f>
        <v>http://dx.doi.org/10.1007/s10973-019-08079-x</v>
      </c>
      <c r="BH310" s="1" t="s">
        <v>1507</v>
      </c>
      <c r="BI310" s="1" t="s">
        <v>1507</v>
      </c>
      <c r="BJ310" s="1">
        <v>7</v>
      </c>
      <c r="BK310" s="1" t="s">
        <v>11162</v>
      </c>
      <c r="BL310" s="1" t="s">
        <v>1573</v>
      </c>
      <c r="BM310" s="1" t="s">
        <v>11163</v>
      </c>
      <c r="BN310" s="1" t="s">
        <v>11164</v>
      </c>
      <c r="BO310" s="1" t="s">
        <v>1507</v>
      </c>
      <c r="BP310" s="1" t="s">
        <v>1507</v>
      </c>
      <c r="BQ310" s="1" t="s">
        <v>1507</v>
      </c>
      <c r="BR310" s="1" t="s">
        <v>1507</v>
      </c>
      <c r="BS310" s="1" t="s">
        <v>13744</v>
      </c>
      <c r="BT310" s="1" t="s">
        <v>11165</v>
      </c>
      <c r="BU310" s="1" t="str">
        <f>HYPERLINK("https%3A%2F%2Fwww.webofscience.com%2Fwos%2Fwoscc%2Ffull-record%2FWOS:000462553400039","View Full Record in Web of Science")</f>
        <v>View Full Record in Web of Science</v>
      </c>
    </row>
    <row r="311" spans="1:73" x14ac:dyDescent="0.25">
      <c r="A311" s="1">
        <v>345</v>
      </c>
      <c r="B311" s="1" t="s">
        <v>1506</v>
      </c>
      <c r="C311" s="1" t="s">
        <v>2156</v>
      </c>
      <c r="D311" s="1" t="s">
        <v>1507</v>
      </c>
      <c r="E311" s="1" t="s">
        <v>1507</v>
      </c>
      <c r="F311" s="1" t="s">
        <v>1507</v>
      </c>
      <c r="G311" s="1" t="s">
        <v>2157</v>
      </c>
      <c r="H311" s="1" t="s">
        <v>1507</v>
      </c>
      <c r="I311" s="1" t="s">
        <v>1507</v>
      </c>
      <c r="J311" s="1" t="s">
        <v>2158</v>
      </c>
      <c r="K311" s="1" t="s">
        <v>2159</v>
      </c>
      <c r="L311" s="1" t="s">
        <v>1507</v>
      </c>
      <c r="M311" s="1" t="s">
        <v>1507</v>
      </c>
      <c r="N311" s="1" t="s">
        <v>42</v>
      </c>
      <c r="O311" s="1" t="s">
        <v>56</v>
      </c>
      <c r="P311" s="1" t="s">
        <v>1507</v>
      </c>
      <c r="Q311" s="1" t="s">
        <v>1507</v>
      </c>
      <c r="R311" s="1" t="s">
        <v>1507</v>
      </c>
      <c r="S311" s="1" t="s">
        <v>1507</v>
      </c>
      <c r="T311" s="1" t="s">
        <v>1507</v>
      </c>
      <c r="U311" s="1" t="s">
        <v>1507</v>
      </c>
      <c r="V311" s="1" t="s">
        <v>2160</v>
      </c>
      <c r="W311" s="1" t="s">
        <v>2161</v>
      </c>
      <c r="X311" s="1" t="s">
        <v>2162</v>
      </c>
      <c r="Y311" s="1" t="s">
        <v>2163</v>
      </c>
      <c r="Z311" s="1" t="s">
        <v>2164</v>
      </c>
      <c r="AA311" s="1" t="s">
        <v>2165</v>
      </c>
      <c r="AB311" s="1" t="s">
        <v>13873</v>
      </c>
      <c r="AC311" s="1" t="s">
        <v>13874</v>
      </c>
      <c r="AD311" s="1" t="s">
        <v>2166</v>
      </c>
      <c r="AE311" s="1" t="s">
        <v>2167</v>
      </c>
      <c r="AF311" s="1" t="s">
        <v>2168</v>
      </c>
      <c r="AG311" s="1" t="s">
        <v>1507</v>
      </c>
      <c r="AH311" s="1">
        <v>105</v>
      </c>
      <c r="AI311" s="1">
        <v>1</v>
      </c>
      <c r="AJ311" s="1">
        <v>1</v>
      </c>
      <c r="AK311" s="1">
        <v>11</v>
      </c>
      <c r="AL311" s="1">
        <v>11</v>
      </c>
      <c r="AM311" s="1" t="s">
        <v>1591</v>
      </c>
      <c r="AN311" s="1" t="s">
        <v>1592</v>
      </c>
      <c r="AO311" s="1" t="s">
        <v>1593</v>
      </c>
      <c r="AP311" s="1" t="s">
        <v>2169</v>
      </c>
      <c r="AQ311" s="1" t="s">
        <v>1507</v>
      </c>
      <c r="AR311" s="1" t="s">
        <v>1507</v>
      </c>
      <c r="AS311" s="1" t="s">
        <v>2170</v>
      </c>
      <c r="AT311" s="1" t="s">
        <v>439</v>
      </c>
      <c r="AU311" s="1" t="s">
        <v>2171</v>
      </c>
      <c r="AV311" s="1">
        <v>2023</v>
      </c>
      <c r="AW311" s="1">
        <v>6</v>
      </c>
      <c r="AX311" s="1">
        <v>1</v>
      </c>
      <c r="AY311" s="1" t="s">
        <v>1507</v>
      </c>
      <c r="AZ311" s="1" t="s">
        <v>1507</v>
      </c>
      <c r="BA311" s="1" t="s">
        <v>1507</v>
      </c>
      <c r="BB311" s="1" t="s">
        <v>1507</v>
      </c>
      <c r="BC311" s="1" t="s">
        <v>1507</v>
      </c>
      <c r="BD311" s="1" t="s">
        <v>1507</v>
      </c>
      <c r="BE311" s="1">
        <v>226</v>
      </c>
      <c r="BF311" s="1" t="s">
        <v>2172</v>
      </c>
      <c r="BG311" s="1" t="str">
        <f>HYPERLINK("http://dx.doi.org/10.1038/s41746-023-00952-2","http://dx.doi.org/10.1038/s41746-023-00952-2")</f>
        <v>http://dx.doi.org/10.1038/s41746-023-00952-2</v>
      </c>
      <c r="BH311" s="1" t="s">
        <v>1507</v>
      </c>
      <c r="BI311" s="1" t="s">
        <v>1507</v>
      </c>
      <c r="BJ311" s="1">
        <v>15</v>
      </c>
      <c r="BK311" s="1" t="s">
        <v>1585</v>
      </c>
      <c r="BL311" s="1" t="s">
        <v>1573</v>
      </c>
      <c r="BM311" s="1" t="s">
        <v>1585</v>
      </c>
      <c r="BN311" s="1" t="s">
        <v>2173</v>
      </c>
      <c r="BO311" s="1">
        <v>38042919</v>
      </c>
      <c r="BP311" s="1" t="s">
        <v>4312</v>
      </c>
      <c r="BQ311" s="1" t="s">
        <v>1507</v>
      </c>
      <c r="BR311" s="1" t="s">
        <v>1507</v>
      </c>
      <c r="BS311" s="1" t="s">
        <v>13744</v>
      </c>
      <c r="BT311" s="1" t="s">
        <v>2174</v>
      </c>
      <c r="BU311" s="1" t="str">
        <f>HYPERLINK("https%3A%2F%2Fwww.webofscience.com%2Fwos%2Fwoscc%2Ffull-record%2FWOS:001112300500002","View Full Record in Web of Science")</f>
        <v>View Full Record in Web of Science</v>
      </c>
    </row>
    <row r="312" spans="1:73" x14ac:dyDescent="0.25">
      <c r="A312" s="1">
        <v>346</v>
      </c>
      <c r="B312" s="1" t="s">
        <v>1506</v>
      </c>
      <c r="C312" s="1" t="s">
        <v>10349</v>
      </c>
      <c r="D312" s="1" t="s">
        <v>1507</v>
      </c>
      <c r="E312" s="1" t="s">
        <v>1507</v>
      </c>
      <c r="F312" s="1" t="s">
        <v>1507</v>
      </c>
      <c r="G312" s="1" t="s">
        <v>10350</v>
      </c>
      <c r="H312" s="1" t="s">
        <v>1507</v>
      </c>
      <c r="I312" s="1" t="s">
        <v>1507</v>
      </c>
      <c r="J312" s="1" t="s">
        <v>10351</v>
      </c>
      <c r="K312" s="1" t="s">
        <v>7982</v>
      </c>
      <c r="L312" s="1" t="s">
        <v>1507</v>
      </c>
      <c r="M312" s="1" t="s">
        <v>1507</v>
      </c>
      <c r="N312" s="1" t="s">
        <v>42</v>
      </c>
      <c r="O312" s="1" t="s">
        <v>56</v>
      </c>
      <c r="P312" s="1" t="s">
        <v>1507</v>
      </c>
      <c r="Q312" s="1" t="s">
        <v>1507</v>
      </c>
      <c r="R312" s="1" t="s">
        <v>1507</v>
      </c>
      <c r="S312" s="1" t="s">
        <v>1507</v>
      </c>
      <c r="T312" s="1" t="s">
        <v>1507</v>
      </c>
      <c r="U312" s="1" t="s">
        <v>10352</v>
      </c>
      <c r="V312" s="1" t="s">
        <v>10353</v>
      </c>
      <c r="W312" s="1" t="s">
        <v>10354</v>
      </c>
      <c r="X312" s="1" t="s">
        <v>10355</v>
      </c>
      <c r="Y312" s="1" t="s">
        <v>10356</v>
      </c>
      <c r="Z312" s="1" t="s">
        <v>10357</v>
      </c>
      <c r="AA312" s="1" t="s">
        <v>10358</v>
      </c>
      <c r="AB312" s="1" t="s">
        <v>15850</v>
      </c>
      <c r="AC312" s="1" t="s">
        <v>15851</v>
      </c>
      <c r="AD312" s="1" t="s">
        <v>10359</v>
      </c>
      <c r="AE312" s="1" t="s">
        <v>10360</v>
      </c>
      <c r="AF312" s="1" t="s">
        <v>10361</v>
      </c>
      <c r="AG312" s="1" t="s">
        <v>1507</v>
      </c>
      <c r="AH312" s="1">
        <v>45</v>
      </c>
      <c r="AI312" s="1">
        <v>19</v>
      </c>
      <c r="AJ312" s="1">
        <v>20</v>
      </c>
      <c r="AK312" s="1">
        <v>0</v>
      </c>
      <c r="AL312" s="1">
        <v>31</v>
      </c>
      <c r="AM312" s="1" t="s">
        <v>1582</v>
      </c>
      <c r="AN312" s="1" t="s">
        <v>1583</v>
      </c>
      <c r="AO312" s="1" t="s">
        <v>1584</v>
      </c>
      <c r="AP312" s="1" t="s">
        <v>7993</v>
      </c>
      <c r="AQ312" s="1" t="s">
        <v>7994</v>
      </c>
      <c r="AR312" s="1" t="s">
        <v>1507</v>
      </c>
      <c r="AS312" s="1" t="s">
        <v>7995</v>
      </c>
      <c r="AT312" s="1" t="s">
        <v>7996</v>
      </c>
      <c r="AU312" s="1" t="s">
        <v>1607</v>
      </c>
      <c r="AV312" s="1">
        <v>2020</v>
      </c>
      <c r="AW312" s="1">
        <v>71</v>
      </c>
      <c r="AX312" s="1">
        <v>1</v>
      </c>
      <c r="AY312" s="1" t="s">
        <v>1507</v>
      </c>
      <c r="AZ312" s="1" t="s">
        <v>1507</v>
      </c>
      <c r="BA312" s="1" t="s">
        <v>1507</v>
      </c>
      <c r="BB312" s="1" t="s">
        <v>1507</v>
      </c>
      <c r="BC312" s="1">
        <v>344</v>
      </c>
      <c r="BD312" s="1">
        <v>355</v>
      </c>
      <c r="BE312" s="1" t="s">
        <v>1507</v>
      </c>
      <c r="BF312" s="1" t="s">
        <v>10362</v>
      </c>
      <c r="BG312" s="1" t="str">
        <f>HYPERLINK("http://dx.doi.org/10.1093/jxb/erz409","http://dx.doi.org/10.1093/jxb/erz409")</f>
        <v>http://dx.doi.org/10.1093/jxb/erz409</v>
      </c>
      <c r="BH312" s="1" t="s">
        <v>1507</v>
      </c>
      <c r="BI312" s="1" t="s">
        <v>1507</v>
      </c>
      <c r="BJ312" s="1">
        <v>12</v>
      </c>
      <c r="BK312" s="1" t="s">
        <v>2914</v>
      </c>
      <c r="BL312" s="1" t="s">
        <v>1573</v>
      </c>
      <c r="BM312" s="1" t="s">
        <v>2914</v>
      </c>
      <c r="BN312" s="1" t="s">
        <v>10363</v>
      </c>
      <c r="BO312" s="1">
        <v>31536614</v>
      </c>
      <c r="BP312" s="1" t="s">
        <v>15852</v>
      </c>
      <c r="BQ312" s="1" t="s">
        <v>1507</v>
      </c>
      <c r="BR312" s="1" t="s">
        <v>1507</v>
      </c>
      <c r="BS312" s="1" t="s">
        <v>13744</v>
      </c>
      <c r="BT312" s="1" t="s">
        <v>10364</v>
      </c>
      <c r="BU312" s="1" t="str">
        <f>HYPERLINK("https%3A%2F%2Fwww.webofscience.com%2Fwos%2Fwoscc%2Ffull-record%2FWOS:000524911100029","View Full Record in Web of Science")</f>
        <v>View Full Record in Web of Science</v>
      </c>
    </row>
    <row r="313" spans="1:73" x14ac:dyDescent="0.25">
      <c r="A313" s="1">
        <v>347</v>
      </c>
      <c r="B313" s="1" t="s">
        <v>1506</v>
      </c>
      <c r="C313" s="1" t="s">
        <v>9245</v>
      </c>
      <c r="D313" s="1" t="s">
        <v>1507</v>
      </c>
      <c r="E313" s="1" t="s">
        <v>1507</v>
      </c>
      <c r="F313" s="1" t="s">
        <v>1507</v>
      </c>
      <c r="G313" s="1" t="s">
        <v>9246</v>
      </c>
      <c r="H313" s="1" t="s">
        <v>1507</v>
      </c>
      <c r="I313" s="1" t="s">
        <v>1507</v>
      </c>
      <c r="J313" s="1" t="s">
        <v>9247</v>
      </c>
      <c r="K313" s="1" t="s">
        <v>9248</v>
      </c>
      <c r="L313" s="1" t="s">
        <v>1507</v>
      </c>
      <c r="M313" s="1" t="s">
        <v>1507</v>
      </c>
      <c r="N313" s="1" t="s">
        <v>42</v>
      </c>
      <c r="O313" s="1" t="s">
        <v>56</v>
      </c>
      <c r="P313" s="1" t="s">
        <v>1507</v>
      </c>
      <c r="Q313" s="1" t="s">
        <v>1507</v>
      </c>
      <c r="R313" s="1" t="s">
        <v>1507</v>
      </c>
      <c r="S313" s="1" t="s">
        <v>1507</v>
      </c>
      <c r="T313" s="1" t="s">
        <v>1507</v>
      </c>
      <c r="U313" s="1" t="s">
        <v>1507</v>
      </c>
      <c r="V313" s="1" t="s">
        <v>9249</v>
      </c>
      <c r="W313" s="1" t="s">
        <v>9250</v>
      </c>
      <c r="X313" s="1" t="s">
        <v>9251</v>
      </c>
      <c r="Y313" s="1" t="s">
        <v>4777</v>
      </c>
      <c r="Z313" s="1" t="s">
        <v>9252</v>
      </c>
      <c r="AA313" s="1" t="s">
        <v>1507</v>
      </c>
      <c r="AB313" s="1" t="s">
        <v>1507</v>
      </c>
      <c r="AC313" s="1" t="s">
        <v>1507</v>
      </c>
      <c r="AD313" s="1" t="s">
        <v>9253</v>
      </c>
      <c r="AE313" s="1" t="s">
        <v>9254</v>
      </c>
      <c r="AF313" s="1" t="s">
        <v>9255</v>
      </c>
      <c r="AG313" s="1" t="s">
        <v>1507</v>
      </c>
      <c r="AH313" s="1">
        <v>54</v>
      </c>
      <c r="AI313" s="1">
        <v>0</v>
      </c>
      <c r="AJ313" s="1">
        <v>0</v>
      </c>
      <c r="AK313" s="1">
        <v>0</v>
      </c>
      <c r="AL313" s="1">
        <v>0</v>
      </c>
      <c r="AM313" s="1" t="s">
        <v>9256</v>
      </c>
      <c r="AN313" s="1" t="s">
        <v>9257</v>
      </c>
      <c r="AO313" s="1" t="s">
        <v>9258</v>
      </c>
      <c r="AP313" s="1" t="s">
        <v>9259</v>
      </c>
      <c r="AQ313" s="1" t="s">
        <v>9260</v>
      </c>
      <c r="AR313" s="1" t="s">
        <v>1507</v>
      </c>
      <c r="AS313" s="1" t="s">
        <v>9261</v>
      </c>
      <c r="AT313" s="1" t="s">
        <v>9262</v>
      </c>
      <c r="AU313" s="1" t="s">
        <v>1507</v>
      </c>
      <c r="AV313" s="1">
        <v>2021</v>
      </c>
      <c r="AW313" s="1">
        <v>58</v>
      </c>
      <c r="AX313" s="1">
        <v>3</v>
      </c>
      <c r="AY313" s="1" t="s">
        <v>1507</v>
      </c>
      <c r="AZ313" s="1" t="s">
        <v>1507</v>
      </c>
      <c r="BA313" s="1" t="s">
        <v>1507</v>
      </c>
      <c r="BB313" s="1" t="s">
        <v>1507</v>
      </c>
      <c r="BC313" s="1">
        <v>687</v>
      </c>
      <c r="BD313" s="1">
        <v>738</v>
      </c>
      <c r="BE313" s="1" t="s">
        <v>1507</v>
      </c>
      <c r="BF313" s="1" t="s">
        <v>1507</v>
      </c>
      <c r="BG313" s="1" t="s">
        <v>1507</v>
      </c>
      <c r="BH313" s="1" t="s">
        <v>1507</v>
      </c>
      <c r="BI313" s="1" t="s">
        <v>1507</v>
      </c>
      <c r="BJ313" s="1">
        <v>52</v>
      </c>
      <c r="BK313" s="1" t="s">
        <v>1535</v>
      </c>
      <c r="BL313" s="1" t="s">
        <v>1529</v>
      </c>
      <c r="BM313" s="1" t="s">
        <v>1536</v>
      </c>
      <c r="BN313" s="1" t="s">
        <v>9263</v>
      </c>
      <c r="BO313" s="1" t="s">
        <v>1507</v>
      </c>
      <c r="BP313" s="1" t="s">
        <v>1507</v>
      </c>
      <c r="BQ313" s="1" t="s">
        <v>1507</v>
      </c>
      <c r="BR313" s="1" t="s">
        <v>1507</v>
      </c>
      <c r="BS313" s="1" t="s">
        <v>13744</v>
      </c>
      <c r="BT313" s="1" t="s">
        <v>9264</v>
      </c>
      <c r="BU313" s="1" t="str">
        <f>HYPERLINK("https%3A%2F%2Fwww.webofscience.com%2Fwos%2Fwoscc%2Ffull-record%2FWOS:000628820100006","View Full Record in Web of Science")</f>
        <v>View Full Record in Web of Science</v>
      </c>
    </row>
    <row r="314" spans="1:73" x14ac:dyDescent="0.25">
      <c r="A314" s="1">
        <v>349</v>
      </c>
      <c r="B314" s="1" t="s">
        <v>1506</v>
      </c>
      <c r="C314" s="1" t="s">
        <v>10547</v>
      </c>
      <c r="D314" s="1" t="s">
        <v>1507</v>
      </c>
      <c r="E314" s="1" t="s">
        <v>1507</v>
      </c>
      <c r="F314" s="1" t="s">
        <v>1507</v>
      </c>
      <c r="G314" s="1" t="s">
        <v>10548</v>
      </c>
      <c r="H314" s="1" t="s">
        <v>1507</v>
      </c>
      <c r="I314" s="1" t="s">
        <v>1507</v>
      </c>
      <c r="J314" s="1" t="s">
        <v>10549</v>
      </c>
      <c r="K314" s="1" t="s">
        <v>10550</v>
      </c>
      <c r="L314" s="1" t="s">
        <v>1507</v>
      </c>
      <c r="M314" s="1" t="s">
        <v>1507</v>
      </c>
      <c r="N314" s="1" t="s">
        <v>42</v>
      </c>
      <c r="O314" s="1" t="s">
        <v>56</v>
      </c>
      <c r="P314" s="1" t="s">
        <v>1507</v>
      </c>
      <c r="Q314" s="1" t="s">
        <v>1507</v>
      </c>
      <c r="R314" s="1" t="s">
        <v>1507</v>
      </c>
      <c r="S314" s="1" t="s">
        <v>1507</v>
      </c>
      <c r="T314" s="1" t="s">
        <v>1507</v>
      </c>
      <c r="U314" s="1" t="s">
        <v>10551</v>
      </c>
      <c r="V314" s="1" t="s">
        <v>10552</v>
      </c>
      <c r="W314" s="1" t="s">
        <v>10553</v>
      </c>
      <c r="X314" s="1" t="s">
        <v>10554</v>
      </c>
      <c r="Y314" s="1" t="s">
        <v>10555</v>
      </c>
      <c r="Z314" s="1" t="s">
        <v>10556</v>
      </c>
      <c r="AA314" s="1" t="s">
        <v>10557</v>
      </c>
      <c r="AB314" s="1" t="s">
        <v>10558</v>
      </c>
      <c r="AC314" s="1" t="s">
        <v>1507</v>
      </c>
      <c r="AD314" s="1" t="s">
        <v>10559</v>
      </c>
      <c r="AE314" s="1" t="s">
        <v>10560</v>
      </c>
      <c r="AF314" s="1" t="s">
        <v>10561</v>
      </c>
      <c r="AG314" s="1" t="s">
        <v>1507</v>
      </c>
      <c r="AH314" s="1">
        <v>58</v>
      </c>
      <c r="AI314" s="1">
        <v>17</v>
      </c>
      <c r="AJ314" s="1">
        <v>19</v>
      </c>
      <c r="AK314" s="1">
        <v>4</v>
      </c>
      <c r="AL314" s="1">
        <v>40</v>
      </c>
      <c r="AM314" s="1" t="s">
        <v>1511</v>
      </c>
      <c r="AN314" s="1" t="s">
        <v>1512</v>
      </c>
      <c r="AO314" s="1" t="s">
        <v>1513</v>
      </c>
      <c r="AP314" s="1" t="s">
        <v>10562</v>
      </c>
      <c r="AQ314" s="1" t="s">
        <v>10563</v>
      </c>
      <c r="AR314" s="1" t="s">
        <v>1507</v>
      </c>
      <c r="AS314" s="1" t="s">
        <v>10564</v>
      </c>
      <c r="AT314" s="1" t="s">
        <v>10565</v>
      </c>
      <c r="AU314" s="1" t="s">
        <v>2771</v>
      </c>
      <c r="AV314" s="1">
        <v>2019</v>
      </c>
      <c r="AW314" s="1">
        <v>73</v>
      </c>
      <c r="AX314" s="1">
        <v>11</v>
      </c>
      <c r="AY314" s="1" t="s">
        <v>1507</v>
      </c>
      <c r="AZ314" s="1" t="s">
        <v>1507</v>
      </c>
      <c r="BA314" s="1" t="s">
        <v>1507</v>
      </c>
      <c r="BB314" s="1" t="s">
        <v>1507</v>
      </c>
      <c r="BC314" s="1" t="s">
        <v>1507</v>
      </c>
      <c r="BD314" s="1" t="s">
        <v>1507</v>
      </c>
      <c r="BE314" s="1">
        <v>154</v>
      </c>
      <c r="BF314" s="1" t="s">
        <v>10566</v>
      </c>
      <c r="BG314" s="1" t="str">
        <f>HYPERLINK("http://dx.doi.org/10.1007/s00265-019-2766-9","http://dx.doi.org/10.1007/s00265-019-2766-9")</f>
        <v>http://dx.doi.org/10.1007/s00265-019-2766-9</v>
      </c>
      <c r="BH314" s="1" t="s">
        <v>1507</v>
      </c>
      <c r="BI314" s="1" t="s">
        <v>1507</v>
      </c>
      <c r="BJ314" s="1">
        <v>12</v>
      </c>
      <c r="BK314" s="1" t="s">
        <v>10567</v>
      </c>
      <c r="BL314" s="1" t="s">
        <v>1573</v>
      </c>
      <c r="BM314" s="1" t="s">
        <v>10568</v>
      </c>
      <c r="BN314" s="1" t="s">
        <v>10569</v>
      </c>
      <c r="BO314" s="1" t="s">
        <v>1507</v>
      </c>
      <c r="BP314" s="1" t="s">
        <v>1507</v>
      </c>
      <c r="BQ314" s="1" t="s">
        <v>1507</v>
      </c>
      <c r="BR314" s="1" t="s">
        <v>1507</v>
      </c>
      <c r="BS314" s="1" t="s">
        <v>13744</v>
      </c>
      <c r="BT314" s="1" t="s">
        <v>10570</v>
      </c>
      <c r="BU314" s="1" t="str">
        <f>HYPERLINK("https%3A%2F%2Fwww.webofscience.com%2Fwos%2Fwoscc%2Ffull-record%2FWOS:000501328100001","View Full Record in Web of Science")</f>
        <v>View Full Record in Web of Science</v>
      </c>
    </row>
    <row r="315" spans="1:73" x14ac:dyDescent="0.25">
      <c r="A315" s="1">
        <v>350</v>
      </c>
      <c r="B315" s="1" t="s">
        <v>1506</v>
      </c>
      <c r="C315" s="1" t="s">
        <v>9775</v>
      </c>
      <c r="D315" s="1" t="s">
        <v>1507</v>
      </c>
      <c r="E315" s="1" t="s">
        <v>1507</v>
      </c>
      <c r="F315" s="1" t="s">
        <v>1507</v>
      </c>
      <c r="G315" s="1" t="s">
        <v>9776</v>
      </c>
      <c r="H315" s="1" t="s">
        <v>1507</v>
      </c>
      <c r="I315" s="1" t="s">
        <v>1507</v>
      </c>
      <c r="J315" s="1" t="s">
        <v>9777</v>
      </c>
      <c r="K315" s="1" t="s">
        <v>9778</v>
      </c>
      <c r="L315" s="1" t="s">
        <v>1507</v>
      </c>
      <c r="M315" s="1" t="s">
        <v>1507</v>
      </c>
      <c r="N315" s="1" t="s">
        <v>42</v>
      </c>
      <c r="O315" s="1" t="s">
        <v>56</v>
      </c>
      <c r="P315" s="1" t="s">
        <v>1507</v>
      </c>
      <c r="Q315" s="1" t="s">
        <v>1507</v>
      </c>
      <c r="R315" s="1" t="s">
        <v>1507</v>
      </c>
      <c r="S315" s="1" t="s">
        <v>1507</v>
      </c>
      <c r="T315" s="1" t="s">
        <v>1507</v>
      </c>
      <c r="U315" s="1" t="s">
        <v>1507</v>
      </c>
      <c r="V315" s="1" t="s">
        <v>9779</v>
      </c>
      <c r="W315" s="1" t="s">
        <v>9780</v>
      </c>
      <c r="X315" s="1" t="s">
        <v>9781</v>
      </c>
      <c r="Y315" s="1" t="s">
        <v>9782</v>
      </c>
      <c r="Z315" s="1" t="s">
        <v>9783</v>
      </c>
      <c r="AA315" s="1" t="s">
        <v>9784</v>
      </c>
      <c r="AB315" s="1" t="s">
        <v>15808</v>
      </c>
      <c r="AC315" s="1" t="s">
        <v>15809</v>
      </c>
      <c r="AD315" s="1" t="s">
        <v>9785</v>
      </c>
      <c r="AE315" s="1" t="s">
        <v>9786</v>
      </c>
      <c r="AF315" s="1" t="s">
        <v>9787</v>
      </c>
      <c r="AG315" s="1" t="s">
        <v>1507</v>
      </c>
      <c r="AH315" s="1">
        <v>45</v>
      </c>
      <c r="AI315" s="1">
        <v>142</v>
      </c>
      <c r="AJ315" s="1">
        <v>149</v>
      </c>
      <c r="AK315" s="1">
        <v>0</v>
      </c>
      <c r="AL315" s="1">
        <v>23</v>
      </c>
      <c r="AM315" s="1" t="s">
        <v>2033</v>
      </c>
      <c r="AN315" s="1" t="s">
        <v>1523</v>
      </c>
      <c r="AO315" s="1" t="s">
        <v>2034</v>
      </c>
      <c r="AP315" s="1" t="s">
        <v>9788</v>
      </c>
      <c r="AQ315" s="1" t="s">
        <v>1507</v>
      </c>
      <c r="AR315" s="1" t="s">
        <v>1507</v>
      </c>
      <c r="AS315" s="1" t="s">
        <v>9789</v>
      </c>
      <c r="AT315" s="1" t="s">
        <v>9790</v>
      </c>
      <c r="AU315" s="1" t="s">
        <v>9791</v>
      </c>
      <c r="AV315" s="1">
        <v>2020</v>
      </c>
      <c r="AW315" s="1">
        <v>31</v>
      </c>
      <c r="AX315" s="1">
        <v>9</v>
      </c>
      <c r="AY315" s="1" t="s">
        <v>1507</v>
      </c>
      <c r="AZ315" s="1" t="s">
        <v>1507</v>
      </c>
      <c r="BA315" s="1" t="s">
        <v>1507</v>
      </c>
      <c r="BB315" s="1" t="s">
        <v>1507</v>
      </c>
      <c r="BC315" s="1" t="s">
        <v>1507</v>
      </c>
      <c r="BD315" s="1" t="s">
        <v>1507</v>
      </c>
      <c r="BE315" s="1">
        <v>107725</v>
      </c>
      <c r="BF315" s="1" t="s">
        <v>9792</v>
      </c>
      <c r="BG315" s="1" t="str">
        <f>HYPERLINK("http://dx.doi.org/10.1016/j.celrep.2020.107725","http://dx.doi.org/10.1016/j.celrep.2020.107725")</f>
        <v>http://dx.doi.org/10.1016/j.celrep.2020.107725</v>
      </c>
      <c r="BH315" s="1" t="s">
        <v>1507</v>
      </c>
      <c r="BI315" s="1" t="s">
        <v>1507</v>
      </c>
      <c r="BJ315" s="1">
        <v>9</v>
      </c>
      <c r="BK315" s="1" t="s">
        <v>7275</v>
      </c>
      <c r="BL315" s="1" t="s">
        <v>1573</v>
      </c>
      <c r="BM315" s="1" t="s">
        <v>7275</v>
      </c>
      <c r="BN315" s="1" t="s">
        <v>9793</v>
      </c>
      <c r="BO315" s="1" t="s">
        <v>1507</v>
      </c>
      <c r="BP315" s="1" t="s">
        <v>2518</v>
      </c>
      <c r="BQ315" s="1" t="s">
        <v>1507</v>
      </c>
      <c r="BR315" s="1" t="s">
        <v>1507</v>
      </c>
      <c r="BS315" s="1" t="s">
        <v>13744</v>
      </c>
      <c r="BT315" s="1" t="s">
        <v>9794</v>
      </c>
      <c r="BU315" s="1" t="str">
        <f>HYPERLINK("https%3A%2F%2Fwww.webofscience.com%2Fwos%2Fwoscc%2Ffull-record%2FWOS:000538168300021","View Full Record in Web of Science")</f>
        <v>View Full Record in Web of Science</v>
      </c>
    </row>
    <row r="316" spans="1:73" x14ac:dyDescent="0.25">
      <c r="A316" s="1">
        <v>351</v>
      </c>
      <c r="B316" s="1" t="s">
        <v>1506</v>
      </c>
      <c r="C316" s="1" t="s">
        <v>2251</v>
      </c>
      <c r="D316" s="1" t="s">
        <v>1507</v>
      </c>
      <c r="E316" s="1" t="s">
        <v>1507</v>
      </c>
      <c r="F316" s="1" t="s">
        <v>1507</v>
      </c>
      <c r="G316" s="1" t="s">
        <v>2252</v>
      </c>
      <c r="H316" s="1" t="s">
        <v>1507</v>
      </c>
      <c r="I316" s="1" t="s">
        <v>1507</v>
      </c>
      <c r="J316" s="1" t="s">
        <v>2253</v>
      </c>
      <c r="K316" s="1" t="s">
        <v>2254</v>
      </c>
      <c r="L316" s="1" t="s">
        <v>1507</v>
      </c>
      <c r="M316" s="1" t="s">
        <v>1507</v>
      </c>
      <c r="N316" s="1" t="s">
        <v>42</v>
      </c>
      <c r="O316" s="1" t="s">
        <v>56</v>
      </c>
      <c r="P316" s="1" t="s">
        <v>1507</v>
      </c>
      <c r="Q316" s="1" t="s">
        <v>1507</v>
      </c>
      <c r="R316" s="1" t="s">
        <v>1507</v>
      </c>
      <c r="S316" s="1" t="s">
        <v>1507</v>
      </c>
      <c r="T316" s="1" t="s">
        <v>1507</v>
      </c>
      <c r="U316" s="1" t="s">
        <v>2255</v>
      </c>
      <c r="V316" s="1" t="s">
        <v>2256</v>
      </c>
      <c r="W316" s="1" t="s">
        <v>2257</v>
      </c>
      <c r="X316" s="1" t="s">
        <v>2258</v>
      </c>
      <c r="Y316" s="1" t="s">
        <v>2259</v>
      </c>
      <c r="Z316" s="1" t="s">
        <v>2260</v>
      </c>
      <c r="AA316" s="1" t="s">
        <v>2261</v>
      </c>
      <c r="AB316" s="1" t="s">
        <v>13899</v>
      </c>
      <c r="AC316" s="1" t="s">
        <v>13900</v>
      </c>
      <c r="AD316" s="1" t="s">
        <v>2262</v>
      </c>
      <c r="AE316" s="1" t="s">
        <v>2262</v>
      </c>
      <c r="AF316" s="1" t="s">
        <v>1510</v>
      </c>
      <c r="AG316" s="1" t="s">
        <v>1507</v>
      </c>
      <c r="AH316" s="1">
        <v>95</v>
      </c>
      <c r="AI316" s="1">
        <v>2</v>
      </c>
      <c r="AJ316" s="1">
        <v>2</v>
      </c>
      <c r="AK316" s="1">
        <v>9</v>
      </c>
      <c r="AL316" s="1">
        <v>9</v>
      </c>
      <c r="AM316" s="1" t="s">
        <v>1610</v>
      </c>
      <c r="AN316" s="1" t="s">
        <v>1611</v>
      </c>
      <c r="AO316" s="1" t="s">
        <v>1612</v>
      </c>
      <c r="AP316" s="1" t="s">
        <v>2263</v>
      </c>
      <c r="AQ316" s="1" t="s">
        <v>1507</v>
      </c>
      <c r="AR316" s="1" t="s">
        <v>1507</v>
      </c>
      <c r="AS316" s="1" t="s">
        <v>2254</v>
      </c>
      <c r="AT316" s="1" t="s">
        <v>2264</v>
      </c>
      <c r="AU316" s="1" t="s">
        <v>2191</v>
      </c>
      <c r="AV316" s="1">
        <v>2023</v>
      </c>
      <c r="AW316" s="1">
        <v>15</v>
      </c>
      <c r="AX316" s="1">
        <v>12</v>
      </c>
      <c r="AY316" s="1" t="s">
        <v>1507</v>
      </c>
      <c r="AZ316" s="1" t="s">
        <v>1507</v>
      </c>
      <c r="BA316" s="1" t="s">
        <v>1507</v>
      </c>
      <c r="BB316" s="1" t="s">
        <v>1507</v>
      </c>
      <c r="BC316" s="1" t="s">
        <v>1507</v>
      </c>
      <c r="BD316" s="1" t="s">
        <v>1507</v>
      </c>
      <c r="BE316" s="1">
        <v>375</v>
      </c>
      <c r="BF316" s="1" t="s">
        <v>2265</v>
      </c>
      <c r="BG316" s="1" t="str">
        <f>HYPERLINK("http://dx.doi.org/10.3390/fi15120375","http://dx.doi.org/10.3390/fi15120375")</f>
        <v>http://dx.doi.org/10.3390/fi15120375</v>
      </c>
      <c r="BH316" s="1" t="s">
        <v>1507</v>
      </c>
      <c r="BI316" s="1" t="s">
        <v>1507</v>
      </c>
      <c r="BJ316" s="1">
        <v>36</v>
      </c>
      <c r="BK316" s="1" t="s">
        <v>1576</v>
      </c>
      <c r="BL316" s="1" t="s">
        <v>1529</v>
      </c>
      <c r="BM316" s="1" t="s">
        <v>1577</v>
      </c>
      <c r="BN316" s="1" t="s">
        <v>2266</v>
      </c>
      <c r="BO316" s="1" t="s">
        <v>1507</v>
      </c>
      <c r="BP316" s="1" t="s">
        <v>1547</v>
      </c>
      <c r="BQ316" s="1" t="s">
        <v>1507</v>
      </c>
      <c r="BR316" s="1" t="s">
        <v>1507</v>
      </c>
      <c r="BS316" s="1" t="s">
        <v>13744</v>
      </c>
      <c r="BT316" s="1" t="s">
        <v>2267</v>
      </c>
      <c r="BU316" s="1" t="str">
        <f>HYPERLINK("https%3A%2F%2Fwww.webofscience.com%2Fwos%2Fwoscc%2Ffull-record%2FWOS:001130781600001","View Full Record in Web of Science")</f>
        <v>View Full Record in Web of Science</v>
      </c>
    </row>
    <row r="317" spans="1:73" x14ac:dyDescent="0.25">
      <c r="A317" s="1">
        <v>352</v>
      </c>
      <c r="B317" s="1" t="s">
        <v>5546</v>
      </c>
      <c r="C317" s="1" t="s">
        <v>6145</v>
      </c>
      <c r="D317" s="1" t="s">
        <v>1507</v>
      </c>
      <c r="E317" s="1" t="s">
        <v>1507</v>
      </c>
      <c r="F317" s="1" t="s">
        <v>5548</v>
      </c>
      <c r="G317" s="1" t="s">
        <v>6146</v>
      </c>
      <c r="H317" s="1" t="s">
        <v>1507</v>
      </c>
      <c r="I317" s="1" t="s">
        <v>1507</v>
      </c>
      <c r="J317" s="1" t="s">
        <v>6147</v>
      </c>
      <c r="K317" s="1" t="s">
        <v>6148</v>
      </c>
      <c r="L317" s="1" t="s">
        <v>1507</v>
      </c>
      <c r="M317" s="1" t="s">
        <v>1507</v>
      </c>
      <c r="N317" s="1" t="s">
        <v>42</v>
      </c>
      <c r="O317" s="1" t="s">
        <v>5552</v>
      </c>
      <c r="P317" s="1" t="s">
        <v>6149</v>
      </c>
      <c r="Q317" s="1" t="s">
        <v>6150</v>
      </c>
      <c r="R317" s="1" t="s">
        <v>6151</v>
      </c>
      <c r="S317" s="1" t="s">
        <v>6152</v>
      </c>
      <c r="T317" s="1" t="s">
        <v>1507</v>
      </c>
      <c r="U317" s="1" t="s">
        <v>6153</v>
      </c>
      <c r="V317" s="1" t="s">
        <v>1507</v>
      </c>
      <c r="W317" s="1" t="s">
        <v>6154</v>
      </c>
      <c r="X317" s="1" t="s">
        <v>6155</v>
      </c>
      <c r="Y317" s="1" t="s">
        <v>6156</v>
      </c>
      <c r="Z317" s="1" t="s">
        <v>6157</v>
      </c>
      <c r="AA317" s="1" t="s">
        <v>6158</v>
      </c>
      <c r="AB317" s="1" t="s">
        <v>15183</v>
      </c>
      <c r="AC317" s="1" t="s">
        <v>15184</v>
      </c>
      <c r="AD317" s="1" t="s">
        <v>6159</v>
      </c>
      <c r="AE317" s="1" t="s">
        <v>6160</v>
      </c>
      <c r="AF317" s="1" t="s">
        <v>6161</v>
      </c>
      <c r="AG317" s="1" t="s">
        <v>1507</v>
      </c>
      <c r="AH317" s="1">
        <v>7</v>
      </c>
      <c r="AI317" s="1">
        <v>0</v>
      </c>
      <c r="AJ317" s="1">
        <v>0</v>
      </c>
      <c r="AK317" s="1">
        <v>2</v>
      </c>
      <c r="AL317" s="1">
        <v>2</v>
      </c>
      <c r="AM317" s="1" t="s">
        <v>5565</v>
      </c>
      <c r="AN317" s="1" t="s">
        <v>1512</v>
      </c>
      <c r="AO317" s="1" t="s">
        <v>5566</v>
      </c>
      <c r="AP317" s="1" t="s">
        <v>1507</v>
      </c>
      <c r="AQ317" s="1" t="s">
        <v>1507</v>
      </c>
      <c r="AR317" s="1" t="s">
        <v>6162</v>
      </c>
      <c r="AS317" s="1" t="s">
        <v>1507</v>
      </c>
      <c r="AT317" s="1" t="s">
        <v>1507</v>
      </c>
      <c r="AU317" s="1" t="s">
        <v>1507</v>
      </c>
      <c r="AV317" s="1">
        <v>2023</v>
      </c>
      <c r="AW317" s="1" t="s">
        <v>1507</v>
      </c>
      <c r="AX317" s="1" t="s">
        <v>1507</v>
      </c>
      <c r="AY317" s="1" t="s">
        <v>1507</v>
      </c>
      <c r="AZ317" s="1" t="s">
        <v>1507</v>
      </c>
      <c r="BA317" s="1" t="s">
        <v>1507</v>
      </c>
      <c r="BB317" s="1" t="s">
        <v>1507</v>
      </c>
      <c r="BC317" s="1">
        <v>1126</v>
      </c>
      <c r="BD317" s="1">
        <v>1128</v>
      </c>
      <c r="BE317" s="1" t="s">
        <v>1507</v>
      </c>
      <c r="BF317" s="1" t="s">
        <v>6163</v>
      </c>
      <c r="BG317" s="1" t="str">
        <f>HYPERLINK("http://dx.doi.org/10.1145/3603269.3610856","http://dx.doi.org/10.1145/3603269.3610856")</f>
        <v>http://dx.doi.org/10.1145/3603269.3610856</v>
      </c>
      <c r="BH317" s="1" t="s">
        <v>1507</v>
      </c>
      <c r="BI317" s="1" t="s">
        <v>1507</v>
      </c>
      <c r="BJ317" s="1">
        <v>3</v>
      </c>
      <c r="BK317" s="1" t="s">
        <v>6164</v>
      </c>
      <c r="BL317" s="1" t="s">
        <v>5570</v>
      </c>
      <c r="BM317" s="1" t="s">
        <v>1632</v>
      </c>
      <c r="BN317" s="1" t="s">
        <v>6165</v>
      </c>
      <c r="BO317" s="1" t="s">
        <v>1507</v>
      </c>
      <c r="BP317" s="1" t="s">
        <v>1507</v>
      </c>
      <c r="BQ317" s="1" t="s">
        <v>1507</v>
      </c>
      <c r="BR317" s="1" t="s">
        <v>1507</v>
      </c>
      <c r="BS317" s="1" t="s">
        <v>13744</v>
      </c>
      <c r="BT317" s="1" t="s">
        <v>6166</v>
      </c>
      <c r="BU317" s="1" t="str">
        <f>HYPERLINK("https%3A%2F%2Fwww.webofscience.com%2Fwos%2Fwoscc%2Ffull-record%2FWOS:001116971100085","View Full Record in Web of Science")</f>
        <v>View Full Record in Web of Science</v>
      </c>
    </row>
    <row r="318" spans="1:73" x14ac:dyDescent="0.25">
      <c r="A318" s="1">
        <v>353</v>
      </c>
      <c r="B318" s="1" t="s">
        <v>1506</v>
      </c>
      <c r="C318" s="1" t="s">
        <v>7383</v>
      </c>
      <c r="D318" s="1" t="s">
        <v>1507</v>
      </c>
      <c r="E318" s="1" t="s">
        <v>1507</v>
      </c>
      <c r="F318" s="1" t="s">
        <v>1507</v>
      </c>
      <c r="G318" s="1" t="s">
        <v>7384</v>
      </c>
      <c r="H318" s="1" t="s">
        <v>1507</v>
      </c>
      <c r="I318" s="1" t="s">
        <v>1507</v>
      </c>
      <c r="J318" s="1" t="s">
        <v>7385</v>
      </c>
      <c r="K318" s="1" t="s">
        <v>7386</v>
      </c>
      <c r="L318" s="1" t="s">
        <v>1507</v>
      </c>
      <c r="M318" s="1" t="s">
        <v>1507</v>
      </c>
      <c r="N318" s="1" t="s">
        <v>42</v>
      </c>
      <c r="O318" s="1" t="s">
        <v>56</v>
      </c>
      <c r="P318" s="1" t="s">
        <v>1507</v>
      </c>
      <c r="Q318" s="1" t="s">
        <v>1507</v>
      </c>
      <c r="R318" s="1" t="s">
        <v>1507</v>
      </c>
      <c r="S318" s="1" t="s">
        <v>1507</v>
      </c>
      <c r="T318" s="1" t="s">
        <v>1507</v>
      </c>
      <c r="U318" s="1" t="s">
        <v>1507</v>
      </c>
      <c r="V318" s="1" t="s">
        <v>7387</v>
      </c>
      <c r="W318" s="1" t="s">
        <v>7388</v>
      </c>
      <c r="X318" s="1" t="s">
        <v>7389</v>
      </c>
      <c r="Y318" s="1" t="s">
        <v>15624</v>
      </c>
      <c r="Z318" s="1" t="s">
        <v>7390</v>
      </c>
      <c r="AA318" s="1" t="s">
        <v>7391</v>
      </c>
      <c r="AB318" s="1" t="s">
        <v>15625</v>
      </c>
      <c r="AC318" s="1" t="s">
        <v>15626</v>
      </c>
      <c r="AD318" s="1" t="s">
        <v>7392</v>
      </c>
      <c r="AE318" s="1" t="s">
        <v>7393</v>
      </c>
      <c r="AF318" s="1" t="s">
        <v>7394</v>
      </c>
      <c r="AG318" s="1" t="s">
        <v>1507</v>
      </c>
      <c r="AH318" s="1">
        <v>42</v>
      </c>
      <c r="AI318" s="1">
        <v>17</v>
      </c>
      <c r="AJ318" s="1">
        <v>18</v>
      </c>
      <c r="AK318" s="1">
        <v>1</v>
      </c>
      <c r="AL318" s="1">
        <v>10</v>
      </c>
      <c r="AM318" s="1" t="s">
        <v>2033</v>
      </c>
      <c r="AN318" s="1" t="s">
        <v>1523</v>
      </c>
      <c r="AO318" s="1" t="s">
        <v>2034</v>
      </c>
      <c r="AP318" s="1" t="s">
        <v>7395</v>
      </c>
      <c r="AQ318" s="1" t="s">
        <v>1507</v>
      </c>
      <c r="AR318" s="1" t="s">
        <v>1507</v>
      </c>
      <c r="AS318" s="1" t="s">
        <v>7396</v>
      </c>
      <c r="AT318" s="1" t="s">
        <v>7397</v>
      </c>
      <c r="AU318" s="1" t="s">
        <v>15627</v>
      </c>
      <c r="AV318" s="1">
        <v>2022</v>
      </c>
      <c r="AW318" s="1">
        <v>17</v>
      </c>
      <c r="AX318" s="1">
        <v>3</v>
      </c>
      <c r="AY318" s="1" t="s">
        <v>1507</v>
      </c>
      <c r="AZ318" s="1" t="s">
        <v>1507</v>
      </c>
      <c r="BA318" s="1" t="s">
        <v>1507</v>
      </c>
      <c r="BB318" s="1" t="s">
        <v>1507</v>
      </c>
      <c r="BC318" s="1">
        <v>538</v>
      </c>
      <c r="BD318" s="1">
        <v>555</v>
      </c>
      <c r="BE318" s="1" t="s">
        <v>1507</v>
      </c>
      <c r="BF318" s="1" t="s">
        <v>7398</v>
      </c>
      <c r="BG318" s="1" t="str">
        <f>HYPERLINK("http://dx.doi.org/10.1016/j.stemcr.2022.01.015","http://dx.doi.org/10.1016/j.stemcr.2022.01.015")</f>
        <v>http://dx.doi.org/10.1016/j.stemcr.2022.01.015</v>
      </c>
      <c r="BH318" s="1" t="s">
        <v>1507</v>
      </c>
      <c r="BI318" s="1" t="s">
        <v>7380</v>
      </c>
      <c r="BJ318" s="1">
        <v>18</v>
      </c>
      <c r="BK318" s="1" t="s">
        <v>7399</v>
      </c>
      <c r="BL318" s="1" t="s">
        <v>1573</v>
      </c>
      <c r="BM318" s="1" t="s">
        <v>7275</v>
      </c>
      <c r="BN318" s="1" t="s">
        <v>7400</v>
      </c>
      <c r="BO318" s="1">
        <v>35180397</v>
      </c>
      <c r="BP318" s="1" t="s">
        <v>5071</v>
      </c>
      <c r="BQ318" s="1" t="s">
        <v>1507</v>
      </c>
      <c r="BR318" s="1" t="s">
        <v>1507</v>
      </c>
      <c r="BS318" s="1" t="s">
        <v>13744</v>
      </c>
      <c r="BT318" s="1" t="s">
        <v>7401</v>
      </c>
      <c r="BU318" s="1" t="str">
        <f>HYPERLINK("https%3A%2F%2Fwww.webofscience.com%2Fwos%2Fwoscc%2Ffull-record%2FWOS:000767602800009","View Full Record in Web of Science")</f>
        <v>View Full Record in Web of Science</v>
      </c>
    </row>
    <row r="319" spans="1:73" x14ac:dyDescent="0.25">
      <c r="A319" s="1">
        <v>354</v>
      </c>
      <c r="B319" s="1" t="s">
        <v>5546</v>
      </c>
      <c r="C319" s="1" t="s">
        <v>15185</v>
      </c>
      <c r="D319" s="1" t="s">
        <v>1507</v>
      </c>
      <c r="E319" s="1" t="s">
        <v>1507</v>
      </c>
      <c r="F319" s="1" t="s">
        <v>15186</v>
      </c>
      <c r="G319" s="1" t="s">
        <v>15187</v>
      </c>
      <c r="H319" s="1" t="s">
        <v>1507</v>
      </c>
      <c r="I319" s="1" t="s">
        <v>1507</v>
      </c>
      <c r="J319" s="1" t="s">
        <v>15188</v>
      </c>
      <c r="K319" s="1" t="s">
        <v>15189</v>
      </c>
      <c r="L319" s="1" t="s">
        <v>1507</v>
      </c>
      <c r="M319" s="1" t="s">
        <v>1507</v>
      </c>
      <c r="N319" s="1" t="s">
        <v>42</v>
      </c>
      <c r="O319" s="1" t="s">
        <v>5552</v>
      </c>
      <c r="P319" s="1" t="s">
        <v>15190</v>
      </c>
      <c r="Q319" s="1" t="s">
        <v>15191</v>
      </c>
      <c r="R319" s="1" t="s">
        <v>15192</v>
      </c>
      <c r="S319" s="1" t="s">
        <v>1507</v>
      </c>
      <c r="T319" s="1" t="s">
        <v>1507</v>
      </c>
      <c r="U319" s="1" t="s">
        <v>15193</v>
      </c>
      <c r="V319" s="1" t="s">
        <v>1507</v>
      </c>
      <c r="W319" s="1" t="s">
        <v>15194</v>
      </c>
      <c r="X319" s="1" t="s">
        <v>15195</v>
      </c>
      <c r="Y319" s="1" t="s">
        <v>15196</v>
      </c>
      <c r="Z319" s="1" t="s">
        <v>15197</v>
      </c>
      <c r="AA319" s="1" t="s">
        <v>1507</v>
      </c>
      <c r="AB319" s="1" t="s">
        <v>1507</v>
      </c>
      <c r="AC319" s="1" t="s">
        <v>1507</v>
      </c>
      <c r="AD319" s="1" t="s">
        <v>15198</v>
      </c>
      <c r="AE319" s="1" t="s">
        <v>15199</v>
      </c>
      <c r="AF319" s="1" t="s">
        <v>15200</v>
      </c>
      <c r="AG319" s="1" t="s">
        <v>1507</v>
      </c>
      <c r="AH319" s="1">
        <v>37</v>
      </c>
      <c r="AI319" s="1">
        <v>0</v>
      </c>
      <c r="AJ319" s="1">
        <v>0</v>
      </c>
      <c r="AK319" s="1">
        <v>0</v>
      </c>
      <c r="AL319" s="1">
        <v>0</v>
      </c>
      <c r="AM319" s="1" t="s">
        <v>5565</v>
      </c>
      <c r="AN319" s="1" t="s">
        <v>1512</v>
      </c>
      <c r="AO319" s="1" t="s">
        <v>5566</v>
      </c>
      <c r="AP319" s="1" t="s">
        <v>1507</v>
      </c>
      <c r="AQ319" s="1" t="s">
        <v>1507</v>
      </c>
      <c r="AR319" s="1" t="s">
        <v>15201</v>
      </c>
      <c r="AS319" s="1" t="s">
        <v>1507</v>
      </c>
      <c r="AT319" s="1" t="s">
        <v>1507</v>
      </c>
      <c r="AU319" s="1" t="s">
        <v>1507</v>
      </c>
      <c r="AV319" s="1">
        <v>2023</v>
      </c>
      <c r="AW319" s="1" t="s">
        <v>1507</v>
      </c>
      <c r="AX319" s="1" t="s">
        <v>1507</v>
      </c>
      <c r="AY319" s="1" t="s">
        <v>1507</v>
      </c>
      <c r="AZ319" s="1" t="s">
        <v>1507</v>
      </c>
      <c r="BA319" s="1" t="s">
        <v>1507</v>
      </c>
      <c r="BB319" s="1" t="s">
        <v>1507</v>
      </c>
      <c r="BC319" s="1">
        <v>19</v>
      </c>
      <c r="BD319" s="1">
        <v>24</v>
      </c>
      <c r="BE319" s="1" t="s">
        <v>1507</v>
      </c>
      <c r="BF319" s="1" t="s">
        <v>15202</v>
      </c>
      <c r="BG319" s="1" t="str">
        <f>HYPERLINK("http://dx.doi.org/10.1145/3639233.3639353","http://dx.doi.org/10.1145/3639233.3639353")</f>
        <v>http://dx.doi.org/10.1145/3639233.3639353</v>
      </c>
      <c r="BH319" s="1" t="s">
        <v>1507</v>
      </c>
      <c r="BI319" s="1" t="s">
        <v>1507</v>
      </c>
      <c r="BJ319" s="1">
        <v>6</v>
      </c>
      <c r="BK319" s="1" t="s">
        <v>5650</v>
      </c>
      <c r="BL319" s="1" t="s">
        <v>5570</v>
      </c>
      <c r="BM319" s="1" t="s">
        <v>1577</v>
      </c>
      <c r="BN319" s="1" t="s">
        <v>15203</v>
      </c>
      <c r="BO319" s="1" t="s">
        <v>1507</v>
      </c>
      <c r="BP319" s="1" t="s">
        <v>1507</v>
      </c>
      <c r="BQ319" s="1" t="s">
        <v>1507</v>
      </c>
      <c r="BR319" s="1" t="s">
        <v>1507</v>
      </c>
      <c r="BS319" s="1" t="s">
        <v>13744</v>
      </c>
      <c r="BT319" s="1" t="s">
        <v>15204</v>
      </c>
      <c r="BU319" s="1" t="str">
        <f>HYPERLINK("https%3A%2F%2Fwww.webofscience.com%2Fwos%2Fwoscc%2Ffull-record%2FWOS:001179071500003","View Full Record in Web of Science")</f>
        <v>View Full Record in Web of Science</v>
      </c>
    </row>
    <row r="320" spans="1:73" x14ac:dyDescent="0.25">
      <c r="A320" s="1">
        <v>355</v>
      </c>
      <c r="B320" s="1" t="s">
        <v>1506</v>
      </c>
      <c r="C320" s="1" t="s">
        <v>5429</v>
      </c>
      <c r="D320" s="1" t="s">
        <v>1507</v>
      </c>
      <c r="E320" s="1" t="s">
        <v>1507</v>
      </c>
      <c r="F320" s="1" t="s">
        <v>1507</v>
      </c>
      <c r="G320" s="1" t="s">
        <v>5430</v>
      </c>
      <c r="H320" s="1" t="s">
        <v>1507</v>
      </c>
      <c r="I320" s="1" t="s">
        <v>1507</v>
      </c>
      <c r="J320" s="1" t="s">
        <v>5431</v>
      </c>
      <c r="K320" s="1" t="s">
        <v>5432</v>
      </c>
      <c r="L320" s="1" t="s">
        <v>1507</v>
      </c>
      <c r="M320" s="1" t="s">
        <v>1507</v>
      </c>
      <c r="N320" s="1" t="s">
        <v>42</v>
      </c>
      <c r="O320" s="1" t="s">
        <v>56</v>
      </c>
      <c r="P320" s="1" t="s">
        <v>1507</v>
      </c>
      <c r="Q320" s="1" t="s">
        <v>1507</v>
      </c>
      <c r="R320" s="1" t="s">
        <v>1507</v>
      </c>
      <c r="S320" s="1" t="s">
        <v>1507</v>
      </c>
      <c r="T320" s="1" t="s">
        <v>1507</v>
      </c>
      <c r="U320" s="1" t="s">
        <v>1507</v>
      </c>
      <c r="V320" s="1" t="s">
        <v>5433</v>
      </c>
      <c r="W320" s="1" t="s">
        <v>5434</v>
      </c>
      <c r="X320" s="1" t="s">
        <v>5435</v>
      </c>
      <c r="Y320" s="1" t="s">
        <v>14809</v>
      </c>
      <c r="Z320" s="1" t="s">
        <v>5436</v>
      </c>
      <c r="AA320" s="1" t="s">
        <v>5437</v>
      </c>
      <c r="AB320" s="1" t="s">
        <v>14810</v>
      </c>
      <c r="AC320" s="1" t="s">
        <v>14811</v>
      </c>
      <c r="AD320" s="1" t="s">
        <v>5438</v>
      </c>
      <c r="AE320" s="1" t="s">
        <v>5439</v>
      </c>
      <c r="AF320" s="1" t="s">
        <v>5440</v>
      </c>
      <c r="AG320" s="1" t="s">
        <v>1507</v>
      </c>
      <c r="AH320" s="1">
        <v>85</v>
      </c>
      <c r="AI320" s="1">
        <v>143</v>
      </c>
      <c r="AJ320" s="1">
        <v>155</v>
      </c>
      <c r="AK320" s="1">
        <v>114</v>
      </c>
      <c r="AL320" s="1">
        <v>260</v>
      </c>
      <c r="AM320" s="1" t="s">
        <v>1591</v>
      </c>
      <c r="AN320" s="1" t="s">
        <v>1592</v>
      </c>
      <c r="AO320" s="1" t="s">
        <v>1593</v>
      </c>
      <c r="AP320" s="1" t="s">
        <v>5441</v>
      </c>
      <c r="AQ320" s="1" t="s">
        <v>5442</v>
      </c>
      <c r="AR320" s="1" t="s">
        <v>1507</v>
      </c>
      <c r="AS320" s="1" t="s">
        <v>5443</v>
      </c>
      <c r="AT320" s="1" t="s">
        <v>5444</v>
      </c>
      <c r="AU320" s="1" t="s">
        <v>4336</v>
      </c>
      <c r="AV320" s="1">
        <v>2023</v>
      </c>
      <c r="AW320" s="1">
        <v>41</v>
      </c>
      <c r="AX320" s="1">
        <v>8</v>
      </c>
      <c r="AY320" s="1" t="s">
        <v>1507</v>
      </c>
      <c r="AZ320" s="1" t="s">
        <v>1507</v>
      </c>
      <c r="BA320" s="1" t="s">
        <v>1507</v>
      </c>
      <c r="BB320" s="1" t="s">
        <v>1507</v>
      </c>
      <c r="BC320" s="1">
        <v>1099</v>
      </c>
      <c r="BD320" s="1" t="s">
        <v>1774</v>
      </c>
      <c r="BE320" s="1" t="s">
        <v>1507</v>
      </c>
      <c r="BF320" s="1" t="s">
        <v>5445</v>
      </c>
      <c r="BG320" s="1" t="str">
        <f>HYPERLINK("http://dx.doi.org/10.1038/s41587-022-01618-2","http://dx.doi.org/10.1038/s41587-022-01618-2")</f>
        <v>http://dx.doi.org/10.1038/s41587-022-01618-2</v>
      </c>
      <c r="BH320" s="1" t="s">
        <v>1507</v>
      </c>
      <c r="BI320" s="1" t="s">
        <v>5446</v>
      </c>
      <c r="BJ320" s="1">
        <v>17</v>
      </c>
      <c r="BK320" s="1" t="s">
        <v>5447</v>
      </c>
      <c r="BL320" s="1" t="s">
        <v>1573</v>
      </c>
      <c r="BM320" s="1" t="s">
        <v>5447</v>
      </c>
      <c r="BN320" s="1" t="s">
        <v>5448</v>
      </c>
      <c r="BO320" s="1">
        <v>36702895</v>
      </c>
      <c r="BP320" s="1" t="s">
        <v>1507</v>
      </c>
      <c r="BQ320" s="1" t="s">
        <v>1507</v>
      </c>
      <c r="BR320" s="1" t="s">
        <v>1507</v>
      </c>
      <c r="BS320" s="1" t="s">
        <v>13744</v>
      </c>
      <c r="BT320" s="1" t="s">
        <v>5449</v>
      </c>
      <c r="BU320" s="1" t="str">
        <f>HYPERLINK("https%3A%2F%2Fwww.webofscience.com%2Fwos%2Fwoscc%2Ffull-record%2FWOS:000920853200002","View Full Record in Web of Science")</f>
        <v>View Full Record in Web of Science</v>
      </c>
    </row>
    <row r="321" spans="1:73" x14ac:dyDescent="0.25">
      <c r="A321" s="1">
        <v>356</v>
      </c>
      <c r="B321" s="1" t="s">
        <v>1506</v>
      </c>
      <c r="C321" s="1" t="s">
        <v>2268</v>
      </c>
      <c r="D321" s="1" t="s">
        <v>1507</v>
      </c>
      <c r="E321" s="1" t="s">
        <v>1507</v>
      </c>
      <c r="F321" s="1" t="s">
        <v>1507</v>
      </c>
      <c r="G321" s="1" t="s">
        <v>2269</v>
      </c>
      <c r="H321" s="1" t="s">
        <v>1507</v>
      </c>
      <c r="I321" s="1" t="s">
        <v>1507</v>
      </c>
      <c r="J321" s="1" t="s">
        <v>2270</v>
      </c>
      <c r="K321" s="1" t="s">
        <v>2200</v>
      </c>
      <c r="L321" s="1" t="s">
        <v>1507</v>
      </c>
      <c r="M321" s="1" t="s">
        <v>1507</v>
      </c>
      <c r="N321" s="1" t="s">
        <v>42</v>
      </c>
      <c r="O321" s="1" t="s">
        <v>56</v>
      </c>
      <c r="P321" s="1" t="s">
        <v>1507</v>
      </c>
      <c r="Q321" s="1" t="s">
        <v>1507</v>
      </c>
      <c r="R321" s="1" t="s">
        <v>1507</v>
      </c>
      <c r="S321" s="1" t="s">
        <v>1507</v>
      </c>
      <c r="T321" s="1" t="s">
        <v>1507</v>
      </c>
      <c r="U321" s="1" t="s">
        <v>2271</v>
      </c>
      <c r="V321" s="1" t="s">
        <v>2272</v>
      </c>
      <c r="W321" s="1" t="s">
        <v>2273</v>
      </c>
      <c r="X321" s="1" t="s">
        <v>2274</v>
      </c>
      <c r="Y321" s="1" t="s">
        <v>2275</v>
      </c>
      <c r="Z321" s="1" t="s">
        <v>2276</v>
      </c>
      <c r="AA321" s="1" t="s">
        <v>2277</v>
      </c>
      <c r="AB321" s="1" t="s">
        <v>2278</v>
      </c>
      <c r="AC321" s="1" t="s">
        <v>2279</v>
      </c>
      <c r="AD321" s="1" t="s">
        <v>2280</v>
      </c>
      <c r="AE321" s="1" t="s">
        <v>2280</v>
      </c>
      <c r="AF321" s="1" t="s">
        <v>2281</v>
      </c>
      <c r="AG321" s="1" t="s">
        <v>1507</v>
      </c>
      <c r="AH321" s="1">
        <v>129</v>
      </c>
      <c r="AI321" s="1">
        <v>0</v>
      </c>
      <c r="AJ321" s="1">
        <v>0</v>
      </c>
      <c r="AK321" s="1">
        <v>2</v>
      </c>
      <c r="AL321" s="1">
        <v>2</v>
      </c>
      <c r="AM321" s="1" t="s">
        <v>1610</v>
      </c>
      <c r="AN321" s="1" t="s">
        <v>1611</v>
      </c>
      <c r="AO321" s="1" t="s">
        <v>1612</v>
      </c>
      <c r="AP321" s="1" t="s">
        <v>1507</v>
      </c>
      <c r="AQ321" s="1" t="s">
        <v>2211</v>
      </c>
      <c r="AR321" s="1" t="s">
        <v>1507</v>
      </c>
      <c r="AS321" s="1" t="s">
        <v>2200</v>
      </c>
      <c r="AT321" s="1" t="s">
        <v>2212</v>
      </c>
      <c r="AU321" s="1" t="s">
        <v>2191</v>
      </c>
      <c r="AV321" s="1">
        <v>2023</v>
      </c>
      <c r="AW321" s="1">
        <v>10</v>
      </c>
      <c r="AX321" s="1">
        <v>4</v>
      </c>
      <c r="AY321" s="1" t="s">
        <v>1507</v>
      </c>
      <c r="AZ321" s="1" t="s">
        <v>1507</v>
      </c>
      <c r="BA321" s="1" t="s">
        <v>1507</v>
      </c>
      <c r="BB321" s="1" t="s">
        <v>1507</v>
      </c>
      <c r="BC321" s="1" t="s">
        <v>1507</v>
      </c>
      <c r="BD321" s="1" t="s">
        <v>1507</v>
      </c>
      <c r="BE321" s="1">
        <v>84</v>
      </c>
      <c r="BF321" s="1" t="s">
        <v>2282</v>
      </c>
      <c r="BG321" s="1" t="str">
        <f>HYPERLINK("http://dx.doi.org/10.3390/informatics10040084","http://dx.doi.org/10.3390/informatics10040084")</f>
        <v>http://dx.doi.org/10.3390/informatics10040084</v>
      </c>
      <c r="BH321" s="1" t="s">
        <v>1507</v>
      </c>
      <c r="BI321" s="1" t="s">
        <v>1507</v>
      </c>
      <c r="BJ321" s="1">
        <v>24</v>
      </c>
      <c r="BK321" s="1" t="s">
        <v>2214</v>
      </c>
      <c r="BL321" s="1" t="s">
        <v>1529</v>
      </c>
      <c r="BM321" s="1" t="s">
        <v>1577</v>
      </c>
      <c r="BN321" s="1" t="s">
        <v>2283</v>
      </c>
      <c r="BO321" s="1" t="s">
        <v>1507</v>
      </c>
      <c r="BP321" s="1" t="s">
        <v>1531</v>
      </c>
      <c r="BQ321" s="1" t="s">
        <v>1507</v>
      </c>
      <c r="BR321" s="1" t="s">
        <v>1507</v>
      </c>
      <c r="BS321" s="1" t="s">
        <v>13744</v>
      </c>
      <c r="BT321" s="1" t="s">
        <v>2284</v>
      </c>
      <c r="BU321" s="1" t="str">
        <f>HYPERLINK("https%3A%2F%2Fwww.webofscience.com%2Fwos%2Fwoscc%2Ffull-record%2FWOS:001130595500001","View Full Record in Web of Science")</f>
        <v>View Full Record in Web of Science</v>
      </c>
    </row>
    <row r="322" spans="1:73" x14ac:dyDescent="0.25">
      <c r="A322" s="1">
        <v>357</v>
      </c>
      <c r="B322" s="1" t="s">
        <v>1506</v>
      </c>
      <c r="C322" s="1" t="s">
        <v>4487</v>
      </c>
      <c r="D322" s="1" t="s">
        <v>1507</v>
      </c>
      <c r="E322" s="1" t="s">
        <v>1507</v>
      </c>
      <c r="F322" s="1" t="s">
        <v>1507</v>
      </c>
      <c r="G322" s="1" t="s">
        <v>4488</v>
      </c>
      <c r="H322" s="1" t="s">
        <v>1507</v>
      </c>
      <c r="I322" s="1" t="s">
        <v>1507</v>
      </c>
      <c r="J322" s="1" t="s">
        <v>4489</v>
      </c>
      <c r="K322" s="1" t="s">
        <v>4490</v>
      </c>
      <c r="L322" s="1" t="s">
        <v>1507</v>
      </c>
      <c r="M322" s="1" t="s">
        <v>1507</v>
      </c>
      <c r="N322" s="1" t="s">
        <v>42</v>
      </c>
      <c r="O322" s="1" t="s">
        <v>56</v>
      </c>
      <c r="P322" s="1" t="s">
        <v>1507</v>
      </c>
      <c r="Q322" s="1" t="s">
        <v>1507</v>
      </c>
      <c r="R322" s="1" t="s">
        <v>1507</v>
      </c>
      <c r="S322" s="1" t="s">
        <v>1507</v>
      </c>
      <c r="T322" s="1" t="s">
        <v>1507</v>
      </c>
      <c r="U322" s="1" t="s">
        <v>4491</v>
      </c>
      <c r="V322" s="1" t="s">
        <v>4492</v>
      </c>
      <c r="W322" s="1" t="s">
        <v>4493</v>
      </c>
      <c r="X322" s="1" t="s">
        <v>4494</v>
      </c>
      <c r="Y322" s="1" t="s">
        <v>4495</v>
      </c>
      <c r="Z322" s="1" t="s">
        <v>4496</v>
      </c>
      <c r="AA322" s="1" t="s">
        <v>4497</v>
      </c>
      <c r="AB322" s="1" t="s">
        <v>4498</v>
      </c>
      <c r="AC322" s="1" t="s">
        <v>4499</v>
      </c>
      <c r="AD322" s="1" t="s">
        <v>4500</v>
      </c>
      <c r="AE322" s="1" t="s">
        <v>4501</v>
      </c>
      <c r="AF322" s="1" t="s">
        <v>4502</v>
      </c>
      <c r="AG322" s="1" t="s">
        <v>1507</v>
      </c>
      <c r="AH322" s="1">
        <v>241</v>
      </c>
      <c r="AI322" s="1">
        <v>2</v>
      </c>
      <c r="AJ322" s="1">
        <v>2</v>
      </c>
      <c r="AK322" s="1">
        <v>11</v>
      </c>
      <c r="AL322" s="1">
        <v>17</v>
      </c>
      <c r="AM322" s="1" t="s">
        <v>1579</v>
      </c>
      <c r="AN322" s="1" t="s">
        <v>1580</v>
      </c>
      <c r="AO322" s="1" t="s">
        <v>1581</v>
      </c>
      <c r="AP322" s="1" t="s">
        <v>4503</v>
      </c>
      <c r="AQ322" s="1" t="s">
        <v>4504</v>
      </c>
      <c r="AR322" s="1" t="s">
        <v>1507</v>
      </c>
      <c r="AS322" s="1" t="s">
        <v>4490</v>
      </c>
      <c r="AT322" s="1" t="s">
        <v>4505</v>
      </c>
      <c r="AU322" s="1" t="s">
        <v>4336</v>
      </c>
      <c r="AV322" s="1">
        <v>2023</v>
      </c>
      <c r="AW322" s="1">
        <v>127</v>
      </c>
      <c r="AX322" s="1" t="s">
        <v>1507</v>
      </c>
      <c r="AY322" s="1" t="s">
        <v>1507</v>
      </c>
      <c r="AZ322" s="1" t="s">
        <v>1507</v>
      </c>
      <c r="BA322" s="1" t="s">
        <v>1507</v>
      </c>
      <c r="BB322" s="1" t="s">
        <v>1507</v>
      </c>
      <c r="BC322" s="1" t="s">
        <v>1507</v>
      </c>
      <c r="BD322" s="1" t="s">
        <v>1507</v>
      </c>
      <c r="BE322" s="1">
        <v>102478</v>
      </c>
      <c r="BF322" s="1" t="s">
        <v>4506</v>
      </c>
      <c r="BG322" s="1" t="str">
        <f>HYPERLINK("http://dx.doi.org/10.1016/j.hal.2023.102478","http://dx.doi.org/10.1016/j.hal.2023.102478")</f>
        <v>http://dx.doi.org/10.1016/j.hal.2023.102478</v>
      </c>
      <c r="BH322" s="1" t="s">
        <v>1507</v>
      </c>
      <c r="BI322" s="1" t="s">
        <v>4389</v>
      </c>
      <c r="BJ322" s="1">
        <v>20</v>
      </c>
      <c r="BK322" s="1" t="s">
        <v>4507</v>
      </c>
      <c r="BL322" s="1" t="s">
        <v>1573</v>
      </c>
      <c r="BM322" s="1" t="s">
        <v>4507</v>
      </c>
      <c r="BN322" s="1" t="s">
        <v>4508</v>
      </c>
      <c r="BO322" s="1">
        <v>37544678</v>
      </c>
      <c r="BP322" s="1" t="s">
        <v>1507</v>
      </c>
      <c r="BQ322" s="1" t="s">
        <v>1507</v>
      </c>
      <c r="BR322" s="1" t="s">
        <v>1507</v>
      </c>
      <c r="BS322" s="1" t="s">
        <v>13744</v>
      </c>
      <c r="BT322" s="1" t="s">
        <v>4509</v>
      </c>
      <c r="BU322" s="1" t="str">
        <f>HYPERLINK("https%3A%2F%2Fwww.webofscience.com%2Fwos%2Fwoscc%2Ffull-record%2FWOS:001044035300001","View Full Record in Web of Science")</f>
        <v>View Full Record in Web of Science</v>
      </c>
    </row>
    <row r="323" spans="1:73" x14ac:dyDescent="0.25">
      <c r="A323" s="1">
        <v>358</v>
      </c>
      <c r="B323" s="1" t="s">
        <v>5546</v>
      </c>
      <c r="C323" s="1" t="s">
        <v>15205</v>
      </c>
      <c r="D323" s="1" t="s">
        <v>1507</v>
      </c>
      <c r="E323" s="1" t="s">
        <v>15206</v>
      </c>
      <c r="F323" s="1" t="s">
        <v>1507</v>
      </c>
      <c r="G323" s="1" t="s">
        <v>15207</v>
      </c>
      <c r="H323" s="1" t="s">
        <v>1507</v>
      </c>
      <c r="I323" s="1" t="s">
        <v>1507</v>
      </c>
      <c r="J323" s="1" t="s">
        <v>15208</v>
      </c>
      <c r="K323" s="1" t="s">
        <v>15209</v>
      </c>
      <c r="L323" s="1" t="s">
        <v>6208</v>
      </c>
      <c r="M323" s="1" t="s">
        <v>1507</v>
      </c>
      <c r="N323" s="1" t="s">
        <v>42</v>
      </c>
      <c r="O323" s="1" t="s">
        <v>5552</v>
      </c>
      <c r="P323" s="1" t="s">
        <v>15210</v>
      </c>
      <c r="Q323" s="1" t="s">
        <v>15211</v>
      </c>
      <c r="R323" s="1" t="s">
        <v>15212</v>
      </c>
      <c r="S323" s="1" t="s">
        <v>1507</v>
      </c>
      <c r="T323" s="1" t="s">
        <v>1507</v>
      </c>
      <c r="U323" s="1" t="s">
        <v>15213</v>
      </c>
      <c r="V323" s="1" t="s">
        <v>1507</v>
      </c>
      <c r="W323" s="1" t="s">
        <v>15214</v>
      </c>
      <c r="X323" s="1" t="s">
        <v>15215</v>
      </c>
      <c r="Y323" s="1" t="s">
        <v>1507</v>
      </c>
      <c r="Z323" s="1" t="s">
        <v>15216</v>
      </c>
      <c r="AA323" s="1" t="s">
        <v>15217</v>
      </c>
      <c r="AB323" s="1" t="s">
        <v>1507</v>
      </c>
      <c r="AC323" s="1" t="s">
        <v>15218</v>
      </c>
      <c r="AD323" s="1" t="s">
        <v>1507</v>
      </c>
      <c r="AE323" s="1" t="s">
        <v>1507</v>
      </c>
      <c r="AF323" s="1" t="s">
        <v>1507</v>
      </c>
      <c r="AG323" s="1" t="s">
        <v>1507</v>
      </c>
      <c r="AH323" s="1">
        <v>22</v>
      </c>
      <c r="AI323" s="1">
        <v>0</v>
      </c>
      <c r="AJ323" s="1">
        <v>0</v>
      </c>
      <c r="AK323" s="1">
        <v>2</v>
      </c>
      <c r="AL323" s="1">
        <v>2</v>
      </c>
      <c r="AM323" s="1" t="s">
        <v>6221</v>
      </c>
      <c r="AN323" s="1" t="s">
        <v>6222</v>
      </c>
      <c r="AO323" s="1" t="s">
        <v>6223</v>
      </c>
      <c r="AP323" s="1" t="s">
        <v>6224</v>
      </c>
      <c r="AQ323" s="1" t="s">
        <v>6225</v>
      </c>
      <c r="AR323" s="1" t="s">
        <v>15219</v>
      </c>
      <c r="AS323" s="1" t="s">
        <v>6227</v>
      </c>
      <c r="AT323" s="1" t="s">
        <v>1507</v>
      </c>
      <c r="AU323" s="1" t="s">
        <v>1507</v>
      </c>
      <c r="AV323" s="1">
        <v>2023</v>
      </c>
      <c r="AW323" s="1">
        <v>14060</v>
      </c>
      <c r="AX323" s="1" t="s">
        <v>1507</v>
      </c>
      <c r="AY323" s="1" t="s">
        <v>1507</v>
      </c>
      <c r="AZ323" s="1" t="s">
        <v>1507</v>
      </c>
      <c r="BA323" s="1" t="s">
        <v>1507</v>
      </c>
      <c r="BB323" s="1" t="s">
        <v>1507</v>
      </c>
      <c r="BC323" s="1">
        <v>176</v>
      </c>
      <c r="BD323" s="1">
        <v>190</v>
      </c>
      <c r="BE323" s="1" t="s">
        <v>1507</v>
      </c>
      <c r="BF323" s="1" t="s">
        <v>851</v>
      </c>
      <c r="BG323" s="1" t="str">
        <f>HYPERLINK("http://dx.doi.org/10.1007/978-3-031-48060-7_14","http://dx.doi.org/10.1007/978-3-031-48060-7_14")</f>
        <v>http://dx.doi.org/10.1007/978-3-031-48060-7_14</v>
      </c>
      <c r="BH323" s="1" t="s">
        <v>1507</v>
      </c>
      <c r="BI323" s="1" t="s">
        <v>1507</v>
      </c>
      <c r="BJ323" s="1">
        <v>15</v>
      </c>
      <c r="BK323" s="1" t="s">
        <v>2230</v>
      </c>
      <c r="BL323" s="1" t="s">
        <v>5570</v>
      </c>
      <c r="BM323" s="1" t="s">
        <v>1577</v>
      </c>
      <c r="BN323" s="1" t="s">
        <v>15220</v>
      </c>
      <c r="BO323" s="1" t="s">
        <v>1507</v>
      </c>
      <c r="BP323" s="1" t="s">
        <v>1507</v>
      </c>
      <c r="BQ323" s="1" t="s">
        <v>1507</v>
      </c>
      <c r="BR323" s="1" t="s">
        <v>1507</v>
      </c>
      <c r="BS323" s="1" t="s">
        <v>13744</v>
      </c>
      <c r="BT323" s="1" t="s">
        <v>15221</v>
      </c>
      <c r="BU323" s="1" t="str">
        <f>HYPERLINK("https%3A%2F%2Fwww.webofscience.com%2Fwos%2Fwoscc%2Ffull-record%2FWOS:001159628500014","View Full Record in Web of Science")</f>
        <v>View Full Record in Web of Science</v>
      </c>
    </row>
    <row r="324" spans="1:73" x14ac:dyDescent="0.25">
      <c r="A324" s="1">
        <v>359</v>
      </c>
      <c r="B324" s="1" t="s">
        <v>5546</v>
      </c>
      <c r="C324" s="1" t="s">
        <v>12015</v>
      </c>
      <c r="D324" s="1" t="s">
        <v>1507</v>
      </c>
      <c r="E324" s="1" t="s">
        <v>1507</v>
      </c>
      <c r="F324" s="1" t="s">
        <v>5628</v>
      </c>
      <c r="G324" s="1" t="s">
        <v>12016</v>
      </c>
      <c r="H324" s="1" t="s">
        <v>1507</v>
      </c>
      <c r="I324" s="1" t="s">
        <v>1507</v>
      </c>
      <c r="J324" s="1" t="s">
        <v>12017</v>
      </c>
      <c r="K324" s="1" t="s">
        <v>12018</v>
      </c>
      <c r="L324" s="1" t="s">
        <v>12019</v>
      </c>
      <c r="M324" s="1" t="s">
        <v>1507</v>
      </c>
      <c r="N324" s="1" t="s">
        <v>42</v>
      </c>
      <c r="O324" s="1" t="s">
        <v>5552</v>
      </c>
      <c r="P324" s="1" t="s">
        <v>12020</v>
      </c>
      <c r="Q324" s="1" t="s">
        <v>12021</v>
      </c>
      <c r="R324" s="1" t="s">
        <v>12022</v>
      </c>
      <c r="S324" s="1" t="s">
        <v>12023</v>
      </c>
      <c r="T324" s="1" t="s">
        <v>1507</v>
      </c>
      <c r="U324" s="1" t="s">
        <v>1507</v>
      </c>
      <c r="V324" s="1" t="s">
        <v>1507</v>
      </c>
      <c r="W324" s="1" t="s">
        <v>12024</v>
      </c>
      <c r="X324" s="1" t="s">
        <v>12025</v>
      </c>
      <c r="Y324" s="1" t="s">
        <v>12026</v>
      </c>
      <c r="Z324" s="1" t="s">
        <v>12027</v>
      </c>
      <c r="AA324" s="1" t="s">
        <v>1507</v>
      </c>
      <c r="AB324" s="1" t="s">
        <v>12028</v>
      </c>
      <c r="AC324" s="1" t="s">
        <v>12029</v>
      </c>
      <c r="AD324" s="1" t="s">
        <v>12030</v>
      </c>
      <c r="AE324" s="1" t="s">
        <v>12031</v>
      </c>
      <c r="AF324" s="1" t="s">
        <v>12032</v>
      </c>
      <c r="AG324" s="1" t="s">
        <v>1507</v>
      </c>
      <c r="AH324" s="1">
        <v>17</v>
      </c>
      <c r="AI324" s="1">
        <v>2</v>
      </c>
      <c r="AJ324" s="1">
        <v>2</v>
      </c>
      <c r="AK324" s="1">
        <v>0</v>
      </c>
      <c r="AL324" s="1">
        <v>1</v>
      </c>
      <c r="AM324" s="1" t="s">
        <v>5628</v>
      </c>
      <c r="AN324" s="1" t="s">
        <v>1512</v>
      </c>
      <c r="AO324" s="1" t="s">
        <v>6457</v>
      </c>
      <c r="AP324" s="1" t="s">
        <v>12033</v>
      </c>
      <c r="AQ324" s="1" t="s">
        <v>1507</v>
      </c>
      <c r="AR324" s="1" t="s">
        <v>12034</v>
      </c>
      <c r="AS324" s="1" t="s">
        <v>12035</v>
      </c>
      <c r="AT324" s="1" t="s">
        <v>1507</v>
      </c>
      <c r="AU324" s="1" t="s">
        <v>1507</v>
      </c>
      <c r="AV324" s="1">
        <v>2018</v>
      </c>
      <c r="AW324" s="1" t="s">
        <v>1507</v>
      </c>
      <c r="AX324" s="1" t="s">
        <v>1507</v>
      </c>
      <c r="AY324" s="1" t="s">
        <v>1507</v>
      </c>
      <c r="AZ324" s="1" t="s">
        <v>1507</v>
      </c>
      <c r="BA324" s="1" t="s">
        <v>1507</v>
      </c>
      <c r="BB324" s="1" t="s">
        <v>1507</v>
      </c>
      <c r="BC324" s="1">
        <v>424</v>
      </c>
      <c r="BD324" s="1">
        <v>431</v>
      </c>
      <c r="BE324" s="1" t="s">
        <v>1507</v>
      </c>
      <c r="BF324" s="1" t="s">
        <v>12036</v>
      </c>
      <c r="BG324" s="1" t="str">
        <f>HYPERLINK("http://dx.doi.org/10.1109/SIBGRAPI.2018.00061","http://dx.doi.org/10.1109/SIBGRAPI.2018.00061")</f>
        <v>http://dx.doi.org/10.1109/SIBGRAPI.2018.00061</v>
      </c>
      <c r="BH324" s="1" t="s">
        <v>1507</v>
      </c>
      <c r="BI324" s="1" t="s">
        <v>1507</v>
      </c>
      <c r="BJ324" s="1">
        <v>8</v>
      </c>
      <c r="BK324" s="1" t="s">
        <v>7840</v>
      </c>
      <c r="BL324" s="1" t="s">
        <v>5570</v>
      </c>
      <c r="BM324" s="1" t="s">
        <v>7841</v>
      </c>
      <c r="BN324" s="1" t="s">
        <v>12037</v>
      </c>
      <c r="BO324" s="1" t="s">
        <v>1507</v>
      </c>
      <c r="BP324" s="1" t="s">
        <v>1507</v>
      </c>
      <c r="BQ324" s="1" t="s">
        <v>1507</v>
      </c>
      <c r="BR324" s="1" t="s">
        <v>1507</v>
      </c>
      <c r="BS324" s="1" t="s">
        <v>13744</v>
      </c>
      <c r="BT324" s="1" t="s">
        <v>12038</v>
      </c>
      <c r="BU324" s="1" t="str">
        <f>HYPERLINK("https%3A%2F%2Fwww.webofscience.com%2Fwos%2Fwoscc%2Ffull-record%2FWOS:000459886600055","View Full Record in Web of Science")</f>
        <v>View Full Record in Web of Science</v>
      </c>
    </row>
    <row r="325" spans="1:73" x14ac:dyDescent="0.25">
      <c r="A325" s="1">
        <v>360</v>
      </c>
      <c r="B325" s="1" t="s">
        <v>1506</v>
      </c>
      <c r="C325" s="1" t="s">
        <v>4836</v>
      </c>
      <c r="D325" s="1" t="s">
        <v>1507</v>
      </c>
      <c r="E325" s="1" t="s">
        <v>1507</v>
      </c>
      <c r="F325" s="1" t="s">
        <v>1507</v>
      </c>
      <c r="G325" s="1" t="s">
        <v>4837</v>
      </c>
      <c r="H325" s="1" t="s">
        <v>1507</v>
      </c>
      <c r="I325" s="1" t="s">
        <v>1507</v>
      </c>
      <c r="J325" s="1" t="s">
        <v>4838</v>
      </c>
      <c r="K325" s="1" t="s">
        <v>1657</v>
      </c>
      <c r="L325" s="1" t="s">
        <v>1507</v>
      </c>
      <c r="M325" s="1" t="s">
        <v>1507</v>
      </c>
      <c r="N325" s="1" t="s">
        <v>42</v>
      </c>
      <c r="O325" s="1" t="s">
        <v>56</v>
      </c>
      <c r="P325" s="1" t="s">
        <v>1507</v>
      </c>
      <c r="Q325" s="1" t="s">
        <v>1507</v>
      </c>
      <c r="R325" s="1" t="s">
        <v>1507</v>
      </c>
      <c r="S325" s="1" t="s">
        <v>1507</v>
      </c>
      <c r="T325" s="1" t="s">
        <v>1507</v>
      </c>
      <c r="U325" s="1" t="s">
        <v>4839</v>
      </c>
      <c r="V325" s="1" t="s">
        <v>1507</v>
      </c>
      <c r="W325" s="1" t="s">
        <v>4840</v>
      </c>
      <c r="X325" s="1" t="s">
        <v>4841</v>
      </c>
      <c r="Y325" s="1" t="s">
        <v>4842</v>
      </c>
      <c r="Z325" s="1" t="s">
        <v>4843</v>
      </c>
      <c r="AA325" s="1" t="s">
        <v>4844</v>
      </c>
      <c r="AB325" s="1" t="s">
        <v>14687</v>
      </c>
      <c r="AC325" s="1" t="s">
        <v>14688</v>
      </c>
      <c r="AD325" s="1" t="s">
        <v>4845</v>
      </c>
      <c r="AE325" s="1" t="s">
        <v>4846</v>
      </c>
      <c r="AF325" s="1" t="s">
        <v>4847</v>
      </c>
      <c r="AG325" s="1" t="s">
        <v>1507</v>
      </c>
      <c r="AH325" s="1">
        <v>16</v>
      </c>
      <c r="AI325" s="1">
        <v>40</v>
      </c>
      <c r="AJ325" s="1">
        <v>40</v>
      </c>
      <c r="AK325" s="1">
        <v>127</v>
      </c>
      <c r="AL325" s="1">
        <v>148</v>
      </c>
      <c r="AM325" s="1" t="s">
        <v>1667</v>
      </c>
      <c r="AN325" s="1" t="s">
        <v>1668</v>
      </c>
      <c r="AO325" s="1" t="s">
        <v>1669</v>
      </c>
      <c r="AP325" s="1" t="s">
        <v>1670</v>
      </c>
      <c r="AQ325" s="1" t="s">
        <v>1507</v>
      </c>
      <c r="AR325" s="1" t="s">
        <v>1507</v>
      </c>
      <c r="AS325" s="1" t="s">
        <v>1671</v>
      </c>
      <c r="AT325" s="1" t="s">
        <v>567</v>
      </c>
      <c r="AU325" s="1" t="s">
        <v>4848</v>
      </c>
      <c r="AV325" s="1">
        <v>2023</v>
      </c>
      <c r="AW325" s="1">
        <v>25</v>
      </c>
      <c r="AX325" s="1" t="s">
        <v>1507</v>
      </c>
      <c r="AY325" s="1" t="s">
        <v>1507</v>
      </c>
      <c r="AZ325" s="1" t="s">
        <v>1507</v>
      </c>
      <c r="BA325" s="1" t="s">
        <v>1507</v>
      </c>
      <c r="BB325" s="1" t="s">
        <v>1507</v>
      </c>
      <c r="BC325" s="1" t="s">
        <v>1507</v>
      </c>
      <c r="BD325" s="1" t="s">
        <v>1507</v>
      </c>
      <c r="BE325" s="1" t="s">
        <v>4849</v>
      </c>
      <c r="BF325" s="1" t="s">
        <v>4850</v>
      </c>
      <c r="BG325" s="1" t="str">
        <f>HYPERLINK("http://dx.doi.org/10.2196/46924","http://dx.doi.org/10.2196/46924")</f>
        <v>http://dx.doi.org/10.2196/46924</v>
      </c>
      <c r="BH325" s="1" t="s">
        <v>1507</v>
      </c>
      <c r="BI325" s="1" t="s">
        <v>1507</v>
      </c>
      <c r="BJ325" s="1">
        <v>8</v>
      </c>
      <c r="BK325" s="1" t="s">
        <v>1585</v>
      </c>
      <c r="BL325" s="1" t="s">
        <v>1573</v>
      </c>
      <c r="BM325" s="1" t="s">
        <v>1585</v>
      </c>
      <c r="BN325" s="1" t="s">
        <v>4851</v>
      </c>
      <c r="BO325" s="1">
        <v>37256685</v>
      </c>
      <c r="BP325" s="1" t="s">
        <v>1952</v>
      </c>
      <c r="BQ325" s="1" t="s">
        <v>1507</v>
      </c>
      <c r="BR325" s="1" t="s">
        <v>1507</v>
      </c>
      <c r="BS325" s="1" t="s">
        <v>13744</v>
      </c>
      <c r="BT325" s="1" t="s">
        <v>4852</v>
      </c>
      <c r="BU325" s="1" t="str">
        <f>HYPERLINK("https%3A%2F%2Fwww.webofscience.com%2Fwos%2Fwoscc%2Ffull-record%2FWOS:001022158000003","View Full Record in Web of Science")</f>
        <v>View Full Record in Web of Science</v>
      </c>
    </row>
    <row r="326" spans="1:73" x14ac:dyDescent="0.25">
      <c r="A326" s="1">
        <v>361</v>
      </c>
      <c r="B326" s="1" t="s">
        <v>5546</v>
      </c>
      <c r="C326" s="1" t="s">
        <v>6167</v>
      </c>
      <c r="D326" s="1" t="s">
        <v>1507</v>
      </c>
      <c r="E326" s="1" t="s">
        <v>1507</v>
      </c>
      <c r="F326" s="1" t="s">
        <v>5548</v>
      </c>
      <c r="G326" s="1" t="s">
        <v>6168</v>
      </c>
      <c r="H326" s="1" t="s">
        <v>1507</v>
      </c>
      <c r="I326" s="1" t="s">
        <v>1507</v>
      </c>
      <c r="J326" s="1" t="s">
        <v>6169</v>
      </c>
      <c r="K326" s="1" t="s">
        <v>6170</v>
      </c>
      <c r="L326" s="1" t="s">
        <v>1507</v>
      </c>
      <c r="M326" s="1" t="s">
        <v>1507</v>
      </c>
      <c r="N326" s="1" t="s">
        <v>42</v>
      </c>
      <c r="O326" s="1" t="s">
        <v>5552</v>
      </c>
      <c r="P326" s="1" t="s">
        <v>6171</v>
      </c>
      <c r="Q326" s="1" t="s">
        <v>6172</v>
      </c>
      <c r="R326" s="1" t="s">
        <v>6173</v>
      </c>
      <c r="S326" s="1" t="s">
        <v>6174</v>
      </c>
      <c r="T326" s="1" t="s">
        <v>1507</v>
      </c>
      <c r="U326" s="1" t="s">
        <v>6175</v>
      </c>
      <c r="V326" s="1" t="s">
        <v>6176</v>
      </c>
      <c r="W326" s="1" t="s">
        <v>6177</v>
      </c>
      <c r="X326" s="1" t="s">
        <v>6178</v>
      </c>
      <c r="Y326" s="1" t="s">
        <v>6179</v>
      </c>
      <c r="Z326" s="1" t="s">
        <v>6180</v>
      </c>
      <c r="AA326" s="1" t="s">
        <v>1507</v>
      </c>
      <c r="AB326" s="1" t="s">
        <v>1507</v>
      </c>
      <c r="AC326" s="1" t="s">
        <v>15222</v>
      </c>
      <c r="AD326" s="1" t="s">
        <v>1507</v>
      </c>
      <c r="AE326" s="1" t="s">
        <v>1507</v>
      </c>
      <c r="AF326" s="1" t="s">
        <v>1507</v>
      </c>
      <c r="AG326" s="1" t="s">
        <v>1507</v>
      </c>
      <c r="AH326" s="1">
        <v>60</v>
      </c>
      <c r="AI326" s="1">
        <v>0</v>
      </c>
      <c r="AJ326" s="1">
        <v>0</v>
      </c>
      <c r="AK326" s="1">
        <v>3</v>
      </c>
      <c r="AL326" s="1">
        <v>3</v>
      </c>
      <c r="AM326" s="1" t="s">
        <v>5565</v>
      </c>
      <c r="AN326" s="1" t="s">
        <v>1512</v>
      </c>
      <c r="AO326" s="1" t="s">
        <v>5566</v>
      </c>
      <c r="AP326" s="1" t="s">
        <v>1507</v>
      </c>
      <c r="AQ326" s="1" t="s">
        <v>1507</v>
      </c>
      <c r="AR326" s="1" t="s">
        <v>6181</v>
      </c>
      <c r="AS326" s="1" t="s">
        <v>1507</v>
      </c>
      <c r="AT326" s="1" t="s">
        <v>1507</v>
      </c>
      <c r="AU326" s="1" t="s">
        <v>1507</v>
      </c>
      <c r="AV326" s="1">
        <v>2023</v>
      </c>
      <c r="AW326" s="1" t="s">
        <v>1507</v>
      </c>
      <c r="AX326" s="1" t="s">
        <v>1507</v>
      </c>
      <c r="AY326" s="1" t="s">
        <v>1507</v>
      </c>
      <c r="AZ326" s="1" t="s">
        <v>1507</v>
      </c>
      <c r="BA326" s="1" t="s">
        <v>1507</v>
      </c>
      <c r="BB326" s="1" t="s">
        <v>1507</v>
      </c>
      <c r="BC326" s="1">
        <v>196</v>
      </c>
      <c r="BD326" s="1">
        <v>204</v>
      </c>
      <c r="BE326" s="1" t="s">
        <v>1507</v>
      </c>
      <c r="BF326" s="1" t="s">
        <v>6182</v>
      </c>
      <c r="BG326" s="1" t="str">
        <f>HYPERLINK("http://dx.doi.org/10.1145/3626111.3628183","http://dx.doi.org/10.1145/3626111.3628183")</f>
        <v>http://dx.doi.org/10.1145/3626111.3628183</v>
      </c>
      <c r="BH326" s="1" t="s">
        <v>1507</v>
      </c>
      <c r="BI326" s="1" t="s">
        <v>1507</v>
      </c>
      <c r="BJ326" s="1">
        <v>9</v>
      </c>
      <c r="BK326" s="1" t="s">
        <v>6183</v>
      </c>
      <c r="BL326" s="1" t="s">
        <v>5570</v>
      </c>
      <c r="BM326" s="1" t="s">
        <v>5671</v>
      </c>
      <c r="BN326" s="1" t="s">
        <v>6184</v>
      </c>
      <c r="BO326" s="1" t="s">
        <v>1507</v>
      </c>
      <c r="BP326" s="1" t="s">
        <v>1600</v>
      </c>
      <c r="BQ326" s="1" t="s">
        <v>1507</v>
      </c>
      <c r="BR326" s="1" t="s">
        <v>1507</v>
      </c>
      <c r="BS326" s="1" t="s">
        <v>13744</v>
      </c>
      <c r="BT326" s="1" t="s">
        <v>6185</v>
      </c>
      <c r="BU326" s="1" t="str">
        <f>HYPERLINK("https%3A%2F%2Fwww.webofscience.com%2Fwos%2Fwoscc%2Ffull-record%2FWOS:001124843800026","View Full Record in Web of Science")</f>
        <v>View Full Record in Web of Science</v>
      </c>
    </row>
    <row r="327" spans="1:73" x14ac:dyDescent="0.25">
      <c r="A327" s="1">
        <v>363</v>
      </c>
      <c r="B327" s="1" t="s">
        <v>1506</v>
      </c>
      <c r="C327" s="1" t="s">
        <v>10625</v>
      </c>
      <c r="D327" s="1" t="s">
        <v>1507</v>
      </c>
      <c r="E327" s="1" t="s">
        <v>1507</v>
      </c>
      <c r="F327" s="1" t="s">
        <v>1507</v>
      </c>
      <c r="G327" s="1" t="s">
        <v>10626</v>
      </c>
      <c r="H327" s="1" t="s">
        <v>1507</v>
      </c>
      <c r="I327" s="1" t="s">
        <v>1507</v>
      </c>
      <c r="J327" s="1" t="s">
        <v>10627</v>
      </c>
      <c r="K327" s="1" t="s">
        <v>10628</v>
      </c>
      <c r="L327" s="1" t="s">
        <v>1507</v>
      </c>
      <c r="M327" s="1" t="s">
        <v>1507</v>
      </c>
      <c r="N327" s="1" t="s">
        <v>42</v>
      </c>
      <c r="O327" s="1" t="s">
        <v>56</v>
      </c>
      <c r="P327" s="1" t="s">
        <v>1507</v>
      </c>
      <c r="Q327" s="1" t="s">
        <v>1507</v>
      </c>
      <c r="R327" s="1" t="s">
        <v>1507</v>
      </c>
      <c r="S327" s="1" t="s">
        <v>1507</v>
      </c>
      <c r="T327" s="1" t="s">
        <v>1507</v>
      </c>
      <c r="U327" s="1" t="s">
        <v>10629</v>
      </c>
      <c r="V327" s="1" t="s">
        <v>10630</v>
      </c>
      <c r="W327" s="1" t="s">
        <v>10631</v>
      </c>
      <c r="X327" s="1" t="s">
        <v>10632</v>
      </c>
      <c r="Y327" s="1" t="s">
        <v>10633</v>
      </c>
      <c r="Z327" s="1" t="s">
        <v>10634</v>
      </c>
      <c r="AA327" s="1" t="s">
        <v>10635</v>
      </c>
      <c r="AB327" s="1" t="s">
        <v>15892</v>
      </c>
      <c r="AC327" s="1" t="s">
        <v>15893</v>
      </c>
      <c r="AD327" s="1" t="s">
        <v>10636</v>
      </c>
      <c r="AE327" s="1" t="s">
        <v>10637</v>
      </c>
      <c r="AF327" s="1" t="s">
        <v>10638</v>
      </c>
      <c r="AG327" s="1" t="s">
        <v>1507</v>
      </c>
      <c r="AH327" s="1">
        <v>84</v>
      </c>
      <c r="AI327" s="1">
        <v>11</v>
      </c>
      <c r="AJ327" s="1">
        <v>12</v>
      </c>
      <c r="AK327" s="1">
        <v>1</v>
      </c>
      <c r="AL327" s="1">
        <v>15</v>
      </c>
      <c r="AM327" s="1" t="s">
        <v>3156</v>
      </c>
      <c r="AN327" s="1" t="s">
        <v>3157</v>
      </c>
      <c r="AO327" s="1" t="s">
        <v>3158</v>
      </c>
      <c r="AP327" s="1" t="s">
        <v>10639</v>
      </c>
      <c r="AQ327" s="1" t="s">
        <v>10640</v>
      </c>
      <c r="AR327" s="1" t="s">
        <v>1507</v>
      </c>
      <c r="AS327" s="1" t="s">
        <v>10641</v>
      </c>
      <c r="AT327" s="1" t="s">
        <v>10642</v>
      </c>
      <c r="AU327" s="1" t="s">
        <v>2889</v>
      </c>
      <c r="AV327" s="1">
        <v>2019</v>
      </c>
      <c r="AW327" s="1">
        <v>130</v>
      </c>
      <c r="AX327" s="1" t="s">
        <v>1507</v>
      </c>
      <c r="AY327" s="1" t="s">
        <v>1507</v>
      </c>
      <c r="AZ327" s="1" t="s">
        <v>1507</v>
      </c>
      <c r="BA327" s="1" t="s">
        <v>1507</v>
      </c>
      <c r="BB327" s="1" t="s">
        <v>1507</v>
      </c>
      <c r="BC327" s="1" t="s">
        <v>1507</v>
      </c>
      <c r="BD327" s="1" t="s">
        <v>1507</v>
      </c>
      <c r="BE327" s="1">
        <v>104506</v>
      </c>
      <c r="BF327" s="1" t="s">
        <v>10643</v>
      </c>
      <c r="BG327" s="1" t="str">
        <f>HYPERLINK("http://dx.doi.org/10.1016/j.nbd.2019.104506","http://dx.doi.org/10.1016/j.nbd.2019.104506")</f>
        <v>http://dx.doi.org/10.1016/j.nbd.2019.104506</v>
      </c>
      <c r="BH327" s="1" t="s">
        <v>1507</v>
      </c>
      <c r="BI327" s="1" t="s">
        <v>1507</v>
      </c>
      <c r="BJ327" s="1">
        <v>17</v>
      </c>
      <c r="BK327" s="1" t="s">
        <v>10644</v>
      </c>
      <c r="BL327" s="1" t="s">
        <v>1573</v>
      </c>
      <c r="BM327" s="1" t="s">
        <v>2868</v>
      </c>
      <c r="BN327" s="1" t="s">
        <v>10645</v>
      </c>
      <c r="BO327" s="1">
        <v>31220556</v>
      </c>
      <c r="BP327" s="1" t="s">
        <v>1574</v>
      </c>
      <c r="BQ327" s="1" t="s">
        <v>1507</v>
      </c>
      <c r="BR327" s="1" t="s">
        <v>1507</v>
      </c>
      <c r="BS327" s="1" t="s">
        <v>13744</v>
      </c>
      <c r="BT327" s="1" t="s">
        <v>10646</v>
      </c>
      <c r="BU327" s="1" t="str">
        <f>HYPERLINK("https%3A%2F%2Fwww.webofscience.com%2Fwos%2Fwoscc%2Ffull-record%2FWOS:000481565000031","View Full Record in Web of Science")</f>
        <v>View Full Record in Web of Science</v>
      </c>
    </row>
    <row r="328" spans="1:73" x14ac:dyDescent="0.25">
      <c r="A328" s="1">
        <v>364</v>
      </c>
      <c r="B328" s="1" t="s">
        <v>1506</v>
      </c>
      <c r="C328" s="1" t="s">
        <v>11634</v>
      </c>
      <c r="D328" s="1" t="s">
        <v>1507</v>
      </c>
      <c r="E328" s="1" t="s">
        <v>1507</v>
      </c>
      <c r="F328" s="1" t="s">
        <v>1507</v>
      </c>
      <c r="G328" s="1" t="s">
        <v>11635</v>
      </c>
      <c r="H328" s="1" t="s">
        <v>1507</v>
      </c>
      <c r="I328" s="1" t="s">
        <v>1507</v>
      </c>
      <c r="J328" s="1" t="s">
        <v>11636</v>
      </c>
      <c r="K328" s="1" t="s">
        <v>11637</v>
      </c>
      <c r="L328" s="1" t="s">
        <v>1507</v>
      </c>
      <c r="M328" s="1" t="s">
        <v>1507</v>
      </c>
      <c r="N328" s="1" t="s">
        <v>42</v>
      </c>
      <c r="O328" s="1" t="s">
        <v>56</v>
      </c>
      <c r="P328" s="1" t="s">
        <v>1507</v>
      </c>
      <c r="Q328" s="1" t="s">
        <v>1507</v>
      </c>
      <c r="R328" s="1" t="s">
        <v>1507</v>
      </c>
      <c r="S328" s="1" t="s">
        <v>1507</v>
      </c>
      <c r="T328" s="1" t="s">
        <v>1507</v>
      </c>
      <c r="U328" s="1" t="s">
        <v>11638</v>
      </c>
      <c r="V328" s="1" t="s">
        <v>11639</v>
      </c>
      <c r="W328" s="1" t="s">
        <v>11640</v>
      </c>
      <c r="X328" s="1" t="s">
        <v>11641</v>
      </c>
      <c r="Y328" s="1" t="s">
        <v>16002</v>
      </c>
      <c r="Z328" s="1" t="s">
        <v>11642</v>
      </c>
      <c r="AA328" s="1" t="s">
        <v>10822</v>
      </c>
      <c r="AB328" s="1" t="s">
        <v>11643</v>
      </c>
      <c r="AC328" s="1" t="s">
        <v>11644</v>
      </c>
      <c r="AD328" s="1" t="s">
        <v>11645</v>
      </c>
      <c r="AE328" s="1" t="s">
        <v>11646</v>
      </c>
      <c r="AF328" s="1" t="s">
        <v>11647</v>
      </c>
      <c r="AG328" s="1" t="s">
        <v>1507</v>
      </c>
      <c r="AH328" s="1">
        <v>95</v>
      </c>
      <c r="AI328" s="1">
        <v>21</v>
      </c>
      <c r="AJ328" s="1">
        <v>22</v>
      </c>
      <c r="AK328" s="1">
        <v>0</v>
      </c>
      <c r="AL328" s="1">
        <v>11</v>
      </c>
      <c r="AM328" s="1" t="s">
        <v>3156</v>
      </c>
      <c r="AN328" s="1" t="s">
        <v>3157</v>
      </c>
      <c r="AO328" s="1" t="s">
        <v>3158</v>
      </c>
      <c r="AP328" s="1" t="s">
        <v>11648</v>
      </c>
      <c r="AQ328" s="1" t="s">
        <v>11649</v>
      </c>
      <c r="AR328" s="1" t="s">
        <v>1507</v>
      </c>
      <c r="AS328" s="1" t="s">
        <v>11650</v>
      </c>
      <c r="AT328" s="1" t="s">
        <v>11651</v>
      </c>
      <c r="AU328" s="1" t="s">
        <v>4336</v>
      </c>
      <c r="AV328" s="1">
        <v>2018</v>
      </c>
      <c r="AW328" s="1">
        <v>330</v>
      </c>
      <c r="AX328" s="1" t="s">
        <v>1507</v>
      </c>
      <c r="AY328" s="1" t="s">
        <v>1507</v>
      </c>
      <c r="AZ328" s="1" t="s">
        <v>1507</v>
      </c>
      <c r="BA328" s="1" t="s">
        <v>3506</v>
      </c>
      <c r="BB328" s="1" t="s">
        <v>1507</v>
      </c>
      <c r="BC328" s="1">
        <v>136</v>
      </c>
      <c r="BD328" s="1">
        <v>141</v>
      </c>
      <c r="BE328" s="1" t="s">
        <v>1507</v>
      </c>
      <c r="BF328" s="1" t="s">
        <v>11652</v>
      </c>
      <c r="BG328" s="1" t="str">
        <f>HYPERLINK("http://dx.doi.org/10.1016/j.cellimm.2018.01.018","http://dx.doi.org/10.1016/j.cellimm.2018.01.018")</f>
        <v>http://dx.doi.org/10.1016/j.cellimm.2018.01.018</v>
      </c>
      <c r="BH328" s="1" t="s">
        <v>1507</v>
      </c>
      <c r="BI328" s="1" t="s">
        <v>1507</v>
      </c>
      <c r="BJ328" s="1">
        <v>6</v>
      </c>
      <c r="BK328" s="1" t="s">
        <v>11653</v>
      </c>
      <c r="BL328" s="1" t="s">
        <v>1573</v>
      </c>
      <c r="BM328" s="1" t="s">
        <v>11653</v>
      </c>
      <c r="BN328" s="1" t="s">
        <v>11654</v>
      </c>
      <c r="BO328" s="1">
        <v>29422271</v>
      </c>
      <c r="BP328" s="1" t="s">
        <v>1600</v>
      </c>
      <c r="BQ328" s="1" t="s">
        <v>1507</v>
      </c>
      <c r="BR328" s="1" t="s">
        <v>1507</v>
      </c>
      <c r="BS328" s="1" t="s">
        <v>13744</v>
      </c>
      <c r="BT328" s="1" t="s">
        <v>11655</v>
      </c>
      <c r="BU328" s="1" t="str">
        <f>HYPERLINK("https%3A%2F%2Fwww.webofscience.com%2Fwos%2Fwoscc%2Ffull-record%2FWOS:000441889600017","View Full Record in Web of Science")</f>
        <v>View Full Record in Web of Science</v>
      </c>
    </row>
    <row r="329" spans="1:73" x14ac:dyDescent="0.25">
      <c r="A329" s="1">
        <v>365</v>
      </c>
      <c r="B329" s="1" t="s">
        <v>1506</v>
      </c>
      <c r="C329" s="1" t="s">
        <v>9328</v>
      </c>
      <c r="D329" s="1" t="s">
        <v>1507</v>
      </c>
      <c r="E329" s="1" t="s">
        <v>1507</v>
      </c>
      <c r="F329" s="1" t="s">
        <v>1507</v>
      </c>
      <c r="G329" s="1" t="s">
        <v>9329</v>
      </c>
      <c r="H329" s="1" t="s">
        <v>1507</v>
      </c>
      <c r="I329" s="1" t="s">
        <v>1507</v>
      </c>
      <c r="J329" s="1" t="s">
        <v>9330</v>
      </c>
      <c r="K329" s="1" t="s">
        <v>3251</v>
      </c>
      <c r="L329" s="1" t="s">
        <v>1507</v>
      </c>
      <c r="M329" s="1" t="s">
        <v>1507</v>
      </c>
      <c r="N329" s="1" t="s">
        <v>42</v>
      </c>
      <c r="O329" s="1" t="s">
        <v>56</v>
      </c>
      <c r="P329" s="1" t="s">
        <v>1507</v>
      </c>
      <c r="Q329" s="1" t="s">
        <v>1507</v>
      </c>
      <c r="R329" s="1" t="s">
        <v>1507</v>
      </c>
      <c r="S329" s="1" t="s">
        <v>1507</v>
      </c>
      <c r="T329" s="1" t="s">
        <v>1507</v>
      </c>
      <c r="U329" s="1" t="s">
        <v>9331</v>
      </c>
      <c r="V329" s="1" t="s">
        <v>9332</v>
      </c>
      <c r="W329" s="1" t="s">
        <v>9333</v>
      </c>
      <c r="X329" s="1" t="s">
        <v>9334</v>
      </c>
      <c r="Y329" s="1" t="s">
        <v>15781</v>
      </c>
      <c r="Z329" s="1" t="s">
        <v>9335</v>
      </c>
      <c r="AA329" s="1" t="s">
        <v>9336</v>
      </c>
      <c r="AB329" s="1" t="s">
        <v>15782</v>
      </c>
      <c r="AC329" s="1" t="s">
        <v>15783</v>
      </c>
      <c r="AD329" s="1" t="s">
        <v>9337</v>
      </c>
      <c r="AE329" s="1" t="s">
        <v>9338</v>
      </c>
      <c r="AF329" s="1" t="s">
        <v>9339</v>
      </c>
      <c r="AG329" s="1" t="s">
        <v>1507</v>
      </c>
      <c r="AH329" s="1">
        <v>48</v>
      </c>
      <c r="AI329" s="1">
        <v>15</v>
      </c>
      <c r="AJ329" s="1">
        <v>16</v>
      </c>
      <c r="AK329" s="1">
        <v>2</v>
      </c>
      <c r="AL329" s="1">
        <v>14</v>
      </c>
      <c r="AM329" s="1" t="s">
        <v>3263</v>
      </c>
      <c r="AN329" s="1" t="s">
        <v>2300</v>
      </c>
      <c r="AO329" s="1" t="s">
        <v>3264</v>
      </c>
      <c r="AP329" s="1" t="s">
        <v>3265</v>
      </c>
      <c r="AQ329" s="1" t="s">
        <v>3266</v>
      </c>
      <c r="AR329" s="1" t="s">
        <v>1507</v>
      </c>
      <c r="AS329" s="1" t="s">
        <v>3267</v>
      </c>
      <c r="AT329" s="1" t="s">
        <v>3268</v>
      </c>
      <c r="AU329" s="1" t="s">
        <v>9340</v>
      </c>
      <c r="AV329" s="1">
        <v>2020</v>
      </c>
      <c r="AW329" s="1">
        <v>117</v>
      </c>
      <c r="AX329" s="1">
        <v>52</v>
      </c>
      <c r="AY329" s="1" t="s">
        <v>1507</v>
      </c>
      <c r="AZ329" s="1" t="s">
        <v>1507</v>
      </c>
      <c r="BA329" s="1" t="s">
        <v>1507</v>
      </c>
      <c r="BB329" s="1" t="s">
        <v>1507</v>
      </c>
      <c r="BC329" s="1">
        <v>33404</v>
      </c>
      <c r="BD329" s="1">
        <v>33413</v>
      </c>
      <c r="BE329" s="1" t="s">
        <v>1507</v>
      </c>
      <c r="BF329" s="1" t="s">
        <v>9341</v>
      </c>
      <c r="BG329" s="1" t="str">
        <f>HYPERLINK("http://dx.doi.org/10.1073/pnas.2010738117","http://dx.doi.org/10.1073/pnas.2010738117")</f>
        <v>http://dx.doi.org/10.1073/pnas.2010738117</v>
      </c>
      <c r="BH329" s="1" t="s">
        <v>1507</v>
      </c>
      <c r="BI329" s="1" t="s">
        <v>1507</v>
      </c>
      <c r="BJ329" s="1">
        <v>10</v>
      </c>
      <c r="BK329" s="1" t="s">
        <v>1776</v>
      </c>
      <c r="BL329" s="1" t="s">
        <v>1573</v>
      </c>
      <c r="BM329" s="1" t="s">
        <v>1777</v>
      </c>
      <c r="BN329" s="1" t="s">
        <v>9342</v>
      </c>
      <c r="BO329" s="1">
        <v>33376219</v>
      </c>
      <c r="BP329" s="1" t="s">
        <v>9343</v>
      </c>
      <c r="BQ329" s="1" t="s">
        <v>1507</v>
      </c>
      <c r="BR329" s="1" t="s">
        <v>1507</v>
      </c>
      <c r="BS329" s="1" t="s">
        <v>13744</v>
      </c>
      <c r="BT329" s="1" t="s">
        <v>9344</v>
      </c>
      <c r="BU329" s="1" t="str">
        <f>HYPERLINK("https%3A%2F%2Fwww.webofscience.com%2Fwos%2Fwoscc%2Ffull-record%2FWOS:000604551600075","View Full Record in Web of Science")</f>
        <v>View Full Record in Web of Science</v>
      </c>
    </row>
    <row r="330" spans="1:73" x14ac:dyDescent="0.25">
      <c r="A330" s="1">
        <v>366</v>
      </c>
      <c r="B330" s="1" t="s">
        <v>1506</v>
      </c>
      <c r="C330" s="1" t="s">
        <v>3732</v>
      </c>
      <c r="D330" s="1" t="s">
        <v>1507</v>
      </c>
      <c r="E330" s="1" t="s">
        <v>1507</v>
      </c>
      <c r="F330" s="1" t="s">
        <v>1507</v>
      </c>
      <c r="G330" s="1" t="s">
        <v>3733</v>
      </c>
      <c r="H330" s="1" t="s">
        <v>1507</v>
      </c>
      <c r="I330" s="1" t="s">
        <v>1507</v>
      </c>
      <c r="J330" s="1" t="s">
        <v>3734</v>
      </c>
      <c r="K330" s="1" t="s">
        <v>3735</v>
      </c>
      <c r="L330" s="1" t="s">
        <v>1507</v>
      </c>
      <c r="M330" s="1" t="s">
        <v>1507</v>
      </c>
      <c r="N330" s="1" t="s">
        <v>42</v>
      </c>
      <c r="O330" s="1" t="s">
        <v>1509</v>
      </c>
      <c r="P330" s="1" t="s">
        <v>1507</v>
      </c>
      <c r="Q330" s="1" t="s">
        <v>1507</v>
      </c>
      <c r="R330" s="1" t="s">
        <v>1507</v>
      </c>
      <c r="S330" s="1" t="s">
        <v>1507</v>
      </c>
      <c r="T330" s="1" t="s">
        <v>1507</v>
      </c>
      <c r="U330" s="1" t="s">
        <v>3736</v>
      </c>
      <c r="V330" s="1" t="s">
        <v>3737</v>
      </c>
      <c r="W330" s="1" t="s">
        <v>3738</v>
      </c>
      <c r="X330" s="1" t="s">
        <v>3739</v>
      </c>
      <c r="Y330" s="1" t="s">
        <v>3740</v>
      </c>
      <c r="Z330" s="1" t="s">
        <v>3741</v>
      </c>
      <c r="AA330" s="1" t="s">
        <v>3742</v>
      </c>
      <c r="AB330" s="1" t="s">
        <v>3743</v>
      </c>
      <c r="AC330" s="1" t="s">
        <v>14477</v>
      </c>
      <c r="AD330" s="1" t="s">
        <v>3744</v>
      </c>
      <c r="AE330" s="1" t="s">
        <v>3744</v>
      </c>
      <c r="AF330" s="1" t="s">
        <v>3745</v>
      </c>
      <c r="AG330" s="1" t="s">
        <v>1507</v>
      </c>
      <c r="AH330" s="1">
        <v>166</v>
      </c>
      <c r="AI330" s="1">
        <v>1</v>
      </c>
      <c r="AJ330" s="1">
        <v>1</v>
      </c>
      <c r="AK330" s="1">
        <v>31</v>
      </c>
      <c r="AL330" s="1">
        <v>34</v>
      </c>
      <c r="AM330" s="1" t="s">
        <v>1559</v>
      </c>
      <c r="AN330" s="1" t="s">
        <v>1560</v>
      </c>
      <c r="AO330" s="1" t="s">
        <v>1561</v>
      </c>
      <c r="AP330" s="1" t="s">
        <v>3746</v>
      </c>
      <c r="AQ330" s="1" t="s">
        <v>3747</v>
      </c>
      <c r="AR330" s="1" t="s">
        <v>1507</v>
      </c>
      <c r="AS330" s="1" t="s">
        <v>3748</v>
      </c>
      <c r="AT330" s="1" t="s">
        <v>3749</v>
      </c>
      <c r="AU330" s="1" t="s">
        <v>3750</v>
      </c>
      <c r="AV330" s="1">
        <v>2023</v>
      </c>
      <c r="AW330" s="1" t="s">
        <v>1507</v>
      </c>
      <c r="AX330" s="1" t="s">
        <v>1507</v>
      </c>
      <c r="AY330" s="1" t="s">
        <v>1507</v>
      </c>
      <c r="AZ330" s="1" t="s">
        <v>1507</v>
      </c>
      <c r="BA330" s="1" t="s">
        <v>1507</v>
      </c>
      <c r="BB330" s="1" t="s">
        <v>1507</v>
      </c>
      <c r="BC330" s="1" t="s">
        <v>1507</v>
      </c>
      <c r="BD330" s="1" t="s">
        <v>1507</v>
      </c>
      <c r="BE330" s="1" t="s">
        <v>1507</v>
      </c>
      <c r="BF330" s="1" t="s">
        <v>3751</v>
      </c>
      <c r="BG330" s="1" t="str">
        <f>HYPERLINK("http://dx.doi.org/10.1002/tea.21903","http://dx.doi.org/10.1002/tea.21903")</f>
        <v>http://dx.doi.org/10.1002/tea.21903</v>
      </c>
      <c r="BH330" s="1" t="s">
        <v>1507</v>
      </c>
      <c r="BI330" s="1" t="s">
        <v>3689</v>
      </c>
      <c r="BJ330" s="1">
        <v>36</v>
      </c>
      <c r="BK330" s="1" t="s">
        <v>1558</v>
      </c>
      <c r="BL330" s="1" t="s">
        <v>1518</v>
      </c>
      <c r="BM330" s="1" t="s">
        <v>1558</v>
      </c>
      <c r="BN330" s="1" t="s">
        <v>3752</v>
      </c>
      <c r="BO330" s="1" t="s">
        <v>1507</v>
      </c>
      <c r="BP330" s="1" t="s">
        <v>1537</v>
      </c>
      <c r="BQ330" s="1" t="s">
        <v>1507</v>
      </c>
      <c r="BR330" s="1" t="s">
        <v>1507</v>
      </c>
      <c r="BS330" s="1" t="s">
        <v>13744</v>
      </c>
      <c r="BT330" s="1" t="s">
        <v>3753</v>
      </c>
      <c r="BU330" s="1" t="str">
        <f>HYPERLINK("https%3A%2F%2Fwww.webofscience.com%2Fwos%2Fwoscc%2Ffull-record%2FWOS:001068055900001","View Full Record in Web of Science")</f>
        <v>View Full Record in Web of Science</v>
      </c>
    </row>
    <row r="331" spans="1:73" x14ac:dyDescent="0.25">
      <c r="A331" s="1">
        <v>367</v>
      </c>
      <c r="B331" s="1" t="s">
        <v>1506</v>
      </c>
      <c r="C331" s="1" t="s">
        <v>7258</v>
      </c>
      <c r="D331" s="1" t="s">
        <v>1507</v>
      </c>
      <c r="E331" s="1" t="s">
        <v>1507</v>
      </c>
      <c r="F331" s="1" t="s">
        <v>1507</v>
      </c>
      <c r="G331" s="1" t="s">
        <v>7259</v>
      </c>
      <c r="H331" s="1" t="s">
        <v>1507</v>
      </c>
      <c r="I331" s="1" t="s">
        <v>1507</v>
      </c>
      <c r="J331" s="1" t="s">
        <v>7260</v>
      </c>
      <c r="K331" s="1" t="s">
        <v>7261</v>
      </c>
      <c r="L331" s="1" t="s">
        <v>1507</v>
      </c>
      <c r="M331" s="1" t="s">
        <v>1507</v>
      </c>
      <c r="N331" s="1" t="s">
        <v>42</v>
      </c>
      <c r="O331" s="1" t="s">
        <v>56</v>
      </c>
      <c r="P331" s="1" t="s">
        <v>1507</v>
      </c>
      <c r="Q331" s="1" t="s">
        <v>1507</v>
      </c>
      <c r="R331" s="1" t="s">
        <v>1507</v>
      </c>
      <c r="S331" s="1" t="s">
        <v>1507</v>
      </c>
      <c r="T331" s="1" t="s">
        <v>1507</v>
      </c>
      <c r="U331" s="1" t="s">
        <v>1507</v>
      </c>
      <c r="V331" s="1" t="s">
        <v>7262</v>
      </c>
      <c r="W331" s="1" t="s">
        <v>7263</v>
      </c>
      <c r="X331" s="1" t="s">
        <v>7264</v>
      </c>
      <c r="Y331" s="1" t="s">
        <v>15617</v>
      </c>
      <c r="Z331" s="1" t="s">
        <v>7265</v>
      </c>
      <c r="AA331" s="1" t="s">
        <v>7266</v>
      </c>
      <c r="AB331" s="1" t="s">
        <v>1507</v>
      </c>
      <c r="AC331" s="1" t="s">
        <v>15618</v>
      </c>
      <c r="AD331" s="1" t="s">
        <v>7267</v>
      </c>
      <c r="AE331" s="1" t="s">
        <v>7268</v>
      </c>
      <c r="AF331" s="1" t="s">
        <v>7269</v>
      </c>
      <c r="AG331" s="1" t="s">
        <v>1507</v>
      </c>
      <c r="AH331" s="1">
        <v>417</v>
      </c>
      <c r="AI331" s="1">
        <v>8</v>
      </c>
      <c r="AJ331" s="1">
        <v>8</v>
      </c>
      <c r="AK331" s="1">
        <v>1</v>
      </c>
      <c r="AL331" s="1">
        <v>4</v>
      </c>
      <c r="AM331" s="1" t="s">
        <v>1586</v>
      </c>
      <c r="AN331" s="1" t="s">
        <v>1583</v>
      </c>
      <c r="AO331" s="1" t="s">
        <v>3684</v>
      </c>
      <c r="AP331" s="1" t="s">
        <v>7270</v>
      </c>
      <c r="AQ331" s="1" t="s">
        <v>7271</v>
      </c>
      <c r="AR331" s="1" t="s">
        <v>1507</v>
      </c>
      <c r="AS331" s="1" t="s">
        <v>7261</v>
      </c>
      <c r="AT331" s="1" t="s">
        <v>7272</v>
      </c>
      <c r="AU331" s="1" t="s">
        <v>4721</v>
      </c>
      <c r="AV331" s="1">
        <v>2022</v>
      </c>
      <c r="AW331" s="1">
        <v>104</v>
      </c>
      <c r="AX331" s="1" t="s">
        <v>1507</v>
      </c>
      <c r="AY331" s="1" t="s">
        <v>1507</v>
      </c>
      <c r="AZ331" s="1" t="s">
        <v>1507</v>
      </c>
      <c r="BA331" s="1" t="s">
        <v>1507</v>
      </c>
      <c r="BB331" s="1" t="s">
        <v>1507</v>
      </c>
      <c r="BC331" s="1" t="s">
        <v>1507</v>
      </c>
      <c r="BD331" s="1" t="s">
        <v>1507</v>
      </c>
      <c r="BE331" s="1">
        <v>102582</v>
      </c>
      <c r="BF331" s="1" t="s">
        <v>7273</v>
      </c>
      <c r="BG331" s="1" t="str">
        <f>HYPERLINK("http://dx.doi.org/10.1016/j.ceca.2022.102582","http://dx.doi.org/10.1016/j.ceca.2022.102582")</f>
        <v>http://dx.doi.org/10.1016/j.ceca.2022.102582</v>
      </c>
      <c r="BH331" s="1" t="s">
        <v>1507</v>
      </c>
      <c r="BI331" s="1" t="s">
        <v>7274</v>
      </c>
      <c r="BJ331" s="1">
        <v>21</v>
      </c>
      <c r="BK331" s="1" t="s">
        <v>7275</v>
      </c>
      <c r="BL331" s="1" t="s">
        <v>1573</v>
      </c>
      <c r="BM331" s="1" t="s">
        <v>7275</v>
      </c>
      <c r="BN331" s="1" t="s">
        <v>7276</v>
      </c>
      <c r="BO331" s="1">
        <v>35462080</v>
      </c>
      <c r="BP331" s="1" t="s">
        <v>2309</v>
      </c>
      <c r="BQ331" s="1" t="s">
        <v>1507</v>
      </c>
      <c r="BR331" s="1" t="s">
        <v>1507</v>
      </c>
      <c r="BS331" s="1" t="s">
        <v>13744</v>
      </c>
      <c r="BT331" s="1" t="s">
        <v>7277</v>
      </c>
      <c r="BU331" s="1" t="str">
        <f>HYPERLINK("https%3A%2F%2Fwww.webofscience.com%2Fwos%2Fwoscc%2Ffull-record%2FWOS:000793724600005","View Full Record in Web of Science")</f>
        <v>View Full Record in Web of Science</v>
      </c>
    </row>
    <row r="332" spans="1:73" x14ac:dyDescent="0.25">
      <c r="A332" s="1">
        <v>368</v>
      </c>
      <c r="B332" s="1" t="s">
        <v>1506</v>
      </c>
      <c r="C332" s="1" t="s">
        <v>10647</v>
      </c>
      <c r="D332" s="1" t="s">
        <v>1507</v>
      </c>
      <c r="E332" s="1" t="s">
        <v>1507</v>
      </c>
      <c r="F332" s="1" t="s">
        <v>1507</v>
      </c>
      <c r="G332" s="1" t="s">
        <v>10648</v>
      </c>
      <c r="H332" s="1" t="s">
        <v>1507</v>
      </c>
      <c r="I332" s="1" t="s">
        <v>1507</v>
      </c>
      <c r="J332" s="1" t="s">
        <v>10649</v>
      </c>
      <c r="K332" s="1" t="s">
        <v>10187</v>
      </c>
      <c r="L332" s="1" t="s">
        <v>1507</v>
      </c>
      <c r="M332" s="1" t="s">
        <v>1507</v>
      </c>
      <c r="N332" s="1" t="s">
        <v>42</v>
      </c>
      <c r="O332" s="1" t="s">
        <v>56</v>
      </c>
      <c r="P332" s="1" t="s">
        <v>1507</v>
      </c>
      <c r="Q332" s="1" t="s">
        <v>1507</v>
      </c>
      <c r="R332" s="1" t="s">
        <v>1507</v>
      </c>
      <c r="S332" s="1" t="s">
        <v>1507</v>
      </c>
      <c r="T332" s="1" t="s">
        <v>1507</v>
      </c>
      <c r="U332" s="1" t="s">
        <v>1507</v>
      </c>
      <c r="V332" s="1" t="s">
        <v>10650</v>
      </c>
      <c r="W332" s="1" t="s">
        <v>10651</v>
      </c>
      <c r="X332" s="1" t="s">
        <v>10652</v>
      </c>
      <c r="Y332" s="1" t="s">
        <v>10653</v>
      </c>
      <c r="Z332" s="1" t="s">
        <v>10654</v>
      </c>
      <c r="AA332" s="1" t="s">
        <v>10655</v>
      </c>
      <c r="AB332" s="1" t="s">
        <v>10656</v>
      </c>
      <c r="AC332" s="1" t="s">
        <v>15894</v>
      </c>
      <c r="AD332" s="1" t="s">
        <v>10657</v>
      </c>
      <c r="AE332" s="1" t="s">
        <v>10658</v>
      </c>
      <c r="AF332" s="1" t="s">
        <v>10659</v>
      </c>
      <c r="AG332" s="1" t="s">
        <v>1507</v>
      </c>
      <c r="AH332" s="1">
        <v>41</v>
      </c>
      <c r="AI332" s="1">
        <v>3</v>
      </c>
      <c r="AJ332" s="1">
        <v>3</v>
      </c>
      <c r="AK332" s="1">
        <v>0</v>
      </c>
      <c r="AL332" s="1">
        <v>19</v>
      </c>
      <c r="AM332" s="1" t="s">
        <v>2372</v>
      </c>
      <c r="AN332" s="1" t="s">
        <v>2300</v>
      </c>
      <c r="AO332" s="1" t="s">
        <v>2373</v>
      </c>
      <c r="AP332" s="1" t="s">
        <v>10197</v>
      </c>
      <c r="AQ332" s="1" t="s">
        <v>10198</v>
      </c>
      <c r="AR332" s="1" t="s">
        <v>1507</v>
      </c>
      <c r="AS332" s="1" t="s">
        <v>10199</v>
      </c>
      <c r="AT332" s="1" t="s">
        <v>10200</v>
      </c>
      <c r="AU332" s="1" t="s">
        <v>10660</v>
      </c>
      <c r="AV332" s="1">
        <v>2019</v>
      </c>
      <c r="AW332" s="1">
        <v>123</v>
      </c>
      <c r="AX332" s="1">
        <v>35</v>
      </c>
      <c r="AY332" s="1" t="s">
        <v>1507</v>
      </c>
      <c r="AZ332" s="1" t="s">
        <v>1507</v>
      </c>
      <c r="BA332" s="1" t="s">
        <v>1507</v>
      </c>
      <c r="BB332" s="1" t="s">
        <v>1507</v>
      </c>
      <c r="BC332" s="1">
        <v>21788</v>
      </c>
      <c r="BD332" s="1">
        <v>21795</v>
      </c>
      <c r="BE332" s="1" t="s">
        <v>1507</v>
      </c>
      <c r="BF332" s="1" t="s">
        <v>10661</v>
      </c>
      <c r="BG332" s="1" t="str">
        <f>HYPERLINK("http://dx.doi.org/10.1021/acs.jpcc.9b06180","http://dx.doi.org/10.1021/acs.jpcc.9b06180")</f>
        <v>http://dx.doi.org/10.1021/acs.jpcc.9b06180</v>
      </c>
      <c r="BH332" s="1" t="s">
        <v>1507</v>
      </c>
      <c r="BI332" s="1" t="s">
        <v>1507</v>
      </c>
      <c r="BJ332" s="1">
        <v>8</v>
      </c>
      <c r="BK332" s="1" t="s">
        <v>10203</v>
      </c>
      <c r="BL332" s="1" t="s">
        <v>1573</v>
      </c>
      <c r="BM332" s="1" t="s">
        <v>8919</v>
      </c>
      <c r="BN332" s="1" t="s">
        <v>10662</v>
      </c>
      <c r="BO332" s="1" t="s">
        <v>1507</v>
      </c>
      <c r="BP332" s="1" t="s">
        <v>1600</v>
      </c>
      <c r="BQ332" s="1" t="s">
        <v>1507</v>
      </c>
      <c r="BR332" s="1" t="s">
        <v>1507</v>
      </c>
      <c r="BS332" s="1" t="s">
        <v>13744</v>
      </c>
      <c r="BT332" s="1" t="s">
        <v>10663</v>
      </c>
      <c r="BU332" s="1" t="str">
        <f>HYPERLINK("https%3A%2F%2Fwww.webofscience.com%2Fwos%2Fwoscc%2Ffull-record%2FWOS:000484882500054","View Full Record in Web of Science")</f>
        <v>View Full Record in Web of Science</v>
      </c>
    </row>
    <row r="333" spans="1:73" x14ac:dyDescent="0.25">
      <c r="A333" s="1">
        <v>369</v>
      </c>
      <c r="B333" s="1" t="s">
        <v>1506</v>
      </c>
      <c r="C333" s="1" t="s">
        <v>8251</v>
      </c>
      <c r="D333" s="1" t="s">
        <v>1507</v>
      </c>
      <c r="E333" s="1" t="s">
        <v>1507</v>
      </c>
      <c r="F333" s="1" t="s">
        <v>1507</v>
      </c>
      <c r="G333" s="1" t="s">
        <v>8252</v>
      </c>
      <c r="H333" s="1" t="s">
        <v>1507</v>
      </c>
      <c r="I333" s="1" t="s">
        <v>1507</v>
      </c>
      <c r="J333" s="1" t="s">
        <v>8253</v>
      </c>
      <c r="K333" s="1" t="s">
        <v>8254</v>
      </c>
      <c r="L333" s="1" t="s">
        <v>1507</v>
      </c>
      <c r="M333" s="1" t="s">
        <v>1507</v>
      </c>
      <c r="N333" s="1" t="s">
        <v>42</v>
      </c>
      <c r="O333" s="1" t="s">
        <v>56</v>
      </c>
      <c r="P333" s="1" t="s">
        <v>1507</v>
      </c>
      <c r="Q333" s="1" t="s">
        <v>1507</v>
      </c>
      <c r="R333" s="1" t="s">
        <v>1507</v>
      </c>
      <c r="S333" s="1" t="s">
        <v>1507</v>
      </c>
      <c r="T333" s="1" t="s">
        <v>1507</v>
      </c>
      <c r="U333" s="1" t="s">
        <v>8255</v>
      </c>
      <c r="V333" s="1" t="s">
        <v>8256</v>
      </c>
      <c r="W333" s="1" t="s">
        <v>8257</v>
      </c>
      <c r="X333" s="1" t="s">
        <v>8258</v>
      </c>
      <c r="Y333" s="1" t="s">
        <v>8259</v>
      </c>
      <c r="Z333" s="1" t="s">
        <v>8260</v>
      </c>
      <c r="AA333" s="1" t="s">
        <v>8261</v>
      </c>
      <c r="AB333" s="1" t="s">
        <v>1507</v>
      </c>
      <c r="AC333" s="1" t="s">
        <v>8262</v>
      </c>
      <c r="AD333" s="1" t="s">
        <v>8263</v>
      </c>
      <c r="AE333" s="1" t="s">
        <v>8264</v>
      </c>
      <c r="AF333" s="1" t="s">
        <v>8265</v>
      </c>
      <c r="AG333" s="1" t="s">
        <v>1507</v>
      </c>
      <c r="AH333" s="1">
        <v>40</v>
      </c>
      <c r="AI333" s="1">
        <v>0</v>
      </c>
      <c r="AJ333" s="1">
        <v>0</v>
      </c>
      <c r="AK333" s="1">
        <v>0</v>
      </c>
      <c r="AL333" s="1">
        <v>5</v>
      </c>
      <c r="AM333" s="1" t="s">
        <v>1900</v>
      </c>
      <c r="AN333" s="1" t="s">
        <v>1583</v>
      </c>
      <c r="AO333" s="1" t="s">
        <v>1901</v>
      </c>
      <c r="AP333" s="1" t="s">
        <v>8266</v>
      </c>
      <c r="AQ333" s="1" t="s">
        <v>8267</v>
      </c>
      <c r="AR333" s="1" t="s">
        <v>1507</v>
      </c>
      <c r="AS333" s="1" t="s">
        <v>8268</v>
      </c>
      <c r="AT333" s="1" t="s">
        <v>8269</v>
      </c>
      <c r="AU333" s="1" t="s">
        <v>12091</v>
      </c>
      <c r="AV333" s="1">
        <v>2021</v>
      </c>
      <c r="AW333" s="1">
        <v>50</v>
      </c>
      <c r="AX333" s="1" t="s">
        <v>1507</v>
      </c>
      <c r="AY333" s="1" t="s">
        <v>1507</v>
      </c>
      <c r="AZ333" s="1" t="s">
        <v>1507</v>
      </c>
      <c r="BA333" s="1" t="s">
        <v>1507</v>
      </c>
      <c r="BB333" s="1" t="s">
        <v>1507</v>
      </c>
      <c r="BC333" s="1" t="s">
        <v>1507</v>
      </c>
      <c r="BD333" s="1" t="s">
        <v>1507</v>
      </c>
      <c r="BE333" s="1">
        <v>128313</v>
      </c>
      <c r="BF333" s="1" t="s">
        <v>8270</v>
      </c>
      <c r="BG333" s="1" t="str">
        <f>HYPERLINK("http://dx.doi.org/10.1016/j.bmcl.2021.128313","http://dx.doi.org/10.1016/j.bmcl.2021.128313")</f>
        <v>http://dx.doi.org/10.1016/j.bmcl.2021.128313</v>
      </c>
      <c r="BH333" s="1" t="s">
        <v>1507</v>
      </c>
      <c r="BI333" s="1" t="s">
        <v>8271</v>
      </c>
      <c r="BJ333" s="1">
        <v>8</v>
      </c>
      <c r="BK333" s="1" t="s">
        <v>8272</v>
      </c>
      <c r="BL333" s="1" t="s">
        <v>8273</v>
      </c>
      <c r="BM333" s="1" t="s">
        <v>8274</v>
      </c>
      <c r="BN333" s="1" t="s">
        <v>8275</v>
      </c>
      <c r="BO333" s="1">
        <v>34390827</v>
      </c>
      <c r="BP333" s="1" t="s">
        <v>8276</v>
      </c>
      <c r="BQ333" s="1" t="s">
        <v>1507</v>
      </c>
      <c r="BR333" s="1" t="s">
        <v>1507</v>
      </c>
      <c r="BS333" s="1" t="s">
        <v>13744</v>
      </c>
      <c r="BT333" s="1" t="s">
        <v>8277</v>
      </c>
      <c r="BU333" s="1" t="str">
        <f>HYPERLINK("https%3A%2F%2Fwww.webofscience.com%2Fwos%2Fwoscc%2Ffull-record%2FWOS:000701795800013","View Full Record in Web of Science")</f>
        <v>View Full Record in Web of Science</v>
      </c>
    </row>
    <row r="334" spans="1:73" x14ac:dyDescent="0.25">
      <c r="A334" s="1">
        <v>370</v>
      </c>
      <c r="B334" s="1" t="s">
        <v>1506</v>
      </c>
      <c r="C334" s="1" t="s">
        <v>4853</v>
      </c>
      <c r="D334" s="1" t="s">
        <v>1507</v>
      </c>
      <c r="E334" s="1" t="s">
        <v>1507</v>
      </c>
      <c r="F334" s="1" t="s">
        <v>1507</v>
      </c>
      <c r="G334" s="1" t="s">
        <v>4854</v>
      </c>
      <c r="H334" s="1" t="s">
        <v>1507</v>
      </c>
      <c r="I334" s="1" t="s">
        <v>1507</v>
      </c>
      <c r="J334" s="1" t="s">
        <v>4855</v>
      </c>
      <c r="K334" s="1" t="s">
        <v>4856</v>
      </c>
      <c r="L334" s="1" t="s">
        <v>1507</v>
      </c>
      <c r="M334" s="1" t="s">
        <v>1507</v>
      </c>
      <c r="N334" s="1" t="s">
        <v>42</v>
      </c>
      <c r="O334" s="1" t="s">
        <v>1509</v>
      </c>
      <c r="P334" s="1" t="s">
        <v>1507</v>
      </c>
      <c r="Q334" s="1" t="s">
        <v>1507</v>
      </c>
      <c r="R334" s="1" t="s">
        <v>1507</v>
      </c>
      <c r="S334" s="1" t="s">
        <v>1507</v>
      </c>
      <c r="T334" s="1" t="s">
        <v>1507</v>
      </c>
      <c r="U334" s="1" t="s">
        <v>4857</v>
      </c>
      <c r="V334" s="1" t="s">
        <v>4858</v>
      </c>
      <c r="W334" s="1" t="s">
        <v>4859</v>
      </c>
      <c r="X334" s="1" t="s">
        <v>4860</v>
      </c>
      <c r="Y334" s="1" t="s">
        <v>4861</v>
      </c>
      <c r="Z334" s="1" t="s">
        <v>4862</v>
      </c>
      <c r="AA334" s="1" t="s">
        <v>4863</v>
      </c>
      <c r="AB334" s="1" t="s">
        <v>1507</v>
      </c>
      <c r="AC334" s="1" t="s">
        <v>4864</v>
      </c>
      <c r="AD334" s="1" t="s">
        <v>4865</v>
      </c>
      <c r="AE334" s="1" t="s">
        <v>4861</v>
      </c>
      <c r="AF334" s="1" t="s">
        <v>4866</v>
      </c>
      <c r="AG334" s="1" t="s">
        <v>1507</v>
      </c>
      <c r="AH334" s="1">
        <v>60</v>
      </c>
      <c r="AI334" s="1">
        <v>0</v>
      </c>
      <c r="AJ334" s="1">
        <v>0</v>
      </c>
      <c r="AK334" s="1">
        <v>0</v>
      </c>
      <c r="AL334" s="1">
        <v>0</v>
      </c>
      <c r="AM334" s="1" t="s">
        <v>4867</v>
      </c>
      <c r="AN334" s="1" t="s">
        <v>2300</v>
      </c>
      <c r="AO334" s="1" t="s">
        <v>4868</v>
      </c>
      <c r="AP334" s="1" t="s">
        <v>4869</v>
      </c>
      <c r="AQ334" s="1" t="s">
        <v>4870</v>
      </c>
      <c r="AR334" s="1" t="s">
        <v>1507</v>
      </c>
      <c r="AS334" s="1" t="s">
        <v>4871</v>
      </c>
      <c r="AT334" s="1" t="s">
        <v>4872</v>
      </c>
      <c r="AU334" s="1" t="s">
        <v>4873</v>
      </c>
      <c r="AV334" s="1">
        <v>2023</v>
      </c>
      <c r="AW334" s="1" t="s">
        <v>1507</v>
      </c>
      <c r="AX334" s="1" t="s">
        <v>1507</v>
      </c>
      <c r="AY334" s="1" t="s">
        <v>1507</v>
      </c>
      <c r="AZ334" s="1" t="s">
        <v>1507</v>
      </c>
      <c r="BA334" s="1" t="s">
        <v>1507</v>
      </c>
      <c r="BB334" s="1" t="s">
        <v>1507</v>
      </c>
      <c r="BC334" s="1" t="s">
        <v>1507</v>
      </c>
      <c r="BD334" s="1" t="s">
        <v>1507</v>
      </c>
      <c r="BE334" s="1" t="s">
        <v>1507</v>
      </c>
      <c r="BF334" s="1" t="s">
        <v>4874</v>
      </c>
      <c r="BG334" s="1" t="str">
        <f>HYPERLINK("http://dx.doi.org/10.1037/ebs0000328","http://dx.doi.org/10.1037/ebs0000328")</f>
        <v>http://dx.doi.org/10.1037/ebs0000328</v>
      </c>
      <c r="BH334" s="1" t="s">
        <v>1507</v>
      </c>
      <c r="BI334" s="1" t="s">
        <v>4832</v>
      </c>
      <c r="BJ334" s="1">
        <v>18</v>
      </c>
      <c r="BK334" s="1" t="s">
        <v>4875</v>
      </c>
      <c r="BL334" s="1" t="s">
        <v>1529</v>
      </c>
      <c r="BM334" s="1" t="s">
        <v>4875</v>
      </c>
      <c r="BN334" s="1" t="s">
        <v>4876</v>
      </c>
      <c r="BO334" s="1" t="s">
        <v>1507</v>
      </c>
      <c r="BP334" s="1" t="s">
        <v>1507</v>
      </c>
      <c r="BQ334" s="1" t="s">
        <v>1507</v>
      </c>
      <c r="BR334" s="1" t="s">
        <v>1507</v>
      </c>
      <c r="BS334" s="1" t="s">
        <v>13744</v>
      </c>
      <c r="BT334" s="1" t="s">
        <v>4877</v>
      </c>
      <c r="BU334" s="1" t="str">
        <f>HYPERLINK("https%3A%2F%2Fwww.webofscience.com%2Fwos%2Fwoscc%2Ffull-record%2FWOS:000995740900001","View Full Record in Web of Science")</f>
        <v>View Full Record in Web of Science</v>
      </c>
    </row>
    <row r="335" spans="1:73" x14ac:dyDescent="0.25">
      <c r="A335" s="1">
        <v>371</v>
      </c>
      <c r="B335" s="1" t="s">
        <v>1506</v>
      </c>
      <c r="C335" s="1" t="s">
        <v>9795</v>
      </c>
      <c r="D335" s="1" t="s">
        <v>1507</v>
      </c>
      <c r="E335" s="1" t="s">
        <v>1507</v>
      </c>
      <c r="F335" s="1" t="s">
        <v>1507</v>
      </c>
      <c r="G335" s="1" t="s">
        <v>9796</v>
      </c>
      <c r="H335" s="1" t="s">
        <v>1507</v>
      </c>
      <c r="I335" s="1" t="s">
        <v>1507</v>
      </c>
      <c r="J335" s="1" t="s">
        <v>9797</v>
      </c>
      <c r="K335" s="1" t="s">
        <v>9798</v>
      </c>
      <c r="L335" s="1" t="s">
        <v>1507</v>
      </c>
      <c r="M335" s="1" t="s">
        <v>1507</v>
      </c>
      <c r="N335" s="1" t="s">
        <v>42</v>
      </c>
      <c r="O335" s="1" t="s">
        <v>56</v>
      </c>
      <c r="P335" s="1" t="s">
        <v>1507</v>
      </c>
      <c r="Q335" s="1" t="s">
        <v>1507</v>
      </c>
      <c r="R335" s="1" t="s">
        <v>1507</v>
      </c>
      <c r="S335" s="1" t="s">
        <v>1507</v>
      </c>
      <c r="T335" s="1" t="s">
        <v>1507</v>
      </c>
      <c r="U335" s="1" t="s">
        <v>9799</v>
      </c>
      <c r="V335" s="1" t="s">
        <v>1507</v>
      </c>
      <c r="W335" s="1" t="s">
        <v>9800</v>
      </c>
      <c r="X335" s="1" t="s">
        <v>9801</v>
      </c>
      <c r="Y335" s="1" t="s">
        <v>9802</v>
      </c>
      <c r="Z335" s="1" t="s">
        <v>9803</v>
      </c>
      <c r="AA335" s="1" t="s">
        <v>9804</v>
      </c>
      <c r="AB335" s="1" t="s">
        <v>15810</v>
      </c>
      <c r="AC335" s="1" t="s">
        <v>15811</v>
      </c>
      <c r="AD335" s="1" t="s">
        <v>9805</v>
      </c>
      <c r="AE335" s="1" t="s">
        <v>9805</v>
      </c>
      <c r="AF335" s="1" t="s">
        <v>9806</v>
      </c>
      <c r="AG335" s="1" t="s">
        <v>1507</v>
      </c>
      <c r="AH335" s="1">
        <v>45</v>
      </c>
      <c r="AI335" s="1">
        <v>43</v>
      </c>
      <c r="AJ335" s="1">
        <v>45</v>
      </c>
      <c r="AK335" s="1">
        <v>0</v>
      </c>
      <c r="AL335" s="1">
        <v>2</v>
      </c>
      <c r="AM335" s="1" t="s">
        <v>4330</v>
      </c>
      <c r="AN335" s="1" t="s">
        <v>1746</v>
      </c>
      <c r="AO335" s="1" t="s">
        <v>4331</v>
      </c>
      <c r="AP335" s="1" t="s">
        <v>9807</v>
      </c>
      <c r="AQ335" s="1" t="s">
        <v>9808</v>
      </c>
      <c r="AR335" s="1" t="s">
        <v>1507</v>
      </c>
      <c r="AS335" s="1" t="s">
        <v>9809</v>
      </c>
      <c r="AT335" s="1" t="s">
        <v>9810</v>
      </c>
      <c r="AU335" s="1" t="s">
        <v>4721</v>
      </c>
      <c r="AV335" s="1">
        <v>2020</v>
      </c>
      <c r="AW335" s="1">
        <v>271</v>
      </c>
      <c r="AX335" s="1">
        <v>6</v>
      </c>
      <c r="AY335" s="1" t="s">
        <v>1507</v>
      </c>
      <c r="AZ335" s="1" t="s">
        <v>1507</v>
      </c>
      <c r="BA335" s="1" t="s">
        <v>1507</v>
      </c>
      <c r="BB335" s="1" t="s">
        <v>1507</v>
      </c>
      <c r="BC335" s="1">
        <v>1137</v>
      </c>
      <c r="BD335" s="1">
        <v>1147</v>
      </c>
      <c r="BE335" s="1" t="s">
        <v>1507</v>
      </c>
      <c r="BF335" s="1" t="s">
        <v>9811</v>
      </c>
      <c r="BG335" s="1" t="str">
        <f>HYPERLINK("http://dx.doi.org/10.1097/SLA.0000000000003084","http://dx.doi.org/10.1097/SLA.0000000000003084")</f>
        <v>http://dx.doi.org/10.1097/SLA.0000000000003084</v>
      </c>
      <c r="BH335" s="1" t="s">
        <v>1507</v>
      </c>
      <c r="BI335" s="1" t="s">
        <v>1507</v>
      </c>
      <c r="BJ335" s="1">
        <v>11</v>
      </c>
      <c r="BK335" s="1" t="s">
        <v>9812</v>
      </c>
      <c r="BL335" s="1" t="s">
        <v>1573</v>
      </c>
      <c r="BM335" s="1" t="s">
        <v>9812</v>
      </c>
      <c r="BN335" s="1" t="s">
        <v>9813</v>
      </c>
      <c r="BO335" s="1">
        <v>30394883</v>
      </c>
      <c r="BP335" s="1" t="s">
        <v>1537</v>
      </c>
      <c r="BQ335" s="1" t="s">
        <v>1507</v>
      </c>
      <c r="BR335" s="1" t="s">
        <v>1507</v>
      </c>
      <c r="BS335" s="1" t="s">
        <v>13744</v>
      </c>
      <c r="BT335" s="1" t="s">
        <v>9814</v>
      </c>
      <c r="BU335" s="1" t="str">
        <f>HYPERLINK("https%3A%2F%2Fwww.webofscience.com%2Fwos%2Fwoscc%2Ffull-record%2FWOS:000598231400027","View Full Record in Web of Science")</f>
        <v>View Full Record in Web of Science</v>
      </c>
    </row>
    <row r="336" spans="1:73" x14ac:dyDescent="0.25">
      <c r="A336" s="1">
        <v>372</v>
      </c>
      <c r="B336" s="1" t="s">
        <v>1506</v>
      </c>
      <c r="C336" s="1" t="s">
        <v>12039</v>
      </c>
      <c r="D336" s="1" t="s">
        <v>1507</v>
      </c>
      <c r="E336" s="1" t="s">
        <v>1507</v>
      </c>
      <c r="F336" s="1" t="s">
        <v>1507</v>
      </c>
      <c r="G336" s="1" t="s">
        <v>12040</v>
      </c>
      <c r="H336" s="1" t="s">
        <v>1507</v>
      </c>
      <c r="I336" s="1" t="s">
        <v>1507</v>
      </c>
      <c r="J336" s="1" t="s">
        <v>12041</v>
      </c>
      <c r="K336" s="1" t="s">
        <v>11888</v>
      </c>
      <c r="L336" s="1" t="s">
        <v>1507</v>
      </c>
      <c r="M336" s="1" t="s">
        <v>1507</v>
      </c>
      <c r="N336" s="1" t="s">
        <v>42</v>
      </c>
      <c r="O336" s="1" t="s">
        <v>56</v>
      </c>
      <c r="P336" s="1" t="s">
        <v>1507</v>
      </c>
      <c r="Q336" s="1" t="s">
        <v>1507</v>
      </c>
      <c r="R336" s="1" t="s">
        <v>1507</v>
      </c>
      <c r="S336" s="1" t="s">
        <v>1507</v>
      </c>
      <c r="T336" s="1" t="s">
        <v>1507</v>
      </c>
      <c r="U336" s="1" t="s">
        <v>1507</v>
      </c>
      <c r="V336" s="1" t="s">
        <v>12042</v>
      </c>
      <c r="W336" s="1" t="s">
        <v>12043</v>
      </c>
      <c r="X336" s="1" t="s">
        <v>12044</v>
      </c>
      <c r="Y336" s="1" t="s">
        <v>12045</v>
      </c>
      <c r="Z336" s="1" t="s">
        <v>12046</v>
      </c>
      <c r="AA336" s="1" t="s">
        <v>1507</v>
      </c>
      <c r="AB336" s="1" t="s">
        <v>1507</v>
      </c>
      <c r="AC336" s="1" t="s">
        <v>1507</v>
      </c>
      <c r="AD336" s="1" t="s">
        <v>1507</v>
      </c>
      <c r="AE336" s="1" t="s">
        <v>1507</v>
      </c>
      <c r="AF336" s="1" t="s">
        <v>1507</v>
      </c>
      <c r="AG336" s="1" t="s">
        <v>1507</v>
      </c>
      <c r="AH336" s="1">
        <v>84</v>
      </c>
      <c r="AI336" s="1">
        <v>7</v>
      </c>
      <c r="AJ336" s="1">
        <v>7</v>
      </c>
      <c r="AK336" s="1">
        <v>1</v>
      </c>
      <c r="AL336" s="1">
        <v>18</v>
      </c>
      <c r="AM336" s="1" t="s">
        <v>11895</v>
      </c>
      <c r="AN336" s="1" t="s">
        <v>1746</v>
      </c>
      <c r="AO336" s="1" t="s">
        <v>11896</v>
      </c>
      <c r="AP336" s="1" t="s">
        <v>11897</v>
      </c>
      <c r="AQ336" s="1" t="s">
        <v>1507</v>
      </c>
      <c r="AR336" s="1" t="s">
        <v>1507</v>
      </c>
      <c r="AS336" s="1" t="s">
        <v>11898</v>
      </c>
      <c r="AT336" s="1" t="s">
        <v>11899</v>
      </c>
      <c r="AU336" s="1" t="s">
        <v>1507</v>
      </c>
      <c r="AV336" s="1">
        <v>2018</v>
      </c>
      <c r="AW336" s="1">
        <v>39</v>
      </c>
      <c r="AX336" s="1">
        <v>4</v>
      </c>
      <c r="AY336" s="1" t="s">
        <v>1507</v>
      </c>
      <c r="AZ336" s="1" t="s">
        <v>1507</v>
      </c>
      <c r="BA336" s="1" t="s">
        <v>1507</v>
      </c>
      <c r="BB336" s="1" t="s">
        <v>1507</v>
      </c>
      <c r="BC336" s="1">
        <v>921</v>
      </c>
      <c r="BD336" s="1">
        <v>953</v>
      </c>
      <c r="BE336" s="1" t="s">
        <v>1507</v>
      </c>
      <c r="BF336" s="1" t="s">
        <v>1507</v>
      </c>
      <c r="BG336" s="1" t="s">
        <v>1507</v>
      </c>
      <c r="BH336" s="1" t="s">
        <v>1507</v>
      </c>
      <c r="BI336" s="1" t="s">
        <v>1507</v>
      </c>
      <c r="BJ336" s="1">
        <v>33</v>
      </c>
      <c r="BK336" s="1" t="s">
        <v>1535</v>
      </c>
      <c r="BL336" s="1" t="s">
        <v>1518</v>
      </c>
      <c r="BM336" s="1" t="s">
        <v>1536</v>
      </c>
      <c r="BN336" s="1" t="s">
        <v>12047</v>
      </c>
      <c r="BO336" s="1" t="s">
        <v>1507</v>
      </c>
      <c r="BP336" s="1" t="s">
        <v>1507</v>
      </c>
      <c r="BQ336" s="1" t="s">
        <v>1507</v>
      </c>
      <c r="BR336" s="1" t="s">
        <v>1507</v>
      </c>
      <c r="BS336" s="1" t="s">
        <v>13744</v>
      </c>
      <c r="BT336" s="1" t="s">
        <v>12048</v>
      </c>
      <c r="BU336" s="1" t="str">
        <f>HYPERLINK("https%3A%2F%2Fwww.webofscience.com%2Fwos%2Fwoscc%2Ffull-record%2FWOS:000444988900001","View Full Record in Web of Science")</f>
        <v>View Full Record in Web of Science</v>
      </c>
    </row>
    <row r="337" spans="1:73" x14ac:dyDescent="0.25">
      <c r="A337" s="1">
        <v>373</v>
      </c>
      <c r="B337" s="1" t="s">
        <v>1506</v>
      </c>
      <c r="C337" s="1" t="s">
        <v>11716</v>
      </c>
      <c r="D337" s="1" t="s">
        <v>1507</v>
      </c>
      <c r="E337" s="1" t="s">
        <v>1507</v>
      </c>
      <c r="F337" s="1" t="s">
        <v>1507</v>
      </c>
      <c r="G337" s="1" t="s">
        <v>11717</v>
      </c>
      <c r="H337" s="1" t="s">
        <v>1507</v>
      </c>
      <c r="I337" s="1" t="s">
        <v>1507</v>
      </c>
      <c r="J337" s="1" t="s">
        <v>11718</v>
      </c>
      <c r="K337" s="1" t="s">
        <v>11719</v>
      </c>
      <c r="L337" s="1" t="s">
        <v>1507</v>
      </c>
      <c r="M337" s="1" t="s">
        <v>1507</v>
      </c>
      <c r="N337" s="1" t="s">
        <v>42</v>
      </c>
      <c r="O337" s="1" t="s">
        <v>56</v>
      </c>
      <c r="P337" s="1" t="s">
        <v>1507</v>
      </c>
      <c r="Q337" s="1" t="s">
        <v>1507</v>
      </c>
      <c r="R337" s="1" t="s">
        <v>1507</v>
      </c>
      <c r="S337" s="1" t="s">
        <v>1507</v>
      </c>
      <c r="T337" s="1" t="s">
        <v>1507</v>
      </c>
      <c r="U337" s="1" t="s">
        <v>11720</v>
      </c>
      <c r="V337" s="1" t="s">
        <v>11721</v>
      </c>
      <c r="W337" s="1" t="s">
        <v>11722</v>
      </c>
      <c r="X337" s="1" t="s">
        <v>11723</v>
      </c>
      <c r="Y337" s="1" t="s">
        <v>11724</v>
      </c>
      <c r="Z337" s="1" t="s">
        <v>11725</v>
      </c>
      <c r="AA337" s="1" t="s">
        <v>11726</v>
      </c>
      <c r="AB337" s="1" t="s">
        <v>16005</v>
      </c>
      <c r="AC337" s="1" t="s">
        <v>11727</v>
      </c>
      <c r="AD337" s="1" t="s">
        <v>11728</v>
      </c>
      <c r="AE337" s="1" t="s">
        <v>11729</v>
      </c>
      <c r="AF337" s="1" t="s">
        <v>11730</v>
      </c>
      <c r="AG337" s="1" t="s">
        <v>1507</v>
      </c>
      <c r="AH337" s="1">
        <v>49</v>
      </c>
      <c r="AI337" s="1">
        <v>13</v>
      </c>
      <c r="AJ337" s="1">
        <v>14</v>
      </c>
      <c r="AK337" s="1">
        <v>0</v>
      </c>
      <c r="AL337" s="1">
        <v>12</v>
      </c>
      <c r="AM337" s="1" t="s">
        <v>1564</v>
      </c>
      <c r="AN337" s="1" t="s">
        <v>1565</v>
      </c>
      <c r="AO337" s="1" t="s">
        <v>1566</v>
      </c>
      <c r="AP337" s="1" t="s">
        <v>11731</v>
      </c>
      <c r="AQ337" s="1" t="s">
        <v>1507</v>
      </c>
      <c r="AR337" s="1" t="s">
        <v>1507</v>
      </c>
      <c r="AS337" s="1" t="s">
        <v>11732</v>
      </c>
      <c r="AT337" s="1" t="s">
        <v>11733</v>
      </c>
      <c r="AU337" s="1" t="s">
        <v>11734</v>
      </c>
      <c r="AV337" s="1">
        <v>2018</v>
      </c>
      <c r="AW337" s="1">
        <v>5</v>
      </c>
      <c r="AX337" s="1" t="s">
        <v>1507</v>
      </c>
      <c r="AY337" s="1" t="s">
        <v>1507</v>
      </c>
      <c r="AZ337" s="1" t="s">
        <v>1507</v>
      </c>
      <c r="BA337" s="1" t="s">
        <v>1507</v>
      </c>
      <c r="BB337" s="1" t="s">
        <v>1507</v>
      </c>
      <c r="BC337" s="1" t="s">
        <v>1507</v>
      </c>
      <c r="BD337" s="1" t="s">
        <v>1507</v>
      </c>
      <c r="BE337" s="1">
        <v>66</v>
      </c>
      <c r="BF337" s="1" t="s">
        <v>11735</v>
      </c>
      <c r="BG337" s="1" t="str">
        <f>HYPERLINK("http://dx.doi.org/10.3389/fvets.2018.00066","http://dx.doi.org/10.3389/fvets.2018.00066")</f>
        <v>http://dx.doi.org/10.3389/fvets.2018.00066</v>
      </c>
      <c r="BH337" s="1" t="s">
        <v>1507</v>
      </c>
      <c r="BI337" s="1" t="s">
        <v>1507</v>
      </c>
      <c r="BJ337" s="1">
        <v>13</v>
      </c>
      <c r="BK337" s="1" t="s">
        <v>2139</v>
      </c>
      <c r="BL337" s="1" t="s">
        <v>1598</v>
      </c>
      <c r="BM337" s="1" t="s">
        <v>2139</v>
      </c>
      <c r="BN337" s="1" t="s">
        <v>11736</v>
      </c>
      <c r="BO337" s="1">
        <v>29780810</v>
      </c>
      <c r="BP337" s="1" t="s">
        <v>1674</v>
      </c>
      <c r="BQ337" s="1" t="s">
        <v>1507</v>
      </c>
      <c r="BR337" s="1" t="s">
        <v>1507</v>
      </c>
      <c r="BS337" s="1" t="s">
        <v>13744</v>
      </c>
      <c r="BT337" s="1" t="s">
        <v>11737</v>
      </c>
      <c r="BU337" s="1" t="str">
        <f>HYPERLINK("https%3A%2F%2Fwww.webofscience.com%2Fwos%2Fwoscc%2Ffull-record%2FWOS:000451953100001","View Full Record in Web of Science")</f>
        <v>View Full Record in Web of Science</v>
      </c>
    </row>
    <row r="338" spans="1:73" x14ac:dyDescent="0.25">
      <c r="A338" s="1">
        <v>374</v>
      </c>
      <c r="B338" s="1" t="s">
        <v>1506</v>
      </c>
      <c r="C338" s="1" t="s">
        <v>4258</v>
      </c>
      <c r="D338" s="1" t="s">
        <v>1507</v>
      </c>
      <c r="E338" s="1" t="s">
        <v>1507</v>
      </c>
      <c r="F338" s="1" t="s">
        <v>1507</v>
      </c>
      <c r="G338" s="1" t="s">
        <v>4259</v>
      </c>
      <c r="H338" s="1" t="s">
        <v>1507</v>
      </c>
      <c r="I338" s="1" t="s">
        <v>1507</v>
      </c>
      <c r="J338" s="1" t="s">
        <v>571</v>
      </c>
      <c r="K338" s="1" t="s">
        <v>4260</v>
      </c>
      <c r="L338" s="1" t="s">
        <v>1507</v>
      </c>
      <c r="M338" s="1" t="s">
        <v>1507</v>
      </c>
      <c r="N338" s="1" t="s">
        <v>42</v>
      </c>
      <c r="O338" s="1" t="s">
        <v>56</v>
      </c>
      <c r="P338" s="1" t="s">
        <v>1507</v>
      </c>
      <c r="Q338" s="1" t="s">
        <v>1507</v>
      </c>
      <c r="R338" s="1" t="s">
        <v>1507</v>
      </c>
      <c r="S338" s="1" t="s">
        <v>1507</v>
      </c>
      <c r="T338" s="1" t="s">
        <v>1507</v>
      </c>
      <c r="U338" s="1" t="s">
        <v>577</v>
      </c>
      <c r="V338" s="1" t="s">
        <v>1507</v>
      </c>
      <c r="W338" s="1" t="s">
        <v>4261</v>
      </c>
      <c r="X338" s="1" t="s">
        <v>4262</v>
      </c>
      <c r="Y338" s="1" t="s">
        <v>4263</v>
      </c>
      <c r="Z338" s="1" t="s">
        <v>4264</v>
      </c>
      <c r="AA338" s="1" t="s">
        <v>4265</v>
      </c>
      <c r="AB338" s="1" t="s">
        <v>4266</v>
      </c>
      <c r="AC338" s="1" t="s">
        <v>14568</v>
      </c>
      <c r="AD338" s="1" t="s">
        <v>1507</v>
      </c>
      <c r="AE338" s="1" t="s">
        <v>1507</v>
      </c>
      <c r="AF338" s="1" t="s">
        <v>1507</v>
      </c>
      <c r="AG338" s="1" t="s">
        <v>1507</v>
      </c>
      <c r="AH338" s="1">
        <v>13</v>
      </c>
      <c r="AI338" s="1">
        <v>4</v>
      </c>
      <c r="AJ338" s="1">
        <v>3</v>
      </c>
      <c r="AK338" s="1">
        <v>18</v>
      </c>
      <c r="AL338" s="1">
        <v>26</v>
      </c>
      <c r="AM338" s="1" t="s">
        <v>4267</v>
      </c>
      <c r="AN338" s="1" t="s">
        <v>4268</v>
      </c>
      <c r="AO338" s="1" t="s">
        <v>4269</v>
      </c>
      <c r="AP338" s="1" t="s">
        <v>4270</v>
      </c>
      <c r="AQ338" s="1" t="s">
        <v>4271</v>
      </c>
      <c r="AR338" s="1" t="s">
        <v>1507</v>
      </c>
      <c r="AS338" s="1" t="s">
        <v>4272</v>
      </c>
      <c r="AT338" s="1" t="s">
        <v>578</v>
      </c>
      <c r="AU338" s="1" t="s">
        <v>2889</v>
      </c>
      <c r="AV338" s="1">
        <v>2023</v>
      </c>
      <c r="AW338" s="1">
        <v>18</v>
      </c>
      <c r="AX338" s="1">
        <v>10</v>
      </c>
      <c r="AY338" s="1" t="s">
        <v>1507</v>
      </c>
      <c r="AZ338" s="1" t="s">
        <v>1507</v>
      </c>
      <c r="BA338" s="1" t="s">
        <v>1507</v>
      </c>
      <c r="BB338" s="1" t="s">
        <v>1507</v>
      </c>
      <c r="BC338" s="1">
        <v>1219</v>
      </c>
      <c r="BD338" s="1">
        <v>1223</v>
      </c>
      <c r="BE338" s="1" t="s">
        <v>1507</v>
      </c>
      <c r="BF338" s="1" t="s">
        <v>573</v>
      </c>
      <c r="BG338" s="1" t="str">
        <f>HYPERLINK("http://dx.doi.org/10.1123/ijspp.2023-0109","http://dx.doi.org/10.1123/ijspp.2023-0109")</f>
        <v>http://dx.doi.org/10.1123/ijspp.2023-0109</v>
      </c>
      <c r="BH338" s="1" t="s">
        <v>1507</v>
      </c>
      <c r="BI338" s="1" t="s">
        <v>4056</v>
      </c>
      <c r="BJ338" s="1">
        <v>5</v>
      </c>
      <c r="BK338" s="1" t="s">
        <v>4273</v>
      </c>
      <c r="BL338" s="1" t="s">
        <v>1573</v>
      </c>
      <c r="BM338" s="1" t="s">
        <v>4273</v>
      </c>
      <c r="BN338" s="1" t="s">
        <v>4274</v>
      </c>
      <c r="BO338" s="1">
        <v>37536678</v>
      </c>
      <c r="BP338" s="1" t="s">
        <v>1507</v>
      </c>
      <c r="BQ338" s="1" t="s">
        <v>1507</v>
      </c>
      <c r="BR338" s="1" t="s">
        <v>1507</v>
      </c>
      <c r="BS338" s="1" t="s">
        <v>13744</v>
      </c>
      <c r="BT338" s="1" t="s">
        <v>4275</v>
      </c>
      <c r="BU338" s="1" t="str">
        <f>HYPERLINK("https%3A%2F%2Fwww.webofscience.com%2Fwos%2Fwoscc%2Ffull-record%2FWOS:001046960400001","View Full Record in Web of Science")</f>
        <v>View Full Record in Web of Science</v>
      </c>
    </row>
    <row r="339" spans="1:73" x14ac:dyDescent="0.25">
      <c r="A339" s="1">
        <v>377</v>
      </c>
      <c r="B339" s="1" t="s">
        <v>1506</v>
      </c>
      <c r="C339" s="1" t="s">
        <v>9532</v>
      </c>
      <c r="D339" s="1" t="s">
        <v>1507</v>
      </c>
      <c r="E339" s="1" t="s">
        <v>1507</v>
      </c>
      <c r="F339" s="1" t="s">
        <v>1507</v>
      </c>
      <c r="G339" s="1" t="s">
        <v>9533</v>
      </c>
      <c r="H339" s="1" t="s">
        <v>1507</v>
      </c>
      <c r="I339" s="1" t="s">
        <v>1507</v>
      </c>
      <c r="J339" s="1" t="s">
        <v>9534</v>
      </c>
      <c r="K339" s="1" t="s">
        <v>9535</v>
      </c>
      <c r="L339" s="1" t="s">
        <v>1507</v>
      </c>
      <c r="M339" s="1" t="s">
        <v>1507</v>
      </c>
      <c r="N339" s="1" t="s">
        <v>42</v>
      </c>
      <c r="O339" s="1" t="s">
        <v>56</v>
      </c>
      <c r="P339" s="1" t="s">
        <v>1507</v>
      </c>
      <c r="Q339" s="1" t="s">
        <v>1507</v>
      </c>
      <c r="R339" s="1" t="s">
        <v>1507</v>
      </c>
      <c r="S339" s="1" t="s">
        <v>1507</v>
      </c>
      <c r="T339" s="1" t="s">
        <v>1507</v>
      </c>
      <c r="U339" s="1" t="s">
        <v>9536</v>
      </c>
      <c r="V339" s="1" t="s">
        <v>9537</v>
      </c>
      <c r="W339" s="1" t="s">
        <v>9538</v>
      </c>
      <c r="X339" s="1" t="s">
        <v>9539</v>
      </c>
      <c r="Y339" s="1" t="s">
        <v>15795</v>
      </c>
      <c r="Z339" s="1" t="s">
        <v>9540</v>
      </c>
      <c r="AA339" s="1" t="s">
        <v>9541</v>
      </c>
      <c r="AB339" s="1" t="s">
        <v>9542</v>
      </c>
      <c r="AC339" s="1" t="s">
        <v>9543</v>
      </c>
      <c r="AD339" s="1" t="s">
        <v>9544</v>
      </c>
      <c r="AE339" s="1" t="s">
        <v>6219</v>
      </c>
      <c r="AF339" s="1" t="s">
        <v>9545</v>
      </c>
      <c r="AG339" s="1" t="s">
        <v>1507</v>
      </c>
      <c r="AH339" s="1">
        <v>53</v>
      </c>
      <c r="AI339" s="1">
        <v>3</v>
      </c>
      <c r="AJ339" s="1">
        <v>3</v>
      </c>
      <c r="AK339" s="1">
        <v>0</v>
      </c>
      <c r="AL339" s="1">
        <v>6</v>
      </c>
      <c r="AM339" s="1" t="s">
        <v>9546</v>
      </c>
      <c r="AN339" s="1" t="s">
        <v>9547</v>
      </c>
      <c r="AO339" s="1" t="s">
        <v>9548</v>
      </c>
      <c r="AP339" s="1" t="s">
        <v>9549</v>
      </c>
      <c r="AQ339" s="1" t="s">
        <v>9550</v>
      </c>
      <c r="AR339" s="1" t="s">
        <v>1507</v>
      </c>
      <c r="AS339" s="1" t="s">
        <v>9551</v>
      </c>
      <c r="AT339" s="1" t="s">
        <v>9552</v>
      </c>
      <c r="AU339" s="1" t="s">
        <v>2889</v>
      </c>
      <c r="AV339" s="1">
        <v>2020</v>
      </c>
      <c r="AW339" s="1">
        <v>21</v>
      </c>
      <c r="AX339" s="1">
        <v>5</v>
      </c>
      <c r="AY339" s="1" t="s">
        <v>1507</v>
      </c>
      <c r="AZ339" s="1" t="s">
        <v>1507</v>
      </c>
      <c r="BA339" s="1" t="s">
        <v>3506</v>
      </c>
      <c r="BB339" s="1" t="s">
        <v>1507</v>
      </c>
      <c r="BC339" s="1">
        <v>674</v>
      </c>
      <c r="BD339" s="1">
        <v>697</v>
      </c>
      <c r="BE339" s="1" t="s">
        <v>1507</v>
      </c>
      <c r="BF339" s="1" t="s">
        <v>9553</v>
      </c>
      <c r="BG339" s="1" t="str">
        <f>HYPERLINK("http://dx.doi.org/10.1163/22119000-12340191","http://dx.doi.org/10.1163/22119000-12340191")</f>
        <v>http://dx.doi.org/10.1163/22119000-12340191</v>
      </c>
      <c r="BH339" s="1" t="s">
        <v>1507</v>
      </c>
      <c r="BI339" s="1" t="s">
        <v>1507</v>
      </c>
      <c r="BJ339" s="1">
        <v>24</v>
      </c>
      <c r="BK339" s="1" t="s">
        <v>1535</v>
      </c>
      <c r="BL339" s="1" t="s">
        <v>1529</v>
      </c>
      <c r="BM339" s="1" t="s">
        <v>1536</v>
      </c>
      <c r="BN339" s="1" t="s">
        <v>9554</v>
      </c>
      <c r="BO339" s="1" t="s">
        <v>1507</v>
      </c>
      <c r="BP339" s="1" t="s">
        <v>1600</v>
      </c>
      <c r="BQ339" s="1" t="s">
        <v>1507</v>
      </c>
      <c r="BR339" s="1" t="s">
        <v>1507</v>
      </c>
      <c r="BS339" s="1" t="s">
        <v>13744</v>
      </c>
      <c r="BT339" s="1" t="s">
        <v>9555</v>
      </c>
      <c r="BU339" s="1" t="str">
        <f>HYPERLINK("https%3A%2F%2Fwww.webofscience.com%2Fwos%2Fwoscc%2Ffull-record%2FWOS:000581780900002","View Full Record in Web of Science")</f>
        <v>View Full Record in Web of Science</v>
      </c>
    </row>
    <row r="340" spans="1:73" x14ac:dyDescent="0.25">
      <c r="A340" s="1">
        <v>378</v>
      </c>
      <c r="B340" s="1" t="s">
        <v>1506</v>
      </c>
      <c r="C340" s="1" t="s">
        <v>9815</v>
      </c>
      <c r="D340" s="1" t="s">
        <v>1507</v>
      </c>
      <c r="E340" s="1" t="s">
        <v>1507</v>
      </c>
      <c r="F340" s="1" t="s">
        <v>1507</v>
      </c>
      <c r="G340" s="1" t="s">
        <v>9816</v>
      </c>
      <c r="H340" s="1" t="s">
        <v>1507</v>
      </c>
      <c r="I340" s="1" t="s">
        <v>1507</v>
      </c>
      <c r="J340" s="1" t="s">
        <v>9817</v>
      </c>
      <c r="K340" s="1" t="s">
        <v>9818</v>
      </c>
      <c r="L340" s="1" t="s">
        <v>1507</v>
      </c>
      <c r="M340" s="1" t="s">
        <v>1507</v>
      </c>
      <c r="N340" s="1" t="s">
        <v>42</v>
      </c>
      <c r="O340" s="1" t="s">
        <v>56</v>
      </c>
      <c r="P340" s="1" t="s">
        <v>1507</v>
      </c>
      <c r="Q340" s="1" t="s">
        <v>1507</v>
      </c>
      <c r="R340" s="1" t="s">
        <v>1507</v>
      </c>
      <c r="S340" s="1" t="s">
        <v>1507</v>
      </c>
      <c r="T340" s="1" t="s">
        <v>1507</v>
      </c>
      <c r="U340" s="1" t="s">
        <v>9819</v>
      </c>
      <c r="V340" s="1" t="s">
        <v>9820</v>
      </c>
      <c r="W340" s="1" t="s">
        <v>9821</v>
      </c>
      <c r="X340" s="1" t="s">
        <v>9822</v>
      </c>
      <c r="Y340" s="1" t="s">
        <v>9823</v>
      </c>
      <c r="Z340" s="1" t="s">
        <v>9824</v>
      </c>
      <c r="AA340" s="1" t="s">
        <v>9825</v>
      </c>
      <c r="AB340" s="1" t="s">
        <v>9826</v>
      </c>
      <c r="AC340" s="1" t="s">
        <v>9827</v>
      </c>
      <c r="AD340" s="1" t="s">
        <v>1507</v>
      </c>
      <c r="AE340" s="1" t="s">
        <v>1507</v>
      </c>
      <c r="AF340" s="1" t="s">
        <v>1507</v>
      </c>
      <c r="AG340" s="1" t="s">
        <v>1507</v>
      </c>
      <c r="AH340" s="1">
        <v>40</v>
      </c>
      <c r="AI340" s="1">
        <v>12</v>
      </c>
      <c r="AJ340" s="1">
        <v>14</v>
      </c>
      <c r="AK340" s="1">
        <v>1</v>
      </c>
      <c r="AL340" s="1">
        <v>13</v>
      </c>
      <c r="AM340" s="1" t="s">
        <v>1586</v>
      </c>
      <c r="AN340" s="1" t="s">
        <v>1583</v>
      </c>
      <c r="AO340" s="1" t="s">
        <v>3684</v>
      </c>
      <c r="AP340" s="1" t="s">
        <v>9828</v>
      </c>
      <c r="AQ340" s="1" t="s">
        <v>9829</v>
      </c>
      <c r="AR340" s="1" t="s">
        <v>1507</v>
      </c>
      <c r="AS340" s="1" t="s">
        <v>9830</v>
      </c>
      <c r="AT340" s="1" t="s">
        <v>9831</v>
      </c>
      <c r="AU340" s="1" t="s">
        <v>4721</v>
      </c>
      <c r="AV340" s="1">
        <v>2020</v>
      </c>
      <c r="AW340" s="1">
        <v>17</v>
      </c>
      <c r="AX340" s="1">
        <v>6</v>
      </c>
      <c r="AY340" s="1" t="s">
        <v>1507</v>
      </c>
      <c r="AZ340" s="1" t="s">
        <v>1507</v>
      </c>
      <c r="BA340" s="1" t="s">
        <v>1507</v>
      </c>
      <c r="BB340" s="1" t="s">
        <v>1507</v>
      </c>
      <c r="BC340" s="1">
        <v>1072</v>
      </c>
      <c r="BD340" s="1">
        <v>1085</v>
      </c>
      <c r="BE340" s="1" t="s">
        <v>1507</v>
      </c>
      <c r="BF340" s="1" t="s">
        <v>9832</v>
      </c>
      <c r="BG340" s="1" t="str">
        <f>HYPERLINK("http://dx.doi.org/10.1016/j.jsxm.2020.02.018","http://dx.doi.org/10.1016/j.jsxm.2020.02.018")</f>
        <v>http://dx.doi.org/10.1016/j.jsxm.2020.02.018</v>
      </c>
      <c r="BH340" s="1" t="s">
        <v>1507</v>
      </c>
      <c r="BI340" s="1" t="s">
        <v>1507</v>
      </c>
      <c r="BJ340" s="1">
        <v>14</v>
      </c>
      <c r="BK340" s="1" t="s">
        <v>9833</v>
      </c>
      <c r="BL340" s="1" t="s">
        <v>1598</v>
      </c>
      <c r="BM340" s="1" t="s">
        <v>9833</v>
      </c>
      <c r="BN340" s="1" t="s">
        <v>9834</v>
      </c>
      <c r="BO340" s="1">
        <v>32205084</v>
      </c>
      <c r="BP340" s="1" t="s">
        <v>1507</v>
      </c>
      <c r="BQ340" s="1" t="s">
        <v>1507</v>
      </c>
      <c r="BR340" s="1" t="s">
        <v>1507</v>
      </c>
      <c r="BS340" s="1" t="s">
        <v>13744</v>
      </c>
      <c r="BT340" s="1" t="s">
        <v>9835</v>
      </c>
      <c r="BU340" s="1" t="str">
        <f>HYPERLINK("https%3A%2F%2Fwww.webofscience.com%2Fwos%2Fwoscc%2Ffull-record%2FWOS:000539168800005","View Full Record in Web of Science")</f>
        <v>View Full Record in Web of Science</v>
      </c>
    </row>
    <row r="341" spans="1:73" x14ac:dyDescent="0.25">
      <c r="A341" s="1">
        <v>380</v>
      </c>
      <c r="B341" s="1" t="s">
        <v>1506</v>
      </c>
      <c r="C341" s="1" t="s">
        <v>3552</v>
      </c>
      <c r="D341" s="1" t="s">
        <v>1507</v>
      </c>
      <c r="E341" s="1" t="s">
        <v>1507</v>
      </c>
      <c r="F341" s="1" t="s">
        <v>1507</v>
      </c>
      <c r="G341" s="1" t="s">
        <v>3553</v>
      </c>
      <c r="H341" s="1" t="s">
        <v>1507</v>
      </c>
      <c r="I341" s="1" t="s">
        <v>1507</v>
      </c>
      <c r="J341" s="1" t="s">
        <v>3554</v>
      </c>
      <c r="K341" s="1" t="s">
        <v>3555</v>
      </c>
      <c r="L341" s="1" t="s">
        <v>1507</v>
      </c>
      <c r="M341" s="1" t="s">
        <v>1507</v>
      </c>
      <c r="N341" s="1" t="s">
        <v>42</v>
      </c>
      <c r="O341" s="1" t="s">
        <v>56</v>
      </c>
      <c r="P341" s="1" t="s">
        <v>1507</v>
      </c>
      <c r="Q341" s="1" t="s">
        <v>1507</v>
      </c>
      <c r="R341" s="1" t="s">
        <v>1507</v>
      </c>
      <c r="S341" s="1" t="s">
        <v>1507</v>
      </c>
      <c r="T341" s="1" t="s">
        <v>1507</v>
      </c>
      <c r="U341" s="1" t="s">
        <v>3556</v>
      </c>
      <c r="V341" s="1" t="s">
        <v>1507</v>
      </c>
      <c r="W341" s="1" t="s">
        <v>3557</v>
      </c>
      <c r="X341" s="1" t="s">
        <v>3558</v>
      </c>
      <c r="Y341" s="1" t="s">
        <v>3559</v>
      </c>
      <c r="Z341" s="1" t="s">
        <v>3560</v>
      </c>
      <c r="AA341" s="1" t="s">
        <v>3561</v>
      </c>
      <c r="AB341" s="1" t="s">
        <v>1507</v>
      </c>
      <c r="AC341" s="1" t="s">
        <v>1507</v>
      </c>
      <c r="AD341" s="1" t="s">
        <v>3562</v>
      </c>
      <c r="AE341" s="1" t="s">
        <v>3562</v>
      </c>
      <c r="AF341" s="1" t="s">
        <v>3563</v>
      </c>
      <c r="AG341" s="1" t="s">
        <v>1507</v>
      </c>
      <c r="AH341" s="1">
        <v>25</v>
      </c>
      <c r="AI341" s="1">
        <v>0</v>
      </c>
      <c r="AJ341" s="1">
        <v>0</v>
      </c>
      <c r="AK341" s="1">
        <v>5</v>
      </c>
      <c r="AL341" s="1">
        <v>5</v>
      </c>
      <c r="AM341" s="1" t="s">
        <v>3564</v>
      </c>
      <c r="AN341" s="1" t="s">
        <v>1523</v>
      </c>
      <c r="AO341" s="1" t="s">
        <v>3565</v>
      </c>
      <c r="AP341" s="1" t="s">
        <v>3566</v>
      </c>
      <c r="AQ341" s="1" t="s">
        <v>3567</v>
      </c>
      <c r="AR341" s="1" t="s">
        <v>1507</v>
      </c>
      <c r="AS341" s="1" t="s">
        <v>3568</v>
      </c>
      <c r="AT341" s="1" t="s">
        <v>3569</v>
      </c>
      <c r="AU341" s="1" t="s">
        <v>2889</v>
      </c>
      <c r="AV341" s="1">
        <v>2023</v>
      </c>
      <c r="AW341" s="1">
        <v>67</v>
      </c>
      <c r="AX341" s="1">
        <v>3</v>
      </c>
      <c r="AY341" s="1" t="s">
        <v>1507</v>
      </c>
      <c r="AZ341" s="1" t="s">
        <v>1507</v>
      </c>
      <c r="BA341" s="1" t="s">
        <v>1507</v>
      </c>
      <c r="BB341" s="1" t="s">
        <v>1507</v>
      </c>
      <c r="BC341" s="1">
        <v>463</v>
      </c>
      <c r="BD341" s="1">
        <v>475</v>
      </c>
      <c r="BE341" s="1" t="s">
        <v>1507</v>
      </c>
      <c r="BF341" s="1" t="s">
        <v>3570</v>
      </c>
      <c r="BG341" s="1" t="str">
        <f>HYPERLINK("http://dx.doi.org/10.1017/S0021855323000244","http://dx.doi.org/10.1017/S0021855323000244")</f>
        <v>http://dx.doi.org/10.1017/S0021855323000244</v>
      </c>
      <c r="BH341" s="1" t="s">
        <v>1507</v>
      </c>
      <c r="BI341" s="1" t="s">
        <v>1507</v>
      </c>
      <c r="BJ341" s="1">
        <v>13</v>
      </c>
      <c r="BK341" s="1" t="s">
        <v>1535</v>
      </c>
      <c r="BL341" s="1" t="s">
        <v>1518</v>
      </c>
      <c r="BM341" s="1" t="s">
        <v>1536</v>
      </c>
      <c r="BN341" s="1" t="s">
        <v>3571</v>
      </c>
      <c r="BO341" s="1" t="s">
        <v>1507</v>
      </c>
      <c r="BP341" s="1" t="s">
        <v>3572</v>
      </c>
      <c r="BQ341" s="1" t="s">
        <v>1507</v>
      </c>
      <c r="BR341" s="1" t="s">
        <v>1507</v>
      </c>
      <c r="BS341" s="1" t="s">
        <v>13744</v>
      </c>
      <c r="BT341" s="1" t="s">
        <v>3573</v>
      </c>
      <c r="BU341" s="1" t="str">
        <f>HYPERLINK("https%3A%2F%2Fwww.webofscience.com%2Fwos%2Fwoscc%2Ffull-record%2FWOS:001103093900008","View Full Record in Web of Science")</f>
        <v>View Full Record in Web of Science</v>
      </c>
    </row>
    <row r="342" spans="1:73" x14ac:dyDescent="0.25">
      <c r="A342" s="1">
        <v>381</v>
      </c>
      <c r="B342" s="1" t="s">
        <v>1506</v>
      </c>
      <c r="C342" s="1" t="s">
        <v>11536</v>
      </c>
      <c r="D342" s="1" t="s">
        <v>1507</v>
      </c>
      <c r="E342" s="1" t="s">
        <v>1507</v>
      </c>
      <c r="F342" s="1" t="s">
        <v>1507</v>
      </c>
      <c r="G342" s="1" t="s">
        <v>11537</v>
      </c>
      <c r="H342" s="1" t="s">
        <v>1507</v>
      </c>
      <c r="I342" s="1" t="s">
        <v>1507</v>
      </c>
      <c r="J342" s="1" t="s">
        <v>11538</v>
      </c>
      <c r="K342" s="1" t="s">
        <v>8493</v>
      </c>
      <c r="L342" s="1" t="s">
        <v>1507</v>
      </c>
      <c r="M342" s="1" t="s">
        <v>1507</v>
      </c>
      <c r="N342" s="1" t="s">
        <v>42</v>
      </c>
      <c r="O342" s="1" t="s">
        <v>56</v>
      </c>
      <c r="P342" s="1" t="s">
        <v>1507</v>
      </c>
      <c r="Q342" s="1" t="s">
        <v>1507</v>
      </c>
      <c r="R342" s="1" t="s">
        <v>1507</v>
      </c>
      <c r="S342" s="1" t="s">
        <v>1507</v>
      </c>
      <c r="T342" s="1" t="s">
        <v>1507</v>
      </c>
      <c r="U342" s="1" t="s">
        <v>11539</v>
      </c>
      <c r="V342" s="1" t="s">
        <v>11540</v>
      </c>
      <c r="W342" s="1" t="s">
        <v>11541</v>
      </c>
      <c r="X342" s="1" t="s">
        <v>11542</v>
      </c>
      <c r="Y342" s="1" t="s">
        <v>11543</v>
      </c>
      <c r="Z342" s="1" t="s">
        <v>11544</v>
      </c>
      <c r="AA342" s="1" t="s">
        <v>11545</v>
      </c>
      <c r="AB342" s="1" t="s">
        <v>11546</v>
      </c>
      <c r="AC342" s="1" t="s">
        <v>11547</v>
      </c>
      <c r="AD342" s="1" t="s">
        <v>11548</v>
      </c>
      <c r="AE342" s="1" t="s">
        <v>11549</v>
      </c>
      <c r="AF342" s="1" t="s">
        <v>11550</v>
      </c>
      <c r="AG342" s="1" t="s">
        <v>1507</v>
      </c>
      <c r="AH342" s="1">
        <v>51</v>
      </c>
      <c r="AI342" s="1">
        <v>7</v>
      </c>
      <c r="AJ342" s="1">
        <v>7</v>
      </c>
      <c r="AK342" s="1">
        <v>0</v>
      </c>
      <c r="AL342" s="1">
        <v>5</v>
      </c>
      <c r="AM342" s="1" t="s">
        <v>1900</v>
      </c>
      <c r="AN342" s="1" t="s">
        <v>1583</v>
      </c>
      <c r="AO342" s="1" t="s">
        <v>1901</v>
      </c>
      <c r="AP342" s="1" t="s">
        <v>8504</v>
      </c>
      <c r="AQ342" s="1" t="s">
        <v>8505</v>
      </c>
      <c r="AR342" s="1" t="s">
        <v>1507</v>
      </c>
      <c r="AS342" s="1" t="s">
        <v>8506</v>
      </c>
      <c r="AT342" s="1" t="s">
        <v>8507</v>
      </c>
      <c r="AU342" s="1" t="s">
        <v>2864</v>
      </c>
      <c r="AV342" s="1">
        <v>2018</v>
      </c>
      <c r="AW342" s="1">
        <v>212</v>
      </c>
      <c r="AX342" s="1" t="s">
        <v>1507</v>
      </c>
      <c r="AY342" s="1" t="s">
        <v>1507</v>
      </c>
      <c r="AZ342" s="1" t="s">
        <v>1507</v>
      </c>
      <c r="BA342" s="1" t="s">
        <v>1507</v>
      </c>
      <c r="BB342" s="1" t="s">
        <v>1507</v>
      </c>
      <c r="BC342" s="1">
        <v>159</v>
      </c>
      <c r="BD342" s="1">
        <v>167</v>
      </c>
      <c r="BE342" s="1" t="s">
        <v>1507</v>
      </c>
      <c r="BF342" s="1" t="s">
        <v>11551</v>
      </c>
      <c r="BG342" s="1" t="str">
        <f>HYPERLINK("http://dx.doi.org/10.1016/j.lfs.2018.09.059","http://dx.doi.org/10.1016/j.lfs.2018.09.059")</f>
        <v>http://dx.doi.org/10.1016/j.lfs.2018.09.059</v>
      </c>
      <c r="BH342" s="1" t="s">
        <v>1507</v>
      </c>
      <c r="BI342" s="1" t="s">
        <v>1507</v>
      </c>
      <c r="BJ342" s="1">
        <v>9</v>
      </c>
      <c r="BK342" s="1" t="s">
        <v>8509</v>
      </c>
      <c r="BL342" s="1" t="s">
        <v>1573</v>
      </c>
      <c r="BM342" s="1" t="s">
        <v>8510</v>
      </c>
      <c r="BN342" s="1" t="s">
        <v>11552</v>
      </c>
      <c r="BO342" s="1">
        <v>30290186</v>
      </c>
      <c r="BP342" s="1" t="s">
        <v>1507</v>
      </c>
      <c r="BQ342" s="1" t="s">
        <v>1507</v>
      </c>
      <c r="BR342" s="1" t="s">
        <v>1507</v>
      </c>
      <c r="BS342" s="1" t="s">
        <v>13744</v>
      </c>
      <c r="BT342" s="1" t="s">
        <v>11553</v>
      </c>
      <c r="BU342" s="1" t="str">
        <f>HYPERLINK("https%3A%2F%2Fwww.webofscience.com%2Fwos%2Fwoscc%2Ffull-record%2FWOS:000447649400018","View Full Record in Web of Science")</f>
        <v>View Full Record in Web of Science</v>
      </c>
    </row>
    <row r="343" spans="1:73" x14ac:dyDescent="0.25">
      <c r="A343" s="1">
        <v>382</v>
      </c>
      <c r="B343" s="1" t="s">
        <v>1506</v>
      </c>
      <c r="C343" s="1" t="s">
        <v>7097</v>
      </c>
      <c r="D343" s="1" t="s">
        <v>1507</v>
      </c>
      <c r="E343" s="1" t="s">
        <v>1507</v>
      </c>
      <c r="F343" s="1" t="s">
        <v>1507</v>
      </c>
      <c r="G343" s="1" t="s">
        <v>7098</v>
      </c>
      <c r="H343" s="1" t="s">
        <v>1507</v>
      </c>
      <c r="I343" s="1" t="s">
        <v>1507</v>
      </c>
      <c r="J343" s="1" t="s">
        <v>7099</v>
      </c>
      <c r="K343" s="1" t="s">
        <v>7100</v>
      </c>
      <c r="L343" s="1" t="s">
        <v>1507</v>
      </c>
      <c r="M343" s="1" t="s">
        <v>1507</v>
      </c>
      <c r="N343" s="1" t="s">
        <v>42</v>
      </c>
      <c r="O343" s="1" t="s">
        <v>56</v>
      </c>
      <c r="P343" s="1" t="s">
        <v>1507</v>
      </c>
      <c r="Q343" s="1" t="s">
        <v>1507</v>
      </c>
      <c r="R343" s="1" t="s">
        <v>1507</v>
      </c>
      <c r="S343" s="1" t="s">
        <v>1507</v>
      </c>
      <c r="T343" s="1" t="s">
        <v>1507</v>
      </c>
      <c r="U343" s="1" t="s">
        <v>1507</v>
      </c>
      <c r="V343" s="1" t="s">
        <v>7101</v>
      </c>
      <c r="W343" s="1" t="s">
        <v>7102</v>
      </c>
      <c r="X343" s="1" t="s">
        <v>7103</v>
      </c>
      <c r="Y343" s="1" t="s">
        <v>7104</v>
      </c>
      <c r="Z343" s="1" t="s">
        <v>7105</v>
      </c>
      <c r="AA343" s="1" t="s">
        <v>7106</v>
      </c>
      <c r="AB343" s="1" t="s">
        <v>15602</v>
      </c>
      <c r="AC343" s="1" t="s">
        <v>15603</v>
      </c>
      <c r="AD343" s="1" t="s">
        <v>7107</v>
      </c>
      <c r="AE343" s="1" t="s">
        <v>7108</v>
      </c>
      <c r="AF343" s="1" t="s">
        <v>7109</v>
      </c>
      <c r="AG343" s="1" t="s">
        <v>1507</v>
      </c>
      <c r="AH343" s="1">
        <v>60</v>
      </c>
      <c r="AI343" s="1">
        <v>2</v>
      </c>
      <c r="AJ343" s="1">
        <v>2</v>
      </c>
      <c r="AK343" s="1">
        <v>2</v>
      </c>
      <c r="AL343" s="1">
        <v>11</v>
      </c>
      <c r="AM343" s="1" t="s">
        <v>1522</v>
      </c>
      <c r="AN343" s="1" t="s">
        <v>1523</v>
      </c>
      <c r="AO343" s="1" t="s">
        <v>1524</v>
      </c>
      <c r="AP343" s="1" t="s">
        <v>1507</v>
      </c>
      <c r="AQ343" s="1" t="s">
        <v>7110</v>
      </c>
      <c r="AR343" s="1" t="s">
        <v>1507</v>
      </c>
      <c r="AS343" s="1" t="s">
        <v>7111</v>
      </c>
      <c r="AT343" s="1" t="s">
        <v>7112</v>
      </c>
      <c r="AU343" s="1" t="s">
        <v>7113</v>
      </c>
      <c r="AV343" s="1">
        <v>2022</v>
      </c>
      <c r="AW343" s="1">
        <v>12</v>
      </c>
      <c r="AX343" s="1">
        <v>33</v>
      </c>
      <c r="AY343" s="1" t="s">
        <v>1507</v>
      </c>
      <c r="AZ343" s="1" t="s">
        <v>1507</v>
      </c>
      <c r="BA343" s="1" t="s">
        <v>1507</v>
      </c>
      <c r="BB343" s="1" t="s">
        <v>1507</v>
      </c>
      <c r="BC343" s="1">
        <v>21440</v>
      </c>
      <c r="BD343" s="1">
        <v>21451</v>
      </c>
      <c r="BE343" s="1" t="s">
        <v>1507</v>
      </c>
      <c r="BF343" s="1" t="s">
        <v>7114</v>
      </c>
      <c r="BG343" s="1" t="str">
        <f>HYPERLINK("http://dx.doi.org/10.1039/d2ra03931a","http://dx.doi.org/10.1039/d2ra03931a")</f>
        <v>http://dx.doi.org/10.1039/d2ra03931a</v>
      </c>
      <c r="BH343" s="1" t="s">
        <v>1507</v>
      </c>
      <c r="BI343" s="1" t="s">
        <v>1507</v>
      </c>
      <c r="BJ343" s="1">
        <v>12</v>
      </c>
      <c r="BK343" s="1" t="s">
        <v>2634</v>
      </c>
      <c r="BL343" s="1" t="s">
        <v>1573</v>
      </c>
      <c r="BM343" s="1" t="s">
        <v>2380</v>
      </c>
      <c r="BN343" s="1" t="s">
        <v>7115</v>
      </c>
      <c r="BO343" s="1">
        <v>35975088</v>
      </c>
      <c r="BP343" s="1" t="s">
        <v>1674</v>
      </c>
      <c r="BQ343" s="1" t="s">
        <v>1507</v>
      </c>
      <c r="BR343" s="1" t="s">
        <v>1507</v>
      </c>
      <c r="BS343" s="1" t="s">
        <v>13744</v>
      </c>
      <c r="BT343" s="1" t="s">
        <v>7116</v>
      </c>
      <c r="BU343" s="1" t="str">
        <f>HYPERLINK("https%3A%2F%2Fwww.webofscience.com%2Fwos%2Fwoscc%2Ffull-record%2FWOS:000835245700001","View Full Record in Web of Science")</f>
        <v>View Full Record in Web of Science</v>
      </c>
    </row>
    <row r="344" spans="1:73" x14ac:dyDescent="0.25">
      <c r="A344" s="1">
        <v>383</v>
      </c>
      <c r="B344" s="1" t="s">
        <v>1506</v>
      </c>
      <c r="C344" s="1" t="s">
        <v>2847</v>
      </c>
      <c r="D344" s="1" t="s">
        <v>1507</v>
      </c>
      <c r="E344" s="1" t="s">
        <v>1507</v>
      </c>
      <c r="F344" s="1" t="s">
        <v>1507</v>
      </c>
      <c r="G344" s="1" t="s">
        <v>2848</v>
      </c>
      <c r="H344" s="1" t="s">
        <v>1507</v>
      </c>
      <c r="I344" s="1" t="s">
        <v>1507</v>
      </c>
      <c r="J344" s="1" t="s">
        <v>2849</v>
      </c>
      <c r="K344" s="1" t="s">
        <v>2850</v>
      </c>
      <c r="L344" s="1" t="s">
        <v>1507</v>
      </c>
      <c r="M344" s="1" t="s">
        <v>1507</v>
      </c>
      <c r="N344" s="1" t="s">
        <v>42</v>
      </c>
      <c r="O344" s="1" t="s">
        <v>56</v>
      </c>
      <c r="P344" s="1" t="s">
        <v>1507</v>
      </c>
      <c r="Q344" s="1" t="s">
        <v>1507</v>
      </c>
      <c r="R344" s="1" t="s">
        <v>1507</v>
      </c>
      <c r="S344" s="1" t="s">
        <v>1507</v>
      </c>
      <c r="T344" s="1" t="s">
        <v>1507</v>
      </c>
      <c r="U344" s="1" t="s">
        <v>2851</v>
      </c>
      <c r="V344" s="1" t="s">
        <v>2852</v>
      </c>
      <c r="W344" s="1" t="s">
        <v>2853</v>
      </c>
      <c r="X344" s="1" t="s">
        <v>2854</v>
      </c>
      <c r="Y344" s="1" t="s">
        <v>2855</v>
      </c>
      <c r="Z344" s="1" t="s">
        <v>2856</v>
      </c>
      <c r="AA344" s="1" t="s">
        <v>2857</v>
      </c>
      <c r="AB344" s="1" t="s">
        <v>1507</v>
      </c>
      <c r="AC344" s="1" t="s">
        <v>14143</v>
      </c>
      <c r="AD344" s="1" t="s">
        <v>2858</v>
      </c>
      <c r="AE344" s="1" t="s">
        <v>2859</v>
      </c>
      <c r="AF344" s="1" t="s">
        <v>2860</v>
      </c>
      <c r="AG344" s="1" t="s">
        <v>1507</v>
      </c>
      <c r="AH344" s="1">
        <v>36</v>
      </c>
      <c r="AI344" s="1">
        <v>0</v>
      </c>
      <c r="AJ344" s="1">
        <v>0</v>
      </c>
      <c r="AK344" s="1">
        <v>0</v>
      </c>
      <c r="AL344" s="1">
        <v>0</v>
      </c>
      <c r="AM344" s="1" t="s">
        <v>1582</v>
      </c>
      <c r="AN344" s="1" t="s">
        <v>1583</v>
      </c>
      <c r="AO344" s="1" t="s">
        <v>1584</v>
      </c>
      <c r="AP344" s="1" t="s">
        <v>1507</v>
      </c>
      <c r="AQ344" s="1" t="s">
        <v>2861</v>
      </c>
      <c r="AR344" s="1" t="s">
        <v>1507</v>
      </c>
      <c r="AS344" s="1" t="s">
        <v>2862</v>
      </c>
      <c r="AT344" s="1" t="s">
        <v>2863</v>
      </c>
      <c r="AU344" s="1" t="s">
        <v>2864</v>
      </c>
      <c r="AV344" s="1">
        <v>2023</v>
      </c>
      <c r="AW344" s="1">
        <v>5</v>
      </c>
      <c r="AX344" s="1">
        <v>6</v>
      </c>
      <c r="AY344" s="1" t="s">
        <v>1507</v>
      </c>
      <c r="AZ344" s="1" t="s">
        <v>1507</v>
      </c>
      <c r="BA344" s="1" t="s">
        <v>1507</v>
      </c>
      <c r="BB344" s="1" t="s">
        <v>1507</v>
      </c>
      <c r="BC344" s="1" t="s">
        <v>1507</v>
      </c>
      <c r="BD344" s="1" t="s">
        <v>1507</v>
      </c>
      <c r="BE344" s="1" t="s">
        <v>2865</v>
      </c>
      <c r="BF344" s="1" t="s">
        <v>2866</v>
      </c>
      <c r="BG344" s="1" t="str">
        <f>HYPERLINK("http://dx.doi.org/10.1093/braincomms/fcad318","http://dx.doi.org/10.1093/braincomms/fcad318")</f>
        <v>http://dx.doi.org/10.1093/braincomms/fcad318</v>
      </c>
      <c r="BH344" s="1" t="s">
        <v>1507</v>
      </c>
      <c r="BI344" s="1" t="s">
        <v>1507</v>
      </c>
      <c r="BJ344" s="1">
        <v>13</v>
      </c>
      <c r="BK344" s="1" t="s">
        <v>2867</v>
      </c>
      <c r="BL344" s="1" t="s">
        <v>1529</v>
      </c>
      <c r="BM344" s="1" t="s">
        <v>2868</v>
      </c>
      <c r="BN344" s="1" t="s">
        <v>2869</v>
      </c>
      <c r="BO344" s="1">
        <v>38046096</v>
      </c>
      <c r="BP344" s="1" t="s">
        <v>1674</v>
      </c>
      <c r="BQ344" s="1" t="s">
        <v>1507</v>
      </c>
      <c r="BR344" s="1" t="s">
        <v>1507</v>
      </c>
      <c r="BS344" s="1" t="s">
        <v>13744</v>
      </c>
      <c r="BT344" s="1" t="s">
        <v>2870</v>
      </c>
      <c r="BU344" s="1" t="str">
        <f>HYPERLINK("https%3A%2F%2Fwww.webofscience.com%2Fwos%2Fwoscc%2Ffull-record%2FWOS:001126899900008","View Full Record in Web of Science")</f>
        <v>View Full Record in Web of Science</v>
      </c>
    </row>
    <row r="345" spans="1:73" x14ac:dyDescent="0.25">
      <c r="A345" s="1">
        <v>384</v>
      </c>
      <c r="B345" s="1" t="s">
        <v>1506</v>
      </c>
      <c r="C345" s="1" t="s">
        <v>10130</v>
      </c>
      <c r="D345" s="1" t="s">
        <v>1507</v>
      </c>
      <c r="E345" s="1" t="s">
        <v>1507</v>
      </c>
      <c r="F345" s="1" t="s">
        <v>1507</v>
      </c>
      <c r="G345" s="1" t="s">
        <v>10131</v>
      </c>
      <c r="H345" s="1" t="s">
        <v>1507</v>
      </c>
      <c r="I345" s="1" t="s">
        <v>1507</v>
      </c>
      <c r="J345" s="1" t="s">
        <v>10132</v>
      </c>
      <c r="K345" s="1" t="s">
        <v>10133</v>
      </c>
      <c r="L345" s="1" t="s">
        <v>1507</v>
      </c>
      <c r="M345" s="1" t="s">
        <v>1507</v>
      </c>
      <c r="N345" s="1" t="s">
        <v>42</v>
      </c>
      <c r="O345" s="1" t="s">
        <v>56</v>
      </c>
      <c r="P345" s="1" t="s">
        <v>1507</v>
      </c>
      <c r="Q345" s="1" t="s">
        <v>1507</v>
      </c>
      <c r="R345" s="1" t="s">
        <v>1507</v>
      </c>
      <c r="S345" s="1" t="s">
        <v>1507</v>
      </c>
      <c r="T345" s="1" t="s">
        <v>1507</v>
      </c>
      <c r="U345" s="1" t="s">
        <v>10134</v>
      </c>
      <c r="V345" s="1" t="s">
        <v>10135</v>
      </c>
      <c r="W345" s="1" t="s">
        <v>10136</v>
      </c>
      <c r="X345" s="1" t="s">
        <v>10137</v>
      </c>
      <c r="Y345" s="1" t="s">
        <v>10138</v>
      </c>
      <c r="Z345" s="1" t="s">
        <v>10139</v>
      </c>
      <c r="AA345" s="1" t="s">
        <v>10140</v>
      </c>
      <c r="AB345" s="1" t="s">
        <v>1507</v>
      </c>
      <c r="AC345" s="1" t="s">
        <v>10141</v>
      </c>
      <c r="AD345" s="1" t="s">
        <v>10142</v>
      </c>
      <c r="AE345" s="1" t="s">
        <v>10142</v>
      </c>
      <c r="AF345" s="1" t="s">
        <v>10143</v>
      </c>
      <c r="AG345" s="1" t="s">
        <v>1507</v>
      </c>
      <c r="AH345" s="1">
        <v>35</v>
      </c>
      <c r="AI345" s="1">
        <v>4</v>
      </c>
      <c r="AJ345" s="1">
        <v>5</v>
      </c>
      <c r="AK345" s="1">
        <v>0</v>
      </c>
      <c r="AL345" s="1">
        <v>5</v>
      </c>
      <c r="AM345" s="1" t="s">
        <v>3156</v>
      </c>
      <c r="AN345" s="1" t="s">
        <v>3157</v>
      </c>
      <c r="AO345" s="1" t="s">
        <v>3158</v>
      </c>
      <c r="AP345" s="1" t="s">
        <v>10144</v>
      </c>
      <c r="AQ345" s="1" t="s">
        <v>10145</v>
      </c>
      <c r="AR345" s="1" t="s">
        <v>1507</v>
      </c>
      <c r="AS345" s="1" t="s">
        <v>10146</v>
      </c>
      <c r="AT345" s="1" t="s">
        <v>10147</v>
      </c>
      <c r="AU345" s="1" t="s">
        <v>9054</v>
      </c>
      <c r="AV345" s="1">
        <v>2020</v>
      </c>
      <c r="AW345" s="1">
        <v>170</v>
      </c>
      <c r="AX345" s="1" t="s">
        <v>1507</v>
      </c>
      <c r="AY345" s="1" t="s">
        <v>1507</v>
      </c>
      <c r="AZ345" s="1" t="s">
        <v>1507</v>
      </c>
      <c r="BA345" s="1" t="s">
        <v>1507</v>
      </c>
      <c r="BB345" s="1" t="s">
        <v>1507</v>
      </c>
      <c r="BC345" s="1" t="s">
        <v>1507</v>
      </c>
      <c r="BD345" s="1" t="s">
        <v>1507</v>
      </c>
      <c r="BE345" s="1">
        <v>107312</v>
      </c>
      <c r="BF345" s="1" t="s">
        <v>10148</v>
      </c>
      <c r="BG345" s="1" t="str">
        <f>HYPERLINK("http://dx.doi.org/10.1016/j.jip.2019.107312","http://dx.doi.org/10.1016/j.jip.2019.107312")</f>
        <v>http://dx.doi.org/10.1016/j.jip.2019.107312</v>
      </c>
      <c r="BH345" s="1" t="s">
        <v>1507</v>
      </c>
      <c r="BI345" s="1" t="s">
        <v>1507</v>
      </c>
      <c r="BJ345" s="1">
        <v>6</v>
      </c>
      <c r="BK345" s="1" t="s">
        <v>8601</v>
      </c>
      <c r="BL345" s="1" t="s">
        <v>1573</v>
      </c>
      <c r="BM345" s="1" t="s">
        <v>8601</v>
      </c>
      <c r="BN345" s="1" t="s">
        <v>10149</v>
      </c>
      <c r="BO345" s="1">
        <v>31870852</v>
      </c>
      <c r="BP345" s="1" t="s">
        <v>1537</v>
      </c>
      <c r="BQ345" s="1" t="s">
        <v>1507</v>
      </c>
      <c r="BR345" s="1" t="s">
        <v>1507</v>
      </c>
      <c r="BS345" s="1" t="s">
        <v>13744</v>
      </c>
      <c r="BT345" s="1" t="s">
        <v>10150</v>
      </c>
      <c r="BU345" s="1" t="str">
        <f>HYPERLINK("https%3A%2F%2Fwww.webofscience.com%2Fwos%2Fwoscc%2Ffull-record%2FWOS:000552825100002","View Full Record in Web of Science")</f>
        <v>View Full Record in Web of Science</v>
      </c>
    </row>
    <row r="346" spans="1:73" x14ac:dyDescent="0.25">
      <c r="A346" s="1">
        <v>385</v>
      </c>
      <c r="B346" s="1" t="s">
        <v>1506</v>
      </c>
      <c r="C346" s="1" t="s">
        <v>14009</v>
      </c>
      <c r="D346" s="1" t="s">
        <v>1507</v>
      </c>
      <c r="E346" s="1" t="s">
        <v>1507</v>
      </c>
      <c r="F346" s="1" t="s">
        <v>1507</v>
      </c>
      <c r="G346" s="1" t="s">
        <v>14010</v>
      </c>
      <c r="H346" s="1" t="s">
        <v>1507</v>
      </c>
      <c r="I346" s="1" t="s">
        <v>1507</v>
      </c>
      <c r="J346" s="1" t="s">
        <v>14011</v>
      </c>
      <c r="K346" s="1" t="s">
        <v>3083</v>
      </c>
      <c r="L346" s="1" t="s">
        <v>1507</v>
      </c>
      <c r="M346" s="1" t="s">
        <v>1507</v>
      </c>
      <c r="N346" s="1" t="s">
        <v>42</v>
      </c>
      <c r="O346" s="1" t="s">
        <v>56</v>
      </c>
      <c r="P346" s="1" t="s">
        <v>1507</v>
      </c>
      <c r="Q346" s="1" t="s">
        <v>1507</v>
      </c>
      <c r="R346" s="1" t="s">
        <v>1507</v>
      </c>
      <c r="S346" s="1" t="s">
        <v>1507</v>
      </c>
      <c r="T346" s="1" t="s">
        <v>1507</v>
      </c>
      <c r="U346" s="1" t="s">
        <v>14012</v>
      </c>
      <c r="V346" s="1" t="s">
        <v>14013</v>
      </c>
      <c r="W346" s="1" t="s">
        <v>14014</v>
      </c>
      <c r="X346" s="1" t="s">
        <v>14015</v>
      </c>
      <c r="Y346" s="1" t="s">
        <v>1507</v>
      </c>
      <c r="Z346" s="1" t="s">
        <v>14016</v>
      </c>
      <c r="AA346" s="1" t="s">
        <v>3088</v>
      </c>
      <c r="AB346" s="1" t="s">
        <v>1507</v>
      </c>
      <c r="AC346" s="1" t="s">
        <v>1507</v>
      </c>
      <c r="AD346" s="1" t="s">
        <v>1507</v>
      </c>
      <c r="AE346" s="1" t="s">
        <v>1507</v>
      </c>
      <c r="AF346" s="1" t="s">
        <v>1507</v>
      </c>
      <c r="AG346" s="1" t="s">
        <v>1507</v>
      </c>
      <c r="AH346" s="1">
        <v>15</v>
      </c>
      <c r="AI346" s="1">
        <v>0</v>
      </c>
      <c r="AJ346" s="1">
        <v>0</v>
      </c>
      <c r="AK346" s="1">
        <v>7</v>
      </c>
      <c r="AL346" s="1">
        <v>7</v>
      </c>
      <c r="AM346" s="1" t="s">
        <v>1601</v>
      </c>
      <c r="AN346" s="1" t="s">
        <v>1551</v>
      </c>
      <c r="AO346" s="1" t="s">
        <v>1602</v>
      </c>
      <c r="AP346" s="1" t="s">
        <v>1507</v>
      </c>
      <c r="AQ346" s="1" t="s">
        <v>3091</v>
      </c>
      <c r="AR346" s="1" t="s">
        <v>1507</v>
      </c>
      <c r="AS346" s="1" t="s">
        <v>3092</v>
      </c>
      <c r="AT346" s="1" t="s">
        <v>3093</v>
      </c>
      <c r="AU346" s="1" t="s">
        <v>14017</v>
      </c>
      <c r="AV346" s="1">
        <v>2023</v>
      </c>
      <c r="AW346" s="1">
        <v>15</v>
      </c>
      <c r="AX346" s="1">
        <v>11</v>
      </c>
      <c r="AY346" s="1" t="s">
        <v>1507</v>
      </c>
      <c r="AZ346" s="1" t="s">
        <v>1507</v>
      </c>
      <c r="BA346" s="1" t="s">
        <v>1507</v>
      </c>
      <c r="BB346" s="1" t="s">
        <v>1507</v>
      </c>
      <c r="BC346" s="1" t="s">
        <v>1507</v>
      </c>
      <c r="BD346" s="1" t="s">
        <v>1507</v>
      </c>
      <c r="BE346" s="1" t="s">
        <v>14018</v>
      </c>
      <c r="BF346" s="1" t="s">
        <v>14019</v>
      </c>
      <c r="BG346" s="1" t="str">
        <f>HYPERLINK("http://dx.doi.org/10.7759/cureus.48296","http://dx.doi.org/10.7759/cureus.48296")</f>
        <v>http://dx.doi.org/10.7759/cureus.48296</v>
      </c>
      <c r="BH346" s="1" t="s">
        <v>1507</v>
      </c>
      <c r="BI346" s="1" t="s">
        <v>1507</v>
      </c>
      <c r="BJ346" s="1">
        <v>7</v>
      </c>
      <c r="BK346" s="1" t="s">
        <v>1949</v>
      </c>
      <c r="BL346" s="1" t="s">
        <v>1529</v>
      </c>
      <c r="BM346" s="1" t="s">
        <v>1950</v>
      </c>
      <c r="BN346" s="1" t="s">
        <v>14020</v>
      </c>
      <c r="BO346" s="1">
        <v>38058315</v>
      </c>
      <c r="BP346" s="1" t="s">
        <v>1952</v>
      </c>
      <c r="BQ346" s="1" t="s">
        <v>1507</v>
      </c>
      <c r="BR346" s="1" t="s">
        <v>1507</v>
      </c>
      <c r="BS346" s="1" t="s">
        <v>13744</v>
      </c>
      <c r="BT346" s="1" t="s">
        <v>14021</v>
      </c>
      <c r="BU346" s="1" t="str">
        <f>HYPERLINK("https%3A%2F%2Fwww.webofscience.com%2Fwos%2Fwoscc%2Ffull-record%2FWOS:001110699100024","View Full Record in Web of Science")</f>
        <v>View Full Record in Web of Science</v>
      </c>
    </row>
    <row r="347" spans="1:73" x14ac:dyDescent="0.25">
      <c r="A347" s="1">
        <v>386</v>
      </c>
      <c r="B347" s="1" t="s">
        <v>1506</v>
      </c>
      <c r="C347" s="1" t="s">
        <v>4138</v>
      </c>
      <c r="D347" s="1" t="s">
        <v>1507</v>
      </c>
      <c r="E347" s="1" t="s">
        <v>1507</v>
      </c>
      <c r="F347" s="1" t="s">
        <v>1507</v>
      </c>
      <c r="G347" s="1" t="s">
        <v>4139</v>
      </c>
      <c r="H347" s="1" t="s">
        <v>1507</v>
      </c>
      <c r="I347" s="1" t="s">
        <v>1507</v>
      </c>
      <c r="J347" s="1" t="s">
        <v>4140</v>
      </c>
      <c r="K347" s="1" t="s">
        <v>1562</v>
      </c>
      <c r="L347" s="1" t="s">
        <v>1507</v>
      </c>
      <c r="M347" s="1" t="s">
        <v>1507</v>
      </c>
      <c r="N347" s="1" t="s">
        <v>42</v>
      </c>
      <c r="O347" s="1" t="s">
        <v>56</v>
      </c>
      <c r="P347" s="1" t="s">
        <v>1507</v>
      </c>
      <c r="Q347" s="1" t="s">
        <v>1507</v>
      </c>
      <c r="R347" s="1" t="s">
        <v>1507</v>
      </c>
      <c r="S347" s="1" t="s">
        <v>1507</v>
      </c>
      <c r="T347" s="1" t="s">
        <v>1507</v>
      </c>
      <c r="U347" s="1" t="s">
        <v>4141</v>
      </c>
      <c r="V347" s="1" t="s">
        <v>4142</v>
      </c>
      <c r="W347" s="1" t="s">
        <v>4143</v>
      </c>
      <c r="X347" s="1" t="s">
        <v>4144</v>
      </c>
      <c r="Y347" s="1" t="s">
        <v>4145</v>
      </c>
      <c r="Z347" s="1" t="s">
        <v>4146</v>
      </c>
      <c r="AA347" s="1" t="s">
        <v>4147</v>
      </c>
      <c r="AB347" s="1" t="s">
        <v>14560</v>
      </c>
      <c r="AC347" s="1" t="s">
        <v>14561</v>
      </c>
      <c r="AD347" s="1" t="s">
        <v>4148</v>
      </c>
      <c r="AE347" s="1" t="s">
        <v>4148</v>
      </c>
      <c r="AF347" s="1" t="s">
        <v>4149</v>
      </c>
      <c r="AG347" s="1" t="s">
        <v>1507</v>
      </c>
      <c r="AH347" s="1">
        <v>91</v>
      </c>
      <c r="AI347" s="1">
        <v>0</v>
      </c>
      <c r="AJ347" s="1">
        <v>0</v>
      </c>
      <c r="AK347" s="1">
        <v>12</v>
      </c>
      <c r="AL347" s="1">
        <v>16</v>
      </c>
      <c r="AM347" s="1" t="s">
        <v>1564</v>
      </c>
      <c r="AN347" s="1" t="s">
        <v>1565</v>
      </c>
      <c r="AO347" s="1" t="s">
        <v>1566</v>
      </c>
      <c r="AP347" s="1" t="s">
        <v>1507</v>
      </c>
      <c r="AQ347" s="1" t="s">
        <v>1567</v>
      </c>
      <c r="AR347" s="1" t="s">
        <v>1507</v>
      </c>
      <c r="AS347" s="1" t="s">
        <v>1568</v>
      </c>
      <c r="AT347" s="1" t="s">
        <v>342</v>
      </c>
      <c r="AU347" s="1" t="s">
        <v>4150</v>
      </c>
      <c r="AV347" s="1">
        <v>2023</v>
      </c>
      <c r="AW347" s="1">
        <v>8</v>
      </c>
      <c r="AX347" s="1" t="s">
        <v>1507</v>
      </c>
      <c r="AY347" s="1" t="s">
        <v>1507</v>
      </c>
      <c r="AZ347" s="1" t="s">
        <v>1507</v>
      </c>
      <c r="BA347" s="1" t="s">
        <v>1507</v>
      </c>
      <c r="BB347" s="1" t="s">
        <v>1507</v>
      </c>
      <c r="BC347" s="1" t="s">
        <v>1507</v>
      </c>
      <c r="BD347" s="1" t="s">
        <v>1507</v>
      </c>
      <c r="BE347" s="1">
        <v>1250461</v>
      </c>
      <c r="BF347" s="1" t="s">
        <v>978</v>
      </c>
      <c r="BG347" s="1" t="str">
        <f>HYPERLINK("http://dx.doi.org/10.3389/feduc.2023.1250461","http://dx.doi.org/10.3389/feduc.2023.1250461")</f>
        <v>http://dx.doi.org/10.3389/feduc.2023.1250461</v>
      </c>
      <c r="BH347" s="1" t="s">
        <v>1507</v>
      </c>
      <c r="BI347" s="1" t="s">
        <v>1507</v>
      </c>
      <c r="BJ347" s="1">
        <v>14</v>
      </c>
      <c r="BK347" s="1" t="s">
        <v>1558</v>
      </c>
      <c r="BL347" s="1" t="s">
        <v>1529</v>
      </c>
      <c r="BM347" s="1" t="s">
        <v>1558</v>
      </c>
      <c r="BN347" s="1" t="s">
        <v>4151</v>
      </c>
      <c r="BO347" s="1" t="s">
        <v>1507</v>
      </c>
      <c r="BP347" s="1" t="s">
        <v>1531</v>
      </c>
      <c r="BQ347" s="1" t="s">
        <v>1507</v>
      </c>
      <c r="BR347" s="1" t="s">
        <v>1507</v>
      </c>
      <c r="BS347" s="1" t="s">
        <v>13744</v>
      </c>
      <c r="BT347" s="1" t="s">
        <v>4152</v>
      </c>
      <c r="BU347" s="1" t="str">
        <f>HYPERLINK("https%3A%2F%2Fwww.webofscience.com%2Fwos%2Fwoscc%2Ffull-record%2FWOS:001059144000001","View Full Record in Web of Science")</f>
        <v>View Full Record in Web of Science</v>
      </c>
    </row>
    <row r="348" spans="1:73" x14ac:dyDescent="0.25">
      <c r="A348" s="1">
        <v>387</v>
      </c>
      <c r="B348" s="1" t="s">
        <v>1506</v>
      </c>
      <c r="C348" s="1" t="s">
        <v>10005</v>
      </c>
      <c r="D348" s="1" t="s">
        <v>1507</v>
      </c>
      <c r="E348" s="1" t="s">
        <v>1507</v>
      </c>
      <c r="F348" s="1" t="s">
        <v>1507</v>
      </c>
      <c r="G348" s="1" t="s">
        <v>10006</v>
      </c>
      <c r="H348" s="1" t="s">
        <v>1507</v>
      </c>
      <c r="I348" s="1" t="s">
        <v>1507</v>
      </c>
      <c r="J348" s="1" t="s">
        <v>10007</v>
      </c>
      <c r="K348" s="1" t="s">
        <v>10008</v>
      </c>
      <c r="L348" s="1" t="s">
        <v>1507</v>
      </c>
      <c r="M348" s="1" t="s">
        <v>1507</v>
      </c>
      <c r="N348" s="1" t="s">
        <v>42</v>
      </c>
      <c r="O348" s="1" t="s">
        <v>56</v>
      </c>
      <c r="P348" s="1" t="s">
        <v>1507</v>
      </c>
      <c r="Q348" s="1" t="s">
        <v>1507</v>
      </c>
      <c r="R348" s="1" t="s">
        <v>1507</v>
      </c>
      <c r="S348" s="1" t="s">
        <v>1507</v>
      </c>
      <c r="T348" s="1" t="s">
        <v>1507</v>
      </c>
      <c r="U348" s="1" t="s">
        <v>10009</v>
      </c>
      <c r="V348" s="1" t="s">
        <v>10010</v>
      </c>
      <c r="W348" s="1" t="s">
        <v>10011</v>
      </c>
      <c r="X348" s="1" t="s">
        <v>10012</v>
      </c>
      <c r="Y348" s="1" t="s">
        <v>10013</v>
      </c>
      <c r="Z348" s="1" t="s">
        <v>10014</v>
      </c>
      <c r="AA348" s="1" t="s">
        <v>10015</v>
      </c>
      <c r="AB348" s="1" t="s">
        <v>1507</v>
      </c>
      <c r="AC348" s="1" t="s">
        <v>1507</v>
      </c>
      <c r="AD348" s="1" t="s">
        <v>10016</v>
      </c>
      <c r="AE348" s="1" t="s">
        <v>10016</v>
      </c>
      <c r="AF348" s="1" t="s">
        <v>10017</v>
      </c>
      <c r="AG348" s="1" t="s">
        <v>1507</v>
      </c>
      <c r="AH348" s="1">
        <v>61</v>
      </c>
      <c r="AI348" s="1">
        <v>6</v>
      </c>
      <c r="AJ348" s="1">
        <v>8</v>
      </c>
      <c r="AK348" s="1">
        <v>0</v>
      </c>
      <c r="AL348" s="1">
        <v>14</v>
      </c>
      <c r="AM348" s="1" t="s">
        <v>1559</v>
      </c>
      <c r="AN348" s="1" t="s">
        <v>1560</v>
      </c>
      <c r="AO348" s="1" t="s">
        <v>1561</v>
      </c>
      <c r="AP348" s="1" t="s">
        <v>10018</v>
      </c>
      <c r="AQ348" s="1" t="s">
        <v>10019</v>
      </c>
      <c r="AR348" s="1" t="s">
        <v>1507</v>
      </c>
      <c r="AS348" s="1" t="s">
        <v>10020</v>
      </c>
      <c r="AT348" s="1" t="s">
        <v>10021</v>
      </c>
      <c r="AU348" s="1" t="s">
        <v>4556</v>
      </c>
      <c r="AV348" s="1">
        <v>2020</v>
      </c>
      <c r="AW348" s="1">
        <v>114</v>
      </c>
      <c r="AX348" s="1">
        <v>1</v>
      </c>
      <c r="AY348" s="1" t="s">
        <v>1507</v>
      </c>
      <c r="AZ348" s="1" t="s">
        <v>1507</v>
      </c>
      <c r="BA348" s="1" t="s">
        <v>1507</v>
      </c>
      <c r="BB348" s="1" t="s">
        <v>1507</v>
      </c>
      <c r="BC348" s="1">
        <v>77</v>
      </c>
      <c r="BD348" s="1">
        <v>92</v>
      </c>
      <c r="BE348" s="1" t="s">
        <v>1507</v>
      </c>
      <c r="BF348" s="1" t="s">
        <v>10022</v>
      </c>
      <c r="BG348" s="1" t="str">
        <f>HYPERLINK("http://dx.doi.org/10.1111/mmi.14497","http://dx.doi.org/10.1111/mmi.14497")</f>
        <v>http://dx.doi.org/10.1111/mmi.14497</v>
      </c>
      <c r="BH348" s="1" t="s">
        <v>1507</v>
      </c>
      <c r="BI348" s="1" t="s">
        <v>10023</v>
      </c>
      <c r="BJ348" s="1">
        <v>16</v>
      </c>
      <c r="BK348" s="1" t="s">
        <v>10024</v>
      </c>
      <c r="BL348" s="1" t="s">
        <v>1573</v>
      </c>
      <c r="BM348" s="1" t="s">
        <v>10024</v>
      </c>
      <c r="BN348" s="1" t="s">
        <v>10025</v>
      </c>
      <c r="BO348" s="1">
        <v>32096286</v>
      </c>
      <c r="BP348" s="1" t="s">
        <v>3572</v>
      </c>
      <c r="BQ348" s="1" t="s">
        <v>1507</v>
      </c>
      <c r="BR348" s="1" t="s">
        <v>1507</v>
      </c>
      <c r="BS348" s="1" t="s">
        <v>13744</v>
      </c>
      <c r="BT348" s="1" t="s">
        <v>10026</v>
      </c>
      <c r="BU348" s="1" t="str">
        <f>HYPERLINK("https%3A%2F%2Fwww.webofscience.com%2Fwos%2Fwoscc%2Ffull-record%2FWOS:000519964300001","View Full Record in Web of Science")</f>
        <v>View Full Record in Web of Science</v>
      </c>
    </row>
    <row r="349" spans="1:73" x14ac:dyDescent="0.25">
      <c r="A349" s="1">
        <v>388</v>
      </c>
      <c r="B349" s="1" t="s">
        <v>1506</v>
      </c>
      <c r="C349" s="1" t="s">
        <v>4153</v>
      </c>
      <c r="D349" s="1" t="s">
        <v>1507</v>
      </c>
      <c r="E349" s="1" t="s">
        <v>1507</v>
      </c>
      <c r="F349" s="1" t="s">
        <v>1507</v>
      </c>
      <c r="G349" s="1" t="s">
        <v>4154</v>
      </c>
      <c r="H349" s="1" t="s">
        <v>1507</v>
      </c>
      <c r="I349" s="1" t="s">
        <v>1507</v>
      </c>
      <c r="J349" s="1" t="s">
        <v>4155</v>
      </c>
      <c r="K349" s="1" t="s">
        <v>4156</v>
      </c>
      <c r="L349" s="1" t="s">
        <v>1507</v>
      </c>
      <c r="M349" s="1" t="s">
        <v>1507</v>
      </c>
      <c r="N349" s="1" t="s">
        <v>42</v>
      </c>
      <c r="O349" s="1" t="s">
        <v>56</v>
      </c>
      <c r="P349" s="1" t="s">
        <v>1507</v>
      </c>
      <c r="Q349" s="1" t="s">
        <v>1507</v>
      </c>
      <c r="R349" s="1" t="s">
        <v>1507</v>
      </c>
      <c r="S349" s="1" t="s">
        <v>1507</v>
      </c>
      <c r="T349" s="1" t="s">
        <v>1507</v>
      </c>
      <c r="U349" s="1" t="s">
        <v>4157</v>
      </c>
      <c r="V349" s="1" t="s">
        <v>1507</v>
      </c>
      <c r="W349" s="1" t="s">
        <v>4158</v>
      </c>
      <c r="X349" s="1" t="s">
        <v>4159</v>
      </c>
      <c r="Y349" s="1" t="s">
        <v>4160</v>
      </c>
      <c r="Z349" s="1" t="s">
        <v>4161</v>
      </c>
      <c r="AA349" s="1" t="s">
        <v>4162</v>
      </c>
      <c r="AB349" s="1" t="s">
        <v>1507</v>
      </c>
      <c r="AC349" s="1" t="s">
        <v>1507</v>
      </c>
      <c r="AD349" s="1" t="s">
        <v>4163</v>
      </c>
      <c r="AE349" s="1" t="s">
        <v>4163</v>
      </c>
      <c r="AF349" s="1" t="s">
        <v>4164</v>
      </c>
      <c r="AG349" s="1" t="s">
        <v>1507</v>
      </c>
      <c r="AH349" s="1">
        <v>10</v>
      </c>
      <c r="AI349" s="1">
        <v>2</v>
      </c>
      <c r="AJ349" s="1">
        <v>2</v>
      </c>
      <c r="AK349" s="1">
        <v>6</v>
      </c>
      <c r="AL349" s="1">
        <v>9</v>
      </c>
      <c r="AM349" s="1" t="s">
        <v>1564</v>
      </c>
      <c r="AN349" s="1" t="s">
        <v>1565</v>
      </c>
      <c r="AO349" s="1" t="s">
        <v>1566</v>
      </c>
      <c r="AP349" s="1" t="s">
        <v>4165</v>
      </c>
      <c r="AQ349" s="1" t="s">
        <v>1507</v>
      </c>
      <c r="AR349" s="1" t="s">
        <v>1507</v>
      </c>
      <c r="AS349" s="1" t="s">
        <v>4166</v>
      </c>
      <c r="AT349" s="1" t="s">
        <v>4167</v>
      </c>
      <c r="AU349" s="1" t="s">
        <v>4150</v>
      </c>
      <c r="AV349" s="1">
        <v>2023</v>
      </c>
      <c r="AW349" s="1">
        <v>14</v>
      </c>
      <c r="AX349" s="1" t="s">
        <v>1507</v>
      </c>
      <c r="AY349" s="1" t="s">
        <v>1507</v>
      </c>
      <c r="AZ349" s="1" t="s">
        <v>1507</v>
      </c>
      <c r="BA349" s="1" t="s">
        <v>1507</v>
      </c>
      <c r="BB349" s="1" t="s">
        <v>1507</v>
      </c>
      <c r="BC349" s="1" t="s">
        <v>1507</v>
      </c>
      <c r="BD349" s="1" t="s">
        <v>1507</v>
      </c>
      <c r="BE349" s="1">
        <v>1225223</v>
      </c>
      <c r="BF349" s="1" t="s">
        <v>4168</v>
      </c>
      <c r="BG349" s="1" t="str">
        <f>HYPERLINK("http://dx.doi.org/10.3389/fneur.2023.1225223","http://dx.doi.org/10.3389/fneur.2023.1225223")</f>
        <v>http://dx.doi.org/10.3389/fneur.2023.1225223</v>
      </c>
      <c r="BH349" s="1" t="s">
        <v>1507</v>
      </c>
      <c r="BI349" s="1" t="s">
        <v>1507</v>
      </c>
      <c r="BJ349" s="1">
        <v>7</v>
      </c>
      <c r="BK349" s="1" t="s">
        <v>2867</v>
      </c>
      <c r="BL349" s="1" t="s">
        <v>1573</v>
      </c>
      <c r="BM349" s="1" t="s">
        <v>2868</v>
      </c>
      <c r="BN349" s="1" t="s">
        <v>4169</v>
      </c>
      <c r="BO349" s="1">
        <v>37662036</v>
      </c>
      <c r="BP349" s="1" t="s">
        <v>1674</v>
      </c>
      <c r="BQ349" s="1" t="s">
        <v>1507</v>
      </c>
      <c r="BR349" s="1" t="s">
        <v>1507</v>
      </c>
      <c r="BS349" s="1" t="s">
        <v>13744</v>
      </c>
      <c r="BT349" s="1" t="s">
        <v>4170</v>
      </c>
      <c r="BU349" s="1" t="str">
        <f>HYPERLINK("https%3A%2F%2Fwww.webofscience.com%2Fwos%2Fwoscc%2Ffull-record%2FWOS:001058930700001","View Full Record in Web of Science")</f>
        <v>View Full Record in Web of Science</v>
      </c>
    </row>
    <row r="350" spans="1:73" x14ac:dyDescent="0.25">
      <c r="A350" s="1">
        <v>389</v>
      </c>
      <c r="B350" s="1" t="s">
        <v>1506</v>
      </c>
      <c r="C350" s="1" t="s">
        <v>15223</v>
      </c>
      <c r="D350" s="1" t="s">
        <v>1507</v>
      </c>
      <c r="E350" s="1" t="s">
        <v>1507</v>
      </c>
      <c r="F350" s="1" t="s">
        <v>1507</v>
      </c>
      <c r="G350" s="1" t="s">
        <v>15224</v>
      </c>
      <c r="H350" s="1" t="s">
        <v>1507</v>
      </c>
      <c r="I350" s="1" t="s">
        <v>1507</v>
      </c>
      <c r="J350" s="1" t="s">
        <v>12137</v>
      </c>
      <c r="K350" s="1" t="s">
        <v>15225</v>
      </c>
      <c r="L350" s="1" t="s">
        <v>1507</v>
      </c>
      <c r="M350" s="1" t="s">
        <v>1507</v>
      </c>
      <c r="N350" s="1" t="s">
        <v>42</v>
      </c>
      <c r="O350" s="1" t="s">
        <v>56</v>
      </c>
      <c r="P350" s="1" t="s">
        <v>1507</v>
      </c>
      <c r="Q350" s="1" t="s">
        <v>1507</v>
      </c>
      <c r="R350" s="1" t="s">
        <v>1507</v>
      </c>
      <c r="S350" s="1" t="s">
        <v>1507</v>
      </c>
      <c r="T350" s="1" t="s">
        <v>1507</v>
      </c>
      <c r="U350" s="1" t="s">
        <v>15226</v>
      </c>
      <c r="V350" s="1" t="s">
        <v>15227</v>
      </c>
      <c r="W350" s="1" t="s">
        <v>15228</v>
      </c>
      <c r="X350" s="1" t="s">
        <v>15229</v>
      </c>
      <c r="Y350" s="1" t="s">
        <v>15230</v>
      </c>
      <c r="Z350" s="1" t="s">
        <v>15231</v>
      </c>
      <c r="AA350" s="1" t="s">
        <v>15232</v>
      </c>
      <c r="AB350" s="1" t="s">
        <v>1507</v>
      </c>
      <c r="AC350" s="1" t="s">
        <v>1507</v>
      </c>
      <c r="AD350" s="1" t="s">
        <v>15233</v>
      </c>
      <c r="AE350" s="1" t="s">
        <v>15234</v>
      </c>
      <c r="AF350" s="1" t="s">
        <v>12884</v>
      </c>
      <c r="AG350" s="1" t="s">
        <v>1507</v>
      </c>
      <c r="AH350" s="1">
        <v>75</v>
      </c>
      <c r="AI350" s="1">
        <v>0</v>
      </c>
      <c r="AJ350" s="1">
        <v>0</v>
      </c>
      <c r="AK350" s="1">
        <v>4</v>
      </c>
      <c r="AL350" s="1">
        <v>4</v>
      </c>
      <c r="AM350" s="1" t="s">
        <v>15235</v>
      </c>
      <c r="AN350" s="1" t="s">
        <v>15236</v>
      </c>
      <c r="AO350" s="1" t="s">
        <v>15237</v>
      </c>
      <c r="AP350" s="1" t="s">
        <v>15238</v>
      </c>
      <c r="AQ350" s="1" t="s">
        <v>1507</v>
      </c>
      <c r="AR350" s="1" t="s">
        <v>1507</v>
      </c>
      <c r="AS350" s="1" t="s">
        <v>15239</v>
      </c>
      <c r="AT350" s="1" t="s">
        <v>15239</v>
      </c>
      <c r="AU350" s="1" t="s">
        <v>1507</v>
      </c>
      <c r="AV350" s="1">
        <v>2023</v>
      </c>
      <c r="AW350" s="1">
        <v>29</v>
      </c>
      <c r="AX350" s="1">
        <v>2</v>
      </c>
      <c r="AY350" s="1" t="s">
        <v>1507</v>
      </c>
      <c r="AZ350" s="1" t="s">
        <v>1507</v>
      </c>
      <c r="BA350" s="1" t="s">
        <v>1507</v>
      </c>
      <c r="BB350" s="1" t="s">
        <v>1507</v>
      </c>
      <c r="BC350" s="1" t="s">
        <v>1507</v>
      </c>
      <c r="BD350" s="1" t="s">
        <v>1507</v>
      </c>
      <c r="BE350" s="1" t="s">
        <v>1507</v>
      </c>
      <c r="BF350" s="1" t="s">
        <v>15240</v>
      </c>
      <c r="BG350" s="1" t="str">
        <f>HYPERLINK("http://dx.doi.org/10.30827/relieve.v29i2.29295","http://dx.doi.org/10.30827/relieve.v29i2.29295")</f>
        <v>http://dx.doi.org/10.30827/relieve.v29i2.29295</v>
      </c>
      <c r="BH350" s="1" t="s">
        <v>1507</v>
      </c>
      <c r="BI350" s="1" t="s">
        <v>1507</v>
      </c>
      <c r="BJ350" s="1">
        <v>21</v>
      </c>
      <c r="BK350" s="1" t="s">
        <v>1558</v>
      </c>
      <c r="BL350" s="1" t="s">
        <v>1529</v>
      </c>
      <c r="BM350" s="1" t="s">
        <v>1558</v>
      </c>
      <c r="BN350" s="1" t="s">
        <v>15241</v>
      </c>
      <c r="BO350" s="1" t="s">
        <v>1507</v>
      </c>
      <c r="BP350" s="1" t="s">
        <v>1531</v>
      </c>
      <c r="BQ350" s="1" t="s">
        <v>1507</v>
      </c>
      <c r="BR350" s="1" t="s">
        <v>1507</v>
      </c>
      <c r="BS350" s="1" t="s">
        <v>13744</v>
      </c>
      <c r="BT350" s="1" t="s">
        <v>15242</v>
      </c>
      <c r="BU350" s="1" t="str">
        <f>HYPERLINK("https%3A%2F%2Fwww.webofscience.com%2Fwos%2Fwoscc%2Ffull-record%2FWOS:001171855700010","View Full Record in Web of Science")</f>
        <v>View Full Record in Web of Science</v>
      </c>
    </row>
    <row r="351" spans="1:73" x14ac:dyDescent="0.25">
      <c r="A351" s="1">
        <v>390</v>
      </c>
      <c r="B351" s="1" t="s">
        <v>1506</v>
      </c>
      <c r="C351" s="1" t="s">
        <v>3574</v>
      </c>
      <c r="D351" s="1" t="s">
        <v>1507</v>
      </c>
      <c r="E351" s="1" t="s">
        <v>1507</v>
      </c>
      <c r="F351" s="1" t="s">
        <v>1507</v>
      </c>
      <c r="G351" s="1" t="s">
        <v>3575</v>
      </c>
      <c r="H351" s="1" t="s">
        <v>1507</v>
      </c>
      <c r="I351" s="1" t="s">
        <v>1507</v>
      </c>
      <c r="J351" s="1" t="s">
        <v>3576</v>
      </c>
      <c r="K351" s="1" t="s">
        <v>3577</v>
      </c>
      <c r="L351" s="1" t="s">
        <v>1507</v>
      </c>
      <c r="M351" s="1" t="s">
        <v>1507</v>
      </c>
      <c r="N351" s="1" t="s">
        <v>42</v>
      </c>
      <c r="O351" s="1" t="s">
        <v>56</v>
      </c>
      <c r="P351" s="1" t="s">
        <v>1507</v>
      </c>
      <c r="Q351" s="1" t="s">
        <v>1507</v>
      </c>
      <c r="R351" s="1" t="s">
        <v>1507</v>
      </c>
      <c r="S351" s="1" t="s">
        <v>1507</v>
      </c>
      <c r="T351" s="1" t="s">
        <v>1507</v>
      </c>
      <c r="U351" s="1" t="s">
        <v>3578</v>
      </c>
      <c r="V351" s="1" t="s">
        <v>1507</v>
      </c>
      <c r="W351" s="1" t="s">
        <v>3579</v>
      </c>
      <c r="X351" s="1" t="s">
        <v>3580</v>
      </c>
      <c r="Y351" s="1" t="s">
        <v>3581</v>
      </c>
      <c r="Z351" s="1" t="s">
        <v>3582</v>
      </c>
      <c r="AA351" s="1" t="s">
        <v>1507</v>
      </c>
      <c r="AB351" s="1" t="s">
        <v>1507</v>
      </c>
      <c r="AC351" s="1" t="s">
        <v>1507</v>
      </c>
      <c r="AD351" s="1" t="s">
        <v>3583</v>
      </c>
      <c r="AE351" s="1" t="s">
        <v>3583</v>
      </c>
      <c r="AF351" s="1" t="s">
        <v>3584</v>
      </c>
      <c r="AG351" s="1" t="s">
        <v>1507</v>
      </c>
      <c r="AH351" s="1">
        <v>23</v>
      </c>
      <c r="AI351" s="1">
        <v>0</v>
      </c>
      <c r="AJ351" s="1">
        <v>0</v>
      </c>
      <c r="AK351" s="1">
        <v>8</v>
      </c>
      <c r="AL351" s="1">
        <v>8</v>
      </c>
      <c r="AM351" s="1" t="s">
        <v>3585</v>
      </c>
      <c r="AN351" s="1" t="s">
        <v>3586</v>
      </c>
      <c r="AO351" s="1" t="s">
        <v>3587</v>
      </c>
      <c r="AP351" s="1" t="s">
        <v>3588</v>
      </c>
      <c r="AQ351" s="1" t="s">
        <v>3589</v>
      </c>
      <c r="AR351" s="1" t="s">
        <v>1507</v>
      </c>
      <c r="AS351" s="1" t="s">
        <v>3590</v>
      </c>
      <c r="AT351" s="1" t="s">
        <v>3591</v>
      </c>
      <c r="AU351" s="1" t="s">
        <v>2889</v>
      </c>
      <c r="AV351" s="1">
        <v>2023</v>
      </c>
      <c r="AW351" s="1">
        <v>14</v>
      </c>
      <c r="AX351" s="1">
        <v>10</v>
      </c>
      <c r="AY351" s="1" t="s">
        <v>1507</v>
      </c>
      <c r="AZ351" s="1" t="s">
        <v>1507</v>
      </c>
      <c r="BA351" s="1" t="s">
        <v>1507</v>
      </c>
      <c r="BB351" s="1" t="s">
        <v>1507</v>
      </c>
      <c r="BC351" s="1">
        <v>382</v>
      </c>
      <c r="BD351" s="1">
        <v>396</v>
      </c>
      <c r="BE351" s="1" t="s">
        <v>1507</v>
      </c>
      <c r="BF351" s="1" t="s">
        <v>1507</v>
      </c>
      <c r="BG351" s="1" t="s">
        <v>1507</v>
      </c>
      <c r="BH351" s="1" t="s">
        <v>1507</v>
      </c>
      <c r="BI351" s="1" t="s">
        <v>1507</v>
      </c>
      <c r="BJ351" s="1">
        <v>15</v>
      </c>
      <c r="BK351" s="1" t="s">
        <v>1603</v>
      </c>
      <c r="BL351" s="1" t="s">
        <v>1529</v>
      </c>
      <c r="BM351" s="1" t="s">
        <v>1577</v>
      </c>
      <c r="BN351" s="1" t="s">
        <v>3592</v>
      </c>
      <c r="BO351" s="1" t="s">
        <v>1507</v>
      </c>
      <c r="BP351" s="1" t="s">
        <v>1507</v>
      </c>
      <c r="BQ351" s="1" t="s">
        <v>1507</v>
      </c>
      <c r="BR351" s="1" t="s">
        <v>1507</v>
      </c>
      <c r="BS351" s="1" t="s">
        <v>13744</v>
      </c>
      <c r="BT351" s="1" t="s">
        <v>3593</v>
      </c>
      <c r="BU351" s="1" t="str">
        <f>HYPERLINK("https%3A%2F%2Fwww.webofscience.com%2Fwos%2Fwoscc%2Ffull-record%2FWOS:001125979200001","View Full Record in Web of Science")</f>
        <v>View Full Record in Web of Science</v>
      </c>
    </row>
    <row r="352" spans="1:73" x14ac:dyDescent="0.25">
      <c r="A352" s="1">
        <v>391</v>
      </c>
      <c r="B352" s="1" t="s">
        <v>1506</v>
      </c>
      <c r="C352" s="1" t="s">
        <v>8880</v>
      </c>
      <c r="D352" s="1" t="s">
        <v>1507</v>
      </c>
      <c r="E352" s="1" t="s">
        <v>1507</v>
      </c>
      <c r="F352" s="1" t="s">
        <v>1507</v>
      </c>
      <c r="G352" s="1" t="s">
        <v>8881</v>
      </c>
      <c r="H352" s="1" t="s">
        <v>1507</v>
      </c>
      <c r="I352" s="1" t="s">
        <v>1507</v>
      </c>
      <c r="J352" s="1" t="s">
        <v>8882</v>
      </c>
      <c r="K352" s="1" t="s">
        <v>8883</v>
      </c>
      <c r="L352" s="1" t="s">
        <v>1507</v>
      </c>
      <c r="M352" s="1" t="s">
        <v>1507</v>
      </c>
      <c r="N352" s="1" t="s">
        <v>42</v>
      </c>
      <c r="O352" s="1" t="s">
        <v>56</v>
      </c>
      <c r="P352" s="1" t="s">
        <v>1507</v>
      </c>
      <c r="Q352" s="1" t="s">
        <v>1507</v>
      </c>
      <c r="R352" s="1" t="s">
        <v>1507</v>
      </c>
      <c r="S352" s="1" t="s">
        <v>1507</v>
      </c>
      <c r="T352" s="1" t="s">
        <v>1507</v>
      </c>
      <c r="U352" s="1" t="s">
        <v>8884</v>
      </c>
      <c r="V352" s="1" t="s">
        <v>8885</v>
      </c>
      <c r="W352" s="1" t="s">
        <v>8886</v>
      </c>
      <c r="X352" s="1" t="s">
        <v>8887</v>
      </c>
      <c r="Y352" s="1" t="s">
        <v>8888</v>
      </c>
      <c r="Z352" s="1" t="s">
        <v>8889</v>
      </c>
      <c r="AA352" s="1" t="s">
        <v>4822</v>
      </c>
      <c r="AB352" s="1" t="s">
        <v>1507</v>
      </c>
      <c r="AC352" s="1" t="s">
        <v>1507</v>
      </c>
      <c r="AD352" s="1" t="s">
        <v>8890</v>
      </c>
      <c r="AE352" s="1" t="s">
        <v>8891</v>
      </c>
      <c r="AF352" s="1" t="s">
        <v>8892</v>
      </c>
      <c r="AG352" s="1" t="s">
        <v>1507</v>
      </c>
      <c r="AH352" s="1">
        <v>48</v>
      </c>
      <c r="AI352" s="1">
        <v>24</v>
      </c>
      <c r="AJ352" s="1">
        <v>24</v>
      </c>
      <c r="AK352" s="1">
        <v>7</v>
      </c>
      <c r="AL352" s="1">
        <v>36</v>
      </c>
      <c r="AM352" s="1" t="s">
        <v>1586</v>
      </c>
      <c r="AN352" s="1" t="s">
        <v>1583</v>
      </c>
      <c r="AO352" s="1" t="s">
        <v>3684</v>
      </c>
      <c r="AP352" s="1" t="s">
        <v>8893</v>
      </c>
      <c r="AQ352" s="1" t="s">
        <v>8894</v>
      </c>
      <c r="AR352" s="1" t="s">
        <v>1507</v>
      </c>
      <c r="AS352" s="1" t="s">
        <v>8895</v>
      </c>
      <c r="AT352" s="1" t="s">
        <v>8896</v>
      </c>
      <c r="AU352" s="1" t="s">
        <v>4556</v>
      </c>
      <c r="AV352" s="1">
        <v>2021</v>
      </c>
      <c r="AW352" s="1">
        <v>145</v>
      </c>
      <c r="AX352" s="1" t="s">
        <v>1507</v>
      </c>
      <c r="AY352" s="1" t="s">
        <v>1507</v>
      </c>
      <c r="AZ352" s="1" t="s">
        <v>1507</v>
      </c>
      <c r="BA352" s="1" t="s">
        <v>1507</v>
      </c>
      <c r="BB352" s="1" t="s">
        <v>1507</v>
      </c>
      <c r="BC352" s="1" t="s">
        <v>1507</v>
      </c>
      <c r="BD352" s="1" t="s">
        <v>1507</v>
      </c>
      <c r="BE352" s="1">
        <v>105618</v>
      </c>
      <c r="BF352" s="1" t="s">
        <v>8897</v>
      </c>
      <c r="BG352" s="1" t="str">
        <f>HYPERLINK("http://dx.doi.org/10.1016/j.cropro.2021.105618","http://dx.doi.org/10.1016/j.cropro.2021.105618")</f>
        <v>http://dx.doi.org/10.1016/j.cropro.2021.105618</v>
      </c>
      <c r="BH352" s="1" t="s">
        <v>1507</v>
      </c>
      <c r="BI352" s="1" t="s">
        <v>8876</v>
      </c>
      <c r="BJ352" s="1">
        <v>7</v>
      </c>
      <c r="BK352" s="1" t="s">
        <v>6511</v>
      </c>
      <c r="BL352" s="1" t="s">
        <v>1573</v>
      </c>
      <c r="BM352" s="1" t="s">
        <v>6512</v>
      </c>
      <c r="BN352" s="1" t="s">
        <v>8898</v>
      </c>
      <c r="BO352" s="1" t="s">
        <v>1507</v>
      </c>
      <c r="BP352" s="1" t="s">
        <v>1507</v>
      </c>
      <c r="BQ352" s="1" t="s">
        <v>1507</v>
      </c>
      <c r="BR352" s="1" t="s">
        <v>1507</v>
      </c>
      <c r="BS352" s="1" t="s">
        <v>13744</v>
      </c>
      <c r="BT352" s="1" t="s">
        <v>8899</v>
      </c>
      <c r="BU352" s="1" t="str">
        <f>HYPERLINK("https%3A%2F%2Fwww.webofscience.com%2Fwos%2Fwoscc%2Ffull-record%2FWOS:000645087000018","View Full Record in Web of Science")</f>
        <v>View Full Record in Web of Science</v>
      </c>
    </row>
    <row r="353" spans="1:73" x14ac:dyDescent="0.25">
      <c r="A353" s="1">
        <v>392</v>
      </c>
      <c r="B353" s="1" t="s">
        <v>1506</v>
      </c>
      <c r="C353" s="1" t="s">
        <v>5265</v>
      </c>
      <c r="D353" s="1" t="s">
        <v>1507</v>
      </c>
      <c r="E353" s="1" t="s">
        <v>1507</v>
      </c>
      <c r="F353" s="1" t="s">
        <v>1507</v>
      </c>
      <c r="G353" s="1" t="s">
        <v>5266</v>
      </c>
      <c r="H353" s="1" t="s">
        <v>1507</v>
      </c>
      <c r="I353" s="1" t="s">
        <v>1507</v>
      </c>
      <c r="J353" s="1" t="s">
        <v>5267</v>
      </c>
      <c r="K353" s="1" t="s">
        <v>5268</v>
      </c>
      <c r="L353" s="1" t="s">
        <v>1507</v>
      </c>
      <c r="M353" s="1" t="s">
        <v>1507</v>
      </c>
      <c r="N353" s="1" t="s">
        <v>42</v>
      </c>
      <c r="O353" s="1" t="s">
        <v>56</v>
      </c>
      <c r="P353" s="1" t="s">
        <v>1507</v>
      </c>
      <c r="Q353" s="1" t="s">
        <v>1507</v>
      </c>
      <c r="R353" s="1" t="s">
        <v>1507</v>
      </c>
      <c r="S353" s="1" t="s">
        <v>1507</v>
      </c>
      <c r="T353" s="1" t="s">
        <v>1507</v>
      </c>
      <c r="U353" s="1" t="s">
        <v>1507</v>
      </c>
      <c r="V353" s="1" t="s">
        <v>5269</v>
      </c>
      <c r="W353" s="1" t="s">
        <v>5270</v>
      </c>
      <c r="X353" s="1" t="s">
        <v>5271</v>
      </c>
      <c r="Y353" s="1" t="s">
        <v>5272</v>
      </c>
      <c r="Z353" s="1" t="s">
        <v>5273</v>
      </c>
      <c r="AA353" s="1" t="s">
        <v>5274</v>
      </c>
      <c r="AB353" s="1" t="s">
        <v>5275</v>
      </c>
      <c r="AC353" s="1" t="s">
        <v>14800</v>
      </c>
      <c r="AD353" s="1" t="s">
        <v>5276</v>
      </c>
      <c r="AE353" s="1" t="s">
        <v>5276</v>
      </c>
      <c r="AF353" s="1" t="s">
        <v>5277</v>
      </c>
      <c r="AG353" s="1" t="s">
        <v>1507</v>
      </c>
      <c r="AH353" s="1">
        <v>104</v>
      </c>
      <c r="AI353" s="1">
        <v>0</v>
      </c>
      <c r="AJ353" s="1">
        <v>0</v>
      </c>
      <c r="AK353" s="1">
        <v>0</v>
      </c>
      <c r="AL353" s="1">
        <v>1</v>
      </c>
      <c r="AM353" s="1" t="s">
        <v>5278</v>
      </c>
      <c r="AN353" s="1" t="s">
        <v>1551</v>
      </c>
      <c r="AO353" s="1" t="s">
        <v>5279</v>
      </c>
      <c r="AP353" s="1" t="s">
        <v>5280</v>
      </c>
      <c r="AQ353" s="1" t="s">
        <v>5281</v>
      </c>
      <c r="AR353" s="1" t="s">
        <v>1507</v>
      </c>
      <c r="AS353" s="1" t="s">
        <v>5282</v>
      </c>
      <c r="AT353" s="1" t="s">
        <v>5283</v>
      </c>
      <c r="AU353" s="1" t="s">
        <v>5284</v>
      </c>
      <c r="AV353" s="1">
        <v>2023</v>
      </c>
      <c r="AW353" s="1">
        <v>2023</v>
      </c>
      <c r="AX353" s="1" t="s">
        <v>1507</v>
      </c>
      <c r="AY353" s="1" t="s">
        <v>1507</v>
      </c>
      <c r="AZ353" s="1" t="s">
        <v>1507</v>
      </c>
      <c r="BA353" s="1" t="s">
        <v>1507</v>
      </c>
      <c r="BB353" s="1" t="s">
        <v>1507</v>
      </c>
      <c r="BC353" s="1" t="s">
        <v>1507</v>
      </c>
      <c r="BD353" s="1" t="s">
        <v>1507</v>
      </c>
      <c r="BE353" s="1">
        <v>7104852</v>
      </c>
      <c r="BF353" s="1" t="s">
        <v>5285</v>
      </c>
      <c r="BG353" s="1" t="str">
        <f>HYPERLINK("http://dx.doi.org/10.1155/2023/7104852","http://dx.doi.org/10.1155/2023/7104852")</f>
        <v>http://dx.doi.org/10.1155/2023/7104852</v>
      </c>
      <c r="BH353" s="1" t="s">
        <v>1507</v>
      </c>
      <c r="BI353" s="1" t="s">
        <v>1507</v>
      </c>
      <c r="BJ353" s="1">
        <v>32</v>
      </c>
      <c r="BK353" s="1" t="s">
        <v>5286</v>
      </c>
      <c r="BL353" s="1" t="s">
        <v>1529</v>
      </c>
      <c r="BM353" s="1" t="s">
        <v>1615</v>
      </c>
      <c r="BN353" s="1" t="s">
        <v>5287</v>
      </c>
      <c r="BO353" s="1" t="s">
        <v>1507</v>
      </c>
      <c r="BP353" s="1" t="s">
        <v>1531</v>
      </c>
      <c r="BQ353" s="1" t="s">
        <v>1507</v>
      </c>
      <c r="BR353" s="1" t="s">
        <v>1507</v>
      </c>
      <c r="BS353" s="1" t="s">
        <v>13744</v>
      </c>
      <c r="BT353" s="1" t="s">
        <v>5288</v>
      </c>
      <c r="BU353" s="1" t="str">
        <f>HYPERLINK("https%3A%2F%2Fwww.webofscience.com%2Fwos%2Fwoscc%2Ffull-record%2FWOS:000956744300001","View Full Record in Web of Science")</f>
        <v>View Full Record in Web of Science</v>
      </c>
    </row>
    <row r="354" spans="1:73" x14ac:dyDescent="0.25">
      <c r="A354" s="1">
        <v>393</v>
      </c>
      <c r="B354" s="1" t="s">
        <v>5546</v>
      </c>
      <c r="C354" s="1" t="s">
        <v>15243</v>
      </c>
      <c r="D354" s="1" t="s">
        <v>1507</v>
      </c>
      <c r="E354" s="1" t="s">
        <v>1507</v>
      </c>
      <c r="F354" s="1" t="s">
        <v>5628</v>
      </c>
      <c r="G354" s="1" t="s">
        <v>15244</v>
      </c>
      <c r="H354" s="1" t="s">
        <v>1507</v>
      </c>
      <c r="I354" s="1" t="s">
        <v>1507</v>
      </c>
      <c r="J354" s="1" t="s">
        <v>114</v>
      </c>
      <c r="K354" s="1" t="s">
        <v>15245</v>
      </c>
      <c r="L354" s="1" t="s">
        <v>1507</v>
      </c>
      <c r="M354" s="1" t="s">
        <v>1507</v>
      </c>
      <c r="N354" s="1" t="s">
        <v>42</v>
      </c>
      <c r="O354" s="1" t="s">
        <v>5552</v>
      </c>
      <c r="P354" s="1" t="s">
        <v>15246</v>
      </c>
      <c r="Q354" s="1" t="s">
        <v>15247</v>
      </c>
      <c r="R354" s="1" t="s">
        <v>15248</v>
      </c>
      <c r="S354" s="1" t="s">
        <v>15249</v>
      </c>
      <c r="T354" s="1" t="s">
        <v>1507</v>
      </c>
      <c r="U354" s="1" t="s">
        <v>15250</v>
      </c>
      <c r="V354" s="1" t="s">
        <v>1507</v>
      </c>
      <c r="W354" s="1" t="s">
        <v>15251</v>
      </c>
      <c r="X354" s="1" t="s">
        <v>15252</v>
      </c>
      <c r="Y354" s="1" t="s">
        <v>1507</v>
      </c>
      <c r="Z354" s="1" t="s">
        <v>15253</v>
      </c>
      <c r="AA354" s="1" t="s">
        <v>15254</v>
      </c>
      <c r="AB354" s="1" t="s">
        <v>1507</v>
      </c>
      <c r="AC354" s="1" t="s">
        <v>1507</v>
      </c>
      <c r="AD354" s="1" t="s">
        <v>1507</v>
      </c>
      <c r="AE354" s="1" t="s">
        <v>1507</v>
      </c>
      <c r="AF354" s="1" t="s">
        <v>1507</v>
      </c>
      <c r="AG354" s="1" t="s">
        <v>1507</v>
      </c>
      <c r="AH354" s="1">
        <v>12</v>
      </c>
      <c r="AI354" s="1">
        <v>0</v>
      </c>
      <c r="AJ354" s="1">
        <v>0</v>
      </c>
      <c r="AK354" s="1">
        <v>4</v>
      </c>
      <c r="AL354" s="1">
        <v>4</v>
      </c>
      <c r="AM354" s="1" t="s">
        <v>5645</v>
      </c>
      <c r="AN354" s="1" t="s">
        <v>5646</v>
      </c>
      <c r="AO354" s="1" t="s">
        <v>5647</v>
      </c>
      <c r="AP354" s="1" t="s">
        <v>1507</v>
      </c>
      <c r="AQ354" s="1" t="s">
        <v>1507</v>
      </c>
      <c r="AR354" s="1" t="s">
        <v>15255</v>
      </c>
      <c r="AS354" s="1" t="s">
        <v>1507</v>
      </c>
      <c r="AT354" s="1" t="s">
        <v>1507</v>
      </c>
      <c r="AU354" s="1" t="s">
        <v>1507</v>
      </c>
      <c r="AV354" s="1">
        <v>2023</v>
      </c>
      <c r="AW354" s="1" t="s">
        <v>1507</v>
      </c>
      <c r="AX354" s="1" t="s">
        <v>1507</v>
      </c>
      <c r="AY354" s="1" t="s">
        <v>1507</v>
      </c>
      <c r="AZ354" s="1" t="s">
        <v>1507</v>
      </c>
      <c r="BA354" s="1" t="s">
        <v>1507</v>
      </c>
      <c r="BB354" s="1" t="s">
        <v>1507</v>
      </c>
      <c r="BC354" s="1">
        <v>526</v>
      </c>
      <c r="BD354" s="1">
        <v>533</v>
      </c>
      <c r="BE354" s="1" t="s">
        <v>1507</v>
      </c>
      <c r="BF354" s="1" t="s">
        <v>116</v>
      </c>
      <c r="BG354" s="1" t="str">
        <f>HYPERLINK("http://dx.doi.org/10.1109/WI-IAT59888.2023.00088","http://dx.doi.org/10.1109/WI-IAT59888.2023.00088")</f>
        <v>http://dx.doi.org/10.1109/WI-IAT59888.2023.00088</v>
      </c>
      <c r="BH354" s="1" t="s">
        <v>1507</v>
      </c>
      <c r="BI354" s="1" t="s">
        <v>1507</v>
      </c>
      <c r="BJ354" s="1">
        <v>8</v>
      </c>
      <c r="BK354" s="1" t="s">
        <v>6200</v>
      </c>
      <c r="BL354" s="1" t="s">
        <v>5570</v>
      </c>
      <c r="BM354" s="1" t="s">
        <v>1577</v>
      </c>
      <c r="BN354" s="1" t="s">
        <v>15256</v>
      </c>
      <c r="BO354" s="1" t="s">
        <v>1507</v>
      </c>
      <c r="BP354" s="1" t="s">
        <v>1507</v>
      </c>
      <c r="BQ354" s="1" t="s">
        <v>1507</v>
      </c>
      <c r="BR354" s="1" t="s">
        <v>1507</v>
      </c>
      <c r="BS354" s="1" t="s">
        <v>13744</v>
      </c>
      <c r="BT354" s="1" t="s">
        <v>15257</v>
      </c>
      <c r="BU354" s="1" t="str">
        <f>HYPERLINK("https%3A%2F%2Fwww.webofscience.com%2Fwos%2Fwoscc%2Ffull-record%2FWOS:001139644800081","View Full Record in Web of Science")</f>
        <v>View Full Record in Web of Science</v>
      </c>
    </row>
    <row r="355" spans="1:73" x14ac:dyDescent="0.25">
      <c r="A355" s="1">
        <v>394</v>
      </c>
      <c r="B355" s="1" t="s">
        <v>1506</v>
      </c>
      <c r="C355" s="1" t="s">
        <v>10707</v>
      </c>
      <c r="D355" s="1" t="s">
        <v>1507</v>
      </c>
      <c r="E355" s="1" t="s">
        <v>1507</v>
      </c>
      <c r="F355" s="1" t="s">
        <v>1507</v>
      </c>
      <c r="G355" s="1" t="s">
        <v>10708</v>
      </c>
      <c r="H355" s="1" t="s">
        <v>1507</v>
      </c>
      <c r="I355" s="1" t="s">
        <v>1507</v>
      </c>
      <c r="J355" s="1" t="s">
        <v>10709</v>
      </c>
      <c r="K355" s="1" t="s">
        <v>10710</v>
      </c>
      <c r="L355" s="1" t="s">
        <v>1507</v>
      </c>
      <c r="M355" s="1" t="s">
        <v>1507</v>
      </c>
      <c r="N355" s="1" t="s">
        <v>42</v>
      </c>
      <c r="O355" s="1" t="s">
        <v>56</v>
      </c>
      <c r="P355" s="1" t="s">
        <v>1507</v>
      </c>
      <c r="Q355" s="1" t="s">
        <v>1507</v>
      </c>
      <c r="R355" s="1" t="s">
        <v>1507</v>
      </c>
      <c r="S355" s="1" t="s">
        <v>1507</v>
      </c>
      <c r="T355" s="1" t="s">
        <v>1507</v>
      </c>
      <c r="U355" s="1" t="s">
        <v>10711</v>
      </c>
      <c r="V355" s="1" t="s">
        <v>10712</v>
      </c>
      <c r="W355" s="1" t="s">
        <v>10713</v>
      </c>
      <c r="X355" s="1" t="s">
        <v>10714</v>
      </c>
      <c r="Y355" s="1" t="s">
        <v>7062</v>
      </c>
      <c r="Z355" s="1" t="s">
        <v>10715</v>
      </c>
      <c r="AA355" s="1" t="s">
        <v>10716</v>
      </c>
      <c r="AB355" s="1" t="s">
        <v>15895</v>
      </c>
      <c r="AC355" s="1" t="s">
        <v>15896</v>
      </c>
      <c r="AD355" s="1" t="s">
        <v>10717</v>
      </c>
      <c r="AE355" s="1" t="s">
        <v>10718</v>
      </c>
      <c r="AF355" s="1" t="s">
        <v>10719</v>
      </c>
      <c r="AG355" s="1" t="s">
        <v>1507</v>
      </c>
      <c r="AH355" s="1">
        <v>42</v>
      </c>
      <c r="AI355" s="1">
        <v>36</v>
      </c>
      <c r="AJ355" s="1">
        <v>37</v>
      </c>
      <c r="AK355" s="1">
        <v>21</v>
      </c>
      <c r="AL355" s="1">
        <v>154</v>
      </c>
      <c r="AM355" s="1" t="s">
        <v>3385</v>
      </c>
      <c r="AN355" s="1" t="s">
        <v>3386</v>
      </c>
      <c r="AO355" s="1" t="s">
        <v>3387</v>
      </c>
      <c r="AP355" s="1" t="s">
        <v>10720</v>
      </c>
      <c r="AQ355" s="1" t="s">
        <v>10721</v>
      </c>
      <c r="AR355" s="1" t="s">
        <v>1507</v>
      </c>
      <c r="AS355" s="1" t="s">
        <v>10710</v>
      </c>
      <c r="AT355" s="1" t="s">
        <v>10722</v>
      </c>
      <c r="AU355" s="1" t="s">
        <v>5362</v>
      </c>
      <c r="AV355" s="1">
        <v>2020</v>
      </c>
      <c r="AW355" s="1">
        <v>16</v>
      </c>
      <c r="AX355" s="1">
        <v>9</v>
      </c>
      <c r="AY355" s="1" t="s">
        <v>1507</v>
      </c>
      <c r="AZ355" s="1" t="s">
        <v>1507</v>
      </c>
      <c r="BA355" s="1" t="s">
        <v>3506</v>
      </c>
      <c r="BB355" s="1" t="s">
        <v>1507</v>
      </c>
      <c r="BC355" s="1" t="s">
        <v>1507</v>
      </c>
      <c r="BD355" s="1" t="s">
        <v>1507</v>
      </c>
      <c r="BE355" s="1">
        <v>1902889</v>
      </c>
      <c r="BF355" s="1" t="s">
        <v>10723</v>
      </c>
      <c r="BG355" s="1" t="str">
        <f>HYPERLINK("http://dx.doi.org/10.1002/smll.201902889","http://dx.doi.org/10.1002/smll.201902889")</f>
        <v>http://dx.doi.org/10.1002/smll.201902889</v>
      </c>
      <c r="BH355" s="1" t="s">
        <v>1507</v>
      </c>
      <c r="BI355" s="1" t="s">
        <v>10724</v>
      </c>
      <c r="BJ355" s="1">
        <v>11</v>
      </c>
      <c r="BK355" s="1" t="s">
        <v>10725</v>
      </c>
      <c r="BL355" s="1" t="s">
        <v>1573</v>
      </c>
      <c r="BM355" s="1" t="s">
        <v>2536</v>
      </c>
      <c r="BN355" s="1" t="s">
        <v>10726</v>
      </c>
      <c r="BO355" s="1">
        <v>31448532</v>
      </c>
      <c r="BP355" s="1" t="s">
        <v>1507</v>
      </c>
      <c r="BQ355" s="1" t="s">
        <v>1507</v>
      </c>
      <c r="BR355" s="1" t="s">
        <v>1507</v>
      </c>
      <c r="BS355" s="1" t="s">
        <v>13744</v>
      </c>
      <c r="BT355" s="1" t="s">
        <v>10727</v>
      </c>
      <c r="BU355" s="1" t="str">
        <f>HYPERLINK("https%3A%2F%2Fwww.webofscience.com%2Fwos%2Fwoscc%2Ffull-record%2FWOS:000482639800001","View Full Record in Web of Science")</f>
        <v>View Full Record in Web of Science</v>
      </c>
    </row>
    <row r="356" spans="1:73" x14ac:dyDescent="0.25">
      <c r="A356" s="1">
        <v>395</v>
      </c>
      <c r="B356" s="1" t="s">
        <v>1506</v>
      </c>
      <c r="C356" s="1" t="s">
        <v>9836</v>
      </c>
      <c r="D356" s="1" t="s">
        <v>1507</v>
      </c>
      <c r="E356" s="1" t="s">
        <v>1507</v>
      </c>
      <c r="F356" s="1" t="s">
        <v>1507</v>
      </c>
      <c r="G356" s="1" t="s">
        <v>9837</v>
      </c>
      <c r="H356" s="1" t="s">
        <v>1507</v>
      </c>
      <c r="I356" s="1" t="s">
        <v>1507</v>
      </c>
      <c r="J356" s="1" t="s">
        <v>9838</v>
      </c>
      <c r="K356" s="1" t="s">
        <v>9839</v>
      </c>
      <c r="L356" s="1" t="s">
        <v>1507</v>
      </c>
      <c r="M356" s="1" t="s">
        <v>1507</v>
      </c>
      <c r="N356" s="1" t="s">
        <v>42</v>
      </c>
      <c r="O356" s="1" t="s">
        <v>56</v>
      </c>
      <c r="P356" s="1" t="s">
        <v>1507</v>
      </c>
      <c r="Q356" s="1" t="s">
        <v>1507</v>
      </c>
      <c r="R356" s="1" t="s">
        <v>1507</v>
      </c>
      <c r="S356" s="1" t="s">
        <v>1507</v>
      </c>
      <c r="T356" s="1" t="s">
        <v>1507</v>
      </c>
      <c r="U356" s="1" t="s">
        <v>9840</v>
      </c>
      <c r="V356" s="1" t="s">
        <v>9841</v>
      </c>
      <c r="W356" s="1" t="s">
        <v>9842</v>
      </c>
      <c r="X356" s="1" t="s">
        <v>9843</v>
      </c>
      <c r="Y356" s="1" t="s">
        <v>9844</v>
      </c>
      <c r="Z356" s="1" t="s">
        <v>9845</v>
      </c>
      <c r="AA356" s="1" t="s">
        <v>9846</v>
      </c>
      <c r="AB356" s="1" t="s">
        <v>1507</v>
      </c>
      <c r="AC356" s="1" t="s">
        <v>1507</v>
      </c>
      <c r="AD356" s="1" t="s">
        <v>9847</v>
      </c>
      <c r="AE356" s="1" t="s">
        <v>9847</v>
      </c>
      <c r="AF356" s="1" t="s">
        <v>9848</v>
      </c>
      <c r="AG356" s="1" t="s">
        <v>1507</v>
      </c>
      <c r="AH356" s="1">
        <v>57</v>
      </c>
      <c r="AI356" s="1">
        <v>3</v>
      </c>
      <c r="AJ356" s="1">
        <v>3</v>
      </c>
      <c r="AK356" s="1">
        <v>3</v>
      </c>
      <c r="AL356" s="1">
        <v>14</v>
      </c>
      <c r="AM356" s="1" t="s">
        <v>9047</v>
      </c>
      <c r="AN356" s="1" t="s">
        <v>9048</v>
      </c>
      <c r="AO356" s="1" t="s">
        <v>9049</v>
      </c>
      <c r="AP356" s="1" t="s">
        <v>9849</v>
      </c>
      <c r="AQ356" s="1" t="s">
        <v>9850</v>
      </c>
      <c r="AR356" s="1" t="s">
        <v>1507</v>
      </c>
      <c r="AS356" s="1" t="s">
        <v>9851</v>
      </c>
      <c r="AT356" s="1" t="s">
        <v>9852</v>
      </c>
      <c r="AU356" s="1" t="s">
        <v>4721</v>
      </c>
      <c r="AV356" s="1">
        <v>2020</v>
      </c>
      <c r="AW356" s="1">
        <v>45</v>
      </c>
      <c r="AX356" s="1">
        <v>3</v>
      </c>
      <c r="AY356" s="1" t="s">
        <v>1507</v>
      </c>
      <c r="AZ356" s="1" t="s">
        <v>1507</v>
      </c>
      <c r="BA356" s="1" t="s">
        <v>1507</v>
      </c>
      <c r="BB356" s="1" t="s">
        <v>1507</v>
      </c>
      <c r="BC356" s="1">
        <v>285</v>
      </c>
      <c r="BD356" s="1">
        <v>308</v>
      </c>
      <c r="BE356" s="1" t="s">
        <v>1507</v>
      </c>
      <c r="BF356" s="1" t="s">
        <v>1507</v>
      </c>
      <c r="BG356" s="1" t="s">
        <v>1507</v>
      </c>
      <c r="BH356" s="1" t="s">
        <v>1507</v>
      </c>
      <c r="BI356" s="1" t="s">
        <v>1507</v>
      </c>
      <c r="BJ356" s="1">
        <v>24</v>
      </c>
      <c r="BK356" s="1" t="s">
        <v>1535</v>
      </c>
      <c r="BL356" s="1" t="s">
        <v>1529</v>
      </c>
      <c r="BM356" s="1" t="s">
        <v>1536</v>
      </c>
      <c r="BN356" s="1" t="s">
        <v>9853</v>
      </c>
      <c r="BO356" s="1" t="s">
        <v>1507</v>
      </c>
      <c r="BP356" s="1" t="s">
        <v>1507</v>
      </c>
      <c r="BQ356" s="1" t="s">
        <v>1507</v>
      </c>
      <c r="BR356" s="1" t="s">
        <v>1507</v>
      </c>
      <c r="BS356" s="1" t="s">
        <v>13744</v>
      </c>
      <c r="BT356" s="1" t="s">
        <v>9854</v>
      </c>
      <c r="BU356" s="1" t="str">
        <f>HYPERLINK("https%3A%2F%2Fwww.webofscience.com%2Fwos%2Fwoscc%2Ffull-record%2FWOS:000562002700004","View Full Record in Web of Science")</f>
        <v>View Full Record in Web of Science</v>
      </c>
    </row>
    <row r="357" spans="1:73" x14ac:dyDescent="0.25">
      <c r="A357" s="1">
        <v>396</v>
      </c>
      <c r="B357" s="1" t="s">
        <v>1506</v>
      </c>
      <c r="C357" s="1" t="s">
        <v>2917</v>
      </c>
      <c r="D357" s="1" t="s">
        <v>1507</v>
      </c>
      <c r="E357" s="1" t="s">
        <v>1507</v>
      </c>
      <c r="F357" s="1" t="s">
        <v>1507</v>
      </c>
      <c r="G357" s="1" t="s">
        <v>2918</v>
      </c>
      <c r="H357" s="1" t="s">
        <v>1507</v>
      </c>
      <c r="I357" s="1" t="s">
        <v>1507</v>
      </c>
      <c r="J357" s="1" t="s">
        <v>2919</v>
      </c>
      <c r="K357" s="1" t="s">
        <v>2874</v>
      </c>
      <c r="L357" s="1" t="s">
        <v>1507</v>
      </c>
      <c r="M357" s="1" t="s">
        <v>1507</v>
      </c>
      <c r="N357" s="1" t="s">
        <v>42</v>
      </c>
      <c r="O357" s="1" t="s">
        <v>56</v>
      </c>
      <c r="P357" s="1" t="s">
        <v>1507</v>
      </c>
      <c r="Q357" s="1" t="s">
        <v>1507</v>
      </c>
      <c r="R357" s="1" t="s">
        <v>1507</v>
      </c>
      <c r="S357" s="1" t="s">
        <v>1507</v>
      </c>
      <c r="T357" s="1" t="s">
        <v>1507</v>
      </c>
      <c r="U357" s="1" t="s">
        <v>2920</v>
      </c>
      <c r="V357" s="1" t="s">
        <v>1507</v>
      </c>
      <c r="W357" s="1" t="s">
        <v>2921</v>
      </c>
      <c r="X357" s="1" t="s">
        <v>2922</v>
      </c>
      <c r="Y357" s="1" t="s">
        <v>2923</v>
      </c>
      <c r="Z357" s="1" t="s">
        <v>2924</v>
      </c>
      <c r="AA357" s="1" t="s">
        <v>2925</v>
      </c>
      <c r="AB357" s="1" t="s">
        <v>1507</v>
      </c>
      <c r="AC357" s="1" t="s">
        <v>2926</v>
      </c>
      <c r="AD357" s="1" t="s">
        <v>1507</v>
      </c>
      <c r="AE357" s="1" t="s">
        <v>1507</v>
      </c>
      <c r="AF357" s="1" t="s">
        <v>1507</v>
      </c>
      <c r="AG357" s="1" t="s">
        <v>1507</v>
      </c>
      <c r="AH357" s="1">
        <v>15</v>
      </c>
      <c r="AI357" s="1">
        <v>4</v>
      </c>
      <c r="AJ357" s="1">
        <v>4</v>
      </c>
      <c r="AK357" s="1">
        <v>9</v>
      </c>
      <c r="AL357" s="1">
        <v>11</v>
      </c>
      <c r="AM357" s="1" t="s">
        <v>2883</v>
      </c>
      <c r="AN357" s="1" t="s">
        <v>1512</v>
      </c>
      <c r="AO357" s="1" t="s">
        <v>2884</v>
      </c>
      <c r="AP357" s="1" t="s">
        <v>2885</v>
      </c>
      <c r="AQ357" s="1" t="s">
        <v>2886</v>
      </c>
      <c r="AR357" s="1" t="s">
        <v>1507</v>
      </c>
      <c r="AS357" s="1" t="s">
        <v>2887</v>
      </c>
      <c r="AT357" s="1" t="s">
        <v>2888</v>
      </c>
      <c r="AU357" s="1" t="s">
        <v>2889</v>
      </c>
      <c r="AV357" s="1">
        <v>2023</v>
      </c>
      <c r="AW357" s="1">
        <v>20</v>
      </c>
      <c r="AX357" s="1">
        <v>10</v>
      </c>
      <c r="AY357" s="1" t="s">
        <v>1507</v>
      </c>
      <c r="AZ357" s="1" t="s">
        <v>1507</v>
      </c>
      <c r="BA357" s="1" t="s">
        <v>1507</v>
      </c>
      <c r="BB357" s="1" t="s">
        <v>1507</v>
      </c>
      <c r="BC357" s="1">
        <v>1004</v>
      </c>
      <c r="BD357" s="1">
        <v>1009</v>
      </c>
      <c r="BE357" s="1" t="s">
        <v>1507</v>
      </c>
      <c r="BF357" s="1" t="s">
        <v>2927</v>
      </c>
      <c r="BG357" s="1" t="str">
        <f>HYPERLINK("http://dx.doi.org/10.1016/j.jacr.2023.06.008","http://dx.doi.org/10.1016/j.jacr.2023.06.008")</f>
        <v>http://dx.doi.org/10.1016/j.jacr.2023.06.008</v>
      </c>
      <c r="BH357" s="1" t="s">
        <v>1507</v>
      </c>
      <c r="BI357" s="1" t="s">
        <v>2891</v>
      </c>
      <c r="BJ357" s="1">
        <v>6</v>
      </c>
      <c r="BK357" s="1" t="s">
        <v>1653</v>
      </c>
      <c r="BL357" s="1" t="s">
        <v>1573</v>
      </c>
      <c r="BM357" s="1" t="s">
        <v>1653</v>
      </c>
      <c r="BN357" s="1" t="s">
        <v>2928</v>
      </c>
      <c r="BO357" s="1">
        <v>37423349</v>
      </c>
      <c r="BP357" s="1" t="s">
        <v>1507</v>
      </c>
      <c r="BQ357" s="1" t="s">
        <v>1507</v>
      </c>
      <c r="BR357" s="1" t="s">
        <v>1507</v>
      </c>
      <c r="BS357" s="1" t="s">
        <v>13744</v>
      </c>
      <c r="BT357" s="1" t="s">
        <v>2929</v>
      </c>
      <c r="BU357" s="1" t="str">
        <f>HYPERLINK("https%3A%2F%2Fwww.webofscience.com%2Fwos%2Fwoscc%2Ffull-record%2FWOS:001101382800001","View Full Record in Web of Science")</f>
        <v>View Full Record in Web of Science</v>
      </c>
    </row>
    <row r="358" spans="1:73" x14ac:dyDescent="0.25">
      <c r="A358" s="1">
        <v>397</v>
      </c>
      <c r="B358" s="1" t="s">
        <v>1506</v>
      </c>
      <c r="C358" s="1" t="s">
        <v>10027</v>
      </c>
      <c r="D358" s="1" t="s">
        <v>1507</v>
      </c>
      <c r="E358" s="1" t="s">
        <v>1507</v>
      </c>
      <c r="F358" s="1" t="s">
        <v>1507</v>
      </c>
      <c r="G358" s="1" t="s">
        <v>10028</v>
      </c>
      <c r="H358" s="1" t="s">
        <v>1507</v>
      </c>
      <c r="I358" s="1" t="s">
        <v>1507</v>
      </c>
      <c r="J358" s="1" t="s">
        <v>10029</v>
      </c>
      <c r="K358" s="1" t="s">
        <v>10030</v>
      </c>
      <c r="L358" s="1" t="s">
        <v>1507</v>
      </c>
      <c r="M358" s="1" t="s">
        <v>1507</v>
      </c>
      <c r="N358" s="1" t="s">
        <v>42</v>
      </c>
      <c r="O358" s="1" t="s">
        <v>56</v>
      </c>
      <c r="P358" s="1" t="s">
        <v>1507</v>
      </c>
      <c r="Q358" s="1" t="s">
        <v>1507</v>
      </c>
      <c r="R358" s="1" t="s">
        <v>1507</v>
      </c>
      <c r="S358" s="1" t="s">
        <v>1507</v>
      </c>
      <c r="T358" s="1" t="s">
        <v>1507</v>
      </c>
      <c r="U358" s="1" t="s">
        <v>10031</v>
      </c>
      <c r="V358" s="1" t="s">
        <v>1507</v>
      </c>
      <c r="W358" s="1" t="s">
        <v>10032</v>
      </c>
      <c r="X358" s="1" t="s">
        <v>10033</v>
      </c>
      <c r="Y358" s="1" t="s">
        <v>5170</v>
      </c>
      <c r="Z358" s="1" t="s">
        <v>10034</v>
      </c>
      <c r="AA358" s="1" t="s">
        <v>10035</v>
      </c>
      <c r="AB358" s="1" t="s">
        <v>5173</v>
      </c>
      <c r="AC358" s="1" t="s">
        <v>10036</v>
      </c>
      <c r="AD358" s="1" t="s">
        <v>10037</v>
      </c>
      <c r="AE358" s="1" t="s">
        <v>9028</v>
      </c>
      <c r="AF358" s="1" t="s">
        <v>10038</v>
      </c>
      <c r="AG358" s="1" t="s">
        <v>1507</v>
      </c>
      <c r="AH358" s="1">
        <v>60</v>
      </c>
      <c r="AI358" s="1">
        <v>0</v>
      </c>
      <c r="AJ358" s="1">
        <v>0</v>
      </c>
      <c r="AK358" s="1">
        <v>0</v>
      </c>
      <c r="AL358" s="1">
        <v>0</v>
      </c>
      <c r="AM358" s="1" t="s">
        <v>10039</v>
      </c>
      <c r="AN358" s="1" t="s">
        <v>10040</v>
      </c>
      <c r="AO358" s="1" t="s">
        <v>10041</v>
      </c>
      <c r="AP358" s="1" t="s">
        <v>10042</v>
      </c>
      <c r="AQ358" s="1" t="s">
        <v>10043</v>
      </c>
      <c r="AR358" s="1" t="s">
        <v>1507</v>
      </c>
      <c r="AS358" s="1" t="s">
        <v>10044</v>
      </c>
      <c r="AT358" s="1" t="s">
        <v>10045</v>
      </c>
      <c r="AU358" s="1" t="s">
        <v>5362</v>
      </c>
      <c r="AV358" s="1">
        <v>2020</v>
      </c>
      <c r="AW358" s="1">
        <v>10</v>
      </c>
      <c r="AX358" s="1">
        <v>1</v>
      </c>
      <c r="AY358" s="1" t="s">
        <v>1507</v>
      </c>
      <c r="AZ358" s="1" t="s">
        <v>1507</v>
      </c>
      <c r="BA358" s="1" t="s">
        <v>1507</v>
      </c>
      <c r="BB358" s="1" t="s">
        <v>1507</v>
      </c>
      <c r="BC358" s="1">
        <v>130</v>
      </c>
      <c r="BD358" s="1">
        <v>148</v>
      </c>
      <c r="BE358" s="1" t="s">
        <v>1507</v>
      </c>
      <c r="BF358" s="1" t="s">
        <v>1507</v>
      </c>
      <c r="BG358" s="1" t="s">
        <v>1507</v>
      </c>
      <c r="BH358" s="1" t="s">
        <v>1507</v>
      </c>
      <c r="BI358" s="1" t="s">
        <v>1507</v>
      </c>
      <c r="BJ358" s="1">
        <v>19</v>
      </c>
      <c r="BK358" s="1" t="s">
        <v>1535</v>
      </c>
      <c r="BL358" s="1" t="s">
        <v>1529</v>
      </c>
      <c r="BM358" s="1" t="s">
        <v>1536</v>
      </c>
      <c r="BN358" s="1" t="s">
        <v>10046</v>
      </c>
      <c r="BO358" s="1" t="s">
        <v>1507</v>
      </c>
      <c r="BP358" s="1" t="s">
        <v>1507</v>
      </c>
      <c r="BQ358" s="1" t="s">
        <v>1507</v>
      </c>
      <c r="BR358" s="1" t="s">
        <v>1507</v>
      </c>
      <c r="BS358" s="1" t="s">
        <v>13744</v>
      </c>
      <c r="BT358" s="1" t="s">
        <v>10047</v>
      </c>
      <c r="BU358" s="1" t="str">
        <f>HYPERLINK("https%3A%2F%2Fwww.webofscience.com%2Fwos%2Fwoscc%2Ffull-record%2FWOS:000522553500009","View Full Record in Web of Science")</f>
        <v>View Full Record in Web of Science</v>
      </c>
    </row>
    <row r="359" spans="1:73" x14ac:dyDescent="0.25">
      <c r="A359" s="1">
        <v>398</v>
      </c>
      <c r="B359" s="1" t="s">
        <v>1506</v>
      </c>
      <c r="C359" s="1" t="s">
        <v>9489</v>
      </c>
      <c r="D359" s="1" t="s">
        <v>1507</v>
      </c>
      <c r="E359" s="1" t="s">
        <v>1507</v>
      </c>
      <c r="F359" s="1" t="s">
        <v>1507</v>
      </c>
      <c r="G359" s="1" t="s">
        <v>9490</v>
      </c>
      <c r="H359" s="1" t="s">
        <v>1507</v>
      </c>
      <c r="I359" s="1" t="s">
        <v>1507</v>
      </c>
      <c r="J359" s="1" t="s">
        <v>9491</v>
      </c>
      <c r="K359" s="1" t="s">
        <v>9492</v>
      </c>
      <c r="L359" s="1" t="s">
        <v>1507</v>
      </c>
      <c r="M359" s="1" t="s">
        <v>1507</v>
      </c>
      <c r="N359" s="1" t="s">
        <v>42</v>
      </c>
      <c r="O359" s="1" t="s">
        <v>56</v>
      </c>
      <c r="P359" s="1" t="s">
        <v>1507</v>
      </c>
      <c r="Q359" s="1" t="s">
        <v>1507</v>
      </c>
      <c r="R359" s="1" t="s">
        <v>1507</v>
      </c>
      <c r="S359" s="1" t="s">
        <v>1507</v>
      </c>
      <c r="T359" s="1" t="s">
        <v>1507</v>
      </c>
      <c r="U359" s="1" t="s">
        <v>9493</v>
      </c>
      <c r="V359" s="1" t="s">
        <v>9494</v>
      </c>
      <c r="W359" s="1" t="s">
        <v>9495</v>
      </c>
      <c r="X359" s="1" t="s">
        <v>9496</v>
      </c>
      <c r="Y359" s="1" t="s">
        <v>9497</v>
      </c>
      <c r="Z359" s="1" t="s">
        <v>9498</v>
      </c>
      <c r="AA359" s="1" t="s">
        <v>9499</v>
      </c>
      <c r="AB359" s="1" t="s">
        <v>15794</v>
      </c>
      <c r="AC359" s="1" t="s">
        <v>9500</v>
      </c>
      <c r="AD359" s="1" t="s">
        <v>9501</v>
      </c>
      <c r="AE359" s="1" t="s">
        <v>9502</v>
      </c>
      <c r="AF359" s="1" t="s">
        <v>9503</v>
      </c>
      <c r="AG359" s="1" t="s">
        <v>1507</v>
      </c>
      <c r="AH359" s="1">
        <v>45</v>
      </c>
      <c r="AI359" s="1">
        <v>13</v>
      </c>
      <c r="AJ359" s="1">
        <v>13</v>
      </c>
      <c r="AK359" s="1">
        <v>3</v>
      </c>
      <c r="AL359" s="1">
        <v>45</v>
      </c>
      <c r="AM359" s="1" t="s">
        <v>1559</v>
      </c>
      <c r="AN359" s="1" t="s">
        <v>1560</v>
      </c>
      <c r="AO359" s="1" t="s">
        <v>1561</v>
      </c>
      <c r="AP359" s="1" t="s">
        <v>9504</v>
      </c>
      <c r="AQ359" s="1" t="s">
        <v>9505</v>
      </c>
      <c r="AR359" s="1" t="s">
        <v>1507</v>
      </c>
      <c r="AS359" s="1" t="s">
        <v>9506</v>
      </c>
      <c r="AT359" s="1" t="s">
        <v>9507</v>
      </c>
      <c r="AU359" s="1" t="s">
        <v>5201</v>
      </c>
      <c r="AV359" s="1">
        <v>2021</v>
      </c>
      <c r="AW359" s="1">
        <v>56</v>
      </c>
      <c r="AX359" s="1">
        <v>4</v>
      </c>
      <c r="AY359" s="1" t="s">
        <v>1507</v>
      </c>
      <c r="AZ359" s="1" t="s">
        <v>1507</v>
      </c>
      <c r="BA359" s="1" t="s">
        <v>1507</v>
      </c>
      <c r="BB359" s="1" t="s">
        <v>1507</v>
      </c>
      <c r="BC359" s="1">
        <v>2019</v>
      </c>
      <c r="BD359" s="1">
        <v>2029</v>
      </c>
      <c r="BE359" s="1" t="s">
        <v>1507</v>
      </c>
      <c r="BF359" s="1" t="s">
        <v>9508</v>
      </c>
      <c r="BG359" s="1" t="str">
        <f>HYPERLINK("http://dx.doi.org/10.1111/ijfs.14833","http://dx.doi.org/10.1111/ijfs.14833")</f>
        <v>http://dx.doi.org/10.1111/ijfs.14833</v>
      </c>
      <c r="BH359" s="1" t="s">
        <v>1507</v>
      </c>
      <c r="BI359" s="1" t="s">
        <v>9509</v>
      </c>
      <c r="BJ359" s="1">
        <v>11</v>
      </c>
      <c r="BK359" s="1" t="s">
        <v>5332</v>
      </c>
      <c r="BL359" s="1" t="s">
        <v>1573</v>
      </c>
      <c r="BM359" s="1" t="s">
        <v>5332</v>
      </c>
      <c r="BN359" s="1" t="s">
        <v>9510</v>
      </c>
      <c r="BO359" s="1" t="s">
        <v>1507</v>
      </c>
      <c r="BP359" s="1" t="s">
        <v>5071</v>
      </c>
      <c r="BQ359" s="1" t="s">
        <v>1507</v>
      </c>
      <c r="BR359" s="1" t="s">
        <v>1507</v>
      </c>
      <c r="BS359" s="1" t="s">
        <v>13744</v>
      </c>
      <c r="BT359" s="1" t="s">
        <v>9511</v>
      </c>
      <c r="BU359" s="1" t="str">
        <f>HYPERLINK("https%3A%2F%2Fwww.webofscience.com%2Fwos%2Fwoscc%2Ffull-record%2FWOS:000580578900001","View Full Record in Web of Science")</f>
        <v>View Full Record in Web of Science</v>
      </c>
    </row>
    <row r="360" spans="1:73" x14ac:dyDescent="0.25">
      <c r="A360" s="1">
        <v>399</v>
      </c>
      <c r="B360" s="1" t="s">
        <v>5546</v>
      </c>
      <c r="C360" s="1" t="s">
        <v>6186</v>
      </c>
      <c r="D360" s="1" t="s">
        <v>1507</v>
      </c>
      <c r="E360" s="1" t="s">
        <v>1507</v>
      </c>
      <c r="F360" s="1" t="s">
        <v>5628</v>
      </c>
      <c r="G360" s="1" t="s">
        <v>6187</v>
      </c>
      <c r="H360" s="1" t="s">
        <v>1507</v>
      </c>
      <c r="I360" s="1" t="s">
        <v>1507</v>
      </c>
      <c r="J360" s="1" t="s">
        <v>6188</v>
      </c>
      <c r="K360" s="1" t="s">
        <v>6189</v>
      </c>
      <c r="L360" s="1" t="s">
        <v>1507</v>
      </c>
      <c r="M360" s="1" t="s">
        <v>1507</v>
      </c>
      <c r="N360" s="1" t="s">
        <v>42</v>
      </c>
      <c r="O360" s="1" t="s">
        <v>5552</v>
      </c>
      <c r="P360" s="1" t="s">
        <v>6190</v>
      </c>
      <c r="Q360" s="1" t="s">
        <v>6191</v>
      </c>
      <c r="R360" s="1" t="s">
        <v>6192</v>
      </c>
      <c r="S360" s="1" t="s">
        <v>6019</v>
      </c>
      <c r="T360" s="1" t="s">
        <v>1507</v>
      </c>
      <c r="U360" s="1" t="s">
        <v>6193</v>
      </c>
      <c r="V360" s="1" t="s">
        <v>1507</v>
      </c>
      <c r="W360" s="1" t="s">
        <v>6194</v>
      </c>
      <c r="X360" s="1" t="s">
        <v>6195</v>
      </c>
      <c r="Y360" s="1" t="s">
        <v>6196</v>
      </c>
      <c r="Z360" s="1" t="s">
        <v>6197</v>
      </c>
      <c r="AA360" s="1" t="s">
        <v>6198</v>
      </c>
      <c r="AB360" s="1" t="s">
        <v>15258</v>
      </c>
      <c r="AC360" s="1" t="s">
        <v>15259</v>
      </c>
      <c r="AD360" s="1" t="s">
        <v>1507</v>
      </c>
      <c r="AE360" s="1" t="s">
        <v>1507</v>
      </c>
      <c r="AF360" s="1" t="s">
        <v>1507</v>
      </c>
      <c r="AG360" s="1" t="s">
        <v>1507</v>
      </c>
      <c r="AH360" s="1">
        <v>15</v>
      </c>
      <c r="AI360" s="1">
        <v>3</v>
      </c>
      <c r="AJ360" s="1">
        <v>3</v>
      </c>
      <c r="AK360" s="1">
        <v>120</v>
      </c>
      <c r="AL360" s="1">
        <v>167</v>
      </c>
      <c r="AM360" s="1" t="s">
        <v>5645</v>
      </c>
      <c r="AN360" s="1" t="s">
        <v>5646</v>
      </c>
      <c r="AO360" s="1" t="s">
        <v>5647</v>
      </c>
      <c r="AP360" s="1" t="s">
        <v>1507</v>
      </c>
      <c r="AQ360" s="1" t="s">
        <v>1507</v>
      </c>
      <c r="AR360" s="1" t="s">
        <v>6199</v>
      </c>
      <c r="AS360" s="1" t="s">
        <v>1507</v>
      </c>
      <c r="AT360" s="1" t="s">
        <v>1507</v>
      </c>
      <c r="AU360" s="1" t="s">
        <v>1507</v>
      </c>
      <c r="AV360" s="1">
        <v>2023</v>
      </c>
      <c r="AW360" s="1" t="s">
        <v>1507</v>
      </c>
      <c r="AX360" s="1" t="s">
        <v>1507</v>
      </c>
      <c r="AY360" s="1" t="s">
        <v>1507</v>
      </c>
      <c r="AZ360" s="1" t="s">
        <v>1507</v>
      </c>
      <c r="BA360" s="1" t="s">
        <v>1507</v>
      </c>
      <c r="BB360" s="1" t="s">
        <v>1507</v>
      </c>
      <c r="BC360" s="1">
        <v>29</v>
      </c>
      <c r="BD360" s="1">
        <v>32</v>
      </c>
      <c r="BE360" s="1" t="s">
        <v>1507</v>
      </c>
      <c r="BF360" s="1" t="s">
        <v>1420</v>
      </c>
      <c r="BG360" s="1" t="str">
        <f>HYPERLINK("http://dx.doi.org/10.1109/SEENG59157.2023.00010","http://dx.doi.org/10.1109/SEENG59157.2023.00010")</f>
        <v>http://dx.doi.org/10.1109/SEENG59157.2023.00010</v>
      </c>
      <c r="BH360" s="1" t="s">
        <v>1507</v>
      </c>
      <c r="BI360" s="1" t="s">
        <v>1507</v>
      </c>
      <c r="BJ360" s="1">
        <v>4</v>
      </c>
      <c r="BK360" s="1" t="s">
        <v>6200</v>
      </c>
      <c r="BL360" s="1" t="s">
        <v>5570</v>
      </c>
      <c r="BM360" s="1" t="s">
        <v>1577</v>
      </c>
      <c r="BN360" s="1" t="s">
        <v>6201</v>
      </c>
      <c r="BO360" s="1" t="s">
        <v>1507</v>
      </c>
      <c r="BP360" s="1" t="s">
        <v>1600</v>
      </c>
      <c r="BQ360" s="1" t="s">
        <v>1507</v>
      </c>
      <c r="BR360" s="1" t="s">
        <v>1507</v>
      </c>
      <c r="BS360" s="1" t="s">
        <v>13744</v>
      </c>
      <c r="BT360" s="1" t="s">
        <v>6202</v>
      </c>
      <c r="BU360" s="1" t="str">
        <f>HYPERLINK("https%3A%2F%2Fwww.webofscience.com%2Fwos%2Fwoscc%2Ffull-record%2FWOS:001042092500006","View Full Record in Web of Science")</f>
        <v>View Full Record in Web of Science</v>
      </c>
    </row>
    <row r="361" spans="1:73" x14ac:dyDescent="0.25">
      <c r="A361" s="1">
        <v>400</v>
      </c>
      <c r="B361" s="1" t="s">
        <v>1506</v>
      </c>
      <c r="C361" s="1" t="s">
        <v>8388</v>
      </c>
      <c r="D361" s="1" t="s">
        <v>1507</v>
      </c>
      <c r="E361" s="1" t="s">
        <v>1507</v>
      </c>
      <c r="F361" s="1" t="s">
        <v>1507</v>
      </c>
      <c r="G361" s="1" t="s">
        <v>8389</v>
      </c>
      <c r="H361" s="1" t="s">
        <v>1507</v>
      </c>
      <c r="I361" s="1" t="s">
        <v>1507</v>
      </c>
      <c r="J361" s="1" t="s">
        <v>8390</v>
      </c>
      <c r="K361" s="1" t="s">
        <v>8391</v>
      </c>
      <c r="L361" s="1" t="s">
        <v>1507</v>
      </c>
      <c r="M361" s="1" t="s">
        <v>1507</v>
      </c>
      <c r="N361" s="1" t="s">
        <v>42</v>
      </c>
      <c r="O361" s="1" t="s">
        <v>56</v>
      </c>
      <c r="P361" s="1" t="s">
        <v>1507</v>
      </c>
      <c r="Q361" s="1" t="s">
        <v>1507</v>
      </c>
      <c r="R361" s="1" t="s">
        <v>1507</v>
      </c>
      <c r="S361" s="1" t="s">
        <v>1507</v>
      </c>
      <c r="T361" s="1" t="s">
        <v>1507</v>
      </c>
      <c r="U361" s="1" t="s">
        <v>8392</v>
      </c>
      <c r="V361" s="1" t="s">
        <v>1507</v>
      </c>
      <c r="W361" s="1" t="s">
        <v>8393</v>
      </c>
      <c r="X361" s="1" t="s">
        <v>8394</v>
      </c>
      <c r="Y361" s="1" t="s">
        <v>1507</v>
      </c>
      <c r="Z361" s="1" t="s">
        <v>8395</v>
      </c>
      <c r="AA361" s="1" t="s">
        <v>8396</v>
      </c>
      <c r="AB361" s="1" t="s">
        <v>1507</v>
      </c>
      <c r="AC361" s="1" t="s">
        <v>1507</v>
      </c>
      <c r="AD361" s="1" t="s">
        <v>8397</v>
      </c>
      <c r="AE361" s="1" t="s">
        <v>8397</v>
      </c>
      <c r="AF361" s="1" t="s">
        <v>8398</v>
      </c>
      <c r="AG361" s="1" t="s">
        <v>1507</v>
      </c>
      <c r="AH361" s="1">
        <v>53</v>
      </c>
      <c r="AI361" s="1">
        <v>5</v>
      </c>
      <c r="AJ361" s="1">
        <v>5</v>
      </c>
      <c r="AK361" s="1">
        <v>0</v>
      </c>
      <c r="AL361" s="1">
        <v>7</v>
      </c>
      <c r="AM361" s="1" t="s">
        <v>1532</v>
      </c>
      <c r="AN361" s="1" t="s">
        <v>1533</v>
      </c>
      <c r="AO361" s="1" t="s">
        <v>1534</v>
      </c>
      <c r="AP361" s="1" t="s">
        <v>8399</v>
      </c>
      <c r="AQ361" s="1" t="s">
        <v>8400</v>
      </c>
      <c r="AR361" s="1" t="s">
        <v>1507</v>
      </c>
      <c r="AS361" s="1" t="s">
        <v>8401</v>
      </c>
      <c r="AT361" s="1" t="s">
        <v>8402</v>
      </c>
      <c r="AU361" s="1" t="s">
        <v>4556</v>
      </c>
      <c r="AV361" s="1">
        <v>2021</v>
      </c>
      <c r="AW361" s="1">
        <v>11</v>
      </c>
      <c r="AX361" s="1">
        <v>7</v>
      </c>
      <c r="AY361" s="1" t="s">
        <v>1507</v>
      </c>
      <c r="AZ361" s="1" t="s">
        <v>1507</v>
      </c>
      <c r="BA361" s="1" t="s">
        <v>1507</v>
      </c>
      <c r="BB361" s="1" t="s">
        <v>1507</v>
      </c>
      <c r="BC361" s="1" t="s">
        <v>1507</v>
      </c>
      <c r="BD361" s="1" t="s">
        <v>1507</v>
      </c>
      <c r="BE361" s="1">
        <v>113</v>
      </c>
      <c r="BF361" s="1" t="s">
        <v>8403</v>
      </c>
      <c r="BG361" s="1" t="str">
        <f>HYPERLINK("http://dx.doi.org/10.1007/s13201-021-01445-x","http://dx.doi.org/10.1007/s13201-021-01445-x")</f>
        <v>http://dx.doi.org/10.1007/s13201-021-01445-x</v>
      </c>
      <c r="BH361" s="1" t="s">
        <v>1507</v>
      </c>
      <c r="BI361" s="1" t="s">
        <v>1507</v>
      </c>
      <c r="BJ361" s="1">
        <v>16</v>
      </c>
      <c r="BK361" s="1" t="s">
        <v>8404</v>
      </c>
      <c r="BL361" s="1" t="s">
        <v>1573</v>
      </c>
      <c r="BM361" s="1" t="s">
        <v>8404</v>
      </c>
      <c r="BN361" s="1" t="s">
        <v>8405</v>
      </c>
      <c r="BO361" s="1" t="s">
        <v>1507</v>
      </c>
      <c r="BP361" s="1" t="s">
        <v>1531</v>
      </c>
      <c r="BQ361" s="1" t="s">
        <v>1507</v>
      </c>
      <c r="BR361" s="1" t="s">
        <v>1507</v>
      </c>
      <c r="BS361" s="1" t="s">
        <v>13744</v>
      </c>
      <c r="BT361" s="1" t="s">
        <v>8406</v>
      </c>
      <c r="BU361" s="1" t="str">
        <f>HYPERLINK("https%3A%2F%2Fwww.webofscience.com%2Fwos%2Fwoscc%2Ffull-record%2FWOS:000662219600001","View Full Record in Web of Science")</f>
        <v>View Full Record in Web of Science</v>
      </c>
    </row>
    <row r="362" spans="1:73" x14ac:dyDescent="0.25">
      <c r="A362" s="1">
        <v>402</v>
      </c>
      <c r="B362" s="1" t="s">
        <v>1506</v>
      </c>
      <c r="C362" s="1" t="s">
        <v>1779</v>
      </c>
      <c r="D362" s="1" t="s">
        <v>1507</v>
      </c>
      <c r="E362" s="1" t="s">
        <v>1507</v>
      </c>
      <c r="F362" s="1" t="s">
        <v>1507</v>
      </c>
      <c r="G362" s="1" t="s">
        <v>1780</v>
      </c>
      <c r="H362" s="1" t="s">
        <v>1507</v>
      </c>
      <c r="I362" s="1" t="s">
        <v>1507</v>
      </c>
      <c r="J362" s="1" t="s">
        <v>1781</v>
      </c>
      <c r="K362" s="1" t="s">
        <v>1782</v>
      </c>
      <c r="L362" s="1" t="s">
        <v>1507</v>
      </c>
      <c r="M362" s="1" t="s">
        <v>1507</v>
      </c>
      <c r="N362" s="1" t="s">
        <v>42</v>
      </c>
      <c r="O362" s="1" t="s">
        <v>56</v>
      </c>
      <c r="P362" s="1" t="s">
        <v>1507</v>
      </c>
      <c r="Q362" s="1" t="s">
        <v>1507</v>
      </c>
      <c r="R362" s="1" t="s">
        <v>1507</v>
      </c>
      <c r="S362" s="1" t="s">
        <v>1507</v>
      </c>
      <c r="T362" s="1" t="s">
        <v>1507</v>
      </c>
      <c r="U362" s="1" t="s">
        <v>1783</v>
      </c>
      <c r="V362" s="1" t="s">
        <v>1784</v>
      </c>
      <c r="W362" s="1" t="s">
        <v>1785</v>
      </c>
      <c r="X362" s="1" t="s">
        <v>1786</v>
      </c>
      <c r="Y362" s="1" t="s">
        <v>1787</v>
      </c>
      <c r="Z362" s="1" t="s">
        <v>1788</v>
      </c>
      <c r="AA362" s="1" t="s">
        <v>1789</v>
      </c>
      <c r="AB362" s="1" t="s">
        <v>13796</v>
      </c>
      <c r="AC362" s="1" t="s">
        <v>13797</v>
      </c>
      <c r="AD362" s="1" t="s">
        <v>1790</v>
      </c>
      <c r="AE362" s="1" t="s">
        <v>1790</v>
      </c>
      <c r="AF362" s="1" t="s">
        <v>1791</v>
      </c>
      <c r="AG362" s="1" t="s">
        <v>1507</v>
      </c>
      <c r="AH362" s="1">
        <v>81</v>
      </c>
      <c r="AI362" s="1">
        <v>0</v>
      </c>
      <c r="AJ362" s="1">
        <v>0</v>
      </c>
      <c r="AK362" s="1">
        <v>90</v>
      </c>
      <c r="AL362" s="1">
        <v>90</v>
      </c>
      <c r="AM362" s="1" t="s">
        <v>1559</v>
      </c>
      <c r="AN362" s="1" t="s">
        <v>1560</v>
      </c>
      <c r="AO362" s="1" t="s">
        <v>1561</v>
      </c>
      <c r="AP362" s="1" t="s">
        <v>1792</v>
      </c>
      <c r="AQ362" s="1" t="s">
        <v>1793</v>
      </c>
      <c r="AR362" s="1" t="s">
        <v>1507</v>
      </c>
      <c r="AS362" s="1" t="s">
        <v>1794</v>
      </c>
      <c r="AT362" s="1" t="s">
        <v>1795</v>
      </c>
      <c r="AU362" s="1" t="s">
        <v>5201</v>
      </c>
      <c r="AV362" s="1">
        <v>2024</v>
      </c>
      <c r="AW362" s="1">
        <v>40</v>
      </c>
      <c r="AX362" s="1">
        <v>2</v>
      </c>
      <c r="AY362" s="1" t="s">
        <v>1507</v>
      </c>
      <c r="AZ362" s="1" t="s">
        <v>1507</v>
      </c>
      <c r="BA362" s="1" t="s">
        <v>1507</v>
      </c>
      <c r="BB362" s="1" t="s">
        <v>1507</v>
      </c>
      <c r="BC362" s="1">
        <v>919</v>
      </c>
      <c r="BD362" s="1">
        <v>930</v>
      </c>
      <c r="BE362" s="1" t="s">
        <v>1507</v>
      </c>
      <c r="BF362" s="1" t="s">
        <v>1796</v>
      </c>
      <c r="BG362" s="1" t="str">
        <f>HYPERLINK("http://dx.doi.org/10.1111/jcal.12929","http://dx.doi.org/10.1111/jcal.12929")</f>
        <v>http://dx.doi.org/10.1111/jcal.12929</v>
      </c>
      <c r="BH362" s="1" t="s">
        <v>1507</v>
      </c>
      <c r="BI362" s="1" t="s">
        <v>1652</v>
      </c>
      <c r="BJ362" s="1">
        <v>12</v>
      </c>
      <c r="BK362" s="1" t="s">
        <v>1558</v>
      </c>
      <c r="BL362" s="1" t="s">
        <v>1518</v>
      </c>
      <c r="BM362" s="1" t="s">
        <v>1558</v>
      </c>
      <c r="BN362" s="1" t="s">
        <v>13798</v>
      </c>
      <c r="BO362" s="1" t="s">
        <v>1507</v>
      </c>
      <c r="BP362" s="1" t="s">
        <v>1507</v>
      </c>
      <c r="BQ362" s="1" t="s">
        <v>1507</v>
      </c>
      <c r="BR362" s="1" t="s">
        <v>1507</v>
      </c>
      <c r="BS362" s="1" t="s">
        <v>13744</v>
      </c>
      <c r="BT362" s="1" t="s">
        <v>1797</v>
      </c>
      <c r="BU362" s="1" t="str">
        <f>HYPERLINK("https%3A%2F%2Fwww.webofscience.com%2Fwos%2Fwoscc%2Ffull-record%2FWOS:001128464800001","View Full Record in Web of Science")</f>
        <v>View Full Record in Web of Science</v>
      </c>
    </row>
    <row r="363" spans="1:73" x14ac:dyDescent="0.25">
      <c r="A363" s="1">
        <v>403</v>
      </c>
      <c r="B363" s="1" t="s">
        <v>1506</v>
      </c>
      <c r="C363" s="1" t="s">
        <v>4082</v>
      </c>
      <c r="D363" s="1" t="s">
        <v>1507</v>
      </c>
      <c r="E363" s="1" t="s">
        <v>1507</v>
      </c>
      <c r="F363" s="1" t="s">
        <v>1507</v>
      </c>
      <c r="G363" s="1" t="s">
        <v>4083</v>
      </c>
      <c r="H363" s="1" t="s">
        <v>1507</v>
      </c>
      <c r="I363" s="1" t="s">
        <v>1507</v>
      </c>
      <c r="J363" s="1" t="s">
        <v>4084</v>
      </c>
      <c r="K363" s="1" t="s">
        <v>3146</v>
      </c>
      <c r="L363" s="1" t="s">
        <v>1507</v>
      </c>
      <c r="M363" s="1" t="s">
        <v>1507</v>
      </c>
      <c r="N363" s="1" t="s">
        <v>42</v>
      </c>
      <c r="O363" s="1" t="s">
        <v>56</v>
      </c>
      <c r="P363" s="1" t="s">
        <v>1507</v>
      </c>
      <c r="Q363" s="1" t="s">
        <v>1507</v>
      </c>
      <c r="R363" s="1" t="s">
        <v>1507</v>
      </c>
      <c r="S363" s="1" t="s">
        <v>1507</v>
      </c>
      <c r="T363" s="1" t="s">
        <v>1507</v>
      </c>
      <c r="U363" s="1" t="s">
        <v>4085</v>
      </c>
      <c r="V363" s="1" t="s">
        <v>4086</v>
      </c>
      <c r="W363" s="1" t="s">
        <v>4087</v>
      </c>
      <c r="X363" s="1" t="s">
        <v>4088</v>
      </c>
      <c r="Y363" s="1" t="s">
        <v>4089</v>
      </c>
      <c r="Z363" s="1" t="s">
        <v>4090</v>
      </c>
      <c r="AA363" s="1" t="s">
        <v>4091</v>
      </c>
      <c r="AB363" s="1" t="s">
        <v>4092</v>
      </c>
      <c r="AC363" s="1" t="s">
        <v>4093</v>
      </c>
      <c r="AD363" s="1" t="s">
        <v>4094</v>
      </c>
      <c r="AE363" s="1" t="s">
        <v>4095</v>
      </c>
      <c r="AF363" s="1" t="s">
        <v>4096</v>
      </c>
      <c r="AG363" s="1" t="s">
        <v>1507</v>
      </c>
      <c r="AH363" s="1">
        <v>31</v>
      </c>
      <c r="AI363" s="1">
        <v>4</v>
      </c>
      <c r="AJ363" s="1">
        <v>4</v>
      </c>
      <c r="AK363" s="1">
        <v>44</v>
      </c>
      <c r="AL363" s="1">
        <v>44</v>
      </c>
      <c r="AM363" s="1" t="s">
        <v>3156</v>
      </c>
      <c r="AN363" s="1" t="s">
        <v>3157</v>
      </c>
      <c r="AO363" s="1" t="s">
        <v>3158</v>
      </c>
      <c r="AP363" s="1" t="s">
        <v>3159</v>
      </c>
      <c r="AQ363" s="1" t="s">
        <v>3160</v>
      </c>
      <c r="AR363" s="1" t="s">
        <v>1507</v>
      </c>
      <c r="AS363" s="1" t="s">
        <v>3161</v>
      </c>
      <c r="AT363" s="1" t="s">
        <v>3162</v>
      </c>
      <c r="AU363" s="1" t="s">
        <v>2191</v>
      </c>
      <c r="AV363" s="1">
        <v>2023</v>
      </c>
      <c r="AW363" s="1">
        <v>58</v>
      </c>
      <c r="AX363" s="1" t="s">
        <v>1507</v>
      </c>
      <c r="AY363" s="1" t="s">
        <v>4097</v>
      </c>
      <c r="AZ363" s="1" t="s">
        <v>1507</v>
      </c>
      <c r="BA363" s="1" t="s">
        <v>1507</v>
      </c>
      <c r="BB363" s="1" t="s">
        <v>1507</v>
      </c>
      <c r="BC363" s="1" t="s">
        <v>1507</v>
      </c>
      <c r="BD363" s="1" t="s">
        <v>1507</v>
      </c>
      <c r="BE363" s="1">
        <v>104333</v>
      </c>
      <c r="BF363" s="1" t="s">
        <v>4098</v>
      </c>
      <c r="BG363" s="1" t="str">
        <f>HYPERLINK("http://dx.doi.org/10.1016/j.frl.2023.104333","http://dx.doi.org/10.1016/j.frl.2023.104333")</f>
        <v>http://dx.doi.org/10.1016/j.frl.2023.104333</v>
      </c>
      <c r="BH363" s="1" t="s">
        <v>1507</v>
      </c>
      <c r="BI363" s="1" t="s">
        <v>4056</v>
      </c>
      <c r="BJ363" s="1">
        <v>7</v>
      </c>
      <c r="BK363" s="1" t="s">
        <v>3165</v>
      </c>
      <c r="BL363" s="1" t="s">
        <v>1518</v>
      </c>
      <c r="BM363" s="1" t="s">
        <v>3118</v>
      </c>
      <c r="BN363" s="1" t="s">
        <v>4099</v>
      </c>
      <c r="BO363" s="1" t="s">
        <v>1507</v>
      </c>
      <c r="BP363" s="1" t="s">
        <v>1600</v>
      </c>
      <c r="BQ363" s="1" t="s">
        <v>1507</v>
      </c>
      <c r="BR363" s="1" t="s">
        <v>1507</v>
      </c>
      <c r="BS363" s="1" t="s">
        <v>13744</v>
      </c>
      <c r="BT363" s="1" t="s">
        <v>4100</v>
      </c>
      <c r="BU363" s="1" t="str">
        <f>HYPERLINK("https%3A%2F%2Fwww.webofscience.com%2Fwos%2Fwoscc%2Ffull-record%2FWOS:001079876600001","View Full Record in Web of Science")</f>
        <v>View Full Record in Web of Science</v>
      </c>
    </row>
    <row r="364" spans="1:73" x14ac:dyDescent="0.25">
      <c r="A364" s="1">
        <v>404</v>
      </c>
      <c r="B364" s="1" t="s">
        <v>1506</v>
      </c>
      <c r="C364" s="1" t="s">
        <v>14144</v>
      </c>
      <c r="D364" s="1" t="s">
        <v>1507</v>
      </c>
      <c r="E364" s="1" t="s">
        <v>1507</v>
      </c>
      <c r="F364" s="1" t="s">
        <v>1507</v>
      </c>
      <c r="G364" s="1" t="s">
        <v>14145</v>
      </c>
      <c r="H364" s="1" t="s">
        <v>1507</v>
      </c>
      <c r="I364" s="1" t="s">
        <v>1507</v>
      </c>
      <c r="J364" s="1" t="s">
        <v>14146</v>
      </c>
      <c r="K364" s="1" t="s">
        <v>14147</v>
      </c>
      <c r="L364" s="1" t="s">
        <v>1507</v>
      </c>
      <c r="M364" s="1" t="s">
        <v>1507</v>
      </c>
      <c r="N364" s="1" t="s">
        <v>14148</v>
      </c>
      <c r="O364" s="1" t="s">
        <v>56</v>
      </c>
      <c r="P364" s="1" t="s">
        <v>1507</v>
      </c>
      <c r="Q364" s="1" t="s">
        <v>1507</v>
      </c>
      <c r="R364" s="1" t="s">
        <v>1507</v>
      </c>
      <c r="S364" s="1" t="s">
        <v>1507</v>
      </c>
      <c r="T364" s="1" t="s">
        <v>1507</v>
      </c>
      <c r="U364" s="1" t="s">
        <v>14149</v>
      </c>
      <c r="V364" s="1" t="s">
        <v>1507</v>
      </c>
      <c r="W364" s="1" t="s">
        <v>14150</v>
      </c>
      <c r="X364" s="1" t="s">
        <v>14151</v>
      </c>
      <c r="Y364" s="1" t="s">
        <v>14152</v>
      </c>
      <c r="Z364" s="1" t="s">
        <v>14153</v>
      </c>
      <c r="AA364" s="1" t="s">
        <v>14154</v>
      </c>
      <c r="AB364" s="1" t="s">
        <v>1507</v>
      </c>
      <c r="AC364" s="1" t="s">
        <v>1507</v>
      </c>
      <c r="AD364" s="1" t="s">
        <v>1507</v>
      </c>
      <c r="AE364" s="1" t="s">
        <v>1507</v>
      </c>
      <c r="AF364" s="1" t="s">
        <v>1507</v>
      </c>
      <c r="AG364" s="1" t="s">
        <v>1507</v>
      </c>
      <c r="AH364" s="1">
        <v>11</v>
      </c>
      <c r="AI364" s="1">
        <v>0</v>
      </c>
      <c r="AJ364" s="1">
        <v>0</v>
      </c>
      <c r="AK364" s="1">
        <v>0</v>
      </c>
      <c r="AL364" s="1">
        <v>0</v>
      </c>
      <c r="AM364" s="1" t="s">
        <v>14155</v>
      </c>
      <c r="AN364" s="1" t="s">
        <v>5784</v>
      </c>
      <c r="AO364" s="1" t="s">
        <v>14156</v>
      </c>
      <c r="AP364" s="1" t="s">
        <v>14157</v>
      </c>
      <c r="AQ364" s="1" t="s">
        <v>1507</v>
      </c>
      <c r="AR364" s="1" t="s">
        <v>1507</v>
      </c>
      <c r="AS364" s="1" t="s">
        <v>14158</v>
      </c>
      <c r="AT364" s="1" t="s">
        <v>14159</v>
      </c>
      <c r="AU364" s="1" t="s">
        <v>2771</v>
      </c>
      <c r="AV364" s="1">
        <v>2023</v>
      </c>
      <c r="AW364" s="1" t="s">
        <v>1507</v>
      </c>
      <c r="AX364" s="1">
        <v>6</v>
      </c>
      <c r="AY364" s="1" t="s">
        <v>1507</v>
      </c>
      <c r="AZ364" s="1" t="s">
        <v>11902</v>
      </c>
      <c r="BA364" s="1" t="s">
        <v>1507</v>
      </c>
      <c r="BB364" s="1" t="s">
        <v>1507</v>
      </c>
      <c r="BC364" s="1">
        <v>3</v>
      </c>
      <c r="BD364" s="1">
        <v>11</v>
      </c>
      <c r="BE364" s="1" t="s">
        <v>1507</v>
      </c>
      <c r="BF364" s="1" t="s">
        <v>14160</v>
      </c>
      <c r="BG364" s="1" t="str">
        <f>HYPERLINK("http://dx.doi.org/10.20339/PhS.6s-23.003","http://dx.doi.org/10.20339/PhS.6s-23.003")</f>
        <v>http://dx.doi.org/10.20339/PhS.6s-23.003</v>
      </c>
      <c r="BH364" s="1" t="s">
        <v>1507</v>
      </c>
      <c r="BI364" s="1" t="s">
        <v>1507</v>
      </c>
      <c r="BJ364" s="1">
        <v>9</v>
      </c>
      <c r="BK364" s="1" t="s">
        <v>14161</v>
      </c>
      <c r="BL364" s="1" t="s">
        <v>1529</v>
      </c>
      <c r="BM364" s="1" t="s">
        <v>6612</v>
      </c>
      <c r="BN364" s="1" t="s">
        <v>14162</v>
      </c>
      <c r="BO364" s="1" t="s">
        <v>1507</v>
      </c>
      <c r="BP364" s="1" t="s">
        <v>1507</v>
      </c>
      <c r="BQ364" s="1" t="s">
        <v>1507</v>
      </c>
      <c r="BR364" s="1" t="s">
        <v>1507</v>
      </c>
      <c r="BS364" s="1" t="s">
        <v>13744</v>
      </c>
      <c r="BT364" s="1" t="s">
        <v>14163</v>
      </c>
      <c r="BU364" s="1" t="str">
        <f>HYPERLINK("https%3A%2F%2Fwww.webofscience.com%2Fwos%2Fwoscc%2Ffull-record%2FWOS:001157275300001","View Full Record in Web of Science")</f>
        <v>View Full Record in Web of Science</v>
      </c>
    </row>
    <row r="365" spans="1:73" x14ac:dyDescent="0.25">
      <c r="A365" s="1">
        <v>405</v>
      </c>
      <c r="B365" s="1" t="s">
        <v>5546</v>
      </c>
      <c r="C365" s="1" t="s">
        <v>6203</v>
      </c>
      <c r="D365" s="1" t="s">
        <v>1507</v>
      </c>
      <c r="E365" s="1" t="s">
        <v>6204</v>
      </c>
      <c r="F365" s="1" t="s">
        <v>1507</v>
      </c>
      <c r="G365" s="1" t="s">
        <v>6205</v>
      </c>
      <c r="H365" s="1" t="s">
        <v>1507</v>
      </c>
      <c r="I365" s="1" t="s">
        <v>1507</v>
      </c>
      <c r="J365" s="1" t="s">
        <v>6206</v>
      </c>
      <c r="K365" s="1" t="s">
        <v>6207</v>
      </c>
      <c r="L365" s="1" t="s">
        <v>6208</v>
      </c>
      <c r="M365" s="1" t="s">
        <v>1507</v>
      </c>
      <c r="N365" s="1" t="s">
        <v>42</v>
      </c>
      <c r="O365" s="1" t="s">
        <v>5552</v>
      </c>
      <c r="P365" s="1" t="s">
        <v>6209</v>
      </c>
      <c r="Q365" s="1" t="s">
        <v>6210</v>
      </c>
      <c r="R365" s="1" t="s">
        <v>6211</v>
      </c>
      <c r="S365" s="1" t="s">
        <v>1507</v>
      </c>
      <c r="T365" s="1" t="s">
        <v>1507</v>
      </c>
      <c r="U365" s="1" t="s">
        <v>6212</v>
      </c>
      <c r="V365" s="1" t="s">
        <v>1507</v>
      </c>
      <c r="W365" s="1" t="s">
        <v>6213</v>
      </c>
      <c r="X365" s="1" t="s">
        <v>6214</v>
      </c>
      <c r="Y365" s="1" t="s">
        <v>6215</v>
      </c>
      <c r="Z365" s="1" t="s">
        <v>6216</v>
      </c>
      <c r="AA365" s="1" t="s">
        <v>6217</v>
      </c>
      <c r="AB365" s="1" t="s">
        <v>1507</v>
      </c>
      <c r="AC365" s="1" t="s">
        <v>1507</v>
      </c>
      <c r="AD365" s="1" t="s">
        <v>6218</v>
      </c>
      <c r="AE365" s="1" t="s">
        <v>6219</v>
      </c>
      <c r="AF365" s="1" t="s">
        <v>6220</v>
      </c>
      <c r="AG365" s="1" t="s">
        <v>1507</v>
      </c>
      <c r="AH365" s="1">
        <v>18</v>
      </c>
      <c r="AI365" s="1">
        <v>0</v>
      </c>
      <c r="AJ365" s="1">
        <v>0</v>
      </c>
      <c r="AK365" s="1">
        <v>3</v>
      </c>
      <c r="AL365" s="1">
        <v>7</v>
      </c>
      <c r="AM365" s="1" t="s">
        <v>6221</v>
      </c>
      <c r="AN365" s="1" t="s">
        <v>6222</v>
      </c>
      <c r="AO365" s="1" t="s">
        <v>6223</v>
      </c>
      <c r="AP365" s="1" t="s">
        <v>6224</v>
      </c>
      <c r="AQ365" s="1" t="s">
        <v>6225</v>
      </c>
      <c r="AR365" s="1" t="s">
        <v>6226</v>
      </c>
      <c r="AS365" s="1" t="s">
        <v>6227</v>
      </c>
      <c r="AT365" s="1" t="s">
        <v>1507</v>
      </c>
      <c r="AU365" s="1" t="s">
        <v>1507</v>
      </c>
      <c r="AV365" s="1">
        <v>2023</v>
      </c>
      <c r="AW365" s="1">
        <v>13988</v>
      </c>
      <c r="AX365" s="1" t="s">
        <v>1507</v>
      </c>
      <c r="AY365" s="1" t="s">
        <v>1507</v>
      </c>
      <c r="AZ365" s="1" t="s">
        <v>1507</v>
      </c>
      <c r="BA365" s="1" t="s">
        <v>1507</v>
      </c>
      <c r="BB365" s="1" t="s">
        <v>1507</v>
      </c>
      <c r="BC365" s="1">
        <v>212</v>
      </c>
      <c r="BD365" s="1">
        <v>227</v>
      </c>
      <c r="BE365" s="1" t="s">
        <v>1507</v>
      </c>
      <c r="BF365" s="1" t="s">
        <v>6228</v>
      </c>
      <c r="BG365" s="1" t="str">
        <f>HYPERLINK("http://dx.doi.org/10.1007/978-3-031-29956-8_14","http://dx.doi.org/10.1007/978-3-031-29956-8_14")</f>
        <v>http://dx.doi.org/10.1007/978-3-031-29956-8_14</v>
      </c>
      <c r="BH365" s="1" t="s">
        <v>1507</v>
      </c>
      <c r="BI365" s="1" t="s">
        <v>1507</v>
      </c>
      <c r="BJ365" s="1">
        <v>16</v>
      </c>
      <c r="BK365" s="1" t="s">
        <v>6229</v>
      </c>
      <c r="BL365" s="1" t="s">
        <v>5570</v>
      </c>
      <c r="BM365" s="1" t="s">
        <v>1577</v>
      </c>
      <c r="BN365" s="1" t="s">
        <v>6230</v>
      </c>
      <c r="BO365" s="1" t="s">
        <v>1507</v>
      </c>
      <c r="BP365" s="1" t="s">
        <v>1507</v>
      </c>
      <c r="BQ365" s="1" t="s">
        <v>1507</v>
      </c>
      <c r="BR365" s="1" t="s">
        <v>1507</v>
      </c>
      <c r="BS365" s="1" t="s">
        <v>13744</v>
      </c>
      <c r="BT365" s="1" t="s">
        <v>6231</v>
      </c>
      <c r="BU365" s="1" t="str">
        <f>HYPERLINK("https%3A%2F%2Fwww.webofscience.com%2Fwos%2Fwoscc%2Ffull-record%2FWOS:000999872400014","View Full Record in Web of Science")</f>
        <v>View Full Record in Web of Science</v>
      </c>
    </row>
    <row r="366" spans="1:73" x14ac:dyDescent="0.25">
      <c r="A366" s="1">
        <v>406</v>
      </c>
      <c r="B366" s="1" t="s">
        <v>1506</v>
      </c>
      <c r="C366" s="1" t="s">
        <v>2359</v>
      </c>
      <c r="D366" s="1" t="s">
        <v>1507</v>
      </c>
      <c r="E366" s="1" t="s">
        <v>1507</v>
      </c>
      <c r="F366" s="1" t="s">
        <v>1507</v>
      </c>
      <c r="G366" s="1" t="s">
        <v>2360</v>
      </c>
      <c r="H366" s="1" t="s">
        <v>1507</v>
      </c>
      <c r="I366" s="1" t="s">
        <v>1507</v>
      </c>
      <c r="J366" s="1" t="s">
        <v>2361</v>
      </c>
      <c r="K366" s="1" t="s">
        <v>2362</v>
      </c>
      <c r="L366" s="1" t="s">
        <v>1507</v>
      </c>
      <c r="M366" s="1" t="s">
        <v>1507</v>
      </c>
      <c r="N366" s="1" t="s">
        <v>42</v>
      </c>
      <c r="O366" s="1" t="s">
        <v>56</v>
      </c>
      <c r="P366" s="1" t="s">
        <v>1507</v>
      </c>
      <c r="Q366" s="1" t="s">
        <v>1507</v>
      </c>
      <c r="R366" s="1" t="s">
        <v>1507</v>
      </c>
      <c r="S366" s="1" t="s">
        <v>1507</v>
      </c>
      <c r="T366" s="1" t="s">
        <v>1507</v>
      </c>
      <c r="U366" s="1" t="s">
        <v>2363</v>
      </c>
      <c r="V366" s="1" t="s">
        <v>2364</v>
      </c>
      <c r="W366" s="1" t="s">
        <v>2365</v>
      </c>
      <c r="X366" s="1" t="s">
        <v>2366</v>
      </c>
      <c r="Y366" s="1" t="s">
        <v>1763</v>
      </c>
      <c r="Z366" s="1" t="s">
        <v>2367</v>
      </c>
      <c r="AA366" s="1" t="s">
        <v>2368</v>
      </c>
      <c r="AB366" s="1" t="s">
        <v>13943</v>
      </c>
      <c r="AC366" s="1" t="s">
        <v>13944</v>
      </c>
      <c r="AD366" s="1" t="s">
        <v>2370</v>
      </c>
      <c r="AE366" s="1" t="s">
        <v>2370</v>
      </c>
      <c r="AF366" s="1" t="s">
        <v>2371</v>
      </c>
      <c r="AG366" s="1" t="s">
        <v>1507</v>
      </c>
      <c r="AH366" s="1">
        <v>56</v>
      </c>
      <c r="AI366" s="1">
        <v>2</v>
      </c>
      <c r="AJ366" s="1">
        <v>2</v>
      </c>
      <c r="AK366" s="1">
        <v>6</v>
      </c>
      <c r="AL366" s="1">
        <v>6</v>
      </c>
      <c r="AM366" s="1" t="s">
        <v>2372</v>
      </c>
      <c r="AN366" s="1" t="s">
        <v>2300</v>
      </c>
      <c r="AO366" s="1" t="s">
        <v>2373</v>
      </c>
      <c r="AP366" s="1" t="s">
        <v>2374</v>
      </c>
      <c r="AQ366" s="1" t="s">
        <v>1507</v>
      </c>
      <c r="AR366" s="1" t="s">
        <v>1507</v>
      </c>
      <c r="AS366" s="1" t="s">
        <v>2375</v>
      </c>
      <c r="AT366" s="1" t="s">
        <v>2376</v>
      </c>
      <c r="AU366" s="1" t="s">
        <v>2377</v>
      </c>
      <c r="AV366" s="1">
        <v>2023</v>
      </c>
      <c r="AW366" s="1">
        <v>13</v>
      </c>
      <c r="AX366" s="1">
        <v>24</v>
      </c>
      <c r="AY366" s="1" t="s">
        <v>1507</v>
      </c>
      <c r="AZ366" s="1" t="s">
        <v>1507</v>
      </c>
      <c r="BA366" s="1" t="s">
        <v>1507</v>
      </c>
      <c r="BB366" s="1" t="s">
        <v>1507</v>
      </c>
      <c r="BC366" s="1">
        <v>16032</v>
      </c>
      <c r="BD366" s="1">
        <v>16044</v>
      </c>
      <c r="BE366" s="1" t="s">
        <v>1507</v>
      </c>
      <c r="BF366" s="1" t="s">
        <v>2378</v>
      </c>
      <c r="BG366" s="1" t="str">
        <f>HYPERLINK("http://dx.doi.org/10.1021/acscatal.3c04956","http://dx.doi.org/10.1021/acscatal.3c04956")</f>
        <v>http://dx.doi.org/10.1021/acscatal.3c04956</v>
      </c>
      <c r="BH366" s="1" t="s">
        <v>1507</v>
      </c>
      <c r="BI366" s="1" t="s">
        <v>1507</v>
      </c>
      <c r="BJ366" s="1">
        <v>13</v>
      </c>
      <c r="BK366" s="1" t="s">
        <v>2379</v>
      </c>
      <c r="BL366" s="1" t="s">
        <v>1573</v>
      </c>
      <c r="BM366" s="1" t="s">
        <v>2380</v>
      </c>
      <c r="BN366" s="1" t="s">
        <v>2381</v>
      </c>
      <c r="BO366" s="1" t="s">
        <v>1507</v>
      </c>
      <c r="BP366" s="1" t="s">
        <v>1537</v>
      </c>
      <c r="BQ366" s="1" t="s">
        <v>1507</v>
      </c>
      <c r="BR366" s="1" t="s">
        <v>1507</v>
      </c>
      <c r="BS366" s="1" t="s">
        <v>13744</v>
      </c>
      <c r="BT366" s="1" t="s">
        <v>2382</v>
      </c>
      <c r="BU366" s="1" t="str">
        <f>HYPERLINK("https%3A%2F%2Fwww.webofscience.com%2Fwos%2Fwoscc%2Ffull-record%2FWOS:001141366800001","View Full Record in Web of Science")</f>
        <v>View Full Record in Web of Science</v>
      </c>
    </row>
    <row r="367" spans="1:73" x14ac:dyDescent="0.25">
      <c r="A367" s="1">
        <v>407</v>
      </c>
      <c r="B367" s="1" t="s">
        <v>1506</v>
      </c>
      <c r="C367" s="1" t="s">
        <v>5335</v>
      </c>
      <c r="D367" s="1" t="s">
        <v>1507</v>
      </c>
      <c r="E367" s="1" t="s">
        <v>1507</v>
      </c>
      <c r="F367" s="1" t="s">
        <v>1507</v>
      </c>
      <c r="G367" s="1" t="s">
        <v>5336</v>
      </c>
      <c r="H367" s="1" t="s">
        <v>1507</v>
      </c>
      <c r="I367" s="1" t="s">
        <v>1507</v>
      </c>
      <c r="J367" s="1" t="s">
        <v>5337</v>
      </c>
      <c r="K367" s="1" t="s">
        <v>3555</v>
      </c>
      <c r="L367" s="1" t="s">
        <v>1507</v>
      </c>
      <c r="M367" s="1" t="s">
        <v>1507</v>
      </c>
      <c r="N367" s="1" t="s">
        <v>42</v>
      </c>
      <c r="O367" s="1" t="s">
        <v>56</v>
      </c>
      <c r="P367" s="1" t="s">
        <v>1507</v>
      </c>
      <c r="Q367" s="1" t="s">
        <v>1507</v>
      </c>
      <c r="R367" s="1" t="s">
        <v>1507</v>
      </c>
      <c r="S367" s="1" t="s">
        <v>1507</v>
      </c>
      <c r="T367" s="1" t="s">
        <v>1507</v>
      </c>
      <c r="U367" s="1" t="s">
        <v>5338</v>
      </c>
      <c r="V367" s="1" t="s">
        <v>1507</v>
      </c>
      <c r="W367" s="1" t="s">
        <v>5339</v>
      </c>
      <c r="X367" s="1" t="s">
        <v>5340</v>
      </c>
      <c r="Y367" s="1" t="s">
        <v>5341</v>
      </c>
      <c r="Z367" s="1" t="s">
        <v>5342</v>
      </c>
      <c r="AA367" s="1" t="s">
        <v>5343</v>
      </c>
      <c r="AB367" s="1" t="s">
        <v>1507</v>
      </c>
      <c r="AC367" s="1" t="s">
        <v>1507</v>
      </c>
      <c r="AD367" s="1" t="s">
        <v>5344</v>
      </c>
      <c r="AE367" s="1" t="s">
        <v>5345</v>
      </c>
      <c r="AF367" s="1" t="s">
        <v>5346</v>
      </c>
      <c r="AG367" s="1" t="s">
        <v>1507</v>
      </c>
      <c r="AH367" s="1">
        <v>41</v>
      </c>
      <c r="AI367" s="1">
        <v>1</v>
      </c>
      <c r="AJ367" s="1">
        <v>1</v>
      </c>
      <c r="AK367" s="1">
        <v>0</v>
      </c>
      <c r="AL367" s="1">
        <v>1</v>
      </c>
      <c r="AM367" s="1" t="s">
        <v>3564</v>
      </c>
      <c r="AN367" s="1" t="s">
        <v>1523</v>
      </c>
      <c r="AO367" s="1" t="s">
        <v>3565</v>
      </c>
      <c r="AP367" s="1" t="s">
        <v>3566</v>
      </c>
      <c r="AQ367" s="1" t="s">
        <v>3567</v>
      </c>
      <c r="AR367" s="1" t="s">
        <v>1507</v>
      </c>
      <c r="AS367" s="1" t="s">
        <v>3568</v>
      </c>
      <c r="AT367" s="1" t="s">
        <v>3569</v>
      </c>
      <c r="AU367" s="1" t="s">
        <v>9054</v>
      </c>
      <c r="AV367" s="1">
        <v>2023</v>
      </c>
      <c r="AW367" s="1">
        <v>67</v>
      </c>
      <c r="AX367" s="1">
        <v>1</v>
      </c>
      <c r="AY367" s="1" t="s">
        <v>1507</v>
      </c>
      <c r="AZ367" s="1" t="s">
        <v>1507</v>
      </c>
      <c r="BA367" s="1" t="s">
        <v>1507</v>
      </c>
      <c r="BB367" s="1" t="s">
        <v>1507</v>
      </c>
      <c r="BC367" s="1">
        <v>1</v>
      </c>
      <c r="BD367" s="1">
        <v>21</v>
      </c>
      <c r="BE367" s="1" t="s">
        <v>5347</v>
      </c>
      <c r="BF367" s="1" t="s">
        <v>5348</v>
      </c>
      <c r="BG367" s="1" t="str">
        <f>HYPERLINK("http://dx.doi.org/10.1017/S0021855323000049","http://dx.doi.org/10.1017/S0021855323000049")</f>
        <v>http://dx.doi.org/10.1017/S0021855323000049</v>
      </c>
      <c r="BH367" s="1" t="s">
        <v>1507</v>
      </c>
      <c r="BI367" s="1" t="s">
        <v>5260</v>
      </c>
      <c r="BJ367" s="1">
        <v>21</v>
      </c>
      <c r="BK367" s="1" t="s">
        <v>1535</v>
      </c>
      <c r="BL367" s="1" t="s">
        <v>1518</v>
      </c>
      <c r="BM367" s="1" t="s">
        <v>1536</v>
      </c>
      <c r="BN367" s="1" t="s">
        <v>5349</v>
      </c>
      <c r="BO367" s="1" t="s">
        <v>1507</v>
      </c>
      <c r="BP367" s="1" t="s">
        <v>1537</v>
      </c>
      <c r="BQ367" s="1" t="s">
        <v>1507</v>
      </c>
      <c r="BR367" s="1" t="s">
        <v>1507</v>
      </c>
      <c r="BS367" s="1" t="s">
        <v>13744</v>
      </c>
      <c r="BT367" s="1" t="s">
        <v>5350</v>
      </c>
      <c r="BU367" s="1" t="str">
        <f>HYPERLINK("https%3A%2F%2Fwww.webofscience.com%2Fwos%2Fwoscc%2Ffull-record%2FWOS:000943272600001","View Full Record in Web of Science")</f>
        <v>View Full Record in Web of Science</v>
      </c>
    </row>
    <row r="368" spans="1:73" x14ac:dyDescent="0.25">
      <c r="A368" s="1">
        <v>408</v>
      </c>
      <c r="B368" s="1" t="s">
        <v>1506</v>
      </c>
      <c r="C368" s="1" t="s">
        <v>11370</v>
      </c>
      <c r="D368" s="1" t="s">
        <v>1507</v>
      </c>
      <c r="E368" s="1" t="s">
        <v>1507</v>
      </c>
      <c r="F368" s="1" t="s">
        <v>1507</v>
      </c>
      <c r="G368" s="1" t="s">
        <v>11371</v>
      </c>
      <c r="H368" s="1" t="s">
        <v>1507</v>
      </c>
      <c r="I368" s="1" t="s">
        <v>1507</v>
      </c>
      <c r="J368" s="1" t="s">
        <v>11372</v>
      </c>
      <c r="K368" s="1" t="s">
        <v>11373</v>
      </c>
      <c r="L368" s="1" t="s">
        <v>1507</v>
      </c>
      <c r="M368" s="1" t="s">
        <v>1507</v>
      </c>
      <c r="N368" s="1" t="s">
        <v>42</v>
      </c>
      <c r="O368" s="1" t="s">
        <v>56</v>
      </c>
      <c r="P368" s="1" t="s">
        <v>1507</v>
      </c>
      <c r="Q368" s="1" t="s">
        <v>1507</v>
      </c>
      <c r="R368" s="1" t="s">
        <v>1507</v>
      </c>
      <c r="S368" s="1" t="s">
        <v>1507</v>
      </c>
      <c r="T368" s="1" t="s">
        <v>1507</v>
      </c>
      <c r="U368" s="1" t="s">
        <v>11374</v>
      </c>
      <c r="V368" s="1" t="s">
        <v>11375</v>
      </c>
      <c r="W368" s="1" t="s">
        <v>11376</v>
      </c>
      <c r="X368" s="1" t="s">
        <v>11377</v>
      </c>
      <c r="Y368" s="1" t="s">
        <v>11378</v>
      </c>
      <c r="Z368" s="1" t="s">
        <v>11379</v>
      </c>
      <c r="AA368" s="1" t="s">
        <v>11380</v>
      </c>
      <c r="AB368" s="1" t="s">
        <v>1507</v>
      </c>
      <c r="AC368" s="1" t="s">
        <v>1507</v>
      </c>
      <c r="AD368" s="1" t="s">
        <v>11381</v>
      </c>
      <c r="AE368" s="1" t="s">
        <v>11382</v>
      </c>
      <c r="AF368" s="1" t="s">
        <v>11383</v>
      </c>
      <c r="AG368" s="1" t="s">
        <v>1507</v>
      </c>
      <c r="AH368" s="1">
        <v>18</v>
      </c>
      <c r="AI368" s="1">
        <v>2</v>
      </c>
      <c r="AJ368" s="1">
        <v>3</v>
      </c>
      <c r="AK368" s="1">
        <v>0</v>
      </c>
      <c r="AL368" s="1">
        <v>2</v>
      </c>
      <c r="AM368" s="1" t="s">
        <v>1555</v>
      </c>
      <c r="AN368" s="1" t="s">
        <v>1556</v>
      </c>
      <c r="AO368" s="1" t="s">
        <v>1557</v>
      </c>
      <c r="AP368" s="1" t="s">
        <v>11384</v>
      </c>
      <c r="AQ368" s="1" t="s">
        <v>11385</v>
      </c>
      <c r="AR368" s="1" t="s">
        <v>1507</v>
      </c>
      <c r="AS368" s="1" t="s">
        <v>11386</v>
      </c>
      <c r="AT368" s="1" t="s">
        <v>11387</v>
      </c>
      <c r="AU368" s="1" t="s">
        <v>1507</v>
      </c>
      <c r="AV368" s="1">
        <v>2019</v>
      </c>
      <c r="AW368" s="1">
        <v>15</v>
      </c>
      <c r="AX368" s="1">
        <v>3</v>
      </c>
      <c r="AY368" s="1" t="s">
        <v>1507</v>
      </c>
      <c r="AZ368" s="1" t="s">
        <v>1507</v>
      </c>
      <c r="BA368" s="1" t="s">
        <v>1507</v>
      </c>
      <c r="BB368" s="1" t="s">
        <v>1507</v>
      </c>
      <c r="BC368" s="1">
        <v>605</v>
      </c>
      <c r="BD368" s="1">
        <v>625</v>
      </c>
      <c r="BE368" s="1" t="s">
        <v>1507</v>
      </c>
      <c r="BF368" s="1" t="s">
        <v>11388</v>
      </c>
      <c r="BG368" s="1" t="str">
        <f>HYPERLINK("http://dx.doi.org/10.1080/17441048.2019.1684917","http://dx.doi.org/10.1080/17441048.2019.1684917")</f>
        <v>http://dx.doi.org/10.1080/17441048.2019.1684917</v>
      </c>
      <c r="BH368" s="1" t="s">
        <v>1507</v>
      </c>
      <c r="BI368" s="1" t="s">
        <v>1507</v>
      </c>
      <c r="BJ368" s="1">
        <v>21</v>
      </c>
      <c r="BK368" s="1" t="s">
        <v>1535</v>
      </c>
      <c r="BL368" s="1" t="s">
        <v>1529</v>
      </c>
      <c r="BM368" s="1" t="s">
        <v>1536</v>
      </c>
      <c r="BN368" s="1" t="s">
        <v>11389</v>
      </c>
      <c r="BO368" s="1" t="s">
        <v>1507</v>
      </c>
      <c r="BP368" s="1" t="s">
        <v>5957</v>
      </c>
      <c r="BQ368" s="1" t="s">
        <v>1507</v>
      </c>
      <c r="BR368" s="1" t="s">
        <v>1507</v>
      </c>
      <c r="BS368" s="1" t="s">
        <v>13744</v>
      </c>
      <c r="BT368" s="1" t="s">
        <v>11390</v>
      </c>
      <c r="BU368" s="1" t="str">
        <f>HYPERLINK("https%3A%2F%2Fwww.webofscience.com%2Fwos%2Fwoscc%2Ffull-record%2FWOS:000511145100006","View Full Record in Web of Science")</f>
        <v>View Full Record in Web of Science</v>
      </c>
    </row>
    <row r="369" spans="1:73" x14ac:dyDescent="0.25">
      <c r="A369" s="1">
        <v>410</v>
      </c>
      <c r="B369" s="1" t="s">
        <v>1506</v>
      </c>
      <c r="C369" s="1" t="s">
        <v>3594</v>
      </c>
      <c r="D369" s="1" t="s">
        <v>1507</v>
      </c>
      <c r="E369" s="1" t="s">
        <v>1507</v>
      </c>
      <c r="F369" s="1" t="s">
        <v>1507</v>
      </c>
      <c r="G369" s="1" t="s">
        <v>3595</v>
      </c>
      <c r="H369" s="1" t="s">
        <v>1507</v>
      </c>
      <c r="I369" s="1" t="s">
        <v>1507</v>
      </c>
      <c r="J369" s="1" t="s">
        <v>3596</v>
      </c>
      <c r="K369" s="1" t="s">
        <v>3597</v>
      </c>
      <c r="L369" s="1" t="s">
        <v>1507</v>
      </c>
      <c r="M369" s="1" t="s">
        <v>1507</v>
      </c>
      <c r="N369" s="1" t="s">
        <v>42</v>
      </c>
      <c r="O369" s="1" t="s">
        <v>56</v>
      </c>
      <c r="P369" s="1" t="s">
        <v>1507</v>
      </c>
      <c r="Q369" s="1" t="s">
        <v>1507</v>
      </c>
      <c r="R369" s="1" t="s">
        <v>1507</v>
      </c>
      <c r="S369" s="1" t="s">
        <v>1507</v>
      </c>
      <c r="T369" s="1" t="s">
        <v>1507</v>
      </c>
      <c r="U369" s="1" t="s">
        <v>3598</v>
      </c>
      <c r="V369" s="1" t="s">
        <v>1507</v>
      </c>
      <c r="W369" s="1" t="s">
        <v>3599</v>
      </c>
      <c r="X369" s="1" t="s">
        <v>3600</v>
      </c>
      <c r="Y369" s="1" t="s">
        <v>3601</v>
      </c>
      <c r="Z369" s="1" t="s">
        <v>3602</v>
      </c>
      <c r="AA369" s="1" t="s">
        <v>3603</v>
      </c>
      <c r="AB369" s="1" t="s">
        <v>1507</v>
      </c>
      <c r="AC369" s="1" t="s">
        <v>1507</v>
      </c>
      <c r="AD369" s="1" t="s">
        <v>1507</v>
      </c>
      <c r="AE369" s="1" t="s">
        <v>1507</v>
      </c>
      <c r="AF369" s="1" t="s">
        <v>1507</v>
      </c>
      <c r="AG369" s="1" t="s">
        <v>1507</v>
      </c>
      <c r="AH369" s="1">
        <v>17</v>
      </c>
      <c r="AI369" s="1">
        <v>0</v>
      </c>
      <c r="AJ369" s="1">
        <v>0</v>
      </c>
      <c r="AK369" s="1">
        <v>29</v>
      </c>
      <c r="AL369" s="1">
        <v>29</v>
      </c>
      <c r="AM369" s="1" t="s">
        <v>3604</v>
      </c>
      <c r="AN369" s="1" t="s">
        <v>3605</v>
      </c>
      <c r="AO369" s="1" t="s">
        <v>3606</v>
      </c>
      <c r="AP369" s="1" t="s">
        <v>3607</v>
      </c>
      <c r="AQ369" s="1" t="s">
        <v>3608</v>
      </c>
      <c r="AR369" s="1" t="s">
        <v>1507</v>
      </c>
      <c r="AS369" s="1" t="s">
        <v>3609</v>
      </c>
      <c r="AT369" s="1" t="s">
        <v>3610</v>
      </c>
      <c r="AU369" s="1" t="s">
        <v>2889</v>
      </c>
      <c r="AV369" s="1">
        <v>2023</v>
      </c>
      <c r="AW369" s="1">
        <v>33</v>
      </c>
      <c r="AX369" s="1">
        <v>10</v>
      </c>
      <c r="AY369" s="1" t="s">
        <v>1507</v>
      </c>
      <c r="AZ369" s="1" t="s">
        <v>1507</v>
      </c>
      <c r="BA369" s="1" t="s">
        <v>1507</v>
      </c>
      <c r="BB369" s="1" t="s">
        <v>1507</v>
      </c>
      <c r="BC369" s="1">
        <v>1198</v>
      </c>
      <c r="BD369" s="1">
        <v>1200</v>
      </c>
      <c r="BE369" s="1" t="s">
        <v>1507</v>
      </c>
      <c r="BF369" s="1" t="s">
        <v>3611</v>
      </c>
      <c r="BG369" s="1" t="str">
        <f>HYPERLINK("http://dx.doi.org/10.29271/jcpsp.2023.10.1198","http://dx.doi.org/10.29271/jcpsp.2023.10.1198")</f>
        <v>http://dx.doi.org/10.29271/jcpsp.2023.10.1198</v>
      </c>
      <c r="BH369" s="1" t="s">
        <v>1507</v>
      </c>
      <c r="BI369" s="1" t="s">
        <v>1507</v>
      </c>
      <c r="BJ369" s="1">
        <v>3</v>
      </c>
      <c r="BK369" s="1" t="s">
        <v>1949</v>
      </c>
      <c r="BL369" s="1" t="s">
        <v>1573</v>
      </c>
      <c r="BM369" s="1" t="s">
        <v>1950</v>
      </c>
      <c r="BN369" s="1" t="s">
        <v>3612</v>
      </c>
      <c r="BO369" s="1">
        <v>37804030</v>
      </c>
      <c r="BP369" s="1" t="s">
        <v>1531</v>
      </c>
      <c r="BQ369" s="1" t="s">
        <v>1507</v>
      </c>
      <c r="BR369" s="1" t="s">
        <v>1507</v>
      </c>
      <c r="BS369" s="1" t="s">
        <v>13744</v>
      </c>
      <c r="BT369" s="1" t="s">
        <v>3613</v>
      </c>
      <c r="BU369" s="1" t="str">
        <f>HYPERLINK("https%3A%2F%2Fwww.webofscience.com%2Fwos%2Fwoscc%2Ffull-record%2FWOS:001083466300021","View Full Record in Web of Science")</f>
        <v>View Full Record in Web of Science</v>
      </c>
    </row>
    <row r="370" spans="1:73" x14ac:dyDescent="0.25">
      <c r="A370" s="1">
        <v>411</v>
      </c>
      <c r="B370" s="1" t="s">
        <v>1506</v>
      </c>
      <c r="C370" s="1" t="s">
        <v>10888</v>
      </c>
      <c r="D370" s="1" t="s">
        <v>1507</v>
      </c>
      <c r="E370" s="1" t="s">
        <v>1507</v>
      </c>
      <c r="F370" s="1" t="s">
        <v>1507</v>
      </c>
      <c r="G370" s="1" t="s">
        <v>10889</v>
      </c>
      <c r="H370" s="1" t="s">
        <v>1507</v>
      </c>
      <c r="I370" s="1" t="s">
        <v>1507</v>
      </c>
      <c r="J370" s="1" t="s">
        <v>10890</v>
      </c>
      <c r="K370" s="1" t="s">
        <v>3297</v>
      </c>
      <c r="L370" s="1" t="s">
        <v>1507</v>
      </c>
      <c r="M370" s="1" t="s">
        <v>1507</v>
      </c>
      <c r="N370" s="1" t="s">
        <v>42</v>
      </c>
      <c r="O370" s="1" t="s">
        <v>56</v>
      </c>
      <c r="P370" s="1" t="s">
        <v>1507</v>
      </c>
      <c r="Q370" s="1" t="s">
        <v>1507</v>
      </c>
      <c r="R370" s="1" t="s">
        <v>1507</v>
      </c>
      <c r="S370" s="1" t="s">
        <v>1507</v>
      </c>
      <c r="T370" s="1" t="s">
        <v>1507</v>
      </c>
      <c r="U370" s="1" t="s">
        <v>1507</v>
      </c>
      <c r="V370" s="1" t="s">
        <v>10891</v>
      </c>
      <c r="W370" s="1" t="s">
        <v>10892</v>
      </c>
      <c r="X370" s="1" t="s">
        <v>10893</v>
      </c>
      <c r="Y370" s="1" t="s">
        <v>10894</v>
      </c>
      <c r="Z370" s="1" t="s">
        <v>10895</v>
      </c>
      <c r="AA370" s="1" t="s">
        <v>10896</v>
      </c>
      <c r="AB370" s="1" t="s">
        <v>15925</v>
      </c>
      <c r="AC370" s="1" t="s">
        <v>15926</v>
      </c>
      <c r="AD370" s="1" t="s">
        <v>10897</v>
      </c>
      <c r="AE370" s="1" t="s">
        <v>10898</v>
      </c>
      <c r="AF370" s="1" t="s">
        <v>10899</v>
      </c>
      <c r="AG370" s="1" t="s">
        <v>1507</v>
      </c>
      <c r="AH370" s="1">
        <v>61</v>
      </c>
      <c r="AI370" s="1">
        <v>30</v>
      </c>
      <c r="AJ370" s="1">
        <v>34</v>
      </c>
      <c r="AK370" s="1">
        <v>2</v>
      </c>
      <c r="AL370" s="1">
        <v>19</v>
      </c>
      <c r="AM370" s="1" t="s">
        <v>10462</v>
      </c>
      <c r="AN370" s="1" t="s">
        <v>1592</v>
      </c>
      <c r="AO370" s="1" t="s">
        <v>1593</v>
      </c>
      <c r="AP370" s="1" t="s">
        <v>3307</v>
      </c>
      <c r="AQ370" s="1" t="s">
        <v>1507</v>
      </c>
      <c r="AR370" s="1" t="s">
        <v>1507</v>
      </c>
      <c r="AS370" s="1" t="s">
        <v>3308</v>
      </c>
      <c r="AT370" s="1" t="s">
        <v>3309</v>
      </c>
      <c r="AU370" s="1" t="s">
        <v>10900</v>
      </c>
      <c r="AV370" s="1">
        <v>2019</v>
      </c>
      <c r="AW370" s="1">
        <v>9</v>
      </c>
      <c r="AX370" s="1" t="s">
        <v>1507</v>
      </c>
      <c r="AY370" s="1" t="s">
        <v>1507</v>
      </c>
      <c r="AZ370" s="1" t="s">
        <v>1507</v>
      </c>
      <c r="BA370" s="1" t="s">
        <v>1507</v>
      </c>
      <c r="BB370" s="1" t="s">
        <v>1507</v>
      </c>
      <c r="BC370" s="1" t="s">
        <v>1507</v>
      </c>
      <c r="BD370" s="1" t="s">
        <v>1507</v>
      </c>
      <c r="BE370" s="1">
        <v>8819</v>
      </c>
      <c r="BF370" s="1" t="s">
        <v>10901</v>
      </c>
      <c r="BG370" s="1" t="str">
        <f>HYPERLINK("http://dx.doi.org/10.1038/s41598-019-45364-z","http://dx.doi.org/10.1038/s41598-019-45364-z")</f>
        <v>http://dx.doi.org/10.1038/s41598-019-45364-z</v>
      </c>
      <c r="BH370" s="1" t="s">
        <v>1507</v>
      </c>
      <c r="BI370" s="1" t="s">
        <v>1507</v>
      </c>
      <c r="BJ370" s="1">
        <v>10</v>
      </c>
      <c r="BK370" s="1" t="s">
        <v>1776</v>
      </c>
      <c r="BL370" s="1" t="s">
        <v>1573</v>
      </c>
      <c r="BM370" s="1" t="s">
        <v>1777</v>
      </c>
      <c r="BN370" s="1" t="s">
        <v>10902</v>
      </c>
      <c r="BO370" s="1">
        <v>31217550</v>
      </c>
      <c r="BP370" s="1" t="s">
        <v>1674</v>
      </c>
      <c r="BQ370" s="1" t="s">
        <v>1507</v>
      </c>
      <c r="BR370" s="1" t="s">
        <v>1507</v>
      </c>
      <c r="BS370" s="1" t="s">
        <v>13744</v>
      </c>
      <c r="BT370" s="1" t="s">
        <v>10903</v>
      </c>
      <c r="BU370" s="1" t="str">
        <f>HYPERLINK("https%3A%2F%2Fwww.webofscience.com%2Fwos%2Fwoscc%2Ffull-record%2FWOS:000472030000052","View Full Record in Web of Science")</f>
        <v>View Full Record in Web of Science</v>
      </c>
    </row>
    <row r="371" spans="1:73" x14ac:dyDescent="0.25">
      <c r="A371" s="1">
        <v>412</v>
      </c>
      <c r="B371" s="1" t="s">
        <v>1506</v>
      </c>
      <c r="C371" s="1" t="s">
        <v>8713</v>
      </c>
      <c r="D371" s="1" t="s">
        <v>1507</v>
      </c>
      <c r="E371" s="1" t="s">
        <v>1507</v>
      </c>
      <c r="F371" s="1" t="s">
        <v>1507</v>
      </c>
      <c r="G371" s="1" t="s">
        <v>8714</v>
      </c>
      <c r="H371" s="1" t="s">
        <v>1507</v>
      </c>
      <c r="I371" s="1" t="s">
        <v>1507</v>
      </c>
      <c r="J371" s="1" t="s">
        <v>8715</v>
      </c>
      <c r="K371" s="1" t="s">
        <v>3555</v>
      </c>
      <c r="L371" s="1" t="s">
        <v>1507</v>
      </c>
      <c r="M371" s="1" t="s">
        <v>1507</v>
      </c>
      <c r="N371" s="1" t="s">
        <v>42</v>
      </c>
      <c r="O371" s="1" t="s">
        <v>56</v>
      </c>
      <c r="P371" s="1" t="s">
        <v>1507</v>
      </c>
      <c r="Q371" s="1" t="s">
        <v>1507</v>
      </c>
      <c r="R371" s="1" t="s">
        <v>1507</v>
      </c>
      <c r="S371" s="1" t="s">
        <v>1507</v>
      </c>
      <c r="T371" s="1" t="s">
        <v>1507</v>
      </c>
      <c r="U371" s="1" t="s">
        <v>8716</v>
      </c>
      <c r="V371" s="1" t="s">
        <v>1507</v>
      </c>
      <c r="W371" s="1" t="s">
        <v>8717</v>
      </c>
      <c r="X371" s="1" t="s">
        <v>8718</v>
      </c>
      <c r="Y371" s="1" t="s">
        <v>8719</v>
      </c>
      <c r="Z371" s="1" t="s">
        <v>8720</v>
      </c>
      <c r="AA371" s="1" t="s">
        <v>8721</v>
      </c>
      <c r="AB371" s="1" t="s">
        <v>1507</v>
      </c>
      <c r="AC371" s="1" t="s">
        <v>8722</v>
      </c>
      <c r="AD371" s="1" t="s">
        <v>15746</v>
      </c>
      <c r="AE371" s="1" t="s">
        <v>15747</v>
      </c>
      <c r="AF371" s="1" t="s">
        <v>8723</v>
      </c>
      <c r="AG371" s="1" t="s">
        <v>1507</v>
      </c>
      <c r="AH371" s="1">
        <v>45</v>
      </c>
      <c r="AI371" s="1">
        <v>0</v>
      </c>
      <c r="AJ371" s="1">
        <v>0</v>
      </c>
      <c r="AK371" s="1">
        <v>0</v>
      </c>
      <c r="AL371" s="1">
        <v>2</v>
      </c>
      <c r="AM371" s="1" t="s">
        <v>3564</v>
      </c>
      <c r="AN371" s="1" t="s">
        <v>1523</v>
      </c>
      <c r="AO371" s="1" t="s">
        <v>3565</v>
      </c>
      <c r="AP371" s="1" t="s">
        <v>3566</v>
      </c>
      <c r="AQ371" s="1" t="s">
        <v>3567</v>
      </c>
      <c r="AR371" s="1" t="s">
        <v>1507</v>
      </c>
      <c r="AS371" s="1" t="s">
        <v>3568</v>
      </c>
      <c r="AT371" s="1" t="s">
        <v>3569</v>
      </c>
      <c r="AU371" s="1" t="s">
        <v>5045</v>
      </c>
      <c r="AV371" s="1">
        <v>2021</v>
      </c>
      <c r="AW371" s="1">
        <v>65</v>
      </c>
      <c r="AX371" s="1" t="s">
        <v>1507</v>
      </c>
      <c r="AY371" s="1" t="s">
        <v>1507</v>
      </c>
      <c r="AZ371" s="1">
        <v>1</v>
      </c>
      <c r="BA371" s="1" t="s">
        <v>3506</v>
      </c>
      <c r="BB371" s="1" t="s">
        <v>1507</v>
      </c>
      <c r="BC371" s="1">
        <v>9</v>
      </c>
      <c r="BD371" s="1">
        <v>33</v>
      </c>
      <c r="BE371" s="1" t="s">
        <v>1507</v>
      </c>
      <c r="BF371" s="1" t="s">
        <v>8724</v>
      </c>
      <c r="BG371" s="1" t="str">
        <f>HYPERLINK("http://dx.doi.org/10.1017/S0021855321000036","http://dx.doi.org/10.1017/S0021855321000036")</f>
        <v>http://dx.doi.org/10.1017/S0021855321000036</v>
      </c>
      <c r="BH371" s="1" t="s">
        <v>1507</v>
      </c>
      <c r="BI371" s="1" t="s">
        <v>1507</v>
      </c>
      <c r="BJ371" s="1">
        <v>25</v>
      </c>
      <c r="BK371" s="1" t="s">
        <v>1535</v>
      </c>
      <c r="BL371" s="1" t="s">
        <v>1518</v>
      </c>
      <c r="BM371" s="1" t="s">
        <v>1536</v>
      </c>
      <c r="BN371" s="1" t="s">
        <v>8725</v>
      </c>
      <c r="BO371" s="1" t="s">
        <v>1507</v>
      </c>
      <c r="BP371" s="1" t="s">
        <v>2309</v>
      </c>
      <c r="BQ371" s="1" t="s">
        <v>1507</v>
      </c>
      <c r="BR371" s="1" t="s">
        <v>1507</v>
      </c>
      <c r="BS371" s="1" t="s">
        <v>13744</v>
      </c>
      <c r="BT371" s="1" t="s">
        <v>8726</v>
      </c>
      <c r="BU371" s="1" t="str">
        <f>HYPERLINK("https%3A%2F%2Fwww.webofscience.com%2Fwos%2Fwoscc%2Ffull-record%2FWOS:000649790600004","View Full Record in Web of Science")</f>
        <v>View Full Record in Web of Science</v>
      </c>
    </row>
    <row r="372" spans="1:73" x14ac:dyDescent="0.25">
      <c r="A372" s="1">
        <v>413</v>
      </c>
      <c r="B372" s="1" t="s">
        <v>1506</v>
      </c>
      <c r="C372" s="1" t="s">
        <v>4984</v>
      </c>
      <c r="D372" s="1" t="s">
        <v>1507</v>
      </c>
      <c r="E372" s="1" t="s">
        <v>1507</v>
      </c>
      <c r="F372" s="1" t="s">
        <v>1507</v>
      </c>
      <c r="G372" s="1" t="s">
        <v>4985</v>
      </c>
      <c r="H372" s="1" t="s">
        <v>1507</v>
      </c>
      <c r="I372" s="1" t="s">
        <v>1507</v>
      </c>
      <c r="J372" s="1" t="s">
        <v>4986</v>
      </c>
      <c r="K372" s="1" t="s">
        <v>4987</v>
      </c>
      <c r="L372" s="1" t="s">
        <v>1507</v>
      </c>
      <c r="M372" s="1" t="s">
        <v>1507</v>
      </c>
      <c r="N372" s="1" t="s">
        <v>42</v>
      </c>
      <c r="O372" s="1" t="s">
        <v>56</v>
      </c>
      <c r="P372" s="1" t="s">
        <v>1507</v>
      </c>
      <c r="Q372" s="1" t="s">
        <v>1507</v>
      </c>
      <c r="R372" s="1" t="s">
        <v>1507</v>
      </c>
      <c r="S372" s="1" t="s">
        <v>1507</v>
      </c>
      <c r="T372" s="1" t="s">
        <v>1507</v>
      </c>
      <c r="U372" s="1" t="s">
        <v>4988</v>
      </c>
      <c r="V372" s="1" t="s">
        <v>4989</v>
      </c>
      <c r="W372" s="1" t="s">
        <v>4990</v>
      </c>
      <c r="X372" s="1" t="s">
        <v>4991</v>
      </c>
      <c r="Y372" s="1" t="s">
        <v>4992</v>
      </c>
      <c r="Z372" s="1" t="s">
        <v>4993</v>
      </c>
      <c r="AA372" s="1" t="s">
        <v>4994</v>
      </c>
      <c r="AB372" s="1" t="s">
        <v>4995</v>
      </c>
      <c r="AC372" s="1" t="s">
        <v>4996</v>
      </c>
      <c r="AD372" s="1" t="s">
        <v>4997</v>
      </c>
      <c r="AE372" s="1" t="s">
        <v>4998</v>
      </c>
      <c r="AF372" s="1" t="s">
        <v>4999</v>
      </c>
      <c r="AG372" s="1" t="s">
        <v>1507</v>
      </c>
      <c r="AH372" s="1">
        <v>49</v>
      </c>
      <c r="AI372" s="1">
        <v>2</v>
      </c>
      <c r="AJ372" s="1">
        <v>2</v>
      </c>
      <c r="AK372" s="1">
        <v>4</v>
      </c>
      <c r="AL372" s="1">
        <v>7</v>
      </c>
      <c r="AM372" s="1" t="s">
        <v>5000</v>
      </c>
      <c r="AN372" s="1" t="s">
        <v>1551</v>
      </c>
      <c r="AO372" s="1" t="s">
        <v>5001</v>
      </c>
      <c r="AP372" s="1" t="s">
        <v>1507</v>
      </c>
      <c r="AQ372" s="1" t="s">
        <v>5002</v>
      </c>
      <c r="AR372" s="1" t="s">
        <v>1507</v>
      </c>
      <c r="AS372" s="1" t="s">
        <v>5003</v>
      </c>
      <c r="AT372" s="1" t="s">
        <v>5004</v>
      </c>
      <c r="AU372" s="1" t="s">
        <v>5005</v>
      </c>
      <c r="AV372" s="1">
        <v>2023</v>
      </c>
      <c r="AW372" s="1">
        <v>9</v>
      </c>
      <c r="AX372" s="1" t="s">
        <v>1507</v>
      </c>
      <c r="AY372" s="1" t="s">
        <v>1507</v>
      </c>
      <c r="AZ372" s="1" t="s">
        <v>1507</v>
      </c>
      <c r="BA372" s="1" t="s">
        <v>1507</v>
      </c>
      <c r="BB372" s="1" t="s">
        <v>1507</v>
      </c>
      <c r="BC372" s="1" t="s">
        <v>1507</v>
      </c>
      <c r="BD372" s="1" t="s">
        <v>1507</v>
      </c>
      <c r="BE372" s="1" t="s">
        <v>5006</v>
      </c>
      <c r="BF372" s="1" t="s">
        <v>5007</v>
      </c>
      <c r="BG372" s="1" t="str">
        <f>HYPERLINK("http://dx.doi.org/10.7717/peerj-cs.1377","http://dx.doi.org/10.7717/peerj-cs.1377")</f>
        <v>http://dx.doi.org/10.7717/peerj-cs.1377</v>
      </c>
      <c r="BH372" s="1" t="s">
        <v>1507</v>
      </c>
      <c r="BI372" s="1" t="s">
        <v>1507</v>
      </c>
      <c r="BJ372" s="1">
        <v>33</v>
      </c>
      <c r="BK372" s="1" t="s">
        <v>2230</v>
      </c>
      <c r="BL372" s="1" t="s">
        <v>1573</v>
      </c>
      <c r="BM372" s="1" t="s">
        <v>1577</v>
      </c>
      <c r="BN372" s="1" t="s">
        <v>5008</v>
      </c>
      <c r="BO372" s="1">
        <v>37346571</v>
      </c>
      <c r="BP372" s="1" t="s">
        <v>1952</v>
      </c>
      <c r="BQ372" s="1" t="s">
        <v>1507</v>
      </c>
      <c r="BR372" s="1" t="s">
        <v>1507</v>
      </c>
      <c r="BS372" s="1" t="s">
        <v>13744</v>
      </c>
      <c r="BT372" s="1" t="s">
        <v>5009</v>
      </c>
      <c r="BU372" s="1" t="str">
        <f>HYPERLINK("https%3A%2F%2Fwww.webofscience.com%2Fwos%2Fwoscc%2Ffull-record%2FWOS:000996387100005","View Full Record in Web of Science")</f>
        <v>View Full Record in Web of Science</v>
      </c>
    </row>
    <row r="373" spans="1:73" x14ac:dyDescent="0.25">
      <c r="A373" s="1">
        <v>414</v>
      </c>
      <c r="B373" s="1" t="s">
        <v>1506</v>
      </c>
      <c r="C373" s="1" t="s">
        <v>9855</v>
      </c>
      <c r="D373" s="1" t="s">
        <v>1507</v>
      </c>
      <c r="E373" s="1" t="s">
        <v>1507</v>
      </c>
      <c r="F373" s="1" t="s">
        <v>1507</v>
      </c>
      <c r="G373" s="1" t="s">
        <v>9856</v>
      </c>
      <c r="H373" s="1" t="s">
        <v>1507</v>
      </c>
      <c r="I373" s="1" t="s">
        <v>1507</v>
      </c>
      <c r="J373" s="1" t="s">
        <v>9857</v>
      </c>
      <c r="K373" s="1" t="s">
        <v>4064</v>
      </c>
      <c r="L373" s="1" t="s">
        <v>1507</v>
      </c>
      <c r="M373" s="1" t="s">
        <v>1507</v>
      </c>
      <c r="N373" s="1" t="s">
        <v>42</v>
      </c>
      <c r="O373" s="1" t="s">
        <v>56</v>
      </c>
      <c r="P373" s="1" t="s">
        <v>1507</v>
      </c>
      <c r="Q373" s="1" t="s">
        <v>1507</v>
      </c>
      <c r="R373" s="1" t="s">
        <v>1507</v>
      </c>
      <c r="S373" s="1" t="s">
        <v>1507</v>
      </c>
      <c r="T373" s="1" t="s">
        <v>1507</v>
      </c>
      <c r="U373" s="1" t="s">
        <v>9858</v>
      </c>
      <c r="V373" s="1" t="s">
        <v>9859</v>
      </c>
      <c r="W373" s="1" t="s">
        <v>9860</v>
      </c>
      <c r="X373" s="1" t="s">
        <v>9861</v>
      </c>
      <c r="Y373" s="1" t="s">
        <v>9862</v>
      </c>
      <c r="Z373" s="1" t="s">
        <v>9863</v>
      </c>
      <c r="AA373" s="1" t="s">
        <v>9864</v>
      </c>
      <c r="AB373" s="1" t="s">
        <v>15812</v>
      </c>
      <c r="AC373" s="1" t="s">
        <v>15813</v>
      </c>
      <c r="AD373" s="1" t="s">
        <v>9865</v>
      </c>
      <c r="AE373" s="1" t="s">
        <v>9866</v>
      </c>
      <c r="AF373" s="1" t="s">
        <v>9867</v>
      </c>
      <c r="AG373" s="1" t="s">
        <v>1507</v>
      </c>
      <c r="AH373" s="1">
        <v>53</v>
      </c>
      <c r="AI373" s="1">
        <v>11</v>
      </c>
      <c r="AJ373" s="1">
        <v>11</v>
      </c>
      <c r="AK373" s="1">
        <v>2</v>
      </c>
      <c r="AL373" s="1">
        <v>28</v>
      </c>
      <c r="AM373" s="1" t="s">
        <v>1579</v>
      </c>
      <c r="AN373" s="1" t="s">
        <v>1580</v>
      </c>
      <c r="AO373" s="1" t="s">
        <v>1581</v>
      </c>
      <c r="AP373" s="1" t="s">
        <v>4075</v>
      </c>
      <c r="AQ373" s="1" t="s">
        <v>4076</v>
      </c>
      <c r="AR373" s="1" t="s">
        <v>1507</v>
      </c>
      <c r="AS373" s="1" t="s">
        <v>4077</v>
      </c>
      <c r="AT373" s="1" t="s">
        <v>4078</v>
      </c>
      <c r="AU373" s="1" t="s">
        <v>4721</v>
      </c>
      <c r="AV373" s="1">
        <v>2020</v>
      </c>
      <c r="AW373" s="1">
        <v>114</v>
      </c>
      <c r="AX373" s="1" t="s">
        <v>1507</v>
      </c>
      <c r="AY373" s="1" t="s">
        <v>1507</v>
      </c>
      <c r="AZ373" s="1" t="s">
        <v>1507</v>
      </c>
      <c r="BA373" s="1" t="s">
        <v>1507</v>
      </c>
      <c r="BB373" s="1" t="s">
        <v>1507</v>
      </c>
      <c r="BC373" s="1" t="s">
        <v>1507</v>
      </c>
      <c r="BD373" s="1" t="s">
        <v>1507</v>
      </c>
      <c r="BE373" s="1">
        <v>103163</v>
      </c>
      <c r="BF373" s="1" t="s">
        <v>9868</v>
      </c>
      <c r="BG373" s="1" t="str">
        <f>HYPERLINK("http://dx.doi.org/10.1016/j.autcon.2020.103163","http://dx.doi.org/10.1016/j.autcon.2020.103163")</f>
        <v>http://dx.doi.org/10.1016/j.autcon.2020.103163</v>
      </c>
      <c r="BH373" s="1" t="s">
        <v>1507</v>
      </c>
      <c r="BI373" s="1" t="s">
        <v>1507</v>
      </c>
      <c r="BJ373" s="1">
        <v>19</v>
      </c>
      <c r="BK373" s="1" t="s">
        <v>1815</v>
      </c>
      <c r="BL373" s="1" t="s">
        <v>1573</v>
      </c>
      <c r="BM373" s="1" t="s">
        <v>1816</v>
      </c>
      <c r="BN373" s="1" t="s">
        <v>9869</v>
      </c>
      <c r="BO373" s="1" t="s">
        <v>1507</v>
      </c>
      <c r="BP373" s="1" t="s">
        <v>5071</v>
      </c>
      <c r="BQ373" s="1" t="s">
        <v>1507</v>
      </c>
      <c r="BR373" s="1" t="s">
        <v>1507</v>
      </c>
      <c r="BS373" s="1" t="s">
        <v>13744</v>
      </c>
      <c r="BT373" s="1" t="s">
        <v>9870</v>
      </c>
      <c r="BU373" s="1" t="str">
        <f>HYPERLINK("https%3A%2F%2Fwww.webofscience.com%2Fwos%2Fwoscc%2Ffull-record%2FWOS:000526785800007","View Full Record in Web of Science")</f>
        <v>View Full Record in Web of Science</v>
      </c>
    </row>
    <row r="374" spans="1:73" x14ac:dyDescent="0.25">
      <c r="A374" s="1">
        <v>415</v>
      </c>
      <c r="B374" s="1" t="s">
        <v>5546</v>
      </c>
      <c r="C374" s="1" t="s">
        <v>15260</v>
      </c>
      <c r="D374" s="1" t="s">
        <v>1507</v>
      </c>
      <c r="E374" s="1" t="s">
        <v>1507</v>
      </c>
      <c r="F374" s="1" t="s">
        <v>5628</v>
      </c>
      <c r="G374" s="1" t="s">
        <v>15261</v>
      </c>
      <c r="H374" s="1" t="s">
        <v>1507</v>
      </c>
      <c r="I374" s="1" t="s">
        <v>1507</v>
      </c>
      <c r="J374" s="1" t="s">
        <v>15262</v>
      </c>
      <c r="K374" s="1" t="s">
        <v>15263</v>
      </c>
      <c r="L374" s="1" t="s">
        <v>15264</v>
      </c>
      <c r="M374" s="1" t="s">
        <v>1507</v>
      </c>
      <c r="N374" s="1" t="s">
        <v>42</v>
      </c>
      <c r="O374" s="1" t="s">
        <v>5552</v>
      </c>
      <c r="P374" s="1" t="s">
        <v>15265</v>
      </c>
      <c r="Q374" s="1" t="s">
        <v>15266</v>
      </c>
      <c r="R374" s="1" t="s">
        <v>15267</v>
      </c>
      <c r="S374" s="1" t="s">
        <v>15268</v>
      </c>
      <c r="T374" s="1" t="s">
        <v>1507</v>
      </c>
      <c r="U374" s="1" t="s">
        <v>15269</v>
      </c>
      <c r="V374" s="1" t="s">
        <v>1507</v>
      </c>
      <c r="W374" s="1" t="s">
        <v>15270</v>
      </c>
      <c r="X374" s="1" t="s">
        <v>15271</v>
      </c>
      <c r="Y374" s="1" t="s">
        <v>15272</v>
      </c>
      <c r="Z374" s="1" t="s">
        <v>15273</v>
      </c>
      <c r="AA374" s="1" t="s">
        <v>15274</v>
      </c>
      <c r="AB374" s="1" t="s">
        <v>1507</v>
      </c>
      <c r="AC374" s="1" t="s">
        <v>15275</v>
      </c>
      <c r="AD374" s="1" t="s">
        <v>1619</v>
      </c>
      <c r="AE374" s="1" t="s">
        <v>1619</v>
      </c>
      <c r="AF374" s="1" t="s">
        <v>15276</v>
      </c>
      <c r="AG374" s="1" t="s">
        <v>1507</v>
      </c>
      <c r="AH374" s="1">
        <v>33</v>
      </c>
      <c r="AI374" s="1">
        <v>0</v>
      </c>
      <c r="AJ374" s="1">
        <v>0</v>
      </c>
      <c r="AK374" s="1">
        <v>2</v>
      </c>
      <c r="AL374" s="1">
        <v>2</v>
      </c>
      <c r="AM374" s="1" t="s">
        <v>5645</v>
      </c>
      <c r="AN374" s="1" t="s">
        <v>5646</v>
      </c>
      <c r="AO374" s="1" t="s">
        <v>5647</v>
      </c>
      <c r="AP374" s="1" t="s">
        <v>15277</v>
      </c>
      <c r="AQ374" s="1" t="s">
        <v>1507</v>
      </c>
      <c r="AR374" s="1" t="s">
        <v>15278</v>
      </c>
      <c r="AS374" s="1" t="s">
        <v>15279</v>
      </c>
      <c r="AT374" s="1" t="s">
        <v>1507</v>
      </c>
      <c r="AU374" s="1" t="s">
        <v>1507</v>
      </c>
      <c r="AV374" s="1">
        <v>2023</v>
      </c>
      <c r="AW374" s="1" t="s">
        <v>1507</v>
      </c>
      <c r="AX374" s="1" t="s">
        <v>1507</v>
      </c>
      <c r="AY374" s="1" t="s">
        <v>1507</v>
      </c>
      <c r="AZ374" s="1" t="s">
        <v>1507</v>
      </c>
      <c r="BA374" s="1" t="s">
        <v>1507</v>
      </c>
      <c r="BB374" s="1" t="s">
        <v>1507</v>
      </c>
      <c r="BC374" s="1">
        <v>70</v>
      </c>
      <c r="BD374" s="1">
        <v>77</v>
      </c>
      <c r="BE374" s="1" t="s">
        <v>1507</v>
      </c>
      <c r="BF374" s="1" t="s">
        <v>15280</v>
      </c>
      <c r="BG374" s="1" t="str">
        <f>HYPERLINK("http://dx.doi.org/10.1109/ICTAI59109.2023.00018","http://dx.doi.org/10.1109/ICTAI59109.2023.00018")</f>
        <v>http://dx.doi.org/10.1109/ICTAI59109.2023.00018</v>
      </c>
      <c r="BH374" s="1" t="s">
        <v>1507</v>
      </c>
      <c r="BI374" s="1" t="s">
        <v>1507</v>
      </c>
      <c r="BJ374" s="1">
        <v>8</v>
      </c>
      <c r="BK374" s="1" t="s">
        <v>2994</v>
      </c>
      <c r="BL374" s="1" t="s">
        <v>5570</v>
      </c>
      <c r="BM374" s="1" t="s">
        <v>1577</v>
      </c>
      <c r="BN374" s="1" t="s">
        <v>15281</v>
      </c>
      <c r="BO374" s="1" t="s">
        <v>1507</v>
      </c>
      <c r="BP374" s="1" t="s">
        <v>1507</v>
      </c>
      <c r="BQ374" s="1" t="s">
        <v>1507</v>
      </c>
      <c r="BR374" s="1" t="s">
        <v>1507</v>
      </c>
      <c r="BS374" s="1" t="s">
        <v>13744</v>
      </c>
      <c r="BT374" s="1" t="s">
        <v>15282</v>
      </c>
      <c r="BU374" s="1" t="str">
        <f>HYPERLINK("https%3A%2F%2Fwww.webofscience.com%2Fwos%2Fwoscc%2Ffull-record%2FWOS:001139095400010","View Full Record in Web of Science")</f>
        <v>View Full Record in Web of Science</v>
      </c>
    </row>
    <row r="375" spans="1:73" x14ac:dyDescent="0.25">
      <c r="A375" s="1">
        <v>416</v>
      </c>
      <c r="B375" s="1" t="s">
        <v>1506</v>
      </c>
      <c r="C375" s="1" t="s">
        <v>8537</v>
      </c>
      <c r="D375" s="1" t="s">
        <v>1507</v>
      </c>
      <c r="E375" s="1" t="s">
        <v>1507</v>
      </c>
      <c r="F375" s="1" t="s">
        <v>1507</v>
      </c>
      <c r="G375" s="1" t="s">
        <v>8538</v>
      </c>
      <c r="H375" s="1" t="s">
        <v>1507</v>
      </c>
      <c r="I375" s="1" t="s">
        <v>1507</v>
      </c>
      <c r="J375" s="1" t="s">
        <v>8539</v>
      </c>
      <c r="K375" s="1" t="s">
        <v>8540</v>
      </c>
      <c r="L375" s="1" t="s">
        <v>1507</v>
      </c>
      <c r="M375" s="1" t="s">
        <v>1507</v>
      </c>
      <c r="N375" s="1" t="s">
        <v>42</v>
      </c>
      <c r="O375" s="1" t="s">
        <v>56</v>
      </c>
      <c r="P375" s="1" t="s">
        <v>1507</v>
      </c>
      <c r="Q375" s="1" t="s">
        <v>1507</v>
      </c>
      <c r="R375" s="1" t="s">
        <v>1507</v>
      </c>
      <c r="S375" s="1" t="s">
        <v>1507</v>
      </c>
      <c r="T375" s="1" t="s">
        <v>1507</v>
      </c>
      <c r="U375" s="1" t="s">
        <v>8541</v>
      </c>
      <c r="V375" s="1" t="s">
        <v>8542</v>
      </c>
      <c r="W375" s="1" t="s">
        <v>8543</v>
      </c>
      <c r="X375" s="1" t="s">
        <v>8544</v>
      </c>
      <c r="Y375" s="1" t="s">
        <v>8545</v>
      </c>
      <c r="Z375" s="1" t="s">
        <v>8546</v>
      </c>
      <c r="AA375" s="1" t="s">
        <v>8547</v>
      </c>
      <c r="AB375" s="1" t="s">
        <v>1507</v>
      </c>
      <c r="AC375" s="1" t="s">
        <v>8548</v>
      </c>
      <c r="AD375" s="1" t="s">
        <v>8549</v>
      </c>
      <c r="AE375" s="1" t="s">
        <v>8550</v>
      </c>
      <c r="AF375" s="1" t="s">
        <v>8551</v>
      </c>
      <c r="AG375" s="1" t="s">
        <v>1507</v>
      </c>
      <c r="AH375" s="1">
        <v>68</v>
      </c>
      <c r="AI375" s="1">
        <v>2</v>
      </c>
      <c r="AJ375" s="1">
        <v>4</v>
      </c>
      <c r="AK375" s="1">
        <v>0</v>
      </c>
      <c r="AL375" s="1">
        <v>14</v>
      </c>
      <c r="AM375" s="1" t="s">
        <v>1559</v>
      </c>
      <c r="AN375" s="1" t="s">
        <v>1560</v>
      </c>
      <c r="AO375" s="1" t="s">
        <v>1561</v>
      </c>
      <c r="AP375" s="1" t="s">
        <v>8552</v>
      </c>
      <c r="AQ375" s="1" t="s">
        <v>1507</v>
      </c>
      <c r="AR375" s="1" t="s">
        <v>1507</v>
      </c>
      <c r="AS375" s="1" t="s">
        <v>8540</v>
      </c>
      <c r="AT375" s="1" t="s">
        <v>8553</v>
      </c>
      <c r="AU375" s="1" t="s">
        <v>4721</v>
      </c>
      <c r="AV375" s="1">
        <v>2021</v>
      </c>
      <c r="AW375" s="1">
        <v>12</v>
      </c>
      <c r="AX375" s="1">
        <v>6</v>
      </c>
      <c r="AY375" s="1" t="s">
        <v>1507</v>
      </c>
      <c r="AZ375" s="1" t="s">
        <v>1507</v>
      </c>
      <c r="BA375" s="1" t="s">
        <v>1507</v>
      </c>
      <c r="BB375" s="1" t="s">
        <v>1507</v>
      </c>
      <c r="BC375" s="1" t="s">
        <v>1507</v>
      </c>
      <c r="BD375" s="1" t="s">
        <v>1507</v>
      </c>
      <c r="BE375" s="1" t="s">
        <v>8554</v>
      </c>
      <c r="BF375" s="1" t="s">
        <v>8555</v>
      </c>
      <c r="BG375" s="1" t="str">
        <f>HYPERLINK("http://dx.doi.org/10.1002/ecs2.3552","http://dx.doi.org/10.1002/ecs2.3552")</f>
        <v>http://dx.doi.org/10.1002/ecs2.3552</v>
      </c>
      <c r="BH375" s="1" t="s">
        <v>1507</v>
      </c>
      <c r="BI375" s="1" t="s">
        <v>1507</v>
      </c>
      <c r="BJ375" s="1">
        <v>13</v>
      </c>
      <c r="BK375" s="1" t="s">
        <v>1838</v>
      </c>
      <c r="BL375" s="1" t="s">
        <v>1573</v>
      </c>
      <c r="BM375" s="1" t="s">
        <v>1839</v>
      </c>
      <c r="BN375" s="1" t="s">
        <v>8556</v>
      </c>
      <c r="BO375" s="1" t="s">
        <v>1507</v>
      </c>
      <c r="BP375" s="1" t="s">
        <v>1507</v>
      </c>
      <c r="BQ375" s="1" t="s">
        <v>1507</v>
      </c>
      <c r="BR375" s="1" t="s">
        <v>1507</v>
      </c>
      <c r="BS375" s="1" t="s">
        <v>13744</v>
      </c>
      <c r="BT375" s="1" t="s">
        <v>8557</v>
      </c>
      <c r="BU375" s="1" t="str">
        <f>HYPERLINK("https%3A%2F%2Fwww.webofscience.com%2Fwos%2Fwoscc%2Ffull-record%2FWOS:000667707100041","View Full Record in Web of Science")</f>
        <v>View Full Record in Web of Science</v>
      </c>
    </row>
    <row r="376" spans="1:73" x14ac:dyDescent="0.25">
      <c r="A376" s="1">
        <v>417</v>
      </c>
      <c r="B376" s="1" t="s">
        <v>1506</v>
      </c>
      <c r="C376" s="1" t="s">
        <v>9731</v>
      </c>
      <c r="D376" s="1" t="s">
        <v>1507</v>
      </c>
      <c r="E376" s="1" t="s">
        <v>1507</v>
      </c>
      <c r="F376" s="1" t="s">
        <v>1507</v>
      </c>
      <c r="G376" s="1" t="s">
        <v>9732</v>
      </c>
      <c r="H376" s="1" t="s">
        <v>1507</v>
      </c>
      <c r="I376" s="1" t="s">
        <v>1507</v>
      </c>
      <c r="J376" s="1" t="s">
        <v>9733</v>
      </c>
      <c r="K376" s="1" t="s">
        <v>9734</v>
      </c>
      <c r="L376" s="1" t="s">
        <v>1507</v>
      </c>
      <c r="M376" s="1" t="s">
        <v>1507</v>
      </c>
      <c r="N376" s="1" t="s">
        <v>42</v>
      </c>
      <c r="O376" s="1" t="s">
        <v>56</v>
      </c>
      <c r="P376" s="1" t="s">
        <v>1507</v>
      </c>
      <c r="Q376" s="1" t="s">
        <v>1507</v>
      </c>
      <c r="R376" s="1" t="s">
        <v>1507</v>
      </c>
      <c r="S376" s="1" t="s">
        <v>1507</v>
      </c>
      <c r="T376" s="1" t="s">
        <v>1507</v>
      </c>
      <c r="U376" s="1" t="s">
        <v>1507</v>
      </c>
      <c r="V376" s="1" t="s">
        <v>9735</v>
      </c>
      <c r="W376" s="1" t="s">
        <v>9736</v>
      </c>
      <c r="X376" s="1" t="s">
        <v>9737</v>
      </c>
      <c r="Y376" s="1" t="s">
        <v>9738</v>
      </c>
      <c r="Z376" s="1" t="s">
        <v>9739</v>
      </c>
      <c r="AA376" s="1" t="s">
        <v>9740</v>
      </c>
      <c r="AB376" s="1" t="s">
        <v>15805</v>
      </c>
      <c r="AC376" s="1" t="s">
        <v>15806</v>
      </c>
      <c r="AD376" s="1" t="s">
        <v>9741</v>
      </c>
      <c r="AE376" s="1" t="s">
        <v>9742</v>
      </c>
      <c r="AF376" s="1" t="s">
        <v>9743</v>
      </c>
      <c r="AG376" s="1" t="s">
        <v>1507</v>
      </c>
      <c r="AH376" s="1">
        <v>50</v>
      </c>
      <c r="AI376" s="1">
        <v>20</v>
      </c>
      <c r="AJ376" s="1">
        <v>20</v>
      </c>
      <c r="AK376" s="1">
        <v>0</v>
      </c>
      <c r="AL376" s="1">
        <v>2</v>
      </c>
      <c r="AM376" s="1" t="s">
        <v>1548</v>
      </c>
      <c r="AN376" s="1" t="s">
        <v>1549</v>
      </c>
      <c r="AO376" s="1" t="s">
        <v>1550</v>
      </c>
      <c r="AP376" s="1" t="s">
        <v>1507</v>
      </c>
      <c r="AQ376" s="1" t="s">
        <v>9744</v>
      </c>
      <c r="AR376" s="1" t="s">
        <v>1507</v>
      </c>
      <c r="AS376" s="1" t="s">
        <v>9745</v>
      </c>
      <c r="AT376" s="1" t="s">
        <v>9746</v>
      </c>
      <c r="AU376" s="1" t="s">
        <v>4336</v>
      </c>
      <c r="AV376" s="1">
        <v>2020</v>
      </c>
      <c r="AW376" s="1">
        <v>4</v>
      </c>
      <c r="AX376" s="1">
        <v>8</v>
      </c>
      <c r="AY376" s="1" t="s">
        <v>1507</v>
      </c>
      <c r="AZ376" s="1" t="s">
        <v>1507</v>
      </c>
      <c r="BA376" s="1" t="s">
        <v>1507</v>
      </c>
      <c r="BB376" s="1" t="s">
        <v>1507</v>
      </c>
      <c r="BC376" s="1">
        <v>1112</v>
      </c>
      <c r="BD376" s="1">
        <v>1123</v>
      </c>
      <c r="BE376" s="1" t="s">
        <v>1507</v>
      </c>
      <c r="BF376" s="1" t="s">
        <v>9747</v>
      </c>
      <c r="BG376" s="1" t="str">
        <f>HYPERLINK("http://dx.doi.org/10.1002/hep4.1533","http://dx.doi.org/10.1002/hep4.1533")</f>
        <v>http://dx.doi.org/10.1002/hep4.1533</v>
      </c>
      <c r="BH376" s="1" t="s">
        <v>1507</v>
      </c>
      <c r="BI376" s="1" t="s">
        <v>9748</v>
      </c>
      <c r="BJ376" s="1">
        <v>12</v>
      </c>
      <c r="BK376" s="1" t="s">
        <v>9749</v>
      </c>
      <c r="BL376" s="1" t="s">
        <v>1573</v>
      </c>
      <c r="BM376" s="1" t="s">
        <v>9749</v>
      </c>
      <c r="BN376" s="1" t="s">
        <v>9750</v>
      </c>
      <c r="BO376" s="1">
        <v>32766472</v>
      </c>
      <c r="BP376" s="1" t="s">
        <v>1674</v>
      </c>
      <c r="BQ376" s="1" t="s">
        <v>1507</v>
      </c>
      <c r="BR376" s="1" t="s">
        <v>1507</v>
      </c>
      <c r="BS376" s="1" t="s">
        <v>13744</v>
      </c>
      <c r="BT376" s="1" t="s">
        <v>9751</v>
      </c>
      <c r="BU376" s="1" t="str">
        <f>HYPERLINK("https%3A%2F%2Fwww.webofscience.com%2Fwos%2Fwoscc%2Ffull-record%2FWOS:000544302100001","View Full Record in Web of Science")</f>
        <v>View Full Record in Web of Science</v>
      </c>
    </row>
    <row r="377" spans="1:73" x14ac:dyDescent="0.25">
      <c r="A377" s="1">
        <v>418</v>
      </c>
      <c r="B377" s="1" t="s">
        <v>1506</v>
      </c>
      <c r="C377" s="1" t="s">
        <v>5010</v>
      </c>
      <c r="D377" s="1" t="s">
        <v>1507</v>
      </c>
      <c r="E377" s="1" t="s">
        <v>1507</v>
      </c>
      <c r="F377" s="1" t="s">
        <v>1507</v>
      </c>
      <c r="G377" s="1" t="s">
        <v>5011</v>
      </c>
      <c r="H377" s="1" t="s">
        <v>1507</v>
      </c>
      <c r="I377" s="1" t="s">
        <v>1507</v>
      </c>
      <c r="J377" s="1" t="s">
        <v>5012</v>
      </c>
      <c r="K377" s="1" t="s">
        <v>5013</v>
      </c>
      <c r="L377" s="1" t="s">
        <v>1507</v>
      </c>
      <c r="M377" s="1" t="s">
        <v>1507</v>
      </c>
      <c r="N377" s="1" t="s">
        <v>42</v>
      </c>
      <c r="O377" s="1" t="s">
        <v>56</v>
      </c>
      <c r="P377" s="1" t="s">
        <v>1507</v>
      </c>
      <c r="Q377" s="1" t="s">
        <v>1507</v>
      </c>
      <c r="R377" s="1" t="s">
        <v>1507</v>
      </c>
      <c r="S377" s="1" t="s">
        <v>1507</v>
      </c>
      <c r="T377" s="1" t="s">
        <v>1507</v>
      </c>
      <c r="U377" s="1" t="s">
        <v>5014</v>
      </c>
      <c r="V377" s="1" t="s">
        <v>1507</v>
      </c>
      <c r="W377" s="1" t="s">
        <v>5015</v>
      </c>
      <c r="X377" s="1" t="s">
        <v>5016</v>
      </c>
      <c r="Y377" s="1" t="s">
        <v>5017</v>
      </c>
      <c r="Z377" s="1" t="s">
        <v>5018</v>
      </c>
      <c r="AA377" s="1" t="s">
        <v>5019</v>
      </c>
      <c r="AB377" s="1" t="s">
        <v>1507</v>
      </c>
      <c r="AC377" s="1" t="s">
        <v>5020</v>
      </c>
      <c r="AD377" s="1" t="s">
        <v>5017</v>
      </c>
      <c r="AE377" s="1" t="s">
        <v>5017</v>
      </c>
      <c r="AF377" s="1" t="s">
        <v>5021</v>
      </c>
      <c r="AG377" s="1" t="s">
        <v>1507</v>
      </c>
      <c r="AH377" s="1">
        <v>20</v>
      </c>
      <c r="AI377" s="1">
        <v>0</v>
      </c>
      <c r="AJ377" s="1">
        <v>0</v>
      </c>
      <c r="AK377" s="1">
        <v>2</v>
      </c>
      <c r="AL377" s="1">
        <v>5</v>
      </c>
      <c r="AM377" s="1" t="s">
        <v>1610</v>
      </c>
      <c r="AN377" s="1" t="s">
        <v>1611</v>
      </c>
      <c r="AO377" s="1" t="s">
        <v>1612</v>
      </c>
      <c r="AP377" s="1" t="s">
        <v>1507</v>
      </c>
      <c r="AQ377" s="1" t="s">
        <v>5022</v>
      </c>
      <c r="AR377" s="1" t="s">
        <v>1507</v>
      </c>
      <c r="AS377" s="1" t="s">
        <v>5023</v>
      </c>
      <c r="AT377" s="1" t="s">
        <v>5024</v>
      </c>
      <c r="AU377" s="1" t="s">
        <v>5025</v>
      </c>
      <c r="AV377" s="1">
        <v>2023</v>
      </c>
      <c r="AW377" s="1">
        <v>13</v>
      </c>
      <c r="AX377" s="1">
        <v>9</v>
      </c>
      <c r="AY377" s="1" t="s">
        <v>1507</v>
      </c>
      <c r="AZ377" s="1" t="s">
        <v>1507</v>
      </c>
      <c r="BA377" s="1" t="s">
        <v>1507</v>
      </c>
      <c r="BB377" s="1" t="s">
        <v>1507</v>
      </c>
      <c r="BC377" s="1" t="s">
        <v>1507</v>
      </c>
      <c r="BD377" s="1" t="s">
        <v>1507</v>
      </c>
      <c r="BE377" s="1">
        <v>5771</v>
      </c>
      <c r="BF377" s="1" t="s">
        <v>5026</v>
      </c>
      <c r="BG377" s="1" t="str">
        <f>HYPERLINK("http://dx.doi.org/10.3390/app13095771","http://dx.doi.org/10.3390/app13095771")</f>
        <v>http://dx.doi.org/10.3390/app13095771</v>
      </c>
      <c r="BH377" s="1" t="s">
        <v>1507</v>
      </c>
      <c r="BI377" s="1" t="s">
        <v>1507</v>
      </c>
      <c r="BJ377" s="1">
        <v>11</v>
      </c>
      <c r="BK377" s="1" t="s">
        <v>5027</v>
      </c>
      <c r="BL377" s="1" t="s">
        <v>1573</v>
      </c>
      <c r="BM377" s="1" t="s">
        <v>5028</v>
      </c>
      <c r="BN377" s="1" t="s">
        <v>5029</v>
      </c>
      <c r="BO377" s="1" t="s">
        <v>1507</v>
      </c>
      <c r="BP377" s="1" t="s">
        <v>1531</v>
      </c>
      <c r="BQ377" s="1" t="s">
        <v>1507</v>
      </c>
      <c r="BR377" s="1" t="s">
        <v>1507</v>
      </c>
      <c r="BS377" s="1" t="s">
        <v>13744</v>
      </c>
      <c r="BT377" s="1" t="s">
        <v>5030</v>
      </c>
      <c r="BU377" s="1" t="str">
        <f>HYPERLINK("https%3A%2F%2Fwww.webofscience.com%2Fwos%2Fwoscc%2Ffull-record%2FWOS:000986943100001","View Full Record in Web of Science")</f>
        <v>View Full Record in Web of Science</v>
      </c>
    </row>
    <row r="378" spans="1:73" x14ac:dyDescent="0.25">
      <c r="A378" s="1">
        <v>419</v>
      </c>
      <c r="B378" s="1" t="s">
        <v>1506</v>
      </c>
      <c r="C378" s="1" t="s">
        <v>12049</v>
      </c>
      <c r="D378" s="1" t="s">
        <v>1507</v>
      </c>
      <c r="E378" s="1" t="s">
        <v>1507</v>
      </c>
      <c r="F378" s="1" t="s">
        <v>1507</v>
      </c>
      <c r="G378" s="1" t="s">
        <v>12050</v>
      </c>
      <c r="H378" s="1" t="s">
        <v>1507</v>
      </c>
      <c r="I378" s="1" t="s">
        <v>1507</v>
      </c>
      <c r="J378" s="1" t="s">
        <v>12051</v>
      </c>
      <c r="K378" s="1" t="s">
        <v>11888</v>
      </c>
      <c r="L378" s="1" t="s">
        <v>1507</v>
      </c>
      <c r="M378" s="1" t="s">
        <v>1507</v>
      </c>
      <c r="N378" s="1" t="s">
        <v>42</v>
      </c>
      <c r="O378" s="1" t="s">
        <v>56</v>
      </c>
      <c r="P378" s="1" t="s">
        <v>1507</v>
      </c>
      <c r="Q378" s="1" t="s">
        <v>1507</v>
      </c>
      <c r="R378" s="1" t="s">
        <v>1507</v>
      </c>
      <c r="S378" s="1" t="s">
        <v>1507</v>
      </c>
      <c r="T378" s="1" t="s">
        <v>1507</v>
      </c>
      <c r="U378" s="1" t="s">
        <v>1507</v>
      </c>
      <c r="V378" s="1" t="s">
        <v>1507</v>
      </c>
      <c r="W378" s="1" t="s">
        <v>12052</v>
      </c>
      <c r="X378" s="1" t="s">
        <v>12053</v>
      </c>
      <c r="Y378" s="1" t="s">
        <v>8259</v>
      </c>
      <c r="Z378" s="1" t="s">
        <v>12054</v>
      </c>
      <c r="AA378" s="1" t="s">
        <v>1507</v>
      </c>
      <c r="AB378" s="1" t="s">
        <v>1507</v>
      </c>
      <c r="AC378" s="1" t="s">
        <v>1507</v>
      </c>
      <c r="AD378" s="1" t="s">
        <v>1507</v>
      </c>
      <c r="AE378" s="1" t="s">
        <v>1507</v>
      </c>
      <c r="AF378" s="1" t="s">
        <v>1507</v>
      </c>
      <c r="AG378" s="1" t="s">
        <v>1507</v>
      </c>
      <c r="AH378" s="1">
        <v>107</v>
      </c>
      <c r="AI378" s="1">
        <v>1</v>
      </c>
      <c r="AJ378" s="1">
        <v>1</v>
      </c>
      <c r="AK378" s="1">
        <v>1</v>
      </c>
      <c r="AL378" s="1">
        <v>3</v>
      </c>
      <c r="AM378" s="1" t="s">
        <v>11895</v>
      </c>
      <c r="AN378" s="1" t="s">
        <v>1746</v>
      </c>
      <c r="AO378" s="1" t="s">
        <v>11896</v>
      </c>
      <c r="AP378" s="1" t="s">
        <v>11897</v>
      </c>
      <c r="AQ378" s="1" t="s">
        <v>1507</v>
      </c>
      <c r="AR378" s="1" t="s">
        <v>1507</v>
      </c>
      <c r="AS378" s="1" t="s">
        <v>11898</v>
      </c>
      <c r="AT378" s="1" t="s">
        <v>11899</v>
      </c>
      <c r="AU378" s="1" t="s">
        <v>1507</v>
      </c>
      <c r="AV378" s="1">
        <v>2018</v>
      </c>
      <c r="AW378" s="1">
        <v>39</v>
      </c>
      <c r="AX378" s="1">
        <v>3</v>
      </c>
      <c r="AY378" s="1" t="s">
        <v>1507</v>
      </c>
      <c r="AZ378" s="1" t="s">
        <v>1507</v>
      </c>
      <c r="BA378" s="1" t="s">
        <v>1507</v>
      </c>
      <c r="BB378" s="1" t="s">
        <v>1507</v>
      </c>
      <c r="BC378" s="1">
        <v>825</v>
      </c>
      <c r="BD378" s="1">
        <v>887</v>
      </c>
      <c r="BE378" s="1" t="s">
        <v>1507</v>
      </c>
      <c r="BF378" s="1" t="s">
        <v>1507</v>
      </c>
      <c r="BG378" s="1" t="s">
        <v>1507</v>
      </c>
      <c r="BH378" s="1" t="s">
        <v>1507</v>
      </c>
      <c r="BI378" s="1" t="s">
        <v>1507</v>
      </c>
      <c r="BJ378" s="1">
        <v>63</v>
      </c>
      <c r="BK378" s="1" t="s">
        <v>1535</v>
      </c>
      <c r="BL378" s="1" t="s">
        <v>1518</v>
      </c>
      <c r="BM378" s="1" t="s">
        <v>1536</v>
      </c>
      <c r="BN378" s="1" t="s">
        <v>11900</v>
      </c>
      <c r="BO378" s="1" t="s">
        <v>1507</v>
      </c>
      <c r="BP378" s="1" t="s">
        <v>1507</v>
      </c>
      <c r="BQ378" s="1" t="s">
        <v>1507</v>
      </c>
      <c r="BR378" s="1" t="s">
        <v>1507</v>
      </c>
      <c r="BS378" s="1" t="s">
        <v>13744</v>
      </c>
      <c r="BT378" s="1" t="s">
        <v>12055</v>
      </c>
      <c r="BU378" s="1" t="str">
        <f>HYPERLINK("https%3A%2F%2Fwww.webofscience.com%2Fwos%2Fwoscc%2Ffull-record%2FWOS:000442155800005","View Full Record in Web of Science")</f>
        <v>View Full Record in Web of Science</v>
      </c>
    </row>
    <row r="379" spans="1:73" x14ac:dyDescent="0.25">
      <c r="A379" s="1">
        <v>420</v>
      </c>
      <c r="B379" s="1" t="s">
        <v>1506</v>
      </c>
      <c r="C379" s="1" t="s">
        <v>3614</v>
      </c>
      <c r="D379" s="1" t="s">
        <v>1507</v>
      </c>
      <c r="E379" s="1" t="s">
        <v>1507</v>
      </c>
      <c r="F379" s="1" t="s">
        <v>1507</v>
      </c>
      <c r="G379" s="1" t="s">
        <v>3615</v>
      </c>
      <c r="H379" s="1" t="s">
        <v>1507</v>
      </c>
      <c r="I379" s="1" t="s">
        <v>1507</v>
      </c>
      <c r="J379" s="1" t="s">
        <v>3616</v>
      </c>
      <c r="K379" s="1" t="s">
        <v>1617</v>
      </c>
      <c r="L379" s="1" t="s">
        <v>1507</v>
      </c>
      <c r="M379" s="1" t="s">
        <v>1507</v>
      </c>
      <c r="N379" s="1" t="s">
        <v>42</v>
      </c>
      <c r="O379" s="1" t="s">
        <v>56</v>
      </c>
      <c r="P379" s="1" t="s">
        <v>1507</v>
      </c>
      <c r="Q379" s="1" t="s">
        <v>1507</v>
      </c>
      <c r="R379" s="1" t="s">
        <v>1507</v>
      </c>
      <c r="S379" s="1" t="s">
        <v>1507</v>
      </c>
      <c r="T379" s="1" t="s">
        <v>1507</v>
      </c>
      <c r="U379" s="1" t="s">
        <v>3617</v>
      </c>
      <c r="V379" s="1" t="s">
        <v>3618</v>
      </c>
      <c r="W379" s="1" t="s">
        <v>3619</v>
      </c>
      <c r="X379" s="1" t="s">
        <v>3620</v>
      </c>
      <c r="Y379" s="1" t="s">
        <v>3621</v>
      </c>
      <c r="Z379" s="1" t="s">
        <v>3622</v>
      </c>
      <c r="AA379" s="1" t="s">
        <v>3623</v>
      </c>
      <c r="AB379" s="1" t="s">
        <v>14428</v>
      </c>
      <c r="AC379" s="1" t="s">
        <v>14429</v>
      </c>
      <c r="AD379" s="1" t="s">
        <v>3624</v>
      </c>
      <c r="AE379" s="1" t="s">
        <v>3625</v>
      </c>
      <c r="AF379" s="1" t="s">
        <v>3626</v>
      </c>
      <c r="AG379" s="1" t="s">
        <v>1507</v>
      </c>
      <c r="AH379" s="1">
        <v>38</v>
      </c>
      <c r="AI379" s="1">
        <v>0</v>
      </c>
      <c r="AJ379" s="1">
        <v>0</v>
      </c>
      <c r="AK379" s="1">
        <v>1</v>
      </c>
      <c r="AL379" s="1">
        <v>1</v>
      </c>
      <c r="AM379" s="1" t="s">
        <v>1610</v>
      </c>
      <c r="AN379" s="1" t="s">
        <v>1611</v>
      </c>
      <c r="AO379" s="1" t="s">
        <v>1612</v>
      </c>
      <c r="AP379" s="1" t="s">
        <v>1507</v>
      </c>
      <c r="AQ379" s="1" t="s">
        <v>1620</v>
      </c>
      <c r="AR379" s="1" t="s">
        <v>1507</v>
      </c>
      <c r="AS379" s="1" t="s">
        <v>1621</v>
      </c>
      <c r="AT379" s="1" t="s">
        <v>1622</v>
      </c>
      <c r="AU379" s="1" t="s">
        <v>2889</v>
      </c>
      <c r="AV379" s="1">
        <v>2023</v>
      </c>
      <c r="AW379" s="1">
        <v>12</v>
      </c>
      <c r="AX379" s="1">
        <v>19</v>
      </c>
      <c r="AY379" s="1" t="s">
        <v>1507</v>
      </c>
      <c r="AZ379" s="1" t="s">
        <v>1507</v>
      </c>
      <c r="BA379" s="1" t="s">
        <v>1507</v>
      </c>
      <c r="BB379" s="1" t="s">
        <v>1507</v>
      </c>
      <c r="BC379" s="1" t="s">
        <v>1507</v>
      </c>
      <c r="BD379" s="1" t="s">
        <v>1507</v>
      </c>
      <c r="BE379" s="1">
        <v>3996</v>
      </c>
      <c r="BF379" s="1" t="s">
        <v>3627</v>
      </c>
      <c r="BG379" s="1" t="str">
        <f>HYPERLINK("http://dx.doi.org/10.3390/electronics12193996","http://dx.doi.org/10.3390/electronics12193996")</f>
        <v>http://dx.doi.org/10.3390/electronics12193996</v>
      </c>
      <c r="BH379" s="1" t="s">
        <v>1507</v>
      </c>
      <c r="BI379" s="1" t="s">
        <v>1507</v>
      </c>
      <c r="BJ379" s="1">
        <v>16</v>
      </c>
      <c r="BK379" s="1" t="s">
        <v>1623</v>
      </c>
      <c r="BL379" s="1" t="s">
        <v>1573</v>
      </c>
      <c r="BM379" s="1" t="s">
        <v>1624</v>
      </c>
      <c r="BN379" s="1" t="s">
        <v>3628</v>
      </c>
      <c r="BO379" s="1" t="s">
        <v>1507</v>
      </c>
      <c r="BP379" s="1" t="s">
        <v>1531</v>
      </c>
      <c r="BQ379" s="1" t="s">
        <v>1507</v>
      </c>
      <c r="BR379" s="1" t="s">
        <v>1507</v>
      </c>
      <c r="BS379" s="1" t="s">
        <v>13744</v>
      </c>
      <c r="BT379" s="1" t="s">
        <v>3629</v>
      </c>
      <c r="BU379" s="1" t="str">
        <f>HYPERLINK("https%3A%2F%2Fwww.webofscience.com%2Fwos%2Fwoscc%2Ffull-record%2FWOS:001086772600001","View Full Record in Web of Science")</f>
        <v>View Full Record in Web of Science</v>
      </c>
    </row>
    <row r="380" spans="1:73" x14ac:dyDescent="0.25">
      <c r="A380" s="1">
        <v>421</v>
      </c>
      <c r="B380" s="1" t="s">
        <v>1506</v>
      </c>
      <c r="C380" s="1" t="s">
        <v>10929</v>
      </c>
      <c r="D380" s="1" t="s">
        <v>1507</v>
      </c>
      <c r="E380" s="1" t="s">
        <v>1507</v>
      </c>
      <c r="F380" s="1" t="s">
        <v>1507</v>
      </c>
      <c r="G380" s="1" t="s">
        <v>10930</v>
      </c>
      <c r="H380" s="1" t="s">
        <v>1507</v>
      </c>
      <c r="I380" s="1" t="s">
        <v>1507</v>
      </c>
      <c r="J380" s="1" t="s">
        <v>10931</v>
      </c>
      <c r="K380" s="1" t="s">
        <v>2502</v>
      </c>
      <c r="L380" s="1" t="s">
        <v>1507</v>
      </c>
      <c r="M380" s="1" t="s">
        <v>1507</v>
      </c>
      <c r="N380" s="1" t="s">
        <v>42</v>
      </c>
      <c r="O380" s="1" t="s">
        <v>56</v>
      </c>
      <c r="P380" s="1" t="s">
        <v>1507</v>
      </c>
      <c r="Q380" s="1" t="s">
        <v>1507</v>
      </c>
      <c r="R380" s="1" t="s">
        <v>1507</v>
      </c>
      <c r="S380" s="1" t="s">
        <v>1507</v>
      </c>
      <c r="T380" s="1" t="s">
        <v>1507</v>
      </c>
      <c r="U380" s="1" t="s">
        <v>10932</v>
      </c>
      <c r="V380" s="1" t="s">
        <v>10933</v>
      </c>
      <c r="W380" s="1" t="s">
        <v>10934</v>
      </c>
      <c r="X380" s="1" t="s">
        <v>10935</v>
      </c>
      <c r="Y380" s="1" t="s">
        <v>10936</v>
      </c>
      <c r="Z380" s="1" t="s">
        <v>10937</v>
      </c>
      <c r="AA380" s="1" t="s">
        <v>10938</v>
      </c>
      <c r="AB380" s="1" t="s">
        <v>15927</v>
      </c>
      <c r="AC380" s="1" t="s">
        <v>15928</v>
      </c>
      <c r="AD380" s="1" t="s">
        <v>10939</v>
      </c>
      <c r="AE380" s="1" t="s">
        <v>10939</v>
      </c>
      <c r="AF380" s="1" t="s">
        <v>10940</v>
      </c>
      <c r="AG380" s="1" t="s">
        <v>1507</v>
      </c>
      <c r="AH380" s="1">
        <v>20</v>
      </c>
      <c r="AI380" s="1">
        <v>18</v>
      </c>
      <c r="AJ380" s="1">
        <v>18</v>
      </c>
      <c r="AK380" s="1">
        <v>0</v>
      </c>
      <c r="AL380" s="1">
        <v>13</v>
      </c>
      <c r="AM380" s="1" t="s">
        <v>1725</v>
      </c>
      <c r="AN380" s="1" t="s">
        <v>1551</v>
      </c>
      <c r="AO380" s="1" t="s">
        <v>1726</v>
      </c>
      <c r="AP380" s="1" t="s">
        <v>2511</v>
      </c>
      <c r="AQ380" s="1" t="s">
        <v>1507</v>
      </c>
      <c r="AR380" s="1" t="s">
        <v>1507</v>
      </c>
      <c r="AS380" s="1" t="s">
        <v>2512</v>
      </c>
      <c r="AT380" s="1" t="s">
        <v>2513</v>
      </c>
      <c r="AU380" s="1" t="s">
        <v>10941</v>
      </c>
      <c r="AV380" s="1">
        <v>2019</v>
      </c>
      <c r="AW380" s="1">
        <v>19</v>
      </c>
      <c r="AX380" s="1" t="s">
        <v>1507</v>
      </c>
      <c r="AY380" s="1" t="s">
        <v>1507</v>
      </c>
      <c r="AZ380" s="1" t="s">
        <v>1507</v>
      </c>
      <c r="BA380" s="1" t="s">
        <v>1507</v>
      </c>
      <c r="BB380" s="1" t="s">
        <v>1507</v>
      </c>
      <c r="BC380" s="1" t="s">
        <v>1507</v>
      </c>
      <c r="BD380" s="1" t="s">
        <v>1507</v>
      </c>
      <c r="BE380" s="1">
        <v>193</v>
      </c>
      <c r="BF380" s="1" t="s">
        <v>10942</v>
      </c>
      <c r="BG380" s="1" t="str">
        <f>HYPERLINK("http://dx.doi.org/10.1186/s12909-019-1621-z","http://dx.doi.org/10.1186/s12909-019-1621-z")</f>
        <v>http://dx.doi.org/10.1186/s12909-019-1621-z</v>
      </c>
      <c r="BH380" s="1" t="s">
        <v>1507</v>
      </c>
      <c r="BI380" s="1" t="s">
        <v>1507</v>
      </c>
      <c r="BJ380" s="1">
        <v>5</v>
      </c>
      <c r="BK380" s="1" t="s">
        <v>2516</v>
      </c>
      <c r="BL380" s="1" t="s">
        <v>1598</v>
      </c>
      <c r="BM380" s="1" t="s">
        <v>1558</v>
      </c>
      <c r="BN380" s="1" t="s">
        <v>10943</v>
      </c>
      <c r="BO380" s="1">
        <v>31185960</v>
      </c>
      <c r="BP380" s="1" t="s">
        <v>1674</v>
      </c>
      <c r="BQ380" s="1" t="s">
        <v>1507</v>
      </c>
      <c r="BR380" s="1" t="s">
        <v>1507</v>
      </c>
      <c r="BS380" s="1" t="s">
        <v>13744</v>
      </c>
      <c r="BT380" s="1" t="s">
        <v>10944</v>
      </c>
      <c r="BU380" s="1" t="str">
        <f>HYPERLINK("https%3A%2F%2Fwww.webofscience.com%2Fwos%2Fwoscc%2Ffull-record%2FWOS:000471329000006","View Full Record in Web of Science")</f>
        <v>View Full Record in Web of Science</v>
      </c>
    </row>
    <row r="381" spans="1:73" x14ac:dyDescent="0.25">
      <c r="A381" s="1">
        <v>422</v>
      </c>
      <c r="B381" s="1" t="s">
        <v>1506</v>
      </c>
      <c r="C381" s="1" t="s">
        <v>3472</v>
      </c>
      <c r="D381" s="1" t="s">
        <v>1507</v>
      </c>
      <c r="E381" s="1" t="s">
        <v>1507</v>
      </c>
      <c r="F381" s="1" t="s">
        <v>1507</v>
      </c>
      <c r="G381" s="1" t="s">
        <v>3473</v>
      </c>
      <c r="H381" s="1" t="s">
        <v>1507</v>
      </c>
      <c r="I381" s="1" t="s">
        <v>1507</v>
      </c>
      <c r="J381" s="1" t="s">
        <v>3474</v>
      </c>
      <c r="K381" s="1" t="s">
        <v>3475</v>
      </c>
      <c r="L381" s="1" t="s">
        <v>1507</v>
      </c>
      <c r="M381" s="1" t="s">
        <v>1507</v>
      </c>
      <c r="N381" s="1" t="s">
        <v>42</v>
      </c>
      <c r="O381" s="1" t="s">
        <v>56</v>
      </c>
      <c r="P381" s="1" t="s">
        <v>1507</v>
      </c>
      <c r="Q381" s="1" t="s">
        <v>1507</v>
      </c>
      <c r="R381" s="1" t="s">
        <v>1507</v>
      </c>
      <c r="S381" s="1" t="s">
        <v>1507</v>
      </c>
      <c r="T381" s="1" t="s">
        <v>1507</v>
      </c>
      <c r="U381" s="1" t="s">
        <v>1507</v>
      </c>
      <c r="V381" s="1" t="s">
        <v>3476</v>
      </c>
      <c r="W381" s="1" t="s">
        <v>3477</v>
      </c>
      <c r="X381" s="1" t="s">
        <v>3478</v>
      </c>
      <c r="Y381" s="1" t="s">
        <v>3479</v>
      </c>
      <c r="Z381" s="1" t="s">
        <v>3480</v>
      </c>
      <c r="AA381" s="1" t="s">
        <v>3481</v>
      </c>
      <c r="AB381" s="1" t="s">
        <v>1507</v>
      </c>
      <c r="AC381" s="1" t="s">
        <v>14346</v>
      </c>
      <c r="AD381" s="1" t="s">
        <v>3482</v>
      </c>
      <c r="AE381" s="1" t="s">
        <v>3482</v>
      </c>
      <c r="AF381" s="1" t="s">
        <v>3483</v>
      </c>
      <c r="AG381" s="1" t="s">
        <v>1507</v>
      </c>
      <c r="AH381" s="1">
        <v>95</v>
      </c>
      <c r="AI381" s="1">
        <v>1</v>
      </c>
      <c r="AJ381" s="1">
        <v>1</v>
      </c>
      <c r="AK381" s="1">
        <v>86</v>
      </c>
      <c r="AL381" s="1">
        <v>86</v>
      </c>
      <c r="AM381" s="1" t="s">
        <v>1591</v>
      </c>
      <c r="AN381" s="1" t="s">
        <v>1592</v>
      </c>
      <c r="AO381" s="1" t="s">
        <v>1593</v>
      </c>
      <c r="AP381" s="1" t="s">
        <v>1507</v>
      </c>
      <c r="AQ381" s="1" t="s">
        <v>3484</v>
      </c>
      <c r="AR381" s="1" t="s">
        <v>1507</v>
      </c>
      <c r="AS381" s="1" t="s">
        <v>3485</v>
      </c>
      <c r="AT381" s="1" t="s">
        <v>3486</v>
      </c>
      <c r="AU381" s="1" t="s">
        <v>2889</v>
      </c>
      <c r="AV381" s="1">
        <v>2023</v>
      </c>
      <c r="AW381" s="1">
        <v>5</v>
      </c>
      <c r="AX381" s="1">
        <v>10</v>
      </c>
      <c r="AY381" s="1" t="s">
        <v>1507</v>
      </c>
      <c r="AZ381" s="1" t="s">
        <v>1507</v>
      </c>
      <c r="BA381" s="1" t="s">
        <v>1507</v>
      </c>
      <c r="BB381" s="1" t="s">
        <v>1507</v>
      </c>
      <c r="BC381" s="1">
        <v>1076</v>
      </c>
      <c r="BD381" s="1">
        <v>1086</v>
      </c>
      <c r="BE381" s="1" t="s">
        <v>1507</v>
      </c>
      <c r="BF381" s="1" t="s">
        <v>3487</v>
      </c>
      <c r="BG381" s="1" t="str">
        <f>HYPERLINK("http://dx.doi.org/10.1038/s42256-023-00720-7","http://dx.doi.org/10.1038/s42256-023-00720-7")</f>
        <v>http://dx.doi.org/10.1038/s42256-023-00720-7</v>
      </c>
      <c r="BH381" s="1" t="s">
        <v>1507</v>
      </c>
      <c r="BI381" s="1" t="s">
        <v>2891</v>
      </c>
      <c r="BJ381" s="1">
        <v>11</v>
      </c>
      <c r="BK381" s="1" t="s">
        <v>3488</v>
      </c>
      <c r="BL381" s="1" t="s">
        <v>1573</v>
      </c>
      <c r="BM381" s="1" t="s">
        <v>1577</v>
      </c>
      <c r="BN381" s="1" t="s">
        <v>3489</v>
      </c>
      <c r="BO381" s="1" t="s">
        <v>1507</v>
      </c>
      <c r="BP381" s="1" t="s">
        <v>1507</v>
      </c>
      <c r="BQ381" s="1" t="s">
        <v>1507</v>
      </c>
      <c r="BR381" s="1" t="s">
        <v>1507</v>
      </c>
      <c r="BS381" s="1" t="s">
        <v>13744</v>
      </c>
      <c r="BT381" s="1" t="s">
        <v>3490</v>
      </c>
      <c r="BU381" s="1" t="str">
        <f>HYPERLINK("https%3A%2F%2Fwww.webofscience.com%2Fwos%2Fwoscc%2Ffull-record%2FWOS:001073673100001","View Full Record in Web of Science")</f>
        <v>View Full Record in Web of Science</v>
      </c>
    </row>
    <row r="382" spans="1:73" x14ac:dyDescent="0.25">
      <c r="A382" s="1">
        <v>423</v>
      </c>
      <c r="B382" s="1" t="s">
        <v>1506</v>
      </c>
      <c r="C382" s="1" t="s">
        <v>10151</v>
      </c>
      <c r="D382" s="1" t="s">
        <v>1507</v>
      </c>
      <c r="E382" s="1" t="s">
        <v>1507</v>
      </c>
      <c r="F382" s="1" t="s">
        <v>1507</v>
      </c>
      <c r="G382" s="1" t="s">
        <v>10152</v>
      </c>
      <c r="H382" s="1" t="s">
        <v>1507</v>
      </c>
      <c r="I382" s="1" t="s">
        <v>1507</v>
      </c>
      <c r="J382" s="1" t="s">
        <v>10153</v>
      </c>
      <c r="K382" s="1" t="s">
        <v>9087</v>
      </c>
      <c r="L382" s="1" t="s">
        <v>1507</v>
      </c>
      <c r="M382" s="1" t="s">
        <v>1507</v>
      </c>
      <c r="N382" s="1" t="s">
        <v>42</v>
      </c>
      <c r="O382" s="1" t="s">
        <v>56</v>
      </c>
      <c r="P382" s="1" t="s">
        <v>1507</v>
      </c>
      <c r="Q382" s="1" t="s">
        <v>1507</v>
      </c>
      <c r="R382" s="1" t="s">
        <v>1507</v>
      </c>
      <c r="S382" s="1" t="s">
        <v>1507</v>
      </c>
      <c r="T382" s="1" t="s">
        <v>1507</v>
      </c>
      <c r="U382" s="1" t="s">
        <v>10154</v>
      </c>
      <c r="V382" s="1" t="s">
        <v>10155</v>
      </c>
      <c r="W382" s="1" t="s">
        <v>10156</v>
      </c>
      <c r="X382" s="1" t="s">
        <v>10157</v>
      </c>
      <c r="Y382" s="1" t="s">
        <v>10158</v>
      </c>
      <c r="Z382" s="1" t="s">
        <v>10159</v>
      </c>
      <c r="AA382" s="1" t="s">
        <v>10160</v>
      </c>
      <c r="AB382" s="1" t="s">
        <v>15830</v>
      </c>
      <c r="AC382" s="1" t="s">
        <v>15831</v>
      </c>
      <c r="AD382" s="1" t="s">
        <v>9204</v>
      </c>
      <c r="AE382" s="1" t="s">
        <v>9205</v>
      </c>
      <c r="AF382" s="1" t="s">
        <v>9206</v>
      </c>
      <c r="AG382" s="1" t="s">
        <v>1507</v>
      </c>
      <c r="AH382" s="1">
        <v>67</v>
      </c>
      <c r="AI382" s="1">
        <v>43</v>
      </c>
      <c r="AJ382" s="1">
        <v>49</v>
      </c>
      <c r="AK382" s="1">
        <v>0</v>
      </c>
      <c r="AL382" s="1">
        <v>4</v>
      </c>
      <c r="AM382" s="1" t="s">
        <v>1610</v>
      </c>
      <c r="AN382" s="1" t="s">
        <v>1611</v>
      </c>
      <c r="AO382" s="1" t="s">
        <v>1612</v>
      </c>
      <c r="AP382" s="1" t="s">
        <v>1507</v>
      </c>
      <c r="AQ382" s="1" t="s">
        <v>9100</v>
      </c>
      <c r="AR382" s="1" t="s">
        <v>1507</v>
      </c>
      <c r="AS382" s="1" t="s">
        <v>9101</v>
      </c>
      <c r="AT382" s="1" t="s">
        <v>9102</v>
      </c>
      <c r="AU382" s="1" t="s">
        <v>9054</v>
      </c>
      <c r="AV382" s="1">
        <v>2020</v>
      </c>
      <c r="AW382" s="1">
        <v>21</v>
      </c>
      <c r="AX382" s="1">
        <v>3</v>
      </c>
      <c r="AY382" s="1" t="s">
        <v>1507</v>
      </c>
      <c r="AZ382" s="1" t="s">
        <v>1507</v>
      </c>
      <c r="BA382" s="1" t="s">
        <v>1507</v>
      </c>
      <c r="BB382" s="1" t="s">
        <v>1507</v>
      </c>
      <c r="BC382" s="1" t="s">
        <v>1507</v>
      </c>
      <c r="BD382" s="1" t="s">
        <v>1507</v>
      </c>
      <c r="BE382" s="1">
        <v>977</v>
      </c>
      <c r="BF382" s="1" t="s">
        <v>10161</v>
      </c>
      <c r="BG382" s="1" t="str">
        <f>HYPERLINK("http://dx.doi.org/10.3390/ijms21030977","http://dx.doi.org/10.3390/ijms21030977")</f>
        <v>http://dx.doi.org/10.3390/ijms21030977</v>
      </c>
      <c r="BH382" s="1" t="s">
        <v>1507</v>
      </c>
      <c r="BI382" s="1" t="s">
        <v>1507</v>
      </c>
      <c r="BJ382" s="1">
        <v>18</v>
      </c>
      <c r="BK382" s="1" t="s">
        <v>8127</v>
      </c>
      <c r="BL382" s="1" t="s">
        <v>1573</v>
      </c>
      <c r="BM382" s="1" t="s">
        <v>8128</v>
      </c>
      <c r="BN382" s="1" t="s">
        <v>10162</v>
      </c>
      <c r="BO382" s="1">
        <v>32024151</v>
      </c>
      <c r="BP382" s="1" t="s">
        <v>1952</v>
      </c>
      <c r="BQ382" s="1" t="s">
        <v>1507</v>
      </c>
      <c r="BR382" s="1" t="s">
        <v>1507</v>
      </c>
      <c r="BS382" s="1" t="s">
        <v>13744</v>
      </c>
      <c r="BT382" s="1" t="s">
        <v>10163</v>
      </c>
      <c r="BU382" s="1" t="str">
        <f>HYPERLINK("https%3A%2F%2Fwww.webofscience.com%2Fwos%2Fwoscc%2Ffull-record%2FWOS:000522551605016","View Full Record in Web of Science")</f>
        <v>View Full Record in Web of Science</v>
      </c>
    </row>
    <row r="383" spans="1:73" x14ac:dyDescent="0.25">
      <c r="A383" s="1">
        <v>424</v>
      </c>
      <c r="B383" s="1" t="s">
        <v>1506</v>
      </c>
      <c r="C383" s="1" t="s">
        <v>9679</v>
      </c>
      <c r="D383" s="1" t="s">
        <v>1507</v>
      </c>
      <c r="E383" s="1" t="s">
        <v>1507</v>
      </c>
      <c r="F383" s="1" t="s">
        <v>1507</v>
      </c>
      <c r="G383" s="1" t="s">
        <v>9680</v>
      </c>
      <c r="H383" s="1" t="s">
        <v>1507</v>
      </c>
      <c r="I383" s="1" t="s">
        <v>1507</v>
      </c>
      <c r="J383" s="1" t="s">
        <v>9681</v>
      </c>
      <c r="K383" s="1" t="s">
        <v>9682</v>
      </c>
      <c r="L383" s="1" t="s">
        <v>1507</v>
      </c>
      <c r="M383" s="1" t="s">
        <v>1507</v>
      </c>
      <c r="N383" s="1" t="s">
        <v>42</v>
      </c>
      <c r="O383" s="1" t="s">
        <v>56</v>
      </c>
      <c r="P383" s="1" t="s">
        <v>1507</v>
      </c>
      <c r="Q383" s="1" t="s">
        <v>1507</v>
      </c>
      <c r="R383" s="1" t="s">
        <v>1507</v>
      </c>
      <c r="S383" s="1" t="s">
        <v>1507</v>
      </c>
      <c r="T383" s="1" t="s">
        <v>1507</v>
      </c>
      <c r="U383" s="1" t="s">
        <v>1507</v>
      </c>
      <c r="V383" s="1" t="s">
        <v>1507</v>
      </c>
      <c r="W383" s="1" t="s">
        <v>9683</v>
      </c>
      <c r="X383" s="1" t="s">
        <v>9684</v>
      </c>
      <c r="Y383" s="1" t="s">
        <v>1507</v>
      </c>
      <c r="Z383" s="1" t="s">
        <v>9685</v>
      </c>
      <c r="AA383" s="1" t="s">
        <v>1507</v>
      </c>
      <c r="AB383" s="1" t="s">
        <v>1507</v>
      </c>
      <c r="AC383" s="1" t="s">
        <v>1507</v>
      </c>
      <c r="AD383" s="1" t="s">
        <v>9686</v>
      </c>
      <c r="AE383" s="1" t="s">
        <v>9686</v>
      </c>
      <c r="AF383" s="1" t="s">
        <v>9687</v>
      </c>
      <c r="AG383" s="1" t="s">
        <v>1507</v>
      </c>
      <c r="AH383" s="1">
        <v>17</v>
      </c>
      <c r="AI383" s="1">
        <v>0</v>
      </c>
      <c r="AJ383" s="1">
        <v>0</v>
      </c>
      <c r="AK383" s="1">
        <v>1</v>
      </c>
      <c r="AL383" s="1">
        <v>1</v>
      </c>
      <c r="AM383" s="1" t="s">
        <v>1582</v>
      </c>
      <c r="AN383" s="1" t="s">
        <v>1583</v>
      </c>
      <c r="AO383" s="1" t="s">
        <v>1584</v>
      </c>
      <c r="AP383" s="1" t="s">
        <v>9688</v>
      </c>
      <c r="AQ383" s="1" t="s">
        <v>9689</v>
      </c>
      <c r="AR383" s="1" t="s">
        <v>1507</v>
      </c>
      <c r="AS383" s="1" t="s">
        <v>9690</v>
      </c>
      <c r="AT383" s="1" t="s">
        <v>9691</v>
      </c>
      <c r="AU383" s="1" t="s">
        <v>4336</v>
      </c>
      <c r="AV383" s="1">
        <v>2020</v>
      </c>
      <c r="AW383" s="1">
        <v>13</v>
      </c>
      <c r="AX383" s="1">
        <v>4</v>
      </c>
      <c r="AY383" s="1" t="s">
        <v>1507</v>
      </c>
      <c r="AZ383" s="1" t="s">
        <v>1507</v>
      </c>
      <c r="BA383" s="1" t="s">
        <v>1507</v>
      </c>
      <c r="BB383" s="1" t="s">
        <v>1507</v>
      </c>
      <c r="BC383" s="1">
        <v>312</v>
      </c>
      <c r="BD383" s="1">
        <v>330</v>
      </c>
      <c r="BE383" s="1" t="s">
        <v>1507</v>
      </c>
      <c r="BF383" s="1" t="s">
        <v>9692</v>
      </c>
      <c r="BG383" s="1" t="str">
        <f>HYPERLINK("http://dx.doi.org/10.1093/jwelb/jwaa027","http://dx.doi.org/10.1093/jwelb/jwaa027")</f>
        <v>http://dx.doi.org/10.1093/jwelb/jwaa027</v>
      </c>
      <c r="BH383" s="1" t="s">
        <v>1507</v>
      </c>
      <c r="BI383" s="1" t="s">
        <v>1507</v>
      </c>
      <c r="BJ383" s="1">
        <v>19</v>
      </c>
      <c r="BK383" s="1" t="s">
        <v>9693</v>
      </c>
      <c r="BL383" s="1" t="s">
        <v>1518</v>
      </c>
      <c r="BM383" s="1" t="s">
        <v>8855</v>
      </c>
      <c r="BN383" s="1" t="s">
        <v>9694</v>
      </c>
      <c r="BO383" s="1" t="s">
        <v>1507</v>
      </c>
      <c r="BP383" s="1" t="s">
        <v>1507</v>
      </c>
      <c r="BQ383" s="1" t="s">
        <v>1507</v>
      </c>
      <c r="BR383" s="1" t="s">
        <v>1507</v>
      </c>
      <c r="BS383" s="1" t="s">
        <v>13744</v>
      </c>
      <c r="BT383" s="1" t="s">
        <v>9695</v>
      </c>
      <c r="BU383" s="1" t="str">
        <f>HYPERLINK("https%3A%2F%2Fwww.webofscience.com%2Fwos%2Fwoscc%2Ffull-record%2FWOS:000604489700003","View Full Record in Web of Science")</f>
        <v>View Full Record in Web of Science</v>
      </c>
    </row>
    <row r="384" spans="1:73" x14ac:dyDescent="0.25">
      <c r="A384" s="1">
        <v>425</v>
      </c>
      <c r="B384" s="1" t="s">
        <v>1506</v>
      </c>
      <c r="C384" s="1" t="s">
        <v>9084</v>
      </c>
      <c r="D384" s="1" t="s">
        <v>1507</v>
      </c>
      <c r="E384" s="1" t="s">
        <v>1507</v>
      </c>
      <c r="F384" s="1" t="s">
        <v>1507</v>
      </c>
      <c r="G384" s="1" t="s">
        <v>9085</v>
      </c>
      <c r="H384" s="1" t="s">
        <v>1507</v>
      </c>
      <c r="I384" s="1" t="s">
        <v>1507</v>
      </c>
      <c r="J384" s="1" t="s">
        <v>9086</v>
      </c>
      <c r="K384" s="1" t="s">
        <v>9087</v>
      </c>
      <c r="L384" s="1" t="s">
        <v>1507</v>
      </c>
      <c r="M384" s="1" t="s">
        <v>1507</v>
      </c>
      <c r="N384" s="1" t="s">
        <v>42</v>
      </c>
      <c r="O384" s="1" t="s">
        <v>56</v>
      </c>
      <c r="P384" s="1" t="s">
        <v>1507</v>
      </c>
      <c r="Q384" s="1" t="s">
        <v>1507</v>
      </c>
      <c r="R384" s="1" t="s">
        <v>1507</v>
      </c>
      <c r="S384" s="1" t="s">
        <v>1507</v>
      </c>
      <c r="T384" s="1" t="s">
        <v>1507</v>
      </c>
      <c r="U384" s="1" t="s">
        <v>9088</v>
      </c>
      <c r="V384" s="1" t="s">
        <v>9089</v>
      </c>
      <c r="W384" s="1" t="s">
        <v>9090</v>
      </c>
      <c r="X384" s="1" t="s">
        <v>9091</v>
      </c>
      <c r="Y384" s="1" t="s">
        <v>9092</v>
      </c>
      <c r="Z384" s="1" t="s">
        <v>9093</v>
      </c>
      <c r="AA384" s="1" t="s">
        <v>9094</v>
      </c>
      <c r="AB384" s="1" t="s">
        <v>9095</v>
      </c>
      <c r="AC384" s="1" t="s">
        <v>9096</v>
      </c>
      <c r="AD384" s="1" t="s">
        <v>9097</v>
      </c>
      <c r="AE384" s="1" t="s">
        <v>9098</v>
      </c>
      <c r="AF384" s="1" t="s">
        <v>9099</v>
      </c>
      <c r="AG384" s="1" t="s">
        <v>1507</v>
      </c>
      <c r="AH384" s="1">
        <v>46</v>
      </c>
      <c r="AI384" s="1">
        <v>21</v>
      </c>
      <c r="AJ384" s="1">
        <v>21</v>
      </c>
      <c r="AK384" s="1">
        <v>2</v>
      </c>
      <c r="AL384" s="1">
        <v>41</v>
      </c>
      <c r="AM384" s="1" t="s">
        <v>1610</v>
      </c>
      <c r="AN384" s="1" t="s">
        <v>1611</v>
      </c>
      <c r="AO384" s="1" t="s">
        <v>1612</v>
      </c>
      <c r="AP384" s="1" t="s">
        <v>1507</v>
      </c>
      <c r="AQ384" s="1" t="s">
        <v>9100</v>
      </c>
      <c r="AR384" s="1" t="s">
        <v>1507</v>
      </c>
      <c r="AS384" s="1" t="s">
        <v>9101</v>
      </c>
      <c r="AT384" s="1" t="s">
        <v>9102</v>
      </c>
      <c r="AU384" s="1" t="s">
        <v>9054</v>
      </c>
      <c r="AV384" s="1">
        <v>2021</v>
      </c>
      <c r="AW384" s="1">
        <v>22</v>
      </c>
      <c r="AX384" s="1">
        <v>4</v>
      </c>
      <c r="AY384" s="1" t="s">
        <v>1507</v>
      </c>
      <c r="AZ384" s="1" t="s">
        <v>1507</v>
      </c>
      <c r="BA384" s="1" t="s">
        <v>1507</v>
      </c>
      <c r="BB384" s="1" t="s">
        <v>1507</v>
      </c>
      <c r="BC384" s="1" t="s">
        <v>1507</v>
      </c>
      <c r="BD384" s="1" t="s">
        <v>1507</v>
      </c>
      <c r="BE384" s="1">
        <v>2026</v>
      </c>
      <c r="BF384" s="1" t="s">
        <v>9103</v>
      </c>
      <c r="BG384" s="1" t="str">
        <f>HYPERLINK("http://dx.doi.org/10.3390/ijms22042026","http://dx.doi.org/10.3390/ijms22042026")</f>
        <v>http://dx.doi.org/10.3390/ijms22042026</v>
      </c>
      <c r="BH384" s="1" t="s">
        <v>1507</v>
      </c>
      <c r="BI384" s="1" t="s">
        <v>1507</v>
      </c>
      <c r="BJ384" s="1">
        <v>14</v>
      </c>
      <c r="BK384" s="1" t="s">
        <v>8127</v>
      </c>
      <c r="BL384" s="1" t="s">
        <v>1573</v>
      </c>
      <c r="BM384" s="1" t="s">
        <v>8128</v>
      </c>
      <c r="BN384" s="1" t="s">
        <v>9104</v>
      </c>
      <c r="BO384" s="1">
        <v>33670757</v>
      </c>
      <c r="BP384" s="1" t="s">
        <v>1674</v>
      </c>
      <c r="BQ384" s="1" t="s">
        <v>1507</v>
      </c>
      <c r="BR384" s="1" t="s">
        <v>1507</v>
      </c>
      <c r="BS384" s="1" t="s">
        <v>13744</v>
      </c>
      <c r="BT384" s="1" t="s">
        <v>9105</v>
      </c>
      <c r="BU384" s="1" t="str">
        <f>HYPERLINK("https%3A%2F%2Fwww.webofscience.com%2Fwos%2Fwoscc%2Ffull-record%2FWOS:000623767900001","View Full Record in Web of Science")</f>
        <v>View Full Record in Web of Science</v>
      </c>
    </row>
    <row r="385" spans="1:73" x14ac:dyDescent="0.25">
      <c r="A385" s="1">
        <v>426</v>
      </c>
      <c r="B385" s="1" t="s">
        <v>1506</v>
      </c>
      <c r="C385" s="1" t="s">
        <v>9967</v>
      </c>
      <c r="D385" s="1" t="s">
        <v>1507</v>
      </c>
      <c r="E385" s="1" t="s">
        <v>1507</v>
      </c>
      <c r="F385" s="1" t="s">
        <v>1507</v>
      </c>
      <c r="G385" s="1" t="s">
        <v>9968</v>
      </c>
      <c r="H385" s="1" t="s">
        <v>1507</v>
      </c>
      <c r="I385" s="1" t="s">
        <v>1507</v>
      </c>
      <c r="J385" s="1" t="s">
        <v>9969</v>
      </c>
      <c r="K385" s="1" t="s">
        <v>7217</v>
      </c>
      <c r="L385" s="1" t="s">
        <v>1507</v>
      </c>
      <c r="M385" s="1" t="s">
        <v>1507</v>
      </c>
      <c r="N385" s="1" t="s">
        <v>42</v>
      </c>
      <c r="O385" s="1" t="s">
        <v>56</v>
      </c>
      <c r="P385" s="1" t="s">
        <v>1507</v>
      </c>
      <c r="Q385" s="1" t="s">
        <v>1507</v>
      </c>
      <c r="R385" s="1" t="s">
        <v>1507</v>
      </c>
      <c r="S385" s="1" t="s">
        <v>1507</v>
      </c>
      <c r="T385" s="1" t="s">
        <v>1507</v>
      </c>
      <c r="U385" s="1" t="s">
        <v>1507</v>
      </c>
      <c r="V385" s="1" t="s">
        <v>9970</v>
      </c>
      <c r="W385" s="1" t="s">
        <v>9971</v>
      </c>
      <c r="X385" s="1" t="s">
        <v>9972</v>
      </c>
      <c r="Y385" s="1" t="s">
        <v>9973</v>
      </c>
      <c r="Z385" s="1" t="s">
        <v>9974</v>
      </c>
      <c r="AA385" s="1" t="s">
        <v>2295</v>
      </c>
      <c r="AB385" s="1" t="s">
        <v>15822</v>
      </c>
      <c r="AC385" s="1" t="s">
        <v>15823</v>
      </c>
      <c r="AD385" s="1" t="s">
        <v>9975</v>
      </c>
      <c r="AE385" s="1" t="s">
        <v>9976</v>
      </c>
      <c r="AF385" s="1" t="s">
        <v>9977</v>
      </c>
      <c r="AG385" s="1" t="s">
        <v>1507</v>
      </c>
      <c r="AH385" s="1">
        <v>16</v>
      </c>
      <c r="AI385" s="1">
        <v>238</v>
      </c>
      <c r="AJ385" s="1">
        <v>252</v>
      </c>
      <c r="AK385" s="1">
        <v>1</v>
      </c>
      <c r="AL385" s="1">
        <v>13</v>
      </c>
      <c r="AM385" s="1" t="s">
        <v>7226</v>
      </c>
      <c r="AN385" s="1" t="s">
        <v>7227</v>
      </c>
      <c r="AO385" s="1" t="s">
        <v>7228</v>
      </c>
      <c r="AP385" s="1" t="s">
        <v>7229</v>
      </c>
      <c r="AQ385" s="1" t="s">
        <v>7230</v>
      </c>
      <c r="AR385" s="1" t="s">
        <v>1507</v>
      </c>
      <c r="AS385" s="1" t="s">
        <v>7217</v>
      </c>
      <c r="AT385" s="1" t="s">
        <v>7231</v>
      </c>
      <c r="AU385" s="1" t="s">
        <v>9978</v>
      </c>
      <c r="AV385" s="1">
        <v>2020</v>
      </c>
      <c r="AW385" s="1">
        <v>25</v>
      </c>
      <c r="AX385" s="1">
        <v>16</v>
      </c>
      <c r="AY385" s="1" t="s">
        <v>1507</v>
      </c>
      <c r="AZ385" s="1" t="s">
        <v>1507</v>
      </c>
      <c r="BA385" s="1" t="s">
        <v>1507</v>
      </c>
      <c r="BB385" s="1" t="s">
        <v>1507</v>
      </c>
      <c r="BC385" s="1">
        <v>14</v>
      </c>
      <c r="BD385" s="1">
        <v>22</v>
      </c>
      <c r="BE385" s="1">
        <v>2000421</v>
      </c>
      <c r="BF385" s="1" t="s">
        <v>9979</v>
      </c>
      <c r="BG385" s="1" t="str">
        <f>HYPERLINK("http://dx.doi.org/10.2807/1560-7917.ES.2020.25.16.2000421","http://dx.doi.org/10.2807/1560-7917.ES.2020.25.16.2000421")</f>
        <v>http://dx.doi.org/10.2807/1560-7917.ES.2020.25.16.2000421</v>
      </c>
      <c r="BH385" s="1" t="s">
        <v>1507</v>
      </c>
      <c r="BI385" s="1" t="s">
        <v>1507</v>
      </c>
      <c r="BJ385" s="1">
        <v>9</v>
      </c>
      <c r="BK385" s="1" t="s">
        <v>4015</v>
      </c>
      <c r="BL385" s="1" t="s">
        <v>1573</v>
      </c>
      <c r="BM385" s="1" t="s">
        <v>4015</v>
      </c>
      <c r="BN385" s="1" t="s">
        <v>9980</v>
      </c>
      <c r="BO385" s="1">
        <v>32347204</v>
      </c>
      <c r="BP385" s="1" t="s">
        <v>1674</v>
      </c>
      <c r="BQ385" s="1" t="s">
        <v>1507</v>
      </c>
      <c r="BR385" s="1" t="s">
        <v>1507</v>
      </c>
      <c r="BS385" s="1" t="s">
        <v>13744</v>
      </c>
      <c r="BT385" s="1" t="s">
        <v>9981</v>
      </c>
      <c r="BU385" s="1" t="str">
        <f>HYPERLINK("https%3A%2F%2Fwww.webofscience.com%2Fwos%2Fwoscc%2Ffull-record%2FWOS:000528319500003","View Full Record in Web of Science")</f>
        <v>View Full Record in Web of Science</v>
      </c>
    </row>
    <row r="386" spans="1:73" x14ac:dyDescent="0.25">
      <c r="A386" s="1">
        <v>427</v>
      </c>
      <c r="B386" s="1" t="s">
        <v>1506</v>
      </c>
      <c r="C386" s="1" t="s">
        <v>4216</v>
      </c>
      <c r="D386" s="1" t="s">
        <v>1507</v>
      </c>
      <c r="E386" s="1" t="s">
        <v>1507</v>
      </c>
      <c r="F386" s="1" t="s">
        <v>1507</v>
      </c>
      <c r="G386" s="1" t="s">
        <v>4217</v>
      </c>
      <c r="H386" s="1" t="s">
        <v>1507</v>
      </c>
      <c r="I386" s="1" t="s">
        <v>1507</v>
      </c>
      <c r="J386" s="1" t="s">
        <v>4218</v>
      </c>
      <c r="K386" s="1" t="s">
        <v>4219</v>
      </c>
      <c r="L386" s="1" t="s">
        <v>1507</v>
      </c>
      <c r="M386" s="1" t="s">
        <v>1507</v>
      </c>
      <c r="N386" s="1" t="s">
        <v>42</v>
      </c>
      <c r="O386" s="1" t="s">
        <v>56</v>
      </c>
      <c r="P386" s="1" t="s">
        <v>1507</v>
      </c>
      <c r="Q386" s="1" t="s">
        <v>1507</v>
      </c>
      <c r="R386" s="1" t="s">
        <v>1507</v>
      </c>
      <c r="S386" s="1" t="s">
        <v>1507</v>
      </c>
      <c r="T386" s="1" t="s">
        <v>1507</v>
      </c>
      <c r="U386" s="1" t="s">
        <v>1507</v>
      </c>
      <c r="V386" s="1" t="s">
        <v>4220</v>
      </c>
      <c r="W386" s="1" t="s">
        <v>4221</v>
      </c>
      <c r="X386" s="1" t="s">
        <v>4222</v>
      </c>
      <c r="Y386" s="1" t="s">
        <v>4223</v>
      </c>
      <c r="Z386" s="1" t="s">
        <v>4224</v>
      </c>
      <c r="AA386" s="1" t="s">
        <v>4225</v>
      </c>
      <c r="AB386" s="1" t="s">
        <v>1507</v>
      </c>
      <c r="AC386" s="1" t="s">
        <v>4226</v>
      </c>
      <c r="AD386" s="1" t="s">
        <v>4227</v>
      </c>
      <c r="AE386" s="1" t="s">
        <v>4228</v>
      </c>
      <c r="AF386" s="1" t="s">
        <v>4229</v>
      </c>
      <c r="AG386" s="1" t="s">
        <v>1507</v>
      </c>
      <c r="AH386" s="1">
        <v>44</v>
      </c>
      <c r="AI386" s="1">
        <v>2</v>
      </c>
      <c r="AJ386" s="1">
        <v>2</v>
      </c>
      <c r="AK386" s="1">
        <v>11</v>
      </c>
      <c r="AL386" s="1">
        <v>20</v>
      </c>
      <c r="AM386" s="1" t="s">
        <v>2372</v>
      </c>
      <c r="AN386" s="1" t="s">
        <v>2300</v>
      </c>
      <c r="AO386" s="1" t="s">
        <v>2373</v>
      </c>
      <c r="AP386" s="1" t="s">
        <v>4230</v>
      </c>
      <c r="AQ386" s="1" t="s">
        <v>4231</v>
      </c>
      <c r="AR386" s="1" t="s">
        <v>1507</v>
      </c>
      <c r="AS386" s="1" t="s">
        <v>4232</v>
      </c>
      <c r="AT386" s="1" t="s">
        <v>4233</v>
      </c>
      <c r="AU386" s="1" t="s">
        <v>14563</v>
      </c>
      <c r="AV386" s="1">
        <v>2023</v>
      </c>
      <c r="AW386" s="1">
        <v>63</v>
      </c>
      <c r="AX386" s="1">
        <v>18</v>
      </c>
      <c r="AY386" s="1" t="s">
        <v>1507</v>
      </c>
      <c r="AZ386" s="1" t="s">
        <v>1507</v>
      </c>
      <c r="BA386" s="1" t="s">
        <v>1507</v>
      </c>
      <c r="BB386" s="1" t="s">
        <v>1507</v>
      </c>
      <c r="BC386" s="1">
        <v>5727</v>
      </c>
      <c r="BD386" s="1">
        <v>5733</v>
      </c>
      <c r="BE386" s="1" t="s">
        <v>1507</v>
      </c>
      <c r="BF386" s="1" t="s">
        <v>4234</v>
      </c>
      <c r="BG386" s="1" t="str">
        <f>HYPERLINK("http://dx.doi.org/10.1021/acs.jcim.3c00817","http://dx.doi.org/10.1021/acs.jcim.3c00817")</f>
        <v>http://dx.doi.org/10.1021/acs.jcim.3c00817</v>
      </c>
      <c r="BH386" s="1" t="s">
        <v>1507</v>
      </c>
      <c r="BI386" s="1" t="s">
        <v>4056</v>
      </c>
      <c r="BJ386" s="1">
        <v>7</v>
      </c>
      <c r="BK386" s="1" t="s">
        <v>4235</v>
      </c>
      <c r="BL386" s="1" t="s">
        <v>1573</v>
      </c>
      <c r="BM386" s="1" t="s">
        <v>4236</v>
      </c>
      <c r="BN386" s="1" t="s">
        <v>4237</v>
      </c>
      <c r="BO386" s="1">
        <v>37552230</v>
      </c>
      <c r="BP386" s="1" t="s">
        <v>1507</v>
      </c>
      <c r="BQ386" s="1" t="s">
        <v>1507</v>
      </c>
      <c r="BR386" s="1" t="s">
        <v>1507</v>
      </c>
      <c r="BS386" s="1" t="s">
        <v>13744</v>
      </c>
      <c r="BT386" s="1" t="s">
        <v>4238</v>
      </c>
      <c r="BU386" s="1" t="str">
        <f>HYPERLINK("https%3A%2F%2Fwww.webofscience.com%2Fwos%2Fwoscc%2Ffull-record%2FWOS:001044525600001","View Full Record in Web of Science")</f>
        <v>View Full Record in Web of Science</v>
      </c>
    </row>
    <row r="387" spans="1:73" x14ac:dyDescent="0.25">
      <c r="A387" s="1">
        <v>428</v>
      </c>
      <c r="B387" s="1" t="s">
        <v>1506</v>
      </c>
      <c r="C387" s="1" t="s">
        <v>6232</v>
      </c>
      <c r="D387" s="1" t="s">
        <v>1507</v>
      </c>
      <c r="E387" s="1" t="s">
        <v>1507</v>
      </c>
      <c r="F387" s="1" t="s">
        <v>1507</v>
      </c>
      <c r="G387" s="1" t="s">
        <v>6233</v>
      </c>
      <c r="H387" s="1" t="s">
        <v>1507</v>
      </c>
      <c r="I387" s="1" t="s">
        <v>1507</v>
      </c>
      <c r="J387" s="1" t="s">
        <v>796</v>
      </c>
      <c r="K387" s="1" t="s">
        <v>5740</v>
      </c>
      <c r="L387" s="1" t="s">
        <v>1507</v>
      </c>
      <c r="M387" s="1" t="s">
        <v>1507</v>
      </c>
      <c r="N387" s="1" t="s">
        <v>42</v>
      </c>
      <c r="O387" s="1" t="s">
        <v>56</v>
      </c>
      <c r="P387" s="1" t="s">
        <v>1507</v>
      </c>
      <c r="Q387" s="1" t="s">
        <v>1507</v>
      </c>
      <c r="R387" s="1" t="s">
        <v>1507</v>
      </c>
      <c r="S387" s="1" t="s">
        <v>1507</v>
      </c>
      <c r="T387" s="1" t="s">
        <v>1507</v>
      </c>
      <c r="U387" s="1" t="s">
        <v>6234</v>
      </c>
      <c r="V387" s="1" t="s">
        <v>6235</v>
      </c>
      <c r="W387" s="1" t="s">
        <v>6236</v>
      </c>
      <c r="X387" s="1" t="s">
        <v>6237</v>
      </c>
      <c r="Y387" s="1" t="s">
        <v>1507</v>
      </c>
      <c r="Z387" s="1" t="s">
        <v>6238</v>
      </c>
      <c r="AA387" s="1" t="s">
        <v>6239</v>
      </c>
      <c r="AB387" s="1" t="s">
        <v>1507</v>
      </c>
      <c r="AC387" s="1" t="s">
        <v>1507</v>
      </c>
      <c r="AD387" s="1" t="s">
        <v>1507</v>
      </c>
      <c r="AE387" s="1" t="s">
        <v>1507</v>
      </c>
      <c r="AF387" s="1" t="s">
        <v>1507</v>
      </c>
      <c r="AG387" s="1" t="s">
        <v>1507</v>
      </c>
      <c r="AH387" s="1">
        <v>96</v>
      </c>
      <c r="AI387" s="1">
        <v>82</v>
      </c>
      <c r="AJ387" s="1">
        <v>84</v>
      </c>
      <c r="AK387" s="1">
        <v>112</v>
      </c>
      <c r="AL387" s="1">
        <v>366</v>
      </c>
      <c r="AM387" s="1" t="s">
        <v>5748</v>
      </c>
      <c r="AN387" s="1" t="s">
        <v>5749</v>
      </c>
      <c r="AO387" s="1" t="s">
        <v>5750</v>
      </c>
      <c r="AP387" s="1" t="s">
        <v>5751</v>
      </c>
      <c r="AQ387" s="1" t="s">
        <v>1507</v>
      </c>
      <c r="AR387" s="1" t="s">
        <v>1507</v>
      </c>
      <c r="AS387" s="1" t="s">
        <v>5752</v>
      </c>
      <c r="AT387" s="1" t="s">
        <v>804</v>
      </c>
      <c r="AU387" s="1" t="s">
        <v>1507</v>
      </c>
      <c r="AV387" s="1">
        <v>2023</v>
      </c>
      <c r="AW387" s="1">
        <v>20</v>
      </c>
      <c r="AX387" s="1">
        <v>2</v>
      </c>
      <c r="AY387" s="1" t="s">
        <v>1507</v>
      </c>
      <c r="AZ387" s="1" t="s">
        <v>1507</v>
      </c>
      <c r="BA387" s="1" t="s">
        <v>1507</v>
      </c>
      <c r="BB387" s="1" t="s">
        <v>1507</v>
      </c>
      <c r="BC387" s="1" t="s">
        <v>1507</v>
      </c>
      <c r="BD387" s="1" t="s">
        <v>1507</v>
      </c>
      <c r="BE387" s="1">
        <v>7</v>
      </c>
      <c r="BF387" s="1" t="s">
        <v>798</v>
      </c>
      <c r="BG387" s="1" t="str">
        <f>HYPERLINK("http://dx.doi.org/10.53761/1.20.02.07","http://dx.doi.org/10.53761/1.20.02.07")</f>
        <v>http://dx.doi.org/10.53761/1.20.02.07</v>
      </c>
      <c r="BH387" s="1" t="s">
        <v>1507</v>
      </c>
      <c r="BI387" s="1" t="s">
        <v>1507</v>
      </c>
      <c r="BJ387" s="1">
        <v>26</v>
      </c>
      <c r="BK387" s="1" t="s">
        <v>1558</v>
      </c>
      <c r="BL387" s="1" t="s">
        <v>1529</v>
      </c>
      <c r="BM387" s="1" t="s">
        <v>1558</v>
      </c>
      <c r="BN387" s="1" t="s">
        <v>6240</v>
      </c>
      <c r="BO387" s="1" t="s">
        <v>1507</v>
      </c>
      <c r="BP387" s="1" t="s">
        <v>1531</v>
      </c>
      <c r="BQ387" s="1" t="s">
        <v>1507</v>
      </c>
      <c r="BR387" s="1" t="s">
        <v>1507</v>
      </c>
      <c r="BS387" s="1" t="s">
        <v>13744</v>
      </c>
      <c r="BT387" s="1" t="s">
        <v>6241</v>
      </c>
      <c r="BU387" s="1" t="str">
        <f>HYPERLINK("https%3A%2F%2Fwww.webofscience.com%2Fwos%2Fwoscc%2Ffull-record%2FWOS:000937075200011","View Full Record in Web of Science")</f>
        <v>View Full Record in Web of Science</v>
      </c>
    </row>
    <row r="388" spans="1:73" x14ac:dyDescent="0.25">
      <c r="A388" s="1">
        <v>430</v>
      </c>
      <c r="B388" s="1" t="s">
        <v>1506</v>
      </c>
      <c r="C388" s="1" t="s">
        <v>11166</v>
      </c>
      <c r="D388" s="1" t="s">
        <v>1507</v>
      </c>
      <c r="E388" s="1" t="s">
        <v>1507</v>
      </c>
      <c r="F388" s="1" t="s">
        <v>1507</v>
      </c>
      <c r="G388" s="1" t="s">
        <v>11167</v>
      </c>
      <c r="H388" s="1" t="s">
        <v>1507</v>
      </c>
      <c r="I388" s="1" t="s">
        <v>1507</v>
      </c>
      <c r="J388" s="1" t="s">
        <v>11168</v>
      </c>
      <c r="K388" s="1" t="s">
        <v>11110</v>
      </c>
      <c r="L388" s="1" t="s">
        <v>1507</v>
      </c>
      <c r="M388" s="1" t="s">
        <v>1507</v>
      </c>
      <c r="N388" s="1" t="s">
        <v>42</v>
      </c>
      <c r="O388" s="1" t="s">
        <v>56</v>
      </c>
      <c r="P388" s="1" t="s">
        <v>1507</v>
      </c>
      <c r="Q388" s="1" t="s">
        <v>1507</v>
      </c>
      <c r="R388" s="1" t="s">
        <v>1507</v>
      </c>
      <c r="S388" s="1" t="s">
        <v>1507</v>
      </c>
      <c r="T388" s="1" t="s">
        <v>1507</v>
      </c>
      <c r="U388" s="1" t="s">
        <v>1507</v>
      </c>
      <c r="V388" s="1" t="s">
        <v>1507</v>
      </c>
      <c r="W388" s="1" t="s">
        <v>11169</v>
      </c>
      <c r="X388" s="1" t="s">
        <v>11170</v>
      </c>
      <c r="Y388" s="1" t="s">
        <v>11171</v>
      </c>
      <c r="Z388" s="1" t="s">
        <v>11172</v>
      </c>
      <c r="AA388" s="1" t="s">
        <v>1507</v>
      </c>
      <c r="AB388" s="1" t="s">
        <v>11173</v>
      </c>
      <c r="AC388" s="1" t="s">
        <v>11174</v>
      </c>
      <c r="AD388" s="1" t="s">
        <v>11175</v>
      </c>
      <c r="AE388" s="1" t="s">
        <v>11175</v>
      </c>
      <c r="AF388" s="1" t="s">
        <v>11176</v>
      </c>
      <c r="AG388" s="1" t="s">
        <v>1507</v>
      </c>
      <c r="AH388" s="1">
        <v>34</v>
      </c>
      <c r="AI388" s="1">
        <v>0</v>
      </c>
      <c r="AJ388" s="1">
        <v>0</v>
      </c>
      <c r="AK388" s="1">
        <v>0</v>
      </c>
      <c r="AL388" s="1">
        <v>1</v>
      </c>
      <c r="AM388" s="1" t="s">
        <v>11114</v>
      </c>
      <c r="AN388" s="1" t="s">
        <v>11115</v>
      </c>
      <c r="AO388" s="1" t="s">
        <v>11116</v>
      </c>
      <c r="AP388" s="1" t="s">
        <v>11117</v>
      </c>
      <c r="AQ388" s="1" t="s">
        <v>1507</v>
      </c>
      <c r="AR388" s="1" t="s">
        <v>1507</v>
      </c>
      <c r="AS388" s="1" t="s">
        <v>11118</v>
      </c>
      <c r="AT388" s="1" t="s">
        <v>11119</v>
      </c>
      <c r="AU388" s="1" t="s">
        <v>5362</v>
      </c>
      <c r="AV388" s="1">
        <v>2019</v>
      </c>
      <c r="AW388" s="1">
        <v>52</v>
      </c>
      <c r="AX388" s="1">
        <v>1</v>
      </c>
      <c r="AY388" s="1" t="s">
        <v>1507</v>
      </c>
      <c r="AZ388" s="1" t="s">
        <v>1507</v>
      </c>
      <c r="BA388" s="1" t="s">
        <v>1507</v>
      </c>
      <c r="BB388" s="1" t="s">
        <v>1507</v>
      </c>
      <c r="BC388" s="1">
        <v>126</v>
      </c>
      <c r="BD388" s="1">
        <v>142</v>
      </c>
      <c r="BE388" s="1" t="s">
        <v>1507</v>
      </c>
      <c r="BF388" s="1" t="s">
        <v>1507</v>
      </c>
      <c r="BG388" s="1" t="s">
        <v>1507</v>
      </c>
      <c r="BH388" s="1" t="s">
        <v>1507</v>
      </c>
      <c r="BI388" s="1" t="s">
        <v>1507</v>
      </c>
      <c r="BJ388" s="1">
        <v>17</v>
      </c>
      <c r="BK388" s="1" t="s">
        <v>1535</v>
      </c>
      <c r="BL388" s="1" t="s">
        <v>1529</v>
      </c>
      <c r="BM388" s="1" t="s">
        <v>1536</v>
      </c>
      <c r="BN388" s="1" t="s">
        <v>11120</v>
      </c>
      <c r="BO388" s="1" t="s">
        <v>1507</v>
      </c>
      <c r="BP388" s="1" t="s">
        <v>1507</v>
      </c>
      <c r="BQ388" s="1" t="s">
        <v>1507</v>
      </c>
      <c r="BR388" s="1" t="s">
        <v>1507</v>
      </c>
      <c r="BS388" s="1" t="s">
        <v>13744</v>
      </c>
      <c r="BT388" s="1" t="s">
        <v>11177</v>
      </c>
      <c r="BU388" s="1" t="str">
        <f>HYPERLINK("https%3A%2F%2Fwww.webofscience.com%2Fwos%2Fwoscc%2Ffull-record%2FWOS:000632633200006","View Full Record in Web of Science")</f>
        <v>View Full Record in Web of Science</v>
      </c>
    </row>
    <row r="389" spans="1:73" x14ac:dyDescent="0.25">
      <c r="A389" s="1">
        <v>431</v>
      </c>
      <c r="B389" s="1" t="s">
        <v>1506</v>
      </c>
      <c r="C389" s="1" t="s">
        <v>6242</v>
      </c>
      <c r="D389" s="1" t="s">
        <v>1507</v>
      </c>
      <c r="E389" s="1" t="s">
        <v>1507</v>
      </c>
      <c r="F389" s="1" t="s">
        <v>1507</v>
      </c>
      <c r="G389" s="1" t="s">
        <v>6243</v>
      </c>
      <c r="H389" s="1" t="s">
        <v>1507</v>
      </c>
      <c r="I389" s="1" t="s">
        <v>1507</v>
      </c>
      <c r="J389" s="1" t="s">
        <v>6244</v>
      </c>
      <c r="K389" s="1" t="s">
        <v>6245</v>
      </c>
      <c r="L389" s="1" t="s">
        <v>1507</v>
      </c>
      <c r="M389" s="1" t="s">
        <v>1507</v>
      </c>
      <c r="N389" s="1" t="s">
        <v>42</v>
      </c>
      <c r="O389" s="1" t="s">
        <v>56</v>
      </c>
      <c r="P389" s="1" t="s">
        <v>1507</v>
      </c>
      <c r="Q389" s="1" t="s">
        <v>1507</v>
      </c>
      <c r="R389" s="1" t="s">
        <v>1507</v>
      </c>
      <c r="S389" s="1" t="s">
        <v>1507</v>
      </c>
      <c r="T389" s="1" t="s">
        <v>1507</v>
      </c>
      <c r="U389" s="1" t="s">
        <v>6246</v>
      </c>
      <c r="V389" s="1" t="s">
        <v>6247</v>
      </c>
      <c r="W389" s="1" t="s">
        <v>6248</v>
      </c>
      <c r="X389" s="1" t="s">
        <v>6249</v>
      </c>
      <c r="Y389" s="1" t="s">
        <v>6250</v>
      </c>
      <c r="Z389" s="1" t="s">
        <v>6251</v>
      </c>
      <c r="AA389" s="1" t="s">
        <v>6252</v>
      </c>
      <c r="AB389" s="1" t="s">
        <v>1507</v>
      </c>
      <c r="AC389" s="1" t="s">
        <v>1507</v>
      </c>
      <c r="AD389" s="1" t="s">
        <v>6253</v>
      </c>
      <c r="AE389" s="1" t="s">
        <v>6254</v>
      </c>
      <c r="AF389" s="1" t="s">
        <v>6255</v>
      </c>
      <c r="AG389" s="1" t="s">
        <v>1507</v>
      </c>
      <c r="AH389" s="1">
        <v>152</v>
      </c>
      <c r="AI389" s="1">
        <v>0</v>
      </c>
      <c r="AJ389" s="1">
        <v>0</v>
      </c>
      <c r="AK389" s="1">
        <v>1</v>
      </c>
      <c r="AL389" s="1">
        <v>1</v>
      </c>
      <c r="AM389" s="1" t="s">
        <v>6256</v>
      </c>
      <c r="AN389" s="1" t="s">
        <v>6257</v>
      </c>
      <c r="AO389" s="1" t="s">
        <v>6258</v>
      </c>
      <c r="AP389" s="1" t="s">
        <v>6259</v>
      </c>
      <c r="AQ389" s="1" t="s">
        <v>1507</v>
      </c>
      <c r="AR389" s="1" t="s">
        <v>1507</v>
      </c>
      <c r="AS389" s="1" t="s">
        <v>6260</v>
      </c>
      <c r="AT389" s="1" t="s">
        <v>6261</v>
      </c>
      <c r="AU389" s="1" t="s">
        <v>1507</v>
      </c>
      <c r="AV389" s="1">
        <v>2023</v>
      </c>
      <c r="AW389" s="1">
        <v>24</v>
      </c>
      <c r="AX389" s="1" t="s">
        <v>1507</v>
      </c>
      <c r="AY389" s="1" t="s">
        <v>1507</v>
      </c>
      <c r="AZ389" s="1" t="s">
        <v>1507</v>
      </c>
      <c r="BA389" s="1" t="s">
        <v>1507</v>
      </c>
      <c r="BB389" s="1" t="s">
        <v>1507</v>
      </c>
      <c r="BC389" s="1" t="s">
        <v>1507</v>
      </c>
      <c r="BD389" s="1" t="s">
        <v>1507</v>
      </c>
      <c r="BE389" s="1">
        <v>356</v>
      </c>
      <c r="BF389" s="1" t="s">
        <v>1507</v>
      </c>
      <c r="BG389" s="1" t="s">
        <v>1507</v>
      </c>
      <c r="BH389" s="1" t="s">
        <v>1507</v>
      </c>
      <c r="BI389" s="1" t="s">
        <v>1507</v>
      </c>
      <c r="BJ389" s="1">
        <v>92</v>
      </c>
      <c r="BK389" s="1" t="s">
        <v>6262</v>
      </c>
      <c r="BL389" s="1" t="s">
        <v>1573</v>
      </c>
      <c r="BM389" s="1" t="s">
        <v>6035</v>
      </c>
      <c r="BN389" s="1" t="s">
        <v>6263</v>
      </c>
      <c r="BO389" s="1" t="s">
        <v>1507</v>
      </c>
      <c r="BP389" s="1" t="s">
        <v>1507</v>
      </c>
      <c r="BQ389" s="1" t="s">
        <v>1507</v>
      </c>
      <c r="BR389" s="1" t="s">
        <v>1507</v>
      </c>
      <c r="BS389" s="1" t="s">
        <v>13744</v>
      </c>
      <c r="BT389" s="1" t="s">
        <v>6264</v>
      </c>
      <c r="BU389" s="1" t="str">
        <f>HYPERLINK("https%3A%2F%2Fwww.webofscience.com%2Fwos%2Fwoscc%2Ffull-record%2FWOS:001130219900001","View Full Record in Web of Science")</f>
        <v>View Full Record in Web of Science</v>
      </c>
    </row>
    <row r="390" spans="1:73" x14ac:dyDescent="0.25">
      <c r="A390" s="1">
        <v>432</v>
      </c>
      <c r="B390" s="1" t="s">
        <v>1506</v>
      </c>
      <c r="C390" s="1" t="s">
        <v>11391</v>
      </c>
      <c r="D390" s="1" t="s">
        <v>1507</v>
      </c>
      <c r="E390" s="1" t="s">
        <v>1507</v>
      </c>
      <c r="F390" s="1" t="s">
        <v>1507</v>
      </c>
      <c r="G390" s="1" t="s">
        <v>11392</v>
      </c>
      <c r="H390" s="1" t="s">
        <v>1507</v>
      </c>
      <c r="I390" s="1" t="s">
        <v>1507</v>
      </c>
      <c r="J390" s="1" t="s">
        <v>11393</v>
      </c>
      <c r="K390" s="1" t="s">
        <v>11394</v>
      </c>
      <c r="L390" s="1" t="s">
        <v>1507</v>
      </c>
      <c r="M390" s="1" t="s">
        <v>1507</v>
      </c>
      <c r="N390" s="1" t="s">
        <v>11324</v>
      </c>
      <c r="O390" s="1" t="s">
        <v>56</v>
      </c>
      <c r="P390" s="1" t="s">
        <v>1507</v>
      </c>
      <c r="Q390" s="1" t="s">
        <v>1507</v>
      </c>
      <c r="R390" s="1" t="s">
        <v>1507</v>
      </c>
      <c r="S390" s="1" t="s">
        <v>1507</v>
      </c>
      <c r="T390" s="1" t="s">
        <v>1507</v>
      </c>
      <c r="U390" s="1" t="s">
        <v>11395</v>
      </c>
      <c r="V390" s="1" t="s">
        <v>11396</v>
      </c>
      <c r="W390" s="1" t="s">
        <v>11397</v>
      </c>
      <c r="X390" s="1" t="s">
        <v>11398</v>
      </c>
      <c r="Y390" s="1" t="s">
        <v>11399</v>
      </c>
      <c r="Z390" s="1" t="s">
        <v>11400</v>
      </c>
      <c r="AA390" s="1" t="s">
        <v>11401</v>
      </c>
      <c r="AB390" s="1" t="s">
        <v>1507</v>
      </c>
      <c r="AC390" s="1" t="s">
        <v>1507</v>
      </c>
      <c r="AD390" s="1" t="s">
        <v>1507</v>
      </c>
      <c r="AE390" s="1" t="s">
        <v>1507</v>
      </c>
      <c r="AF390" s="1" t="s">
        <v>1507</v>
      </c>
      <c r="AG390" s="1" t="s">
        <v>1507</v>
      </c>
      <c r="AH390" s="1">
        <v>29</v>
      </c>
      <c r="AI390" s="1">
        <v>1</v>
      </c>
      <c r="AJ390" s="1">
        <v>1</v>
      </c>
      <c r="AK390" s="1">
        <v>0</v>
      </c>
      <c r="AL390" s="1">
        <v>2</v>
      </c>
      <c r="AM390" s="1" t="s">
        <v>11402</v>
      </c>
      <c r="AN390" s="1" t="s">
        <v>10806</v>
      </c>
      <c r="AO390" s="1" t="s">
        <v>11403</v>
      </c>
      <c r="AP390" s="1" t="s">
        <v>11404</v>
      </c>
      <c r="AQ390" s="1" t="s">
        <v>1507</v>
      </c>
      <c r="AR390" s="1" t="s">
        <v>1507</v>
      </c>
      <c r="AS390" s="1" t="s">
        <v>11405</v>
      </c>
      <c r="AT390" s="1" t="s">
        <v>11406</v>
      </c>
      <c r="AU390" s="1" t="s">
        <v>11407</v>
      </c>
      <c r="AV390" s="1">
        <v>2019</v>
      </c>
      <c r="AW390" s="1">
        <v>11</v>
      </c>
      <c r="AX390" s="1">
        <v>42</v>
      </c>
      <c r="AY390" s="1" t="s">
        <v>1507</v>
      </c>
      <c r="AZ390" s="1" t="s">
        <v>1507</v>
      </c>
      <c r="BA390" s="1" t="s">
        <v>1507</v>
      </c>
      <c r="BB390" s="1" t="s">
        <v>1507</v>
      </c>
      <c r="BC390" s="1">
        <v>61</v>
      </c>
      <c r="BD390" s="1">
        <v>69</v>
      </c>
      <c r="BE390" s="1" t="s">
        <v>1507</v>
      </c>
      <c r="BF390" s="1" t="s">
        <v>1507</v>
      </c>
      <c r="BG390" s="1" t="s">
        <v>1507</v>
      </c>
      <c r="BH390" s="1" t="s">
        <v>1507</v>
      </c>
      <c r="BI390" s="1" t="s">
        <v>1507</v>
      </c>
      <c r="BJ390" s="1">
        <v>9</v>
      </c>
      <c r="BK390" s="1" t="s">
        <v>6483</v>
      </c>
      <c r="BL390" s="1" t="s">
        <v>1529</v>
      </c>
      <c r="BM390" s="1" t="s">
        <v>6484</v>
      </c>
      <c r="BN390" s="1" t="s">
        <v>11408</v>
      </c>
      <c r="BO390" s="1" t="s">
        <v>1507</v>
      </c>
      <c r="BP390" s="1" t="s">
        <v>1507</v>
      </c>
      <c r="BQ390" s="1" t="s">
        <v>1507</v>
      </c>
      <c r="BR390" s="1" t="s">
        <v>1507</v>
      </c>
      <c r="BS390" s="1" t="s">
        <v>13744</v>
      </c>
      <c r="BT390" s="1" t="s">
        <v>11409</v>
      </c>
      <c r="BU390" s="1" t="str">
        <f>HYPERLINK("https%3A%2F%2Fwww.webofscience.com%2Fwos%2Fwoscc%2Ffull-record%2FWOS:000457852700007","View Full Record in Web of Science")</f>
        <v>View Full Record in Web of Science</v>
      </c>
    </row>
    <row r="391" spans="1:73" x14ac:dyDescent="0.25">
      <c r="A391" s="1">
        <v>433</v>
      </c>
      <c r="B391" s="1" t="s">
        <v>5546</v>
      </c>
      <c r="C391" s="1" t="s">
        <v>15283</v>
      </c>
      <c r="D391" s="1" t="s">
        <v>1507</v>
      </c>
      <c r="E391" s="1" t="s">
        <v>1507</v>
      </c>
      <c r="F391" s="1" t="s">
        <v>5548</v>
      </c>
      <c r="G391" s="1" t="s">
        <v>15284</v>
      </c>
      <c r="H391" s="1" t="s">
        <v>1507</v>
      </c>
      <c r="I391" s="1" t="s">
        <v>1507</v>
      </c>
      <c r="J391" s="1" t="s">
        <v>15285</v>
      </c>
      <c r="K391" s="1" t="s">
        <v>15286</v>
      </c>
      <c r="L391" s="1" t="s">
        <v>1507</v>
      </c>
      <c r="M391" s="1" t="s">
        <v>1507</v>
      </c>
      <c r="N391" s="1" t="s">
        <v>42</v>
      </c>
      <c r="O391" s="1" t="s">
        <v>5552</v>
      </c>
      <c r="P391" s="1" t="s">
        <v>15287</v>
      </c>
      <c r="Q391" s="1" t="s">
        <v>15288</v>
      </c>
      <c r="R391" s="1" t="s">
        <v>15289</v>
      </c>
      <c r="S391" s="1" t="s">
        <v>15290</v>
      </c>
      <c r="T391" s="1" t="s">
        <v>1507</v>
      </c>
      <c r="U391" s="1" t="s">
        <v>15291</v>
      </c>
      <c r="V391" s="1" t="s">
        <v>1507</v>
      </c>
      <c r="W391" s="1" t="s">
        <v>15292</v>
      </c>
      <c r="X391" s="1" t="s">
        <v>15293</v>
      </c>
      <c r="Y391" s="1" t="s">
        <v>15294</v>
      </c>
      <c r="Z391" s="1" t="s">
        <v>15295</v>
      </c>
      <c r="AA391" s="1" t="s">
        <v>15296</v>
      </c>
      <c r="AB391" s="1" t="s">
        <v>15297</v>
      </c>
      <c r="AC391" s="1" t="s">
        <v>15298</v>
      </c>
      <c r="AD391" s="1" t="s">
        <v>15299</v>
      </c>
      <c r="AE391" s="1" t="s">
        <v>15300</v>
      </c>
      <c r="AF391" s="1" t="s">
        <v>15301</v>
      </c>
      <c r="AG391" s="1" t="s">
        <v>1507</v>
      </c>
      <c r="AH391" s="1">
        <v>18</v>
      </c>
      <c r="AI391" s="1">
        <v>0</v>
      </c>
      <c r="AJ391" s="1">
        <v>0</v>
      </c>
      <c r="AK391" s="1">
        <v>0</v>
      </c>
      <c r="AL391" s="1">
        <v>0</v>
      </c>
      <c r="AM391" s="1" t="s">
        <v>5565</v>
      </c>
      <c r="AN391" s="1" t="s">
        <v>1512</v>
      </c>
      <c r="AO391" s="1" t="s">
        <v>5566</v>
      </c>
      <c r="AP391" s="1" t="s">
        <v>1507</v>
      </c>
      <c r="AQ391" s="1" t="s">
        <v>1507</v>
      </c>
      <c r="AR391" s="1" t="s">
        <v>15302</v>
      </c>
      <c r="AS391" s="1" t="s">
        <v>1507</v>
      </c>
      <c r="AT391" s="1" t="s">
        <v>1507</v>
      </c>
      <c r="AU391" s="1" t="s">
        <v>1507</v>
      </c>
      <c r="AV391" s="1">
        <v>2023</v>
      </c>
      <c r="AW391" s="1" t="s">
        <v>1507</v>
      </c>
      <c r="AX391" s="1" t="s">
        <v>1507</v>
      </c>
      <c r="AY391" s="1" t="s">
        <v>1507</v>
      </c>
      <c r="AZ391" s="1" t="s">
        <v>1507</v>
      </c>
      <c r="BA391" s="1" t="s">
        <v>1507</v>
      </c>
      <c r="BB391" s="1" t="s">
        <v>1507</v>
      </c>
      <c r="BC391" s="1">
        <v>1812</v>
      </c>
      <c r="BD391" s="1">
        <v>1820</v>
      </c>
      <c r="BE391" s="1" t="s">
        <v>1507</v>
      </c>
      <c r="BF391" s="1" t="s">
        <v>15303</v>
      </c>
      <c r="BG391" s="1" t="str">
        <f>HYPERLINK("http://dx.doi.org/10.1145/3583133.3596401","http://dx.doi.org/10.1145/3583133.3596401")</f>
        <v>http://dx.doi.org/10.1145/3583133.3596401</v>
      </c>
      <c r="BH391" s="1" t="s">
        <v>1507</v>
      </c>
      <c r="BI391" s="1" t="s">
        <v>1507</v>
      </c>
      <c r="BJ391" s="1">
        <v>9</v>
      </c>
      <c r="BK391" s="1" t="s">
        <v>5650</v>
      </c>
      <c r="BL391" s="1" t="s">
        <v>5570</v>
      </c>
      <c r="BM391" s="1" t="s">
        <v>1577</v>
      </c>
      <c r="BN391" s="1" t="s">
        <v>15304</v>
      </c>
      <c r="BO391" s="1" t="s">
        <v>1507</v>
      </c>
      <c r="BP391" s="1" t="s">
        <v>1507</v>
      </c>
      <c r="BQ391" s="1" t="s">
        <v>1507</v>
      </c>
      <c r="BR391" s="1" t="s">
        <v>1507</v>
      </c>
      <c r="BS391" s="1" t="s">
        <v>13744</v>
      </c>
      <c r="BT391" s="1" t="s">
        <v>15305</v>
      </c>
      <c r="BU391" s="1" t="str">
        <f>HYPERLINK("https%3A%2F%2Fwww.webofscience.com%2Fwos%2Fwoscc%2Ffull-record%2FWOS:001117972600294","View Full Record in Web of Science")</f>
        <v>View Full Record in Web of Science</v>
      </c>
    </row>
    <row r="392" spans="1:73" x14ac:dyDescent="0.25">
      <c r="A392" s="1">
        <v>434</v>
      </c>
      <c r="B392" s="1" t="s">
        <v>1506</v>
      </c>
      <c r="C392" s="1" t="s">
        <v>3630</v>
      </c>
      <c r="D392" s="1" t="s">
        <v>1507</v>
      </c>
      <c r="E392" s="1" t="s">
        <v>1507</v>
      </c>
      <c r="F392" s="1" t="s">
        <v>1507</v>
      </c>
      <c r="G392" s="1" t="s">
        <v>3631</v>
      </c>
      <c r="H392" s="1" t="s">
        <v>1507</v>
      </c>
      <c r="I392" s="1" t="s">
        <v>1507</v>
      </c>
      <c r="J392" s="1" t="s">
        <v>3632</v>
      </c>
      <c r="K392" s="1" t="s">
        <v>3633</v>
      </c>
      <c r="L392" s="1" t="s">
        <v>1507</v>
      </c>
      <c r="M392" s="1" t="s">
        <v>1507</v>
      </c>
      <c r="N392" s="1" t="s">
        <v>42</v>
      </c>
      <c r="O392" s="1" t="s">
        <v>56</v>
      </c>
      <c r="P392" s="1" t="s">
        <v>1507</v>
      </c>
      <c r="Q392" s="1" t="s">
        <v>1507</v>
      </c>
      <c r="R392" s="1" t="s">
        <v>1507</v>
      </c>
      <c r="S392" s="1" t="s">
        <v>1507</v>
      </c>
      <c r="T392" s="1" t="s">
        <v>1507</v>
      </c>
      <c r="U392" s="1" t="s">
        <v>3634</v>
      </c>
      <c r="V392" s="1" t="s">
        <v>1507</v>
      </c>
      <c r="W392" s="1" t="s">
        <v>3635</v>
      </c>
      <c r="X392" s="1" t="s">
        <v>3636</v>
      </c>
      <c r="Y392" s="1" t="s">
        <v>3637</v>
      </c>
      <c r="Z392" s="1" t="s">
        <v>3638</v>
      </c>
      <c r="AA392" s="1" t="s">
        <v>3639</v>
      </c>
      <c r="AB392" s="1" t="s">
        <v>14430</v>
      </c>
      <c r="AC392" s="1" t="s">
        <v>14431</v>
      </c>
      <c r="AD392" s="1" t="s">
        <v>3640</v>
      </c>
      <c r="AE392" s="1" t="s">
        <v>3641</v>
      </c>
      <c r="AF392" s="1" t="s">
        <v>3642</v>
      </c>
      <c r="AG392" s="1" t="s">
        <v>1507</v>
      </c>
      <c r="AH392" s="1">
        <v>16</v>
      </c>
      <c r="AI392" s="1">
        <v>0</v>
      </c>
      <c r="AJ392" s="1">
        <v>1</v>
      </c>
      <c r="AK392" s="1">
        <v>1</v>
      </c>
      <c r="AL392" s="1">
        <v>1</v>
      </c>
      <c r="AM392" s="1" t="s">
        <v>1610</v>
      </c>
      <c r="AN392" s="1" t="s">
        <v>1611</v>
      </c>
      <c r="AO392" s="1" t="s">
        <v>1612</v>
      </c>
      <c r="AP392" s="1" t="s">
        <v>1507</v>
      </c>
      <c r="AQ392" s="1" t="s">
        <v>3643</v>
      </c>
      <c r="AR392" s="1" t="s">
        <v>1507</v>
      </c>
      <c r="AS392" s="1" t="s">
        <v>3644</v>
      </c>
      <c r="AT392" s="1" t="s">
        <v>3645</v>
      </c>
      <c r="AU392" s="1" t="s">
        <v>2889</v>
      </c>
      <c r="AV392" s="1">
        <v>2023</v>
      </c>
      <c r="AW392" s="1">
        <v>12</v>
      </c>
      <c r="AX392" s="1">
        <v>19</v>
      </c>
      <c r="AY392" s="1" t="s">
        <v>1507</v>
      </c>
      <c r="AZ392" s="1" t="s">
        <v>1507</v>
      </c>
      <c r="BA392" s="1" t="s">
        <v>1507</v>
      </c>
      <c r="BB392" s="1" t="s">
        <v>1507</v>
      </c>
      <c r="BC392" s="1" t="s">
        <v>1507</v>
      </c>
      <c r="BD392" s="1" t="s">
        <v>1507</v>
      </c>
      <c r="BE392" s="1">
        <v>6390</v>
      </c>
      <c r="BF392" s="1" t="s">
        <v>3646</v>
      </c>
      <c r="BG392" s="1" t="str">
        <f>HYPERLINK("http://dx.doi.org/10.3390/jcm12196390","http://dx.doi.org/10.3390/jcm12196390")</f>
        <v>http://dx.doi.org/10.3390/jcm12196390</v>
      </c>
      <c r="BH392" s="1" t="s">
        <v>1507</v>
      </c>
      <c r="BI392" s="1" t="s">
        <v>1507</v>
      </c>
      <c r="BJ392" s="1">
        <v>13</v>
      </c>
      <c r="BK392" s="1" t="s">
        <v>1949</v>
      </c>
      <c r="BL392" s="1" t="s">
        <v>1573</v>
      </c>
      <c r="BM392" s="1" t="s">
        <v>1950</v>
      </c>
      <c r="BN392" s="1" t="s">
        <v>3647</v>
      </c>
      <c r="BO392" s="1">
        <v>37835033</v>
      </c>
      <c r="BP392" s="1" t="s">
        <v>1674</v>
      </c>
      <c r="BQ392" s="1" t="s">
        <v>1507</v>
      </c>
      <c r="BR392" s="1" t="s">
        <v>1507</v>
      </c>
      <c r="BS392" s="1" t="s">
        <v>13744</v>
      </c>
      <c r="BT392" s="1" t="s">
        <v>3648</v>
      </c>
      <c r="BU392" s="1" t="str">
        <f>HYPERLINK("https%3A%2F%2Fwww.webofscience.com%2Fwos%2Fwoscc%2Ffull-record%2FWOS:001083004600001","View Full Record in Web of Science")</f>
        <v>View Full Record in Web of Science</v>
      </c>
    </row>
    <row r="393" spans="1:73" x14ac:dyDescent="0.25">
      <c r="A393" s="1">
        <v>435</v>
      </c>
      <c r="B393" s="1" t="s">
        <v>1506</v>
      </c>
      <c r="C393" s="1" t="s">
        <v>5205</v>
      </c>
      <c r="D393" s="1" t="s">
        <v>1507</v>
      </c>
      <c r="E393" s="1" t="s">
        <v>1507</v>
      </c>
      <c r="F393" s="1" t="s">
        <v>1507</v>
      </c>
      <c r="G393" s="1" t="s">
        <v>5206</v>
      </c>
      <c r="H393" s="1" t="s">
        <v>1507</v>
      </c>
      <c r="I393" s="1" t="s">
        <v>1507</v>
      </c>
      <c r="J393" s="1" t="s">
        <v>5207</v>
      </c>
      <c r="K393" s="1" t="s">
        <v>5208</v>
      </c>
      <c r="L393" s="1" t="s">
        <v>1507</v>
      </c>
      <c r="M393" s="1" t="s">
        <v>1507</v>
      </c>
      <c r="N393" s="1" t="s">
        <v>42</v>
      </c>
      <c r="O393" s="1" t="s">
        <v>56</v>
      </c>
      <c r="P393" s="1" t="s">
        <v>1507</v>
      </c>
      <c r="Q393" s="1" t="s">
        <v>1507</v>
      </c>
      <c r="R393" s="1" t="s">
        <v>1507</v>
      </c>
      <c r="S393" s="1" t="s">
        <v>1507</v>
      </c>
      <c r="T393" s="1" t="s">
        <v>1507</v>
      </c>
      <c r="U393" s="1" t="s">
        <v>5209</v>
      </c>
      <c r="V393" s="1" t="s">
        <v>5077</v>
      </c>
      <c r="W393" s="1" t="s">
        <v>5210</v>
      </c>
      <c r="X393" s="1" t="s">
        <v>5211</v>
      </c>
      <c r="Y393" s="1" t="s">
        <v>1507</v>
      </c>
      <c r="Z393" s="1" t="s">
        <v>5212</v>
      </c>
      <c r="AA393" s="1" t="s">
        <v>5213</v>
      </c>
      <c r="AB393" s="1" t="s">
        <v>14787</v>
      </c>
      <c r="AC393" s="1" t="s">
        <v>14788</v>
      </c>
      <c r="AD393" s="1" t="s">
        <v>5214</v>
      </c>
      <c r="AE393" s="1" t="s">
        <v>5215</v>
      </c>
      <c r="AF393" s="1" t="s">
        <v>5216</v>
      </c>
      <c r="AG393" s="1" t="s">
        <v>1507</v>
      </c>
      <c r="AH393" s="1">
        <v>29</v>
      </c>
      <c r="AI393" s="1">
        <v>18</v>
      </c>
      <c r="AJ393" s="1">
        <v>18</v>
      </c>
      <c r="AK393" s="1">
        <v>54</v>
      </c>
      <c r="AL393" s="1">
        <v>118</v>
      </c>
      <c r="AM393" s="1" t="s">
        <v>1610</v>
      </c>
      <c r="AN393" s="1" t="s">
        <v>1611</v>
      </c>
      <c r="AO393" s="1" t="s">
        <v>1612</v>
      </c>
      <c r="AP393" s="1" t="s">
        <v>1507</v>
      </c>
      <c r="AQ393" s="1" t="s">
        <v>5217</v>
      </c>
      <c r="AR393" s="1" t="s">
        <v>1507</v>
      </c>
      <c r="AS393" s="1" t="s">
        <v>5218</v>
      </c>
      <c r="AT393" s="1" t="s">
        <v>5218</v>
      </c>
      <c r="AU393" s="1" t="s">
        <v>5201</v>
      </c>
      <c r="AV393" s="1">
        <v>2023</v>
      </c>
      <c r="AW393" s="1">
        <v>13</v>
      </c>
      <c r="AX393" s="1">
        <v>4</v>
      </c>
      <c r="AY393" s="1" t="s">
        <v>1507</v>
      </c>
      <c r="AZ393" s="1" t="s">
        <v>1507</v>
      </c>
      <c r="BA393" s="1" t="s">
        <v>1507</v>
      </c>
      <c r="BB393" s="1" t="s">
        <v>1507</v>
      </c>
      <c r="BC393" s="1" t="s">
        <v>1507</v>
      </c>
      <c r="BD393" s="1" t="s">
        <v>1507</v>
      </c>
      <c r="BE393" s="1">
        <v>857</v>
      </c>
      <c r="BF393" s="1" t="s">
        <v>5219</v>
      </c>
      <c r="BG393" s="1" t="str">
        <f>HYPERLINK("http://dx.doi.org/10.3390/buildings13040857","http://dx.doi.org/10.3390/buildings13040857")</f>
        <v>http://dx.doi.org/10.3390/buildings13040857</v>
      </c>
      <c r="BH393" s="1" t="s">
        <v>1507</v>
      </c>
      <c r="BI393" s="1" t="s">
        <v>1507</v>
      </c>
      <c r="BJ393" s="1">
        <v>16</v>
      </c>
      <c r="BK393" s="1" t="s">
        <v>1815</v>
      </c>
      <c r="BL393" s="1" t="s">
        <v>1573</v>
      </c>
      <c r="BM393" s="1" t="s">
        <v>1816</v>
      </c>
      <c r="BN393" s="1" t="s">
        <v>5220</v>
      </c>
      <c r="BO393" s="1" t="s">
        <v>1507</v>
      </c>
      <c r="BP393" s="1" t="s">
        <v>1553</v>
      </c>
      <c r="BQ393" s="1" t="s">
        <v>1507</v>
      </c>
      <c r="BR393" s="1" t="s">
        <v>1507</v>
      </c>
      <c r="BS393" s="1" t="s">
        <v>13744</v>
      </c>
      <c r="BT393" s="1" t="s">
        <v>5221</v>
      </c>
      <c r="BU393" s="1" t="str">
        <f>HYPERLINK("https%3A%2F%2Fwww.webofscience.com%2Fwos%2Fwoscc%2Ffull-record%2FWOS:000979233000001","View Full Record in Web of Science")</f>
        <v>View Full Record in Web of Science</v>
      </c>
    </row>
    <row r="394" spans="1:73" x14ac:dyDescent="0.25">
      <c r="A394" s="1">
        <v>437</v>
      </c>
      <c r="B394" s="1" t="s">
        <v>5546</v>
      </c>
      <c r="C394" s="1" t="s">
        <v>6265</v>
      </c>
      <c r="D394" s="1" t="s">
        <v>1507</v>
      </c>
      <c r="E394" s="1" t="s">
        <v>1507</v>
      </c>
      <c r="F394" s="1" t="s">
        <v>5628</v>
      </c>
      <c r="G394" s="1" t="s">
        <v>6266</v>
      </c>
      <c r="H394" s="1" t="s">
        <v>1507</v>
      </c>
      <c r="I394" s="1" t="s">
        <v>1507</v>
      </c>
      <c r="J394" s="1" t="s">
        <v>6267</v>
      </c>
      <c r="K394" s="1" t="s">
        <v>6268</v>
      </c>
      <c r="L394" s="1" t="s">
        <v>6269</v>
      </c>
      <c r="M394" s="1" t="s">
        <v>1507</v>
      </c>
      <c r="N394" s="1" t="s">
        <v>42</v>
      </c>
      <c r="O394" s="1" t="s">
        <v>5552</v>
      </c>
      <c r="P394" s="1" t="s">
        <v>6270</v>
      </c>
      <c r="Q394" s="1" t="s">
        <v>6271</v>
      </c>
      <c r="R394" s="1" t="s">
        <v>6272</v>
      </c>
      <c r="S394" s="1" t="s">
        <v>6273</v>
      </c>
      <c r="T394" s="1" t="s">
        <v>1507</v>
      </c>
      <c r="U394" s="1" t="s">
        <v>6274</v>
      </c>
      <c r="V394" s="1" t="s">
        <v>1507</v>
      </c>
      <c r="W394" s="1" t="s">
        <v>6275</v>
      </c>
      <c r="X394" s="1" t="s">
        <v>6276</v>
      </c>
      <c r="Y394" s="1" t="s">
        <v>6277</v>
      </c>
      <c r="Z394" s="1" t="s">
        <v>6278</v>
      </c>
      <c r="AA394" s="1" t="s">
        <v>6279</v>
      </c>
      <c r="AB394" s="1" t="s">
        <v>15306</v>
      </c>
      <c r="AC394" s="1" t="s">
        <v>6280</v>
      </c>
      <c r="AD394" s="1" t="s">
        <v>6281</v>
      </c>
      <c r="AE394" s="1" t="s">
        <v>6281</v>
      </c>
      <c r="AF394" s="1" t="s">
        <v>6282</v>
      </c>
      <c r="AG394" s="1" t="s">
        <v>1507</v>
      </c>
      <c r="AH394" s="1">
        <v>29</v>
      </c>
      <c r="AI394" s="1">
        <v>0</v>
      </c>
      <c r="AJ394" s="1">
        <v>0</v>
      </c>
      <c r="AK394" s="1">
        <v>2</v>
      </c>
      <c r="AL394" s="1">
        <v>2</v>
      </c>
      <c r="AM394" s="1" t="s">
        <v>5645</v>
      </c>
      <c r="AN394" s="1" t="s">
        <v>5646</v>
      </c>
      <c r="AO394" s="1" t="s">
        <v>5647</v>
      </c>
      <c r="AP394" s="1" t="s">
        <v>6283</v>
      </c>
      <c r="AQ394" s="1" t="s">
        <v>6284</v>
      </c>
      <c r="AR394" s="1" t="s">
        <v>6285</v>
      </c>
      <c r="AS394" s="1" t="s">
        <v>6286</v>
      </c>
      <c r="AT394" s="1" t="s">
        <v>1507</v>
      </c>
      <c r="AU394" s="1" t="s">
        <v>1507</v>
      </c>
      <c r="AV394" s="1">
        <v>2023</v>
      </c>
      <c r="AW394" s="1" t="s">
        <v>1507</v>
      </c>
      <c r="AX394" s="1" t="s">
        <v>1507</v>
      </c>
      <c r="AY394" s="1" t="s">
        <v>1507</v>
      </c>
      <c r="AZ394" s="1" t="s">
        <v>1507</v>
      </c>
      <c r="BA394" s="1" t="s">
        <v>1507</v>
      </c>
      <c r="BB394" s="1" t="s">
        <v>1507</v>
      </c>
      <c r="BC394" s="1">
        <v>53</v>
      </c>
      <c r="BD394" s="1">
        <v>60</v>
      </c>
      <c r="BE394" s="1" t="s">
        <v>1507</v>
      </c>
      <c r="BF394" s="1" t="s">
        <v>6287</v>
      </c>
      <c r="BG394" s="1" t="str">
        <f>HYPERLINK("http://dx.doi.org/10.1109/HOTI59126.2023.00022","http://dx.doi.org/10.1109/HOTI59126.2023.00022")</f>
        <v>http://dx.doi.org/10.1109/HOTI59126.2023.00022</v>
      </c>
      <c r="BH394" s="1" t="s">
        <v>1507</v>
      </c>
      <c r="BI394" s="1" t="s">
        <v>1507</v>
      </c>
      <c r="BJ394" s="1">
        <v>8</v>
      </c>
      <c r="BK394" s="1" t="s">
        <v>6288</v>
      </c>
      <c r="BL394" s="1" t="s">
        <v>5570</v>
      </c>
      <c r="BM394" s="1" t="s">
        <v>1578</v>
      </c>
      <c r="BN394" s="1" t="s">
        <v>6289</v>
      </c>
      <c r="BO394" s="1" t="s">
        <v>1507</v>
      </c>
      <c r="BP394" s="1" t="s">
        <v>1507</v>
      </c>
      <c r="BQ394" s="1" t="s">
        <v>1507</v>
      </c>
      <c r="BR394" s="1" t="s">
        <v>1507</v>
      </c>
      <c r="BS394" s="1" t="s">
        <v>13744</v>
      </c>
      <c r="BT394" s="1" t="s">
        <v>6290</v>
      </c>
      <c r="BU394" s="1" t="str">
        <f>HYPERLINK("https%3A%2F%2Fwww.webofscience.com%2Fwos%2Fwoscc%2Ffull-record%2FWOS:001094865000008","View Full Record in Web of Science")</f>
        <v>View Full Record in Web of Science</v>
      </c>
    </row>
    <row r="395" spans="1:73" x14ac:dyDescent="0.25">
      <c r="A395" s="1">
        <v>438</v>
      </c>
      <c r="B395" s="1" t="s">
        <v>1506</v>
      </c>
      <c r="C395" s="1" t="s">
        <v>8188</v>
      </c>
      <c r="D395" s="1" t="s">
        <v>1507</v>
      </c>
      <c r="E395" s="1" t="s">
        <v>1507</v>
      </c>
      <c r="F395" s="1" t="s">
        <v>1507</v>
      </c>
      <c r="G395" s="1" t="s">
        <v>8189</v>
      </c>
      <c r="H395" s="1" t="s">
        <v>1507</v>
      </c>
      <c r="I395" s="1" t="s">
        <v>1507</v>
      </c>
      <c r="J395" s="1" t="s">
        <v>8190</v>
      </c>
      <c r="K395" s="1" t="s">
        <v>8191</v>
      </c>
      <c r="L395" s="1" t="s">
        <v>1507</v>
      </c>
      <c r="M395" s="1" t="s">
        <v>1507</v>
      </c>
      <c r="N395" s="1" t="s">
        <v>42</v>
      </c>
      <c r="O395" s="1" t="s">
        <v>56</v>
      </c>
      <c r="P395" s="1" t="s">
        <v>1507</v>
      </c>
      <c r="Q395" s="1" t="s">
        <v>1507</v>
      </c>
      <c r="R395" s="1" t="s">
        <v>1507</v>
      </c>
      <c r="S395" s="1" t="s">
        <v>1507</v>
      </c>
      <c r="T395" s="1" t="s">
        <v>1507</v>
      </c>
      <c r="U395" s="1" t="s">
        <v>8192</v>
      </c>
      <c r="V395" s="1" t="s">
        <v>8193</v>
      </c>
      <c r="W395" s="1" t="s">
        <v>8194</v>
      </c>
      <c r="X395" s="1" t="s">
        <v>8195</v>
      </c>
      <c r="Y395" s="1" t="s">
        <v>8196</v>
      </c>
      <c r="Z395" s="1" t="s">
        <v>8197</v>
      </c>
      <c r="AA395" s="1" t="s">
        <v>8198</v>
      </c>
      <c r="AB395" s="1" t="s">
        <v>15711</v>
      </c>
      <c r="AC395" s="1" t="s">
        <v>15712</v>
      </c>
      <c r="AD395" s="1" t="s">
        <v>8199</v>
      </c>
      <c r="AE395" s="1" t="s">
        <v>8200</v>
      </c>
      <c r="AF395" s="1" t="s">
        <v>8201</v>
      </c>
      <c r="AG395" s="1" t="s">
        <v>1507</v>
      </c>
      <c r="AH395" s="1">
        <v>41</v>
      </c>
      <c r="AI395" s="1">
        <v>11</v>
      </c>
      <c r="AJ395" s="1">
        <v>11</v>
      </c>
      <c r="AK395" s="1">
        <v>1</v>
      </c>
      <c r="AL395" s="1">
        <v>16</v>
      </c>
      <c r="AM395" s="1" t="s">
        <v>8202</v>
      </c>
      <c r="AN395" s="1" t="s">
        <v>8203</v>
      </c>
      <c r="AO395" s="1" t="s">
        <v>8204</v>
      </c>
      <c r="AP395" s="1" t="s">
        <v>8205</v>
      </c>
      <c r="AQ395" s="1" t="s">
        <v>1507</v>
      </c>
      <c r="AR395" s="1" t="s">
        <v>1507</v>
      </c>
      <c r="AS395" s="1" t="s">
        <v>8191</v>
      </c>
      <c r="AT395" s="1" t="s">
        <v>8206</v>
      </c>
      <c r="AU395" s="1" t="s">
        <v>8207</v>
      </c>
      <c r="AV395" s="1">
        <v>2021</v>
      </c>
      <c r="AW395" s="1">
        <v>13</v>
      </c>
      <c r="AX395" s="1">
        <v>17</v>
      </c>
      <c r="AY395" s="1" t="s">
        <v>1507</v>
      </c>
      <c r="AZ395" s="1" t="s">
        <v>1507</v>
      </c>
      <c r="BA395" s="1" t="s">
        <v>1507</v>
      </c>
      <c r="BB395" s="1" t="s">
        <v>1507</v>
      </c>
      <c r="BC395" s="1">
        <v>21421</v>
      </c>
      <c r="BD395" s="1">
        <v>21434</v>
      </c>
      <c r="BE395" s="1" t="s">
        <v>1507</v>
      </c>
      <c r="BF395" s="1" t="s">
        <v>1507</v>
      </c>
      <c r="BG395" s="1" t="s">
        <v>1507</v>
      </c>
      <c r="BH395" s="1" t="s">
        <v>1507</v>
      </c>
      <c r="BI395" s="1" t="s">
        <v>1507</v>
      </c>
      <c r="BJ395" s="1">
        <v>14</v>
      </c>
      <c r="BK395" s="1" t="s">
        <v>8208</v>
      </c>
      <c r="BL395" s="1" t="s">
        <v>1573</v>
      </c>
      <c r="BM395" s="1" t="s">
        <v>8208</v>
      </c>
      <c r="BN395" s="1" t="s">
        <v>8209</v>
      </c>
      <c r="BO395" s="1">
        <v>34475271</v>
      </c>
      <c r="BP395" s="1" t="s">
        <v>1674</v>
      </c>
      <c r="BQ395" s="1" t="s">
        <v>1507</v>
      </c>
      <c r="BR395" s="1" t="s">
        <v>1507</v>
      </c>
      <c r="BS395" s="1" t="s">
        <v>13744</v>
      </c>
      <c r="BT395" s="1" t="s">
        <v>8210</v>
      </c>
      <c r="BU395" s="1" t="str">
        <f>HYPERLINK("https%3A%2F%2Fwww.webofscience.com%2Fwos%2Fwoscc%2Ffull-record%2FWOS:000704398100013","View Full Record in Web of Science")</f>
        <v>View Full Record in Web of Science</v>
      </c>
    </row>
    <row r="396" spans="1:73" x14ac:dyDescent="0.25">
      <c r="A396" s="1">
        <v>440</v>
      </c>
      <c r="B396" s="1" t="s">
        <v>1506</v>
      </c>
      <c r="C396" s="1" t="s">
        <v>4761</v>
      </c>
      <c r="D396" s="1" t="s">
        <v>1507</v>
      </c>
      <c r="E396" s="1" t="s">
        <v>1507</v>
      </c>
      <c r="F396" s="1" t="s">
        <v>1507</v>
      </c>
      <c r="G396" s="1" t="s">
        <v>4762</v>
      </c>
      <c r="H396" s="1" t="s">
        <v>1507</v>
      </c>
      <c r="I396" s="1" t="s">
        <v>1507</v>
      </c>
      <c r="J396" s="1" t="s">
        <v>4763</v>
      </c>
      <c r="K396" s="1" t="s">
        <v>4595</v>
      </c>
      <c r="L396" s="1" t="s">
        <v>1507</v>
      </c>
      <c r="M396" s="1" t="s">
        <v>1507</v>
      </c>
      <c r="N396" s="1" t="s">
        <v>42</v>
      </c>
      <c r="O396" s="1" t="s">
        <v>56</v>
      </c>
      <c r="P396" s="1" t="s">
        <v>1507</v>
      </c>
      <c r="Q396" s="1" t="s">
        <v>1507</v>
      </c>
      <c r="R396" s="1" t="s">
        <v>1507</v>
      </c>
      <c r="S396" s="1" t="s">
        <v>1507</v>
      </c>
      <c r="T396" s="1" t="s">
        <v>1507</v>
      </c>
      <c r="U396" s="1" t="s">
        <v>1507</v>
      </c>
      <c r="V396" s="1" t="s">
        <v>1507</v>
      </c>
      <c r="W396" s="1" t="s">
        <v>4764</v>
      </c>
      <c r="X396" s="1" t="s">
        <v>4765</v>
      </c>
      <c r="Y396" s="1" t="s">
        <v>4766</v>
      </c>
      <c r="Z396" s="1" t="s">
        <v>4767</v>
      </c>
      <c r="AA396" s="1" t="s">
        <v>4768</v>
      </c>
      <c r="AB396" s="1" t="s">
        <v>1507</v>
      </c>
      <c r="AC396" s="1" t="s">
        <v>14684</v>
      </c>
      <c r="AD396" s="1" t="s">
        <v>1507</v>
      </c>
      <c r="AE396" s="1" t="s">
        <v>1507</v>
      </c>
      <c r="AF396" s="1" t="s">
        <v>1507</v>
      </c>
      <c r="AG396" s="1" t="s">
        <v>1507</v>
      </c>
      <c r="AH396" s="1">
        <v>15</v>
      </c>
      <c r="AI396" s="1">
        <v>33</v>
      </c>
      <c r="AJ396" s="1">
        <v>33</v>
      </c>
      <c r="AK396" s="1">
        <v>11</v>
      </c>
      <c r="AL396" s="1">
        <v>17</v>
      </c>
      <c r="AM396" s="1" t="s">
        <v>4605</v>
      </c>
      <c r="AN396" s="1" t="s">
        <v>4606</v>
      </c>
      <c r="AO396" s="1" t="s">
        <v>4607</v>
      </c>
      <c r="AP396" s="1" t="s">
        <v>4608</v>
      </c>
      <c r="AQ396" s="1" t="s">
        <v>1507</v>
      </c>
      <c r="AR396" s="1" t="s">
        <v>1507</v>
      </c>
      <c r="AS396" s="1" t="s">
        <v>4595</v>
      </c>
      <c r="AT396" s="1" t="s">
        <v>366</v>
      </c>
      <c r="AU396" s="1" t="s">
        <v>4721</v>
      </c>
      <c r="AV396" s="1">
        <v>2023</v>
      </c>
      <c r="AW396" s="1">
        <v>307</v>
      </c>
      <c r="AX396" s="1">
        <v>5</v>
      </c>
      <c r="AY396" s="1" t="s">
        <v>1507</v>
      </c>
      <c r="AZ396" s="1" t="s">
        <v>1507</v>
      </c>
      <c r="BA396" s="1" t="s">
        <v>1507</v>
      </c>
      <c r="BB396" s="1" t="s">
        <v>1507</v>
      </c>
      <c r="BC396" s="1" t="s">
        <v>1507</v>
      </c>
      <c r="BD396" s="1" t="s">
        <v>1507</v>
      </c>
      <c r="BE396" s="1" t="s">
        <v>1507</v>
      </c>
      <c r="BF396" s="1" t="s">
        <v>1507</v>
      </c>
      <c r="BG396" s="1" t="s">
        <v>1507</v>
      </c>
      <c r="BH396" s="1" t="s">
        <v>1507</v>
      </c>
      <c r="BI396" s="1" t="s">
        <v>1507</v>
      </c>
      <c r="BJ396" s="1">
        <v>288</v>
      </c>
      <c r="BK396" s="1" t="s">
        <v>1653</v>
      </c>
      <c r="BL396" s="1" t="s">
        <v>1573</v>
      </c>
      <c r="BM396" s="1" t="s">
        <v>1653</v>
      </c>
      <c r="BN396" s="1" t="s">
        <v>4769</v>
      </c>
      <c r="BO396" s="1">
        <v>37310252</v>
      </c>
      <c r="BP396" s="1" t="s">
        <v>1507</v>
      </c>
      <c r="BQ396" s="1" t="s">
        <v>1507</v>
      </c>
      <c r="BR396" s="1" t="s">
        <v>1507</v>
      </c>
      <c r="BS396" s="1" t="s">
        <v>13744</v>
      </c>
      <c r="BT396" s="1" t="s">
        <v>4770</v>
      </c>
      <c r="BU396" s="1" t="str">
        <f>HYPERLINK("https%3A%2F%2Fwww.webofscience.com%2Fwos%2Fwoscc%2Ffull-record%2FWOS:001022483100018","View Full Record in Web of Science")</f>
        <v>View Full Record in Web of Science</v>
      </c>
    </row>
    <row r="397" spans="1:73" x14ac:dyDescent="0.25">
      <c r="A397" s="1">
        <v>442</v>
      </c>
      <c r="B397" s="1" t="s">
        <v>1506</v>
      </c>
      <c r="C397" s="1" t="s">
        <v>2930</v>
      </c>
      <c r="D397" s="1" t="s">
        <v>1507</v>
      </c>
      <c r="E397" s="1" t="s">
        <v>1507</v>
      </c>
      <c r="F397" s="1" t="s">
        <v>1507</v>
      </c>
      <c r="G397" s="1" t="s">
        <v>2931</v>
      </c>
      <c r="H397" s="1" t="s">
        <v>1507</v>
      </c>
      <c r="I397" s="1" t="s">
        <v>1507</v>
      </c>
      <c r="J397" s="1" t="s">
        <v>2932</v>
      </c>
      <c r="K397" s="1" t="s">
        <v>2874</v>
      </c>
      <c r="L397" s="1" t="s">
        <v>1507</v>
      </c>
      <c r="M397" s="1" t="s">
        <v>1507</v>
      </c>
      <c r="N397" s="1" t="s">
        <v>42</v>
      </c>
      <c r="O397" s="1" t="s">
        <v>56</v>
      </c>
      <c r="P397" s="1" t="s">
        <v>1507</v>
      </c>
      <c r="Q397" s="1" t="s">
        <v>1507</v>
      </c>
      <c r="R397" s="1" t="s">
        <v>1507</v>
      </c>
      <c r="S397" s="1" t="s">
        <v>1507</v>
      </c>
      <c r="T397" s="1" t="s">
        <v>1507</v>
      </c>
      <c r="U397" s="1" t="s">
        <v>2933</v>
      </c>
      <c r="V397" s="1" t="s">
        <v>2934</v>
      </c>
      <c r="W397" s="1" t="s">
        <v>2935</v>
      </c>
      <c r="X397" s="1" t="s">
        <v>2936</v>
      </c>
      <c r="Y397" s="1" t="s">
        <v>2937</v>
      </c>
      <c r="Z397" s="1" t="s">
        <v>2938</v>
      </c>
      <c r="AA397" s="1" t="s">
        <v>2939</v>
      </c>
      <c r="AB397" s="1" t="s">
        <v>1507</v>
      </c>
      <c r="AC397" s="1" t="s">
        <v>14224</v>
      </c>
      <c r="AD397" s="1" t="s">
        <v>2940</v>
      </c>
      <c r="AE397" s="1" t="s">
        <v>2941</v>
      </c>
      <c r="AF397" s="1" t="s">
        <v>2942</v>
      </c>
      <c r="AG397" s="1" t="s">
        <v>1507</v>
      </c>
      <c r="AH397" s="1">
        <v>34</v>
      </c>
      <c r="AI397" s="1">
        <v>19</v>
      </c>
      <c r="AJ397" s="1">
        <v>19</v>
      </c>
      <c r="AK397" s="1">
        <v>14</v>
      </c>
      <c r="AL397" s="1">
        <v>21</v>
      </c>
      <c r="AM397" s="1" t="s">
        <v>2883</v>
      </c>
      <c r="AN397" s="1" t="s">
        <v>1512</v>
      </c>
      <c r="AO397" s="1" t="s">
        <v>2884</v>
      </c>
      <c r="AP397" s="1" t="s">
        <v>2885</v>
      </c>
      <c r="AQ397" s="1" t="s">
        <v>2886</v>
      </c>
      <c r="AR397" s="1" t="s">
        <v>1507</v>
      </c>
      <c r="AS397" s="1" t="s">
        <v>2887</v>
      </c>
      <c r="AT397" s="1" t="s">
        <v>2888</v>
      </c>
      <c r="AU397" s="1" t="s">
        <v>2889</v>
      </c>
      <c r="AV397" s="1">
        <v>2023</v>
      </c>
      <c r="AW397" s="1">
        <v>20</v>
      </c>
      <c r="AX397" s="1">
        <v>10</v>
      </c>
      <c r="AY397" s="1" t="s">
        <v>1507</v>
      </c>
      <c r="AZ397" s="1" t="s">
        <v>1507</v>
      </c>
      <c r="BA397" s="1" t="s">
        <v>1507</v>
      </c>
      <c r="BB397" s="1" t="s">
        <v>1507</v>
      </c>
      <c r="BC397" s="1">
        <v>990</v>
      </c>
      <c r="BD397" s="1">
        <v>997</v>
      </c>
      <c r="BE397" s="1" t="s">
        <v>1507</v>
      </c>
      <c r="BF397" s="1" t="s">
        <v>2943</v>
      </c>
      <c r="BG397" s="1" t="str">
        <f>HYPERLINK("http://dx.doi.org/10.1016/j.jacr.2023.05.003","http://dx.doi.org/10.1016/j.jacr.2023.05.003")</f>
        <v>http://dx.doi.org/10.1016/j.jacr.2023.05.003</v>
      </c>
      <c r="BH397" s="1" t="s">
        <v>1507</v>
      </c>
      <c r="BI397" s="1" t="s">
        <v>2891</v>
      </c>
      <c r="BJ397" s="1">
        <v>8</v>
      </c>
      <c r="BK397" s="1" t="s">
        <v>1653</v>
      </c>
      <c r="BL397" s="1" t="s">
        <v>1573</v>
      </c>
      <c r="BM397" s="1" t="s">
        <v>1653</v>
      </c>
      <c r="BN397" s="1" t="s">
        <v>2944</v>
      </c>
      <c r="BO397" s="1">
        <v>37356806</v>
      </c>
      <c r="BP397" s="1" t="s">
        <v>5957</v>
      </c>
      <c r="BQ397" s="1" t="s">
        <v>1507</v>
      </c>
      <c r="BR397" s="1" t="s">
        <v>1507</v>
      </c>
      <c r="BS397" s="1" t="s">
        <v>13744</v>
      </c>
      <c r="BT397" s="1" t="s">
        <v>2945</v>
      </c>
      <c r="BU397" s="1" t="str">
        <f>HYPERLINK("https%3A%2F%2Fwww.webofscience.com%2Fwos%2Fwoscc%2Ffull-record%2FWOS:001101364500001","View Full Record in Web of Science")</f>
        <v>View Full Record in Web of Science</v>
      </c>
    </row>
    <row r="398" spans="1:73" x14ac:dyDescent="0.25">
      <c r="A398" s="1">
        <v>443</v>
      </c>
      <c r="B398" s="1" t="s">
        <v>1506</v>
      </c>
      <c r="C398" s="1" t="s">
        <v>4593</v>
      </c>
      <c r="D398" s="1" t="s">
        <v>1507</v>
      </c>
      <c r="E398" s="1" t="s">
        <v>1507</v>
      </c>
      <c r="F398" s="1" t="s">
        <v>1507</v>
      </c>
      <c r="G398" s="1" t="s">
        <v>4594</v>
      </c>
      <c r="H398" s="1" t="s">
        <v>1507</v>
      </c>
      <c r="I398" s="1" t="s">
        <v>1507</v>
      </c>
      <c r="J398" s="1" t="s">
        <v>365</v>
      </c>
      <c r="K398" s="1" t="s">
        <v>4595</v>
      </c>
      <c r="L398" s="1" t="s">
        <v>1507</v>
      </c>
      <c r="M398" s="1" t="s">
        <v>1507</v>
      </c>
      <c r="N398" s="1" t="s">
        <v>42</v>
      </c>
      <c r="O398" s="1" t="s">
        <v>56</v>
      </c>
      <c r="P398" s="1" t="s">
        <v>1507</v>
      </c>
      <c r="Q398" s="1" t="s">
        <v>1507</v>
      </c>
      <c r="R398" s="1" t="s">
        <v>1507</v>
      </c>
      <c r="S398" s="1" t="s">
        <v>1507</v>
      </c>
      <c r="T398" s="1" t="s">
        <v>1507</v>
      </c>
      <c r="U398" s="1" t="s">
        <v>1507</v>
      </c>
      <c r="V398" s="1" t="s">
        <v>4596</v>
      </c>
      <c r="W398" s="1" t="s">
        <v>4597</v>
      </c>
      <c r="X398" s="1" t="s">
        <v>4598</v>
      </c>
      <c r="Y398" s="1" t="s">
        <v>4599</v>
      </c>
      <c r="Z398" s="1" t="s">
        <v>4600</v>
      </c>
      <c r="AA398" s="1" t="s">
        <v>4601</v>
      </c>
      <c r="AB398" s="1" t="s">
        <v>4602</v>
      </c>
      <c r="AC398" s="1" t="s">
        <v>14652</v>
      </c>
      <c r="AD398" s="1" t="s">
        <v>4603</v>
      </c>
      <c r="AE398" s="1" t="s">
        <v>4603</v>
      </c>
      <c r="AF398" s="1" t="s">
        <v>4604</v>
      </c>
      <c r="AG398" s="1" t="s">
        <v>1507</v>
      </c>
      <c r="AH398" s="1">
        <v>23</v>
      </c>
      <c r="AI398" s="1">
        <v>10</v>
      </c>
      <c r="AJ398" s="1">
        <v>10</v>
      </c>
      <c r="AK398" s="1">
        <v>9</v>
      </c>
      <c r="AL398" s="1">
        <v>12</v>
      </c>
      <c r="AM398" s="1" t="s">
        <v>4605</v>
      </c>
      <c r="AN398" s="1" t="s">
        <v>4606</v>
      </c>
      <c r="AO398" s="1" t="s">
        <v>4607</v>
      </c>
      <c r="AP398" s="1" t="s">
        <v>4608</v>
      </c>
      <c r="AQ398" s="1" t="s">
        <v>1507</v>
      </c>
      <c r="AR398" s="1" t="s">
        <v>1507</v>
      </c>
      <c r="AS398" s="1" t="s">
        <v>4595</v>
      </c>
      <c r="AT398" s="1" t="s">
        <v>366</v>
      </c>
      <c r="AU398" s="1" t="s">
        <v>4556</v>
      </c>
      <c r="AV398" s="1">
        <v>2023</v>
      </c>
      <c r="AW398" s="1">
        <v>308</v>
      </c>
      <c r="AX398" s="1">
        <v>1</v>
      </c>
      <c r="AY398" s="1" t="s">
        <v>1507</v>
      </c>
      <c r="AZ398" s="1" t="s">
        <v>1507</v>
      </c>
      <c r="BA398" s="1" t="s">
        <v>1507</v>
      </c>
      <c r="BB398" s="1" t="s">
        <v>1507</v>
      </c>
      <c r="BC398" s="1" t="s">
        <v>1507</v>
      </c>
      <c r="BD398" s="1" t="s">
        <v>1507</v>
      </c>
      <c r="BE398" s="1" t="s">
        <v>367</v>
      </c>
      <c r="BF398" s="1" t="s">
        <v>368</v>
      </c>
      <c r="BG398" s="1" t="str">
        <f>HYPERLINK("http://dx.doi.org/10.1148/radiol.230970","http://dx.doi.org/10.1148/radiol.230970")</f>
        <v>http://dx.doi.org/10.1148/radiol.230970</v>
      </c>
      <c r="BH398" s="1" t="s">
        <v>1507</v>
      </c>
      <c r="BI398" s="1" t="s">
        <v>1507</v>
      </c>
      <c r="BJ398" s="1">
        <v>8</v>
      </c>
      <c r="BK398" s="1" t="s">
        <v>1653</v>
      </c>
      <c r="BL398" s="1" t="s">
        <v>1573</v>
      </c>
      <c r="BM398" s="1" t="s">
        <v>1653</v>
      </c>
      <c r="BN398" s="1" t="s">
        <v>4609</v>
      </c>
      <c r="BO398" s="1">
        <v>37489981</v>
      </c>
      <c r="BP398" s="1" t="s">
        <v>1507</v>
      </c>
      <c r="BQ398" s="1" t="s">
        <v>1507</v>
      </c>
      <c r="BR398" s="1" t="s">
        <v>1507</v>
      </c>
      <c r="BS398" s="1" t="s">
        <v>13744</v>
      </c>
      <c r="BT398" s="1" t="s">
        <v>4610</v>
      </c>
      <c r="BU398" s="1" t="str">
        <f>HYPERLINK("https%3A%2F%2Fwww.webofscience.com%2Fwos%2Fwoscc%2Ffull-record%2FWOS:001068217100029","View Full Record in Web of Science")</f>
        <v>View Full Record in Web of Science</v>
      </c>
    </row>
    <row r="399" spans="1:73" x14ac:dyDescent="0.25">
      <c r="A399" s="1">
        <v>444</v>
      </c>
      <c r="B399" s="1" t="s">
        <v>1506</v>
      </c>
      <c r="C399" s="1" t="s">
        <v>6822</v>
      </c>
      <c r="D399" s="1" t="s">
        <v>1507</v>
      </c>
      <c r="E399" s="1" t="s">
        <v>1507</v>
      </c>
      <c r="F399" s="1" t="s">
        <v>1507</v>
      </c>
      <c r="G399" s="1" t="s">
        <v>6823</v>
      </c>
      <c r="H399" s="1" t="s">
        <v>1507</v>
      </c>
      <c r="I399" s="1" t="s">
        <v>1507</v>
      </c>
      <c r="J399" s="1" t="s">
        <v>6824</v>
      </c>
      <c r="K399" s="1" t="s">
        <v>6825</v>
      </c>
      <c r="L399" s="1" t="s">
        <v>1507</v>
      </c>
      <c r="M399" s="1" t="s">
        <v>1507</v>
      </c>
      <c r="N399" s="1" t="s">
        <v>42</v>
      </c>
      <c r="O399" s="1" t="s">
        <v>56</v>
      </c>
      <c r="P399" s="1" t="s">
        <v>1507</v>
      </c>
      <c r="Q399" s="1" t="s">
        <v>1507</v>
      </c>
      <c r="R399" s="1" t="s">
        <v>1507</v>
      </c>
      <c r="S399" s="1" t="s">
        <v>1507</v>
      </c>
      <c r="T399" s="1" t="s">
        <v>1507</v>
      </c>
      <c r="U399" s="1" t="s">
        <v>6826</v>
      </c>
      <c r="V399" s="1" t="s">
        <v>6827</v>
      </c>
      <c r="W399" s="1" t="s">
        <v>6828</v>
      </c>
      <c r="X399" s="1" t="s">
        <v>6829</v>
      </c>
      <c r="Y399" s="1" t="s">
        <v>6830</v>
      </c>
      <c r="Z399" s="1" t="s">
        <v>6831</v>
      </c>
      <c r="AA399" s="1" t="s">
        <v>6832</v>
      </c>
      <c r="AB399" s="1" t="s">
        <v>15547</v>
      </c>
      <c r="AC399" s="1" t="s">
        <v>6833</v>
      </c>
      <c r="AD399" s="1" t="s">
        <v>6834</v>
      </c>
      <c r="AE399" s="1" t="s">
        <v>6835</v>
      </c>
      <c r="AF399" s="1" t="s">
        <v>6836</v>
      </c>
      <c r="AG399" s="1" t="s">
        <v>1507</v>
      </c>
      <c r="AH399" s="1">
        <v>32</v>
      </c>
      <c r="AI399" s="1">
        <v>0</v>
      </c>
      <c r="AJ399" s="1">
        <v>0</v>
      </c>
      <c r="AK399" s="1">
        <v>4</v>
      </c>
      <c r="AL399" s="1">
        <v>12</v>
      </c>
      <c r="AM399" s="1" t="s">
        <v>1725</v>
      </c>
      <c r="AN399" s="1" t="s">
        <v>1551</v>
      </c>
      <c r="AO399" s="1" t="s">
        <v>1726</v>
      </c>
      <c r="AP399" s="1" t="s">
        <v>1507</v>
      </c>
      <c r="AQ399" s="1" t="s">
        <v>6837</v>
      </c>
      <c r="AR399" s="1" t="s">
        <v>1507</v>
      </c>
      <c r="AS399" s="1" t="s">
        <v>6825</v>
      </c>
      <c r="AT399" s="1" t="s">
        <v>6838</v>
      </c>
      <c r="AU399" s="1" t="s">
        <v>6839</v>
      </c>
      <c r="AV399" s="1">
        <v>2022</v>
      </c>
      <c r="AW399" s="1">
        <v>22</v>
      </c>
      <c r="AX399" s="1">
        <v>1</v>
      </c>
      <c r="AY399" s="1" t="s">
        <v>1507</v>
      </c>
      <c r="AZ399" s="1" t="s">
        <v>1507</v>
      </c>
      <c r="BA399" s="1" t="s">
        <v>1507</v>
      </c>
      <c r="BB399" s="1" t="s">
        <v>1507</v>
      </c>
      <c r="BC399" s="1" t="s">
        <v>1507</v>
      </c>
      <c r="BD399" s="1" t="s">
        <v>1507</v>
      </c>
      <c r="BE399" s="1">
        <v>2036</v>
      </c>
      <c r="BF399" s="1" t="s">
        <v>6840</v>
      </c>
      <c r="BG399" s="1" t="str">
        <f>HYPERLINK("http://dx.doi.org/10.1186/s12889-022-14444-7","http://dx.doi.org/10.1186/s12889-022-14444-7")</f>
        <v>http://dx.doi.org/10.1186/s12889-022-14444-7</v>
      </c>
      <c r="BH399" s="1" t="s">
        <v>1507</v>
      </c>
      <c r="BI399" s="1" t="s">
        <v>1507</v>
      </c>
      <c r="BJ399" s="1">
        <v>8</v>
      </c>
      <c r="BK399" s="1" t="s">
        <v>6841</v>
      </c>
      <c r="BL399" s="1" t="s">
        <v>1573</v>
      </c>
      <c r="BM399" s="1" t="s">
        <v>6841</v>
      </c>
      <c r="BN399" s="1" t="s">
        <v>6842</v>
      </c>
      <c r="BO399" s="1">
        <v>36344975</v>
      </c>
      <c r="BP399" s="1" t="s">
        <v>1674</v>
      </c>
      <c r="BQ399" s="1" t="s">
        <v>1507</v>
      </c>
      <c r="BR399" s="1" t="s">
        <v>1507</v>
      </c>
      <c r="BS399" s="1" t="s">
        <v>13744</v>
      </c>
      <c r="BT399" s="1" t="s">
        <v>6843</v>
      </c>
      <c r="BU399" s="1" t="str">
        <f>HYPERLINK("https%3A%2F%2Fwww.webofscience.com%2Fwos%2Fwoscc%2Ffull-record%2FWOS:000879774000001","View Full Record in Web of Science")</f>
        <v>View Full Record in Web of Science</v>
      </c>
    </row>
    <row r="400" spans="1:73" x14ac:dyDescent="0.25">
      <c r="A400" s="1">
        <v>445</v>
      </c>
      <c r="B400" s="1" t="s">
        <v>1506</v>
      </c>
      <c r="C400" s="1" t="s">
        <v>1935</v>
      </c>
      <c r="D400" s="1" t="s">
        <v>1507</v>
      </c>
      <c r="E400" s="1" t="s">
        <v>1507</v>
      </c>
      <c r="F400" s="1" t="s">
        <v>1507</v>
      </c>
      <c r="G400" s="1" t="s">
        <v>1936</v>
      </c>
      <c r="H400" s="1" t="s">
        <v>1507</v>
      </c>
      <c r="I400" s="1" t="s">
        <v>1507</v>
      </c>
      <c r="J400" s="1" t="s">
        <v>1937</v>
      </c>
      <c r="K400" s="1" t="s">
        <v>1938</v>
      </c>
      <c r="L400" s="1" t="s">
        <v>1507</v>
      </c>
      <c r="M400" s="1" t="s">
        <v>1507</v>
      </c>
      <c r="N400" s="1" t="s">
        <v>42</v>
      </c>
      <c r="O400" s="1" t="s">
        <v>56</v>
      </c>
      <c r="P400" s="1" t="s">
        <v>1507</v>
      </c>
      <c r="Q400" s="1" t="s">
        <v>1507</v>
      </c>
      <c r="R400" s="1" t="s">
        <v>1507</v>
      </c>
      <c r="S400" s="1" t="s">
        <v>1507</v>
      </c>
      <c r="T400" s="1" t="s">
        <v>1507</v>
      </c>
      <c r="U400" s="1" t="s">
        <v>1939</v>
      </c>
      <c r="V400" s="1" t="s">
        <v>1507</v>
      </c>
      <c r="W400" s="1" t="s">
        <v>1940</v>
      </c>
      <c r="X400" s="1" t="s">
        <v>1941</v>
      </c>
      <c r="Y400" s="1" t="s">
        <v>1942</v>
      </c>
      <c r="Z400" s="1" t="s">
        <v>1943</v>
      </c>
      <c r="AA400" s="1" t="s">
        <v>1944</v>
      </c>
      <c r="AB400" s="1" t="s">
        <v>13864</v>
      </c>
      <c r="AC400" s="1" t="s">
        <v>1945</v>
      </c>
      <c r="AD400" s="1" t="s">
        <v>1507</v>
      </c>
      <c r="AE400" s="1" t="s">
        <v>1507</v>
      </c>
      <c r="AF400" s="1" t="s">
        <v>1507</v>
      </c>
      <c r="AG400" s="1" t="s">
        <v>1507</v>
      </c>
      <c r="AH400" s="1">
        <v>52</v>
      </c>
      <c r="AI400" s="1">
        <v>0</v>
      </c>
      <c r="AJ400" s="1">
        <v>0</v>
      </c>
      <c r="AK400" s="1">
        <v>16</v>
      </c>
      <c r="AL400" s="1">
        <v>16</v>
      </c>
      <c r="AM400" s="1" t="s">
        <v>1564</v>
      </c>
      <c r="AN400" s="1" t="s">
        <v>1565</v>
      </c>
      <c r="AO400" s="1" t="s">
        <v>1566</v>
      </c>
      <c r="AP400" s="1" t="s">
        <v>1507</v>
      </c>
      <c r="AQ400" s="1" t="s">
        <v>1946</v>
      </c>
      <c r="AR400" s="1" t="s">
        <v>1507</v>
      </c>
      <c r="AS400" s="1" t="s">
        <v>1947</v>
      </c>
      <c r="AT400" s="1" t="s">
        <v>626</v>
      </c>
      <c r="AU400" s="1" t="s">
        <v>1948</v>
      </c>
      <c r="AV400" s="1">
        <v>2023</v>
      </c>
      <c r="AW400" s="1">
        <v>10</v>
      </c>
      <c r="AX400" s="1" t="s">
        <v>1507</v>
      </c>
      <c r="AY400" s="1" t="s">
        <v>1507</v>
      </c>
      <c r="AZ400" s="1" t="s">
        <v>1507</v>
      </c>
      <c r="BA400" s="1" t="s">
        <v>1507</v>
      </c>
      <c r="BB400" s="1" t="s">
        <v>1507</v>
      </c>
      <c r="BC400" s="1" t="s">
        <v>1507</v>
      </c>
      <c r="BD400" s="1" t="s">
        <v>1507</v>
      </c>
      <c r="BE400" s="1">
        <v>1296615</v>
      </c>
      <c r="BF400" s="1" t="s">
        <v>619</v>
      </c>
      <c r="BG400" s="1" t="str">
        <f>HYPERLINK("http://dx.doi.org/10.3389/fmed.2023.1296615","http://dx.doi.org/10.3389/fmed.2023.1296615")</f>
        <v>http://dx.doi.org/10.3389/fmed.2023.1296615</v>
      </c>
      <c r="BH400" s="1" t="s">
        <v>1507</v>
      </c>
      <c r="BI400" s="1" t="s">
        <v>1507</v>
      </c>
      <c r="BJ400" s="1">
        <v>11</v>
      </c>
      <c r="BK400" s="1" t="s">
        <v>1949</v>
      </c>
      <c r="BL400" s="1" t="s">
        <v>1573</v>
      </c>
      <c r="BM400" s="1" t="s">
        <v>1950</v>
      </c>
      <c r="BN400" s="1" t="s">
        <v>1951</v>
      </c>
      <c r="BO400" s="1">
        <v>38155661</v>
      </c>
      <c r="BP400" s="1" t="s">
        <v>1952</v>
      </c>
      <c r="BQ400" s="1" t="s">
        <v>1507</v>
      </c>
      <c r="BR400" s="1" t="s">
        <v>1507</v>
      </c>
      <c r="BS400" s="1" t="s">
        <v>13744</v>
      </c>
      <c r="BT400" s="1" t="s">
        <v>1953</v>
      </c>
      <c r="BU400" s="1" t="str">
        <f>HYPERLINK("https%3A%2F%2Fwww.webofscience.com%2Fwos%2Fwoscc%2Ffull-record%2FWOS:001130296800001","View Full Record in Web of Science")</f>
        <v>View Full Record in Web of Science</v>
      </c>
    </row>
    <row r="401" spans="1:73" x14ac:dyDescent="0.25">
      <c r="A401" s="1">
        <v>446</v>
      </c>
      <c r="B401" s="1" t="s">
        <v>1506</v>
      </c>
      <c r="C401" s="1" t="s">
        <v>3649</v>
      </c>
      <c r="D401" s="1" t="s">
        <v>1507</v>
      </c>
      <c r="E401" s="1" t="s">
        <v>1507</v>
      </c>
      <c r="F401" s="1" t="s">
        <v>1507</v>
      </c>
      <c r="G401" s="1" t="s">
        <v>3650</v>
      </c>
      <c r="H401" s="1" t="s">
        <v>1507</v>
      </c>
      <c r="I401" s="1" t="s">
        <v>1507</v>
      </c>
      <c r="J401" s="1" t="s">
        <v>3651</v>
      </c>
      <c r="K401" s="1" t="s">
        <v>3652</v>
      </c>
      <c r="L401" s="1" t="s">
        <v>1507</v>
      </c>
      <c r="M401" s="1" t="s">
        <v>1507</v>
      </c>
      <c r="N401" s="1" t="s">
        <v>42</v>
      </c>
      <c r="O401" s="1" t="s">
        <v>56</v>
      </c>
      <c r="P401" s="1" t="s">
        <v>1507</v>
      </c>
      <c r="Q401" s="1" t="s">
        <v>1507</v>
      </c>
      <c r="R401" s="1" t="s">
        <v>1507</v>
      </c>
      <c r="S401" s="1" t="s">
        <v>1507</v>
      </c>
      <c r="T401" s="1" t="s">
        <v>1507</v>
      </c>
      <c r="U401" s="1" t="s">
        <v>3653</v>
      </c>
      <c r="V401" s="1" t="s">
        <v>1507</v>
      </c>
      <c r="W401" s="1" t="s">
        <v>3654</v>
      </c>
      <c r="X401" s="1" t="s">
        <v>3655</v>
      </c>
      <c r="Y401" s="1" t="s">
        <v>3656</v>
      </c>
      <c r="Z401" s="1" t="s">
        <v>3657</v>
      </c>
      <c r="AA401" s="1" t="s">
        <v>3658</v>
      </c>
      <c r="AB401" s="1" t="s">
        <v>14432</v>
      </c>
      <c r="AC401" s="1" t="s">
        <v>3659</v>
      </c>
      <c r="AD401" s="1" t="s">
        <v>3660</v>
      </c>
      <c r="AE401" s="1" t="s">
        <v>3660</v>
      </c>
      <c r="AF401" s="1" t="s">
        <v>3661</v>
      </c>
      <c r="AG401" s="1" t="s">
        <v>1507</v>
      </c>
      <c r="AH401" s="1">
        <v>10</v>
      </c>
      <c r="AI401" s="1">
        <v>0</v>
      </c>
      <c r="AJ401" s="1">
        <v>0</v>
      </c>
      <c r="AK401" s="1">
        <v>7</v>
      </c>
      <c r="AL401" s="1">
        <v>7</v>
      </c>
      <c r="AM401" s="1" t="s">
        <v>2733</v>
      </c>
      <c r="AN401" s="1" t="s">
        <v>1551</v>
      </c>
      <c r="AO401" s="1" t="s">
        <v>2734</v>
      </c>
      <c r="AP401" s="1" t="s">
        <v>1507</v>
      </c>
      <c r="AQ401" s="1" t="s">
        <v>3662</v>
      </c>
      <c r="AR401" s="1" t="s">
        <v>1507</v>
      </c>
      <c r="AS401" s="1" t="s">
        <v>3663</v>
      </c>
      <c r="AT401" s="1" t="s">
        <v>3664</v>
      </c>
      <c r="AU401" s="1" t="s">
        <v>2889</v>
      </c>
      <c r="AV401" s="1">
        <v>2023</v>
      </c>
      <c r="AW401" s="1">
        <v>30</v>
      </c>
      <c r="AX401" s="1">
        <v>1</v>
      </c>
      <c r="AY401" s="1" t="s">
        <v>1507</v>
      </c>
      <c r="AZ401" s="1" t="s">
        <v>1507</v>
      </c>
      <c r="BA401" s="1" t="s">
        <v>1507</v>
      </c>
      <c r="BB401" s="1" t="s">
        <v>1507</v>
      </c>
      <c r="BC401" s="1" t="s">
        <v>1507</v>
      </c>
      <c r="BD401" s="1" t="s">
        <v>1507</v>
      </c>
      <c r="BE401" s="1" t="s">
        <v>3665</v>
      </c>
      <c r="BF401" s="1" t="s">
        <v>3666</v>
      </c>
      <c r="BG401" s="1" t="str">
        <f>HYPERLINK("http://dx.doi.org/10.1136/bmjhci-2023-100830","http://dx.doi.org/10.1136/bmjhci-2023-100830")</f>
        <v>http://dx.doi.org/10.1136/bmjhci-2023-100830</v>
      </c>
      <c r="BH401" s="1" t="s">
        <v>1507</v>
      </c>
      <c r="BI401" s="1" t="s">
        <v>1507</v>
      </c>
      <c r="BJ401" s="1">
        <v>5</v>
      </c>
      <c r="BK401" s="1" t="s">
        <v>1585</v>
      </c>
      <c r="BL401" s="1" t="s">
        <v>1529</v>
      </c>
      <c r="BM401" s="1" t="s">
        <v>1585</v>
      </c>
      <c r="BN401" s="1" t="s">
        <v>3667</v>
      </c>
      <c r="BO401" s="1">
        <v>37827724</v>
      </c>
      <c r="BP401" s="1" t="s">
        <v>1952</v>
      </c>
      <c r="BQ401" s="1" t="s">
        <v>1507</v>
      </c>
      <c r="BR401" s="1" t="s">
        <v>1507</v>
      </c>
      <c r="BS401" s="1" t="s">
        <v>13744</v>
      </c>
      <c r="BT401" s="1" t="s">
        <v>3668</v>
      </c>
      <c r="BU401" s="1" t="str">
        <f>HYPERLINK("https%3A%2F%2Fwww.webofscience.com%2Fwos%2Fwoscc%2Ffull-record%2FWOS:001085193700002","View Full Record in Web of Science")</f>
        <v>View Full Record in Web of Science</v>
      </c>
    </row>
    <row r="402" spans="1:73" x14ac:dyDescent="0.25">
      <c r="A402" s="1">
        <v>447</v>
      </c>
      <c r="B402" s="1" t="s">
        <v>1506</v>
      </c>
      <c r="C402" s="1" t="s">
        <v>4651</v>
      </c>
      <c r="D402" s="1" t="s">
        <v>1507</v>
      </c>
      <c r="E402" s="1" t="s">
        <v>1507</v>
      </c>
      <c r="F402" s="1" t="s">
        <v>1507</v>
      </c>
      <c r="G402" s="1" t="s">
        <v>4652</v>
      </c>
      <c r="H402" s="1" t="s">
        <v>1507</v>
      </c>
      <c r="I402" s="1" t="s">
        <v>1507</v>
      </c>
      <c r="J402" s="1" t="s">
        <v>4653</v>
      </c>
      <c r="K402" s="1" t="s">
        <v>3083</v>
      </c>
      <c r="L402" s="1" t="s">
        <v>1507</v>
      </c>
      <c r="M402" s="1" t="s">
        <v>1507</v>
      </c>
      <c r="N402" s="1" t="s">
        <v>42</v>
      </c>
      <c r="O402" s="1" t="s">
        <v>56</v>
      </c>
      <c r="P402" s="1" t="s">
        <v>1507</v>
      </c>
      <c r="Q402" s="1" t="s">
        <v>1507</v>
      </c>
      <c r="R402" s="1" t="s">
        <v>1507</v>
      </c>
      <c r="S402" s="1" t="s">
        <v>1507</v>
      </c>
      <c r="T402" s="1" t="s">
        <v>1507</v>
      </c>
      <c r="U402" s="1" t="s">
        <v>4654</v>
      </c>
      <c r="V402" s="1" t="s">
        <v>1507</v>
      </c>
      <c r="W402" s="1" t="s">
        <v>4655</v>
      </c>
      <c r="X402" s="1" t="s">
        <v>4656</v>
      </c>
      <c r="Y402" s="1" t="s">
        <v>1507</v>
      </c>
      <c r="Z402" s="1" t="s">
        <v>4657</v>
      </c>
      <c r="AA402" s="1" t="s">
        <v>4658</v>
      </c>
      <c r="AB402" s="1" t="s">
        <v>1507</v>
      </c>
      <c r="AC402" s="1" t="s">
        <v>1507</v>
      </c>
      <c r="AD402" s="1" t="s">
        <v>1507</v>
      </c>
      <c r="AE402" s="1" t="s">
        <v>1507</v>
      </c>
      <c r="AF402" s="1" t="s">
        <v>1507</v>
      </c>
      <c r="AG402" s="1" t="s">
        <v>1507</v>
      </c>
      <c r="AH402" s="1">
        <v>8</v>
      </c>
      <c r="AI402" s="1">
        <v>0</v>
      </c>
      <c r="AJ402" s="1">
        <v>0</v>
      </c>
      <c r="AK402" s="1">
        <v>5</v>
      </c>
      <c r="AL402" s="1">
        <v>8</v>
      </c>
      <c r="AM402" s="1" t="s">
        <v>1601</v>
      </c>
      <c r="AN402" s="1" t="s">
        <v>1551</v>
      </c>
      <c r="AO402" s="1" t="s">
        <v>1602</v>
      </c>
      <c r="AP402" s="1" t="s">
        <v>1507</v>
      </c>
      <c r="AQ402" s="1" t="s">
        <v>3091</v>
      </c>
      <c r="AR402" s="1" t="s">
        <v>1507</v>
      </c>
      <c r="AS402" s="1" t="s">
        <v>3092</v>
      </c>
      <c r="AT402" s="1" t="s">
        <v>3093</v>
      </c>
      <c r="AU402" s="1" t="s">
        <v>4659</v>
      </c>
      <c r="AV402" s="1">
        <v>2023</v>
      </c>
      <c r="AW402" s="1">
        <v>15</v>
      </c>
      <c r="AX402" s="1">
        <v>6</v>
      </c>
      <c r="AY402" s="1" t="s">
        <v>1507</v>
      </c>
      <c r="AZ402" s="1" t="s">
        <v>1507</v>
      </c>
      <c r="BA402" s="1" t="s">
        <v>1507</v>
      </c>
      <c r="BB402" s="1" t="s">
        <v>1507</v>
      </c>
      <c r="BC402" s="1" t="s">
        <v>1507</v>
      </c>
      <c r="BD402" s="1" t="s">
        <v>1507</v>
      </c>
      <c r="BE402" s="1" t="s">
        <v>1507</v>
      </c>
      <c r="BF402" s="1" t="s">
        <v>4660</v>
      </c>
      <c r="BG402" s="1" t="str">
        <f>HYPERLINK("http://dx.doi.org/10.7759/cureus.40546","http://dx.doi.org/10.7759/cureus.40546")</f>
        <v>http://dx.doi.org/10.7759/cureus.40546</v>
      </c>
      <c r="BH402" s="1" t="s">
        <v>1507</v>
      </c>
      <c r="BI402" s="1" t="s">
        <v>1507</v>
      </c>
      <c r="BJ402" s="1">
        <v>8</v>
      </c>
      <c r="BK402" s="1" t="s">
        <v>1949</v>
      </c>
      <c r="BL402" s="1" t="s">
        <v>1529</v>
      </c>
      <c r="BM402" s="1" t="s">
        <v>1950</v>
      </c>
      <c r="BN402" s="1" t="s">
        <v>4661</v>
      </c>
      <c r="BO402" s="1">
        <v>37465809</v>
      </c>
      <c r="BP402" s="1" t="s">
        <v>1952</v>
      </c>
      <c r="BQ402" s="1" t="s">
        <v>1507</v>
      </c>
      <c r="BR402" s="1" t="s">
        <v>1507</v>
      </c>
      <c r="BS402" s="1" t="s">
        <v>13744</v>
      </c>
      <c r="BT402" s="1" t="s">
        <v>4662</v>
      </c>
      <c r="BU402" s="1" t="str">
        <f>HYPERLINK("https%3A%2F%2Fwww.webofscience.com%2Fwos%2Fwoscc%2Ffull-record%2FWOS:001035807800015","View Full Record in Web of Science")</f>
        <v>View Full Record in Web of Science</v>
      </c>
    </row>
    <row r="403" spans="1:73" x14ac:dyDescent="0.25">
      <c r="A403" s="1">
        <v>448</v>
      </c>
      <c r="B403" s="1" t="s">
        <v>1506</v>
      </c>
      <c r="C403" s="1" t="s">
        <v>3168</v>
      </c>
      <c r="D403" s="1" t="s">
        <v>1507</v>
      </c>
      <c r="E403" s="1" t="s">
        <v>1507</v>
      </c>
      <c r="F403" s="1" t="s">
        <v>1507</v>
      </c>
      <c r="G403" s="1" t="s">
        <v>3169</v>
      </c>
      <c r="H403" s="1" t="s">
        <v>1507</v>
      </c>
      <c r="I403" s="1" t="s">
        <v>1507</v>
      </c>
      <c r="J403" s="1" t="s">
        <v>3170</v>
      </c>
      <c r="K403" s="1" t="s">
        <v>3171</v>
      </c>
      <c r="L403" s="1" t="s">
        <v>1507</v>
      </c>
      <c r="M403" s="1" t="s">
        <v>1507</v>
      </c>
      <c r="N403" s="1" t="s">
        <v>42</v>
      </c>
      <c r="O403" s="1" t="s">
        <v>1509</v>
      </c>
      <c r="P403" s="1" t="s">
        <v>1507</v>
      </c>
      <c r="Q403" s="1" t="s">
        <v>1507</v>
      </c>
      <c r="R403" s="1" t="s">
        <v>1507</v>
      </c>
      <c r="S403" s="1" t="s">
        <v>1507</v>
      </c>
      <c r="T403" s="1" t="s">
        <v>1507</v>
      </c>
      <c r="U403" s="1" t="s">
        <v>3172</v>
      </c>
      <c r="V403" s="1" t="s">
        <v>3173</v>
      </c>
      <c r="W403" s="1" t="s">
        <v>3174</v>
      </c>
      <c r="X403" s="1" t="s">
        <v>3175</v>
      </c>
      <c r="Y403" s="1" t="s">
        <v>3176</v>
      </c>
      <c r="Z403" s="1" t="s">
        <v>3177</v>
      </c>
      <c r="AA403" s="1" t="s">
        <v>3178</v>
      </c>
      <c r="AB403" s="1" t="s">
        <v>1507</v>
      </c>
      <c r="AC403" s="1" t="s">
        <v>1507</v>
      </c>
      <c r="AD403" s="1" t="s">
        <v>3179</v>
      </c>
      <c r="AE403" s="1" t="s">
        <v>3179</v>
      </c>
      <c r="AF403" s="1" t="s">
        <v>3180</v>
      </c>
      <c r="AG403" s="1" t="s">
        <v>1507</v>
      </c>
      <c r="AH403" s="1">
        <v>53</v>
      </c>
      <c r="AI403" s="1">
        <v>2</v>
      </c>
      <c r="AJ403" s="1">
        <v>2</v>
      </c>
      <c r="AK403" s="1">
        <v>6</v>
      </c>
      <c r="AL403" s="1">
        <v>6</v>
      </c>
      <c r="AM403" s="1" t="s">
        <v>2073</v>
      </c>
      <c r="AN403" s="1" t="s">
        <v>2074</v>
      </c>
      <c r="AO403" s="1" t="s">
        <v>2075</v>
      </c>
      <c r="AP403" s="1" t="s">
        <v>3181</v>
      </c>
      <c r="AQ403" s="1" t="s">
        <v>3182</v>
      </c>
      <c r="AR403" s="1" t="s">
        <v>1507</v>
      </c>
      <c r="AS403" s="1" t="s">
        <v>3183</v>
      </c>
      <c r="AT403" s="1" t="s">
        <v>3184</v>
      </c>
      <c r="AU403" s="1" t="s">
        <v>3185</v>
      </c>
      <c r="AV403" s="1">
        <v>2023</v>
      </c>
      <c r="AW403" s="1" t="s">
        <v>1507</v>
      </c>
      <c r="AX403" s="1" t="s">
        <v>1507</v>
      </c>
      <c r="AY403" s="1" t="s">
        <v>1507</v>
      </c>
      <c r="AZ403" s="1" t="s">
        <v>1507</v>
      </c>
      <c r="BA403" s="1" t="s">
        <v>1507</v>
      </c>
      <c r="BB403" s="1" t="s">
        <v>1507</v>
      </c>
      <c r="BC403" s="1" t="s">
        <v>1507</v>
      </c>
      <c r="BD403" s="1" t="s">
        <v>1507</v>
      </c>
      <c r="BE403" s="1" t="s">
        <v>1507</v>
      </c>
      <c r="BF403" s="1" t="s">
        <v>3186</v>
      </c>
      <c r="BG403" s="1" t="str">
        <f>HYPERLINK("http://dx.doi.org/10.1177/00905917231200826","http://dx.doi.org/10.1177/00905917231200826")</f>
        <v>http://dx.doi.org/10.1177/00905917231200826</v>
      </c>
      <c r="BH403" s="1" t="s">
        <v>1507</v>
      </c>
      <c r="BI403" s="1" t="s">
        <v>2891</v>
      </c>
      <c r="BJ403" s="1">
        <v>33</v>
      </c>
      <c r="BK403" s="1" t="s">
        <v>3187</v>
      </c>
      <c r="BL403" s="1" t="s">
        <v>1518</v>
      </c>
      <c r="BM403" s="1" t="s">
        <v>1536</v>
      </c>
      <c r="BN403" s="1" t="s">
        <v>3188</v>
      </c>
      <c r="BO403" s="1" t="s">
        <v>1507</v>
      </c>
      <c r="BP403" s="1" t="s">
        <v>4214</v>
      </c>
      <c r="BQ403" s="1" t="s">
        <v>1507</v>
      </c>
      <c r="BR403" s="1" t="s">
        <v>1507</v>
      </c>
      <c r="BS403" s="1" t="s">
        <v>13744</v>
      </c>
      <c r="BT403" s="1" t="s">
        <v>3189</v>
      </c>
      <c r="BU403" s="1" t="str">
        <f>HYPERLINK("https%3A%2F%2Fwww.webofscience.com%2Fwos%2Fwoscc%2Ffull-record%2FWOS:001087029700001","View Full Record in Web of Science")</f>
        <v>View Full Record in Web of Science</v>
      </c>
    </row>
    <row r="404" spans="1:73" x14ac:dyDescent="0.25">
      <c r="A404" s="1">
        <v>449</v>
      </c>
      <c r="B404" s="1" t="s">
        <v>1506</v>
      </c>
      <c r="C404" s="1" t="s">
        <v>5412</v>
      </c>
      <c r="D404" s="1" t="s">
        <v>1507</v>
      </c>
      <c r="E404" s="1" t="s">
        <v>1507</v>
      </c>
      <c r="F404" s="1" t="s">
        <v>1507</v>
      </c>
      <c r="G404" s="1" t="s">
        <v>5413</v>
      </c>
      <c r="H404" s="1" t="s">
        <v>1507</v>
      </c>
      <c r="I404" s="1" t="s">
        <v>1507</v>
      </c>
      <c r="J404" s="1" t="s">
        <v>5414</v>
      </c>
      <c r="K404" s="1" t="s">
        <v>1999</v>
      </c>
      <c r="L404" s="1" t="s">
        <v>1507</v>
      </c>
      <c r="M404" s="1" t="s">
        <v>1507</v>
      </c>
      <c r="N404" s="1" t="s">
        <v>42</v>
      </c>
      <c r="O404" s="1" t="s">
        <v>56</v>
      </c>
      <c r="P404" s="1" t="s">
        <v>1507</v>
      </c>
      <c r="Q404" s="1" t="s">
        <v>1507</v>
      </c>
      <c r="R404" s="1" t="s">
        <v>1507</v>
      </c>
      <c r="S404" s="1" t="s">
        <v>1507</v>
      </c>
      <c r="T404" s="1" t="s">
        <v>1507</v>
      </c>
      <c r="U404" s="1" t="s">
        <v>1507</v>
      </c>
      <c r="V404" s="1" t="s">
        <v>1618</v>
      </c>
      <c r="W404" s="1" t="s">
        <v>5415</v>
      </c>
      <c r="X404" s="1" t="s">
        <v>5416</v>
      </c>
      <c r="Y404" s="1" t="s">
        <v>5417</v>
      </c>
      <c r="Z404" s="1" t="s">
        <v>5418</v>
      </c>
      <c r="AA404" s="1" t="s">
        <v>5419</v>
      </c>
      <c r="AB404" s="1" t="s">
        <v>5420</v>
      </c>
      <c r="AC404" s="1" t="s">
        <v>14807</v>
      </c>
      <c r="AD404" s="1" t="s">
        <v>5421</v>
      </c>
      <c r="AE404" s="1" t="s">
        <v>5422</v>
      </c>
      <c r="AF404" s="1" t="s">
        <v>5423</v>
      </c>
      <c r="AG404" s="1" t="s">
        <v>1507</v>
      </c>
      <c r="AH404" s="1">
        <v>55</v>
      </c>
      <c r="AI404" s="1">
        <v>2</v>
      </c>
      <c r="AJ404" s="1">
        <v>2</v>
      </c>
      <c r="AK404" s="1">
        <v>0</v>
      </c>
      <c r="AL404" s="1">
        <v>0</v>
      </c>
      <c r="AM404" s="1" t="s">
        <v>2009</v>
      </c>
      <c r="AN404" s="1" t="s">
        <v>2010</v>
      </c>
      <c r="AO404" s="1" t="s">
        <v>2011</v>
      </c>
      <c r="AP404" s="1" t="s">
        <v>2012</v>
      </c>
      <c r="AQ404" s="1" t="s">
        <v>1507</v>
      </c>
      <c r="AR404" s="1" t="s">
        <v>1507</v>
      </c>
      <c r="AS404" s="1" t="s">
        <v>1999</v>
      </c>
      <c r="AT404" s="1" t="s">
        <v>2013</v>
      </c>
      <c r="AU404" s="1" t="s">
        <v>5424</v>
      </c>
      <c r="AV404" s="1">
        <v>2023</v>
      </c>
      <c r="AW404" s="1">
        <v>18</v>
      </c>
      <c r="AX404" s="1">
        <v>2</v>
      </c>
      <c r="AY404" s="1" t="s">
        <v>1507</v>
      </c>
      <c r="AZ404" s="1" t="s">
        <v>1507</v>
      </c>
      <c r="BA404" s="1" t="s">
        <v>1507</v>
      </c>
      <c r="BB404" s="1" t="s">
        <v>1507</v>
      </c>
      <c r="BC404" s="1" t="s">
        <v>1507</v>
      </c>
      <c r="BD404" s="1" t="s">
        <v>1507</v>
      </c>
      <c r="BE404" s="1" t="s">
        <v>5425</v>
      </c>
      <c r="BF404" s="1" t="s">
        <v>5426</v>
      </c>
      <c r="BG404" s="1" t="str">
        <f>HYPERLINK("http://dx.doi.org/10.1371/journal.pone.0281581","http://dx.doi.org/10.1371/journal.pone.0281581")</f>
        <v>http://dx.doi.org/10.1371/journal.pone.0281581</v>
      </c>
      <c r="BH404" s="1" t="s">
        <v>1507</v>
      </c>
      <c r="BI404" s="1" t="s">
        <v>1507</v>
      </c>
      <c r="BJ404" s="1">
        <v>19</v>
      </c>
      <c r="BK404" s="1" t="s">
        <v>1776</v>
      </c>
      <c r="BL404" s="1" t="s">
        <v>1573</v>
      </c>
      <c r="BM404" s="1" t="s">
        <v>1777</v>
      </c>
      <c r="BN404" s="1" t="s">
        <v>5427</v>
      </c>
      <c r="BO404" s="1">
        <v>36787329</v>
      </c>
      <c r="BP404" s="1" t="s">
        <v>14808</v>
      </c>
      <c r="BQ404" s="1" t="s">
        <v>1507</v>
      </c>
      <c r="BR404" s="1" t="s">
        <v>1507</v>
      </c>
      <c r="BS404" s="1" t="s">
        <v>13744</v>
      </c>
      <c r="BT404" s="1" t="s">
        <v>5428</v>
      </c>
      <c r="BU404" s="1" t="str">
        <f>HYPERLINK("https%3A%2F%2Fwww.webofscience.com%2Fwos%2Fwoscc%2Ffull-record%2FWOS:000960719800001","View Full Record in Web of Science")</f>
        <v>View Full Record in Web of Science</v>
      </c>
    </row>
    <row r="405" spans="1:73" x14ac:dyDescent="0.25">
      <c r="A405" s="1">
        <v>450</v>
      </c>
      <c r="B405" s="1" t="s">
        <v>1506</v>
      </c>
      <c r="C405" s="1" t="s">
        <v>10571</v>
      </c>
      <c r="D405" s="1" t="s">
        <v>1507</v>
      </c>
      <c r="E405" s="1" t="s">
        <v>1507</v>
      </c>
      <c r="F405" s="1" t="s">
        <v>1507</v>
      </c>
      <c r="G405" s="1" t="s">
        <v>10572</v>
      </c>
      <c r="H405" s="1" t="s">
        <v>1507</v>
      </c>
      <c r="I405" s="1" t="s">
        <v>1507</v>
      </c>
      <c r="J405" s="1" t="s">
        <v>10573</v>
      </c>
      <c r="K405" s="1" t="s">
        <v>10574</v>
      </c>
      <c r="L405" s="1" t="s">
        <v>1507</v>
      </c>
      <c r="M405" s="1" t="s">
        <v>1507</v>
      </c>
      <c r="N405" s="1" t="s">
        <v>42</v>
      </c>
      <c r="O405" s="1" t="s">
        <v>56</v>
      </c>
      <c r="P405" s="1" t="s">
        <v>1507</v>
      </c>
      <c r="Q405" s="1" t="s">
        <v>1507</v>
      </c>
      <c r="R405" s="1" t="s">
        <v>1507</v>
      </c>
      <c r="S405" s="1" t="s">
        <v>1507</v>
      </c>
      <c r="T405" s="1" t="s">
        <v>1507</v>
      </c>
      <c r="U405" s="1" t="s">
        <v>10575</v>
      </c>
      <c r="V405" s="1" t="s">
        <v>10576</v>
      </c>
      <c r="W405" s="1" t="s">
        <v>10577</v>
      </c>
      <c r="X405" s="1" t="s">
        <v>10578</v>
      </c>
      <c r="Y405" s="1" t="s">
        <v>10579</v>
      </c>
      <c r="Z405" s="1" t="s">
        <v>10580</v>
      </c>
      <c r="AA405" s="1" t="s">
        <v>4822</v>
      </c>
      <c r="AB405" s="1" t="s">
        <v>15868</v>
      </c>
      <c r="AC405" s="1" t="s">
        <v>15869</v>
      </c>
      <c r="AD405" s="1" t="s">
        <v>10581</v>
      </c>
      <c r="AE405" s="1" t="s">
        <v>10582</v>
      </c>
      <c r="AF405" s="1" t="s">
        <v>10583</v>
      </c>
      <c r="AG405" s="1" t="s">
        <v>1507</v>
      </c>
      <c r="AH405" s="1">
        <v>29</v>
      </c>
      <c r="AI405" s="1">
        <v>4</v>
      </c>
      <c r="AJ405" s="1">
        <v>4</v>
      </c>
      <c r="AK405" s="1">
        <v>0</v>
      </c>
      <c r="AL405" s="1">
        <v>10</v>
      </c>
      <c r="AM405" s="1" t="s">
        <v>1511</v>
      </c>
      <c r="AN405" s="1" t="s">
        <v>1512</v>
      </c>
      <c r="AO405" s="1" t="s">
        <v>1513</v>
      </c>
      <c r="AP405" s="1" t="s">
        <v>10584</v>
      </c>
      <c r="AQ405" s="1" t="s">
        <v>10585</v>
      </c>
      <c r="AR405" s="1" t="s">
        <v>1507</v>
      </c>
      <c r="AS405" s="1" t="s">
        <v>10586</v>
      </c>
      <c r="AT405" s="1" t="s">
        <v>10587</v>
      </c>
      <c r="AU405" s="1" t="s">
        <v>2771</v>
      </c>
      <c r="AV405" s="1">
        <v>2019</v>
      </c>
      <c r="AW405" s="1">
        <v>101</v>
      </c>
      <c r="AX405" s="1">
        <v>4</v>
      </c>
      <c r="AY405" s="1" t="s">
        <v>1507</v>
      </c>
      <c r="AZ405" s="1" t="s">
        <v>1507</v>
      </c>
      <c r="BA405" s="1" t="s">
        <v>1507</v>
      </c>
      <c r="BB405" s="1" t="s">
        <v>1507</v>
      </c>
      <c r="BC405" s="1">
        <v>897</v>
      </c>
      <c r="BD405" s="1">
        <v>906</v>
      </c>
      <c r="BE405" s="1" t="s">
        <v>1507</v>
      </c>
      <c r="BF405" s="1" t="s">
        <v>10588</v>
      </c>
      <c r="BG405" s="1" t="str">
        <f>HYPERLINK("http://dx.doi.org/10.1007/s42161-019-00281-y","http://dx.doi.org/10.1007/s42161-019-00281-y")</f>
        <v>http://dx.doi.org/10.1007/s42161-019-00281-y</v>
      </c>
      <c r="BH405" s="1" t="s">
        <v>1507</v>
      </c>
      <c r="BI405" s="1" t="s">
        <v>1507</v>
      </c>
      <c r="BJ405" s="1">
        <v>10</v>
      </c>
      <c r="BK405" s="1" t="s">
        <v>2914</v>
      </c>
      <c r="BL405" s="1" t="s">
        <v>1573</v>
      </c>
      <c r="BM405" s="1" t="s">
        <v>2914</v>
      </c>
      <c r="BN405" s="1" t="s">
        <v>10589</v>
      </c>
      <c r="BO405" s="1" t="s">
        <v>1507</v>
      </c>
      <c r="BP405" s="1" t="s">
        <v>1507</v>
      </c>
      <c r="BQ405" s="1" t="s">
        <v>1507</v>
      </c>
      <c r="BR405" s="1" t="s">
        <v>1507</v>
      </c>
      <c r="BS405" s="1" t="s">
        <v>13744</v>
      </c>
      <c r="BT405" s="1" t="s">
        <v>10590</v>
      </c>
      <c r="BU405" s="1" t="str">
        <f>HYPERLINK("https%3A%2F%2Fwww.webofscience.com%2Fwos%2Fwoscc%2Ffull-record%2FWOS:000494894500004","View Full Record in Web of Science")</f>
        <v>View Full Record in Web of Science</v>
      </c>
    </row>
    <row r="406" spans="1:73" x14ac:dyDescent="0.25">
      <c r="A406" s="1">
        <v>451</v>
      </c>
      <c r="B406" s="1" t="s">
        <v>5546</v>
      </c>
      <c r="C406" s="1" t="s">
        <v>9265</v>
      </c>
      <c r="D406" s="1" t="s">
        <v>1507</v>
      </c>
      <c r="E406" s="1" t="s">
        <v>9266</v>
      </c>
      <c r="F406" s="1" t="s">
        <v>1507</v>
      </c>
      <c r="G406" s="1" t="s">
        <v>9267</v>
      </c>
      <c r="H406" s="1" t="s">
        <v>1507</v>
      </c>
      <c r="I406" s="1" t="s">
        <v>1507</v>
      </c>
      <c r="J406" s="1" t="s">
        <v>9268</v>
      </c>
      <c r="K406" s="1" t="s">
        <v>9269</v>
      </c>
      <c r="L406" s="1" t="s">
        <v>9270</v>
      </c>
      <c r="M406" s="1" t="s">
        <v>1507</v>
      </c>
      <c r="N406" s="1" t="s">
        <v>42</v>
      </c>
      <c r="O406" s="1" t="s">
        <v>5552</v>
      </c>
      <c r="P406" s="1" t="s">
        <v>9271</v>
      </c>
      <c r="Q406" s="1" t="s">
        <v>9272</v>
      </c>
      <c r="R406" s="1" t="s">
        <v>6272</v>
      </c>
      <c r="S406" s="1" t="s">
        <v>9273</v>
      </c>
      <c r="T406" s="1" t="s">
        <v>1507</v>
      </c>
      <c r="U406" s="1" t="s">
        <v>9274</v>
      </c>
      <c r="V406" s="1" t="s">
        <v>1507</v>
      </c>
      <c r="W406" s="1" t="s">
        <v>9275</v>
      </c>
      <c r="X406" s="1" t="s">
        <v>9276</v>
      </c>
      <c r="Y406" s="1" t="s">
        <v>9277</v>
      </c>
      <c r="Z406" s="1" t="s">
        <v>9278</v>
      </c>
      <c r="AA406" s="1" t="s">
        <v>9279</v>
      </c>
      <c r="AB406" s="1" t="s">
        <v>9280</v>
      </c>
      <c r="AC406" s="1" t="s">
        <v>9281</v>
      </c>
      <c r="AD406" s="1" t="s">
        <v>9282</v>
      </c>
      <c r="AE406" s="1" t="s">
        <v>9282</v>
      </c>
      <c r="AF406" s="1" t="s">
        <v>9283</v>
      </c>
      <c r="AG406" s="1" t="s">
        <v>1507</v>
      </c>
      <c r="AH406" s="1">
        <v>17</v>
      </c>
      <c r="AI406" s="1">
        <v>0</v>
      </c>
      <c r="AJ406" s="1">
        <v>0</v>
      </c>
      <c r="AK406" s="1">
        <v>1</v>
      </c>
      <c r="AL406" s="1">
        <v>2</v>
      </c>
      <c r="AM406" s="1" t="s">
        <v>9284</v>
      </c>
      <c r="AN406" s="1" t="s">
        <v>1580</v>
      </c>
      <c r="AO406" s="1" t="s">
        <v>9285</v>
      </c>
      <c r="AP406" s="1" t="s">
        <v>9286</v>
      </c>
      <c r="AQ406" s="1" t="s">
        <v>9287</v>
      </c>
      <c r="AR406" s="1" t="s">
        <v>9288</v>
      </c>
      <c r="AS406" s="1" t="s">
        <v>9289</v>
      </c>
      <c r="AT406" s="1" t="s">
        <v>1507</v>
      </c>
      <c r="AU406" s="1" t="s">
        <v>1507</v>
      </c>
      <c r="AV406" s="1">
        <v>2021</v>
      </c>
      <c r="AW406" s="1">
        <v>281</v>
      </c>
      <c r="AX406" s="1" t="s">
        <v>1507</v>
      </c>
      <c r="AY406" s="1" t="s">
        <v>1507</v>
      </c>
      <c r="AZ406" s="1" t="s">
        <v>1507</v>
      </c>
      <c r="BA406" s="1" t="s">
        <v>1507</v>
      </c>
      <c r="BB406" s="1" t="s">
        <v>1507</v>
      </c>
      <c r="BC406" s="1">
        <v>694</v>
      </c>
      <c r="BD406" s="1">
        <v>698</v>
      </c>
      <c r="BE406" s="1" t="s">
        <v>1507</v>
      </c>
      <c r="BF406" s="1" t="s">
        <v>9290</v>
      </c>
      <c r="BG406" s="1" t="str">
        <f>HYPERLINK("http://dx.doi.org/10.3233/SHTI210261","http://dx.doi.org/10.3233/SHTI210261")</f>
        <v>http://dx.doi.org/10.3233/SHTI210261</v>
      </c>
      <c r="BH406" s="1" t="s">
        <v>1507</v>
      </c>
      <c r="BI406" s="1" t="s">
        <v>1507</v>
      </c>
      <c r="BJ406" s="1">
        <v>5</v>
      </c>
      <c r="BK406" s="1" t="s">
        <v>9291</v>
      </c>
      <c r="BL406" s="1" t="s">
        <v>5570</v>
      </c>
      <c r="BM406" s="1" t="s">
        <v>9292</v>
      </c>
      <c r="BN406" s="1" t="s">
        <v>9293</v>
      </c>
      <c r="BO406" s="1">
        <v>34042665</v>
      </c>
      <c r="BP406" s="1" t="s">
        <v>1537</v>
      </c>
      <c r="BQ406" s="1" t="s">
        <v>1507</v>
      </c>
      <c r="BR406" s="1" t="s">
        <v>1507</v>
      </c>
      <c r="BS406" s="1" t="s">
        <v>13744</v>
      </c>
      <c r="BT406" s="1" t="s">
        <v>9294</v>
      </c>
      <c r="BU406" s="1" t="str">
        <f>HYPERLINK("https%3A%2F%2Fwww.webofscience.com%2Fwos%2Fwoscc%2Ffull-record%2FWOS:001066457700149","View Full Record in Web of Science")</f>
        <v>View Full Record in Web of Science</v>
      </c>
    </row>
    <row r="407" spans="1:73" x14ac:dyDescent="0.25">
      <c r="A407" s="1">
        <v>452</v>
      </c>
      <c r="B407" s="1" t="s">
        <v>1506</v>
      </c>
      <c r="C407" s="1" t="s">
        <v>6968</v>
      </c>
      <c r="D407" s="1" t="s">
        <v>1507</v>
      </c>
      <c r="E407" s="1" t="s">
        <v>1507</v>
      </c>
      <c r="F407" s="1" t="s">
        <v>1507</v>
      </c>
      <c r="G407" s="1" t="s">
        <v>6969</v>
      </c>
      <c r="H407" s="1" t="s">
        <v>1507</v>
      </c>
      <c r="I407" s="1" t="s">
        <v>1507</v>
      </c>
      <c r="J407" s="1" t="s">
        <v>6970</v>
      </c>
      <c r="K407" s="1" t="s">
        <v>6971</v>
      </c>
      <c r="L407" s="1" t="s">
        <v>1507</v>
      </c>
      <c r="M407" s="1" t="s">
        <v>1507</v>
      </c>
      <c r="N407" s="1" t="s">
        <v>42</v>
      </c>
      <c r="O407" s="1" t="s">
        <v>56</v>
      </c>
      <c r="P407" s="1" t="s">
        <v>1507</v>
      </c>
      <c r="Q407" s="1" t="s">
        <v>1507</v>
      </c>
      <c r="R407" s="1" t="s">
        <v>1507</v>
      </c>
      <c r="S407" s="1" t="s">
        <v>1507</v>
      </c>
      <c r="T407" s="1" t="s">
        <v>1507</v>
      </c>
      <c r="U407" s="1" t="s">
        <v>1507</v>
      </c>
      <c r="V407" s="1" t="s">
        <v>6972</v>
      </c>
      <c r="W407" s="1" t="s">
        <v>6973</v>
      </c>
      <c r="X407" s="1" t="s">
        <v>6974</v>
      </c>
      <c r="Y407" s="1" t="s">
        <v>6975</v>
      </c>
      <c r="Z407" s="1" t="s">
        <v>6976</v>
      </c>
      <c r="AA407" s="1" t="s">
        <v>6977</v>
      </c>
      <c r="AB407" s="1" t="s">
        <v>15592</v>
      </c>
      <c r="AC407" s="1" t="s">
        <v>15593</v>
      </c>
      <c r="AD407" s="1" t="s">
        <v>6978</v>
      </c>
      <c r="AE407" s="1" t="s">
        <v>6979</v>
      </c>
      <c r="AF407" s="1" t="s">
        <v>6980</v>
      </c>
      <c r="AG407" s="1" t="s">
        <v>1507</v>
      </c>
      <c r="AH407" s="1">
        <v>75</v>
      </c>
      <c r="AI407" s="1">
        <v>2</v>
      </c>
      <c r="AJ407" s="1">
        <v>2</v>
      </c>
      <c r="AK407" s="1">
        <v>4</v>
      </c>
      <c r="AL407" s="1">
        <v>23</v>
      </c>
      <c r="AM407" s="1" t="s">
        <v>6981</v>
      </c>
      <c r="AN407" s="1" t="s">
        <v>6982</v>
      </c>
      <c r="AO407" s="1" t="s">
        <v>6983</v>
      </c>
      <c r="AP407" s="1" t="s">
        <v>6984</v>
      </c>
      <c r="AQ407" s="1" t="s">
        <v>6985</v>
      </c>
      <c r="AR407" s="1" t="s">
        <v>1507</v>
      </c>
      <c r="AS407" s="1" t="s">
        <v>6986</v>
      </c>
      <c r="AT407" s="1" t="s">
        <v>6987</v>
      </c>
      <c r="AU407" s="1" t="s">
        <v>6988</v>
      </c>
      <c r="AV407" s="1">
        <v>2022</v>
      </c>
      <c r="AW407" s="1">
        <v>106</v>
      </c>
      <c r="AX407" s="1">
        <v>11</v>
      </c>
      <c r="AY407" s="1" t="s">
        <v>1507</v>
      </c>
      <c r="AZ407" s="1" t="s">
        <v>1507</v>
      </c>
      <c r="BA407" s="1" t="s">
        <v>1507</v>
      </c>
      <c r="BB407" s="1" t="s">
        <v>1507</v>
      </c>
      <c r="BC407" s="1" t="s">
        <v>1507</v>
      </c>
      <c r="BD407" s="1" t="s">
        <v>1507</v>
      </c>
      <c r="BE407" s="1">
        <v>115301</v>
      </c>
      <c r="BF407" s="1" t="s">
        <v>6989</v>
      </c>
      <c r="BG407" s="1" t="str">
        <f>HYPERLINK("http://dx.doi.org/10.1103/PhysRevB.106.115301","http://dx.doi.org/10.1103/PhysRevB.106.115301")</f>
        <v>http://dx.doi.org/10.1103/PhysRevB.106.115301</v>
      </c>
      <c r="BH407" s="1" t="s">
        <v>1507</v>
      </c>
      <c r="BI407" s="1" t="s">
        <v>1507</v>
      </c>
      <c r="BJ407" s="1">
        <v>11</v>
      </c>
      <c r="BK407" s="1" t="s">
        <v>6990</v>
      </c>
      <c r="BL407" s="1" t="s">
        <v>1573</v>
      </c>
      <c r="BM407" s="1" t="s">
        <v>6991</v>
      </c>
      <c r="BN407" s="1" t="s">
        <v>6992</v>
      </c>
      <c r="BO407" s="1" t="s">
        <v>1507</v>
      </c>
      <c r="BP407" s="1" t="s">
        <v>1507</v>
      </c>
      <c r="BQ407" s="1" t="s">
        <v>1507</v>
      </c>
      <c r="BR407" s="1" t="s">
        <v>1507</v>
      </c>
      <c r="BS407" s="1" t="s">
        <v>13744</v>
      </c>
      <c r="BT407" s="1" t="s">
        <v>6993</v>
      </c>
      <c r="BU407" s="1" t="str">
        <f>HYPERLINK("https%3A%2F%2Fwww.webofscience.com%2Fwos%2Fwoscc%2Ffull-record%2FWOS:000851415500001","View Full Record in Web of Science")</f>
        <v>View Full Record in Web of Science</v>
      </c>
    </row>
    <row r="408" spans="1:73" x14ac:dyDescent="0.25">
      <c r="A408" s="1">
        <v>453</v>
      </c>
      <c r="B408" s="1" t="s">
        <v>1506</v>
      </c>
      <c r="C408" s="1" t="s">
        <v>13917</v>
      </c>
      <c r="D408" s="1" t="s">
        <v>1507</v>
      </c>
      <c r="E408" s="1" t="s">
        <v>1507</v>
      </c>
      <c r="F408" s="1" t="s">
        <v>1507</v>
      </c>
      <c r="G408" s="1" t="s">
        <v>13918</v>
      </c>
      <c r="H408" s="1" t="s">
        <v>1507</v>
      </c>
      <c r="I408" s="1" t="s">
        <v>1507</v>
      </c>
      <c r="J408" s="1" t="s">
        <v>13651</v>
      </c>
      <c r="K408" s="1" t="s">
        <v>13919</v>
      </c>
      <c r="L408" s="1" t="s">
        <v>1507</v>
      </c>
      <c r="M408" s="1" t="s">
        <v>1507</v>
      </c>
      <c r="N408" s="1" t="s">
        <v>42</v>
      </c>
      <c r="O408" s="1" t="s">
        <v>56</v>
      </c>
      <c r="P408" s="1" t="s">
        <v>1507</v>
      </c>
      <c r="Q408" s="1" t="s">
        <v>1507</v>
      </c>
      <c r="R408" s="1" t="s">
        <v>1507</v>
      </c>
      <c r="S408" s="1" t="s">
        <v>1507</v>
      </c>
      <c r="T408" s="1" t="s">
        <v>1507</v>
      </c>
      <c r="U408" s="1" t="s">
        <v>13644</v>
      </c>
      <c r="V408" s="1" t="s">
        <v>1507</v>
      </c>
      <c r="W408" s="1" t="s">
        <v>13920</v>
      </c>
      <c r="X408" s="1" t="s">
        <v>13921</v>
      </c>
      <c r="Y408" s="1" t="s">
        <v>13922</v>
      </c>
      <c r="Z408" s="1" t="s">
        <v>13923</v>
      </c>
      <c r="AA408" s="1" t="s">
        <v>13924</v>
      </c>
      <c r="AB408" s="1" t="s">
        <v>13925</v>
      </c>
      <c r="AC408" s="1" t="s">
        <v>13926</v>
      </c>
      <c r="AD408" s="1" t="s">
        <v>1507</v>
      </c>
      <c r="AE408" s="1" t="s">
        <v>1507</v>
      </c>
      <c r="AF408" s="1" t="s">
        <v>1507</v>
      </c>
      <c r="AG408" s="1" t="s">
        <v>1507</v>
      </c>
      <c r="AH408" s="1">
        <v>10</v>
      </c>
      <c r="AI408" s="1">
        <v>1</v>
      </c>
      <c r="AJ408" s="1">
        <v>1</v>
      </c>
      <c r="AK408" s="1">
        <v>8</v>
      </c>
      <c r="AL408" s="1">
        <v>10</v>
      </c>
      <c r="AM408" s="1" t="s">
        <v>13927</v>
      </c>
      <c r="AN408" s="1" t="s">
        <v>13928</v>
      </c>
      <c r="AO408" s="1" t="s">
        <v>13929</v>
      </c>
      <c r="AP408" s="1" t="s">
        <v>13930</v>
      </c>
      <c r="AQ408" s="1" t="s">
        <v>13931</v>
      </c>
      <c r="AR408" s="1" t="s">
        <v>1507</v>
      </c>
      <c r="AS408" s="1" t="s">
        <v>13932</v>
      </c>
      <c r="AT408" s="1" t="s">
        <v>13637</v>
      </c>
      <c r="AU408" s="1" t="s">
        <v>2191</v>
      </c>
      <c r="AV408" s="1">
        <v>2023</v>
      </c>
      <c r="AW408" s="1">
        <v>53</v>
      </c>
      <c r="AX408" s="1">
        <v>12</v>
      </c>
      <c r="AY408" s="1" t="s">
        <v>1507</v>
      </c>
      <c r="AZ408" s="1" t="s">
        <v>1507</v>
      </c>
      <c r="BA408" s="1" t="s">
        <v>1507</v>
      </c>
      <c r="BB408" s="1" t="s">
        <v>1507</v>
      </c>
      <c r="BC408" s="1">
        <v>728</v>
      </c>
      <c r="BD408" s="1">
        <v>734</v>
      </c>
      <c r="BE408" s="1" t="s">
        <v>1507</v>
      </c>
      <c r="BF408" s="1" t="s">
        <v>13649</v>
      </c>
      <c r="BG408" s="1" t="str">
        <f>HYPERLINK("http://dx.doi.org/10.2519/jospt.2023.12000","http://dx.doi.org/10.2519/jospt.2023.12000")</f>
        <v>http://dx.doi.org/10.2519/jospt.2023.12000</v>
      </c>
      <c r="BH408" s="1" t="s">
        <v>1507</v>
      </c>
      <c r="BI408" s="1" t="s">
        <v>1507</v>
      </c>
      <c r="BJ408" s="1">
        <v>7</v>
      </c>
      <c r="BK408" s="1" t="s">
        <v>13933</v>
      </c>
      <c r="BL408" s="1" t="s">
        <v>1573</v>
      </c>
      <c r="BM408" s="1" t="s">
        <v>13933</v>
      </c>
      <c r="BN408" s="1" t="s">
        <v>13934</v>
      </c>
      <c r="BO408" s="1">
        <v>37707390</v>
      </c>
      <c r="BP408" s="1" t="s">
        <v>1507</v>
      </c>
      <c r="BQ408" s="1" t="s">
        <v>1507</v>
      </c>
      <c r="BR408" s="1" t="s">
        <v>1507</v>
      </c>
      <c r="BS408" s="1" t="s">
        <v>13744</v>
      </c>
      <c r="BT408" s="1" t="s">
        <v>13935</v>
      </c>
      <c r="BU408" s="1" t="str">
        <f>HYPERLINK("https%3A%2F%2Fwww.webofscience.com%2Fwos%2Fwoscc%2Ffull-record%2FWOS:001166882300002","View Full Record in Web of Science")</f>
        <v>View Full Record in Web of Science</v>
      </c>
    </row>
    <row r="409" spans="1:73" x14ac:dyDescent="0.25">
      <c r="A409" s="1">
        <v>454</v>
      </c>
      <c r="B409" s="1" t="s">
        <v>1506</v>
      </c>
      <c r="C409" s="1" t="s">
        <v>9556</v>
      </c>
      <c r="D409" s="1" t="s">
        <v>1507</v>
      </c>
      <c r="E409" s="1" t="s">
        <v>1507</v>
      </c>
      <c r="F409" s="1" t="s">
        <v>1507</v>
      </c>
      <c r="G409" s="1" t="s">
        <v>9557</v>
      </c>
      <c r="H409" s="1" t="s">
        <v>1507</v>
      </c>
      <c r="I409" s="1" t="s">
        <v>1507</v>
      </c>
      <c r="J409" s="1" t="s">
        <v>9558</v>
      </c>
      <c r="K409" s="1" t="s">
        <v>9559</v>
      </c>
      <c r="L409" s="1" t="s">
        <v>1507</v>
      </c>
      <c r="M409" s="1" t="s">
        <v>1507</v>
      </c>
      <c r="N409" s="1" t="s">
        <v>42</v>
      </c>
      <c r="O409" s="1" t="s">
        <v>56</v>
      </c>
      <c r="P409" s="1" t="s">
        <v>1507</v>
      </c>
      <c r="Q409" s="1" t="s">
        <v>1507</v>
      </c>
      <c r="R409" s="1" t="s">
        <v>1507</v>
      </c>
      <c r="S409" s="1" t="s">
        <v>1507</v>
      </c>
      <c r="T409" s="1" t="s">
        <v>1507</v>
      </c>
      <c r="U409" s="1" t="s">
        <v>1507</v>
      </c>
      <c r="V409" s="1" t="s">
        <v>9560</v>
      </c>
      <c r="W409" s="1" t="s">
        <v>9561</v>
      </c>
      <c r="X409" s="1" t="s">
        <v>9562</v>
      </c>
      <c r="Y409" s="1" t="s">
        <v>9563</v>
      </c>
      <c r="Z409" s="1" t="s">
        <v>9564</v>
      </c>
      <c r="AA409" s="1" t="s">
        <v>9565</v>
      </c>
      <c r="AB409" s="1" t="s">
        <v>1507</v>
      </c>
      <c r="AC409" s="1" t="s">
        <v>1507</v>
      </c>
      <c r="AD409" s="1" t="s">
        <v>9566</v>
      </c>
      <c r="AE409" s="1" t="s">
        <v>9566</v>
      </c>
      <c r="AF409" s="1" t="s">
        <v>9567</v>
      </c>
      <c r="AG409" s="1" t="s">
        <v>1507</v>
      </c>
      <c r="AH409" s="1">
        <v>44</v>
      </c>
      <c r="AI409" s="1">
        <v>2</v>
      </c>
      <c r="AJ409" s="1">
        <v>2</v>
      </c>
      <c r="AK409" s="1">
        <v>0</v>
      </c>
      <c r="AL409" s="1">
        <v>4</v>
      </c>
      <c r="AM409" s="1" t="s">
        <v>9568</v>
      </c>
      <c r="AN409" s="1" t="s">
        <v>9569</v>
      </c>
      <c r="AO409" s="1" t="s">
        <v>9570</v>
      </c>
      <c r="AP409" s="1" t="s">
        <v>9571</v>
      </c>
      <c r="AQ409" s="1" t="s">
        <v>9572</v>
      </c>
      <c r="AR409" s="1" t="s">
        <v>1507</v>
      </c>
      <c r="AS409" s="1" t="s">
        <v>9573</v>
      </c>
      <c r="AT409" s="1" t="s">
        <v>9574</v>
      </c>
      <c r="AU409" s="1" t="s">
        <v>9575</v>
      </c>
      <c r="AV409" s="1">
        <v>2020</v>
      </c>
      <c r="AW409" s="1">
        <v>133</v>
      </c>
      <c r="AX409" s="1">
        <v>1522</v>
      </c>
      <c r="AY409" s="1" t="s">
        <v>1507</v>
      </c>
      <c r="AZ409" s="1" t="s">
        <v>1507</v>
      </c>
      <c r="BA409" s="1" t="s">
        <v>1507</v>
      </c>
      <c r="BB409" s="1" t="s">
        <v>1507</v>
      </c>
      <c r="BC409" s="1">
        <v>52</v>
      </c>
      <c r="BD409" s="1">
        <v>62</v>
      </c>
      <c r="BE409" s="1" t="s">
        <v>1507</v>
      </c>
      <c r="BF409" s="1" t="s">
        <v>1507</v>
      </c>
      <c r="BG409" s="1" t="s">
        <v>1507</v>
      </c>
      <c r="BH409" s="1" t="s">
        <v>1507</v>
      </c>
      <c r="BI409" s="1" t="s">
        <v>1507</v>
      </c>
      <c r="BJ409" s="1">
        <v>11</v>
      </c>
      <c r="BK409" s="1" t="s">
        <v>1949</v>
      </c>
      <c r="BL409" s="1" t="s">
        <v>1529</v>
      </c>
      <c r="BM409" s="1" t="s">
        <v>1950</v>
      </c>
      <c r="BN409" s="1" t="s">
        <v>9576</v>
      </c>
      <c r="BO409" s="1">
        <v>32994616</v>
      </c>
      <c r="BP409" s="1" t="s">
        <v>1507</v>
      </c>
      <c r="BQ409" s="1" t="s">
        <v>1507</v>
      </c>
      <c r="BR409" s="1" t="s">
        <v>1507</v>
      </c>
      <c r="BS409" s="1" t="s">
        <v>13744</v>
      </c>
      <c r="BT409" s="1" t="s">
        <v>9577</v>
      </c>
      <c r="BU409" s="1" t="str">
        <f>HYPERLINK("https%3A%2F%2Fwww.webofscience.com%2Fwos%2Fwoscc%2Ffull-record%2FWOS:000592190800006","View Full Record in Web of Science")</f>
        <v>View Full Record in Web of Science</v>
      </c>
    </row>
    <row r="410" spans="1:73" x14ac:dyDescent="0.25">
      <c r="A410" s="1">
        <v>455</v>
      </c>
      <c r="B410" s="1" t="s">
        <v>1506</v>
      </c>
      <c r="C410" s="1" t="s">
        <v>7041</v>
      </c>
      <c r="D410" s="1" t="s">
        <v>1507</v>
      </c>
      <c r="E410" s="1" t="s">
        <v>1507</v>
      </c>
      <c r="F410" s="1" t="s">
        <v>1507</v>
      </c>
      <c r="G410" s="1" t="s">
        <v>7042</v>
      </c>
      <c r="H410" s="1" t="s">
        <v>1507</v>
      </c>
      <c r="I410" s="1" t="s">
        <v>1507</v>
      </c>
      <c r="J410" s="1" t="s">
        <v>7043</v>
      </c>
      <c r="K410" s="1" t="s">
        <v>5244</v>
      </c>
      <c r="L410" s="1" t="s">
        <v>1507</v>
      </c>
      <c r="M410" s="1" t="s">
        <v>1507</v>
      </c>
      <c r="N410" s="1" t="s">
        <v>42</v>
      </c>
      <c r="O410" s="1" t="s">
        <v>56</v>
      </c>
      <c r="P410" s="1" t="s">
        <v>1507</v>
      </c>
      <c r="Q410" s="1" t="s">
        <v>1507</v>
      </c>
      <c r="R410" s="1" t="s">
        <v>1507</v>
      </c>
      <c r="S410" s="1" t="s">
        <v>1507</v>
      </c>
      <c r="T410" s="1" t="s">
        <v>1507</v>
      </c>
      <c r="U410" s="1" t="s">
        <v>1507</v>
      </c>
      <c r="V410" s="1" t="s">
        <v>7044</v>
      </c>
      <c r="W410" s="1" t="s">
        <v>7045</v>
      </c>
      <c r="X410" s="1" t="s">
        <v>7046</v>
      </c>
      <c r="Y410" s="1" t="s">
        <v>7047</v>
      </c>
      <c r="Z410" s="1" t="s">
        <v>7048</v>
      </c>
      <c r="AA410" s="1" t="s">
        <v>6852</v>
      </c>
      <c r="AB410" s="1" t="s">
        <v>15597</v>
      </c>
      <c r="AC410" s="1" t="s">
        <v>15598</v>
      </c>
      <c r="AD410" s="1" t="s">
        <v>7049</v>
      </c>
      <c r="AE410" s="1" t="s">
        <v>7050</v>
      </c>
      <c r="AF410" s="1" t="s">
        <v>7051</v>
      </c>
      <c r="AG410" s="1" t="s">
        <v>1507</v>
      </c>
      <c r="AH410" s="1">
        <v>67</v>
      </c>
      <c r="AI410" s="1">
        <v>3</v>
      </c>
      <c r="AJ410" s="1">
        <v>3</v>
      </c>
      <c r="AK410" s="1">
        <v>4</v>
      </c>
      <c r="AL410" s="1">
        <v>11</v>
      </c>
      <c r="AM410" s="1" t="s">
        <v>2372</v>
      </c>
      <c r="AN410" s="1" t="s">
        <v>2300</v>
      </c>
      <c r="AO410" s="1" t="s">
        <v>2373</v>
      </c>
      <c r="AP410" s="1" t="s">
        <v>5255</v>
      </c>
      <c r="AQ410" s="1" t="s">
        <v>5256</v>
      </c>
      <c r="AR410" s="1" t="s">
        <v>1507</v>
      </c>
      <c r="AS410" s="1" t="s">
        <v>5257</v>
      </c>
      <c r="AT410" s="1" t="s">
        <v>5258</v>
      </c>
      <c r="AU410" s="1" t="s">
        <v>6988</v>
      </c>
      <c r="AV410" s="1">
        <v>2022</v>
      </c>
      <c r="AW410" s="1">
        <v>36</v>
      </c>
      <c r="AX410" s="1">
        <v>17</v>
      </c>
      <c r="AY410" s="1" t="s">
        <v>1507</v>
      </c>
      <c r="AZ410" s="1" t="s">
        <v>1507</v>
      </c>
      <c r="BA410" s="1" t="s">
        <v>1507</v>
      </c>
      <c r="BB410" s="1" t="s">
        <v>1507</v>
      </c>
      <c r="BC410" s="1">
        <v>10177</v>
      </c>
      <c r="BD410" s="1">
        <v>10190</v>
      </c>
      <c r="BE410" s="1" t="s">
        <v>1507</v>
      </c>
      <c r="BF410" s="1" t="s">
        <v>7052</v>
      </c>
      <c r="BG410" s="1" t="str">
        <f>HYPERLINK("http://dx.doi.org/10.1021/acs.energyfuels.2c02122","http://dx.doi.org/10.1021/acs.energyfuels.2c02122")</f>
        <v>http://dx.doi.org/10.1021/acs.energyfuels.2c02122</v>
      </c>
      <c r="BH410" s="1" t="s">
        <v>1507</v>
      </c>
      <c r="BI410" s="1" t="s">
        <v>7037</v>
      </c>
      <c r="BJ410" s="1">
        <v>14</v>
      </c>
      <c r="BK410" s="1" t="s">
        <v>5261</v>
      </c>
      <c r="BL410" s="1" t="s">
        <v>1573</v>
      </c>
      <c r="BM410" s="1" t="s">
        <v>5262</v>
      </c>
      <c r="BN410" s="1" t="s">
        <v>7053</v>
      </c>
      <c r="BO410" s="1" t="s">
        <v>1507</v>
      </c>
      <c r="BP410" s="1" t="s">
        <v>1507</v>
      </c>
      <c r="BQ410" s="1" t="s">
        <v>1507</v>
      </c>
      <c r="BR410" s="1" t="s">
        <v>1507</v>
      </c>
      <c r="BS410" s="1" t="s">
        <v>13744</v>
      </c>
      <c r="BT410" s="1" t="s">
        <v>7054</v>
      </c>
      <c r="BU410" s="1" t="str">
        <f>HYPERLINK("https%3A%2F%2Fwww.webofscience.com%2Fwos%2Fwoscc%2Ffull-record%2FWOS:000844868300001","View Full Record in Web of Science")</f>
        <v>View Full Record in Web of Science</v>
      </c>
    </row>
    <row r="411" spans="1:73" x14ac:dyDescent="0.25">
      <c r="A411" s="1">
        <v>456</v>
      </c>
      <c r="B411" s="1" t="s">
        <v>1506</v>
      </c>
      <c r="C411" s="1" t="s">
        <v>1887</v>
      </c>
      <c r="D411" s="1" t="s">
        <v>1507</v>
      </c>
      <c r="E411" s="1" t="s">
        <v>1507</v>
      </c>
      <c r="F411" s="1" t="s">
        <v>1507</v>
      </c>
      <c r="G411" s="1" t="s">
        <v>1888</v>
      </c>
      <c r="H411" s="1" t="s">
        <v>1507</v>
      </c>
      <c r="I411" s="1" t="s">
        <v>1507</v>
      </c>
      <c r="J411" s="1" t="s">
        <v>1889</v>
      </c>
      <c r="K411" s="1" t="s">
        <v>1890</v>
      </c>
      <c r="L411" s="1" t="s">
        <v>1507</v>
      </c>
      <c r="M411" s="1" t="s">
        <v>1507</v>
      </c>
      <c r="N411" s="1" t="s">
        <v>42</v>
      </c>
      <c r="O411" s="1" t="s">
        <v>56</v>
      </c>
      <c r="P411" s="1" t="s">
        <v>1507</v>
      </c>
      <c r="Q411" s="1" t="s">
        <v>1507</v>
      </c>
      <c r="R411" s="1" t="s">
        <v>1507</v>
      </c>
      <c r="S411" s="1" t="s">
        <v>1507</v>
      </c>
      <c r="T411" s="1" t="s">
        <v>1507</v>
      </c>
      <c r="U411" s="1" t="s">
        <v>1891</v>
      </c>
      <c r="V411" s="1" t="s">
        <v>1892</v>
      </c>
      <c r="W411" s="1" t="s">
        <v>1893</v>
      </c>
      <c r="X411" s="1" t="s">
        <v>1894</v>
      </c>
      <c r="Y411" s="1" t="s">
        <v>1895</v>
      </c>
      <c r="Z411" s="1" t="s">
        <v>1896</v>
      </c>
      <c r="AA411" s="1" t="s">
        <v>1897</v>
      </c>
      <c r="AB411" s="1" t="s">
        <v>1507</v>
      </c>
      <c r="AC411" s="1" t="s">
        <v>13840</v>
      </c>
      <c r="AD411" s="1" t="s">
        <v>1898</v>
      </c>
      <c r="AE411" s="1" t="s">
        <v>1895</v>
      </c>
      <c r="AF411" s="1" t="s">
        <v>1899</v>
      </c>
      <c r="AG411" s="1" t="s">
        <v>1507</v>
      </c>
      <c r="AH411" s="1">
        <v>91</v>
      </c>
      <c r="AI411" s="1">
        <v>0</v>
      </c>
      <c r="AJ411" s="1">
        <v>0</v>
      </c>
      <c r="AK411" s="1">
        <v>24</v>
      </c>
      <c r="AL411" s="1">
        <v>24</v>
      </c>
      <c r="AM411" s="1" t="s">
        <v>1900</v>
      </c>
      <c r="AN411" s="1" t="s">
        <v>1583</v>
      </c>
      <c r="AO411" s="1" t="s">
        <v>1901</v>
      </c>
      <c r="AP411" s="1" t="s">
        <v>1902</v>
      </c>
      <c r="AQ411" s="1" t="s">
        <v>1903</v>
      </c>
      <c r="AR411" s="1" t="s">
        <v>1507</v>
      </c>
      <c r="AS411" s="1" t="s">
        <v>1904</v>
      </c>
      <c r="AT411" s="1" t="s">
        <v>1905</v>
      </c>
      <c r="AU411" s="1" t="s">
        <v>5362</v>
      </c>
      <c r="AV411" s="1">
        <v>2024</v>
      </c>
      <c r="AW411" s="1">
        <v>129</v>
      </c>
      <c r="AX411" s="1" t="s">
        <v>1507</v>
      </c>
      <c r="AY411" s="1" t="s">
        <v>1507</v>
      </c>
      <c r="AZ411" s="1" t="s">
        <v>1507</v>
      </c>
      <c r="BA411" s="1" t="s">
        <v>1507</v>
      </c>
      <c r="BB411" s="1" t="s">
        <v>1507</v>
      </c>
      <c r="BC411" s="1" t="s">
        <v>1507</v>
      </c>
      <c r="BD411" s="1" t="s">
        <v>1507</v>
      </c>
      <c r="BE411" s="1">
        <v>107666</v>
      </c>
      <c r="BF411" s="1" t="s">
        <v>1906</v>
      </c>
      <c r="BG411" s="1" t="str">
        <f>HYPERLINK("http://dx.doi.org/10.1016/j.engappai.2023.107666","http://dx.doi.org/10.1016/j.engappai.2023.107666")</f>
        <v>http://dx.doi.org/10.1016/j.engappai.2023.107666</v>
      </c>
      <c r="BH411" s="1" t="s">
        <v>1507</v>
      </c>
      <c r="BI411" s="1" t="s">
        <v>1652</v>
      </c>
      <c r="BJ411" s="1">
        <v>25</v>
      </c>
      <c r="BK411" s="1" t="s">
        <v>1907</v>
      </c>
      <c r="BL411" s="1" t="s">
        <v>1573</v>
      </c>
      <c r="BM411" s="1" t="s">
        <v>1908</v>
      </c>
      <c r="BN411" s="1" t="s">
        <v>1909</v>
      </c>
      <c r="BO411" s="1" t="s">
        <v>1507</v>
      </c>
      <c r="BP411" s="1" t="s">
        <v>1507</v>
      </c>
      <c r="BQ411" s="1" t="s">
        <v>1507</v>
      </c>
      <c r="BR411" s="1" t="s">
        <v>1507</v>
      </c>
      <c r="BS411" s="1" t="s">
        <v>13744</v>
      </c>
      <c r="BT411" s="1" t="s">
        <v>1910</v>
      </c>
      <c r="BU411" s="1" t="str">
        <f>HYPERLINK("https%3A%2F%2Fwww.webofscience.com%2Fwos%2Fwoscc%2Ffull-record%2FWOS:001136038900001","View Full Record in Web of Science")</f>
        <v>View Full Record in Web of Science</v>
      </c>
    </row>
    <row r="412" spans="1:73" x14ac:dyDescent="0.25">
      <c r="A412" s="1">
        <v>457</v>
      </c>
      <c r="B412" s="1" t="s">
        <v>1506</v>
      </c>
      <c r="C412" s="1" t="s">
        <v>15826</v>
      </c>
      <c r="D412" s="1" t="s">
        <v>1507</v>
      </c>
      <c r="E412" s="1" t="s">
        <v>1507</v>
      </c>
      <c r="F412" s="1" t="s">
        <v>1507</v>
      </c>
      <c r="G412" s="1" t="s">
        <v>10048</v>
      </c>
      <c r="H412" s="1" t="s">
        <v>1507</v>
      </c>
      <c r="I412" s="1" t="s">
        <v>1507</v>
      </c>
      <c r="J412" s="1" t="s">
        <v>10049</v>
      </c>
      <c r="K412" s="1" t="s">
        <v>10050</v>
      </c>
      <c r="L412" s="1" t="s">
        <v>1507</v>
      </c>
      <c r="M412" s="1" t="s">
        <v>1507</v>
      </c>
      <c r="N412" s="1" t="s">
        <v>42</v>
      </c>
      <c r="O412" s="1" t="s">
        <v>10051</v>
      </c>
      <c r="P412" s="1" t="s">
        <v>1507</v>
      </c>
      <c r="Q412" s="1" t="s">
        <v>1507</v>
      </c>
      <c r="R412" s="1" t="s">
        <v>1507</v>
      </c>
      <c r="S412" s="1" t="s">
        <v>1507</v>
      </c>
      <c r="T412" s="1" t="s">
        <v>1507</v>
      </c>
      <c r="U412" s="1" t="s">
        <v>1507</v>
      </c>
      <c r="V412" s="1" t="s">
        <v>1507</v>
      </c>
      <c r="W412" s="1" t="s">
        <v>10052</v>
      </c>
      <c r="X412" s="1" t="s">
        <v>10053</v>
      </c>
      <c r="Y412" s="1" t="s">
        <v>10054</v>
      </c>
      <c r="Z412" s="1" t="s">
        <v>10055</v>
      </c>
      <c r="AA412" s="1" t="s">
        <v>10056</v>
      </c>
      <c r="AB412" s="1" t="s">
        <v>15827</v>
      </c>
      <c r="AC412" s="1" t="s">
        <v>15828</v>
      </c>
      <c r="AD412" s="1" t="s">
        <v>10057</v>
      </c>
      <c r="AE412" s="1" t="s">
        <v>10058</v>
      </c>
      <c r="AF412" s="1" t="s">
        <v>10059</v>
      </c>
      <c r="AG412" s="1" t="s">
        <v>1507</v>
      </c>
      <c r="AH412" s="1">
        <v>7</v>
      </c>
      <c r="AI412" s="1">
        <v>96</v>
      </c>
      <c r="AJ412" s="1">
        <v>130</v>
      </c>
      <c r="AK412" s="1">
        <v>0</v>
      </c>
      <c r="AL412" s="1">
        <v>21</v>
      </c>
      <c r="AM412" s="1" t="s">
        <v>2299</v>
      </c>
      <c r="AN412" s="1" t="s">
        <v>2300</v>
      </c>
      <c r="AO412" s="1" t="s">
        <v>2301</v>
      </c>
      <c r="AP412" s="1" t="s">
        <v>10060</v>
      </c>
      <c r="AQ412" s="1" t="s">
        <v>1507</v>
      </c>
      <c r="AR412" s="1" t="s">
        <v>1507</v>
      </c>
      <c r="AS412" s="1" t="s">
        <v>10061</v>
      </c>
      <c r="AT412" s="1" t="s">
        <v>10062</v>
      </c>
      <c r="AU412" s="1" t="s">
        <v>5362</v>
      </c>
      <c r="AV412" s="1">
        <v>2020</v>
      </c>
      <c r="AW412" s="1">
        <v>9</v>
      </c>
      <c r="AX412" s="1">
        <v>11</v>
      </c>
      <c r="AY412" s="1" t="s">
        <v>1507</v>
      </c>
      <c r="AZ412" s="1" t="s">
        <v>1507</v>
      </c>
      <c r="BA412" s="1" t="s">
        <v>1507</v>
      </c>
      <c r="BB412" s="1" t="s">
        <v>1507</v>
      </c>
      <c r="BC412" s="1" t="s">
        <v>1507</v>
      </c>
      <c r="BD412" s="1" t="s">
        <v>1507</v>
      </c>
      <c r="BE412" s="1" t="s">
        <v>10063</v>
      </c>
      <c r="BF412" s="1" t="s">
        <v>10064</v>
      </c>
      <c r="BG412" s="1" t="str">
        <f>HYPERLINK("http://dx.doi.org/10.1128/MRA.00169-20","http://dx.doi.org/10.1128/MRA.00169-20")</f>
        <v>http://dx.doi.org/10.1128/MRA.00169-20</v>
      </c>
      <c r="BH412" s="1" t="s">
        <v>1507</v>
      </c>
      <c r="BI412" s="1" t="s">
        <v>1507</v>
      </c>
      <c r="BJ412" s="1">
        <v>3</v>
      </c>
      <c r="BK412" s="1" t="s">
        <v>4485</v>
      </c>
      <c r="BL412" s="1" t="s">
        <v>1529</v>
      </c>
      <c r="BM412" s="1" t="s">
        <v>4485</v>
      </c>
      <c r="BN412" s="1" t="s">
        <v>10065</v>
      </c>
      <c r="BO412" s="1">
        <v>32165386</v>
      </c>
      <c r="BP412" s="1" t="s">
        <v>1674</v>
      </c>
      <c r="BQ412" s="1" t="s">
        <v>1507</v>
      </c>
      <c r="BR412" s="1" t="s">
        <v>1507</v>
      </c>
      <c r="BS412" s="1" t="s">
        <v>13744</v>
      </c>
      <c r="BT412" s="1" t="s">
        <v>10066</v>
      </c>
      <c r="BU412" s="1" t="str">
        <f>HYPERLINK("https%3A%2F%2Fwww.webofscience.com%2Fwos%2Fwoscc%2Ffull-record%2FWOS:000520001100014","View Full Record in Web of Science")</f>
        <v>View Full Record in Web of Science</v>
      </c>
    </row>
    <row r="413" spans="1:73" x14ac:dyDescent="0.25">
      <c r="A413" s="1">
        <v>458</v>
      </c>
      <c r="B413" s="1" t="s">
        <v>5546</v>
      </c>
      <c r="C413" s="1" t="s">
        <v>15325</v>
      </c>
      <c r="D413" s="1" t="s">
        <v>1507</v>
      </c>
      <c r="E413" s="1" t="s">
        <v>1507</v>
      </c>
      <c r="F413" s="1" t="s">
        <v>5548</v>
      </c>
      <c r="G413" s="1" t="s">
        <v>15326</v>
      </c>
      <c r="H413" s="1" t="s">
        <v>1507</v>
      </c>
      <c r="I413" s="1" t="s">
        <v>1507</v>
      </c>
      <c r="J413" s="1" t="s">
        <v>15327</v>
      </c>
      <c r="K413" s="1" t="s">
        <v>15092</v>
      </c>
      <c r="L413" s="1" t="s">
        <v>1507</v>
      </c>
      <c r="M413" s="1" t="s">
        <v>1507</v>
      </c>
      <c r="N413" s="1" t="s">
        <v>42</v>
      </c>
      <c r="O413" s="1" t="s">
        <v>5552</v>
      </c>
      <c r="P413" s="1" t="s">
        <v>15093</v>
      </c>
      <c r="Q413" s="1" t="s">
        <v>15094</v>
      </c>
      <c r="R413" s="1" t="s">
        <v>15095</v>
      </c>
      <c r="S413" s="1" t="s">
        <v>15096</v>
      </c>
      <c r="T413" s="1" t="s">
        <v>1507</v>
      </c>
      <c r="U413" s="1" t="s">
        <v>15328</v>
      </c>
      <c r="V413" s="1" t="s">
        <v>1507</v>
      </c>
      <c r="W413" s="1" t="s">
        <v>15329</v>
      </c>
      <c r="X413" s="1" t="s">
        <v>15330</v>
      </c>
      <c r="Y413" s="1" t="s">
        <v>15331</v>
      </c>
      <c r="Z413" s="1" t="s">
        <v>15332</v>
      </c>
      <c r="AA413" s="1" t="s">
        <v>15333</v>
      </c>
      <c r="AB413" s="1" t="s">
        <v>1507</v>
      </c>
      <c r="AC413" s="1" t="s">
        <v>15334</v>
      </c>
      <c r="AD413" s="1" t="s">
        <v>1507</v>
      </c>
      <c r="AE413" s="1" t="s">
        <v>1507</v>
      </c>
      <c r="AF413" s="1" t="s">
        <v>1507</v>
      </c>
      <c r="AG413" s="1" t="s">
        <v>1507</v>
      </c>
      <c r="AH413" s="1">
        <v>25</v>
      </c>
      <c r="AI413" s="1">
        <v>1</v>
      </c>
      <c r="AJ413" s="1">
        <v>1</v>
      </c>
      <c r="AK413" s="1">
        <v>1</v>
      </c>
      <c r="AL413" s="1">
        <v>1</v>
      </c>
      <c r="AM413" s="1" t="s">
        <v>5565</v>
      </c>
      <c r="AN413" s="1" t="s">
        <v>1512</v>
      </c>
      <c r="AO413" s="1" t="s">
        <v>5566</v>
      </c>
      <c r="AP413" s="1" t="s">
        <v>1507</v>
      </c>
      <c r="AQ413" s="1" t="s">
        <v>1507</v>
      </c>
      <c r="AR413" s="1" t="s">
        <v>15107</v>
      </c>
      <c r="AS413" s="1" t="s">
        <v>1507</v>
      </c>
      <c r="AT413" s="1" t="s">
        <v>1507</v>
      </c>
      <c r="AU413" s="1" t="s">
        <v>1507</v>
      </c>
      <c r="AV413" s="1">
        <v>2023</v>
      </c>
      <c r="AW413" s="1" t="s">
        <v>1507</v>
      </c>
      <c r="AX413" s="1" t="s">
        <v>1507</v>
      </c>
      <c r="AY413" s="1" t="s">
        <v>1507</v>
      </c>
      <c r="AZ413" s="1" t="s">
        <v>1507</v>
      </c>
      <c r="BA413" s="1" t="s">
        <v>1507</v>
      </c>
      <c r="BB413" s="1" t="s">
        <v>1507</v>
      </c>
      <c r="BC413" s="1">
        <v>5290</v>
      </c>
      <c r="BD413" s="1">
        <v>5293</v>
      </c>
      <c r="BE413" s="1" t="s">
        <v>1507</v>
      </c>
      <c r="BF413" s="1" t="s">
        <v>15335</v>
      </c>
      <c r="BG413" s="1" t="str">
        <f>HYPERLINK("http://dx.doi.org/10.1145/3583780.3615311","http://dx.doi.org/10.1145/3583780.3615311")</f>
        <v>http://dx.doi.org/10.1145/3583780.3615311</v>
      </c>
      <c r="BH413" s="1" t="s">
        <v>1507</v>
      </c>
      <c r="BI413" s="1" t="s">
        <v>1507</v>
      </c>
      <c r="BJ413" s="1">
        <v>4</v>
      </c>
      <c r="BK413" s="1" t="s">
        <v>5650</v>
      </c>
      <c r="BL413" s="1" t="s">
        <v>5570</v>
      </c>
      <c r="BM413" s="1" t="s">
        <v>1577</v>
      </c>
      <c r="BN413" s="1" t="s">
        <v>15109</v>
      </c>
      <c r="BO413" s="1" t="s">
        <v>1507</v>
      </c>
      <c r="BP413" s="1" t="s">
        <v>1507</v>
      </c>
      <c r="BQ413" s="1" t="s">
        <v>1507</v>
      </c>
      <c r="BR413" s="1" t="s">
        <v>1507</v>
      </c>
      <c r="BS413" s="1" t="s">
        <v>13744</v>
      </c>
      <c r="BT413" s="1" t="s">
        <v>15336</v>
      </c>
      <c r="BU413" s="1" t="str">
        <f>HYPERLINK("https%3A%2F%2Fwww.webofscience.com%2Fwos%2Fwoscc%2Ffull-record%2FWOS:001161549505073","View Full Record in Web of Science")</f>
        <v>View Full Record in Web of Science</v>
      </c>
    </row>
    <row r="414" spans="1:73" x14ac:dyDescent="0.25">
      <c r="A414" s="1">
        <v>459</v>
      </c>
      <c r="B414" s="1" t="s">
        <v>1506</v>
      </c>
      <c r="C414" s="1" t="s">
        <v>11084</v>
      </c>
      <c r="D414" s="1" t="s">
        <v>1507</v>
      </c>
      <c r="E414" s="1" t="s">
        <v>1507</v>
      </c>
      <c r="F414" s="1" t="s">
        <v>1507</v>
      </c>
      <c r="G414" s="1" t="s">
        <v>11085</v>
      </c>
      <c r="H414" s="1" t="s">
        <v>1507</v>
      </c>
      <c r="I414" s="1" t="s">
        <v>1507</v>
      </c>
      <c r="J414" s="1" t="s">
        <v>11086</v>
      </c>
      <c r="K414" s="1" t="s">
        <v>11087</v>
      </c>
      <c r="L414" s="1" t="s">
        <v>1507</v>
      </c>
      <c r="M414" s="1" t="s">
        <v>1507</v>
      </c>
      <c r="N414" s="1" t="s">
        <v>42</v>
      </c>
      <c r="O414" s="1" t="s">
        <v>56</v>
      </c>
      <c r="P414" s="1" t="s">
        <v>1507</v>
      </c>
      <c r="Q414" s="1" t="s">
        <v>1507</v>
      </c>
      <c r="R414" s="1" t="s">
        <v>1507</v>
      </c>
      <c r="S414" s="1" t="s">
        <v>1507</v>
      </c>
      <c r="T414" s="1" t="s">
        <v>1507</v>
      </c>
      <c r="U414" s="1" t="s">
        <v>11088</v>
      </c>
      <c r="V414" s="1" t="s">
        <v>11089</v>
      </c>
      <c r="W414" s="1" t="s">
        <v>11090</v>
      </c>
      <c r="X414" s="1" t="s">
        <v>11091</v>
      </c>
      <c r="Y414" s="1" t="s">
        <v>11092</v>
      </c>
      <c r="Z414" s="1" t="s">
        <v>11093</v>
      </c>
      <c r="AA414" s="1" t="s">
        <v>11094</v>
      </c>
      <c r="AB414" s="1" t="s">
        <v>15934</v>
      </c>
      <c r="AC414" s="1" t="s">
        <v>15935</v>
      </c>
      <c r="AD414" s="1" t="s">
        <v>11095</v>
      </c>
      <c r="AE414" s="1" t="s">
        <v>11096</v>
      </c>
      <c r="AF414" s="1" t="s">
        <v>11097</v>
      </c>
      <c r="AG414" s="1" t="s">
        <v>1507</v>
      </c>
      <c r="AH414" s="1">
        <v>44</v>
      </c>
      <c r="AI414" s="1">
        <v>4</v>
      </c>
      <c r="AJ414" s="1">
        <v>5</v>
      </c>
      <c r="AK414" s="1">
        <v>4</v>
      </c>
      <c r="AL414" s="1">
        <v>27</v>
      </c>
      <c r="AM414" s="1" t="s">
        <v>11098</v>
      </c>
      <c r="AN414" s="1" t="s">
        <v>11099</v>
      </c>
      <c r="AO414" s="1" t="s">
        <v>11100</v>
      </c>
      <c r="AP414" s="1" t="s">
        <v>11101</v>
      </c>
      <c r="AQ414" s="1" t="s">
        <v>11102</v>
      </c>
      <c r="AR414" s="1" t="s">
        <v>1507</v>
      </c>
      <c r="AS414" s="1" t="s">
        <v>11103</v>
      </c>
      <c r="AT414" s="1" t="s">
        <v>11104</v>
      </c>
      <c r="AU414" s="1" t="s">
        <v>5201</v>
      </c>
      <c r="AV414" s="1">
        <v>2019</v>
      </c>
      <c r="AW414" s="1">
        <v>44</v>
      </c>
      <c r="AX414" s="1">
        <v>4</v>
      </c>
      <c r="AY414" s="1" t="s">
        <v>1507</v>
      </c>
      <c r="AZ414" s="1" t="s">
        <v>1507</v>
      </c>
      <c r="BA414" s="1" t="s">
        <v>1507</v>
      </c>
      <c r="BB414" s="1" t="s">
        <v>1507</v>
      </c>
      <c r="BC414" s="1" t="s">
        <v>1507</v>
      </c>
      <c r="BD414" s="1" t="s">
        <v>1507</v>
      </c>
      <c r="BE414" s="1">
        <v>87</v>
      </c>
      <c r="BF414" s="1" t="s">
        <v>11105</v>
      </c>
      <c r="BG414" s="1" t="str">
        <f>HYPERLINK("http://dx.doi.org/10.1007/s12046-019-1058-4","http://dx.doi.org/10.1007/s12046-019-1058-4")</f>
        <v>http://dx.doi.org/10.1007/s12046-019-1058-4</v>
      </c>
      <c r="BH414" s="1" t="s">
        <v>1507</v>
      </c>
      <c r="BI414" s="1" t="s">
        <v>1507</v>
      </c>
      <c r="BJ414" s="1">
        <v>12</v>
      </c>
      <c r="BK414" s="1" t="s">
        <v>11106</v>
      </c>
      <c r="BL414" s="1" t="s">
        <v>1573</v>
      </c>
      <c r="BM414" s="1" t="s">
        <v>3691</v>
      </c>
      <c r="BN414" s="1" t="s">
        <v>11107</v>
      </c>
      <c r="BO414" s="1" t="s">
        <v>1507</v>
      </c>
      <c r="BP414" s="1" t="s">
        <v>3572</v>
      </c>
      <c r="BQ414" s="1" t="s">
        <v>1507</v>
      </c>
      <c r="BR414" s="1" t="s">
        <v>1507</v>
      </c>
      <c r="BS414" s="1" t="s">
        <v>13744</v>
      </c>
      <c r="BT414" s="1" t="s">
        <v>11108</v>
      </c>
      <c r="BU414" s="1" t="str">
        <f>HYPERLINK("https%3A%2F%2Fwww.webofscience.com%2Fwos%2Fwoscc%2Ffull-record%2FWOS:000462233500001","View Full Record in Web of Science")</f>
        <v>View Full Record in Web of Science</v>
      </c>
    </row>
    <row r="415" spans="1:73" x14ac:dyDescent="0.25">
      <c r="A415" s="1">
        <v>460</v>
      </c>
      <c r="B415" s="1" t="s">
        <v>1506</v>
      </c>
      <c r="C415" s="1" t="s">
        <v>5095</v>
      </c>
      <c r="D415" s="1" t="s">
        <v>1507</v>
      </c>
      <c r="E415" s="1" t="s">
        <v>1507</v>
      </c>
      <c r="F415" s="1" t="s">
        <v>1507</v>
      </c>
      <c r="G415" s="1" t="s">
        <v>5096</v>
      </c>
      <c r="H415" s="1" t="s">
        <v>1507</v>
      </c>
      <c r="I415" s="1" t="s">
        <v>1507</v>
      </c>
      <c r="J415" s="1" t="s">
        <v>5097</v>
      </c>
      <c r="K415" s="1" t="s">
        <v>5098</v>
      </c>
      <c r="L415" s="1" t="s">
        <v>1507</v>
      </c>
      <c r="M415" s="1" t="s">
        <v>1507</v>
      </c>
      <c r="N415" s="1" t="s">
        <v>42</v>
      </c>
      <c r="O415" s="1" t="s">
        <v>56</v>
      </c>
      <c r="P415" s="1" t="s">
        <v>1507</v>
      </c>
      <c r="Q415" s="1" t="s">
        <v>1507</v>
      </c>
      <c r="R415" s="1" t="s">
        <v>1507</v>
      </c>
      <c r="S415" s="1" t="s">
        <v>1507</v>
      </c>
      <c r="T415" s="1" t="s">
        <v>1507</v>
      </c>
      <c r="U415" s="1" t="s">
        <v>5099</v>
      </c>
      <c r="V415" s="1" t="s">
        <v>5100</v>
      </c>
      <c r="W415" s="1" t="s">
        <v>5101</v>
      </c>
      <c r="X415" s="1" t="s">
        <v>5102</v>
      </c>
      <c r="Y415" s="1" t="s">
        <v>5103</v>
      </c>
      <c r="Z415" s="1" t="s">
        <v>5104</v>
      </c>
      <c r="AA415" s="1" t="s">
        <v>5105</v>
      </c>
      <c r="AB415" s="1" t="s">
        <v>1507</v>
      </c>
      <c r="AC415" s="1" t="s">
        <v>1507</v>
      </c>
      <c r="AD415" s="1" t="s">
        <v>5106</v>
      </c>
      <c r="AE415" s="1" t="s">
        <v>5106</v>
      </c>
      <c r="AF415" s="1" t="s">
        <v>5107</v>
      </c>
      <c r="AG415" s="1" t="s">
        <v>1507</v>
      </c>
      <c r="AH415" s="1">
        <v>56</v>
      </c>
      <c r="AI415" s="1">
        <v>0</v>
      </c>
      <c r="AJ415" s="1">
        <v>0</v>
      </c>
      <c r="AK415" s="1">
        <v>4</v>
      </c>
      <c r="AL415" s="1">
        <v>8</v>
      </c>
      <c r="AM415" s="1" t="s">
        <v>1900</v>
      </c>
      <c r="AN415" s="1" t="s">
        <v>1583</v>
      </c>
      <c r="AO415" s="1" t="s">
        <v>1901</v>
      </c>
      <c r="AP415" s="1" t="s">
        <v>5108</v>
      </c>
      <c r="AQ415" s="1" t="s">
        <v>5109</v>
      </c>
      <c r="AR415" s="1" t="s">
        <v>1507</v>
      </c>
      <c r="AS415" s="1" t="s">
        <v>5110</v>
      </c>
      <c r="AT415" s="1" t="s">
        <v>5111</v>
      </c>
      <c r="AU415" s="1" t="s">
        <v>14783</v>
      </c>
      <c r="AV415" s="1">
        <v>2023</v>
      </c>
      <c r="AW415" s="1">
        <v>259</v>
      </c>
      <c r="AX415" s="1" t="s">
        <v>1507</v>
      </c>
      <c r="AY415" s="1" t="s">
        <v>1507</v>
      </c>
      <c r="AZ415" s="1" t="s">
        <v>1507</v>
      </c>
      <c r="BA415" s="1" t="s">
        <v>1507</v>
      </c>
      <c r="BB415" s="1" t="s">
        <v>1507</v>
      </c>
      <c r="BC415" s="1" t="s">
        <v>1507</v>
      </c>
      <c r="BD415" s="1" t="s">
        <v>1507</v>
      </c>
      <c r="BE415" s="1">
        <v>105896</v>
      </c>
      <c r="BF415" s="1" t="s">
        <v>5112</v>
      </c>
      <c r="BG415" s="1" t="str">
        <f>HYPERLINK("http://dx.doi.org/10.1016/j.compfluid.2023.105896","http://dx.doi.org/10.1016/j.compfluid.2023.105896")</f>
        <v>http://dx.doi.org/10.1016/j.compfluid.2023.105896</v>
      </c>
      <c r="BH415" s="1" t="s">
        <v>1507</v>
      </c>
      <c r="BI415" s="1" t="s">
        <v>5090</v>
      </c>
      <c r="BJ415" s="1">
        <v>20</v>
      </c>
      <c r="BK415" s="1" t="s">
        <v>5113</v>
      </c>
      <c r="BL415" s="1" t="s">
        <v>1573</v>
      </c>
      <c r="BM415" s="1" t="s">
        <v>5114</v>
      </c>
      <c r="BN415" s="1" t="s">
        <v>5115</v>
      </c>
      <c r="BO415" s="1" t="s">
        <v>1507</v>
      </c>
      <c r="BP415" s="1" t="s">
        <v>1507</v>
      </c>
      <c r="BQ415" s="1" t="s">
        <v>1507</v>
      </c>
      <c r="BR415" s="1" t="s">
        <v>1507</v>
      </c>
      <c r="BS415" s="1" t="s">
        <v>13744</v>
      </c>
      <c r="BT415" s="1" t="s">
        <v>5116</v>
      </c>
      <c r="BU415" s="1" t="str">
        <f>HYPERLINK("https%3A%2F%2Fwww.webofscience.com%2Fwos%2Fwoscc%2Ffull-record%2FWOS:000989361900001","View Full Record in Web of Science")</f>
        <v>View Full Record in Web of Science</v>
      </c>
    </row>
    <row r="416" spans="1:73" x14ac:dyDescent="0.25">
      <c r="A416" s="1">
        <v>461</v>
      </c>
      <c r="B416" s="1" t="s">
        <v>1506</v>
      </c>
      <c r="C416" s="1" t="s">
        <v>1798</v>
      </c>
      <c r="D416" s="1" t="s">
        <v>1507</v>
      </c>
      <c r="E416" s="1" t="s">
        <v>1507</v>
      </c>
      <c r="F416" s="1" t="s">
        <v>1507</v>
      </c>
      <c r="G416" s="1" t="s">
        <v>1799</v>
      </c>
      <c r="H416" s="1" t="s">
        <v>1507</v>
      </c>
      <c r="I416" s="1" t="s">
        <v>1507</v>
      </c>
      <c r="J416" s="1" t="s">
        <v>1800</v>
      </c>
      <c r="K416" s="1" t="s">
        <v>1801</v>
      </c>
      <c r="L416" s="1" t="s">
        <v>1507</v>
      </c>
      <c r="M416" s="1" t="s">
        <v>1507</v>
      </c>
      <c r="N416" s="1" t="s">
        <v>42</v>
      </c>
      <c r="O416" s="1" t="s">
        <v>56</v>
      </c>
      <c r="P416" s="1" t="s">
        <v>1507</v>
      </c>
      <c r="Q416" s="1" t="s">
        <v>1507</v>
      </c>
      <c r="R416" s="1" t="s">
        <v>1507</v>
      </c>
      <c r="S416" s="1" t="s">
        <v>1507</v>
      </c>
      <c r="T416" s="1" t="s">
        <v>1507</v>
      </c>
      <c r="U416" s="1" t="s">
        <v>1802</v>
      </c>
      <c r="V416" s="1" t="s">
        <v>1803</v>
      </c>
      <c r="W416" s="1" t="s">
        <v>1804</v>
      </c>
      <c r="X416" s="1" t="s">
        <v>1805</v>
      </c>
      <c r="Y416" s="1" t="s">
        <v>1806</v>
      </c>
      <c r="Z416" s="1" t="s">
        <v>1807</v>
      </c>
      <c r="AA416" s="1" t="s">
        <v>1808</v>
      </c>
      <c r="AB416" s="1" t="s">
        <v>13799</v>
      </c>
      <c r="AC416" s="1" t="s">
        <v>13800</v>
      </c>
      <c r="AD416" s="1" t="s">
        <v>1809</v>
      </c>
      <c r="AE416" s="1" t="s">
        <v>1809</v>
      </c>
      <c r="AF416" s="1" t="s">
        <v>1810</v>
      </c>
      <c r="AG416" s="1" t="s">
        <v>1507</v>
      </c>
      <c r="AH416" s="1">
        <v>139</v>
      </c>
      <c r="AI416" s="1">
        <v>2</v>
      </c>
      <c r="AJ416" s="1">
        <v>2</v>
      </c>
      <c r="AK416" s="1">
        <v>19</v>
      </c>
      <c r="AL416" s="1">
        <v>19</v>
      </c>
      <c r="AM416" s="1" t="s">
        <v>1579</v>
      </c>
      <c r="AN416" s="1" t="s">
        <v>1580</v>
      </c>
      <c r="AO416" s="1" t="s">
        <v>1581</v>
      </c>
      <c r="AP416" s="1" t="s">
        <v>1507</v>
      </c>
      <c r="AQ416" s="1" t="s">
        <v>1811</v>
      </c>
      <c r="AR416" s="1" t="s">
        <v>1507</v>
      </c>
      <c r="AS416" s="1" t="s">
        <v>1812</v>
      </c>
      <c r="AT416" s="1" t="s">
        <v>1813</v>
      </c>
      <c r="AU416" s="1" t="s">
        <v>5362</v>
      </c>
      <c r="AV416" s="1">
        <v>2024</v>
      </c>
      <c r="AW416" s="1">
        <v>17</v>
      </c>
      <c r="AX416" s="1" t="s">
        <v>1507</v>
      </c>
      <c r="AY416" s="1" t="s">
        <v>1507</v>
      </c>
      <c r="AZ416" s="1" t="s">
        <v>1507</v>
      </c>
      <c r="BA416" s="1" t="s">
        <v>1507</v>
      </c>
      <c r="BB416" s="1" t="s">
        <v>1507</v>
      </c>
      <c r="BC416" s="1" t="s">
        <v>1507</v>
      </c>
      <c r="BD416" s="1" t="s">
        <v>1507</v>
      </c>
      <c r="BE416" s="1">
        <v>100300</v>
      </c>
      <c r="BF416" s="1" t="s">
        <v>1814</v>
      </c>
      <c r="BG416" s="1" t="str">
        <f>HYPERLINK("http://dx.doi.org/10.1016/j.dibe.2023.100300","http://dx.doi.org/10.1016/j.dibe.2023.100300")</f>
        <v>http://dx.doi.org/10.1016/j.dibe.2023.100300</v>
      </c>
      <c r="BH416" s="1" t="s">
        <v>1507</v>
      </c>
      <c r="BI416" s="1" t="s">
        <v>1652</v>
      </c>
      <c r="BJ416" s="1">
        <v>29</v>
      </c>
      <c r="BK416" s="1" t="s">
        <v>1815</v>
      </c>
      <c r="BL416" s="1" t="s">
        <v>1573</v>
      </c>
      <c r="BM416" s="1" t="s">
        <v>1816</v>
      </c>
      <c r="BN416" s="1" t="s">
        <v>1817</v>
      </c>
      <c r="BO416" s="1" t="s">
        <v>1507</v>
      </c>
      <c r="BP416" s="1" t="s">
        <v>1553</v>
      </c>
      <c r="BQ416" s="1" t="s">
        <v>1507</v>
      </c>
      <c r="BR416" s="1" t="s">
        <v>1507</v>
      </c>
      <c r="BS416" s="1" t="s">
        <v>13744</v>
      </c>
      <c r="BT416" s="1" t="s">
        <v>1818</v>
      </c>
      <c r="BU416" s="1" t="str">
        <f>HYPERLINK("https%3A%2F%2Fwww.webofscience.com%2Fwos%2Fwoscc%2Ffull-record%2FWOS:001147477500001","View Full Record in Web of Science")</f>
        <v>View Full Record in Web of Science</v>
      </c>
    </row>
    <row r="417" spans="1:73" x14ac:dyDescent="0.25">
      <c r="A417" s="1">
        <v>462</v>
      </c>
      <c r="B417" s="1" t="s">
        <v>5546</v>
      </c>
      <c r="C417" s="1" t="s">
        <v>6291</v>
      </c>
      <c r="D417" s="1" t="s">
        <v>1507</v>
      </c>
      <c r="E417" s="1" t="s">
        <v>1507</v>
      </c>
      <c r="F417" s="1" t="s">
        <v>5548</v>
      </c>
      <c r="G417" s="1" t="s">
        <v>6292</v>
      </c>
      <c r="H417" s="1" t="s">
        <v>1507</v>
      </c>
      <c r="I417" s="1" t="s">
        <v>1507</v>
      </c>
      <c r="J417" s="1" t="s">
        <v>6293</v>
      </c>
      <c r="K417" s="1" t="s">
        <v>6294</v>
      </c>
      <c r="L417" s="1" t="s">
        <v>1507</v>
      </c>
      <c r="M417" s="1" t="s">
        <v>1507</v>
      </c>
      <c r="N417" s="1" t="s">
        <v>42</v>
      </c>
      <c r="O417" s="1" t="s">
        <v>5552</v>
      </c>
      <c r="P417" s="1" t="s">
        <v>6295</v>
      </c>
      <c r="Q417" s="1" t="s">
        <v>6296</v>
      </c>
      <c r="R417" s="1" t="s">
        <v>5579</v>
      </c>
      <c r="S417" s="1" t="s">
        <v>5580</v>
      </c>
      <c r="T417" s="1" t="s">
        <v>1507</v>
      </c>
      <c r="U417" s="1" t="s">
        <v>6297</v>
      </c>
      <c r="V417" s="1" t="s">
        <v>1507</v>
      </c>
      <c r="W417" s="1" t="s">
        <v>6298</v>
      </c>
      <c r="X417" s="1" t="s">
        <v>6299</v>
      </c>
      <c r="Y417" s="1" t="s">
        <v>6300</v>
      </c>
      <c r="Z417" s="1" t="s">
        <v>6301</v>
      </c>
      <c r="AA417" s="1" t="s">
        <v>6302</v>
      </c>
      <c r="AB417" s="1" t="s">
        <v>1507</v>
      </c>
      <c r="AC417" s="1" t="s">
        <v>15337</v>
      </c>
      <c r="AD417" s="1" t="s">
        <v>1507</v>
      </c>
      <c r="AE417" s="1" t="s">
        <v>1507</v>
      </c>
      <c r="AF417" s="1" t="s">
        <v>1507</v>
      </c>
      <c r="AG417" s="1" t="s">
        <v>1507</v>
      </c>
      <c r="AH417" s="1">
        <v>2</v>
      </c>
      <c r="AI417" s="1">
        <v>0</v>
      </c>
      <c r="AJ417" s="1">
        <v>0</v>
      </c>
      <c r="AK417" s="1">
        <v>1</v>
      </c>
      <c r="AL417" s="1">
        <v>1</v>
      </c>
      <c r="AM417" s="1" t="s">
        <v>5565</v>
      </c>
      <c r="AN417" s="1" t="s">
        <v>1512</v>
      </c>
      <c r="AO417" s="1" t="s">
        <v>5566</v>
      </c>
      <c r="AP417" s="1" t="s">
        <v>1507</v>
      </c>
      <c r="AQ417" s="1" t="s">
        <v>1507</v>
      </c>
      <c r="AR417" s="1" t="s">
        <v>6303</v>
      </c>
      <c r="AS417" s="1" t="s">
        <v>1507</v>
      </c>
      <c r="AT417" s="1" t="s">
        <v>1507</v>
      </c>
      <c r="AU417" s="1" t="s">
        <v>1507</v>
      </c>
      <c r="AV417" s="1">
        <v>2023</v>
      </c>
      <c r="AW417" s="1" t="s">
        <v>1507</v>
      </c>
      <c r="AX417" s="1" t="s">
        <v>1507</v>
      </c>
      <c r="AY417" s="1" t="s">
        <v>1507</v>
      </c>
      <c r="AZ417" s="1" t="s">
        <v>1507</v>
      </c>
      <c r="BA417" s="1" t="s">
        <v>1507</v>
      </c>
      <c r="BB417" s="1" t="s">
        <v>1507</v>
      </c>
      <c r="BC417" s="1">
        <v>1</v>
      </c>
      <c r="BD417" s="1">
        <v>1</v>
      </c>
      <c r="BE417" s="1" t="s">
        <v>1507</v>
      </c>
      <c r="BF417" s="1" t="s">
        <v>6304</v>
      </c>
      <c r="BG417" s="1" t="str">
        <f>HYPERLINK("http://dx.doi.org/10.1145/3578337.3605144","http://dx.doi.org/10.1145/3578337.3605144")</f>
        <v>http://dx.doi.org/10.1145/3578337.3605144</v>
      </c>
      <c r="BH417" s="1" t="s">
        <v>1507</v>
      </c>
      <c r="BI417" s="1" t="s">
        <v>1507</v>
      </c>
      <c r="BJ417" s="1">
        <v>1</v>
      </c>
      <c r="BK417" s="1" t="s">
        <v>2230</v>
      </c>
      <c r="BL417" s="1" t="s">
        <v>5570</v>
      </c>
      <c r="BM417" s="1" t="s">
        <v>1577</v>
      </c>
      <c r="BN417" s="1" t="s">
        <v>6305</v>
      </c>
      <c r="BO417" s="1" t="s">
        <v>1507</v>
      </c>
      <c r="BP417" s="1" t="s">
        <v>1507</v>
      </c>
      <c r="BQ417" s="1" t="s">
        <v>1507</v>
      </c>
      <c r="BR417" s="1" t="s">
        <v>1507</v>
      </c>
      <c r="BS417" s="1" t="s">
        <v>13744</v>
      </c>
      <c r="BT417" s="1" t="s">
        <v>6306</v>
      </c>
      <c r="BU417" s="1" t="str">
        <f>HYPERLINK("https%3A%2F%2Fwww.webofscience.com%2Fwos%2Fwoscc%2Ffull-record%2FWOS:001118823000001","View Full Record in Web of Science")</f>
        <v>View Full Record in Web of Science</v>
      </c>
    </row>
    <row r="418" spans="1:73" x14ac:dyDescent="0.25">
      <c r="A418" s="1">
        <v>463</v>
      </c>
      <c r="B418" s="1" t="s">
        <v>1506</v>
      </c>
      <c r="C418" s="1" t="s">
        <v>6307</v>
      </c>
      <c r="D418" s="1" t="s">
        <v>1507</v>
      </c>
      <c r="E418" s="1" t="s">
        <v>1507</v>
      </c>
      <c r="F418" s="1" t="s">
        <v>1507</v>
      </c>
      <c r="G418" s="1" t="s">
        <v>6308</v>
      </c>
      <c r="H418" s="1" t="s">
        <v>1507</v>
      </c>
      <c r="I418" s="1" t="s">
        <v>1507</v>
      </c>
      <c r="J418" s="1" t="s">
        <v>1057</v>
      </c>
      <c r="K418" s="1" t="s">
        <v>5976</v>
      </c>
      <c r="L418" s="1" t="s">
        <v>1507</v>
      </c>
      <c r="M418" s="1" t="s">
        <v>1507</v>
      </c>
      <c r="N418" s="1" t="s">
        <v>42</v>
      </c>
      <c r="O418" s="1" t="s">
        <v>56</v>
      </c>
      <c r="P418" s="1" t="s">
        <v>1507</v>
      </c>
      <c r="Q418" s="1" t="s">
        <v>1507</v>
      </c>
      <c r="R418" s="1" t="s">
        <v>1507</v>
      </c>
      <c r="S418" s="1" t="s">
        <v>1507</v>
      </c>
      <c r="T418" s="1" t="s">
        <v>1507</v>
      </c>
      <c r="U418" s="1" t="s">
        <v>6309</v>
      </c>
      <c r="V418" s="1" t="s">
        <v>6310</v>
      </c>
      <c r="W418" s="1" t="s">
        <v>6311</v>
      </c>
      <c r="X418" s="1" t="s">
        <v>6312</v>
      </c>
      <c r="Y418" s="1" t="s">
        <v>6313</v>
      </c>
      <c r="Z418" s="1" t="s">
        <v>6314</v>
      </c>
      <c r="AA418" s="1" t="s">
        <v>6315</v>
      </c>
      <c r="AB418" s="1" t="s">
        <v>15338</v>
      </c>
      <c r="AC418" s="1" t="s">
        <v>15339</v>
      </c>
      <c r="AD418" s="1" t="s">
        <v>1507</v>
      </c>
      <c r="AE418" s="1" t="s">
        <v>1507</v>
      </c>
      <c r="AF418" s="1" t="s">
        <v>1507</v>
      </c>
      <c r="AG418" s="1" t="s">
        <v>1507</v>
      </c>
      <c r="AH418" s="1">
        <v>97</v>
      </c>
      <c r="AI418" s="1">
        <v>11</v>
      </c>
      <c r="AJ418" s="1">
        <v>11</v>
      </c>
      <c r="AK418" s="1">
        <v>83</v>
      </c>
      <c r="AL418" s="1">
        <v>94</v>
      </c>
      <c r="AM418" s="1" t="s">
        <v>1667</v>
      </c>
      <c r="AN418" s="1" t="s">
        <v>1668</v>
      </c>
      <c r="AO418" s="1" t="s">
        <v>1669</v>
      </c>
      <c r="AP418" s="1" t="s">
        <v>5983</v>
      </c>
      <c r="AQ418" s="1" t="s">
        <v>1507</v>
      </c>
      <c r="AR418" s="1" t="s">
        <v>1507</v>
      </c>
      <c r="AS418" s="1" t="s">
        <v>5984</v>
      </c>
      <c r="AT418" s="1" t="s">
        <v>1003</v>
      </c>
      <c r="AU418" s="1" t="s">
        <v>1507</v>
      </c>
      <c r="AV418" s="1">
        <v>2023</v>
      </c>
      <c r="AW418" s="1">
        <v>9</v>
      </c>
      <c r="AX418" s="1" t="s">
        <v>1507</v>
      </c>
      <c r="AY418" s="1" t="s">
        <v>1507</v>
      </c>
      <c r="AZ418" s="1" t="s">
        <v>1507</v>
      </c>
      <c r="BA418" s="1" t="s">
        <v>1507</v>
      </c>
      <c r="BB418" s="1" t="s">
        <v>1507</v>
      </c>
      <c r="BC418" s="1" t="s">
        <v>1507</v>
      </c>
      <c r="BD418" s="1" t="s">
        <v>1507</v>
      </c>
      <c r="BE418" s="1" t="s">
        <v>1058</v>
      </c>
      <c r="BF418" s="1" t="s">
        <v>1059</v>
      </c>
      <c r="BG418" s="1" t="str">
        <f>HYPERLINK("http://dx.doi.org/10.2196/48254","http://dx.doi.org/10.2196/48254")</f>
        <v>http://dx.doi.org/10.2196/48254</v>
      </c>
      <c r="BH418" s="1" t="s">
        <v>1507</v>
      </c>
      <c r="BI418" s="1" t="s">
        <v>1507</v>
      </c>
      <c r="BJ418" s="1">
        <v>15</v>
      </c>
      <c r="BK418" s="1" t="s">
        <v>2721</v>
      </c>
      <c r="BL418" s="1" t="s">
        <v>1529</v>
      </c>
      <c r="BM418" s="1" t="s">
        <v>1558</v>
      </c>
      <c r="BN418" s="1" t="s">
        <v>6316</v>
      </c>
      <c r="BO418" s="1">
        <v>37578934</v>
      </c>
      <c r="BP418" s="1" t="s">
        <v>1952</v>
      </c>
      <c r="BQ418" s="1" t="s">
        <v>1507</v>
      </c>
      <c r="BR418" s="1" t="s">
        <v>1507</v>
      </c>
      <c r="BS418" s="1" t="s">
        <v>13744</v>
      </c>
      <c r="BT418" s="1" t="s">
        <v>6317</v>
      </c>
      <c r="BU418" s="1" t="str">
        <f>HYPERLINK("https%3A%2F%2Fwww.webofscience.com%2Fwos%2Fwoscc%2Ffull-record%2FWOS:001086142700001","View Full Record in Web of Science")</f>
        <v>View Full Record in Web of Science</v>
      </c>
    </row>
    <row r="419" spans="1:73" x14ac:dyDescent="0.25">
      <c r="A419" s="1">
        <v>464</v>
      </c>
      <c r="B419" s="1" t="s">
        <v>1506</v>
      </c>
      <c r="C419" s="1" t="s">
        <v>2420</v>
      </c>
      <c r="D419" s="1" t="s">
        <v>1507</v>
      </c>
      <c r="E419" s="1" t="s">
        <v>1507</v>
      </c>
      <c r="F419" s="1" t="s">
        <v>1507</v>
      </c>
      <c r="G419" s="1" t="s">
        <v>2421</v>
      </c>
      <c r="H419" s="1" t="s">
        <v>1507</v>
      </c>
      <c r="I419" s="1" t="s">
        <v>1507</v>
      </c>
      <c r="J419" s="1" t="s">
        <v>2422</v>
      </c>
      <c r="K419" s="1" t="s">
        <v>2423</v>
      </c>
      <c r="L419" s="1" t="s">
        <v>1507</v>
      </c>
      <c r="M419" s="1" t="s">
        <v>1507</v>
      </c>
      <c r="N419" s="1" t="s">
        <v>42</v>
      </c>
      <c r="O419" s="1" t="s">
        <v>56</v>
      </c>
      <c r="P419" s="1" t="s">
        <v>1507</v>
      </c>
      <c r="Q419" s="1" t="s">
        <v>1507</v>
      </c>
      <c r="R419" s="1" t="s">
        <v>1507</v>
      </c>
      <c r="S419" s="1" t="s">
        <v>1507</v>
      </c>
      <c r="T419" s="1" t="s">
        <v>1507</v>
      </c>
      <c r="U419" s="1" t="s">
        <v>2424</v>
      </c>
      <c r="V419" s="1" t="s">
        <v>1507</v>
      </c>
      <c r="W419" s="1" t="s">
        <v>2425</v>
      </c>
      <c r="X419" s="1" t="s">
        <v>2426</v>
      </c>
      <c r="Y419" s="1" t="s">
        <v>2427</v>
      </c>
      <c r="Z419" s="1" t="s">
        <v>2428</v>
      </c>
      <c r="AA419" s="1" t="s">
        <v>2429</v>
      </c>
      <c r="AB419" s="1" t="s">
        <v>1507</v>
      </c>
      <c r="AC419" s="1" t="s">
        <v>2430</v>
      </c>
      <c r="AD419" s="1" t="s">
        <v>1507</v>
      </c>
      <c r="AE419" s="1" t="s">
        <v>1507</v>
      </c>
      <c r="AF419" s="1" t="s">
        <v>1507</v>
      </c>
      <c r="AG419" s="1" t="s">
        <v>1507</v>
      </c>
      <c r="AH419" s="1">
        <v>21</v>
      </c>
      <c r="AI419" s="1">
        <v>0</v>
      </c>
      <c r="AJ419" s="1">
        <v>0</v>
      </c>
      <c r="AK419" s="1">
        <v>30</v>
      </c>
      <c r="AL419" s="1">
        <v>30</v>
      </c>
      <c r="AM419" s="1" t="s">
        <v>1511</v>
      </c>
      <c r="AN419" s="1" t="s">
        <v>1570</v>
      </c>
      <c r="AO419" s="1" t="s">
        <v>1571</v>
      </c>
      <c r="AP419" s="1" t="s">
        <v>2431</v>
      </c>
      <c r="AQ419" s="1" t="s">
        <v>2432</v>
      </c>
      <c r="AR419" s="1" t="s">
        <v>1507</v>
      </c>
      <c r="AS419" s="1" t="s">
        <v>2423</v>
      </c>
      <c r="AT419" s="1" t="s">
        <v>2433</v>
      </c>
      <c r="AU419" s="1" t="s">
        <v>1616</v>
      </c>
      <c r="AV419" s="1">
        <v>2024</v>
      </c>
      <c r="AW419" s="1">
        <v>129</v>
      </c>
      <c r="AX419" s="1">
        <v>1</v>
      </c>
      <c r="AY419" s="1" t="s">
        <v>1507</v>
      </c>
      <c r="AZ419" s="1" t="s">
        <v>1507</v>
      </c>
      <c r="BA419" s="1" t="s">
        <v>1507</v>
      </c>
      <c r="BB419" s="1" t="s">
        <v>1507</v>
      </c>
      <c r="BC419" s="1">
        <v>713</v>
      </c>
      <c r="BD419" s="1">
        <v>718</v>
      </c>
      <c r="BE419" s="1" t="s">
        <v>1507</v>
      </c>
      <c r="BF419" s="1" t="s">
        <v>2434</v>
      </c>
      <c r="BG419" s="1" t="str">
        <f>HYPERLINK("http://dx.doi.org/10.1007/s11192-023-04882-4","http://dx.doi.org/10.1007/s11192-023-04882-4")</f>
        <v>http://dx.doi.org/10.1007/s11192-023-04882-4</v>
      </c>
      <c r="BH419" s="1" t="s">
        <v>1507</v>
      </c>
      <c r="BI419" s="1" t="s">
        <v>2396</v>
      </c>
      <c r="BJ419" s="1">
        <v>6</v>
      </c>
      <c r="BK419" s="1" t="s">
        <v>2435</v>
      </c>
      <c r="BL419" s="1" t="s">
        <v>1598</v>
      </c>
      <c r="BM419" s="1" t="s">
        <v>2436</v>
      </c>
      <c r="BN419" s="1" t="s">
        <v>2437</v>
      </c>
      <c r="BO419" s="1" t="s">
        <v>1507</v>
      </c>
      <c r="BP419" s="1" t="s">
        <v>1507</v>
      </c>
      <c r="BQ419" s="1" t="s">
        <v>1507</v>
      </c>
      <c r="BR419" s="1" t="s">
        <v>1507</v>
      </c>
      <c r="BS419" s="1" t="s">
        <v>13744</v>
      </c>
      <c r="BT419" s="1" t="s">
        <v>2438</v>
      </c>
      <c r="BU419" s="1" t="str">
        <f>HYPERLINK("https%3A%2F%2Fwww.webofscience.com%2Fwos%2Fwoscc%2Ffull-record%2FWOS:001107757700001","View Full Record in Web of Science")</f>
        <v>View Full Record in Web of Science</v>
      </c>
    </row>
    <row r="420" spans="1:73" x14ac:dyDescent="0.25">
      <c r="A420" s="1">
        <v>465</v>
      </c>
      <c r="B420" s="1" t="s">
        <v>1506</v>
      </c>
      <c r="C420" s="1" t="s">
        <v>6803</v>
      </c>
      <c r="D420" s="1" t="s">
        <v>1507</v>
      </c>
      <c r="E420" s="1" t="s">
        <v>1507</v>
      </c>
      <c r="F420" s="1" t="s">
        <v>1507</v>
      </c>
      <c r="G420" s="1" t="s">
        <v>6804</v>
      </c>
      <c r="H420" s="1" t="s">
        <v>1507</v>
      </c>
      <c r="I420" s="1" t="s">
        <v>1507</v>
      </c>
      <c r="J420" s="1" t="s">
        <v>6805</v>
      </c>
      <c r="K420" s="1" t="s">
        <v>3251</v>
      </c>
      <c r="L420" s="1" t="s">
        <v>1507</v>
      </c>
      <c r="M420" s="1" t="s">
        <v>1507</v>
      </c>
      <c r="N420" s="1" t="s">
        <v>42</v>
      </c>
      <c r="O420" s="1" t="s">
        <v>56</v>
      </c>
      <c r="P420" s="1" t="s">
        <v>1507</v>
      </c>
      <c r="Q420" s="1" t="s">
        <v>1507</v>
      </c>
      <c r="R420" s="1" t="s">
        <v>1507</v>
      </c>
      <c r="S420" s="1" t="s">
        <v>1507</v>
      </c>
      <c r="T420" s="1" t="s">
        <v>1507</v>
      </c>
      <c r="U420" s="1" t="s">
        <v>6806</v>
      </c>
      <c r="V420" s="1" t="s">
        <v>6807</v>
      </c>
      <c r="W420" s="1" t="s">
        <v>6808</v>
      </c>
      <c r="X420" s="1" t="s">
        <v>6809</v>
      </c>
      <c r="Y420" s="1" t="s">
        <v>6810</v>
      </c>
      <c r="Z420" s="1" t="s">
        <v>6811</v>
      </c>
      <c r="AA420" s="1" t="s">
        <v>6812</v>
      </c>
      <c r="AB420" s="1" t="s">
        <v>15546</v>
      </c>
      <c r="AC420" s="1" t="s">
        <v>6813</v>
      </c>
      <c r="AD420" s="1" t="s">
        <v>6814</v>
      </c>
      <c r="AE420" s="1" t="s">
        <v>6815</v>
      </c>
      <c r="AF420" s="1" t="s">
        <v>6816</v>
      </c>
      <c r="AG420" s="1" t="s">
        <v>1507</v>
      </c>
      <c r="AH420" s="1">
        <v>55</v>
      </c>
      <c r="AI420" s="1">
        <v>4</v>
      </c>
      <c r="AJ420" s="1">
        <v>4</v>
      </c>
      <c r="AK420" s="1">
        <v>7</v>
      </c>
      <c r="AL420" s="1">
        <v>22</v>
      </c>
      <c r="AM420" s="1" t="s">
        <v>3263</v>
      </c>
      <c r="AN420" s="1" t="s">
        <v>2300</v>
      </c>
      <c r="AO420" s="1" t="s">
        <v>3264</v>
      </c>
      <c r="AP420" s="1" t="s">
        <v>3265</v>
      </c>
      <c r="AQ420" s="1" t="s">
        <v>3266</v>
      </c>
      <c r="AR420" s="1" t="s">
        <v>1507</v>
      </c>
      <c r="AS420" s="1" t="s">
        <v>3267</v>
      </c>
      <c r="AT420" s="1" t="s">
        <v>3268</v>
      </c>
      <c r="AU420" s="1" t="s">
        <v>6817</v>
      </c>
      <c r="AV420" s="1">
        <v>2022</v>
      </c>
      <c r="AW420" s="1">
        <v>119</v>
      </c>
      <c r="AX420" s="1">
        <v>45</v>
      </c>
      <c r="AY420" s="1" t="s">
        <v>1507</v>
      </c>
      <c r="AZ420" s="1" t="s">
        <v>1507</v>
      </c>
      <c r="BA420" s="1" t="s">
        <v>1507</v>
      </c>
      <c r="BB420" s="1" t="s">
        <v>1507</v>
      </c>
      <c r="BC420" s="1" t="s">
        <v>1507</v>
      </c>
      <c r="BD420" s="1" t="s">
        <v>1507</v>
      </c>
      <c r="BE420" s="1" t="s">
        <v>6818</v>
      </c>
      <c r="BF420" s="1" t="s">
        <v>6819</v>
      </c>
      <c r="BG420" s="1" t="str">
        <f>HYPERLINK("http://dx.doi.org/10.1073/pnas.2211715119","http://dx.doi.org/10.1073/pnas.2211715119")</f>
        <v>http://dx.doi.org/10.1073/pnas.2211715119</v>
      </c>
      <c r="BH420" s="1" t="s">
        <v>1507</v>
      </c>
      <c r="BI420" s="1" t="s">
        <v>1507</v>
      </c>
      <c r="BJ420" s="1">
        <v>8</v>
      </c>
      <c r="BK420" s="1" t="s">
        <v>1776</v>
      </c>
      <c r="BL420" s="1" t="s">
        <v>1573</v>
      </c>
      <c r="BM420" s="1" t="s">
        <v>1777</v>
      </c>
      <c r="BN420" s="1" t="s">
        <v>6820</v>
      </c>
      <c r="BO420" s="1">
        <v>36322749</v>
      </c>
      <c r="BP420" s="1" t="s">
        <v>2309</v>
      </c>
      <c r="BQ420" s="1" t="s">
        <v>1507</v>
      </c>
      <c r="BR420" s="1" t="s">
        <v>1507</v>
      </c>
      <c r="BS420" s="1" t="s">
        <v>13744</v>
      </c>
      <c r="BT420" s="1" t="s">
        <v>6821</v>
      </c>
      <c r="BU420" s="1" t="str">
        <f>HYPERLINK("https%3A%2F%2Fwww.webofscience.com%2Fwos%2Fwoscc%2Ffull-record%2FWOS:000907643500053","View Full Record in Web of Science")</f>
        <v>View Full Record in Web of Science</v>
      </c>
    </row>
    <row r="421" spans="1:73" x14ac:dyDescent="0.25">
      <c r="A421" s="1">
        <v>466</v>
      </c>
      <c r="B421" s="1" t="s">
        <v>1506</v>
      </c>
      <c r="C421" s="1" t="s">
        <v>10428</v>
      </c>
      <c r="D421" s="1" t="s">
        <v>1507</v>
      </c>
      <c r="E421" s="1" t="s">
        <v>1507</v>
      </c>
      <c r="F421" s="1" t="s">
        <v>1507</v>
      </c>
      <c r="G421" s="1" t="s">
        <v>10429</v>
      </c>
      <c r="H421" s="1" t="s">
        <v>1507</v>
      </c>
      <c r="I421" s="1" t="s">
        <v>1507</v>
      </c>
      <c r="J421" s="1" t="s">
        <v>10430</v>
      </c>
      <c r="K421" s="1" t="s">
        <v>10431</v>
      </c>
      <c r="L421" s="1" t="s">
        <v>1507</v>
      </c>
      <c r="M421" s="1" t="s">
        <v>1507</v>
      </c>
      <c r="N421" s="1" t="s">
        <v>42</v>
      </c>
      <c r="O421" s="1" t="s">
        <v>56</v>
      </c>
      <c r="P421" s="1" t="s">
        <v>1507</v>
      </c>
      <c r="Q421" s="1" t="s">
        <v>1507</v>
      </c>
      <c r="R421" s="1" t="s">
        <v>1507</v>
      </c>
      <c r="S421" s="1" t="s">
        <v>1507</v>
      </c>
      <c r="T421" s="1" t="s">
        <v>1507</v>
      </c>
      <c r="U421" s="1" t="s">
        <v>10432</v>
      </c>
      <c r="V421" s="1" t="s">
        <v>10433</v>
      </c>
      <c r="W421" s="1" t="s">
        <v>10434</v>
      </c>
      <c r="X421" s="1" t="s">
        <v>10435</v>
      </c>
      <c r="Y421" s="1" t="s">
        <v>10436</v>
      </c>
      <c r="Z421" s="1" t="s">
        <v>10437</v>
      </c>
      <c r="AA421" s="1" t="s">
        <v>10438</v>
      </c>
      <c r="AB421" s="1" t="s">
        <v>15854</v>
      </c>
      <c r="AC421" s="1" t="s">
        <v>15855</v>
      </c>
      <c r="AD421" s="1" t="s">
        <v>10439</v>
      </c>
      <c r="AE421" s="1" t="s">
        <v>10440</v>
      </c>
      <c r="AF421" s="1" t="s">
        <v>10441</v>
      </c>
      <c r="AG421" s="1" t="s">
        <v>1507</v>
      </c>
      <c r="AH421" s="1">
        <v>26</v>
      </c>
      <c r="AI421" s="1">
        <v>6</v>
      </c>
      <c r="AJ421" s="1">
        <v>9</v>
      </c>
      <c r="AK421" s="1">
        <v>0</v>
      </c>
      <c r="AL421" s="1">
        <v>4</v>
      </c>
      <c r="AM421" s="1" t="s">
        <v>1725</v>
      </c>
      <c r="AN421" s="1" t="s">
        <v>1551</v>
      </c>
      <c r="AO421" s="1" t="s">
        <v>1726</v>
      </c>
      <c r="AP421" s="1" t="s">
        <v>1507</v>
      </c>
      <c r="AQ421" s="1" t="s">
        <v>10442</v>
      </c>
      <c r="AR421" s="1" t="s">
        <v>1507</v>
      </c>
      <c r="AS421" s="1" t="s">
        <v>10443</v>
      </c>
      <c r="AT421" s="1" t="s">
        <v>10444</v>
      </c>
      <c r="AU421" s="1" t="s">
        <v>10445</v>
      </c>
      <c r="AV421" s="1">
        <v>2019</v>
      </c>
      <c r="AW421" s="1">
        <v>19</v>
      </c>
      <c r="AX421" s="1">
        <v>1</v>
      </c>
      <c r="AY421" s="1" t="s">
        <v>1507</v>
      </c>
      <c r="AZ421" s="1" t="s">
        <v>1507</v>
      </c>
      <c r="BA421" s="1" t="s">
        <v>1507</v>
      </c>
      <c r="BB421" s="1" t="s">
        <v>1507</v>
      </c>
      <c r="BC421" s="1" t="s">
        <v>1507</v>
      </c>
      <c r="BD421" s="1" t="s">
        <v>1507</v>
      </c>
      <c r="BE421" s="1">
        <v>493</v>
      </c>
      <c r="BF421" s="1" t="s">
        <v>10446</v>
      </c>
      <c r="BG421" s="1" t="str">
        <f>HYPERLINK("http://dx.doi.org/10.1186/s12884-019-2602-2","http://dx.doi.org/10.1186/s12884-019-2602-2")</f>
        <v>http://dx.doi.org/10.1186/s12884-019-2602-2</v>
      </c>
      <c r="BH421" s="1" t="s">
        <v>1507</v>
      </c>
      <c r="BI421" s="1" t="s">
        <v>1507</v>
      </c>
      <c r="BJ421" s="1">
        <v>8</v>
      </c>
      <c r="BK421" s="1" t="s">
        <v>10447</v>
      </c>
      <c r="BL421" s="1" t="s">
        <v>1573</v>
      </c>
      <c r="BM421" s="1" t="s">
        <v>10447</v>
      </c>
      <c r="BN421" s="1" t="s">
        <v>10448</v>
      </c>
      <c r="BO421" s="1">
        <v>31829138</v>
      </c>
      <c r="BP421" s="1" t="s">
        <v>1952</v>
      </c>
      <c r="BQ421" s="1" t="s">
        <v>1507</v>
      </c>
      <c r="BR421" s="1" t="s">
        <v>1507</v>
      </c>
      <c r="BS421" s="1" t="s">
        <v>13744</v>
      </c>
      <c r="BT421" s="1" t="s">
        <v>10449</v>
      </c>
      <c r="BU421" s="1" t="str">
        <f>HYPERLINK("https%3A%2F%2Fwww.webofscience.com%2Fwos%2Fwoscc%2Ffull-record%2FWOS:000511436400003","View Full Record in Web of Science")</f>
        <v>View Full Record in Web of Science</v>
      </c>
    </row>
    <row r="422" spans="1:73" x14ac:dyDescent="0.25">
      <c r="A422" s="1">
        <v>467</v>
      </c>
      <c r="B422" s="1" t="s">
        <v>5546</v>
      </c>
      <c r="C422" s="1" t="s">
        <v>15340</v>
      </c>
      <c r="D422" s="1" t="s">
        <v>1507</v>
      </c>
      <c r="E422" s="1" t="s">
        <v>15341</v>
      </c>
      <c r="F422" s="1" t="s">
        <v>1507</v>
      </c>
      <c r="G422" s="1" t="s">
        <v>15342</v>
      </c>
      <c r="H422" s="1" t="s">
        <v>1507</v>
      </c>
      <c r="I422" s="1" t="s">
        <v>1507</v>
      </c>
      <c r="J422" s="1" t="s">
        <v>15343</v>
      </c>
      <c r="K422" s="1" t="s">
        <v>15344</v>
      </c>
      <c r="L422" s="1" t="s">
        <v>6208</v>
      </c>
      <c r="M422" s="1" t="s">
        <v>1507</v>
      </c>
      <c r="N422" s="1" t="s">
        <v>42</v>
      </c>
      <c r="O422" s="1" t="s">
        <v>5552</v>
      </c>
      <c r="P422" s="1" t="s">
        <v>15345</v>
      </c>
      <c r="Q422" s="1" t="s">
        <v>6370</v>
      </c>
      <c r="R422" s="1" t="s">
        <v>15346</v>
      </c>
      <c r="S422" s="1" t="s">
        <v>1507</v>
      </c>
      <c r="T422" s="1" t="s">
        <v>1507</v>
      </c>
      <c r="U422" s="1" t="s">
        <v>15347</v>
      </c>
      <c r="V422" s="1" t="s">
        <v>1507</v>
      </c>
      <c r="W422" s="1" t="s">
        <v>15348</v>
      </c>
      <c r="X422" s="1" t="s">
        <v>15349</v>
      </c>
      <c r="Y422" s="1" t="s">
        <v>15350</v>
      </c>
      <c r="Z422" s="1" t="s">
        <v>15351</v>
      </c>
      <c r="AA422" s="1" t="s">
        <v>15352</v>
      </c>
      <c r="AB422" s="1" t="s">
        <v>15353</v>
      </c>
      <c r="AC422" s="1" t="s">
        <v>15354</v>
      </c>
      <c r="AD422" s="1" t="s">
        <v>15355</v>
      </c>
      <c r="AE422" s="1" t="s">
        <v>15356</v>
      </c>
      <c r="AF422" s="1" t="s">
        <v>15357</v>
      </c>
      <c r="AG422" s="1" t="s">
        <v>1507</v>
      </c>
      <c r="AH422" s="1">
        <v>41</v>
      </c>
      <c r="AI422" s="1">
        <v>0</v>
      </c>
      <c r="AJ422" s="1">
        <v>0</v>
      </c>
      <c r="AK422" s="1">
        <v>0</v>
      </c>
      <c r="AL422" s="1">
        <v>0</v>
      </c>
      <c r="AM422" s="1" t="s">
        <v>6221</v>
      </c>
      <c r="AN422" s="1" t="s">
        <v>6222</v>
      </c>
      <c r="AO422" s="1" t="s">
        <v>6223</v>
      </c>
      <c r="AP422" s="1" t="s">
        <v>6224</v>
      </c>
      <c r="AQ422" s="1" t="s">
        <v>6225</v>
      </c>
      <c r="AR422" s="1" t="s">
        <v>15358</v>
      </c>
      <c r="AS422" s="1" t="s">
        <v>6227</v>
      </c>
      <c r="AT422" s="1" t="s">
        <v>1507</v>
      </c>
      <c r="AU422" s="1" t="s">
        <v>1507</v>
      </c>
      <c r="AV422" s="1">
        <v>2023</v>
      </c>
      <c r="AW422" s="1">
        <v>14261</v>
      </c>
      <c r="AX422" s="1" t="s">
        <v>1507</v>
      </c>
      <c r="AY422" s="1" t="s">
        <v>1507</v>
      </c>
      <c r="AZ422" s="1" t="s">
        <v>1507</v>
      </c>
      <c r="BA422" s="1" t="s">
        <v>1507</v>
      </c>
      <c r="BB422" s="1" t="s">
        <v>1507</v>
      </c>
      <c r="BC422" s="1">
        <v>407</v>
      </c>
      <c r="BD422" s="1">
        <v>418</v>
      </c>
      <c r="BE422" s="1" t="s">
        <v>1507</v>
      </c>
      <c r="BF422" s="1" t="s">
        <v>15359</v>
      </c>
      <c r="BG422" s="1" t="str">
        <f>HYPERLINK("http://dx.doi.org/10.1007/978-3-031-44198-1_34","http://dx.doi.org/10.1007/978-3-031-44198-1_34")</f>
        <v>http://dx.doi.org/10.1007/978-3-031-44198-1_34</v>
      </c>
      <c r="BH422" s="1" t="s">
        <v>1507</v>
      </c>
      <c r="BI422" s="1" t="s">
        <v>1507</v>
      </c>
      <c r="BJ422" s="1">
        <v>12</v>
      </c>
      <c r="BK422" s="1" t="s">
        <v>2678</v>
      </c>
      <c r="BL422" s="1" t="s">
        <v>5570</v>
      </c>
      <c r="BM422" s="1" t="s">
        <v>1577</v>
      </c>
      <c r="BN422" s="1" t="s">
        <v>15360</v>
      </c>
      <c r="BO422" s="1" t="s">
        <v>1507</v>
      </c>
      <c r="BP422" s="1" t="s">
        <v>1507</v>
      </c>
      <c r="BQ422" s="1" t="s">
        <v>1507</v>
      </c>
      <c r="BR422" s="1" t="s">
        <v>1507</v>
      </c>
      <c r="BS422" s="1" t="s">
        <v>13744</v>
      </c>
      <c r="BT422" s="1" t="s">
        <v>15361</v>
      </c>
      <c r="BU422" s="1" t="str">
        <f>HYPERLINK("https%3A%2F%2Fwww.webofscience.com%2Fwos%2Fwoscc%2Ffull-record%2FWOS:001157297600034","View Full Record in Web of Science")</f>
        <v>View Full Record in Web of Science</v>
      </c>
    </row>
    <row r="423" spans="1:73" x14ac:dyDescent="0.25">
      <c r="A423" s="1">
        <v>468</v>
      </c>
      <c r="B423" s="1" t="s">
        <v>5546</v>
      </c>
      <c r="C423" s="1" t="s">
        <v>6318</v>
      </c>
      <c r="D423" s="1" t="s">
        <v>1507</v>
      </c>
      <c r="E423" s="1" t="s">
        <v>1507</v>
      </c>
      <c r="F423" s="1" t="s">
        <v>5548</v>
      </c>
      <c r="G423" s="1" t="s">
        <v>6319</v>
      </c>
      <c r="H423" s="1" t="s">
        <v>1507</v>
      </c>
      <c r="I423" s="1" t="s">
        <v>1507</v>
      </c>
      <c r="J423" s="1" t="s">
        <v>33</v>
      </c>
      <c r="K423" s="1" t="s">
        <v>6114</v>
      </c>
      <c r="L423" s="1" t="s">
        <v>1507</v>
      </c>
      <c r="M423" s="1" t="s">
        <v>1507</v>
      </c>
      <c r="N423" s="1" t="s">
        <v>42</v>
      </c>
      <c r="O423" s="1" t="s">
        <v>5552</v>
      </c>
      <c r="P423" s="1" t="s">
        <v>6115</v>
      </c>
      <c r="Q423" s="1" t="s">
        <v>6116</v>
      </c>
      <c r="R423" s="1" t="s">
        <v>5942</v>
      </c>
      <c r="S423" s="1" t="s">
        <v>6117</v>
      </c>
      <c r="T423" s="1" t="s">
        <v>1507</v>
      </c>
      <c r="U423" s="1" t="s">
        <v>6320</v>
      </c>
      <c r="V423" s="1" t="s">
        <v>1507</v>
      </c>
      <c r="W423" s="1" t="s">
        <v>6321</v>
      </c>
      <c r="X423" s="1" t="s">
        <v>6322</v>
      </c>
      <c r="Y423" s="1" t="s">
        <v>6323</v>
      </c>
      <c r="Z423" s="1" t="s">
        <v>6324</v>
      </c>
      <c r="AA423" s="1" t="s">
        <v>6325</v>
      </c>
      <c r="AB423" s="1" t="s">
        <v>15362</v>
      </c>
      <c r="AC423" s="1" t="s">
        <v>15363</v>
      </c>
      <c r="AD423" s="1" t="s">
        <v>1507</v>
      </c>
      <c r="AE423" s="1" t="s">
        <v>1507</v>
      </c>
      <c r="AF423" s="1" t="s">
        <v>1507</v>
      </c>
      <c r="AG423" s="1" t="s">
        <v>1507</v>
      </c>
      <c r="AH423" s="1">
        <v>52</v>
      </c>
      <c r="AI423" s="1">
        <v>4</v>
      </c>
      <c r="AJ423" s="1">
        <v>4</v>
      </c>
      <c r="AK423" s="1">
        <v>5</v>
      </c>
      <c r="AL423" s="1">
        <v>5</v>
      </c>
      <c r="AM423" s="1" t="s">
        <v>5565</v>
      </c>
      <c r="AN423" s="1" t="s">
        <v>1512</v>
      </c>
      <c r="AO423" s="1" t="s">
        <v>5566</v>
      </c>
      <c r="AP423" s="1" t="s">
        <v>1507</v>
      </c>
      <c r="AQ423" s="1" t="s">
        <v>1507</v>
      </c>
      <c r="AR423" s="1" t="s">
        <v>6127</v>
      </c>
      <c r="AS423" s="1" t="s">
        <v>1507</v>
      </c>
      <c r="AT423" s="1" t="s">
        <v>1507</v>
      </c>
      <c r="AU423" s="1" t="s">
        <v>1507</v>
      </c>
      <c r="AV423" s="1">
        <v>2023</v>
      </c>
      <c r="AW423" s="1" t="s">
        <v>1507</v>
      </c>
      <c r="AX423" s="1" t="s">
        <v>1507</v>
      </c>
      <c r="AY423" s="1" t="s">
        <v>1507</v>
      </c>
      <c r="AZ423" s="1" t="s">
        <v>1507</v>
      </c>
      <c r="BA423" s="1" t="s">
        <v>1507</v>
      </c>
      <c r="BB423" s="1" t="s">
        <v>1507</v>
      </c>
      <c r="BC423" s="1">
        <v>78</v>
      </c>
      <c r="BD423" s="1">
        <v>92</v>
      </c>
      <c r="BE423" s="1" t="s">
        <v>1507</v>
      </c>
      <c r="BF423" s="1" t="s">
        <v>35</v>
      </c>
      <c r="BG423" s="1" t="str">
        <f>HYPERLINK("http://dx.doi.org/10.1145/3568813.3600142","http://dx.doi.org/10.1145/3568813.3600142")</f>
        <v>http://dx.doi.org/10.1145/3568813.3600142</v>
      </c>
      <c r="BH423" s="1" t="s">
        <v>1507</v>
      </c>
      <c r="BI423" s="1" t="s">
        <v>1507</v>
      </c>
      <c r="BJ423" s="1">
        <v>15</v>
      </c>
      <c r="BK423" s="1" t="s">
        <v>6128</v>
      </c>
      <c r="BL423" s="1" t="s">
        <v>5695</v>
      </c>
      <c r="BM423" s="1" t="s">
        <v>6108</v>
      </c>
      <c r="BN423" s="1" t="s">
        <v>6129</v>
      </c>
      <c r="BO423" s="1" t="s">
        <v>1507</v>
      </c>
      <c r="BP423" s="1" t="s">
        <v>2574</v>
      </c>
      <c r="BQ423" s="1" t="s">
        <v>1507</v>
      </c>
      <c r="BR423" s="1" t="s">
        <v>1507</v>
      </c>
      <c r="BS423" s="1" t="s">
        <v>13744</v>
      </c>
      <c r="BT423" s="1" t="s">
        <v>6326</v>
      </c>
      <c r="BU423" s="1" t="str">
        <f>HYPERLINK("https%3A%2F%2Fwww.webofscience.com%2Fwos%2Fwoscc%2Ffull-record%2FWOS:001141973500006","View Full Record in Web of Science")</f>
        <v>View Full Record in Web of Science</v>
      </c>
    </row>
    <row r="424" spans="1:73" x14ac:dyDescent="0.25">
      <c r="A424" s="1">
        <v>469</v>
      </c>
      <c r="B424" s="1" t="s">
        <v>1506</v>
      </c>
      <c r="C424" s="1" t="s">
        <v>10815</v>
      </c>
      <c r="D424" s="1" t="s">
        <v>1507</v>
      </c>
      <c r="E424" s="1" t="s">
        <v>1507</v>
      </c>
      <c r="F424" s="1" t="s">
        <v>1507</v>
      </c>
      <c r="G424" s="1" t="s">
        <v>10816</v>
      </c>
      <c r="H424" s="1" t="s">
        <v>1507</v>
      </c>
      <c r="I424" s="1" t="s">
        <v>1507</v>
      </c>
      <c r="J424" s="1" t="s">
        <v>10817</v>
      </c>
      <c r="K424" s="1" t="s">
        <v>8666</v>
      </c>
      <c r="L424" s="1" t="s">
        <v>1507</v>
      </c>
      <c r="M424" s="1" t="s">
        <v>1507</v>
      </c>
      <c r="N424" s="1" t="s">
        <v>42</v>
      </c>
      <c r="O424" s="1" t="s">
        <v>56</v>
      </c>
      <c r="P424" s="1" t="s">
        <v>1507</v>
      </c>
      <c r="Q424" s="1" t="s">
        <v>1507</v>
      </c>
      <c r="R424" s="1" t="s">
        <v>1507</v>
      </c>
      <c r="S424" s="1" t="s">
        <v>1507</v>
      </c>
      <c r="T424" s="1" t="s">
        <v>1507</v>
      </c>
      <c r="U424" s="1" t="s">
        <v>1507</v>
      </c>
      <c r="V424" s="1" t="s">
        <v>10818</v>
      </c>
      <c r="W424" s="1" t="s">
        <v>10819</v>
      </c>
      <c r="X424" s="1" t="s">
        <v>10820</v>
      </c>
      <c r="Y424" s="1" t="s">
        <v>15917</v>
      </c>
      <c r="Z424" s="1" t="s">
        <v>10821</v>
      </c>
      <c r="AA424" s="1" t="s">
        <v>10822</v>
      </c>
      <c r="AB424" s="1" t="s">
        <v>15918</v>
      </c>
      <c r="AC424" s="1" t="s">
        <v>15919</v>
      </c>
      <c r="AD424" s="1" t="s">
        <v>10823</v>
      </c>
      <c r="AE424" s="1" t="s">
        <v>10824</v>
      </c>
      <c r="AF424" s="1" t="s">
        <v>10825</v>
      </c>
      <c r="AG424" s="1" t="s">
        <v>1507</v>
      </c>
      <c r="AH424" s="1">
        <v>74</v>
      </c>
      <c r="AI424" s="1">
        <v>54</v>
      </c>
      <c r="AJ424" s="1">
        <v>57</v>
      </c>
      <c r="AK424" s="1">
        <v>0</v>
      </c>
      <c r="AL424" s="1">
        <v>10</v>
      </c>
      <c r="AM424" s="1" t="s">
        <v>8675</v>
      </c>
      <c r="AN424" s="1" t="s">
        <v>8676</v>
      </c>
      <c r="AO424" s="1" t="s">
        <v>8677</v>
      </c>
      <c r="AP424" s="1" t="s">
        <v>1507</v>
      </c>
      <c r="AQ424" s="1" t="s">
        <v>8678</v>
      </c>
      <c r="AR424" s="1" t="s">
        <v>1507</v>
      </c>
      <c r="AS424" s="1" t="s">
        <v>8666</v>
      </c>
      <c r="AT424" s="1" t="s">
        <v>8679</v>
      </c>
      <c r="AU424" s="1" t="s">
        <v>10826</v>
      </c>
      <c r="AV424" s="1">
        <v>2019</v>
      </c>
      <c r="AW424" s="1">
        <v>4</v>
      </c>
      <c r="AX424" s="1">
        <v>13</v>
      </c>
      <c r="AY424" s="1" t="s">
        <v>1507</v>
      </c>
      <c r="AZ424" s="1" t="s">
        <v>1507</v>
      </c>
      <c r="BA424" s="1" t="s">
        <v>1507</v>
      </c>
      <c r="BB424" s="1" t="s">
        <v>1507</v>
      </c>
      <c r="BC424" s="1" t="s">
        <v>1507</v>
      </c>
      <c r="BD424" s="1" t="s">
        <v>1507</v>
      </c>
      <c r="BE424" s="1" t="s">
        <v>10827</v>
      </c>
      <c r="BF424" s="1" t="s">
        <v>10828</v>
      </c>
      <c r="BG424" s="1" t="str">
        <f>HYPERLINK("http://dx.doi.org/10.1172/jci.insight.122998","http://dx.doi.org/10.1172/jci.insight.122998")</f>
        <v>http://dx.doi.org/10.1172/jci.insight.122998</v>
      </c>
      <c r="BH424" s="1" t="s">
        <v>1507</v>
      </c>
      <c r="BI424" s="1" t="s">
        <v>1507</v>
      </c>
      <c r="BJ424" s="1">
        <v>19</v>
      </c>
      <c r="BK424" s="1" t="s">
        <v>3858</v>
      </c>
      <c r="BL424" s="1" t="s">
        <v>1573</v>
      </c>
      <c r="BM424" s="1" t="s">
        <v>3859</v>
      </c>
      <c r="BN424" s="1" t="s">
        <v>10829</v>
      </c>
      <c r="BO424" s="1">
        <v>31145099</v>
      </c>
      <c r="BP424" s="1" t="s">
        <v>2040</v>
      </c>
      <c r="BQ424" s="1" t="s">
        <v>1507</v>
      </c>
      <c r="BR424" s="1" t="s">
        <v>1507</v>
      </c>
      <c r="BS424" s="1" t="s">
        <v>13744</v>
      </c>
      <c r="BT424" s="1" t="s">
        <v>10830</v>
      </c>
      <c r="BU424" s="1" t="str">
        <f>HYPERLINK("https%3A%2F%2Fwww.webofscience.com%2Fwos%2Fwoscc%2Ffull-record%2FWOS:000474918000001","View Full Record in Web of Science")</f>
        <v>View Full Record in Web of Science</v>
      </c>
    </row>
    <row r="425" spans="1:73" x14ac:dyDescent="0.25">
      <c r="A425" s="1">
        <v>470</v>
      </c>
      <c r="B425" s="1" t="s">
        <v>1506</v>
      </c>
      <c r="C425" s="1" t="s">
        <v>7278</v>
      </c>
      <c r="D425" s="1" t="s">
        <v>1507</v>
      </c>
      <c r="E425" s="1" t="s">
        <v>1507</v>
      </c>
      <c r="F425" s="1" t="s">
        <v>1507</v>
      </c>
      <c r="G425" s="1" t="s">
        <v>7279</v>
      </c>
      <c r="H425" s="1" t="s">
        <v>1507</v>
      </c>
      <c r="I425" s="1" t="s">
        <v>1507</v>
      </c>
      <c r="J425" s="1" t="s">
        <v>7280</v>
      </c>
      <c r="K425" s="1" t="s">
        <v>7281</v>
      </c>
      <c r="L425" s="1" t="s">
        <v>1507</v>
      </c>
      <c r="M425" s="1" t="s">
        <v>1507</v>
      </c>
      <c r="N425" s="1" t="s">
        <v>42</v>
      </c>
      <c r="O425" s="1" t="s">
        <v>56</v>
      </c>
      <c r="P425" s="1" t="s">
        <v>1507</v>
      </c>
      <c r="Q425" s="1" t="s">
        <v>1507</v>
      </c>
      <c r="R425" s="1" t="s">
        <v>1507</v>
      </c>
      <c r="S425" s="1" t="s">
        <v>1507</v>
      </c>
      <c r="T425" s="1" t="s">
        <v>1507</v>
      </c>
      <c r="U425" s="1" t="s">
        <v>7282</v>
      </c>
      <c r="V425" s="1" t="s">
        <v>7283</v>
      </c>
      <c r="W425" s="1" t="s">
        <v>7284</v>
      </c>
      <c r="X425" s="1" t="s">
        <v>7285</v>
      </c>
      <c r="Y425" s="1" t="s">
        <v>7286</v>
      </c>
      <c r="Z425" s="1" t="s">
        <v>7287</v>
      </c>
      <c r="AA425" s="1" t="s">
        <v>7288</v>
      </c>
      <c r="AB425" s="1" t="s">
        <v>5251</v>
      </c>
      <c r="AC425" s="1" t="s">
        <v>15619</v>
      </c>
      <c r="AD425" s="1" t="s">
        <v>7289</v>
      </c>
      <c r="AE425" s="1" t="s">
        <v>7290</v>
      </c>
      <c r="AF425" s="1" t="s">
        <v>7291</v>
      </c>
      <c r="AG425" s="1" t="s">
        <v>1507</v>
      </c>
      <c r="AH425" s="1">
        <v>88</v>
      </c>
      <c r="AI425" s="1">
        <v>12</v>
      </c>
      <c r="AJ425" s="1">
        <v>13</v>
      </c>
      <c r="AK425" s="1">
        <v>11</v>
      </c>
      <c r="AL425" s="1">
        <v>60</v>
      </c>
      <c r="AM425" s="1" t="s">
        <v>2372</v>
      </c>
      <c r="AN425" s="1" t="s">
        <v>2300</v>
      </c>
      <c r="AO425" s="1" t="s">
        <v>2373</v>
      </c>
      <c r="AP425" s="1" t="s">
        <v>7292</v>
      </c>
      <c r="AQ425" s="1" t="s">
        <v>1507</v>
      </c>
      <c r="AR425" s="1" t="s">
        <v>1507</v>
      </c>
      <c r="AS425" s="1" t="s">
        <v>7293</v>
      </c>
      <c r="AT425" s="1" t="s">
        <v>7294</v>
      </c>
      <c r="AU425" s="1" t="s">
        <v>7295</v>
      </c>
      <c r="AV425" s="1">
        <v>2022</v>
      </c>
      <c r="AW425" s="1">
        <v>6</v>
      </c>
      <c r="AX425" s="1">
        <v>4</v>
      </c>
      <c r="AY425" s="1" t="s">
        <v>1507</v>
      </c>
      <c r="AZ425" s="1" t="s">
        <v>1507</v>
      </c>
      <c r="BA425" s="1" t="s">
        <v>1507</v>
      </c>
      <c r="BB425" s="1" t="s">
        <v>1507</v>
      </c>
      <c r="BC425" s="1">
        <v>1095</v>
      </c>
      <c r="BD425" s="1">
        <v>1107</v>
      </c>
      <c r="BE425" s="1" t="s">
        <v>1507</v>
      </c>
      <c r="BF425" s="1" t="s">
        <v>7296</v>
      </c>
      <c r="BG425" s="1" t="str">
        <f>HYPERLINK("http://dx.doi.org/10.1021/acsearthspacechem.2c00017","http://dx.doi.org/10.1021/acsearthspacechem.2c00017")</f>
        <v>http://dx.doi.org/10.1021/acsearthspacechem.2c00017</v>
      </c>
      <c r="BH425" s="1" t="s">
        <v>1507</v>
      </c>
      <c r="BI425" s="1" t="s">
        <v>1507</v>
      </c>
      <c r="BJ425" s="1">
        <v>13</v>
      </c>
      <c r="BK425" s="1" t="s">
        <v>7297</v>
      </c>
      <c r="BL425" s="1" t="s">
        <v>1573</v>
      </c>
      <c r="BM425" s="1" t="s">
        <v>7298</v>
      </c>
      <c r="BN425" s="1" t="s">
        <v>7299</v>
      </c>
      <c r="BO425" s="1" t="s">
        <v>1507</v>
      </c>
      <c r="BP425" s="1" t="s">
        <v>1507</v>
      </c>
      <c r="BQ425" s="1" t="s">
        <v>1507</v>
      </c>
      <c r="BR425" s="1" t="s">
        <v>1507</v>
      </c>
      <c r="BS425" s="1" t="s">
        <v>13744</v>
      </c>
      <c r="BT425" s="1" t="s">
        <v>7300</v>
      </c>
      <c r="BU425" s="1" t="str">
        <f>HYPERLINK("https%3A%2F%2Fwww.webofscience.com%2Fwos%2Fwoscc%2Ffull-record%2FWOS:000794564400023","View Full Record in Web of Science")</f>
        <v>View Full Record in Web of Science</v>
      </c>
    </row>
    <row r="426" spans="1:73" x14ac:dyDescent="0.25">
      <c r="A426" s="1">
        <v>471</v>
      </c>
      <c r="B426" s="1" t="s">
        <v>1506</v>
      </c>
      <c r="C426" s="1" t="s">
        <v>5139</v>
      </c>
      <c r="D426" s="1" t="s">
        <v>1507</v>
      </c>
      <c r="E426" s="1" t="s">
        <v>1507</v>
      </c>
      <c r="F426" s="1" t="s">
        <v>1507</v>
      </c>
      <c r="G426" s="1" t="s">
        <v>5140</v>
      </c>
      <c r="H426" s="1" t="s">
        <v>1507</v>
      </c>
      <c r="I426" s="1" t="s">
        <v>1507</v>
      </c>
      <c r="J426" s="1" t="s">
        <v>5141</v>
      </c>
      <c r="K426" s="1" t="s">
        <v>5142</v>
      </c>
      <c r="L426" s="1" t="s">
        <v>1507</v>
      </c>
      <c r="M426" s="1" t="s">
        <v>1507</v>
      </c>
      <c r="N426" s="1" t="s">
        <v>42</v>
      </c>
      <c r="O426" s="1" t="s">
        <v>1509</v>
      </c>
      <c r="P426" s="1" t="s">
        <v>1507</v>
      </c>
      <c r="Q426" s="1" t="s">
        <v>1507</v>
      </c>
      <c r="R426" s="1" t="s">
        <v>1507</v>
      </c>
      <c r="S426" s="1" t="s">
        <v>1507</v>
      </c>
      <c r="T426" s="1" t="s">
        <v>1507</v>
      </c>
      <c r="U426" s="1" t="s">
        <v>5143</v>
      </c>
      <c r="V426" s="1" t="s">
        <v>5144</v>
      </c>
      <c r="W426" s="1" t="s">
        <v>5145</v>
      </c>
      <c r="X426" s="1" t="s">
        <v>5146</v>
      </c>
      <c r="Y426" s="1" t="s">
        <v>5147</v>
      </c>
      <c r="Z426" s="1" t="s">
        <v>5148</v>
      </c>
      <c r="AA426" s="1" t="s">
        <v>5149</v>
      </c>
      <c r="AB426" s="1" t="s">
        <v>5150</v>
      </c>
      <c r="AC426" s="1" t="s">
        <v>14785</v>
      </c>
      <c r="AD426" s="1" t="s">
        <v>5151</v>
      </c>
      <c r="AE426" s="1" t="s">
        <v>5152</v>
      </c>
      <c r="AF426" s="1" t="s">
        <v>5153</v>
      </c>
      <c r="AG426" s="1" t="s">
        <v>1507</v>
      </c>
      <c r="AH426" s="1">
        <v>96</v>
      </c>
      <c r="AI426" s="1">
        <v>10</v>
      </c>
      <c r="AJ426" s="1">
        <v>10</v>
      </c>
      <c r="AK426" s="1">
        <v>30</v>
      </c>
      <c r="AL426" s="1">
        <v>65</v>
      </c>
      <c r="AM426" s="1" t="s">
        <v>1511</v>
      </c>
      <c r="AN426" s="1" t="s">
        <v>1570</v>
      </c>
      <c r="AO426" s="1" t="s">
        <v>1571</v>
      </c>
      <c r="AP426" s="1" t="s">
        <v>5154</v>
      </c>
      <c r="AQ426" s="1" t="s">
        <v>5155</v>
      </c>
      <c r="AR426" s="1" t="s">
        <v>1507</v>
      </c>
      <c r="AS426" s="1" t="s">
        <v>5156</v>
      </c>
      <c r="AT426" s="1" t="s">
        <v>5157</v>
      </c>
      <c r="AU426" s="1" t="s">
        <v>5158</v>
      </c>
      <c r="AV426" s="1">
        <v>2023</v>
      </c>
      <c r="AW426" s="1" t="s">
        <v>1507</v>
      </c>
      <c r="AX426" s="1" t="s">
        <v>1507</v>
      </c>
      <c r="AY426" s="1" t="s">
        <v>1507</v>
      </c>
      <c r="AZ426" s="1" t="s">
        <v>1507</v>
      </c>
      <c r="BA426" s="1" t="s">
        <v>1507</v>
      </c>
      <c r="BB426" s="1" t="s">
        <v>1507</v>
      </c>
      <c r="BC426" s="1" t="s">
        <v>1507</v>
      </c>
      <c r="BD426" s="1" t="s">
        <v>1507</v>
      </c>
      <c r="BE426" s="1" t="s">
        <v>1507</v>
      </c>
      <c r="BF426" s="1" t="s">
        <v>5159</v>
      </c>
      <c r="BG426" s="1" t="str">
        <f>HYPERLINK("http://dx.doi.org/10.1007/s10796-023-10375-9","http://dx.doi.org/10.1007/s10796-023-10375-9")</f>
        <v>http://dx.doi.org/10.1007/s10796-023-10375-9</v>
      </c>
      <c r="BH426" s="1" t="s">
        <v>1507</v>
      </c>
      <c r="BI426" s="1" t="s">
        <v>5090</v>
      </c>
      <c r="BJ426" s="1">
        <v>26</v>
      </c>
      <c r="BK426" s="1" t="s">
        <v>5160</v>
      </c>
      <c r="BL426" s="1" t="s">
        <v>1573</v>
      </c>
      <c r="BM426" s="1" t="s">
        <v>1577</v>
      </c>
      <c r="BN426" s="1" t="s">
        <v>5161</v>
      </c>
      <c r="BO426" s="1" t="s">
        <v>1507</v>
      </c>
      <c r="BP426" s="1" t="s">
        <v>4924</v>
      </c>
      <c r="BQ426" s="1" t="s">
        <v>1507</v>
      </c>
      <c r="BR426" s="1" t="s">
        <v>1507</v>
      </c>
      <c r="BS426" s="1" t="s">
        <v>13744</v>
      </c>
      <c r="BT426" s="1" t="s">
        <v>5162</v>
      </c>
      <c r="BU426" s="1" t="str">
        <f>HYPERLINK("https%3A%2F%2Fwww.webofscience.com%2Fwos%2Fwoscc%2Ffull-record%2FWOS:000972807600001","View Full Record in Web of Science")</f>
        <v>View Full Record in Web of Science</v>
      </c>
    </row>
    <row r="427" spans="1:73" x14ac:dyDescent="0.25">
      <c r="A427" s="1">
        <v>472</v>
      </c>
      <c r="B427" s="1" t="s">
        <v>1506</v>
      </c>
      <c r="C427" s="1" t="s">
        <v>7459</v>
      </c>
      <c r="D427" s="1" t="s">
        <v>1507</v>
      </c>
      <c r="E427" s="1" t="s">
        <v>1507</v>
      </c>
      <c r="F427" s="1" t="s">
        <v>1507</v>
      </c>
      <c r="G427" s="1" t="s">
        <v>7460</v>
      </c>
      <c r="H427" s="1" t="s">
        <v>1507</v>
      </c>
      <c r="I427" s="1" t="s">
        <v>1507</v>
      </c>
      <c r="J427" s="1" t="s">
        <v>7461</v>
      </c>
      <c r="K427" s="1" t="s">
        <v>3475</v>
      </c>
      <c r="L427" s="1" t="s">
        <v>1507</v>
      </c>
      <c r="M427" s="1" t="s">
        <v>1507</v>
      </c>
      <c r="N427" s="1" t="s">
        <v>42</v>
      </c>
      <c r="O427" s="1" t="s">
        <v>56</v>
      </c>
      <c r="P427" s="1" t="s">
        <v>1507</v>
      </c>
      <c r="Q427" s="1" t="s">
        <v>1507</v>
      </c>
      <c r="R427" s="1" t="s">
        <v>1507</v>
      </c>
      <c r="S427" s="1" t="s">
        <v>1507</v>
      </c>
      <c r="T427" s="1" t="s">
        <v>1507</v>
      </c>
      <c r="U427" s="1" t="s">
        <v>1507</v>
      </c>
      <c r="V427" s="1" t="s">
        <v>1507</v>
      </c>
      <c r="W427" s="1" t="s">
        <v>7462</v>
      </c>
      <c r="X427" s="1" t="s">
        <v>7463</v>
      </c>
      <c r="Y427" s="1" t="s">
        <v>7464</v>
      </c>
      <c r="Z427" s="1" t="s">
        <v>7465</v>
      </c>
      <c r="AA427" s="1" t="s">
        <v>7466</v>
      </c>
      <c r="AB427" s="1" t="s">
        <v>1507</v>
      </c>
      <c r="AC427" s="1" t="s">
        <v>15630</v>
      </c>
      <c r="AD427" s="1" t="s">
        <v>7467</v>
      </c>
      <c r="AE427" s="1" t="s">
        <v>7468</v>
      </c>
      <c r="AF427" s="1" t="s">
        <v>7469</v>
      </c>
      <c r="AG427" s="1" t="s">
        <v>1507</v>
      </c>
      <c r="AH427" s="1">
        <v>58</v>
      </c>
      <c r="AI427" s="1">
        <v>41</v>
      </c>
      <c r="AJ427" s="1">
        <v>43</v>
      </c>
      <c r="AK427" s="1">
        <v>14</v>
      </c>
      <c r="AL427" s="1">
        <v>37</v>
      </c>
      <c r="AM427" s="1" t="s">
        <v>1591</v>
      </c>
      <c r="AN427" s="1" t="s">
        <v>1592</v>
      </c>
      <c r="AO427" s="1" t="s">
        <v>1593</v>
      </c>
      <c r="AP427" s="1" t="s">
        <v>1507</v>
      </c>
      <c r="AQ427" s="1" t="s">
        <v>3484</v>
      </c>
      <c r="AR427" s="1" t="s">
        <v>1507</v>
      </c>
      <c r="AS427" s="1" t="s">
        <v>3485</v>
      </c>
      <c r="AT427" s="1" t="s">
        <v>3486</v>
      </c>
      <c r="AU427" s="1" t="s">
        <v>5362</v>
      </c>
      <c r="AV427" s="1">
        <v>2022</v>
      </c>
      <c r="AW427" s="1">
        <v>4</v>
      </c>
      <c r="AX427" s="1">
        <v>3</v>
      </c>
      <c r="AY427" s="1" t="s">
        <v>1507</v>
      </c>
      <c r="AZ427" s="1" t="s">
        <v>1507</v>
      </c>
      <c r="BA427" s="1" t="s">
        <v>1507</v>
      </c>
      <c r="BB427" s="1" t="s">
        <v>1507</v>
      </c>
      <c r="BC427" s="1">
        <v>258</v>
      </c>
      <c r="BD427" s="1" t="s">
        <v>1774</v>
      </c>
      <c r="BE427" s="1" t="s">
        <v>1507</v>
      </c>
      <c r="BF427" s="1" t="s">
        <v>7470</v>
      </c>
      <c r="BG427" s="1" t="str">
        <f>HYPERLINK("http://dx.doi.org/10.1038/s42256-022-00458-8","http://dx.doi.org/10.1038/s42256-022-00458-8")</f>
        <v>http://dx.doi.org/10.1038/s42256-022-00458-8</v>
      </c>
      <c r="BH427" s="1" t="s">
        <v>1507</v>
      </c>
      <c r="BI427" s="1" t="s">
        <v>1507</v>
      </c>
      <c r="BJ427" s="1">
        <v>17</v>
      </c>
      <c r="BK427" s="1" t="s">
        <v>3488</v>
      </c>
      <c r="BL427" s="1" t="s">
        <v>1573</v>
      </c>
      <c r="BM427" s="1" t="s">
        <v>1577</v>
      </c>
      <c r="BN427" s="1" t="s">
        <v>7471</v>
      </c>
      <c r="BO427" s="1" t="s">
        <v>1507</v>
      </c>
      <c r="BP427" s="1" t="s">
        <v>1600</v>
      </c>
      <c r="BQ427" s="1" t="s">
        <v>1507</v>
      </c>
      <c r="BR427" s="1" t="s">
        <v>1507</v>
      </c>
      <c r="BS427" s="1" t="s">
        <v>13744</v>
      </c>
      <c r="BT427" s="1" t="s">
        <v>7472</v>
      </c>
      <c r="BU427" s="1" t="str">
        <f>HYPERLINK("https%3A%2F%2Fwww.webofscience.com%2Fwos%2Fwoscc%2Ffull-record%2FWOS:000772442700005","View Full Record in Web of Science")</f>
        <v>View Full Record in Web of Science</v>
      </c>
    </row>
    <row r="428" spans="1:73" x14ac:dyDescent="0.25">
      <c r="A428" s="1">
        <v>473</v>
      </c>
      <c r="B428" s="1" t="s">
        <v>5546</v>
      </c>
      <c r="C428" s="1" t="s">
        <v>6327</v>
      </c>
      <c r="D428" s="1" t="s">
        <v>1507</v>
      </c>
      <c r="E428" s="1" t="s">
        <v>6328</v>
      </c>
      <c r="F428" s="1" t="s">
        <v>1507</v>
      </c>
      <c r="G428" s="1" t="s">
        <v>6329</v>
      </c>
      <c r="H428" s="1" t="s">
        <v>1507</v>
      </c>
      <c r="I428" s="1" t="s">
        <v>1507</v>
      </c>
      <c r="J428" s="1" t="s">
        <v>6330</v>
      </c>
      <c r="K428" s="1" t="s">
        <v>6331</v>
      </c>
      <c r="L428" s="1" t="s">
        <v>6208</v>
      </c>
      <c r="M428" s="1" t="s">
        <v>1507</v>
      </c>
      <c r="N428" s="1" t="s">
        <v>42</v>
      </c>
      <c r="O428" s="1" t="s">
        <v>5552</v>
      </c>
      <c r="P428" s="1" t="s">
        <v>6332</v>
      </c>
      <c r="Q428" s="1" t="s">
        <v>6333</v>
      </c>
      <c r="R428" s="1" t="s">
        <v>5909</v>
      </c>
      <c r="S428" s="1" t="s">
        <v>1507</v>
      </c>
      <c r="T428" s="1" t="s">
        <v>1507</v>
      </c>
      <c r="U428" s="1" t="s">
        <v>1507</v>
      </c>
      <c r="V428" s="1" t="s">
        <v>6334</v>
      </c>
      <c r="W428" s="1" t="s">
        <v>6335</v>
      </c>
      <c r="X428" s="1" t="s">
        <v>6336</v>
      </c>
      <c r="Y428" s="1" t="s">
        <v>6337</v>
      </c>
      <c r="Z428" s="1" t="s">
        <v>6338</v>
      </c>
      <c r="AA428" s="1" t="s">
        <v>6339</v>
      </c>
      <c r="AB428" s="1" t="s">
        <v>6340</v>
      </c>
      <c r="AC428" s="1" t="s">
        <v>15364</v>
      </c>
      <c r="AD428" s="1" t="s">
        <v>6341</v>
      </c>
      <c r="AE428" s="1" t="s">
        <v>6342</v>
      </c>
      <c r="AF428" s="1" t="s">
        <v>6343</v>
      </c>
      <c r="AG428" s="1" t="s">
        <v>1507</v>
      </c>
      <c r="AH428" s="1">
        <v>25</v>
      </c>
      <c r="AI428" s="1">
        <v>0</v>
      </c>
      <c r="AJ428" s="1">
        <v>0</v>
      </c>
      <c r="AK428" s="1">
        <v>1</v>
      </c>
      <c r="AL428" s="1">
        <v>1</v>
      </c>
      <c r="AM428" s="1" t="s">
        <v>6221</v>
      </c>
      <c r="AN428" s="1" t="s">
        <v>6222</v>
      </c>
      <c r="AO428" s="1" t="s">
        <v>6223</v>
      </c>
      <c r="AP428" s="1" t="s">
        <v>6224</v>
      </c>
      <c r="AQ428" s="1" t="s">
        <v>6225</v>
      </c>
      <c r="AR428" s="1" t="s">
        <v>6344</v>
      </c>
      <c r="AS428" s="1" t="s">
        <v>6227</v>
      </c>
      <c r="AT428" s="1" t="s">
        <v>1507</v>
      </c>
      <c r="AU428" s="1" t="s">
        <v>1507</v>
      </c>
      <c r="AV428" s="1">
        <v>2023</v>
      </c>
      <c r="AW428" s="1">
        <v>14228</v>
      </c>
      <c r="AX428" s="1" t="s">
        <v>1507</v>
      </c>
      <c r="AY428" s="1" t="s">
        <v>1507</v>
      </c>
      <c r="AZ428" s="1" t="s">
        <v>1507</v>
      </c>
      <c r="BA428" s="1" t="s">
        <v>1507</v>
      </c>
      <c r="BB428" s="1" t="s">
        <v>1507</v>
      </c>
      <c r="BC428" s="1">
        <v>281</v>
      </c>
      <c r="BD428" s="1">
        <v>290</v>
      </c>
      <c r="BE428" s="1" t="s">
        <v>1507</v>
      </c>
      <c r="BF428" s="1" t="s">
        <v>6345</v>
      </c>
      <c r="BG428" s="1" t="str">
        <f>HYPERLINK("http://dx.doi.org/10.1007/978-3-031-43996-4_27","http://dx.doi.org/10.1007/978-3-031-43996-4_27")</f>
        <v>http://dx.doi.org/10.1007/978-3-031-43996-4_27</v>
      </c>
      <c r="BH428" s="1" t="s">
        <v>1507</v>
      </c>
      <c r="BI428" s="1" t="s">
        <v>1507</v>
      </c>
      <c r="BJ428" s="1">
        <v>10</v>
      </c>
      <c r="BK428" s="1" t="s">
        <v>6346</v>
      </c>
      <c r="BL428" s="1" t="s">
        <v>5570</v>
      </c>
      <c r="BM428" s="1" t="s">
        <v>1578</v>
      </c>
      <c r="BN428" s="1" t="s">
        <v>6347</v>
      </c>
      <c r="BO428" s="1" t="s">
        <v>1507</v>
      </c>
      <c r="BP428" s="1" t="s">
        <v>1600</v>
      </c>
      <c r="BQ428" s="1" t="s">
        <v>1507</v>
      </c>
      <c r="BR428" s="1" t="s">
        <v>1507</v>
      </c>
      <c r="BS428" s="1" t="s">
        <v>13744</v>
      </c>
      <c r="BT428" s="1" t="s">
        <v>6348</v>
      </c>
      <c r="BU428" s="1" t="str">
        <f>HYPERLINK("https%3A%2F%2Fwww.webofscience.com%2Fwos%2Fwoscc%2Ffull-record%2FWOS:001109638800027","View Full Record in Web of Science")</f>
        <v>View Full Record in Web of Science</v>
      </c>
    </row>
    <row r="429" spans="1:73" x14ac:dyDescent="0.25">
      <c r="A429" s="1">
        <v>474</v>
      </c>
      <c r="B429" s="1" t="s">
        <v>1506</v>
      </c>
      <c r="C429" s="1" t="s">
        <v>2439</v>
      </c>
      <c r="D429" s="1" t="s">
        <v>1507</v>
      </c>
      <c r="E429" s="1" t="s">
        <v>1507</v>
      </c>
      <c r="F429" s="1" t="s">
        <v>1507</v>
      </c>
      <c r="G429" s="1" t="s">
        <v>2440</v>
      </c>
      <c r="H429" s="1" t="s">
        <v>1507</v>
      </c>
      <c r="I429" s="1" t="s">
        <v>1507</v>
      </c>
      <c r="J429" s="1" t="s">
        <v>2441</v>
      </c>
      <c r="K429" s="1" t="s">
        <v>2442</v>
      </c>
      <c r="L429" s="1" t="s">
        <v>1507</v>
      </c>
      <c r="M429" s="1" t="s">
        <v>1507</v>
      </c>
      <c r="N429" s="1" t="s">
        <v>42</v>
      </c>
      <c r="O429" s="1" t="s">
        <v>56</v>
      </c>
      <c r="P429" s="1" t="s">
        <v>1507</v>
      </c>
      <c r="Q429" s="1" t="s">
        <v>1507</v>
      </c>
      <c r="R429" s="1" t="s">
        <v>1507</v>
      </c>
      <c r="S429" s="1" t="s">
        <v>1507</v>
      </c>
      <c r="T429" s="1" t="s">
        <v>1507</v>
      </c>
      <c r="U429" s="1" t="s">
        <v>1507</v>
      </c>
      <c r="V429" s="1" t="s">
        <v>1507</v>
      </c>
      <c r="W429" s="1" t="s">
        <v>2443</v>
      </c>
      <c r="X429" s="1" t="s">
        <v>2444</v>
      </c>
      <c r="Y429" s="1" t="s">
        <v>2445</v>
      </c>
      <c r="Z429" s="1" t="s">
        <v>2446</v>
      </c>
      <c r="AA429" s="1" t="s">
        <v>2447</v>
      </c>
      <c r="AB429" s="1" t="s">
        <v>1507</v>
      </c>
      <c r="AC429" s="1" t="s">
        <v>1507</v>
      </c>
      <c r="AD429" s="1" t="s">
        <v>2448</v>
      </c>
      <c r="AE429" s="1" t="s">
        <v>2449</v>
      </c>
      <c r="AF429" s="1" t="s">
        <v>2450</v>
      </c>
      <c r="AG429" s="1" t="s">
        <v>1507</v>
      </c>
      <c r="AH429" s="1">
        <v>26</v>
      </c>
      <c r="AI429" s="1">
        <v>0</v>
      </c>
      <c r="AJ429" s="1">
        <v>0</v>
      </c>
      <c r="AK429" s="1">
        <v>5</v>
      </c>
      <c r="AL429" s="1">
        <v>5</v>
      </c>
      <c r="AM429" s="1" t="s">
        <v>2033</v>
      </c>
      <c r="AN429" s="1" t="s">
        <v>1523</v>
      </c>
      <c r="AO429" s="1" t="s">
        <v>2034</v>
      </c>
      <c r="AP429" s="1" t="s">
        <v>1507</v>
      </c>
      <c r="AQ429" s="1" t="s">
        <v>2451</v>
      </c>
      <c r="AR429" s="1" t="s">
        <v>1507</v>
      </c>
      <c r="AS429" s="1" t="s">
        <v>2442</v>
      </c>
      <c r="AT429" s="1" t="s">
        <v>2452</v>
      </c>
      <c r="AU429" s="1" t="s">
        <v>2191</v>
      </c>
      <c r="AV429" s="1">
        <v>2023</v>
      </c>
      <c r="AW429" s="1">
        <v>9</v>
      </c>
      <c r="AX429" s="1">
        <v>12</v>
      </c>
      <c r="AY429" s="1" t="s">
        <v>1507</v>
      </c>
      <c r="AZ429" s="1" t="s">
        <v>1507</v>
      </c>
      <c r="BA429" s="1" t="s">
        <v>1507</v>
      </c>
      <c r="BB429" s="1" t="s">
        <v>1507</v>
      </c>
      <c r="BC429" s="1" t="s">
        <v>1507</v>
      </c>
      <c r="BD429" s="1" t="s">
        <v>1507</v>
      </c>
      <c r="BE429" s="1" t="s">
        <v>2453</v>
      </c>
      <c r="BF429" s="1" t="s">
        <v>2454</v>
      </c>
      <c r="BG429" s="1" t="str">
        <f>HYPERLINK("http://dx.doi.org/10.1016/j.heliyon.2023.e22457","http://dx.doi.org/10.1016/j.heliyon.2023.e22457")</f>
        <v>http://dx.doi.org/10.1016/j.heliyon.2023.e22457</v>
      </c>
      <c r="BH429" s="1" t="s">
        <v>1507</v>
      </c>
      <c r="BI429" s="1" t="s">
        <v>2396</v>
      </c>
      <c r="BJ429" s="1">
        <v>13</v>
      </c>
      <c r="BK429" s="1" t="s">
        <v>1776</v>
      </c>
      <c r="BL429" s="1" t="s">
        <v>1573</v>
      </c>
      <c r="BM429" s="1" t="s">
        <v>1777</v>
      </c>
      <c r="BN429" s="1" t="s">
        <v>2455</v>
      </c>
      <c r="BO429" s="1">
        <v>38076147</v>
      </c>
      <c r="BP429" s="1" t="s">
        <v>1952</v>
      </c>
      <c r="BQ429" s="1" t="s">
        <v>1507</v>
      </c>
      <c r="BR429" s="1" t="s">
        <v>1507</v>
      </c>
      <c r="BS429" s="1" t="s">
        <v>13744</v>
      </c>
      <c r="BT429" s="1" t="s">
        <v>2456</v>
      </c>
      <c r="BU429" s="1" t="str">
        <f>HYPERLINK("https%3A%2F%2Fwww.webofscience.com%2Fwos%2Fwoscc%2Ffull-record%2FWOS:001127852800001","View Full Record in Web of Science")</f>
        <v>View Full Record in Web of Science</v>
      </c>
    </row>
    <row r="430" spans="1:73" x14ac:dyDescent="0.25">
      <c r="A430" s="1">
        <v>475</v>
      </c>
      <c r="B430" s="1" t="s">
        <v>1506</v>
      </c>
      <c r="C430" s="1" t="s">
        <v>7961</v>
      </c>
      <c r="D430" s="1" t="s">
        <v>1507</v>
      </c>
      <c r="E430" s="1" t="s">
        <v>1507</v>
      </c>
      <c r="F430" s="1" t="s">
        <v>1507</v>
      </c>
      <c r="G430" s="1" t="s">
        <v>7962</v>
      </c>
      <c r="H430" s="1" t="s">
        <v>1507</v>
      </c>
      <c r="I430" s="1" t="s">
        <v>1507</v>
      </c>
      <c r="J430" s="1" t="s">
        <v>7963</v>
      </c>
      <c r="K430" s="1" t="s">
        <v>7964</v>
      </c>
      <c r="L430" s="1" t="s">
        <v>1507</v>
      </c>
      <c r="M430" s="1" t="s">
        <v>1507</v>
      </c>
      <c r="N430" s="1" t="s">
        <v>42</v>
      </c>
      <c r="O430" s="1" t="s">
        <v>56</v>
      </c>
      <c r="P430" s="1" t="s">
        <v>1507</v>
      </c>
      <c r="Q430" s="1" t="s">
        <v>1507</v>
      </c>
      <c r="R430" s="1" t="s">
        <v>1507</v>
      </c>
      <c r="S430" s="1" t="s">
        <v>1507</v>
      </c>
      <c r="T430" s="1" t="s">
        <v>1507</v>
      </c>
      <c r="U430" s="1" t="s">
        <v>7965</v>
      </c>
      <c r="V430" s="1" t="s">
        <v>7966</v>
      </c>
      <c r="W430" s="1" t="s">
        <v>7967</v>
      </c>
      <c r="X430" s="1" t="s">
        <v>7968</v>
      </c>
      <c r="Y430" s="1" t="s">
        <v>15678</v>
      </c>
      <c r="Z430" s="1" t="s">
        <v>7969</v>
      </c>
      <c r="AA430" s="1" t="s">
        <v>7970</v>
      </c>
      <c r="AB430" s="1" t="s">
        <v>15679</v>
      </c>
      <c r="AC430" s="1" t="s">
        <v>15680</v>
      </c>
      <c r="AD430" s="1" t="s">
        <v>7971</v>
      </c>
      <c r="AE430" s="1" t="s">
        <v>5617</v>
      </c>
      <c r="AF430" s="1" t="s">
        <v>7972</v>
      </c>
      <c r="AG430" s="1" t="s">
        <v>1507</v>
      </c>
      <c r="AH430" s="1">
        <v>66</v>
      </c>
      <c r="AI430" s="1">
        <v>13</v>
      </c>
      <c r="AJ430" s="1">
        <v>14</v>
      </c>
      <c r="AK430" s="1">
        <v>10</v>
      </c>
      <c r="AL430" s="1">
        <v>43</v>
      </c>
      <c r="AM430" s="1" t="s">
        <v>1900</v>
      </c>
      <c r="AN430" s="1" t="s">
        <v>1583</v>
      </c>
      <c r="AO430" s="1" t="s">
        <v>1901</v>
      </c>
      <c r="AP430" s="1" t="s">
        <v>7973</v>
      </c>
      <c r="AQ430" s="1" t="s">
        <v>7974</v>
      </c>
      <c r="AR430" s="1" t="s">
        <v>1507</v>
      </c>
      <c r="AS430" s="1" t="s">
        <v>7964</v>
      </c>
      <c r="AT430" s="1" t="s">
        <v>7975</v>
      </c>
      <c r="AU430" s="1" t="s">
        <v>9054</v>
      </c>
      <c r="AV430" s="1">
        <v>2022</v>
      </c>
      <c r="AW430" s="1">
        <v>288</v>
      </c>
      <c r="AX430" s="1" t="s">
        <v>1507</v>
      </c>
      <c r="AY430" s="1">
        <v>3</v>
      </c>
      <c r="AZ430" s="1" t="s">
        <v>1507</v>
      </c>
      <c r="BA430" s="1" t="s">
        <v>1507</v>
      </c>
      <c r="BB430" s="1" t="s">
        <v>1507</v>
      </c>
      <c r="BC430" s="1" t="s">
        <v>1507</v>
      </c>
      <c r="BD430" s="1" t="s">
        <v>1507</v>
      </c>
      <c r="BE430" s="1">
        <v>132652</v>
      </c>
      <c r="BF430" s="1" t="s">
        <v>7976</v>
      </c>
      <c r="BG430" s="1" t="str">
        <f>HYPERLINK("http://dx.doi.org/10.1016/j.chemosphere.2021.132652","http://dx.doi.org/10.1016/j.chemosphere.2021.132652")</f>
        <v>http://dx.doi.org/10.1016/j.chemosphere.2021.132652</v>
      </c>
      <c r="BH430" s="1" t="s">
        <v>1507</v>
      </c>
      <c r="BI430" s="1" t="s">
        <v>7958</v>
      </c>
      <c r="BJ430" s="1">
        <v>9</v>
      </c>
      <c r="BK430" s="1" t="s">
        <v>7038</v>
      </c>
      <c r="BL430" s="1" t="s">
        <v>1573</v>
      </c>
      <c r="BM430" s="1" t="s">
        <v>1839</v>
      </c>
      <c r="BN430" s="1" t="s">
        <v>7977</v>
      </c>
      <c r="BO430" s="1">
        <v>34695481</v>
      </c>
      <c r="BP430" s="1" t="s">
        <v>1507</v>
      </c>
      <c r="BQ430" s="1" t="s">
        <v>1507</v>
      </c>
      <c r="BR430" s="1" t="s">
        <v>1507</v>
      </c>
      <c r="BS430" s="1" t="s">
        <v>13744</v>
      </c>
      <c r="BT430" s="1" t="s">
        <v>7978</v>
      </c>
      <c r="BU430" s="1" t="str">
        <f>HYPERLINK("https%3A%2F%2Fwww.webofscience.com%2Fwos%2Fwoscc%2Ffull-record%2FWOS:000734153600007","View Full Record in Web of Science")</f>
        <v>View Full Record in Web of Science</v>
      </c>
    </row>
    <row r="431" spans="1:73" x14ac:dyDescent="0.25">
      <c r="A431" s="1">
        <v>476</v>
      </c>
      <c r="B431" s="1" t="s">
        <v>1506</v>
      </c>
      <c r="C431" s="1" t="s">
        <v>8990</v>
      </c>
      <c r="D431" s="1" t="s">
        <v>1507</v>
      </c>
      <c r="E431" s="1" t="s">
        <v>1507</v>
      </c>
      <c r="F431" s="1" t="s">
        <v>1507</v>
      </c>
      <c r="G431" s="1" t="s">
        <v>8991</v>
      </c>
      <c r="H431" s="1" t="s">
        <v>1507</v>
      </c>
      <c r="I431" s="1" t="s">
        <v>1507</v>
      </c>
      <c r="J431" s="1" t="s">
        <v>8992</v>
      </c>
      <c r="K431" s="1" t="s">
        <v>7964</v>
      </c>
      <c r="L431" s="1" t="s">
        <v>1507</v>
      </c>
      <c r="M431" s="1" t="s">
        <v>1507</v>
      </c>
      <c r="N431" s="1" t="s">
        <v>42</v>
      </c>
      <c r="O431" s="1" t="s">
        <v>56</v>
      </c>
      <c r="P431" s="1" t="s">
        <v>1507</v>
      </c>
      <c r="Q431" s="1" t="s">
        <v>1507</v>
      </c>
      <c r="R431" s="1" t="s">
        <v>1507</v>
      </c>
      <c r="S431" s="1" t="s">
        <v>1507</v>
      </c>
      <c r="T431" s="1" t="s">
        <v>1507</v>
      </c>
      <c r="U431" s="1" t="s">
        <v>8993</v>
      </c>
      <c r="V431" s="1" t="s">
        <v>8994</v>
      </c>
      <c r="W431" s="1" t="s">
        <v>8995</v>
      </c>
      <c r="X431" s="1" t="s">
        <v>8996</v>
      </c>
      <c r="Y431" s="1" t="s">
        <v>15758</v>
      </c>
      <c r="Z431" s="1" t="s">
        <v>7027</v>
      </c>
      <c r="AA431" s="1" t="s">
        <v>7970</v>
      </c>
      <c r="AB431" s="1" t="s">
        <v>15759</v>
      </c>
      <c r="AC431" s="1" t="s">
        <v>15760</v>
      </c>
      <c r="AD431" s="1" t="s">
        <v>7971</v>
      </c>
      <c r="AE431" s="1" t="s">
        <v>5617</v>
      </c>
      <c r="AF431" s="1" t="s">
        <v>8997</v>
      </c>
      <c r="AG431" s="1" t="s">
        <v>1507</v>
      </c>
      <c r="AH431" s="1">
        <v>38</v>
      </c>
      <c r="AI431" s="1">
        <v>15</v>
      </c>
      <c r="AJ431" s="1">
        <v>15</v>
      </c>
      <c r="AK431" s="1">
        <v>8</v>
      </c>
      <c r="AL431" s="1">
        <v>64</v>
      </c>
      <c r="AM431" s="1" t="s">
        <v>1900</v>
      </c>
      <c r="AN431" s="1" t="s">
        <v>1583</v>
      </c>
      <c r="AO431" s="1" t="s">
        <v>1901</v>
      </c>
      <c r="AP431" s="1" t="s">
        <v>7973</v>
      </c>
      <c r="AQ431" s="1" t="s">
        <v>7974</v>
      </c>
      <c r="AR431" s="1" t="s">
        <v>1507</v>
      </c>
      <c r="AS431" s="1" t="s">
        <v>7964</v>
      </c>
      <c r="AT431" s="1" t="s">
        <v>7975</v>
      </c>
      <c r="AU431" s="1" t="s">
        <v>4556</v>
      </c>
      <c r="AV431" s="1">
        <v>2021</v>
      </c>
      <c r="AW431" s="1">
        <v>275</v>
      </c>
      <c r="AX431" s="1" t="s">
        <v>1507</v>
      </c>
      <c r="AY431" s="1" t="s">
        <v>1507</v>
      </c>
      <c r="AZ431" s="1" t="s">
        <v>1507</v>
      </c>
      <c r="BA431" s="1" t="s">
        <v>1507</v>
      </c>
      <c r="BB431" s="1" t="s">
        <v>1507</v>
      </c>
      <c r="BC431" s="1" t="s">
        <v>1507</v>
      </c>
      <c r="BD431" s="1" t="s">
        <v>1507</v>
      </c>
      <c r="BE431" s="1">
        <v>129928</v>
      </c>
      <c r="BF431" s="1" t="s">
        <v>8998</v>
      </c>
      <c r="BG431" s="1" t="str">
        <f>HYPERLINK("http://dx.doi.org/10.1016/j.chemosphere.2021.129928","http://dx.doi.org/10.1016/j.chemosphere.2021.129928")</f>
        <v>http://dx.doi.org/10.1016/j.chemosphere.2021.129928</v>
      </c>
      <c r="BH431" s="1" t="s">
        <v>1507</v>
      </c>
      <c r="BI431" s="1" t="s">
        <v>8999</v>
      </c>
      <c r="BJ431" s="1">
        <v>8</v>
      </c>
      <c r="BK431" s="1" t="s">
        <v>7038</v>
      </c>
      <c r="BL431" s="1" t="s">
        <v>1573</v>
      </c>
      <c r="BM431" s="1" t="s">
        <v>1839</v>
      </c>
      <c r="BN431" s="1" t="s">
        <v>9000</v>
      </c>
      <c r="BO431" s="1">
        <v>33640743</v>
      </c>
      <c r="BP431" s="1" t="s">
        <v>1507</v>
      </c>
      <c r="BQ431" s="1" t="s">
        <v>1507</v>
      </c>
      <c r="BR431" s="1" t="s">
        <v>1507</v>
      </c>
      <c r="BS431" s="1" t="s">
        <v>13744</v>
      </c>
      <c r="BT431" s="1" t="s">
        <v>9001</v>
      </c>
      <c r="BU431" s="1" t="str">
        <f>HYPERLINK("https%3A%2F%2Fwww.webofscience.com%2Fwos%2Fwoscc%2Ffull-record%2FWOS:000647817200010","View Full Record in Web of Science")</f>
        <v>View Full Record in Web of Science</v>
      </c>
    </row>
    <row r="432" spans="1:73" x14ac:dyDescent="0.25">
      <c r="A432" s="1">
        <v>477</v>
      </c>
      <c r="B432" s="1" t="s">
        <v>1506</v>
      </c>
      <c r="C432" s="1" t="s">
        <v>4431</v>
      </c>
      <c r="D432" s="1" t="s">
        <v>1507</v>
      </c>
      <c r="E432" s="1" t="s">
        <v>1507</v>
      </c>
      <c r="F432" s="1" t="s">
        <v>1507</v>
      </c>
      <c r="G432" s="1" t="s">
        <v>4432</v>
      </c>
      <c r="H432" s="1" t="s">
        <v>1507</v>
      </c>
      <c r="I432" s="1" t="s">
        <v>3192</v>
      </c>
      <c r="J432" s="1" t="s">
        <v>4433</v>
      </c>
      <c r="K432" s="1" t="s">
        <v>1999</v>
      </c>
      <c r="L432" s="1" t="s">
        <v>1507</v>
      </c>
      <c r="M432" s="1" t="s">
        <v>1507</v>
      </c>
      <c r="N432" s="1" t="s">
        <v>42</v>
      </c>
      <c r="O432" s="1" t="s">
        <v>56</v>
      </c>
      <c r="P432" s="1" t="s">
        <v>1507</v>
      </c>
      <c r="Q432" s="1" t="s">
        <v>1507</v>
      </c>
      <c r="R432" s="1" t="s">
        <v>1507</v>
      </c>
      <c r="S432" s="1" t="s">
        <v>1507</v>
      </c>
      <c r="T432" s="1" t="s">
        <v>1507</v>
      </c>
      <c r="U432" s="1" t="s">
        <v>1507</v>
      </c>
      <c r="V432" s="1" t="s">
        <v>4434</v>
      </c>
      <c r="W432" s="1" t="s">
        <v>4435</v>
      </c>
      <c r="X432" s="1" t="s">
        <v>4436</v>
      </c>
      <c r="Y432" s="1" t="s">
        <v>4437</v>
      </c>
      <c r="Z432" s="1" t="s">
        <v>4438</v>
      </c>
      <c r="AA432" s="1" t="s">
        <v>4439</v>
      </c>
      <c r="AB432" s="1" t="s">
        <v>4440</v>
      </c>
      <c r="AC432" s="1" t="s">
        <v>14601</v>
      </c>
      <c r="AD432" s="1" t="s">
        <v>4441</v>
      </c>
      <c r="AE432" s="1" t="s">
        <v>4442</v>
      </c>
      <c r="AF432" s="1" t="s">
        <v>4443</v>
      </c>
      <c r="AG432" s="1" t="s">
        <v>1507</v>
      </c>
      <c r="AH432" s="1">
        <v>42</v>
      </c>
      <c r="AI432" s="1">
        <v>0</v>
      </c>
      <c r="AJ432" s="1">
        <v>0</v>
      </c>
      <c r="AK432" s="1">
        <v>1</v>
      </c>
      <c r="AL432" s="1">
        <v>1</v>
      </c>
      <c r="AM432" s="1" t="s">
        <v>2009</v>
      </c>
      <c r="AN432" s="1" t="s">
        <v>2010</v>
      </c>
      <c r="AO432" s="1" t="s">
        <v>2011</v>
      </c>
      <c r="AP432" s="1" t="s">
        <v>2012</v>
      </c>
      <c r="AQ432" s="1" t="s">
        <v>1507</v>
      </c>
      <c r="AR432" s="1" t="s">
        <v>1507</v>
      </c>
      <c r="AS432" s="1" t="s">
        <v>1999</v>
      </c>
      <c r="AT432" s="1" t="s">
        <v>2013</v>
      </c>
      <c r="AU432" s="1" t="s">
        <v>4444</v>
      </c>
      <c r="AV432" s="1">
        <v>2023</v>
      </c>
      <c r="AW432" s="1">
        <v>18</v>
      </c>
      <c r="AX432" s="1">
        <v>7</v>
      </c>
      <c r="AY432" s="1" t="s">
        <v>1507</v>
      </c>
      <c r="AZ432" s="1" t="s">
        <v>1507</v>
      </c>
      <c r="BA432" s="1" t="s">
        <v>1507</v>
      </c>
      <c r="BB432" s="1" t="s">
        <v>1507</v>
      </c>
      <c r="BC432" s="1" t="s">
        <v>1507</v>
      </c>
      <c r="BD432" s="1" t="s">
        <v>1507</v>
      </c>
      <c r="BE432" s="1" t="s">
        <v>4445</v>
      </c>
      <c r="BF432" s="1" t="s">
        <v>4446</v>
      </c>
      <c r="BG432" s="1" t="str">
        <f>HYPERLINK("http://dx.doi.org/10.1371/journal.pone.0288768","http://dx.doi.org/10.1371/journal.pone.0288768")</f>
        <v>http://dx.doi.org/10.1371/journal.pone.0288768</v>
      </c>
      <c r="BH432" s="1" t="s">
        <v>1507</v>
      </c>
      <c r="BI432" s="1" t="s">
        <v>1507</v>
      </c>
      <c r="BJ432" s="1">
        <v>13</v>
      </c>
      <c r="BK432" s="1" t="s">
        <v>1776</v>
      </c>
      <c r="BL432" s="1" t="s">
        <v>1573</v>
      </c>
      <c r="BM432" s="1" t="s">
        <v>1777</v>
      </c>
      <c r="BN432" s="1" t="s">
        <v>4447</v>
      </c>
      <c r="BO432" s="1">
        <v>37471316</v>
      </c>
      <c r="BP432" s="1" t="s">
        <v>1674</v>
      </c>
      <c r="BQ432" s="1" t="s">
        <v>1507</v>
      </c>
      <c r="BR432" s="1" t="s">
        <v>1507</v>
      </c>
      <c r="BS432" s="1" t="s">
        <v>13744</v>
      </c>
      <c r="BT432" s="1" t="s">
        <v>4448</v>
      </c>
      <c r="BU432" s="1" t="str">
        <f>HYPERLINK("https%3A%2F%2Fwww.webofscience.com%2Fwos%2Fwoscc%2Ffull-record%2FWOS:001035045000059","View Full Record in Web of Science")</f>
        <v>View Full Record in Web of Science</v>
      </c>
    </row>
    <row r="433" spans="1:73" x14ac:dyDescent="0.25">
      <c r="A433" s="1">
        <v>478</v>
      </c>
      <c r="B433" s="1" t="s">
        <v>1506</v>
      </c>
      <c r="C433" s="1" t="s">
        <v>6349</v>
      </c>
      <c r="D433" s="1" t="s">
        <v>1507</v>
      </c>
      <c r="E433" s="1" t="s">
        <v>1507</v>
      </c>
      <c r="F433" s="1" t="s">
        <v>1507</v>
      </c>
      <c r="G433" s="1" t="s">
        <v>6350</v>
      </c>
      <c r="H433" s="1" t="s">
        <v>1507</v>
      </c>
      <c r="I433" s="1" t="s">
        <v>1507</v>
      </c>
      <c r="J433" s="1" t="s">
        <v>6351</v>
      </c>
      <c r="K433" s="1" t="s">
        <v>5976</v>
      </c>
      <c r="L433" s="1" t="s">
        <v>1507</v>
      </c>
      <c r="M433" s="1" t="s">
        <v>1507</v>
      </c>
      <c r="N433" s="1" t="s">
        <v>42</v>
      </c>
      <c r="O433" s="1" t="s">
        <v>56</v>
      </c>
      <c r="P433" s="1" t="s">
        <v>1507</v>
      </c>
      <c r="Q433" s="1" t="s">
        <v>1507</v>
      </c>
      <c r="R433" s="1" t="s">
        <v>1507</v>
      </c>
      <c r="S433" s="1" t="s">
        <v>1507</v>
      </c>
      <c r="T433" s="1" t="s">
        <v>1507</v>
      </c>
      <c r="U433" s="1" t="s">
        <v>6352</v>
      </c>
      <c r="V433" s="1" t="s">
        <v>6353</v>
      </c>
      <c r="W433" s="1" t="s">
        <v>6354</v>
      </c>
      <c r="X433" s="1" t="s">
        <v>6355</v>
      </c>
      <c r="Y433" s="1" t="s">
        <v>6356</v>
      </c>
      <c r="Z433" s="1" t="s">
        <v>6357</v>
      </c>
      <c r="AA433" s="1" t="s">
        <v>6358</v>
      </c>
      <c r="AB433" s="1" t="s">
        <v>1507</v>
      </c>
      <c r="AC433" s="1" t="s">
        <v>15365</v>
      </c>
      <c r="AD433" s="1" t="s">
        <v>1507</v>
      </c>
      <c r="AE433" s="1" t="s">
        <v>1507</v>
      </c>
      <c r="AF433" s="1" t="s">
        <v>1507</v>
      </c>
      <c r="AG433" s="1" t="s">
        <v>1507</v>
      </c>
      <c r="AH433" s="1">
        <v>46</v>
      </c>
      <c r="AI433" s="1">
        <v>2</v>
      </c>
      <c r="AJ433" s="1">
        <v>2</v>
      </c>
      <c r="AK433" s="1">
        <v>33</v>
      </c>
      <c r="AL433" s="1">
        <v>33</v>
      </c>
      <c r="AM433" s="1" t="s">
        <v>1667</v>
      </c>
      <c r="AN433" s="1" t="s">
        <v>1668</v>
      </c>
      <c r="AO433" s="1" t="s">
        <v>1669</v>
      </c>
      <c r="AP433" s="1" t="s">
        <v>5983</v>
      </c>
      <c r="AQ433" s="1" t="s">
        <v>1507</v>
      </c>
      <c r="AR433" s="1" t="s">
        <v>1507</v>
      </c>
      <c r="AS433" s="1" t="s">
        <v>5984</v>
      </c>
      <c r="AT433" s="1" t="s">
        <v>1003</v>
      </c>
      <c r="AU433" s="1" t="s">
        <v>1507</v>
      </c>
      <c r="AV433" s="1">
        <v>2023</v>
      </c>
      <c r="AW433" s="1">
        <v>9</v>
      </c>
      <c r="AX433" s="1" t="s">
        <v>1507</v>
      </c>
      <c r="AY433" s="1" t="s">
        <v>1507</v>
      </c>
      <c r="AZ433" s="1" t="s">
        <v>1507</v>
      </c>
      <c r="BA433" s="1" t="s">
        <v>1507</v>
      </c>
      <c r="BB433" s="1" t="s">
        <v>1507</v>
      </c>
      <c r="BC433" s="1" t="s">
        <v>1507</v>
      </c>
      <c r="BD433" s="1" t="s">
        <v>1507</v>
      </c>
      <c r="BE433" s="1" t="s">
        <v>6359</v>
      </c>
      <c r="BF433" s="1" t="s">
        <v>6360</v>
      </c>
      <c r="BG433" s="1" t="str">
        <f>HYPERLINK("http://dx.doi.org/10.2196/53466","http://dx.doi.org/10.2196/53466")</f>
        <v>http://dx.doi.org/10.2196/53466</v>
      </c>
      <c r="BH433" s="1" t="s">
        <v>1507</v>
      </c>
      <c r="BI433" s="1" t="s">
        <v>1507</v>
      </c>
      <c r="BJ433" s="1">
        <v>11</v>
      </c>
      <c r="BK433" s="1" t="s">
        <v>2721</v>
      </c>
      <c r="BL433" s="1" t="s">
        <v>1529</v>
      </c>
      <c r="BM433" s="1" t="s">
        <v>1558</v>
      </c>
      <c r="BN433" s="1" t="s">
        <v>6361</v>
      </c>
      <c r="BO433" s="1">
        <v>38032695</v>
      </c>
      <c r="BP433" s="1" t="s">
        <v>1952</v>
      </c>
      <c r="BQ433" s="1" t="s">
        <v>1507</v>
      </c>
      <c r="BR433" s="1" t="s">
        <v>1507</v>
      </c>
      <c r="BS433" s="1" t="s">
        <v>13744</v>
      </c>
      <c r="BT433" s="1" t="s">
        <v>6362</v>
      </c>
      <c r="BU433" s="1" t="str">
        <f>HYPERLINK("https%3A%2F%2Fwww.webofscience.com%2Fwos%2Fwoscc%2Ffull-record%2FWOS:001114957800002","View Full Record in Web of Science")</f>
        <v>View Full Record in Web of Science</v>
      </c>
    </row>
    <row r="434" spans="1:73" x14ac:dyDescent="0.25">
      <c r="A434" s="1">
        <v>479</v>
      </c>
      <c r="B434" s="1" t="s">
        <v>1506</v>
      </c>
      <c r="C434" s="1" t="s">
        <v>5351</v>
      </c>
      <c r="D434" s="1" t="s">
        <v>1507</v>
      </c>
      <c r="E434" s="1" t="s">
        <v>1507</v>
      </c>
      <c r="F434" s="1" t="s">
        <v>1507</v>
      </c>
      <c r="G434" s="1" t="s">
        <v>5352</v>
      </c>
      <c r="H434" s="1" t="s">
        <v>1507</v>
      </c>
      <c r="I434" s="1" t="s">
        <v>1507</v>
      </c>
      <c r="J434" s="1" t="s">
        <v>5353</v>
      </c>
      <c r="K434" s="1" t="s">
        <v>5013</v>
      </c>
      <c r="L434" s="1" t="s">
        <v>1507</v>
      </c>
      <c r="M434" s="1" t="s">
        <v>1507</v>
      </c>
      <c r="N434" s="1" t="s">
        <v>42</v>
      </c>
      <c r="O434" s="1" t="s">
        <v>56</v>
      </c>
      <c r="P434" s="1" t="s">
        <v>1507</v>
      </c>
      <c r="Q434" s="1" t="s">
        <v>1507</v>
      </c>
      <c r="R434" s="1" t="s">
        <v>1507</v>
      </c>
      <c r="S434" s="1" t="s">
        <v>1507</v>
      </c>
      <c r="T434" s="1" t="s">
        <v>1507</v>
      </c>
      <c r="U434" s="1" t="s">
        <v>5354</v>
      </c>
      <c r="V434" s="1" t="s">
        <v>1507</v>
      </c>
      <c r="W434" s="1" t="s">
        <v>5355</v>
      </c>
      <c r="X434" s="1" t="s">
        <v>5356</v>
      </c>
      <c r="Y434" s="1" t="s">
        <v>2506</v>
      </c>
      <c r="Z434" s="1" t="s">
        <v>5357</v>
      </c>
      <c r="AA434" s="1" t="s">
        <v>5358</v>
      </c>
      <c r="AB434" s="1" t="s">
        <v>1507</v>
      </c>
      <c r="AC434" s="1" t="s">
        <v>1507</v>
      </c>
      <c r="AD434" s="1" t="s">
        <v>5359</v>
      </c>
      <c r="AE434" s="1" t="s">
        <v>5360</v>
      </c>
      <c r="AF434" s="1" t="s">
        <v>5361</v>
      </c>
      <c r="AG434" s="1" t="s">
        <v>1507</v>
      </c>
      <c r="AH434" s="1">
        <v>46</v>
      </c>
      <c r="AI434" s="1">
        <v>1</v>
      </c>
      <c r="AJ434" s="1">
        <v>1</v>
      </c>
      <c r="AK434" s="1">
        <v>1</v>
      </c>
      <c r="AL434" s="1">
        <v>1</v>
      </c>
      <c r="AM434" s="1" t="s">
        <v>1610</v>
      </c>
      <c r="AN434" s="1" t="s">
        <v>1611</v>
      </c>
      <c r="AO434" s="1" t="s">
        <v>1612</v>
      </c>
      <c r="AP434" s="1" t="s">
        <v>1507</v>
      </c>
      <c r="AQ434" s="1" t="s">
        <v>5022</v>
      </c>
      <c r="AR434" s="1" t="s">
        <v>1507</v>
      </c>
      <c r="AS434" s="1" t="s">
        <v>5023</v>
      </c>
      <c r="AT434" s="1" t="s">
        <v>5024</v>
      </c>
      <c r="AU434" s="1" t="s">
        <v>5362</v>
      </c>
      <c r="AV434" s="1">
        <v>2023</v>
      </c>
      <c r="AW434" s="1">
        <v>13</v>
      </c>
      <c r="AX434" s="1">
        <v>5</v>
      </c>
      <c r="AY434" s="1" t="s">
        <v>1507</v>
      </c>
      <c r="AZ434" s="1" t="s">
        <v>1507</v>
      </c>
      <c r="BA434" s="1" t="s">
        <v>1507</v>
      </c>
      <c r="BB434" s="1" t="s">
        <v>1507</v>
      </c>
      <c r="BC434" s="1" t="s">
        <v>1507</v>
      </c>
      <c r="BD434" s="1" t="s">
        <v>1507</v>
      </c>
      <c r="BE434" s="1">
        <v>2892</v>
      </c>
      <c r="BF434" s="1" t="s">
        <v>5363</v>
      </c>
      <c r="BG434" s="1" t="str">
        <f>HYPERLINK("http://dx.doi.org/10.3390/app13052892","http://dx.doi.org/10.3390/app13052892")</f>
        <v>http://dx.doi.org/10.3390/app13052892</v>
      </c>
      <c r="BH434" s="1" t="s">
        <v>1507</v>
      </c>
      <c r="BI434" s="1" t="s">
        <v>1507</v>
      </c>
      <c r="BJ434" s="1">
        <v>13</v>
      </c>
      <c r="BK434" s="1" t="s">
        <v>5027</v>
      </c>
      <c r="BL434" s="1" t="s">
        <v>1573</v>
      </c>
      <c r="BM434" s="1" t="s">
        <v>5028</v>
      </c>
      <c r="BN434" s="1" t="s">
        <v>5364</v>
      </c>
      <c r="BO434" s="1" t="s">
        <v>1507</v>
      </c>
      <c r="BP434" s="1" t="s">
        <v>1952</v>
      </c>
      <c r="BQ434" s="1" t="s">
        <v>1507</v>
      </c>
      <c r="BR434" s="1" t="s">
        <v>1507</v>
      </c>
      <c r="BS434" s="1" t="s">
        <v>13744</v>
      </c>
      <c r="BT434" s="1" t="s">
        <v>5365</v>
      </c>
      <c r="BU434" s="1" t="str">
        <f>HYPERLINK("https%3A%2F%2Fwww.webofscience.com%2Fwos%2Fwoscc%2Ffull-record%2FWOS:000947995900001","View Full Record in Web of Science")</f>
        <v>View Full Record in Web of Science</v>
      </c>
    </row>
    <row r="435" spans="1:73" x14ac:dyDescent="0.25">
      <c r="A435" s="1">
        <v>480</v>
      </c>
      <c r="B435" s="1" t="s">
        <v>1506</v>
      </c>
      <c r="C435" s="1" t="s">
        <v>9598</v>
      </c>
      <c r="D435" s="1" t="s">
        <v>1507</v>
      </c>
      <c r="E435" s="1" t="s">
        <v>1507</v>
      </c>
      <c r="F435" s="1" t="s">
        <v>1507</v>
      </c>
      <c r="G435" s="1" t="s">
        <v>9599</v>
      </c>
      <c r="H435" s="1" t="s">
        <v>1507</v>
      </c>
      <c r="I435" s="1" t="s">
        <v>1507</v>
      </c>
      <c r="J435" s="1" t="s">
        <v>9600</v>
      </c>
      <c r="K435" s="1" t="s">
        <v>8155</v>
      </c>
      <c r="L435" s="1" t="s">
        <v>1507</v>
      </c>
      <c r="M435" s="1" t="s">
        <v>1507</v>
      </c>
      <c r="N435" s="1" t="s">
        <v>42</v>
      </c>
      <c r="O435" s="1" t="s">
        <v>56</v>
      </c>
      <c r="P435" s="1" t="s">
        <v>1507</v>
      </c>
      <c r="Q435" s="1" t="s">
        <v>1507</v>
      </c>
      <c r="R435" s="1" t="s">
        <v>1507</v>
      </c>
      <c r="S435" s="1" t="s">
        <v>1507</v>
      </c>
      <c r="T435" s="1" t="s">
        <v>1507</v>
      </c>
      <c r="U435" s="1" t="s">
        <v>9601</v>
      </c>
      <c r="V435" s="1" t="s">
        <v>9602</v>
      </c>
      <c r="W435" s="1" t="s">
        <v>9603</v>
      </c>
      <c r="X435" s="1" t="s">
        <v>9604</v>
      </c>
      <c r="Y435" s="1" t="s">
        <v>9605</v>
      </c>
      <c r="Z435" s="1" t="s">
        <v>8160</v>
      </c>
      <c r="AA435" s="1" t="s">
        <v>7496</v>
      </c>
      <c r="AB435" s="1" t="s">
        <v>7497</v>
      </c>
      <c r="AC435" s="1" t="s">
        <v>8161</v>
      </c>
      <c r="AD435" s="1" t="s">
        <v>9606</v>
      </c>
      <c r="AE435" s="1" t="s">
        <v>9607</v>
      </c>
      <c r="AF435" s="1" t="s">
        <v>9608</v>
      </c>
      <c r="AG435" s="1" t="s">
        <v>1507</v>
      </c>
      <c r="AH435" s="1">
        <v>108</v>
      </c>
      <c r="AI435" s="1">
        <v>6</v>
      </c>
      <c r="AJ435" s="1">
        <v>6</v>
      </c>
      <c r="AK435" s="1">
        <v>0</v>
      </c>
      <c r="AL435" s="1">
        <v>6</v>
      </c>
      <c r="AM435" s="1" t="s">
        <v>1900</v>
      </c>
      <c r="AN435" s="1" t="s">
        <v>1583</v>
      </c>
      <c r="AO435" s="1" t="s">
        <v>1901</v>
      </c>
      <c r="AP435" s="1" t="s">
        <v>8165</v>
      </c>
      <c r="AQ435" s="1" t="s">
        <v>8166</v>
      </c>
      <c r="AR435" s="1" t="s">
        <v>1507</v>
      </c>
      <c r="AS435" s="1" t="s">
        <v>8167</v>
      </c>
      <c r="AT435" s="1" t="s">
        <v>8168</v>
      </c>
      <c r="AU435" s="1" t="s">
        <v>3992</v>
      </c>
      <c r="AV435" s="1">
        <v>2020</v>
      </c>
      <c r="AW435" s="1">
        <v>119</v>
      </c>
      <c r="AX435" s="1" t="s">
        <v>1507</v>
      </c>
      <c r="AY435" s="1" t="s">
        <v>1507</v>
      </c>
      <c r="AZ435" s="1" t="s">
        <v>1507</v>
      </c>
      <c r="BA435" s="1" t="s">
        <v>1507</v>
      </c>
      <c r="BB435" s="1" t="s">
        <v>1507</v>
      </c>
      <c r="BC435" s="1" t="s">
        <v>1507</v>
      </c>
      <c r="BD435" s="1" t="s">
        <v>1507</v>
      </c>
      <c r="BE435" s="1">
        <v>104733</v>
      </c>
      <c r="BF435" s="1" t="s">
        <v>9609</v>
      </c>
      <c r="BG435" s="1" t="str">
        <f>HYPERLINK("http://dx.doi.org/10.1016/j.psyneuen.2020.104733","http://dx.doi.org/10.1016/j.psyneuen.2020.104733")</f>
        <v>http://dx.doi.org/10.1016/j.psyneuen.2020.104733</v>
      </c>
      <c r="BH435" s="1" t="s">
        <v>1507</v>
      </c>
      <c r="BI435" s="1" t="s">
        <v>1507</v>
      </c>
      <c r="BJ435" s="1">
        <v>11</v>
      </c>
      <c r="BK435" s="1" t="s">
        <v>8171</v>
      </c>
      <c r="BL435" s="1" t="s">
        <v>1598</v>
      </c>
      <c r="BM435" s="1" t="s">
        <v>8172</v>
      </c>
      <c r="BN435" s="1" t="s">
        <v>9610</v>
      </c>
      <c r="BO435" s="1">
        <v>32563936</v>
      </c>
      <c r="BP435" s="1" t="s">
        <v>9611</v>
      </c>
      <c r="BQ435" s="1" t="s">
        <v>1507</v>
      </c>
      <c r="BR435" s="1" t="s">
        <v>1507</v>
      </c>
      <c r="BS435" s="1" t="s">
        <v>13744</v>
      </c>
      <c r="BT435" s="1" t="s">
        <v>9612</v>
      </c>
      <c r="BU435" s="1" t="str">
        <f>HYPERLINK("https%3A%2F%2Fwww.webofscience.com%2Fwos%2Fwoscc%2Ffull-record%2FWOS:000558090500011","View Full Record in Web of Science")</f>
        <v>View Full Record in Web of Science</v>
      </c>
    </row>
    <row r="436" spans="1:73" x14ac:dyDescent="0.25">
      <c r="A436" s="1">
        <v>481</v>
      </c>
      <c r="B436" s="1" t="s">
        <v>1506</v>
      </c>
      <c r="C436" s="1" t="s">
        <v>8152</v>
      </c>
      <c r="D436" s="1" t="s">
        <v>1507</v>
      </c>
      <c r="E436" s="1" t="s">
        <v>1507</v>
      </c>
      <c r="F436" s="1" t="s">
        <v>1507</v>
      </c>
      <c r="G436" s="1" t="s">
        <v>8153</v>
      </c>
      <c r="H436" s="1" t="s">
        <v>1507</v>
      </c>
      <c r="I436" s="1" t="s">
        <v>1507</v>
      </c>
      <c r="J436" s="1" t="s">
        <v>8154</v>
      </c>
      <c r="K436" s="1" t="s">
        <v>8155</v>
      </c>
      <c r="L436" s="1" t="s">
        <v>1507</v>
      </c>
      <c r="M436" s="1" t="s">
        <v>1507</v>
      </c>
      <c r="N436" s="1" t="s">
        <v>42</v>
      </c>
      <c r="O436" s="1" t="s">
        <v>56</v>
      </c>
      <c r="P436" s="1" t="s">
        <v>1507</v>
      </c>
      <c r="Q436" s="1" t="s">
        <v>1507</v>
      </c>
      <c r="R436" s="1" t="s">
        <v>1507</v>
      </c>
      <c r="S436" s="1" t="s">
        <v>1507</v>
      </c>
      <c r="T436" s="1" t="s">
        <v>1507</v>
      </c>
      <c r="U436" s="1" t="s">
        <v>8156</v>
      </c>
      <c r="V436" s="1" t="s">
        <v>8157</v>
      </c>
      <c r="W436" s="1" t="s">
        <v>8158</v>
      </c>
      <c r="X436" s="1" t="s">
        <v>8159</v>
      </c>
      <c r="Y436" s="1" t="s">
        <v>7494</v>
      </c>
      <c r="Z436" s="1" t="s">
        <v>8160</v>
      </c>
      <c r="AA436" s="1" t="s">
        <v>7496</v>
      </c>
      <c r="AB436" s="1" t="s">
        <v>7497</v>
      </c>
      <c r="AC436" s="1" t="s">
        <v>8161</v>
      </c>
      <c r="AD436" s="1" t="s">
        <v>8162</v>
      </c>
      <c r="AE436" s="1" t="s">
        <v>8163</v>
      </c>
      <c r="AF436" s="1" t="s">
        <v>8164</v>
      </c>
      <c r="AG436" s="1" t="s">
        <v>1507</v>
      </c>
      <c r="AH436" s="1">
        <v>62</v>
      </c>
      <c r="AI436" s="1">
        <v>3</v>
      </c>
      <c r="AJ436" s="1">
        <v>3</v>
      </c>
      <c r="AK436" s="1">
        <v>2</v>
      </c>
      <c r="AL436" s="1">
        <v>12</v>
      </c>
      <c r="AM436" s="1" t="s">
        <v>1900</v>
      </c>
      <c r="AN436" s="1" t="s">
        <v>1583</v>
      </c>
      <c r="AO436" s="1" t="s">
        <v>1901</v>
      </c>
      <c r="AP436" s="1" t="s">
        <v>8165</v>
      </c>
      <c r="AQ436" s="1" t="s">
        <v>8166</v>
      </c>
      <c r="AR436" s="1" t="s">
        <v>1507</v>
      </c>
      <c r="AS436" s="1" t="s">
        <v>8167</v>
      </c>
      <c r="AT436" s="1" t="s">
        <v>8168</v>
      </c>
      <c r="AU436" s="1" t="s">
        <v>2191</v>
      </c>
      <c r="AV436" s="1">
        <v>2021</v>
      </c>
      <c r="AW436" s="1">
        <v>134</v>
      </c>
      <c r="AX436" s="1" t="s">
        <v>1507</v>
      </c>
      <c r="AY436" s="1" t="s">
        <v>1507</v>
      </c>
      <c r="AZ436" s="1" t="s">
        <v>1507</v>
      </c>
      <c r="BA436" s="1" t="s">
        <v>1507</v>
      </c>
      <c r="BB436" s="1" t="s">
        <v>1507</v>
      </c>
      <c r="BC436" s="1" t="s">
        <v>1507</v>
      </c>
      <c r="BD436" s="1" t="s">
        <v>1507</v>
      </c>
      <c r="BE436" s="1">
        <v>105431</v>
      </c>
      <c r="BF436" s="1" t="s">
        <v>8169</v>
      </c>
      <c r="BG436" s="1" t="str">
        <f>HYPERLINK("http://dx.doi.org/10.1016/j.psyneuen.2021.105431","http://dx.doi.org/10.1016/j.psyneuen.2021.105431")</f>
        <v>http://dx.doi.org/10.1016/j.psyneuen.2021.105431</v>
      </c>
      <c r="BH436" s="1" t="s">
        <v>1507</v>
      </c>
      <c r="BI436" s="1" t="s">
        <v>8170</v>
      </c>
      <c r="BJ436" s="1">
        <v>7</v>
      </c>
      <c r="BK436" s="1" t="s">
        <v>8171</v>
      </c>
      <c r="BL436" s="1" t="s">
        <v>1598</v>
      </c>
      <c r="BM436" s="1" t="s">
        <v>8172</v>
      </c>
      <c r="BN436" s="1" t="s">
        <v>8173</v>
      </c>
      <c r="BO436" s="1">
        <v>34601343</v>
      </c>
      <c r="BP436" s="1" t="s">
        <v>15710</v>
      </c>
      <c r="BQ436" s="1" t="s">
        <v>1507</v>
      </c>
      <c r="BR436" s="1" t="s">
        <v>1507</v>
      </c>
      <c r="BS436" s="1" t="s">
        <v>13744</v>
      </c>
      <c r="BT436" s="1" t="s">
        <v>8175</v>
      </c>
      <c r="BU436" s="1" t="str">
        <f>HYPERLINK("https%3A%2F%2Fwww.webofscience.com%2Fwos%2Fwoscc%2Ffull-record%2FWOS:000704984200005","View Full Record in Web of Science")</f>
        <v>View Full Record in Web of Science</v>
      </c>
    </row>
    <row r="437" spans="1:73" x14ac:dyDescent="0.25">
      <c r="A437" s="1">
        <v>482</v>
      </c>
      <c r="B437" s="1" t="s">
        <v>1506</v>
      </c>
      <c r="C437" s="1" t="s">
        <v>7486</v>
      </c>
      <c r="D437" s="1" t="s">
        <v>1507</v>
      </c>
      <c r="E437" s="1" t="s">
        <v>1507</v>
      </c>
      <c r="F437" s="1" t="s">
        <v>1507</v>
      </c>
      <c r="G437" s="1" t="s">
        <v>7487</v>
      </c>
      <c r="H437" s="1" t="s">
        <v>1507</v>
      </c>
      <c r="I437" s="1" t="s">
        <v>1507</v>
      </c>
      <c r="J437" s="1" t="s">
        <v>7488</v>
      </c>
      <c r="K437" s="1" t="s">
        <v>7489</v>
      </c>
      <c r="L437" s="1" t="s">
        <v>1507</v>
      </c>
      <c r="M437" s="1" t="s">
        <v>1507</v>
      </c>
      <c r="N437" s="1" t="s">
        <v>42</v>
      </c>
      <c r="O437" s="1" t="s">
        <v>56</v>
      </c>
      <c r="P437" s="1" t="s">
        <v>1507</v>
      </c>
      <c r="Q437" s="1" t="s">
        <v>1507</v>
      </c>
      <c r="R437" s="1" t="s">
        <v>1507</v>
      </c>
      <c r="S437" s="1" t="s">
        <v>1507</v>
      </c>
      <c r="T437" s="1" t="s">
        <v>1507</v>
      </c>
      <c r="U437" s="1" t="s">
        <v>7490</v>
      </c>
      <c r="V437" s="1" t="s">
        <v>7491</v>
      </c>
      <c r="W437" s="1" t="s">
        <v>7492</v>
      </c>
      <c r="X437" s="1" t="s">
        <v>7493</v>
      </c>
      <c r="Y437" s="1" t="s">
        <v>7494</v>
      </c>
      <c r="Z437" s="1" t="s">
        <v>7495</v>
      </c>
      <c r="AA437" s="1" t="s">
        <v>7496</v>
      </c>
      <c r="AB437" s="1" t="s">
        <v>7497</v>
      </c>
      <c r="AC437" s="1" t="s">
        <v>7498</v>
      </c>
      <c r="AD437" s="1" t="s">
        <v>7499</v>
      </c>
      <c r="AE437" s="1" t="s">
        <v>7500</v>
      </c>
      <c r="AF437" s="1" t="s">
        <v>7501</v>
      </c>
      <c r="AG437" s="1" t="s">
        <v>1507</v>
      </c>
      <c r="AH437" s="1">
        <v>56</v>
      </c>
      <c r="AI437" s="1">
        <v>2</v>
      </c>
      <c r="AJ437" s="1">
        <v>2</v>
      </c>
      <c r="AK437" s="1">
        <v>1</v>
      </c>
      <c r="AL437" s="1">
        <v>7</v>
      </c>
      <c r="AM437" s="1" t="s">
        <v>2073</v>
      </c>
      <c r="AN437" s="1" t="s">
        <v>2074</v>
      </c>
      <c r="AO437" s="1" t="s">
        <v>2075</v>
      </c>
      <c r="AP437" s="1" t="s">
        <v>7502</v>
      </c>
      <c r="AQ437" s="1" t="s">
        <v>7503</v>
      </c>
      <c r="AR437" s="1" t="s">
        <v>1507</v>
      </c>
      <c r="AS437" s="1" t="s">
        <v>7504</v>
      </c>
      <c r="AT437" s="1" t="s">
        <v>7505</v>
      </c>
      <c r="AU437" s="1" t="s">
        <v>5362</v>
      </c>
      <c r="AV437" s="1">
        <v>2022</v>
      </c>
      <c r="AW437" s="1">
        <v>33</v>
      </c>
      <c r="AX437" s="1">
        <v>3</v>
      </c>
      <c r="AY437" s="1" t="s">
        <v>1507</v>
      </c>
      <c r="AZ437" s="1" t="s">
        <v>1507</v>
      </c>
      <c r="BA437" s="1" t="s">
        <v>1507</v>
      </c>
      <c r="BB437" s="1" t="s">
        <v>1507</v>
      </c>
      <c r="BC437" s="1">
        <v>343</v>
      </c>
      <c r="BD437" s="1">
        <v>353</v>
      </c>
      <c r="BE437" s="1">
        <v>9567976211036076</v>
      </c>
      <c r="BF437" s="1" t="s">
        <v>7506</v>
      </c>
      <c r="BG437" s="1" t="str">
        <f>HYPERLINK("http://dx.doi.org/10.1177/09567976211036075","http://dx.doi.org/10.1177/09567976211036075")</f>
        <v>http://dx.doi.org/10.1177/09567976211036075</v>
      </c>
      <c r="BH437" s="1" t="s">
        <v>1507</v>
      </c>
      <c r="BI437" s="1" t="s">
        <v>7483</v>
      </c>
      <c r="BJ437" s="1">
        <v>11</v>
      </c>
      <c r="BK437" s="1" t="s">
        <v>1517</v>
      </c>
      <c r="BL437" s="1" t="s">
        <v>1518</v>
      </c>
      <c r="BM437" s="1" t="s">
        <v>1519</v>
      </c>
      <c r="BN437" s="1" t="s">
        <v>7507</v>
      </c>
      <c r="BO437" s="1">
        <v>35191784</v>
      </c>
      <c r="BP437" s="1" t="s">
        <v>7508</v>
      </c>
      <c r="BQ437" s="1" t="s">
        <v>1507</v>
      </c>
      <c r="BR437" s="1" t="s">
        <v>1507</v>
      </c>
      <c r="BS437" s="1" t="s">
        <v>13744</v>
      </c>
      <c r="BT437" s="1" t="s">
        <v>7509</v>
      </c>
      <c r="BU437" s="1" t="str">
        <f>HYPERLINK("https%3A%2F%2Fwww.webofscience.com%2Fwos%2Fwoscc%2Ffull-record%2FWOS:000762693800001","View Full Record in Web of Science")</f>
        <v>View Full Record in Web of Science</v>
      </c>
    </row>
    <row r="438" spans="1:73" x14ac:dyDescent="0.25">
      <c r="A438" s="1">
        <v>483</v>
      </c>
      <c r="B438" s="1" t="s">
        <v>1506</v>
      </c>
      <c r="C438" s="1" t="s">
        <v>1954</v>
      </c>
      <c r="D438" s="1" t="s">
        <v>1507</v>
      </c>
      <c r="E438" s="1" t="s">
        <v>1507</v>
      </c>
      <c r="F438" s="1" t="s">
        <v>1507</v>
      </c>
      <c r="G438" s="1" t="s">
        <v>1955</v>
      </c>
      <c r="H438" s="1" t="s">
        <v>1507</v>
      </c>
      <c r="I438" s="1" t="s">
        <v>1507</v>
      </c>
      <c r="J438" s="1" t="s">
        <v>1956</v>
      </c>
      <c r="K438" s="1" t="s">
        <v>1957</v>
      </c>
      <c r="L438" s="1" t="s">
        <v>1507</v>
      </c>
      <c r="M438" s="1" t="s">
        <v>1507</v>
      </c>
      <c r="N438" s="1" t="s">
        <v>42</v>
      </c>
      <c r="O438" s="1" t="s">
        <v>1509</v>
      </c>
      <c r="P438" s="1" t="s">
        <v>1507</v>
      </c>
      <c r="Q438" s="1" t="s">
        <v>1507</v>
      </c>
      <c r="R438" s="1" t="s">
        <v>1507</v>
      </c>
      <c r="S438" s="1" t="s">
        <v>1507</v>
      </c>
      <c r="T438" s="1" t="s">
        <v>1507</v>
      </c>
      <c r="U438" s="1" t="s">
        <v>1507</v>
      </c>
      <c r="V438" s="1" t="s">
        <v>1507</v>
      </c>
      <c r="W438" s="1" t="s">
        <v>1507</v>
      </c>
      <c r="X438" s="1" t="s">
        <v>1958</v>
      </c>
      <c r="Y438" s="1" t="s">
        <v>1959</v>
      </c>
      <c r="Z438" s="1" t="s">
        <v>1960</v>
      </c>
      <c r="AA438" s="1" t="s">
        <v>1961</v>
      </c>
      <c r="AB438" s="1" t="s">
        <v>1507</v>
      </c>
      <c r="AC438" s="1" t="s">
        <v>13865</v>
      </c>
      <c r="AD438" s="1" t="s">
        <v>1962</v>
      </c>
      <c r="AE438" s="1" t="s">
        <v>1963</v>
      </c>
      <c r="AF438" s="1" t="s">
        <v>1964</v>
      </c>
      <c r="AG438" s="1" t="s">
        <v>1507</v>
      </c>
      <c r="AH438" s="1">
        <v>6</v>
      </c>
      <c r="AI438" s="1">
        <v>1</v>
      </c>
      <c r="AJ438" s="1">
        <v>1</v>
      </c>
      <c r="AK438" s="1">
        <v>3</v>
      </c>
      <c r="AL438" s="1">
        <v>3</v>
      </c>
      <c r="AM438" s="1" t="s">
        <v>1559</v>
      </c>
      <c r="AN438" s="1" t="s">
        <v>1560</v>
      </c>
      <c r="AO438" s="1" t="s">
        <v>1561</v>
      </c>
      <c r="AP438" s="1" t="s">
        <v>1965</v>
      </c>
      <c r="AQ438" s="1" t="s">
        <v>1966</v>
      </c>
      <c r="AR438" s="1" t="s">
        <v>1507</v>
      </c>
      <c r="AS438" s="1" t="s">
        <v>1957</v>
      </c>
      <c r="AT438" s="1" t="s">
        <v>1967</v>
      </c>
      <c r="AU438" s="1" t="s">
        <v>1968</v>
      </c>
      <c r="AV438" s="1">
        <v>2023</v>
      </c>
      <c r="AW438" s="1" t="s">
        <v>1507</v>
      </c>
      <c r="AX438" s="1" t="s">
        <v>1507</v>
      </c>
      <c r="AY438" s="1" t="s">
        <v>1507</v>
      </c>
      <c r="AZ438" s="1" t="s">
        <v>1507</v>
      </c>
      <c r="BA438" s="1" t="s">
        <v>1507</v>
      </c>
      <c r="BB438" s="1" t="s">
        <v>1507</v>
      </c>
      <c r="BC438" s="1" t="s">
        <v>1507</v>
      </c>
      <c r="BD438" s="1" t="s">
        <v>1507</v>
      </c>
      <c r="BE438" s="1" t="s">
        <v>1507</v>
      </c>
      <c r="BF438" s="1" t="s">
        <v>1969</v>
      </c>
      <c r="BG438" s="1" t="str">
        <f>HYPERLINK("http://dx.doi.org/10.1111/all.15976","http://dx.doi.org/10.1111/all.15976")</f>
        <v>http://dx.doi.org/10.1111/all.15976</v>
      </c>
      <c r="BH438" s="1" t="s">
        <v>1507</v>
      </c>
      <c r="BI438" s="1" t="s">
        <v>1652</v>
      </c>
      <c r="BJ438" s="1">
        <v>4</v>
      </c>
      <c r="BK438" s="1" t="s">
        <v>1970</v>
      </c>
      <c r="BL438" s="1" t="s">
        <v>1573</v>
      </c>
      <c r="BM438" s="1" t="s">
        <v>1970</v>
      </c>
      <c r="BN438" s="1" t="s">
        <v>1971</v>
      </c>
      <c r="BO438" s="1">
        <v>38078613</v>
      </c>
      <c r="BP438" s="1" t="s">
        <v>1507</v>
      </c>
      <c r="BQ438" s="1" t="s">
        <v>1507</v>
      </c>
      <c r="BR438" s="1" t="s">
        <v>1507</v>
      </c>
      <c r="BS438" s="1" t="s">
        <v>13744</v>
      </c>
      <c r="BT438" s="1" t="s">
        <v>1972</v>
      </c>
      <c r="BU438" s="1" t="str">
        <f>HYPERLINK("https%3A%2F%2Fwww.webofscience.com%2Fwos%2Fwoscc%2Ffull-record%2FWOS:001122225300001","View Full Record in Web of Science")</f>
        <v>View Full Record in Web of Science</v>
      </c>
    </row>
    <row r="439" spans="1:73" x14ac:dyDescent="0.25">
      <c r="A439" s="1">
        <v>484</v>
      </c>
      <c r="B439" s="1" t="s">
        <v>1506</v>
      </c>
      <c r="C439" s="1" t="s">
        <v>9918</v>
      </c>
      <c r="D439" s="1" t="s">
        <v>1507</v>
      </c>
      <c r="E439" s="1" t="s">
        <v>1507</v>
      </c>
      <c r="F439" s="1" t="s">
        <v>1507</v>
      </c>
      <c r="G439" s="1" t="s">
        <v>9919</v>
      </c>
      <c r="H439" s="1" t="s">
        <v>1507</v>
      </c>
      <c r="I439" s="1" t="s">
        <v>1507</v>
      </c>
      <c r="J439" s="1" t="s">
        <v>9920</v>
      </c>
      <c r="K439" s="1" t="s">
        <v>1760</v>
      </c>
      <c r="L439" s="1" t="s">
        <v>1507</v>
      </c>
      <c r="M439" s="1" t="s">
        <v>1507</v>
      </c>
      <c r="N439" s="1" t="s">
        <v>42</v>
      </c>
      <c r="O439" s="1" t="s">
        <v>56</v>
      </c>
      <c r="P439" s="1" t="s">
        <v>1507</v>
      </c>
      <c r="Q439" s="1" t="s">
        <v>1507</v>
      </c>
      <c r="R439" s="1" t="s">
        <v>1507</v>
      </c>
      <c r="S439" s="1" t="s">
        <v>1507</v>
      </c>
      <c r="T439" s="1" t="s">
        <v>1507</v>
      </c>
      <c r="U439" s="1" t="s">
        <v>1507</v>
      </c>
      <c r="V439" s="1" t="s">
        <v>9921</v>
      </c>
      <c r="W439" s="1" t="s">
        <v>9922</v>
      </c>
      <c r="X439" s="1" t="s">
        <v>9923</v>
      </c>
      <c r="Y439" s="1" t="s">
        <v>7146</v>
      </c>
      <c r="Z439" s="1" t="s">
        <v>9924</v>
      </c>
      <c r="AA439" s="1" t="s">
        <v>9925</v>
      </c>
      <c r="AB439" s="1" t="s">
        <v>15816</v>
      </c>
      <c r="AC439" s="1" t="s">
        <v>15817</v>
      </c>
      <c r="AD439" s="1" t="s">
        <v>9926</v>
      </c>
      <c r="AE439" s="1" t="s">
        <v>9927</v>
      </c>
      <c r="AF439" s="1" t="s">
        <v>9928</v>
      </c>
      <c r="AG439" s="1" t="s">
        <v>1507</v>
      </c>
      <c r="AH439" s="1">
        <v>37</v>
      </c>
      <c r="AI439" s="1">
        <v>860</v>
      </c>
      <c r="AJ439" s="1">
        <v>933</v>
      </c>
      <c r="AK439" s="1">
        <v>14</v>
      </c>
      <c r="AL439" s="1">
        <v>107</v>
      </c>
      <c r="AM439" s="1" t="s">
        <v>1591</v>
      </c>
      <c r="AN439" s="1" t="s">
        <v>1592</v>
      </c>
      <c r="AO439" s="1" t="s">
        <v>1593</v>
      </c>
      <c r="AP439" s="1" t="s">
        <v>1770</v>
      </c>
      <c r="AQ439" s="1" t="s">
        <v>1771</v>
      </c>
      <c r="AR439" s="1" t="s">
        <v>1507</v>
      </c>
      <c r="AS439" s="1" t="s">
        <v>1760</v>
      </c>
      <c r="AT439" s="1" t="s">
        <v>1772</v>
      </c>
      <c r="AU439" s="1" t="s">
        <v>15606</v>
      </c>
      <c r="AV439" s="1">
        <v>2020</v>
      </c>
      <c r="AW439" s="1">
        <v>583</v>
      </c>
      <c r="AX439" s="1">
        <v>7818</v>
      </c>
      <c r="AY439" s="1" t="s">
        <v>1507</v>
      </c>
      <c r="AZ439" s="1" t="s">
        <v>1507</v>
      </c>
      <c r="BA439" s="1" t="s">
        <v>1507</v>
      </c>
      <c r="BB439" s="1" t="s">
        <v>1507</v>
      </c>
      <c r="BC439" s="1">
        <v>834</v>
      </c>
      <c r="BD439" s="1" t="s">
        <v>1774</v>
      </c>
      <c r="BE439" s="1" t="s">
        <v>1507</v>
      </c>
      <c r="BF439" s="1" t="s">
        <v>9929</v>
      </c>
      <c r="BG439" s="1" t="str">
        <f>HYPERLINK("http://dx.doi.org/10.1038/s41586-020-2342-5","http://dx.doi.org/10.1038/s41586-020-2342-5")</f>
        <v>http://dx.doi.org/10.1038/s41586-020-2342-5</v>
      </c>
      <c r="BH439" s="1" t="s">
        <v>1507</v>
      </c>
      <c r="BI439" s="1" t="s">
        <v>9890</v>
      </c>
      <c r="BJ439" s="1">
        <v>11</v>
      </c>
      <c r="BK439" s="1" t="s">
        <v>1776</v>
      </c>
      <c r="BL439" s="1" t="s">
        <v>1573</v>
      </c>
      <c r="BM439" s="1" t="s">
        <v>1777</v>
      </c>
      <c r="BN439" s="1" t="s">
        <v>9930</v>
      </c>
      <c r="BO439" s="1">
        <v>32408338</v>
      </c>
      <c r="BP439" s="1" t="s">
        <v>9931</v>
      </c>
      <c r="BQ439" s="1" t="s">
        <v>1507</v>
      </c>
      <c r="BR439" s="1" t="s">
        <v>1507</v>
      </c>
      <c r="BS439" s="1" t="s">
        <v>13744</v>
      </c>
      <c r="BT439" s="1" t="s">
        <v>9932</v>
      </c>
      <c r="BU439" s="1" t="str">
        <f>HYPERLINK("https%3A%2F%2Fwww.webofscience.com%2Fwos%2Fwoscc%2Ffull-record%2FWOS:000551400700001","View Full Record in Web of Science")</f>
        <v>View Full Record in Web of Science</v>
      </c>
    </row>
    <row r="440" spans="1:73" x14ac:dyDescent="0.25">
      <c r="A440" s="1">
        <v>486</v>
      </c>
      <c r="B440" s="1" t="s">
        <v>1506</v>
      </c>
      <c r="C440" s="1" t="s">
        <v>2399</v>
      </c>
      <c r="D440" s="1" t="s">
        <v>1507</v>
      </c>
      <c r="E440" s="1" t="s">
        <v>1507</v>
      </c>
      <c r="F440" s="1" t="s">
        <v>1507</v>
      </c>
      <c r="G440" s="1" t="s">
        <v>2400</v>
      </c>
      <c r="H440" s="1" t="s">
        <v>1507</v>
      </c>
      <c r="I440" s="1" t="s">
        <v>1507</v>
      </c>
      <c r="J440" s="1" t="s">
        <v>2401</v>
      </c>
      <c r="K440" s="1" t="s">
        <v>2402</v>
      </c>
      <c r="L440" s="1" t="s">
        <v>1507</v>
      </c>
      <c r="M440" s="1" t="s">
        <v>1507</v>
      </c>
      <c r="N440" s="1" t="s">
        <v>42</v>
      </c>
      <c r="O440" s="1" t="s">
        <v>56</v>
      </c>
      <c r="P440" s="1" t="s">
        <v>1507</v>
      </c>
      <c r="Q440" s="1" t="s">
        <v>1507</v>
      </c>
      <c r="R440" s="1" t="s">
        <v>1507</v>
      </c>
      <c r="S440" s="1" t="s">
        <v>1507</v>
      </c>
      <c r="T440" s="1" t="s">
        <v>1507</v>
      </c>
      <c r="U440" s="1" t="s">
        <v>2403</v>
      </c>
      <c r="V440" s="1" t="s">
        <v>2404</v>
      </c>
      <c r="W440" s="1" t="s">
        <v>2405</v>
      </c>
      <c r="X440" s="1" t="s">
        <v>2406</v>
      </c>
      <c r="Y440" s="1" t="s">
        <v>2407</v>
      </c>
      <c r="Z440" s="1" t="s">
        <v>2408</v>
      </c>
      <c r="AA440" s="1" t="s">
        <v>2409</v>
      </c>
      <c r="AB440" s="1" t="s">
        <v>1507</v>
      </c>
      <c r="AC440" s="1" t="s">
        <v>1507</v>
      </c>
      <c r="AD440" s="1" t="s">
        <v>2410</v>
      </c>
      <c r="AE440" s="1" t="s">
        <v>2411</v>
      </c>
      <c r="AF440" s="1" t="s">
        <v>2412</v>
      </c>
      <c r="AG440" s="1" t="s">
        <v>1507</v>
      </c>
      <c r="AH440" s="1">
        <v>42</v>
      </c>
      <c r="AI440" s="1">
        <v>2</v>
      </c>
      <c r="AJ440" s="1">
        <v>2</v>
      </c>
      <c r="AK440" s="1">
        <v>19</v>
      </c>
      <c r="AL440" s="1">
        <v>19</v>
      </c>
      <c r="AM440" s="1" t="s">
        <v>1555</v>
      </c>
      <c r="AN440" s="1" t="s">
        <v>1556</v>
      </c>
      <c r="AO440" s="1" t="s">
        <v>1557</v>
      </c>
      <c r="AP440" s="1" t="s">
        <v>2413</v>
      </c>
      <c r="AQ440" s="1" t="s">
        <v>2414</v>
      </c>
      <c r="AR440" s="1" t="s">
        <v>1507</v>
      </c>
      <c r="AS440" s="1" t="s">
        <v>2415</v>
      </c>
      <c r="AT440" s="1" t="s">
        <v>2416</v>
      </c>
      <c r="AU440" s="1" t="s">
        <v>13945</v>
      </c>
      <c r="AV440" s="1">
        <v>2024</v>
      </c>
      <c r="AW440" s="1">
        <v>12</v>
      </c>
      <c r="AX440" s="1">
        <v>2</v>
      </c>
      <c r="AY440" s="1" t="s">
        <v>1507</v>
      </c>
      <c r="AZ440" s="1" t="s">
        <v>1507</v>
      </c>
      <c r="BA440" s="1" t="s">
        <v>3506</v>
      </c>
      <c r="BB440" s="1" t="s">
        <v>1507</v>
      </c>
      <c r="BC440" s="1">
        <v>149</v>
      </c>
      <c r="BD440" s="1">
        <v>170</v>
      </c>
      <c r="BE440" s="1" t="s">
        <v>1507</v>
      </c>
      <c r="BF440" s="1" t="s">
        <v>2417</v>
      </c>
      <c r="BG440" s="1" t="str">
        <f>HYPERLINK("http://dx.doi.org/10.1080/21670811.2023.2287464","http://dx.doi.org/10.1080/21670811.2023.2287464")</f>
        <v>http://dx.doi.org/10.1080/21670811.2023.2287464</v>
      </c>
      <c r="BH440" s="1" t="s">
        <v>1507</v>
      </c>
      <c r="BI440" s="1" t="s">
        <v>2396</v>
      </c>
      <c r="BJ440" s="1">
        <v>22</v>
      </c>
      <c r="BK440" s="1" t="s">
        <v>2418</v>
      </c>
      <c r="BL440" s="1" t="s">
        <v>1518</v>
      </c>
      <c r="BM440" s="1" t="s">
        <v>2418</v>
      </c>
      <c r="BN440" s="1" t="s">
        <v>13946</v>
      </c>
      <c r="BO440" s="1" t="s">
        <v>1507</v>
      </c>
      <c r="BP440" s="1" t="s">
        <v>1537</v>
      </c>
      <c r="BQ440" s="1" t="s">
        <v>1507</v>
      </c>
      <c r="BR440" s="1" t="s">
        <v>1507</v>
      </c>
      <c r="BS440" s="1" t="s">
        <v>13744</v>
      </c>
      <c r="BT440" s="1" t="s">
        <v>2419</v>
      </c>
      <c r="BU440" s="1" t="str">
        <f>HYPERLINK("https%3A%2F%2Fwww.webofscience.com%2Fwos%2Fwoscc%2Ffull-record%2FWOS:001151613600001","View Full Record in Web of Science")</f>
        <v>View Full Record in Web of Science</v>
      </c>
    </row>
    <row r="441" spans="1:73" x14ac:dyDescent="0.25">
      <c r="A441" s="1">
        <v>487</v>
      </c>
      <c r="B441" s="1" t="s">
        <v>1506</v>
      </c>
      <c r="C441" s="1" t="s">
        <v>11677</v>
      </c>
      <c r="D441" s="1" t="s">
        <v>1507</v>
      </c>
      <c r="E441" s="1" t="s">
        <v>1507</v>
      </c>
      <c r="F441" s="1" t="s">
        <v>1507</v>
      </c>
      <c r="G441" s="1" t="s">
        <v>11678</v>
      </c>
      <c r="H441" s="1" t="s">
        <v>1507</v>
      </c>
      <c r="I441" s="1" t="s">
        <v>1507</v>
      </c>
      <c r="J441" s="1" t="s">
        <v>11679</v>
      </c>
      <c r="K441" s="1" t="s">
        <v>11413</v>
      </c>
      <c r="L441" s="1" t="s">
        <v>1507</v>
      </c>
      <c r="M441" s="1" t="s">
        <v>1507</v>
      </c>
      <c r="N441" s="1" t="s">
        <v>42</v>
      </c>
      <c r="O441" s="1" t="s">
        <v>11680</v>
      </c>
      <c r="P441" s="1" t="s">
        <v>11681</v>
      </c>
      <c r="Q441" s="1" t="s">
        <v>11682</v>
      </c>
      <c r="R441" s="1" t="s">
        <v>11683</v>
      </c>
      <c r="S441" s="1" t="s">
        <v>11684</v>
      </c>
      <c r="T441" s="1" t="s">
        <v>1507</v>
      </c>
      <c r="U441" s="1" t="s">
        <v>1507</v>
      </c>
      <c r="V441" s="1" t="s">
        <v>11685</v>
      </c>
      <c r="W441" s="1" t="s">
        <v>11686</v>
      </c>
      <c r="X441" s="1" t="s">
        <v>11687</v>
      </c>
      <c r="Y441" s="1" t="s">
        <v>11688</v>
      </c>
      <c r="Z441" s="1" t="s">
        <v>11418</v>
      </c>
      <c r="AA441" s="1" t="s">
        <v>11689</v>
      </c>
      <c r="AB441" s="1" t="s">
        <v>16003</v>
      </c>
      <c r="AC441" s="1" t="s">
        <v>16004</v>
      </c>
      <c r="AD441" s="1" t="s">
        <v>1507</v>
      </c>
      <c r="AE441" s="1" t="s">
        <v>1507</v>
      </c>
      <c r="AF441" s="1" t="s">
        <v>1507</v>
      </c>
      <c r="AG441" s="1" t="s">
        <v>1507</v>
      </c>
      <c r="AH441" s="1">
        <v>41</v>
      </c>
      <c r="AI441" s="1">
        <v>17</v>
      </c>
      <c r="AJ441" s="1">
        <v>19</v>
      </c>
      <c r="AK441" s="1">
        <v>0</v>
      </c>
      <c r="AL441" s="1">
        <v>5</v>
      </c>
      <c r="AM441" s="1" t="s">
        <v>11424</v>
      </c>
      <c r="AN441" s="1" t="s">
        <v>11425</v>
      </c>
      <c r="AO441" s="1" t="s">
        <v>11426</v>
      </c>
      <c r="AP441" s="1" t="s">
        <v>11427</v>
      </c>
      <c r="AQ441" s="1" t="s">
        <v>11428</v>
      </c>
      <c r="AR441" s="1" t="s">
        <v>1507</v>
      </c>
      <c r="AS441" s="1" t="s">
        <v>11429</v>
      </c>
      <c r="AT441" s="1" t="s">
        <v>11430</v>
      </c>
      <c r="AU441" s="1" t="s">
        <v>4556</v>
      </c>
      <c r="AV441" s="1">
        <v>2018</v>
      </c>
      <c r="AW441" s="1">
        <v>55</v>
      </c>
      <c r="AX441" s="1">
        <v>4</v>
      </c>
      <c r="AY441" s="1" t="s">
        <v>1507</v>
      </c>
      <c r="AZ441" s="1" t="s">
        <v>1507</v>
      </c>
      <c r="BA441" s="1" t="s">
        <v>1507</v>
      </c>
      <c r="BB441" s="1" t="s">
        <v>1507</v>
      </c>
      <c r="BC441" s="1">
        <v>1605</v>
      </c>
      <c r="BD441" s="1">
        <v>1618</v>
      </c>
      <c r="BE441" s="1" t="s">
        <v>1507</v>
      </c>
      <c r="BF441" s="1" t="s">
        <v>11690</v>
      </c>
      <c r="BG441" s="1" t="str">
        <f>HYPERLINK("http://dx.doi.org/10.2514/1.C034696","http://dx.doi.org/10.2514/1.C034696")</f>
        <v>http://dx.doi.org/10.2514/1.C034696</v>
      </c>
      <c r="BH441" s="1" t="s">
        <v>1507</v>
      </c>
      <c r="BI441" s="1" t="s">
        <v>1507</v>
      </c>
      <c r="BJ441" s="1">
        <v>14</v>
      </c>
      <c r="BK441" s="1" t="s">
        <v>11432</v>
      </c>
      <c r="BL441" s="1" t="s">
        <v>11691</v>
      </c>
      <c r="BM441" s="1" t="s">
        <v>3691</v>
      </c>
      <c r="BN441" s="1" t="s">
        <v>11692</v>
      </c>
      <c r="BO441" s="1" t="s">
        <v>1507</v>
      </c>
      <c r="BP441" s="1" t="s">
        <v>1507</v>
      </c>
      <c r="BQ441" s="1" t="s">
        <v>1507</v>
      </c>
      <c r="BR441" s="1" t="s">
        <v>1507</v>
      </c>
      <c r="BS441" s="1" t="s">
        <v>13744</v>
      </c>
      <c r="BT441" s="1" t="s">
        <v>11693</v>
      </c>
      <c r="BU441" s="1" t="str">
        <f>HYPERLINK("https%3A%2F%2Fwww.webofscience.com%2Fwos%2Fwoscc%2Ffull-record%2FWOS:000449304100023","View Full Record in Web of Science")</f>
        <v>View Full Record in Web of Science</v>
      </c>
    </row>
    <row r="442" spans="1:73" x14ac:dyDescent="0.25">
      <c r="A442" s="1">
        <v>488</v>
      </c>
      <c r="B442" s="1" t="s">
        <v>1506</v>
      </c>
      <c r="C442" s="1" t="s">
        <v>11410</v>
      </c>
      <c r="D442" s="1" t="s">
        <v>1507</v>
      </c>
      <c r="E442" s="1" t="s">
        <v>1507</v>
      </c>
      <c r="F442" s="1" t="s">
        <v>1507</v>
      </c>
      <c r="G442" s="1" t="s">
        <v>11411</v>
      </c>
      <c r="H442" s="1" t="s">
        <v>1507</v>
      </c>
      <c r="I442" s="1" t="s">
        <v>1507</v>
      </c>
      <c r="J442" s="1" t="s">
        <v>11412</v>
      </c>
      <c r="K442" s="1" t="s">
        <v>11413</v>
      </c>
      <c r="L442" s="1" t="s">
        <v>1507</v>
      </c>
      <c r="M442" s="1" t="s">
        <v>1507</v>
      </c>
      <c r="N442" s="1" t="s">
        <v>42</v>
      </c>
      <c r="O442" s="1" t="s">
        <v>56</v>
      </c>
      <c r="P442" s="1" t="s">
        <v>1507</v>
      </c>
      <c r="Q442" s="1" t="s">
        <v>1507</v>
      </c>
      <c r="R442" s="1" t="s">
        <v>1507</v>
      </c>
      <c r="S442" s="1" t="s">
        <v>1507</v>
      </c>
      <c r="T442" s="1" t="s">
        <v>1507</v>
      </c>
      <c r="U442" s="1" t="s">
        <v>1507</v>
      </c>
      <c r="V442" s="1" t="s">
        <v>11414</v>
      </c>
      <c r="W442" s="1" t="s">
        <v>11415</v>
      </c>
      <c r="X442" s="1" t="s">
        <v>11416</v>
      </c>
      <c r="Y442" s="1" t="s">
        <v>11417</v>
      </c>
      <c r="Z442" s="1" t="s">
        <v>11418</v>
      </c>
      <c r="AA442" s="1" t="s">
        <v>1507</v>
      </c>
      <c r="AB442" s="1" t="s">
        <v>11419</v>
      </c>
      <c r="AC442" s="1" t="s">
        <v>11420</v>
      </c>
      <c r="AD442" s="1" t="s">
        <v>11421</v>
      </c>
      <c r="AE442" s="1" t="s">
        <v>11422</v>
      </c>
      <c r="AF442" s="1" t="s">
        <v>11423</v>
      </c>
      <c r="AG442" s="1" t="s">
        <v>1507</v>
      </c>
      <c r="AH442" s="1">
        <v>23</v>
      </c>
      <c r="AI442" s="1">
        <v>39</v>
      </c>
      <c r="AJ442" s="1">
        <v>43</v>
      </c>
      <c r="AK442" s="1">
        <v>3</v>
      </c>
      <c r="AL442" s="1">
        <v>22</v>
      </c>
      <c r="AM442" s="1" t="s">
        <v>11424</v>
      </c>
      <c r="AN442" s="1" t="s">
        <v>11425</v>
      </c>
      <c r="AO442" s="1" t="s">
        <v>11426</v>
      </c>
      <c r="AP442" s="1" t="s">
        <v>11427</v>
      </c>
      <c r="AQ442" s="1" t="s">
        <v>11428</v>
      </c>
      <c r="AR442" s="1" t="s">
        <v>1507</v>
      </c>
      <c r="AS442" s="1" t="s">
        <v>11429</v>
      </c>
      <c r="AT442" s="1" t="s">
        <v>11430</v>
      </c>
      <c r="AU442" s="1" t="s">
        <v>1616</v>
      </c>
      <c r="AV442" s="1">
        <v>2019</v>
      </c>
      <c r="AW442" s="1">
        <v>56</v>
      </c>
      <c r="AX442" s="1">
        <v>1</v>
      </c>
      <c r="AY442" s="1" t="s">
        <v>1507</v>
      </c>
      <c r="AZ442" s="1" t="s">
        <v>1507</v>
      </c>
      <c r="BA442" s="1" t="s">
        <v>1507</v>
      </c>
      <c r="BB442" s="1" t="s">
        <v>1507</v>
      </c>
      <c r="BC442" s="1">
        <v>295</v>
      </c>
      <c r="BD442" s="1">
        <v>312</v>
      </c>
      <c r="BE442" s="1" t="s">
        <v>1507</v>
      </c>
      <c r="BF442" s="1" t="s">
        <v>11431</v>
      </c>
      <c r="BG442" s="1" t="str">
        <f>HYPERLINK("http://dx.doi.org/10.2514/1.C034978","http://dx.doi.org/10.2514/1.C034978")</f>
        <v>http://dx.doi.org/10.2514/1.C034978</v>
      </c>
      <c r="BH442" s="1" t="s">
        <v>1507</v>
      </c>
      <c r="BI442" s="1" t="s">
        <v>1507</v>
      </c>
      <c r="BJ442" s="1">
        <v>18</v>
      </c>
      <c r="BK442" s="1" t="s">
        <v>11432</v>
      </c>
      <c r="BL442" s="1" t="s">
        <v>1573</v>
      </c>
      <c r="BM442" s="1" t="s">
        <v>3691</v>
      </c>
      <c r="BN442" s="1" t="s">
        <v>11433</v>
      </c>
      <c r="BO442" s="1" t="s">
        <v>1507</v>
      </c>
      <c r="BP442" s="1" t="s">
        <v>1507</v>
      </c>
      <c r="BQ442" s="1" t="s">
        <v>1507</v>
      </c>
      <c r="BR442" s="1" t="s">
        <v>1507</v>
      </c>
      <c r="BS442" s="1" t="s">
        <v>13744</v>
      </c>
      <c r="BT442" s="1" t="s">
        <v>11434</v>
      </c>
      <c r="BU442" s="1" t="str">
        <f>HYPERLINK("https%3A%2F%2Fwww.webofscience.com%2Fwos%2Fwoscc%2Ffull-record%2FWOS:000459623700024","View Full Record in Web of Science")</f>
        <v>View Full Record in Web of Science</v>
      </c>
    </row>
    <row r="443" spans="1:73" x14ac:dyDescent="0.25">
      <c r="A443" s="1">
        <v>489</v>
      </c>
      <c r="B443" s="1" t="s">
        <v>1506</v>
      </c>
      <c r="C443" s="1" t="s">
        <v>9933</v>
      </c>
      <c r="D443" s="1" t="s">
        <v>1507</v>
      </c>
      <c r="E443" s="1" t="s">
        <v>1507</v>
      </c>
      <c r="F443" s="1" t="s">
        <v>1507</v>
      </c>
      <c r="G443" s="1" t="s">
        <v>9934</v>
      </c>
      <c r="H443" s="1" t="s">
        <v>1507</v>
      </c>
      <c r="I443" s="1" t="s">
        <v>1507</v>
      </c>
      <c r="J443" s="1" t="s">
        <v>9935</v>
      </c>
      <c r="K443" s="1" t="s">
        <v>1760</v>
      </c>
      <c r="L443" s="1" t="s">
        <v>1507</v>
      </c>
      <c r="M443" s="1" t="s">
        <v>1507</v>
      </c>
      <c r="N443" s="1" t="s">
        <v>42</v>
      </c>
      <c r="O443" s="1" t="s">
        <v>56</v>
      </c>
      <c r="P443" s="1" t="s">
        <v>1507</v>
      </c>
      <c r="Q443" s="1" t="s">
        <v>1507</v>
      </c>
      <c r="R443" s="1" t="s">
        <v>1507</v>
      </c>
      <c r="S443" s="1" t="s">
        <v>1507</v>
      </c>
      <c r="T443" s="1" t="s">
        <v>1507</v>
      </c>
      <c r="U443" s="1" t="s">
        <v>1507</v>
      </c>
      <c r="V443" s="1" t="s">
        <v>1507</v>
      </c>
      <c r="W443" s="1" t="s">
        <v>9936</v>
      </c>
      <c r="X443" s="1" t="s">
        <v>9937</v>
      </c>
      <c r="Y443" s="1" t="s">
        <v>15818</v>
      </c>
      <c r="Z443" s="1" t="s">
        <v>9938</v>
      </c>
      <c r="AA443" s="1" t="s">
        <v>9939</v>
      </c>
      <c r="AB443" s="1" t="s">
        <v>15819</v>
      </c>
      <c r="AC443" s="1" t="s">
        <v>15820</v>
      </c>
      <c r="AD443" s="1" t="s">
        <v>9940</v>
      </c>
      <c r="AE443" s="1" t="s">
        <v>9941</v>
      </c>
      <c r="AF443" s="1" t="s">
        <v>9942</v>
      </c>
      <c r="AG443" s="1" t="s">
        <v>1507</v>
      </c>
      <c r="AH443" s="1">
        <v>14</v>
      </c>
      <c r="AI443" s="1">
        <v>480</v>
      </c>
      <c r="AJ443" s="1">
        <v>507</v>
      </c>
      <c r="AK443" s="1">
        <v>5</v>
      </c>
      <c r="AL443" s="1">
        <v>72</v>
      </c>
      <c r="AM443" s="1" t="s">
        <v>1591</v>
      </c>
      <c r="AN443" s="1" t="s">
        <v>1592</v>
      </c>
      <c r="AO443" s="1" t="s">
        <v>1593</v>
      </c>
      <c r="AP443" s="1" t="s">
        <v>1770</v>
      </c>
      <c r="AQ443" s="1" t="s">
        <v>1771</v>
      </c>
      <c r="AR443" s="1" t="s">
        <v>1507</v>
      </c>
      <c r="AS443" s="1" t="s">
        <v>1760</v>
      </c>
      <c r="AT443" s="1" t="s">
        <v>1772</v>
      </c>
      <c r="AU443" s="1" t="s">
        <v>15821</v>
      </c>
      <c r="AV443" s="1">
        <v>2020</v>
      </c>
      <c r="AW443" s="1">
        <v>586</v>
      </c>
      <c r="AX443" s="1">
        <v>7831</v>
      </c>
      <c r="AY443" s="1" t="s">
        <v>1507</v>
      </c>
      <c r="AZ443" s="1" t="s">
        <v>1507</v>
      </c>
      <c r="BA443" s="1" t="s">
        <v>1507</v>
      </c>
      <c r="BB443" s="1" t="s">
        <v>1507</v>
      </c>
      <c r="BC443" s="1">
        <v>776</v>
      </c>
      <c r="BD443" s="1" t="s">
        <v>1774</v>
      </c>
      <c r="BE443" s="1" t="s">
        <v>1507</v>
      </c>
      <c r="BF443" s="1" t="s">
        <v>9943</v>
      </c>
      <c r="BG443" s="1" t="str">
        <f>HYPERLINK("http://dx.doi.org/10.1038/s41586-020-2334-5","http://dx.doi.org/10.1038/s41586-020-2334-5")</f>
        <v>http://dx.doi.org/10.1038/s41586-020-2334-5</v>
      </c>
      <c r="BH443" s="1" t="s">
        <v>1507</v>
      </c>
      <c r="BI443" s="1" t="s">
        <v>9890</v>
      </c>
      <c r="BJ443" s="1">
        <v>9</v>
      </c>
      <c r="BK443" s="1" t="s">
        <v>1776</v>
      </c>
      <c r="BL443" s="1" t="s">
        <v>1573</v>
      </c>
      <c r="BM443" s="1" t="s">
        <v>1777</v>
      </c>
      <c r="BN443" s="1" t="s">
        <v>9944</v>
      </c>
      <c r="BO443" s="1">
        <v>32408337</v>
      </c>
      <c r="BP443" s="1" t="s">
        <v>7558</v>
      </c>
      <c r="BQ443" s="1" t="s">
        <v>1507</v>
      </c>
      <c r="BR443" s="1" t="s">
        <v>1507</v>
      </c>
      <c r="BS443" s="1" t="s">
        <v>13744</v>
      </c>
      <c r="BT443" s="1" t="s">
        <v>9946</v>
      </c>
      <c r="BU443" s="1" t="str">
        <f>HYPERLINK("https%3A%2F%2Fwww.webofscience.com%2Fwos%2Fwoscc%2Ffull-record%2FWOS:000554511200001","View Full Record in Web of Science")</f>
        <v>View Full Record in Web of Science</v>
      </c>
    </row>
    <row r="444" spans="1:73" x14ac:dyDescent="0.25">
      <c r="A444" s="1">
        <v>490</v>
      </c>
      <c r="B444" s="1" t="s">
        <v>1506</v>
      </c>
      <c r="C444" s="1" t="s">
        <v>9474</v>
      </c>
      <c r="D444" s="1" t="s">
        <v>1507</v>
      </c>
      <c r="E444" s="1" t="s">
        <v>1507</v>
      </c>
      <c r="F444" s="1" t="s">
        <v>1507</v>
      </c>
      <c r="G444" s="1" t="s">
        <v>9475</v>
      </c>
      <c r="H444" s="1" t="s">
        <v>1507</v>
      </c>
      <c r="I444" s="1" t="s">
        <v>1507</v>
      </c>
      <c r="J444" s="1" t="s">
        <v>9476</v>
      </c>
      <c r="K444" s="1" t="s">
        <v>8043</v>
      </c>
      <c r="L444" s="1" t="s">
        <v>1507</v>
      </c>
      <c r="M444" s="1" t="s">
        <v>1507</v>
      </c>
      <c r="N444" s="1" t="s">
        <v>42</v>
      </c>
      <c r="O444" s="1" t="s">
        <v>56</v>
      </c>
      <c r="P444" s="1" t="s">
        <v>1507</v>
      </c>
      <c r="Q444" s="1" t="s">
        <v>1507</v>
      </c>
      <c r="R444" s="1" t="s">
        <v>1507</v>
      </c>
      <c r="S444" s="1" t="s">
        <v>1507</v>
      </c>
      <c r="T444" s="1" t="s">
        <v>1507</v>
      </c>
      <c r="U444" s="1" t="s">
        <v>9477</v>
      </c>
      <c r="V444" s="1" t="s">
        <v>9478</v>
      </c>
      <c r="W444" s="1" t="s">
        <v>9479</v>
      </c>
      <c r="X444" s="1" t="s">
        <v>9480</v>
      </c>
      <c r="Y444" s="1" t="s">
        <v>9481</v>
      </c>
      <c r="Z444" s="1" t="s">
        <v>9482</v>
      </c>
      <c r="AA444" s="1" t="s">
        <v>5402</v>
      </c>
      <c r="AB444" s="1" t="s">
        <v>1507</v>
      </c>
      <c r="AC444" s="1" t="s">
        <v>9483</v>
      </c>
      <c r="AD444" s="1" t="s">
        <v>8051</v>
      </c>
      <c r="AE444" s="1" t="s">
        <v>8052</v>
      </c>
      <c r="AF444" s="1" t="s">
        <v>9484</v>
      </c>
      <c r="AG444" s="1" t="s">
        <v>1507</v>
      </c>
      <c r="AH444" s="1">
        <v>50</v>
      </c>
      <c r="AI444" s="1">
        <v>9</v>
      </c>
      <c r="AJ444" s="1">
        <v>10</v>
      </c>
      <c r="AK444" s="1">
        <v>0</v>
      </c>
      <c r="AL444" s="1">
        <v>4</v>
      </c>
      <c r="AM444" s="1" t="s">
        <v>1511</v>
      </c>
      <c r="AN444" s="1" t="s">
        <v>1512</v>
      </c>
      <c r="AO444" s="1" t="s">
        <v>1513</v>
      </c>
      <c r="AP444" s="1" t="s">
        <v>8054</v>
      </c>
      <c r="AQ444" s="1" t="s">
        <v>8055</v>
      </c>
      <c r="AR444" s="1" t="s">
        <v>1507</v>
      </c>
      <c r="AS444" s="1" t="s">
        <v>8056</v>
      </c>
      <c r="AT444" s="1" t="s">
        <v>8057</v>
      </c>
      <c r="AU444" s="1" t="s">
        <v>9485</v>
      </c>
      <c r="AV444" s="1">
        <v>2020</v>
      </c>
      <c r="AW444" s="1">
        <v>26</v>
      </c>
      <c r="AX444" s="1">
        <v>1</v>
      </c>
      <c r="AY444" s="1" t="s">
        <v>1507</v>
      </c>
      <c r="AZ444" s="1" t="s">
        <v>1507</v>
      </c>
      <c r="BA444" s="1" t="s">
        <v>1507</v>
      </c>
      <c r="BB444" s="1" t="s">
        <v>1507</v>
      </c>
      <c r="BC444" s="1" t="s">
        <v>1507</v>
      </c>
      <c r="BD444" s="1" t="s">
        <v>1507</v>
      </c>
      <c r="BE444" s="1">
        <v>98</v>
      </c>
      <c r="BF444" s="1" t="s">
        <v>9486</v>
      </c>
      <c r="BG444" s="1" t="str">
        <f>HYPERLINK("http://dx.doi.org/10.1186/s10020-020-00224-9","http://dx.doi.org/10.1186/s10020-020-00224-9")</f>
        <v>http://dx.doi.org/10.1186/s10020-020-00224-9</v>
      </c>
      <c r="BH444" s="1" t="s">
        <v>1507</v>
      </c>
      <c r="BI444" s="1" t="s">
        <v>1507</v>
      </c>
      <c r="BJ444" s="1">
        <v>13</v>
      </c>
      <c r="BK444" s="1" t="s">
        <v>8059</v>
      </c>
      <c r="BL444" s="1" t="s">
        <v>1573</v>
      </c>
      <c r="BM444" s="1" t="s">
        <v>8060</v>
      </c>
      <c r="BN444" s="1" t="s">
        <v>9487</v>
      </c>
      <c r="BO444" s="1">
        <v>33126860</v>
      </c>
      <c r="BP444" s="1" t="s">
        <v>1952</v>
      </c>
      <c r="BQ444" s="1" t="s">
        <v>1507</v>
      </c>
      <c r="BR444" s="1" t="s">
        <v>1507</v>
      </c>
      <c r="BS444" s="1" t="s">
        <v>13744</v>
      </c>
      <c r="BT444" s="1" t="s">
        <v>9488</v>
      </c>
      <c r="BU444" s="1" t="str">
        <f>HYPERLINK("https%3A%2F%2Fwww.webofscience.com%2Fwos%2Fwoscc%2Ffull-record%2FWOS:000583022600001","View Full Record in Web of Science")</f>
        <v>View Full Record in Web of Science</v>
      </c>
    </row>
    <row r="445" spans="1:73" x14ac:dyDescent="0.25">
      <c r="A445" s="1">
        <v>491</v>
      </c>
      <c r="B445" s="1" t="s">
        <v>1506</v>
      </c>
      <c r="C445" s="1" t="s">
        <v>9715</v>
      </c>
      <c r="D445" s="1" t="s">
        <v>1507</v>
      </c>
      <c r="E445" s="1" t="s">
        <v>1507</v>
      </c>
      <c r="F445" s="1" t="s">
        <v>1507</v>
      </c>
      <c r="G445" s="1" t="s">
        <v>9716</v>
      </c>
      <c r="H445" s="1" t="s">
        <v>1507</v>
      </c>
      <c r="I445" s="1" t="s">
        <v>1507</v>
      </c>
      <c r="J445" s="1" t="s">
        <v>9717</v>
      </c>
      <c r="K445" s="1" t="s">
        <v>8043</v>
      </c>
      <c r="L445" s="1" t="s">
        <v>1507</v>
      </c>
      <c r="M445" s="1" t="s">
        <v>1507</v>
      </c>
      <c r="N445" s="1" t="s">
        <v>42</v>
      </c>
      <c r="O445" s="1" t="s">
        <v>56</v>
      </c>
      <c r="P445" s="1" t="s">
        <v>1507</v>
      </c>
      <c r="Q445" s="1" t="s">
        <v>1507</v>
      </c>
      <c r="R445" s="1" t="s">
        <v>1507</v>
      </c>
      <c r="S445" s="1" t="s">
        <v>1507</v>
      </c>
      <c r="T445" s="1" t="s">
        <v>1507</v>
      </c>
      <c r="U445" s="1" t="s">
        <v>9718</v>
      </c>
      <c r="V445" s="1" t="s">
        <v>9719</v>
      </c>
      <c r="W445" s="1" t="s">
        <v>9720</v>
      </c>
      <c r="X445" s="1" t="s">
        <v>9721</v>
      </c>
      <c r="Y445" s="1" t="s">
        <v>9481</v>
      </c>
      <c r="Z445" s="1" t="s">
        <v>9722</v>
      </c>
      <c r="AA445" s="1" t="s">
        <v>9723</v>
      </c>
      <c r="AB445" s="1" t="s">
        <v>9724</v>
      </c>
      <c r="AC445" s="1" t="s">
        <v>9725</v>
      </c>
      <c r="AD445" s="1" t="s">
        <v>8051</v>
      </c>
      <c r="AE445" s="1" t="s">
        <v>8052</v>
      </c>
      <c r="AF445" s="1" t="s">
        <v>9726</v>
      </c>
      <c r="AG445" s="1" t="s">
        <v>1507</v>
      </c>
      <c r="AH445" s="1">
        <v>78</v>
      </c>
      <c r="AI445" s="1">
        <v>26</v>
      </c>
      <c r="AJ445" s="1">
        <v>27</v>
      </c>
      <c r="AK445" s="1">
        <v>0</v>
      </c>
      <c r="AL445" s="1">
        <v>4</v>
      </c>
      <c r="AM445" s="1" t="s">
        <v>1511</v>
      </c>
      <c r="AN445" s="1" t="s">
        <v>1512</v>
      </c>
      <c r="AO445" s="1" t="s">
        <v>1513</v>
      </c>
      <c r="AP445" s="1" t="s">
        <v>8054</v>
      </c>
      <c r="AQ445" s="1" t="s">
        <v>8055</v>
      </c>
      <c r="AR445" s="1" t="s">
        <v>1507</v>
      </c>
      <c r="AS445" s="1" t="s">
        <v>8056</v>
      </c>
      <c r="AT445" s="1" t="s">
        <v>8057</v>
      </c>
      <c r="AU445" s="1" t="s">
        <v>9727</v>
      </c>
      <c r="AV445" s="1">
        <v>2020</v>
      </c>
      <c r="AW445" s="1">
        <v>26</v>
      </c>
      <c r="AX445" s="1">
        <v>1</v>
      </c>
      <c r="AY445" s="1" t="s">
        <v>1507</v>
      </c>
      <c r="AZ445" s="1" t="s">
        <v>1507</v>
      </c>
      <c r="BA445" s="1" t="s">
        <v>1507</v>
      </c>
      <c r="BB445" s="1" t="s">
        <v>1507</v>
      </c>
      <c r="BC445" s="1" t="s">
        <v>1507</v>
      </c>
      <c r="BD445" s="1" t="s">
        <v>1507</v>
      </c>
      <c r="BE445" s="1">
        <v>63</v>
      </c>
      <c r="BF445" s="1" t="s">
        <v>9728</v>
      </c>
      <c r="BG445" s="1" t="str">
        <f>HYPERLINK("http://dx.doi.org/10.1186/s10020-020-00177-z","http://dx.doi.org/10.1186/s10020-020-00177-z")</f>
        <v>http://dx.doi.org/10.1186/s10020-020-00177-z</v>
      </c>
      <c r="BH445" s="1" t="s">
        <v>1507</v>
      </c>
      <c r="BI445" s="1" t="s">
        <v>1507</v>
      </c>
      <c r="BJ445" s="1">
        <v>12</v>
      </c>
      <c r="BK445" s="1" t="s">
        <v>8059</v>
      </c>
      <c r="BL445" s="1" t="s">
        <v>1573</v>
      </c>
      <c r="BM445" s="1" t="s">
        <v>8060</v>
      </c>
      <c r="BN445" s="1" t="s">
        <v>9729</v>
      </c>
      <c r="BO445" s="1">
        <v>32600307</v>
      </c>
      <c r="BP445" s="1" t="s">
        <v>1674</v>
      </c>
      <c r="BQ445" s="1" t="s">
        <v>1507</v>
      </c>
      <c r="BR445" s="1" t="s">
        <v>1507</v>
      </c>
      <c r="BS445" s="1" t="s">
        <v>13744</v>
      </c>
      <c r="BT445" s="1" t="s">
        <v>9730</v>
      </c>
      <c r="BU445" s="1" t="str">
        <f>HYPERLINK("https%3A%2F%2Fwww.webofscience.com%2Fwos%2Fwoscc%2Ffull-record%2FWOS:000546152100001","View Full Record in Web of Science")</f>
        <v>View Full Record in Web of Science</v>
      </c>
    </row>
    <row r="446" spans="1:73" x14ac:dyDescent="0.25">
      <c r="A446" s="1">
        <v>492</v>
      </c>
      <c r="B446" s="1" t="s">
        <v>1506</v>
      </c>
      <c r="C446" s="1" t="s">
        <v>4771</v>
      </c>
      <c r="D446" s="1" t="s">
        <v>1507</v>
      </c>
      <c r="E446" s="1" t="s">
        <v>1507</v>
      </c>
      <c r="F446" s="1" t="s">
        <v>1507</v>
      </c>
      <c r="G446" s="1" t="s">
        <v>4772</v>
      </c>
      <c r="H446" s="1" t="s">
        <v>1507</v>
      </c>
      <c r="I446" s="1" t="s">
        <v>1507</v>
      </c>
      <c r="J446" s="1" t="s">
        <v>522</v>
      </c>
      <c r="K446" s="1" t="s">
        <v>4773</v>
      </c>
      <c r="L446" s="1" t="s">
        <v>1507</v>
      </c>
      <c r="M446" s="1" t="s">
        <v>1507</v>
      </c>
      <c r="N446" s="1" t="s">
        <v>42</v>
      </c>
      <c r="O446" s="1" t="s">
        <v>56</v>
      </c>
      <c r="P446" s="1" t="s">
        <v>1507</v>
      </c>
      <c r="Q446" s="1" t="s">
        <v>1507</v>
      </c>
      <c r="R446" s="1" t="s">
        <v>1507</v>
      </c>
      <c r="S446" s="1" t="s">
        <v>1507</v>
      </c>
      <c r="T446" s="1" t="s">
        <v>1507</v>
      </c>
      <c r="U446" s="1" t="s">
        <v>4774</v>
      </c>
      <c r="V446" s="1" t="s">
        <v>1507</v>
      </c>
      <c r="W446" s="1" t="s">
        <v>4775</v>
      </c>
      <c r="X446" s="1" t="s">
        <v>4776</v>
      </c>
      <c r="Y446" s="1" t="s">
        <v>4777</v>
      </c>
      <c r="Z446" s="1" t="s">
        <v>4778</v>
      </c>
      <c r="AA446" s="1" t="s">
        <v>1507</v>
      </c>
      <c r="AB446" s="1" t="s">
        <v>1507</v>
      </c>
      <c r="AC446" s="1" t="s">
        <v>1507</v>
      </c>
      <c r="AD446" s="1" t="s">
        <v>1507</v>
      </c>
      <c r="AE446" s="1" t="s">
        <v>1507</v>
      </c>
      <c r="AF446" s="1" t="s">
        <v>1507</v>
      </c>
      <c r="AG446" s="1" t="s">
        <v>1507</v>
      </c>
      <c r="AH446" s="1">
        <v>48</v>
      </c>
      <c r="AI446" s="1">
        <v>0</v>
      </c>
      <c r="AJ446" s="1">
        <v>0</v>
      </c>
      <c r="AK446" s="1">
        <v>3</v>
      </c>
      <c r="AL446" s="1">
        <v>3</v>
      </c>
      <c r="AM446" s="1" t="s">
        <v>4779</v>
      </c>
      <c r="AN446" s="1" t="s">
        <v>4780</v>
      </c>
      <c r="AO446" s="1" t="s">
        <v>4781</v>
      </c>
      <c r="AP446" s="1" t="s">
        <v>4782</v>
      </c>
      <c r="AQ446" s="1" t="s">
        <v>4783</v>
      </c>
      <c r="AR446" s="1" t="s">
        <v>1507</v>
      </c>
      <c r="AS446" s="1" t="s">
        <v>4784</v>
      </c>
      <c r="AT446" s="1" t="s">
        <v>529</v>
      </c>
      <c r="AU446" s="1" t="s">
        <v>4785</v>
      </c>
      <c r="AV446" s="1">
        <v>2023</v>
      </c>
      <c r="AW446" s="1">
        <v>95</v>
      </c>
      <c r="AX446" s="1">
        <v>2</v>
      </c>
      <c r="AY446" s="1" t="s">
        <v>1507</v>
      </c>
      <c r="AZ446" s="1" t="s">
        <v>1507</v>
      </c>
      <c r="BA446" s="1" t="s">
        <v>1507</v>
      </c>
      <c r="BB446" s="1" t="s">
        <v>1507</v>
      </c>
      <c r="BC446" s="1">
        <v>205</v>
      </c>
      <c r="BD446" s="1">
        <v>227</v>
      </c>
      <c r="BE446" s="1" t="s">
        <v>1507</v>
      </c>
      <c r="BF446" s="1" t="s">
        <v>524</v>
      </c>
      <c r="BG446" s="1" t="str">
        <f>HYPERLINK("http://dx.doi.org/10.1215/00029831-10575035","http://dx.doi.org/10.1215/00029831-10575035")</f>
        <v>http://dx.doi.org/10.1215/00029831-10575035</v>
      </c>
      <c r="BH446" s="1" t="s">
        <v>1507</v>
      </c>
      <c r="BI446" s="1" t="s">
        <v>1507</v>
      </c>
      <c r="BJ446" s="1">
        <v>23</v>
      </c>
      <c r="BK446" s="1" t="s">
        <v>4786</v>
      </c>
      <c r="BL446" s="1" t="s">
        <v>3140</v>
      </c>
      <c r="BM446" s="1" t="s">
        <v>4787</v>
      </c>
      <c r="BN446" s="1" t="s">
        <v>4788</v>
      </c>
      <c r="BO446" s="1" t="s">
        <v>1507</v>
      </c>
      <c r="BP446" s="1" t="s">
        <v>1507</v>
      </c>
      <c r="BQ446" s="1" t="s">
        <v>1507</v>
      </c>
      <c r="BR446" s="1" t="s">
        <v>1507</v>
      </c>
      <c r="BS446" s="1" t="s">
        <v>13744</v>
      </c>
      <c r="BT446" s="1" t="s">
        <v>4789</v>
      </c>
      <c r="BU446" s="1" t="str">
        <f>HYPERLINK("https%3A%2F%2Fwww.webofscience.com%2Fwos%2Fwoscc%2Ffull-record%2FWOS:001054394400002","View Full Record in Web of Science")</f>
        <v>View Full Record in Web of Science</v>
      </c>
    </row>
    <row r="447" spans="1:73" x14ac:dyDescent="0.25">
      <c r="A447" s="1">
        <v>493</v>
      </c>
      <c r="B447" s="1" t="s">
        <v>5546</v>
      </c>
      <c r="C447" s="1" t="s">
        <v>10365</v>
      </c>
      <c r="D447" s="1" t="s">
        <v>1507</v>
      </c>
      <c r="E447" s="1" t="s">
        <v>10366</v>
      </c>
      <c r="F447" s="1" t="s">
        <v>1507</v>
      </c>
      <c r="G447" s="1" t="s">
        <v>10367</v>
      </c>
      <c r="H447" s="1" t="s">
        <v>1507</v>
      </c>
      <c r="I447" s="1" t="s">
        <v>1507</v>
      </c>
      <c r="J447" s="1" t="s">
        <v>10368</v>
      </c>
      <c r="K447" s="1" t="s">
        <v>10369</v>
      </c>
      <c r="L447" s="1" t="s">
        <v>1507</v>
      </c>
      <c r="M447" s="1" t="s">
        <v>1507</v>
      </c>
      <c r="N447" s="1" t="s">
        <v>42</v>
      </c>
      <c r="O447" s="1" t="s">
        <v>5552</v>
      </c>
      <c r="P447" s="1" t="s">
        <v>10370</v>
      </c>
      <c r="Q447" s="1" t="s">
        <v>10371</v>
      </c>
      <c r="R447" s="1" t="s">
        <v>10372</v>
      </c>
      <c r="S447" s="1" t="s">
        <v>1507</v>
      </c>
      <c r="T447" s="1" t="s">
        <v>1507</v>
      </c>
      <c r="U447" s="1" t="s">
        <v>10373</v>
      </c>
      <c r="V447" s="1" t="s">
        <v>1507</v>
      </c>
      <c r="W447" s="1" t="s">
        <v>10374</v>
      </c>
      <c r="X447" s="1" t="s">
        <v>10375</v>
      </c>
      <c r="Y447" s="1" t="s">
        <v>10376</v>
      </c>
      <c r="Z447" s="1" t="s">
        <v>10377</v>
      </c>
      <c r="AA447" s="1" t="s">
        <v>10378</v>
      </c>
      <c r="AB447" s="1" t="s">
        <v>1507</v>
      </c>
      <c r="AC447" s="1" t="s">
        <v>1507</v>
      </c>
      <c r="AD447" s="1" t="s">
        <v>10376</v>
      </c>
      <c r="AE447" s="1" t="s">
        <v>10376</v>
      </c>
      <c r="AF447" s="1" t="s">
        <v>10379</v>
      </c>
      <c r="AG447" s="1" t="s">
        <v>1507</v>
      </c>
      <c r="AH447" s="1">
        <v>38</v>
      </c>
      <c r="AI447" s="1">
        <v>16</v>
      </c>
      <c r="AJ447" s="1">
        <v>17</v>
      </c>
      <c r="AK447" s="1">
        <v>0</v>
      </c>
      <c r="AL447" s="1">
        <v>1</v>
      </c>
      <c r="AM447" s="1" t="s">
        <v>10380</v>
      </c>
      <c r="AN447" s="1" t="s">
        <v>10381</v>
      </c>
      <c r="AO447" s="1" t="s">
        <v>10382</v>
      </c>
      <c r="AP447" s="1" t="s">
        <v>1507</v>
      </c>
      <c r="AQ447" s="1" t="s">
        <v>1507</v>
      </c>
      <c r="AR447" s="1" t="s">
        <v>10383</v>
      </c>
      <c r="AS447" s="1" t="s">
        <v>1507</v>
      </c>
      <c r="AT447" s="1" t="s">
        <v>1507</v>
      </c>
      <c r="AU447" s="1" t="s">
        <v>1507</v>
      </c>
      <c r="AV447" s="1">
        <v>2020</v>
      </c>
      <c r="AW447" s="1" t="s">
        <v>1507</v>
      </c>
      <c r="AX447" s="1" t="s">
        <v>1507</v>
      </c>
      <c r="AY447" s="1" t="s">
        <v>1507</v>
      </c>
      <c r="AZ447" s="1" t="s">
        <v>1507</v>
      </c>
      <c r="BA447" s="1" t="s">
        <v>1507</v>
      </c>
      <c r="BB447" s="1" t="s">
        <v>1507</v>
      </c>
      <c r="BC447" s="1">
        <v>1211</v>
      </c>
      <c r="BD447" s="1">
        <v>1218</v>
      </c>
      <c r="BE447" s="1" t="s">
        <v>1507</v>
      </c>
      <c r="BF447" s="1" t="s">
        <v>1507</v>
      </c>
      <c r="BG447" s="1" t="s">
        <v>1507</v>
      </c>
      <c r="BH447" s="1" t="s">
        <v>1507</v>
      </c>
      <c r="BI447" s="1" t="s">
        <v>1507</v>
      </c>
      <c r="BJ447" s="1">
        <v>8</v>
      </c>
      <c r="BK447" s="1" t="s">
        <v>10384</v>
      </c>
      <c r="BL447" s="1" t="s">
        <v>5695</v>
      </c>
      <c r="BM447" s="1" t="s">
        <v>1546</v>
      </c>
      <c r="BN447" s="1" t="s">
        <v>10385</v>
      </c>
      <c r="BO447" s="1" t="s">
        <v>1507</v>
      </c>
      <c r="BP447" s="1" t="s">
        <v>1507</v>
      </c>
      <c r="BQ447" s="1" t="s">
        <v>1507</v>
      </c>
      <c r="BR447" s="1" t="s">
        <v>1507</v>
      </c>
      <c r="BS447" s="1" t="s">
        <v>13744</v>
      </c>
      <c r="BT447" s="1" t="s">
        <v>10386</v>
      </c>
      <c r="BU447" s="1" t="str">
        <f>HYPERLINK("https%3A%2F%2Fwww.webofscience.com%2Fwos%2Fwoscc%2Ffull-record%2FWOS:000724697201036","View Full Record in Web of Science")</f>
        <v>View Full Record in Web of Science</v>
      </c>
    </row>
    <row r="448" spans="1:73" x14ac:dyDescent="0.25">
      <c r="A448" s="1">
        <v>494</v>
      </c>
      <c r="B448" s="1" t="s">
        <v>1506</v>
      </c>
      <c r="C448" s="1" t="s">
        <v>2285</v>
      </c>
      <c r="D448" s="1" t="s">
        <v>1507</v>
      </c>
      <c r="E448" s="1" t="s">
        <v>1507</v>
      </c>
      <c r="F448" s="1" t="s">
        <v>1507</v>
      </c>
      <c r="G448" s="1" t="s">
        <v>2286</v>
      </c>
      <c r="H448" s="1" t="s">
        <v>1507</v>
      </c>
      <c r="I448" s="1" t="s">
        <v>1507</v>
      </c>
      <c r="J448" s="1" t="s">
        <v>2287</v>
      </c>
      <c r="K448" s="1" t="s">
        <v>2288</v>
      </c>
      <c r="L448" s="1" t="s">
        <v>1507</v>
      </c>
      <c r="M448" s="1" t="s">
        <v>1507</v>
      </c>
      <c r="N448" s="1" t="s">
        <v>42</v>
      </c>
      <c r="O448" s="1" t="s">
        <v>56</v>
      </c>
      <c r="P448" s="1" t="s">
        <v>1507</v>
      </c>
      <c r="Q448" s="1" t="s">
        <v>1507</v>
      </c>
      <c r="R448" s="1" t="s">
        <v>1507</v>
      </c>
      <c r="S448" s="1" t="s">
        <v>1507</v>
      </c>
      <c r="T448" s="1" t="s">
        <v>1507</v>
      </c>
      <c r="U448" s="1" t="s">
        <v>2289</v>
      </c>
      <c r="V448" s="1" t="s">
        <v>2290</v>
      </c>
      <c r="W448" s="1" t="s">
        <v>2291</v>
      </c>
      <c r="X448" s="1" t="s">
        <v>2292</v>
      </c>
      <c r="Y448" s="1" t="s">
        <v>2293</v>
      </c>
      <c r="Z448" s="1" t="s">
        <v>2294</v>
      </c>
      <c r="AA448" s="1" t="s">
        <v>2295</v>
      </c>
      <c r="AB448" s="1" t="s">
        <v>13936</v>
      </c>
      <c r="AC448" s="1" t="s">
        <v>13937</v>
      </c>
      <c r="AD448" s="1" t="s">
        <v>2296</v>
      </c>
      <c r="AE448" s="1" t="s">
        <v>2297</v>
      </c>
      <c r="AF448" s="1" t="s">
        <v>2298</v>
      </c>
      <c r="AG448" s="1" t="s">
        <v>1507</v>
      </c>
      <c r="AH448" s="1">
        <v>39</v>
      </c>
      <c r="AI448" s="1">
        <v>0</v>
      </c>
      <c r="AJ448" s="1">
        <v>0</v>
      </c>
      <c r="AK448" s="1">
        <v>1</v>
      </c>
      <c r="AL448" s="1">
        <v>1</v>
      </c>
      <c r="AM448" s="1" t="s">
        <v>2299</v>
      </c>
      <c r="AN448" s="1" t="s">
        <v>2300</v>
      </c>
      <c r="AO448" s="1" t="s">
        <v>2301</v>
      </c>
      <c r="AP448" s="1" t="s">
        <v>2302</v>
      </c>
      <c r="AQ448" s="1" t="s">
        <v>2303</v>
      </c>
      <c r="AR448" s="1" t="s">
        <v>1507</v>
      </c>
      <c r="AS448" s="1" t="s">
        <v>2304</v>
      </c>
      <c r="AT448" s="1" t="s">
        <v>2305</v>
      </c>
      <c r="AU448" s="1" t="s">
        <v>1773</v>
      </c>
      <c r="AV448" s="1">
        <v>2023</v>
      </c>
      <c r="AW448" s="1">
        <v>97</v>
      </c>
      <c r="AX448" s="1">
        <v>12</v>
      </c>
      <c r="AY448" s="1" t="s">
        <v>1507</v>
      </c>
      <c r="AZ448" s="1" t="s">
        <v>1507</v>
      </c>
      <c r="BA448" s="1" t="s">
        <v>1507</v>
      </c>
      <c r="BB448" s="1" t="s">
        <v>1507</v>
      </c>
      <c r="BC448" s="1" t="s">
        <v>1507</v>
      </c>
      <c r="BD448" s="1" t="s">
        <v>1507</v>
      </c>
      <c r="BE448" s="1" t="s">
        <v>1507</v>
      </c>
      <c r="BF448" s="1" t="s">
        <v>2306</v>
      </c>
      <c r="BG448" s="1" t="str">
        <f>HYPERLINK("http://dx.doi.org/10.1128/jvi.01369-23","http://dx.doi.org/10.1128/jvi.01369-23")</f>
        <v>http://dx.doi.org/10.1128/jvi.01369-23</v>
      </c>
      <c r="BH448" s="1" t="s">
        <v>1507</v>
      </c>
      <c r="BI448" s="1" t="s">
        <v>1652</v>
      </c>
      <c r="BJ448" s="1">
        <v>19</v>
      </c>
      <c r="BK448" s="1" t="s">
        <v>2307</v>
      </c>
      <c r="BL448" s="1" t="s">
        <v>1573</v>
      </c>
      <c r="BM448" s="1" t="s">
        <v>2307</v>
      </c>
      <c r="BN448" s="1" t="s">
        <v>2308</v>
      </c>
      <c r="BO448" s="1">
        <v>38038429</v>
      </c>
      <c r="BP448" s="1" t="s">
        <v>2309</v>
      </c>
      <c r="BQ448" s="1" t="s">
        <v>1507</v>
      </c>
      <c r="BR448" s="1" t="s">
        <v>1507</v>
      </c>
      <c r="BS448" s="1" t="s">
        <v>13744</v>
      </c>
      <c r="BT448" s="1" t="s">
        <v>2310</v>
      </c>
      <c r="BU448" s="1" t="str">
        <f>HYPERLINK("https%3A%2F%2Fwww.webofscience.com%2Fwos%2Fwoscc%2Ffull-record%2FWOS:001112203200004","View Full Record in Web of Science")</f>
        <v>View Full Record in Web of Science</v>
      </c>
    </row>
    <row r="449" spans="1:73" x14ac:dyDescent="0.25">
      <c r="A449" s="1">
        <v>495</v>
      </c>
      <c r="B449" s="1" t="s">
        <v>1506</v>
      </c>
      <c r="C449" s="1" t="s">
        <v>10477</v>
      </c>
      <c r="D449" s="1" t="s">
        <v>1507</v>
      </c>
      <c r="E449" s="1" t="s">
        <v>1507</v>
      </c>
      <c r="F449" s="1" t="s">
        <v>1507</v>
      </c>
      <c r="G449" s="1" t="s">
        <v>10478</v>
      </c>
      <c r="H449" s="1" t="s">
        <v>1507</v>
      </c>
      <c r="I449" s="1" t="s">
        <v>1507</v>
      </c>
      <c r="J449" s="1" t="s">
        <v>10479</v>
      </c>
      <c r="K449" s="1" t="s">
        <v>2288</v>
      </c>
      <c r="L449" s="1" t="s">
        <v>1507</v>
      </c>
      <c r="M449" s="1" t="s">
        <v>1507</v>
      </c>
      <c r="N449" s="1" t="s">
        <v>42</v>
      </c>
      <c r="O449" s="1" t="s">
        <v>56</v>
      </c>
      <c r="P449" s="1" t="s">
        <v>1507</v>
      </c>
      <c r="Q449" s="1" t="s">
        <v>1507</v>
      </c>
      <c r="R449" s="1" t="s">
        <v>1507</v>
      </c>
      <c r="S449" s="1" t="s">
        <v>1507</v>
      </c>
      <c r="T449" s="1" t="s">
        <v>1507</v>
      </c>
      <c r="U449" s="1" t="s">
        <v>10480</v>
      </c>
      <c r="V449" s="1" t="s">
        <v>10481</v>
      </c>
      <c r="W449" s="1" t="s">
        <v>10482</v>
      </c>
      <c r="X449" s="1" t="s">
        <v>10483</v>
      </c>
      <c r="Y449" s="1" t="s">
        <v>15858</v>
      </c>
      <c r="Z449" s="1" t="s">
        <v>10484</v>
      </c>
      <c r="AA449" s="1" t="s">
        <v>2295</v>
      </c>
      <c r="AB449" s="1" t="s">
        <v>15859</v>
      </c>
      <c r="AC449" s="1" t="s">
        <v>15860</v>
      </c>
      <c r="AD449" s="1" t="s">
        <v>10485</v>
      </c>
      <c r="AE449" s="1" t="s">
        <v>10486</v>
      </c>
      <c r="AF449" s="1" t="s">
        <v>10487</v>
      </c>
      <c r="AG449" s="1" t="s">
        <v>1507</v>
      </c>
      <c r="AH449" s="1">
        <v>49</v>
      </c>
      <c r="AI449" s="1">
        <v>21</v>
      </c>
      <c r="AJ449" s="1">
        <v>23</v>
      </c>
      <c r="AK449" s="1">
        <v>0</v>
      </c>
      <c r="AL449" s="1">
        <v>10</v>
      </c>
      <c r="AM449" s="1" t="s">
        <v>2299</v>
      </c>
      <c r="AN449" s="1" t="s">
        <v>2300</v>
      </c>
      <c r="AO449" s="1" t="s">
        <v>2301</v>
      </c>
      <c r="AP449" s="1" t="s">
        <v>2302</v>
      </c>
      <c r="AQ449" s="1" t="s">
        <v>2303</v>
      </c>
      <c r="AR449" s="1" t="s">
        <v>1507</v>
      </c>
      <c r="AS449" s="1" t="s">
        <v>2304</v>
      </c>
      <c r="AT449" s="1" t="s">
        <v>2305</v>
      </c>
      <c r="AU449" s="1" t="s">
        <v>2191</v>
      </c>
      <c r="AV449" s="1">
        <v>2019</v>
      </c>
      <c r="AW449" s="1">
        <v>93</v>
      </c>
      <c r="AX449" s="1">
        <v>23</v>
      </c>
      <c r="AY449" s="1" t="s">
        <v>1507</v>
      </c>
      <c r="AZ449" s="1" t="s">
        <v>1507</v>
      </c>
      <c r="BA449" s="1" t="s">
        <v>1507</v>
      </c>
      <c r="BB449" s="1" t="s">
        <v>1507</v>
      </c>
      <c r="BC449" s="1" t="s">
        <v>1507</v>
      </c>
      <c r="BD449" s="1" t="s">
        <v>1507</v>
      </c>
      <c r="BE449" s="1" t="s">
        <v>10488</v>
      </c>
      <c r="BF449" s="1" t="s">
        <v>10489</v>
      </c>
      <c r="BG449" s="1" t="str">
        <f>HYPERLINK("http://dx.doi.org/10.1128/JVI.01236-19","http://dx.doi.org/10.1128/JVI.01236-19")</f>
        <v>http://dx.doi.org/10.1128/JVI.01236-19</v>
      </c>
      <c r="BH449" s="1" t="s">
        <v>1507</v>
      </c>
      <c r="BI449" s="1" t="s">
        <v>1507</v>
      </c>
      <c r="BJ449" s="1">
        <v>18</v>
      </c>
      <c r="BK449" s="1" t="s">
        <v>2307</v>
      </c>
      <c r="BL449" s="1" t="s">
        <v>1573</v>
      </c>
      <c r="BM449" s="1" t="s">
        <v>2307</v>
      </c>
      <c r="BN449" s="1" t="s">
        <v>10490</v>
      </c>
      <c r="BO449" s="1">
        <v>31534035</v>
      </c>
      <c r="BP449" s="1" t="s">
        <v>5071</v>
      </c>
      <c r="BQ449" s="1" t="s">
        <v>1507</v>
      </c>
      <c r="BR449" s="1" t="s">
        <v>1507</v>
      </c>
      <c r="BS449" s="1" t="s">
        <v>13744</v>
      </c>
      <c r="BT449" s="1" t="s">
        <v>10491</v>
      </c>
      <c r="BU449" s="1" t="str">
        <f>HYPERLINK("https%3A%2F%2Fwww.webofscience.com%2Fwos%2Fwoscc%2Ffull-record%2FWOS:000496916400021","View Full Record in Web of Science")</f>
        <v>View Full Record in Web of Science</v>
      </c>
    </row>
    <row r="450" spans="1:73" x14ac:dyDescent="0.25">
      <c r="A450" s="1">
        <v>496</v>
      </c>
      <c r="B450" s="1" t="s">
        <v>1506</v>
      </c>
      <c r="C450" s="1" t="s">
        <v>9895</v>
      </c>
      <c r="D450" s="1" t="s">
        <v>1507</v>
      </c>
      <c r="E450" s="1" t="s">
        <v>1507</v>
      </c>
      <c r="F450" s="1" t="s">
        <v>1507</v>
      </c>
      <c r="G450" s="1" t="s">
        <v>9896</v>
      </c>
      <c r="H450" s="1" t="s">
        <v>1507</v>
      </c>
      <c r="I450" s="1" t="s">
        <v>1507</v>
      </c>
      <c r="J450" s="1" t="s">
        <v>9897</v>
      </c>
      <c r="K450" s="1" t="s">
        <v>9898</v>
      </c>
      <c r="L450" s="1" t="s">
        <v>1507</v>
      </c>
      <c r="M450" s="1" t="s">
        <v>1507</v>
      </c>
      <c r="N450" s="1" t="s">
        <v>42</v>
      </c>
      <c r="O450" s="1" t="s">
        <v>56</v>
      </c>
      <c r="P450" s="1" t="s">
        <v>1507</v>
      </c>
      <c r="Q450" s="1" t="s">
        <v>1507</v>
      </c>
      <c r="R450" s="1" t="s">
        <v>1507</v>
      </c>
      <c r="S450" s="1" t="s">
        <v>1507</v>
      </c>
      <c r="T450" s="1" t="s">
        <v>1507</v>
      </c>
      <c r="U450" s="1" t="s">
        <v>9899</v>
      </c>
      <c r="V450" s="1" t="s">
        <v>9900</v>
      </c>
      <c r="W450" s="1" t="s">
        <v>9901</v>
      </c>
      <c r="X450" s="1" t="s">
        <v>9902</v>
      </c>
      <c r="Y450" s="1" t="s">
        <v>15815</v>
      </c>
      <c r="Z450" s="1" t="s">
        <v>9903</v>
      </c>
      <c r="AA450" s="1" t="s">
        <v>9904</v>
      </c>
      <c r="AB450" s="1" t="s">
        <v>9905</v>
      </c>
      <c r="AC450" s="1" t="s">
        <v>1507</v>
      </c>
      <c r="AD450" s="1" t="s">
        <v>9906</v>
      </c>
      <c r="AE450" s="1" t="s">
        <v>9907</v>
      </c>
      <c r="AF450" s="1" t="s">
        <v>9908</v>
      </c>
      <c r="AG450" s="1" t="s">
        <v>1507</v>
      </c>
      <c r="AH450" s="1">
        <v>26</v>
      </c>
      <c r="AI450" s="1">
        <v>5</v>
      </c>
      <c r="AJ450" s="1">
        <v>6</v>
      </c>
      <c r="AK450" s="1">
        <v>0</v>
      </c>
      <c r="AL450" s="1">
        <v>3</v>
      </c>
      <c r="AM450" s="1" t="s">
        <v>1579</v>
      </c>
      <c r="AN450" s="1" t="s">
        <v>1580</v>
      </c>
      <c r="AO450" s="1" t="s">
        <v>8485</v>
      </c>
      <c r="AP450" s="1" t="s">
        <v>9909</v>
      </c>
      <c r="AQ450" s="1" t="s">
        <v>9910</v>
      </c>
      <c r="AR450" s="1" t="s">
        <v>1507</v>
      </c>
      <c r="AS450" s="1" t="s">
        <v>9911</v>
      </c>
      <c r="AT450" s="1" t="s">
        <v>9912</v>
      </c>
      <c r="AU450" s="1" t="s">
        <v>9913</v>
      </c>
      <c r="AV450" s="1">
        <v>2020</v>
      </c>
      <c r="AW450" s="1">
        <v>502</v>
      </c>
      <c r="AX450" s="1" t="s">
        <v>1507</v>
      </c>
      <c r="AY450" s="1" t="s">
        <v>1507</v>
      </c>
      <c r="AZ450" s="1" t="s">
        <v>1507</v>
      </c>
      <c r="BA450" s="1" t="s">
        <v>1507</v>
      </c>
      <c r="BB450" s="1" t="s">
        <v>1507</v>
      </c>
      <c r="BC450" s="1" t="s">
        <v>1507</v>
      </c>
      <c r="BD450" s="1" t="s">
        <v>1507</v>
      </c>
      <c r="BE450" s="1">
        <v>166532</v>
      </c>
      <c r="BF450" s="1" t="s">
        <v>9914</v>
      </c>
      <c r="BG450" s="1" t="str">
        <f>HYPERLINK("http://dx.doi.org/10.1016/j.jmmm.2020.166532","http://dx.doi.org/10.1016/j.jmmm.2020.166532")</f>
        <v>http://dx.doi.org/10.1016/j.jmmm.2020.166532</v>
      </c>
      <c r="BH450" s="1" t="s">
        <v>1507</v>
      </c>
      <c r="BI450" s="1" t="s">
        <v>1507</v>
      </c>
      <c r="BJ450" s="1">
        <v>4</v>
      </c>
      <c r="BK450" s="1" t="s">
        <v>9915</v>
      </c>
      <c r="BL450" s="1" t="s">
        <v>1573</v>
      </c>
      <c r="BM450" s="1" t="s">
        <v>6991</v>
      </c>
      <c r="BN450" s="1" t="s">
        <v>9916</v>
      </c>
      <c r="BO450" s="1" t="s">
        <v>1507</v>
      </c>
      <c r="BP450" s="1" t="s">
        <v>1507</v>
      </c>
      <c r="BQ450" s="1" t="s">
        <v>1507</v>
      </c>
      <c r="BR450" s="1" t="s">
        <v>1507</v>
      </c>
      <c r="BS450" s="1" t="s">
        <v>13744</v>
      </c>
      <c r="BT450" s="1" t="s">
        <v>9917</v>
      </c>
      <c r="BU450" s="1" t="str">
        <f>HYPERLINK("https%3A%2F%2Fwww.webofscience.com%2Fwos%2Fwoscc%2Ffull-record%2FWOS:000521826900054","View Full Record in Web of Science")</f>
        <v>View Full Record in Web of Science</v>
      </c>
    </row>
    <row r="451" spans="1:73" x14ac:dyDescent="0.25">
      <c r="A451" s="1">
        <v>497</v>
      </c>
      <c r="B451" s="1" t="s">
        <v>1506</v>
      </c>
      <c r="C451" s="1" t="s">
        <v>4018</v>
      </c>
      <c r="D451" s="1" t="s">
        <v>1507</v>
      </c>
      <c r="E451" s="1" t="s">
        <v>1507</v>
      </c>
      <c r="F451" s="1" t="s">
        <v>1507</v>
      </c>
      <c r="G451" s="1" t="s">
        <v>4019</v>
      </c>
      <c r="H451" s="1" t="s">
        <v>1507</v>
      </c>
      <c r="I451" s="1" t="s">
        <v>1507</v>
      </c>
      <c r="J451" s="1" t="s">
        <v>4020</v>
      </c>
      <c r="K451" s="1" t="s">
        <v>4021</v>
      </c>
      <c r="L451" s="1" t="s">
        <v>1507</v>
      </c>
      <c r="M451" s="1" t="s">
        <v>1507</v>
      </c>
      <c r="N451" s="1" t="s">
        <v>42</v>
      </c>
      <c r="O451" s="1" t="s">
        <v>56</v>
      </c>
      <c r="P451" s="1" t="s">
        <v>1507</v>
      </c>
      <c r="Q451" s="1" t="s">
        <v>1507</v>
      </c>
      <c r="R451" s="1" t="s">
        <v>1507</v>
      </c>
      <c r="S451" s="1" t="s">
        <v>1507</v>
      </c>
      <c r="T451" s="1" t="s">
        <v>1507</v>
      </c>
      <c r="U451" s="1" t="s">
        <v>4022</v>
      </c>
      <c r="V451" s="1" t="s">
        <v>4023</v>
      </c>
      <c r="W451" s="1" t="s">
        <v>4024</v>
      </c>
      <c r="X451" s="1" t="s">
        <v>4025</v>
      </c>
      <c r="Y451" s="1" t="s">
        <v>4026</v>
      </c>
      <c r="Z451" s="1" t="s">
        <v>4027</v>
      </c>
      <c r="AA451" s="1" t="s">
        <v>4028</v>
      </c>
      <c r="AB451" s="1" t="s">
        <v>14564</v>
      </c>
      <c r="AC451" s="1" t="s">
        <v>14565</v>
      </c>
      <c r="AD451" s="1" t="s">
        <v>1507</v>
      </c>
      <c r="AE451" s="1" t="s">
        <v>1507</v>
      </c>
      <c r="AF451" s="1" t="s">
        <v>1507</v>
      </c>
      <c r="AG451" s="1" t="s">
        <v>1507</v>
      </c>
      <c r="AH451" s="1">
        <v>227</v>
      </c>
      <c r="AI451" s="1">
        <v>10</v>
      </c>
      <c r="AJ451" s="1">
        <v>10</v>
      </c>
      <c r="AK451" s="1">
        <v>77</v>
      </c>
      <c r="AL451" s="1">
        <v>77</v>
      </c>
      <c r="AM451" s="1" t="s">
        <v>1579</v>
      </c>
      <c r="AN451" s="1" t="s">
        <v>1580</v>
      </c>
      <c r="AO451" s="1" t="s">
        <v>1581</v>
      </c>
      <c r="AP451" s="1" t="s">
        <v>4029</v>
      </c>
      <c r="AQ451" s="1" t="s">
        <v>4030</v>
      </c>
      <c r="AR451" s="1" t="s">
        <v>1507</v>
      </c>
      <c r="AS451" s="1" t="s">
        <v>4031</v>
      </c>
      <c r="AT451" s="1" t="s">
        <v>4032</v>
      </c>
      <c r="AU451" s="1" t="s">
        <v>3992</v>
      </c>
      <c r="AV451" s="1">
        <v>2023</v>
      </c>
      <c r="AW451" s="1">
        <v>35</v>
      </c>
      <c r="AX451" s="1">
        <v>8</v>
      </c>
      <c r="AY451" s="1" t="s">
        <v>1507</v>
      </c>
      <c r="AZ451" s="1" t="s">
        <v>1507</v>
      </c>
      <c r="BA451" s="1" t="s">
        <v>1507</v>
      </c>
      <c r="BB451" s="1" t="s">
        <v>1507</v>
      </c>
      <c r="BC451" s="1" t="s">
        <v>1507</v>
      </c>
      <c r="BD451" s="1" t="s">
        <v>1507</v>
      </c>
      <c r="BE451" s="1">
        <v>101675</v>
      </c>
      <c r="BF451" s="1" t="s">
        <v>4033</v>
      </c>
      <c r="BG451" s="1" t="str">
        <f>HYPERLINK("http://dx.doi.org/10.1016/j.jksuci.2023.101675","http://dx.doi.org/10.1016/j.jksuci.2023.101675")</f>
        <v>http://dx.doi.org/10.1016/j.jksuci.2023.101675</v>
      </c>
      <c r="BH451" s="1" t="s">
        <v>1507</v>
      </c>
      <c r="BI451" s="1" t="s">
        <v>4056</v>
      </c>
      <c r="BJ451" s="1">
        <v>23</v>
      </c>
      <c r="BK451" s="1" t="s">
        <v>1576</v>
      </c>
      <c r="BL451" s="1" t="s">
        <v>1573</v>
      </c>
      <c r="BM451" s="1" t="s">
        <v>1577</v>
      </c>
      <c r="BN451" s="1" t="s">
        <v>4034</v>
      </c>
      <c r="BO451" s="1" t="s">
        <v>1507</v>
      </c>
      <c r="BP451" s="1" t="s">
        <v>1547</v>
      </c>
      <c r="BQ451" s="1" t="s">
        <v>1507</v>
      </c>
      <c r="BR451" s="1" t="s">
        <v>1507</v>
      </c>
      <c r="BS451" s="1" t="s">
        <v>13744</v>
      </c>
      <c r="BT451" s="1" t="s">
        <v>4035</v>
      </c>
      <c r="BU451" s="1" t="str">
        <f>HYPERLINK("https%3A%2F%2Fwww.webofscience.com%2Fwos%2Fwoscc%2Ffull-record%2FWOS:001150035400001","View Full Record in Web of Science")</f>
        <v>View Full Record in Web of Science</v>
      </c>
    </row>
    <row r="452" spans="1:73" x14ac:dyDescent="0.25">
      <c r="A452" s="1">
        <v>498</v>
      </c>
      <c r="B452" s="1" t="s">
        <v>5546</v>
      </c>
      <c r="C452" s="1" t="s">
        <v>6363</v>
      </c>
      <c r="D452" s="1" t="s">
        <v>1507</v>
      </c>
      <c r="E452" s="1" t="s">
        <v>6364</v>
      </c>
      <c r="F452" s="1" t="s">
        <v>1507</v>
      </c>
      <c r="G452" s="1" t="s">
        <v>6365</v>
      </c>
      <c r="H452" s="1" t="s">
        <v>1507</v>
      </c>
      <c r="I452" s="1" t="s">
        <v>1507</v>
      </c>
      <c r="J452" s="1" t="s">
        <v>6366</v>
      </c>
      <c r="K452" s="1" t="s">
        <v>6367</v>
      </c>
      <c r="L452" s="1" t="s">
        <v>6368</v>
      </c>
      <c r="M452" s="1" t="s">
        <v>1507</v>
      </c>
      <c r="N452" s="1" t="s">
        <v>42</v>
      </c>
      <c r="O452" s="1" t="s">
        <v>5552</v>
      </c>
      <c r="P452" s="1" t="s">
        <v>6369</v>
      </c>
      <c r="Q452" s="1" t="s">
        <v>6370</v>
      </c>
      <c r="R452" s="1" t="s">
        <v>6371</v>
      </c>
      <c r="S452" s="1" t="s">
        <v>6372</v>
      </c>
      <c r="T452" s="1" t="s">
        <v>1507</v>
      </c>
      <c r="U452" s="1" t="s">
        <v>1253</v>
      </c>
      <c r="V452" s="1" t="s">
        <v>1507</v>
      </c>
      <c r="W452" s="1" t="s">
        <v>6373</v>
      </c>
      <c r="X452" s="1" t="s">
        <v>6374</v>
      </c>
      <c r="Y452" s="1" t="s">
        <v>6375</v>
      </c>
      <c r="Z452" s="1" t="s">
        <v>6376</v>
      </c>
      <c r="AA452" s="1" t="s">
        <v>6377</v>
      </c>
      <c r="AB452" s="1" t="s">
        <v>15366</v>
      </c>
      <c r="AC452" s="1" t="s">
        <v>15367</v>
      </c>
      <c r="AD452" s="1" t="s">
        <v>1507</v>
      </c>
      <c r="AE452" s="1" t="s">
        <v>1507</v>
      </c>
      <c r="AF452" s="1" t="s">
        <v>1507</v>
      </c>
      <c r="AG452" s="1" t="s">
        <v>1507</v>
      </c>
      <c r="AH452" s="1">
        <v>38</v>
      </c>
      <c r="AI452" s="1">
        <v>1</v>
      </c>
      <c r="AJ452" s="1">
        <v>1</v>
      </c>
      <c r="AK452" s="1">
        <v>2</v>
      </c>
      <c r="AL452" s="1">
        <v>2</v>
      </c>
      <c r="AM452" s="1" t="s">
        <v>6221</v>
      </c>
      <c r="AN452" s="1" t="s">
        <v>6222</v>
      </c>
      <c r="AO452" s="1" t="s">
        <v>6223</v>
      </c>
      <c r="AP452" s="1" t="s">
        <v>6378</v>
      </c>
      <c r="AQ452" s="1" t="s">
        <v>6225</v>
      </c>
      <c r="AR452" s="1" t="s">
        <v>6379</v>
      </c>
      <c r="AS452" s="1" t="s">
        <v>6380</v>
      </c>
      <c r="AT452" s="1" t="s">
        <v>1507</v>
      </c>
      <c r="AU452" s="1" t="s">
        <v>1507</v>
      </c>
      <c r="AV452" s="1">
        <v>2023</v>
      </c>
      <c r="AW452" s="1">
        <v>14236</v>
      </c>
      <c r="AX452" s="1" t="s">
        <v>1507</v>
      </c>
      <c r="AY452" s="1" t="s">
        <v>1507</v>
      </c>
      <c r="AZ452" s="1" t="s">
        <v>1507</v>
      </c>
      <c r="BA452" s="1" t="s">
        <v>1507</v>
      </c>
      <c r="BB452" s="1" t="s">
        <v>1507</v>
      </c>
      <c r="BC452" s="1">
        <v>198</v>
      </c>
      <c r="BD452" s="1">
        <v>206</v>
      </c>
      <c r="BE452" s="1" t="s">
        <v>1507</v>
      </c>
      <c r="BF452" s="1" t="s">
        <v>1249</v>
      </c>
      <c r="BG452" s="1" t="str">
        <f>HYPERLINK("http://dx.doi.org/10.1007/978-3-031-42608-7_16","http://dx.doi.org/10.1007/978-3-031-42608-7_16")</f>
        <v>http://dx.doi.org/10.1007/978-3-031-42608-7_16</v>
      </c>
      <c r="BH452" s="1" t="s">
        <v>1507</v>
      </c>
      <c r="BI452" s="1" t="s">
        <v>1507</v>
      </c>
      <c r="BJ452" s="1">
        <v>9</v>
      </c>
      <c r="BK452" s="1" t="s">
        <v>2678</v>
      </c>
      <c r="BL452" s="1" t="s">
        <v>5570</v>
      </c>
      <c r="BM452" s="1" t="s">
        <v>1577</v>
      </c>
      <c r="BN452" s="1" t="s">
        <v>6381</v>
      </c>
      <c r="BO452" s="1" t="s">
        <v>1507</v>
      </c>
      <c r="BP452" s="1" t="s">
        <v>1600</v>
      </c>
      <c r="BQ452" s="1" t="s">
        <v>1507</v>
      </c>
      <c r="BR452" s="1" t="s">
        <v>1507</v>
      </c>
      <c r="BS452" s="1" t="s">
        <v>13744</v>
      </c>
      <c r="BT452" s="1" t="s">
        <v>6382</v>
      </c>
      <c r="BU452" s="1" t="str">
        <f>HYPERLINK("https%3A%2F%2Fwww.webofscience.com%2Fwos%2Fwoscc%2Ffull-record%2FWOS:001155305700016","View Full Record in Web of Science")</f>
        <v>View Full Record in Web of Science</v>
      </c>
    </row>
    <row r="453" spans="1:73" x14ac:dyDescent="0.25">
      <c r="A453" s="1">
        <v>499</v>
      </c>
      <c r="B453" s="1" t="s">
        <v>1506</v>
      </c>
      <c r="C453" s="1" t="s">
        <v>12056</v>
      </c>
      <c r="D453" s="1" t="s">
        <v>1507</v>
      </c>
      <c r="E453" s="1" t="s">
        <v>1507</v>
      </c>
      <c r="F453" s="1" t="s">
        <v>1507</v>
      </c>
      <c r="G453" s="1" t="s">
        <v>12057</v>
      </c>
      <c r="H453" s="1" t="s">
        <v>1507</v>
      </c>
      <c r="I453" s="1" t="s">
        <v>1507</v>
      </c>
      <c r="J453" s="1" t="s">
        <v>12058</v>
      </c>
      <c r="K453" s="1" t="s">
        <v>12059</v>
      </c>
      <c r="L453" s="1" t="s">
        <v>1507</v>
      </c>
      <c r="M453" s="1" t="s">
        <v>1507</v>
      </c>
      <c r="N453" s="1" t="s">
        <v>42</v>
      </c>
      <c r="O453" s="1" t="s">
        <v>56</v>
      </c>
      <c r="P453" s="1" t="s">
        <v>1507</v>
      </c>
      <c r="Q453" s="1" t="s">
        <v>1507</v>
      </c>
      <c r="R453" s="1" t="s">
        <v>1507</v>
      </c>
      <c r="S453" s="1" t="s">
        <v>1507</v>
      </c>
      <c r="T453" s="1" t="s">
        <v>1507</v>
      </c>
      <c r="U453" s="1" t="s">
        <v>12060</v>
      </c>
      <c r="V453" s="1" t="s">
        <v>12061</v>
      </c>
      <c r="W453" s="1" t="s">
        <v>12062</v>
      </c>
      <c r="X453" s="1" t="s">
        <v>12063</v>
      </c>
      <c r="Y453" s="1" t="s">
        <v>16036</v>
      </c>
      <c r="Z453" s="1" t="s">
        <v>12064</v>
      </c>
      <c r="AA453" s="1" t="s">
        <v>8028</v>
      </c>
      <c r="AB453" s="1" t="s">
        <v>16037</v>
      </c>
      <c r="AC453" s="1" t="s">
        <v>16038</v>
      </c>
      <c r="AD453" s="1" t="s">
        <v>12065</v>
      </c>
      <c r="AE453" s="1" t="s">
        <v>12066</v>
      </c>
      <c r="AF453" s="1" t="s">
        <v>12067</v>
      </c>
      <c r="AG453" s="1" t="s">
        <v>1507</v>
      </c>
      <c r="AH453" s="1">
        <v>58</v>
      </c>
      <c r="AI453" s="1">
        <v>5</v>
      </c>
      <c r="AJ453" s="1">
        <v>5</v>
      </c>
      <c r="AK453" s="1">
        <v>0</v>
      </c>
      <c r="AL453" s="1">
        <v>6</v>
      </c>
      <c r="AM453" s="1" t="s">
        <v>1745</v>
      </c>
      <c r="AN453" s="1" t="s">
        <v>1746</v>
      </c>
      <c r="AO453" s="1" t="s">
        <v>1747</v>
      </c>
      <c r="AP453" s="1" t="s">
        <v>12068</v>
      </c>
      <c r="AQ453" s="1" t="s">
        <v>12069</v>
      </c>
      <c r="AR453" s="1" t="s">
        <v>1507</v>
      </c>
      <c r="AS453" s="1" t="s">
        <v>12070</v>
      </c>
      <c r="AT453" s="1" t="s">
        <v>12071</v>
      </c>
      <c r="AU453" s="1" t="s">
        <v>1507</v>
      </c>
      <c r="AV453" s="1">
        <v>2018</v>
      </c>
      <c r="AW453" s="1">
        <v>13</v>
      </c>
      <c r="AX453" s="1">
        <v>8</v>
      </c>
      <c r="AY453" s="1" t="s">
        <v>1507</v>
      </c>
      <c r="AZ453" s="1" t="s">
        <v>1507</v>
      </c>
      <c r="BA453" s="1" t="s">
        <v>1507</v>
      </c>
      <c r="BB453" s="1" t="s">
        <v>1507</v>
      </c>
      <c r="BC453" s="1">
        <v>858</v>
      </c>
      <c r="BD453" s="1">
        <v>865</v>
      </c>
      <c r="BE453" s="1" t="s">
        <v>1507</v>
      </c>
      <c r="BF453" s="1" t="s">
        <v>12072</v>
      </c>
      <c r="BG453" s="1" t="str">
        <f>HYPERLINK("http://dx.doi.org/10.1080/15592294.2018.1518100","http://dx.doi.org/10.1080/15592294.2018.1518100")</f>
        <v>http://dx.doi.org/10.1080/15592294.2018.1518100</v>
      </c>
      <c r="BH453" s="1" t="s">
        <v>1507</v>
      </c>
      <c r="BI453" s="1" t="s">
        <v>1507</v>
      </c>
      <c r="BJ453" s="1">
        <v>8</v>
      </c>
      <c r="BK453" s="1" t="s">
        <v>12073</v>
      </c>
      <c r="BL453" s="1" t="s">
        <v>1573</v>
      </c>
      <c r="BM453" s="1" t="s">
        <v>12073</v>
      </c>
      <c r="BN453" s="1" t="s">
        <v>12074</v>
      </c>
      <c r="BO453" s="1">
        <v>30277114</v>
      </c>
      <c r="BP453" s="1" t="s">
        <v>8488</v>
      </c>
      <c r="BQ453" s="1" t="s">
        <v>1507</v>
      </c>
      <c r="BR453" s="1" t="s">
        <v>1507</v>
      </c>
      <c r="BS453" s="1" t="s">
        <v>13744</v>
      </c>
      <c r="BT453" s="1" t="s">
        <v>12075</v>
      </c>
      <c r="BU453" s="1" t="str">
        <f>HYPERLINK("https%3A%2F%2Fwww.webofscience.com%2Fwos%2Fwoscc%2Ffull-record%2FWOS:000448764500006","View Full Record in Web of Science")</f>
        <v>View Full Record in Web of Science</v>
      </c>
    </row>
    <row r="454" spans="1:73" x14ac:dyDescent="0.25">
      <c r="A454" s="1">
        <v>500</v>
      </c>
      <c r="B454" s="1" t="s">
        <v>1506</v>
      </c>
      <c r="C454" s="1" t="s">
        <v>8019</v>
      </c>
      <c r="D454" s="1" t="s">
        <v>1507</v>
      </c>
      <c r="E454" s="1" t="s">
        <v>1507</v>
      </c>
      <c r="F454" s="1" t="s">
        <v>1507</v>
      </c>
      <c r="G454" s="1" t="s">
        <v>8020</v>
      </c>
      <c r="H454" s="1" t="s">
        <v>1507</v>
      </c>
      <c r="I454" s="1" t="s">
        <v>1507</v>
      </c>
      <c r="J454" s="1" t="s">
        <v>8021</v>
      </c>
      <c r="K454" s="1" t="s">
        <v>8022</v>
      </c>
      <c r="L454" s="1" t="s">
        <v>1507</v>
      </c>
      <c r="M454" s="1" t="s">
        <v>1507</v>
      </c>
      <c r="N454" s="1" t="s">
        <v>42</v>
      </c>
      <c r="O454" s="1" t="s">
        <v>56</v>
      </c>
      <c r="P454" s="1" t="s">
        <v>1507</v>
      </c>
      <c r="Q454" s="1" t="s">
        <v>1507</v>
      </c>
      <c r="R454" s="1" t="s">
        <v>1507</v>
      </c>
      <c r="S454" s="1" t="s">
        <v>1507</v>
      </c>
      <c r="T454" s="1" t="s">
        <v>1507</v>
      </c>
      <c r="U454" s="1" t="s">
        <v>1507</v>
      </c>
      <c r="V454" s="1" t="s">
        <v>8023</v>
      </c>
      <c r="W454" s="1" t="s">
        <v>8024</v>
      </c>
      <c r="X454" s="1" t="s">
        <v>8025</v>
      </c>
      <c r="Y454" s="1" t="s">
        <v>8026</v>
      </c>
      <c r="Z454" s="1" t="s">
        <v>8027</v>
      </c>
      <c r="AA454" s="1" t="s">
        <v>8028</v>
      </c>
      <c r="AB454" s="1" t="s">
        <v>15684</v>
      </c>
      <c r="AC454" s="1" t="s">
        <v>15685</v>
      </c>
      <c r="AD454" s="1" t="s">
        <v>8029</v>
      </c>
      <c r="AE454" s="1" t="s">
        <v>8030</v>
      </c>
      <c r="AF454" s="1" t="s">
        <v>8031</v>
      </c>
      <c r="AG454" s="1" t="s">
        <v>1507</v>
      </c>
      <c r="AH454" s="1">
        <v>65</v>
      </c>
      <c r="AI454" s="1">
        <v>7</v>
      </c>
      <c r="AJ454" s="1">
        <v>7</v>
      </c>
      <c r="AK454" s="1">
        <v>0</v>
      </c>
      <c r="AL454" s="1">
        <v>1</v>
      </c>
      <c r="AM454" s="1" t="s">
        <v>1725</v>
      </c>
      <c r="AN454" s="1" t="s">
        <v>1551</v>
      </c>
      <c r="AO454" s="1" t="s">
        <v>1726</v>
      </c>
      <c r="AP454" s="1" t="s">
        <v>8032</v>
      </c>
      <c r="AQ454" s="1" t="s">
        <v>8033</v>
      </c>
      <c r="AR454" s="1" t="s">
        <v>1507</v>
      </c>
      <c r="AS454" s="1" t="s">
        <v>8034</v>
      </c>
      <c r="AT454" s="1" t="s">
        <v>8035</v>
      </c>
      <c r="AU454" s="1" t="s">
        <v>2191</v>
      </c>
      <c r="AV454" s="1">
        <v>2021</v>
      </c>
      <c r="AW454" s="1">
        <v>13</v>
      </c>
      <c r="AX454" s="1">
        <v>1</v>
      </c>
      <c r="AY454" s="1" t="s">
        <v>1507</v>
      </c>
      <c r="AZ454" s="1" t="s">
        <v>1507</v>
      </c>
      <c r="BA454" s="1" t="s">
        <v>1507</v>
      </c>
      <c r="BB454" s="1" t="s">
        <v>1507</v>
      </c>
      <c r="BC454" s="1" t="s">
        <v>1507</v>
      </c>
      <c r="BD454" s="1" t="s">
        <v>1507</v>
      </c>
      <c r="BE454" s="1">
        <v>188</v>
      </c>
      <c r="BF454" s="1" t="s">
        <v>8036</v>
      </c>
      <c r="BG454" s="1" t="str">
        <f>HYPERLINK("http://dx.doi.org/10.1186/s13148-021-01171-w","http://dx.doi.org/10.1186/s13148-021-01171-w")</f>
        <v>http://dx.doi.org/10.1186/s13148-021-01171-w</v>
      </c>
      <c r="BH454" s="1" t="s">
        <v>1507</v>
      </c>
      <c r="BI454" s="1" t="s">
        <v>1507</v>
      </c>
      <c r="BJ454" s="1">
        <v>13</v>
      </c>
      <c r="BK454" s="1" t="s">
        <v>8037</v>
      </c>
      <c r="BL454" s="1" t="s">
        <v>1573</v>
      </c>
      <c r="BM454" s="1" t="s">
        <v>8037</v>
      </c>
      <c r="BN454" s="1" t="s">
        <v>8038</v>
      </c>
      <c r="BO454" s="1">
        <v>34635168</v>
      </c>
      <c r="BP454" s="1" t="s">
        <v>1952</v>
      </c>
      <c r="BQ454" s="1" t="s">
        <v>1507</v>
      </c>
      <c r="BR454" s="1" t="s">
        <v>1507</v>
      </c>
      <c r="BS454" s="1" t="s">
        <v>13744</v>
      </c>
      <c r="BT454" s="1" t="s">
        <v>8039</v>
      </c>
      <c r="BU454" s="1" t="str">
        <f>HYPERLINK("https%3A%2F%2Fwww.webofscience.com%2Fwos%2Fwoscc%2Ffull-record%2FWOS:000706128700002","View Full Record in Web of Science")</f>
        <v>View Full Record in Web of Science</v>
      </c>
    </row>
    <row r="455" spans="1:73" x14ac:dyDescent="0.25">
      <c r="A455" s="1">
        <v>501</v>
      </c>
      <c r="B455" s="1" t="s">
        <v>1506</v>
      </c>
      <c r="C455" s="1" t="s">
        <v>11435</v>
      </c>
      <c r="D455" s="1" t="s">
        <v>1507</v>
      </c>
      <c r="E455" s="1" t="s">
        <v>1507</v>
      </c>
      <c r="F455" s="1" t="s">
        <v>1507</v>
      </c>
      <c r="G455" s="1" t="s">
        <v>11436</v>
      </c>
      <c r="H455" s="1" t="s">
        <v>1507</v>
      </c>
      <c r="I455" s="1" t="s">
        <v>1507</v>
      </c>
      <c r="J455" s="1" t="s">
        <v>11437</v>
      </c>
      <c r="K455" s="1" t="s">
        <v>11438</v>
      </c>
      <c r="L455" s="1" t="s">
        <v>1507</v>
      </c>
      <c r="M455" s="1" t="s">
        <v>1507</v>
      </c>
      <c r="N455" s="1" t="s">
        <v>42</v>
      </c>
      <c r="O455" s="1" t="s">
        <v>56</v>
      </c>
      <c r="P455" s="1" t="s">
        <v>1507</v>
      </c>
      <c r="Q455" s="1" t="s">
        <v>1507</v>
      </c>
      <c r="R455" s="1" t="s">
        <v>1507</v>
      </c>
      <c r="S455" s="1" t="s">
        <v>1507</v>
      </c>
      <c r="T455" s="1" t="s">
        <v>1507</v>
      </c>
      <c r="U455" s="1" t="s">
        <v>1507</v>
      </c>
      <c r="V455" s="1" t="s">
        <v>11439</v>
      </c>
      <c r="W455" s="1" t="s">
        <v>11440</v>
      </c>
      <c r="X455" s="1" t="s">
        <v>11441</v>
      </c>
      <c r="Y455" s="1" t="s">
        <v>11442</v>
      </c>
      <c r="Z455" s="1" t="s">
        <v>11443</v>
      </c>
      <c r="AA455" s="1" t="s">
        <v>11444</v>
      </c>
      <c r="AB455" s="1" t="s">
        <v>11445</v>
      </c>
      <c r="AC455" s="1" t="s">
        <v>11446</v>
      </c>
      <c r="AD455" s="1" t="s">
        <v>11447</v>
      </c>
      <c r="AE455" s="1" t="s">
        <v>11448</v>
      </c>
      <c r="AF455" s="1" t="s">
        <v>11449</v>
      </c>
      <c r="AG455" s="1" t="s">
        <v>1507</v>
      </c>
      <c r="AH455" s="1">
        <v>117</v>
      </c>
      <c r="AI455" s="1">
        <v>26</v>
      </c>
      <c r="AJ455" s="1">
        <v>28</v>
      </c>
      <c r="AK455" s="1">
        <v>3</v>
      </c>
      <c r="AL455" s="1">
        <v>160</v>
      </c>
      <c r="AM455" s="1" t="s">
        <v>1532</v>
      </c>
      <c r="AN455" s="1" t="s">
        <v>1533</v>
      </c>
      <c r="AO455" s="1" t="s">
        <v>1534</v>
      </c>
      <c r="AP455" s="1" t="s">
        <v>11450</v>
      </c>
      <c r="AQ455" s="1" t="s">
        <v>11451</v>
      </c>
      <c r="AR455" s="1" t="s">
        <v>1507</v>
      </c>
      <c r="AS455" s="1" t="s">
        <v>11452</v>
      </c>
      <c r="AT455" s="1" t="s">
        <v>11453</v>
      </c>
      <c r="AU455" s="1" t="s">
        <v>1616</v>
      </c>
      <c r="AV455" s="1">
        <v>2019</v>
      </c>
      <c r="AW455" s="1">
        <v>166</v>
      </c>
      <c r="AX455" s="1">
        <v>1</v>
      </c>
      <c r="AY455" s="1" t="s">
        <v>1507</v>
      </c>
      <c r="AZ455" s="1" t="s">
        <v>1507</v>
      </c>
      <c r="BA455" s="1" t="s">
        <v>1507</v>
      </c>
      <c r="BB455" s="1" t="s">
        <v>1507</v>
      </c>
      <c r="BC455" s="1" t="s">
        <v>1507</v>
      </c>
      <c r="BD455" s="1" t="s">
        <v>1507</v>
      </c>
      <c r="BE455" s="1">
        <v>6</v>
      </c>
      <c r="BF455" s="1" t="s">
        <v>11454</v>
      </c>
      <c r="BG455" s="1" t="str">
        <f>HYPERLINK("http://dx.doi.org/10.1007/s00227-018-3452-6","http://dx.doi.org/10.1007/s00227-018-3452-6")</f>
        <v>http://dx.doi.org/10.1007/s00227-018-3452-6</v>
      </c>
      <c r="BH455" s="1" t="s">
        <v>1507</v>
      </c>
      <c r="BI455" s="1" t="s">
        <v>1507</v>
      </c>
      <c r="BJ455" s="1">
        <v>13</v>
      </c>
      <c r="BK455" s="1" t="s">
        <v>4507</v>
      </c>
      <c r="BL455" s="1" t="s">
        <v>1573</v>
      </c>
      <c r="BM455" s="1" t="s">
        <v>4507</v>
      </c>
      <c r="BN455" s="1" t="s">
        <v>11455</v>
      </c>
      <c r="BO455" s="1" t="s">
        <v>1507</v>
      </c>
      <c r="BP455" s="1" t="s">
        <v>1507</v>
      </c>
      <c r="BQ455" s="1" t="s">
        <v>1507</v>
      </c>
      <c r="BR455" s="1" t="s">
        <v>1507</v>
      </c>
      <c r="BS455" s="1" t="s">
        <v>13744</v>
      </c>
      <c r="BT455" s="1" t="s">
        <v>11456</v>
      </c>
      <c r="BU455" s="1" t="str">
        <f>HYPERLINK("https%3A%2F%2Fwww.webofscience.com%2Fwos%2Fwoscc%2Ffull-record%2FWOS:000452728500002","View Full Record in Web of Science")</f>
        <v>View Full Record in Web of Science</v>
      </c>
    </row>
    <row r="456" spans="1:73" x14ac:dyDescent="0.25">
      <c r="A456" s="1">
        <v>502</v>
      </c>
      <c r="B456" s="1" t="s">
        <v>1506</v>
      </c>
      <c r="C456" s="1" t="s">
        <v>12076</v>
      </c>
      <c r="D456" s="1" t="s">
        <v>1507</v>
      </c>
      <c r="E456" s="1" t="s">
        <v>1507</v>
      </c>
      <c r="F456" s="1" t="s">
        <v>1507</v>
      </c>
      <c r="G456" s="1" t="s">
        <v>12077</v>
      </c>
      <c r="H456" s="1" t="s">
        <v>1507</v>
      </c>
      <c r="I456" s="1" t="s">
        <v>1507</v>
      </c>
      <c r="J456" s="1" t="s">
        <v>12078</v>
      </c>
      <c r="K456" s="1" t="s">
        <v>11438</v>
      </c>
      <c r="L456" s="1" t="s">
        <v>1507</v>
      </c>
      <c r="M456" s="1" t="s">
        <v>1507</v>
      </c>
      <c r="N456" s="1" t="s">
        <v>42</v>
      </c>
      <c r="O456" s="1" t="s">
        <v>56</v>
      </c>
      <c r="P456" s="1" t="s">
        <v>1507</v>
      </c>
      <c r="Q456" s="1" t="s">
        <v>1507</v>
      </c>
      <c r="R456" s="1" t="s">
        <v>1507</v>
      </c>
      <c r="S456" s="1" t="s">
        <v>1507</v>
      </c>
      <c r="T456" s="1" t="s">
        <v>1507</v>
      </c>
      <c r="U456" s="1" t="s">
        <v>1507</v>
      </c>
      <c r="V456" s="1" t="s">
        <v>12079</v>
      </c>
      <c r="W456" s="1" t="s">
        <v>12080</v>
      </c>
      <c r="X456" s="1" t="s">
        <v>12081</v>
      </c>
      <c r="Y456" s="1" t="s">
        <v>12082</v>
      </c>
      <c r="Z456" s="1" t="s">
        <v>12083</v>
      </c>
      <c r="AA456" s="1" t="s">
        <v>11444</v>
      </c>
      <c r="AB456" s="1" t="s">
        <v>1507</v>
      </c>
      <c r="AC456" s="1" t="s">
        <v>16039</v>
      </c>
      <c r="AD456" s="1" t="s">
        <v>12084</v>
      </c>
      <c r="AE456" s="1" t="s">
        <v>12084</v>
      </c>
      <c r="AF456" s="1" t="s">
        <v>12085</v>
      </c>
      <c r="AG456" s="1" t="s">
        <v>1507</v>
      </c>
      <c r="AH456" s="1">
        <v>105</v>
      </c>
      <c r="AI456" s="1">
        <v>16</v>
      </c>
      <c r="AJ456" s="1">
        <v>19</v>
      </c>
      <c r="AK456" s="1">
        <v>0</v>
      </c>
      <c r="AL456" s="1">
        <v>38</v>
      </c>
      <c r="AM456" s="1" t="s">
        <v>1532</v>
      </c>
      <c r="AN456" s="1" t="s">
        <v>1533</v>
      </c>
      <c r="AO456" s="1" t="s">
        <v>1534</v>
      </c>
      <c r="AP456" s="1" t="s">
        <v>11450</v>
      </c>
      <c r="AQ456" s="1" t="s">
        <v>11451</v>
      </c>
      <c r="AR456" s="1" t="s">
        <v>1507</v>
      </c>
      <c r="AS456" s="1" t="s">
        <v>11452</v>
      </c>
      <c r="AT456" s="1" t="s">
        <v>11453</v>
      </c>
      <c r="AU456" s="1" t="s">
        <v>1616</v>
      </c>
      <c r="AV456" s="1">
        <v>2018</v>
      </c>
      <c r="AW456" s="1">
        <v>165</v>
      </c>
      <c r="AX456" s="1">
        <v>1</v>
      </c>
      <c r="AY456" s="1" t="s">
        <v>1507</v>
      </c>
      <c r="AZ456" s="1" t="s">
        <v>1507</v>
      </c>
      <c r="BA456" s="1" t="s">
        <v>1507</v>
      </c>
      <c r="BB456" s="1" t="s">
        <v>1507</v>
      </c>
      <c r="BC456" s="1" t="s">
        <v>1507</v>
      </c>
      <c r="BD456" s="1" t="s">
        <v>1507</v>
      </c>
      <c r="BE456" s="1" t="s">
        <v>1507</v>
      </c>
      <c r="BF456" s="1" t="s">
        <v>12086</v>
      </c>
      <c r="BG456" s="1" t="str">
        <f>HYPERLINK("http://dx.doi.org/10.1007/s00227-017-3269-8","http://dx.doi.org/10.1007/s00227-017-3269-8")</f>
        <v>http://dx.doi.org/10.1007/s00227-017-3269-8</v>
      </c>
      <c r="BH456" s="1" t="s">
        <v>1507</v>
      </c>
      <c r="BI456" s="1" t="s">
        <v>1507</v>
      </c>
      <c r="BJ456" s="1">
        <v>12</v>
      </c>
      <c r="BK456" s="1" t="s">
        <v>4507</v>
      </c>
      <c r="BL456" s="1" t="s">
        <v>1573</v>
      </c>
      <c r="BM456" s="1" t="s">
        <v>4507</v>
      </c>
      <c r="BN456" s="1" t="s">
        <v>12087</v>
      </c>
      <c r="BO456" s="1" t="s">
        <v>1507</v>
      </c>
      <c r="BP456" s="1" t="s">
        <v>1507</v>
      </c>
      <c r="BQ456" s="1" t="s">
        <v>1507</v>
      </c>
      <c r="BR456" s="1" t="s">
        <v>1507</v>
      </c>
      <c r="BS456" s="1" t="s">
        <v>13744</v>
      </c>
      <c r="BT456" s="1" t="s">
        <v>12088</v>
      </c>
      <c r="BU456" s="1" t="str">
        <f>HYPERLINK("https%3A%2F%2Fwww.webofscience.com%2Fwos%2Fwoscc%2Ffull-record%2FWOS:000424325900013","View Full Record in Web of Science")</f>
        <v>View Full Record in Web of Science</v>
      </c>
    </row>
    <row r="457" spans="1:73" x14ac:dyDescent="0.25">
      <c r="A457" s="1">
        <v>503</v>
      </c>
      <c r="B457" s="1" t="s">
        <v>1506</v>
      </c>
      <c r="C457" s="1" t="s">
        <v>7359</v>
      </c>
      <c r="D457" s="1" t="s">
        <v>1507</v>
      </c>
      <c r="E457" s="1" t="s">
        <v>1507</v>
      </c>
      <c r="F457" s="1" t="s">
        <v>1507</v>
      </c>
      <c r="G457" s="1" t="s">
        <v>7360</v>
      </c>
      <c r="H457" s="1" t="s">
        <v>1507</v>
      </c>
      <c r="I457" s="1" t="s">
        <v>1507</v>
      </c>
      <c r="J457" s="1" t="s">
        <v>7361</v>
      </c>
      <c r="K457" s="1" t="s">
        <v>7362</v>
      </c>
      <c r="L457" s="1" t="s">
        <v>1507</v>
      </c>
      <c r="M457" s="1" t="s">
        <v>1507</v>
      </c>
      <c r="N457" s="1" t="s">
        <v>42</v>
      </c>
      <c r="O457" s="1" t="s">
        <v>56</v>
      </c>
      <c r="P457" s="1" t="s">
        <v>1507</v>
      </c>
      <c r="Q457" s="1" t="s">
        <v>1507</v>
      </c>
      <c r="R457" s="1" t="s">
        <v>1507</v>
      </c>
      <c r="S457" s="1" t="s">
        <v>1507</v>
      </c>
      <c r="T457" s="1" t="s">
        <v>1507</v>
      </c>
      <c r="U457" s="1" t="s">
        <v>7363</v>
      </c>
      <c r="V457" s="1" t="s">
        <v>7364</v>
      </c>
      <c r="W457" s="1" t="s">
        <v>7365</v>
      </c>
      <c r="X457" s="1" t="s">
        <v>7366</v>
      </c>
      <c r="Y457" s="1" t="s">
        <v>7367</v>
      </c>
      <c r="Z457" s="1" t="s">
        <v>7368</v>
      </c>
      <c r="AA457" s="1" t="s">
        <v>7369</v>
      </c>
      <c r="AB457" s="1" t="s">
        <v>7370</v>
      </c>
      <c r="AC457" s="1" t="s">
        <v>7371</v>
      </c>
      <c r="AD457" s="1" t="s">
        <v>7372</v>
      </c>
      <c r="AE457" s="1" t="s">
        <v>7373</v>
      </c>
      <c r="AF457" s="1" t="s">
        <v>7374</v>
      </c>
      <c r="AG457" s="1" t="s">
        <v>1507</v>
      </c>
      <c r="AH457" s="1">
        <v>44</v>
      </c>
      <c r="AI457" s="1">
        <v>2</v>
      </c>
      <c r="AJ457" s="1">
        <v>2</v>
      </c>
      <c r="AK457" s="1">
        <v>3</v>
      </c>
      <c r="AL457" s="1">
        <v>10</v>
      </c>
      <c r="AM457" s="1" t="s">
        <v>1511</v>
      </c>
      <c r="AN457" s="1" t="s">
        <v>1570</v>
      </c>
      <c r="AO457" s="1" t="s">
        <v>1571</v>
      </c>
      <c r="AP457" s="1" t="s">
        <v>7375</v>
      </c>
      <c r="AQ457" s="1" t="s">
        <v>7376</v>
      </c>
      <c r="AR457" s="1" t="s">
        <v>1507</v>
      </c>
      <c r="AS457" s="1" t="s">
        <v>7377</v>
      </c>
      <c r="AT457" s="1" t="s">
        <v>7378</v>
      </c>
      <c r="AU457" s="1" t="s">
        <v>4336</v>
      </c>
      <c r="AV457" s="1">
        <v>2022</v>
      </c>
      <c r="AW457" s="1">
        <v>54</v>
      </c>
      <c r="AX457" s="1">
        <v>4</v>
      </c>
      <c r="AY457" s="1" t="s">
        <v>1507</v>
      </c>
      <c r="AZ457" s="1" t="s">
        <v>1507</v>
      </c>
      <c r="BA457" s="1" t="s">
        <v>3506</v>
      </c>
      <c r="BB457" s="1" t="s">
        <v>1507</v>
      </c>
      <c r="BC457" s="1">
        <v>3375</v>
      </c>
      <c r="BD457" s="1">
        <v>3400</v>
      </c>
      <c r="BE457" s="1" t="s">
        <v>1507</v>
      </c>
      <c r="BF457" s="1" t="s">
        <v>7379</v>
      </c>
      <c r="BG457" s="1" t="str">
        <f>HYPERLINK("http://dx.doi.org/10.1007/s11063-022-10772-2","http://dx.doi.org/10.1007/s11063-022-10772-2")</f>
        <v>http://dx.doi.org/10.1007/s11063-022-10772-2</v>
      </c>
      <c r="BH457" s="1" t="s">
        <v>1507</v>
      </c>
      <c r="BI457" s="1" t="s">
        <v>7380</v>
      </c>
      <c r="BJ457" s="1">
        <v>26</v>
      </c>
      <c r="BK457" s="1" t="s">
        <v>2994</v>
      </c>
      <c r="BL457" s="1" t="s">
        <v>1573</v>
      </c>
      <c r="BM457" s="1" t="s">
        <v>1577</v>
      </c>
      <c r="BN457" s="1" t="s">
        <v>7381</v>
      </c>
      <c r="BO457" s="1" t="s">
        <v>1507</v>
      </c>
      <c r="BP457" s="1" t="s">
        <v>1507</v>
      </c>
      <c r="BQ457" s="1" t="s">
        <v>1507</v>
      </c>
      <c r="BR457" s="1" t="s">
        <v>1507</v>
      </c>
      <c r="BS457" s="1" t="s">
        <v>13744</v>
      </c>
      <c r="BT457" s="1" t="s">
        <v>7382</v>
      </c>
      <c r="BU457" s="1" t="str">
        <f>HYPERLINK("https%3A%2F%2Fwww.webofscience.com%2Fwos%2Fwoscc%2Ffull-record%2FWOS:000771913500001","View Full Record in Web of Science")</f>
        <v>View Full Record in Web of Science</v>
      </c>
    </row>
    <row r="458" spans="1:73" x14ac:dyDescent="0.25">
      <c r="A458" s="1">
        <v>504</v>
      </c>
      <c r="B458" s="1" t="s">
        <v>1506</v>
      </c>
      <c r="C458" s="1" t="s">
        <v>5117</v>
      </c>
      <c r="D458" s="1" t="s">
        <v>1507</v>
      </c>
      <c r="E458" s="1" t="s">
        <v>1507</v>
      </c>
      <c r="F458" s="1" t="s">
        <v>1507</v>
      </c>
      <c r="G458" s="1" t="s">
        <v>5118</v>
      </c>
      <c r="H458" s="1" t="s">
        <v>1507</v>
      </c>
      <c r="I458" s="1" t="s">
        <v>1507</v>
      </c>
      <c r="J458" s="1" t="s">
        <v>5119</v>
      </c>
      <c r="K458" s="1" t="s">
        <v>5120</v>
      </c>
      <c r="L458" s="1" t="s">
        <v>1507</v>
      </c>
      <c r="M458" s="1" t="s">
        <v>1507</v>
      </c>
      <c r="N458" s="1" t="s">
        <v>42</v>
      </c>
      <c r="O458" s="1" t="s">
        <v>56</v>
      </c>
      <c r="P458" s="1" t="s">
        <v>1507</v>
      </c>
      <c r="Q458" s="1" t="s">
        <v>1507</v>
      </c>
      <c r="R458" s="1" t="s">
        <v>1507</v>
      </c>
      <c r="S458" s="1" t="s">
        <v>1507</v>
      </c>
      <c r="T458" s="1" t="s">
        <v>1507</v>
      </c>
      <c r="U458" s="1" t="s">
        <v>5121</v>
      </c>
      <c r="V458" s="1" t="s">
        <v>5122</v>
      </c>
      <c r="W458" s="1" t="s">
        <v>5123</v>
      </c>
      <c r="X458" s="1" t="s">
        <v>5124</v>
      </c>
      <c r="Y458" s="1" t="s">
        <v>5125</v>
      </c>
      <c r="Z458" s="1" t="s">
        <v>5126</v>
      </c>
      <c r="AA458" s="1" t="s">
        <v>5127</v>
      </c>
      <c r="AB458" s="1" t="s">
        <v>1507</v>
      </c>
      <c r="AC458" s="1" t="s">
        <v>1507</v>
      </c>
      <c r="AD458" s="1" t="s">
        <v>5128</v>
      </c>
      <c r="AE458" s="1" t="s">
        <v>5129</v>
      </c>
      <c r="AF458" s="1" t="s">
        <v>5130</v>
      </c>
      <c r="AG458" s="1" t="s">
        <v>1507</v>
      </c>
      <c r="AH458" s="1">
        <v>136</v>
      </c>
      <c r="AI458" s="1">
        <v>0</v>
      </c>
      <c r="AJ458" s="1">
        <v>0</v>
      </c>
      <c r="AK458" s="1">
        <v>0</v>
      </c>
      <c r="AL458" s="1">
        <v>0</v>
      </c>
      <c r="AM458" s="1" t="s">
        <v>1555</v>
      </c>
      <c r="AN458" s="1" t="s">
        <v>1556</v>
      </c>
      <c r="AO458" s="1" t="s">
        <v>1557</v>
      </c>
      <c r="AP458" s="1" t="s">
        <v>5131</v>
      </c>
      <c r="AQ458" s="1" t="s">
        <v>5132</v>
      </c>
      <c r="AR458" s="1" t="s">
        <v>1507</v>
      </c>
      <c r="AS458" s="1" t="s">
        <v>5133</v>
      </c>
      <c r="AT458" s="1" t="s">
        <v>5134</v>
      </c>
      <c r="AU458" s="1" t="s">
        <v>14784</v>
      </c>
      <c r="AV458" s="1">
        <v>2022</v>
      </c>
      <c r="AW458" s="1">
        <v>25</v>
      </c>
      <c r="AX458" s="1" t="s">
        <v>5135</v>
      </c>
      <c r="AY458" s="1" t="s">
        <v>1507</v>
      </c>
      <c r="AZ458" s="1" t="s">
        <v>1507</v>
      </c>
      <c r="BA458" s="1" t="s">
        <v>1507</v>
      </c>
      <c r="BB458" s="1" t="s">
        <v>1507</v>
      </c>
      <c r="BC458" s="1">
        <v>4</v>
      </c>
      <c r="BD458" s="1">
        <v>25</v>
      </c>
      <c r="BE458" s="1" t="s">
        <v>1507</v>
      </c>
      <c r="BF458" s="1" t="s">
        <v>5136</v>
      </c>
      <c r="BG458" s="1" t="str">
        <f>HYPERLINK("http://dx.doi.org/10.1080/1460728x.2023.2206291","http://dx.doi.org/10.1080/1460728x.2023.2206291")</f>
        <v>http://dx.doi.org/10.1080/1460728x.2023.2206291</v>
      </c>
      <c r="BH458" s="1" t="s">
        <v>1507</v>
      </c>
      <c r="BI458" s="1" t="s">
        <v>5090</v>
      </c>
      <c r="BJ458" s="1">
        <v>22</v>
      </c>
      <c r="BK458" s="1" t="s">
        <v>1535</v>
      </c>
      <c r="BL458" s="1" t="s">
        <v>1529</v>
      </c>
      <c r="BM458" s="1" t="s">
        <v>1536</v>
      </c>
      <c r="BN458" s="1" t="s">
        <v>5137</v>
      </c>
      <c r="BO458" s="1" t="s">
        <v>1507</v>
      </c>
      <c r="BP458" s="1" t="s">
        <v>1507</v>
      </c>
      <c r="BQ458" s="1" t="s">
        <v>1507</v>
      </c>
      <c r="BR458" s="1" t="s">
        <v>1507</v>
      </c>
      <c r="BS458" s="1" t="s">
        <v>13744</v>
      </c>
      <c r="BT458" s="1" t="s">
        <v>5138</v>
      </c>
      <c r="BU458" s="1" t="str">
        <f>HYPERLINK("https%3A%2F%2Fwww.webofscience.com%2Fwos%2Fwoscc%2Ffull-record%2FWOS:000979878400001","View Full Record in Web of Science")</f>
        <v>View Full Record in Web of Science</v>
      </c>
    </row>
    <row r="459" spans="1:73" x14ac:dyDescent="0.25">
      <c r="A459" s="1">
        <v>506</v>
      </c>
      <c r="B459" s="1" t="s">
        <v>1506</v>
      </c>
      <c r="C459" s="1" t="s">
        <v>9295</v>
      </c>
      <c r="D459" s="1" t="s">
        <v>1507</v>
      </c>
      <c r="E459" s="1" t="s">
        <v>1507</v>
      </c>
      <c r="F459" s="1" t="s">
        <v>1507</v>
      </c>
      <c r="G459" s="1" t="s">
        <v>9296</v>
      </c>
      <c r="H459" s="1" t="s">
        <v>1507</v>
      </c>
      <c r="I459" s="1" t="s">
        <v>1507</v>
      </c>
      <c r="J459" s="1" t="s">
        <v>9297</v>
      </c>
      <c r="K459" s="1" t="s">
        <v>9298</v>
      </c>
      <c r="L459" s="1" t="s">
        <v>1507</v>
      </c>
      <c r="M459" s="1" t="s">
        <v>1507</v>
      </c>
      <c r="N459" s="1" t="s">
        <v>42</v>
      </c>
      <c r="O459" s="1" t="s">
        <v>56</v>
      </c>
      <c r="P459" s="1" t="s">
        <v>1507</v>
      </c>
      <c r="Q459" s="1" t="s">
        <v>1507</v>
      </c>
      <c r="R459" s="1" t="s">
        <v>1507</v>
      </c>
      <c r="S459" s="1" t="s">
        <v>1507</v>
      </c>
      <c r="T459" s="1" t="s">
        <v>1507</v>
      </c>
      <c r="U459" s="1" t="s">
        <v>1507</v>
      </c>
      <c r="V459" s="1" t="s">
        <v>9299</v>
      </c>
      <c r="W459" s="1" t="s">
        <v>9300</v>
      </c>
      <c r="X459" s="1" t="s">
        <v>9301</v>
      </c>
      <c r="Y459" s="1" t="s">
        <v>9302</v>
      </c>
      <c r="Z459" s="1" t="s">
        <v>9303</v>
      </c>
      <c r="AA459" s="1" t="s">
        <v>9304</v>
      </c>
      <c r="AB459" s="1" t="s">
        <v>15779</v>
      </c>
      <c r="AC459" s="1" t="s">
        <v>15780</v>
      </c>
      <c r="AD459" s="1" t="s">
        <v>9305</v>
      </c>
      <c r="AE459" s="1" t="s">
        <v>9306</v>
      </c>
      <c r="AF459" s="1" t="s">
        <v>9307</v>
      </c>
      <c r="AG459" s="1" t="s">
        <v>1507</v>
      </c>
      <c r="AH459" s="1">
        <v>44</v>
      </c>
      <c r="AI459" s="1">
        <v>23</v>
      </c>
      <c r="AJ459" s="1">
        <v>27</v>
      </c>
      <c r="AK459" s="1">
        <v>1</v>
      </c>
      <c r="AL459" s="1">
        <v>53</v>
      </c>
      <c r="AM459" s="1" t="s">
        <v>1900</v>
      </c>
      <c r="AN459" s="1" t="s">
        <v>1583</v>
      </c>
      <c r="AO459" s="1" t="s">
        <v>1901</v>
      </c>
      <c r="AP459" s="1" t="s">
        <v>9308</v>
      </c>
      <c r="AQ459" s="1" t="s">
        <v>9309</v>
      </c>
      <c r="AR459" s="1" t="s">
        <v>1507</v>
      </c>
      <c r="AS459" s="1" t="s">
        <v>9310</v>
      </c>
      <c r="AT459" s="1" t="s">
        <v>9311</v>
      </c>
      <c r="AU459" s="1" t="s">
        <v>1616</v>
      </c>
      <c r="AV459" s="1">
        <v>2021</v>
      </c>
      <c r="AW459" s="1">
        <v>114</v>
      </c>
      <c r="AX459" s="1" t="s">
        <v>1507</v>
      </c>
      <c r="AY459" s="1" t="s">
        <v>1507</v>
      </c>
      <c r="AZ459" s="1" t="s">
        <v>1507</v>
      </c>
      <c r="BA459" s="1" t="s">
        <v>1507</v>
      </c>
      <c r="BB459" s="1" t="s">
        <v>1507</v>
      </c>
      <c r="BC459" s="1" t="s">
        <v>1507</v>
      </c>
      <c r="BD459" s="1" t="s">
        <v>1507</v>
      </c>
      <c r="BE459" s="1">
        <v>106486</v>
      </c>
      <c r="BF459" s="1" t="s">
        <v>9312</v>
      </c>
      <c r="BG459" s="1" t="str">
        <f>HYPERLINK("http://dx.doi.org/10.1016/j.chb.2020.106486","http://dx.doi.org/10.1016/j.chb.2020.106486")</f>
        <v>http://dx.doi.org/10.1016/j.chb.2020.106486</v>
      </c>
      <c r="BH459" s="1" t="s">
        <v>1507</v>
      </c>
      <c r="BI459" s="1" t="s">
        <v>1507</v>
      </c>
      <c r="BJ459" s="1">
        <v>9</v>
      </c>
      <c r="BK459" s="1" t="s">
        <v>9313</v>
      </c>
      <c r="BL459" s="1" t="s">
        <v>1518</v>
      </c>
      <c r="BM459" s="1" t="s">
        <v>1519</v>
      </c>
      <c r="BN459" s="1" t="s">
        <v>9314</v>
      </c>
      <c r="BO459" s="1" t="s">
        <v>1507</v>
      </c>
      <c r="BP459" s="1" t="s">
        <v>1507</v>
      </c>
      <c r="BQ459" s="1" t="s">
        <v>1507</v>
      </c>
      <c r="BR459" s="1" t="s">
        <v>1507</v>
      </c>
      <c r="BS459" s="1" t="s">
        <v>13744</v>
      </c>
      <c r="BT459" s="1" t="s">
        <v>9315</v>
      </c>
      <c r="BU459" s="1" t="str">
        <f>HYPERLINK("https%3A%2F%2Fwww.webofscience.com%2Fwos%2Fwoscc%2Ffull-record%2FWOS:000580937800002","View Full Record in Web of Science")</f>
        <v>View Full Record in Web of Science</v>
      </c>
    </row>
    <row r="460" spans="1:73" x14ac:dyDescent="0.25">
      <c r="A460" s="1">
        <v>507</v>
      </c>
      <c r="B460" s="1" t="s">
        <v>1506</v>
      </c>
      <c r="C460" s="1" t="s">
        <v>7074</v>
      </c>
      <c r="D460" s="1" t="s">
        <v>1507</v>
      </c>
      <c r="E460" s="1" t="s">
        <v>1507</v>
      </c>
      <c r="F460" s="1" t="s">
        <v>1507</v>
      </c>
      <c r="G460" s="1" t="s">
        <v>7075</v>
      </c>
      <c r="H460" s="1" t="s">
        <v>1507</v>
      </c>
      <c r="I460" s="1" t="s">
        <v>1507</v>
      </c>
      <c r="J460" s="1" t="s">
        <v>7076</v>
      </c>
      <c r="K460" s="1" t="s">
        <v>7077</v>
      </c>
      <c r="L460" s="1" t="s">
        <v>1507</v>
      </c>
      <c r="M460" s="1" t="s">
        <v>1507</v>
      </c>
      <c r="N460" s="1" t="s">
        <v>42</v>
      </c>
      <c r="O460" s="1" t="s">
        <v>56</v>
      </c>
      <c r="P460" s="1" t="s">
        <v>1507</v>
      </c>
      <c r="Q460" s="1" t="s">
        <v>1507</v>
      </c>
      <c r="R460" s="1" t="s">
        <v>1507</v>
      </c>
      <c r="S460" s="1" t="s">
        <v>1507</v>
      </c>
      <c r="T460" s="1" t="s">
        <v>1507</v>
      </c>
      <c r="U460" s="1" t="s">
        <v>1507</v>
      </c>
      <c r="V460" s="1" t="s">
        <v>7078</v>
      </c>
      <c r="W460" s="1" t="s">
        <v>7079</v>
      </c>
      <c r="X460" s="1" t="s">
        <v>7080</v>
      </c>
      <c r="Y460" s="1" t="s">
        <v>7081</v>
      </c>
      <c r="Z460" s="1" t="s">
        <v>7082</v>
      </c>
      <c r="AA460" s="1" t="s">
        <v>7083</v>
      </c>
      <c r="AB460" s="1" t="s">
        <v>15600</v>
      </c>
      <c r="AC460" s="1" t="s">
        <v>15601</v>
      </c>
      <c r="AD460" s="1" t="s">
        <v>7084</v>
      </c>
      <c r="AE460" s="1" t="s">
        <v>7085</v>
      </c>
      <c r="AF460" s="1" t="s">
        <v>7086</v>
      </c>
      <c r="AG460" s="1" t="s">
        <v>1507</v>
      </c>
      <c r="AH460" s="1">
        <v>76</v>
      </c>
      <c r="AI460" s="1">
        <v>3</v>
      </c>
      <c r="AJ460" s="1">
        <v>3</v>
      </c>
      <c r="AK460" s="1">
        <v>3</v>
      </c>
      <c r="AL460" s="1">
        <v>9</v>
      </c>
      <c r="AM460" s="1" t="s">
        <v>2372</v>
      </c>
      <c r="AN460" s="1" t="s">
        <v>2300</v>
      </c>
      <c r="AO460" s="1" t="s">
        <v>2373</v>
      </c>
      <c r="AP460" s="1" t="s">
        <v>7087</v>
      </c>
      <c r="AQ460" s="1" t="s">
        <v>7088</v>
      </c>
      <c r="AR460" s="1" t="s">
        <v>1507</v>
      </c>
      <c r="AS460" s="1" t="s">
        <v>7089</v>
      </c>
      <c r="AT460" s="1" t="s">
        <v>7090</v>
      </c>
      <c r="AU460" s="1" t="s">
        <v>7091</v>
      </c>
      <c r="AV460" s="1">
        <v>2022</v>
      </c>
      <c r="AW460" s="1">
        <v>18</v>
      </c>
      <c r="AX460" s="1">
        <v>8</v>
      </c>
      <c r="AY460" s="1" t="s">
        <v>1507</v>
      </c>
      <c r="AZ460" s="1" t="s">
        <v>1507</v>
      </c>
      <c r="BA460" s="1" t="s">
        <v>1507</v>
      </c>
      <c r="BB460" s="1" t="s">
        <v>1507</v>
      </c>
      <c r="BC460" s="1">
        <v>4708</v>
      </c>
      <c r="BD460" s="1">
        <v>4718</v>
      </c>
      <c r="BE460" s="1" t="s">
        <v>1507</v>
      </c>
      <c r="BF460" s="1" t="s">
        <v>7092</v>
      </c>
      <c r="BG460" s="1" t="str">
        <f>HYPERLINK("http://dx.doi.org/10.1021/acs.jctc.2c00256","http://dx.doi.org/10.1021/acs.jctc.2c00256")</f>
        <v>http://dx.doi.org/10.1021/acs.jctc.2c00256</v>
      </c>
      <c r="BH460" s="1" t="s">
        <v>1507</v>
      </c>
      <c r="BI460" s="1" t="s">
        <v>1507</v>
      </c>
      <c r="BJ460" s="1">
        <v>11</v>
      </c>
      <c r="BK460" s="1" t="s">
        <v>7093</v>
      </c>
      <c r="BL460" s="1" t="s">
        <v>1573</v>
      </c>
      <c r="BM460" s="1" t="s">
        <v>7094</v>
      </c>
      <c r="BN460" s="1" t="s">
        <v>7095</v>
      </c>
      <c r="BO460" s="1">
        <v>35797603</v>
      </c>
      <c r="BP460" s="1" t="s">
        <v>1507</v>
      </c>
      <c r="BQ460" s="1" t="s">
        <v>1507</v>
      </c>
      <c r="BR460" s="1" t="s">
        <v>1507</v>
      </c>
      <c r="BS460" s="1" t="s">
        <v>13744</v>
      </c>
      <c r="BT460" s="1" t="s">
        <v>7096</v>
      </c>
      <c r="BU460" s="1" t="str">
        <f>HYPERLINK("https%3A%2F%2Fwww.webofscience.com%2Fwos%2Fwoscc%2Ffull-record%2FWOS:000897008200001","View Full Record in Web of Science")</f>
        <v>View Full Record in Web of Science</v>
      </c>
    </row>
    <row r="461" spans="1:73" x14ac:dyDescent="0.25">
      <c r="A461" s="1">
        <v>509</v>
      </c>
      <c r="B461" s="1" t="s">
        <v>1506</v>
      </c>
      <c r="C461" s="1" t="s">
        <v>8000</v>
      </c>
      <c r="D461" s="1" t="s">
        <v>1507</v>
      </c>
      <c r="E461" s="1" t="s">
        <v>1507</v>
      </c>
      <c r="F461" s="1" t="s">
        <v>1507</v>
      </c>
      <c r="G461" s="1" t="s">
        <v>8001</v>
      </c>
      <c r="H461" s="1" t="s">
        <v>1507</v>
      </c>
      <c r="I461" s="1" t="s">
        <v>1507</v>
      </c>
      <c r="J461" s="1" t="s">
        <v>8002</v>
      </c>
      <c r="K461" s="1" t="s">
        <v>8003</v>
      </c>
      <c r="L461" s="1" t="s">
        <v>1507</v>
      </c>
      <c r="M461" s="1" t="s">
        <v>1507</v>
      </c>
      <c r="N461" s="1" t="s">
        <v>42</v>
      </c>
      <c r="O461" s="1" t="s">
        <v>56</v>
      </c>
      <c r="P461" s="1" t="s">
        <v>1507</v>
      </c>
      <c r="Q461" s="1" t="s">
        <v>1507</v>
      </c>
      <c r="R461" s="1" t="s">
        <v>1507</v>
      </c>
      <c r="S461" s="1" t="s">
        <v>1507</v>
      </c>
      <c r="T461" s="1" t="s">
        <v>1507</v>
      </c>
      <c r="U461" s="1" t="s">
        <v>1507</v>
      </c>
      <c r="V461" s="1" t="s">
        <v>8004</v>
      </c>
      <c r="W461" s="1" t="s">
        <v>1507</v>
      </c>
      <c r="X461" s="1" t="s">
        <v>8005</v>
      </c>
      <c r="Y461" s="1" t="s">
        <v>8006</v>
      </c>
      <c r="Z461" s="1" t="s">
        <v>8007</v>
      </c>
      <c r="AA461" s="1" t="s">
        <v>8008</v>
      </c>
      <c r="AB461" s="1" t="s">
        <v>1507</v>
      </c>
      <c r="AC461" s="1" t="s">
        <v>1507</v>
      </c>
      <c r="AD461" s="1" t="s">
        <v>8009</v>
      </c>
      <c r="AE461" s="1" t="s">
        <v>8010</v>
      </c>
      <c r="AF461" s="1" t="s">
        <v>8011</v>
      </c>
      <c r="AG461" s="1" t="s">
        <v>1507</v>
      </c>
      <c r="AH461" s="1">
        <v>73</v>
      </c>
      <c r="AI461" s="1">
        <v>0</v>
      </c>
      <c r="AJ461" s="1">
        <v>0</v>
      </c>
      <c r="AK461" s="1">
        <v>0</v>
      </c>
      <c r="AL461" s="1">
        <v>1</v>
      </c>
      <c r="AM461" s="1" t="s">
        <v>1582</v>
      </c>
      <c r="AN461" s="1" t="s">
        <v>1583</v>
      </c>
      <c r="AO461" s="1" t="s">
        <v>1584</v>
      </c>
      <c r="AP461" s="1" t="s">
        <v>8012</v>
      </c>
      <c r="AQ461" s="1" t="s">
        <v>8013</v>
      </c>
      <c r="AR461" s="1" t="s">
        <v>1507</v>
      </c>
      <c r="AS461" s="1" t="s">
        <v>8014</v>
      </c>
      <c r="AT461" s="1" t="s">
        <v>8015</v>
      </c>
      <c r="AU461" s="1" t="s">
        <v>2771</v>
      </c>
      <c r="AV461" s="1">
        <v>2021</v>
      </c>
      <c r="AW461" s="1">
        <v>16</v>
      </c>
      <c r="AX461" s="1">
        <v>11</v>
      </c>
      <c r="AY461" s="1" t="s">
        <v>1507</v>
      </c>
      <c r="AZ461" s="1" t="s">
        <v>1507</v>
      </c>
      <c r="BA461" s="1" t="s">
        <v>1507</v>
      </c>
      <c r="BB461" s="1" t="s">
        <v>1507</v>
      </c>
      <c r="BC461" s="1">
        <v>1229</v>
      </c>
      <c r="BD461" s="1">
        <v>1241</v>
      </c>
      <c r="BE461" s="1" t="s">
        <v>1507</v>
      </c>
      <c r="BF461" s="1" t="s">
        <v>8016</v>
      </c>
      <c r="BG461" s="1" t="str">
        <f>HYPERLINK("http://dx.doi.org/10.1093/jiplp/jpab128","http://dx.doi.org/10.1093/jiplp/jpab128")</f>
        <v>http://dx.doi.org/10.1093/jiplp/jpab128</v>
      </c>
      <c r="BH461" s="1" t="s">
        <v>1507</v>
      </c>
      <c r="BI461" s="1" t="s">
        <v>7958</v>
      </c>
      <c r="BJ461" s="1">
        <v>13</v>
      </c>
      <c r="BK461" s="1" t="s">
        <v>1535</v>
      </c>
      <c r="BL461" s="1" t="s">
        <v>1529</v>
      </c>
      <c r="BM461" s="1" t="s">
        <v>1536</v>
      </c>
      <c r="BN461" s="1" t="s">
        <v>8017</v>
      </c>
      <c r="BO461" s="1" t="s">
        <v>1507</v>
      </c>
      <c r="BP461" s="1" t="s">
        <v>1507</v>
      </c>
      <c r="BQ461" s="1" t="s">
        <v>1507</v>
      </c>
      <c r="BR461" s="1" t="s">
        <v>1507</v>
      </c>
      <c r="BS461" s="1" t="s">
        <v>13744</v>
      </c>
      <c r="BT461" s="1" t="s">
        <v>8018</v>
      </c>
      <c r="BU461" s="1" t="str">
        <f>HYPERLINK("https%3A%2F%2Fwww.webofscience.com%2Fwos%2Fwoscc%2Ffull-record%2FWOS:000743607200011","View Full Record in Web of Science")</f>
        <v>View Full Record in Web of Science</v>
      </c>
    </row>
    <row r="462" spans="1:73" x14ac:dyDescent="0.25">
      <c r="A462" s="1">
        <v>510</v>
      </c>
      <c r="B462" s="1" t="s">
        <v>5546</v>
      </c>
      <c r="C462" s="1" t="s">
        <v>6383</v>
      </c>
      <c r="D462" s="1" t="s">
        <v>1507</v>
      </c>
      <c r="E462" s="1" t="s">
        <v>1507</v>
      </c>
      <c r="F462" s="1" t="s">
        <v>5548</v>
      </c>
      <c r="G462" s="1" t="s">
        <v>6384</v>
      </c>
      <c r="H462" s="1" t="s">
        <v>1507</v>
      </c>
      <c r="I462" s="1" t="s">
        <v>1507</v>
      </c>
      <c r="J462" s="1" t="s">
        <v>6385</v>
      </c>
      <c r="K462" s="1" t="s">
        <v>6386</v>
      </c>
      <c r="L462" s="1" t="s">
        <v>1507</v>
      </c>
      <c r="M462" s="1" t="s">
        <v>1507</v>
      </c>
      <c r="N462" s="1" t="s">
        <v>42</v>
      </c>
      <c r="O462" s="1" t="s">
        <v>5552</v>
      </c>
      <c r="P462" s="1" t="s">
        <v>6387</v>
      </c>
      <c r="Q462" s="1" t="s">
        <v>6388</v>
      </c>
      <c r="R462" s="1" t="s">
        <v>6389</v>
      </c>
      <c r="S462" s="1" t="s">
        <v>6390</v>
      </c>
      <c r="T462" s="1" t="s">
        <v>6391</v>
      </c>
      <c r="U462" s="1" t="s">
        <v>6392</v>
      </c>
      <c r="V462" s="1" t="s">
        <v>1507</v>
      </c>
      <c r="W462" s="1" t="s">
        <v>6393</v>
      </c>
      <c r="X462" s="1" t="s">
        <v>1507</v>
      </c>
      <c r="Y462" s="1" t="s">
        <v>1507</v>
      </c>
      <c r="Z462" s="1" t="s">
        <v>1507</v>
      </c>
      <c r="AA462" s="1" t="s">
        <v>6394</v>
      </c>
      <c r="AB462" s="1" t="s">
        <v>1507</v>
      </c>
      <c r="AC462" s="1" t="s">
        <v>1507</v>
      </c>
      <c r="AD462" s="1" t="s">
        <v>6395</v>
      </c>
      <c r="AE462" s="1" t="s">
        <v>6396</v>
      </c>
      <c r="AF462" s="1" t="s">
        <v>6397</v>
      </c>
      <c r="AG462" s="1" t="s">
        <v>1507</v>
      </c>
      <c r="AH462" s="1">
        <v>24</v>
      </c>
      <c r="AI462" s="1">
        <v>0</v>
      </c>
      <c r="AJ462" s="1">
        <v>0</v>
      </c>
      <c r="AK462" s="1">
        <v>7</v>
      </c>
      <c r="AL462" s="1">
        <v>7</v>
      </c>
      <c r="AM462" s="1" t="s">
        <v>5565</v>
      </c>
      <c r="AN462" s="1" t="s">
        <v>1512</v>
      </c>
      <c r="AO462" s="1" t="s">
        <v>5566</v>
      </c>
      <c r="AP462" s="1" t="s">
        <v>1507</v>
      </c>
      <c r="AQ462" s="1" t="s">
        <v>1507</v>
      </c>
      <c r="AR462" s="1" t="s">
        <v>6398</v>
      </c>
      <c r="AS462" s="1" t="s">
        <v>1507</v>
      </c>
      <c r="AT462" s="1" t="s">
        <v>1507</v>
      </c>
      <c r="AU462" s="1" t="s">
        <v>1507</v>
      </c>
      <c r="AV462" s="1">
        <v>2023</v>
      </c>
      <c r="AW462" s="1" t="s">
        <v>1507</v>
      </c>
      <c r="AX462" s="1" t="s">
        <v>1507</v>
      </c>
      <c r="AY462" s="1" t="s">
        <v>1507</v>
      </c>
      <c r="AZ462" s="1" t="s">
        <v>1507</v>
      </c>
      <c r="BA462" s="1" t="s">
        <v>1507</v>
      </c>
      <c r="BB462" s="1" t="s">
        <v>1507</v>
      </c>
      <c r="BC462" s="1">
        <v>87</v>
      </c>
      <c r="BD462" s="1">
        <v>93</v>
      </c>
      <c r="BE462" s="1" t="s">
        <v>1507</v>
      </c>
      <c r="BF462" s="1" t="s">
        <v>6399</v>
      </c>
      <c r="BG462" s="1" t="str">
        <f>HYPERLINK("http://dx.doi.org/10.1145/3593856.3595910","http://dx.doi.org/10.1145/3593856.3595910")</f>
        <v>http://dx.doi.org/10.1145/3593856.3595910</v>
      </c>
      <c r="BH462" s="1" t="s">
        <v>1507</v>
      </c>
      <c r="BI462" s="1" t="s">
        <v>1507</v>
      </c>
      <c r="BJ462" s="1">
        <v>7</v>
      </c>
      <c r="BK462" s="1" t="s">
        <v>6400</v>
      </c>
      <c r="BL462" s="1" t="s">
        <v>5570</v>
      </c>
      <c r="BM462" s="1" t="s">
        <v>1577</v>
      </c>
      <c r="BN462" s="1" t="s">
        <v>6401</v>
      </c>
      <c r="BO462" s="1" t="s">
        <v>1507</v>
      </c>
      <c r="BP462" s="1" t="s">
        <v>1507</v>
      </c>
      <c r="BQ462" s="1" t="s">
        <v>1507</v>
      </c>
      <c r="BR462" s="1" t="s">
        <v>1507</v>
      </c>
      <c r="BS462" s="1" t="s">
        <v>13744</v>
      </c>
      <c r="BT462" s="1" t="s">
        <v>6402</v>
      </c>
      <c r="BU462" s="1" t="str">
        <f>HYPERLINK("https%3A%2F%2Fwww.webofscience.com%2Fwos%2Fwoscc%2Ffull-record%2FWOS:001119203300011","View Full Record in Web of Science")</f>
        <v>View Full Record in Web of Science</v>
      </c>
    </row>
    <row r="463" spans="1:73" x14ac:dyDescent="0.25">
      <c r="A463" s="1">
        <v>511</v>
      </c>
      <c r="B463" s="1" t="s">
        <v>1506</v>
      </c>
      <c r="C463" s="1" t="s">
        <v>8407</v>
      </c>
      <c r="D463" s="1" t="s">
        <v>1507</v>
      </c>
      <c r="E463" s="1" t="s">
        <v>1507</v>
      </c>
      <c r="F463" s="1" t="s">
        <v>1507</v>
      </c>
      <c r="G463" s="1" t="s">
        <v>8408</v>
      </c>
      <c r="H463" s="1" t="s">
        <v>1507</v>
      </c>
      <c r="I463" s="1" t="s">
        <v>1507</v>
      </c>
      <c r="J463" s="1" t="s">
        <v>8409</v>
      </c>
      <c r="K463" s="1" t="s">
        <v>8410</v>
      </c>
      <c r="L463" s="1" t="s">
        <v>1507</v>
      </c>
      <c r="M463" s="1" t="s">
        <v>1507</v>
      </c>
      <c r="N463" s="1" t="s">
        <v>42</v>
      </c>
      <c r="O463" s="1" t="s">
        <v>56</v>
      </c>
      <c r="P463" s="1" t="s">
        <v>1507</v>
      </c>
      <c r="Q463" s="1" t="s">
        <v>1507</v>
      </c>
      <c r="R463" s="1" t="s">
        <v>1507</v>
      </c>
      <c r="S463" s="1" t="s">
        <v>1507</v>
      </c>
      <c r="T463" s="1" t="s">
        <v>1507</v>
      </c>
      <c r="U463" s="1" t="s">
        <v>1507</v>
      </c>
      <c r="V463" s="1" t="s">
        <v>8411</v>
      </c>
      <c r="W463" s="1" t="s">
        <v>8412</v>
      </c>
      <c r="X463" s="1" t="s">
        <v>8413</v>
      </c>
      <c r="Y463" s="1" t="s">
        <v>8414</v>
      </c>
      <c r="Z463" s="1" t="s">
        <v>8415</v>
      </c>
      <c r="AA463" s="1" t="s">
        <v>8416</v>
      </c>
      <c r="AB463" s="1" t="s">
        <v>8417</v>
      </c>
      <c r="AC463" s="1" t="s">
        <v>8418</v>
      </c>
      <c r="AD463" s="1" t="s">
        <v>8419</v>
      </c>
      <c r="AE463" s="1" t="s">
        <v>8420</v>
      </c>
      <c r="AF463" s="1" t="s">
        <v>8421</v>
      </c>
      <c r="AG463" s="1" t="s">
        <v>1507</v>
      </c>
      <c r="AH463" s="1">
        <v>53</v>
      </c>
      <c r="AI463" s="1">
        <v>4</v>
      </c>
      <c r="AJ463" s="1">
        <v>5</v>
      </c>
      <c r="AK463" s="1">
        <v>1</v>
      </c>
      <c r="AL463" s="1">
        <v>3</v>
      </c>
      <c r="AM463" s="1" t="s">
        <v>8422</v>
      </c>
      <c r="AN463" s="1" t="s">
        <v>7525</v>
      </c>
      <c r="AO463" s="1" t="s">
        <v>7526</v>
      </c>
      <c r="AP463" s="1" t="s">
        <v>1507</v>
      </c>
      <c r="AQ463" s="1" t="s">
        <v>8423</v>
      </c>
      <c r="AR463" s="1" t="s">
        <v>1507</v>
      </c>
      <c r="AS463" s="1" t="s">
        <v>8424</v>
      </c>
      <c r="AT463" s="1" t="s">
        <v>8425</v>
      </c>
      <c r="AU463" s="1" t="s">
        <v>4556</v>
      </c>
      <c r="AV463" s="1">
        <v>2021</v>
      </c>
      <c r="AW463" s="1">
        <v>8</v>
      </c>
      <c r="AX463" s="1">
        <v>4</v>
      </c>
      <c r="AY463" s="1" t="s">
        <v>1507</v>
      </c>
      <c r="AZ463" s="1" t="s">
        <v>1507</v>
      </c>
      <c r="BA463" s="1" t="s">
        <v>1507</v>
      </c>
      <c r="BB463" s="1" t="s">
        <v>1507</v>
      </c>
      <c r="BC463" s="1" t="s">
        <v>1507</v>
      </c>
      <c r="BD463" s="1" t="s">
        <v>1507</v>
      </c>
      <c r="BE463" s="1">
        <v>44701</v>
      </c>
      <c r="BF463" s="1" t="s">
        <v>8426</v>
      </c>
      <c r="BG463" s="1" t="str">
        <f>HYPERLINK("http://dx.doi.org/10.1063/4.0000087","http://dx.doi.org/10.1063/4.0000087")</f>
        <v>http://dx.doi.org/10.1063/4.0000087</v>
      </c>
      <c r="BH463" s="1" t="s">
        <v>1507</v>
      </c>
      <c r="BI463" s="1" t="s">
        <v>1507</v>
      </c>
      <c r="BJ463" s="1">
        <v>18</v>
      </c>
      <c r="BK463" s="1" t="s">
        <v>7093</v>
      </c>
      <c r="BL463" s="1" t="s">
        <v>1573</v>
      </c>
      <c r="BM463" s="1" t="s">
        <v>7094</v>
      </c>
      <c r="BN463" s="1" t="s">
        <v>8427</v>
      </c>
      <c r="BO463" s="1">
        <v>34258328</v>
      </c>
      <c r="BP463" s="1" t="s">
        <v>15727</v>
      </c>
      <c r="BQ463" s="1" t="s">
        <v>1507</v>
      </c>
      <c r="BR463" s="1" t="s">
        <v>1507</v>
      </c>
      <c r="BS463" s="1" t="s">
        <v>13744</v>
      </c>
      <c r="BT463" s="1" t="s">
        <v>8428</v>
      </c>
      <c r="BU463" s="1" t="str">
        <f>HYPERLINK("https%3A%2F%2Fwww.webofscience.com%2Fwos%2Fwoscc%2Ffull-record%2FWOS:000670778600003","View Full Record in Web of Science")</f>
        <v>View Full Record in Web of Science</v>
      </c>
    </row>
    <row r="464" spans="1:73" x14ac:dyDescent="0.25">
      <c r="A464" s="1">
        <v>512</v>
      </c>
      <c r="B464" s="1" t="s">
        <v>5546</v>
      </c>
      <c r="C464" s="1" t="s">
        <v>6403</v>
      </c>
      <c r="D464" s="1" t="s">
        <v>1507</v>
      </c>
      <c r="E464" s="1" t="s">
        <v>6404</v>
      </c>
      <c r="F464" s="1" t="s">
        <v>1507</v>
      </c>
      <c r="G464" s="1" t="s">
        <v>6405</v>
      </c>
      <c r="H464" s="1" t="s">
        <v>1507</v>
      </c>
      <c r="I464" s="1" t="s">
        <v>1507</v>
      </c>
      <c r="J464" s="1" t="s">
        <v>6406</v>
      </c>
      <c r="K464" s="1" t="s">
        <v>6407</v>
      </c>
      <c r="L464" s="1" t="s">
        <v>1507</v>
      </c>
      <c r="M464" s="1" t="s">
        <v>1507</v>
      </c>
      <c r="N464" s="1" t="s">
        <v>42</v>
      </c>
      <c r="O464" s="1" t="s">
        <v>5552</v>
      </c>
      <c r="P464" s="1" t="s">
        <v>6408</v>
      </c>
      <c r="Q464" s="1" t="s">
        <v>6409</v>
      </c>
      <c r="R464" s="1" t="s">
        <v>6410</v>
      </c>
      <c r="S464" s="1" t="s">
        <v>6411</v>
      </c>
      <c r="T464" s="1" t="s">
        <v>1507</v>
      </c>
      <c r="U464" s="1" t="s">
        <v>6412</v>
      </c>
      <c r="V464" s="1" t="s">
        <v>6413</v>
      </c>
      <c r="W464" s="1" t="s">
        <v>6414</v>
      </c>
      <c r="X464" s="1" t="s">
        <v>6415</v>
      </c>
      <c r="Y464" s="1" t="s">
        <v>6416</v>
      </c>
      <c r="Z464" s="1" t="s">
        <v>6417</v>
      </c>
      <c r="AA464" s="1" t="s">
        <v>6418</v>
      </c>
      <c r="AB464" s="1" t="s">
        <v>15368</v>
      </c>
      <c r="AC464" s="1" t="s">
        <v>1507</v>
      </c>
      <c r="AD464" s="1" t="s">
        <v>6419</v>
      </c>
      <c r="AE464" s="1" t="s">
        <v>6420</v>
      </c>
      <c r="AF464" s="1" t="s">
        <v>6421</v>
      </c>
      <c r="AG464" s="1" t="s">
        <v>1507</v>
      </c>
      <c r="AH464" s="1">
        <v>54</v>
      </c>
      <c r="AI464" s="1">
        <v>0</v>
      </c>
      <c r="AJ464" s="1">
        <v>0</v>
      </c>
      <c r="AK464" s="1">
        <v>1</v>
      </c>
      <c r="AL464" s="1">
        <v>1</v>
      </c>
      <c r="AM464" s="1" t="s">
        <v>5565</v>
      </c>
      <c r="AN464" s="1" t="s">
        <v>1512</v>
      </c>
      <c r="AO464" s="1" t="s">
        <v>5566</v>
      </c>
      <c r="AP464" s="1" t="s">
        <v>1507</v>
      </c>
      <c r="AQ464" s="1" t="s">
        <v>1507</v>
      </c>
      <c r="AR464" s="1" t="s">
        <v>6422</v>
      </c>
      <c r="AS464" s="1" t="s">
        <v>1507</v>
      </c>
      <c r="AT464" s="1" t="s">
        <v>1507</v>
      </c>
      <c r="AU464" s="1" t="s">
        <v>1507</v>
      </c>
      <c r="AV464" s="1">
        <v>2023</v>
      </c>
      <c r="AW464" s="1" t="s">
        <v>1507</v>
      </c>
      <c r="AX464" s="1" t="s">
        <v>1507</v>
      </c>
      <c r="AY464" s="1" t="s">
        <v>1507</v>
      </c>
      <c r="AZ464" s="1" t="s">
        <v>1507</v>
      </c>
      <c r="BA464" s="1" t="s">
        <v>1507</v>
      </c>
      <c r="BB464" s="1" t="s">
        <v>1507</v>
      </c>
      <c r="BC464" s="1" t="s">
        <v>1507</v>
      </c>
      <c r="BD464" s="1" t="s">
        <v>1507</v>
      </c>
      <c r="BE464" s="1">
        <v>79</v>
      </c>
      <c r="BF464" s="1" t="s">
        <v>6423</v>
      </c>
      <c r="BG464" s="1" t="str">
        <f>HYPERLINK("http://dx.doi.org/10.1145/3588432.3591558","http://dx.doi.org/10.1145/3588432.3591558")</f>
        <v>http://dx.doi.org/10.1145/3588432.3591558</v>
      </c>
      <c r="BH464" s="1" t="s">
        <v>1507</v>
      </c>
      <c r="BI464" s="1" t="s">
        <v>1507</v>
      </c>
      <c r="BJ464" s="1">
        <v>10</v>
      </c>
      <c r="BK464" s="1" t="s">
        <v>2678</v>
      </c>
      <c r="BL464" s="1" t="s">
        <v>5570</v>
      </c>
      <c r="BM464" s="1" t="s">
        <v>1577</v>
      </c>
      <c r="BN464" s="1" t="s">
        <v>6424</v>
      </c>
      <c r="BO464" s="1" t="s">
        <v>1507</v>
      </c>
      <c r="BP464" s="1" t="s">
        <v>1537</v>
      </c>
      <c r="BQ464" s="1" t="s">
        <v>1507</v>
      </c>
      <c r="BR464" s="1" t="s">
        <v>1507</v>
      </c>
      <c r="BS464" s="1" t="s">
        <v>13744</v>
      </c>
      <c r="BT464" s="1" t="s">
        <v>6425</v>
      </c>
      <c r="BU464" s="1" t="str">
        <f>HYPERLINK("https%3A%2F%2Fwww.webofscience.com%2Fwos%2Fwoscc%2Ffull-record%2FWOS:001117690500079","View Full Record in Web of Science")</f>
        <v>View Full Record in Web of Science</v>
      </c>
    </row>
    <row r="465" spans="1:73" x14ac:dyDescent="0.25">
      <c r="A465" s="1">
        <v>513</v>
      </c>
      <c r="B465" s="1" t="s">
        <v>1506</v>
      </c>
      <c r="C465" s="1" t="s">
        <v>6844</v>
      </c>
      <c r="D465" s="1" t="s">
        <v>1507</v>
      </c>
      <c r="E465" s="1" t="s">
        <v>1507</v>
      </c>
      <c r="F465" s="1" t="s">
        <v>1507</v>
      </c>
      <c r="G465" s="1" t="s">
        <v>6845</v>
      </c>
      <c r="H465" s="1" t="s">
        <v>1507</v>
      </c>
      <c r="I465" s="1" t="s">
        <v>1507</v>
      </c>
      <c r="J465" s="1" t="s">
        <v>6846</v>
      </c>
      <c r="K465" s="1" t="s">
        <v>6847</v>
      </c>
      <c r="L465" s="1" t="s">
        <v>1507</v>
      </c>
      <c r="M465" s="1" t="s">
        <v>1507</v>
      </c>
      <c r="N465" s="1" t="s">
        <v>42</v>
      </c>
      <c r="O465" s="1" t="s">
        <v>56</v>
      </c>
      <c r="P465" s="1" t="s">
        <v>1507</v>
      </c>
      <c r="Q465" s="1" t="s">
        <v>1507</v>
      </c>
      <c r="R465" s="1" t="s">
        <v>1507</v>
      </c>
      <c r="S465" s="1" t="s">
        <v>1507</v>
      </c>
      <c r="T465" s="1" t="s">
        <v>1507</v>
      </c>
      <c r="U465" s="1" t="s">
        <v>6848</v>
      </c>
      <c r="V465" s="1" t="s">
        <v>6849</v>
      </c>
      <c r="W465" s="1" t="s">
        <v>6850</v>
      </c>
      <c r="X465" s="1" t="s">
        <v>6851</v>
      </c>
      <c r="Y465" s="1" t="s">
        <v>15548</v>
      </c>
      <c r="Z465" s="1" t="s">
        <v>2604</v>
      </c>
      <c r="AA465" s="1" t="s">
        <v>6852</v>
      </c>
      <c r="AB465" s="1" t="s">
        <v>6853</v>
      </c>
      <c r="AC465" s="1" t="s">
        <v>15549</v>
      </c>
      <c r="AD465" s="1" t="s">
        <v>6854</v>
      </c>
      <c r="AE465" s="1" t="s">
        <v>6855</v>
      </c>
      <c r="AF465" s="1" t="s">
        <v>6856</v>
      </c>
      <c r="AG465" s="1" t="s">
        <v>1507</v>
      </c>
      <c r="AH465" s="1">
        <v>52</v>
      </c>
      <c r="AI465" s="1">
        <v>5</v>
      </c>
      <c r="AJ465" s="1">
        <v>5</v>
      </c>
      <c r="AK465" s="1">
        <v>1</v>
      </c>
      <c r="AL465" s="1">
        <v>18</v>
      </c>
      <c r="AM465" s="1" t="s">
        <v>1586</v>
      </c>
      <c r="AN465" s="1" t="s">
        <v>1583</v>
      </c>
      <c r="AO465" s="1" t="s">
        <v>3684</v>
      </c>
      <c r="AP465" s="1" t="s">
        <v>6857</v>
      </c>
      <c r="AQ465" s="1" t="s">
        <v>6858</v>
      </c>
      <c r="AR465" s="1" t="s">
        <v>1507</v>
      </c>
      <c r="AS465" s="1" t="s">
        <v>6847</v>
      </c>
      <c r="AT465" s="1" t="s">
        <v>6859</v>
      </c>
      <c r="AU465" s="1" t="s">
        <v>12095</v>
      </c>
      <c r="AV465" s="1">
        <v>2023</v>
      </c>
      <c r="AW465" s="1">
        <v>332</v>
      </c>
      <c r="AX465" s="1" t="s">
        <v>1507</v>
      </c>
      <c r="AY465" s="1">
        <v>2</v>
      </c>
      <c r="AZ465" s="1" t="s">
        <v>1507</v>
      </c>
      <c r="BA465" s="1" t="s">
        <v>1507</v>
      </c>
      <c r="BB465" s="1" t="s">
        <v>1507</v>
      </c>
      <c r="BC465" s="1" t="s">
        <v>1507</v>
      </c>
      <c r="BD465" s="1" t="s">
        <v>1507</v>
      </c>
      <c r="BE465" s="1">
        <v>126283</v>
      </c>
      <c r="BF465" s="1" t="s">
        <v>6860</v>
      </c>
      <c r="BG465" s="1" t="str">
        <f>HYPERLINK("http://dx.doi.org/10.1016/j.fuel.2022.126283","http://dx.doi.org/10.1016/j.fuel.2022.126283")</f>
        <v>http://dx.doi.org/10.1016/j.fuel.2022.126283</v>
      </c>
      <c r="BH465" s="1" t="s">
        <v>1507</v>
      </c>
      <c r="BI465" s="1" t="s">
        <v>6861</v>
      </c>
      <c r="BJ465" s="1">
        <v>10</v>
      </c>
      <c r="BK465" s="1" t="s">
        <v>5261</v>
      </c>
      <c r="BL465" s="1" t="s">
        <v>1573</v>
      </c>
      <c r="BM465" s="1" t="s">
        <v>5262</v>
      </c>
      <c r="BN465" s="1" t="s">
        <v>6862</v>
      </c>
      <c r="BO465" s="1" t="s">
        <v>1507</v>
      </c>
      <c r="BP465" s="1" t="s">
        <v>1507</v>
      </c>
      <c r="BQ465" s="1" t="s">
        <v>1507</v>
      </c>
      <c r="BR465" s="1" t="s">
        <v>1507</v>
      </c>
      <c r="BS465" s="1" t="s">
        <v>13744</v>
      </c>
      <c r="BT465" s="1" t="s">
        <v>6863</v>
      </c>
      <c r="BU465" s="1" t="str">
        <f>HYPERLINK("https%3A%2F%2Fwww.webofscience.com%2Fwos%2Fwoscc%2Ffull-record%2FWOS:000874615700007","View Full Record in Web of Science")</f>
        <v>View Full Record in Web of Science</v>
      </c>
    </row>
    <row r="466" spans="1:73" x14ac:dyDescent="0.25">
      <c r="A466" s="1">
        <v>514</v>
      </c>
      <c r="B466" s="1" t="s">
        <v>5546</v>
      </c>
      <c r="C466" s="1" t="s">
        <v>11457</v>
      </c>
      <c r="D466" s="1" t="s">
        <v>1507</v>
      </c>
      <c r="E466" s="1" t="s">
        <v>1507</v>
      </c>
      <c r="F466" s="1" t="s">
        <v>11458</v>
      </c>
      <c r="G466" s="1" t="s">
        <v>11459</v>
      </c>
      <c r="H466" s="1" t="s">
        <v>1507</v>
      </c>
      <c r="I466" s="1" t="s">
        <v>1507</v>
      </c>
      <c r="J466" s="1" t="s">
        <v>913</v>
      </c>
      <c r="K466" s="1" t="s">
        <v>11460</v>
      </c>
      <c r="L466" s="1" t="s">
        <v>11461</v>
      </c>
      <c r="M466" s="1" t="s">
        <v>1507</v>
      </c>
      <c r="N466" s="1" t="s">
        <v>42</v>
      </c>
      <c r="O466" s="1" t="s">
        <v>5552</v>
      </c>
      <c r="P466" s="1" t="s">
        <v>11462</v>
      </c>
      <c r="Q466" s="1" t="s">
        <v>11463</v>
      </c>
      <c r="R466" s="1" t="s">
        <v>11464</v>
      </c>
      <c r="S466" s="1" t="s">
        <v>1507</v>
      </c>
      <c r="T466" s="1" t="s">
        <v>11465</v>
      </c>
      <c r="U466" s="1" t="s">
        <v>1507</v>
      </c>
      <c r="V466" s="1" t="s">
        <v>1507</v>
      </c>
      <c r="W466" s="1" t="s">
        <v>11466</v>
      </c>
      <c r="X466" s="1" t="s">
        <v>11467</v>
      </c>
      <c r="Y466" s="1" t="s">
        <v>11468</v>
      </c>
      <c r="Z466" s="1" t="s">
        <v>11469</v>
      </c>
      <c r="AA466" s="1" t="s">
        <v>11470</v>
      </c>
      <c r="AB466" s="1" t="s">
        <v>1507</v>
      </c>
      <c r="AC466" s="1" t="s">
        <v>1507</v>
      </c>
      <c r="AD466" s="1" t="s">
        <v>11471</v>
      </c>
      <c r="AE466" s="1" t="s">
        <v>11472</v>
      </c>
      <c r="AF466" s="1" t="s">
        <v>11473</v>
      </c>
      <c r="AG466" s="1" t="s">
        <v>1507</v>
      </c>
      <c r="AH466" s="1">
        <v>22</v>
      </c>
      <c r="AI466" s="1">
        <v>1</v>
      </c>
      <c r="AJ466" s="1">
        <v>1</v>
      </c>
      <c r="AK466" s="1">
        <v>1</v>
      </c>
      <c r="AL466" s="1">
        <v>4</v>
      </c>
      <c r="AM466" s="1" t="s">
        <v>11474</v>
      </c>
      <c r="AN466" s="1" t="s">
        <v>1605</v>
      </c>
      <c r="AO466" s="1" t="s">
        <v>11475</v>
      </c>
      <c r="AP466" s="1" t="s">
        <v>11476</v>
      </c>
      <c r="AQ466" s="1" t="s">
        <v>11477</v>
      </c>
      <c r="AR466" s="1" t="s">
        <v>1507</v>
      </c>
      <c r="AS466" s="1" t="s">
        <v>11478</v>
      </c>
      <c r="AT466" s="1" t="s">
        <v>1507</v>
      </c>
      <c r="AU466" s="1" t="s">
        <v>1507</v>
      </c>
      <c r="AV466" s="1">
        <v>2019</v>
      </c>
      <c r="AW466" s="1">
        <v>1171</v>
      </c>
      <c r="AX466" s="1" t="s">
        <v>1507</v>
      </c>
      <c r="AY466" s="1" t="s">
        <v>1507</v>
      </c>
      <c r="AZ466" s="1" t="s">
        <v>1507</v>
      </c>
      <c r="BA466" s="1" t="s">
        <v>1507</v>
      </c>
      <c r="BB466" s="1" t="s">
        <v>1507</v>
      </c>
      <c r="BC466" s="1" t="s">
        <v>1507</v>
      </c>
      <c r="BD466" s="1" t="s">
        <v>1507</v>
      </c>
      <c r="BE466" s="1">
        <v>12004</v>
      </c>
      <c r="BF466" s="1" t="s">
        <v>915</v>
      </c>
      <c r="BG466" s="1" t="str">
        <f>HYPERLINK("http://dx.doi.org/10.1088/1742-6596/1171/1/012004","http://dx.doi.org/10.1088/1742-6596/1171/1/012004")</f>
        <v>http://dx.doi.org/10.1088/1742-6596/1171/1/012004</v>
      </c>
      <c r="BH466" s="1" t="s">
        <v>1507</v>
      </c>
      <c r="BI466" s="1" t="s">
        <v>1507</v>
      </c>
      <c r="BJ466" s="1">
        <v>8</v>
      </c>
      <c r="BK466" s="1" t="s">
        <v>11479</v>
      </c>
      <c r="BL466" s="1" t="s">
        <v>5570</v>
      </c>
      <c r="BM466" s="1" t="s">
        <v>11480</v>
      </c>
      <c r="BN466" s="1" t="s">
        <v>11481</v>
      </c>
      <c r="BO466" s="1" t="s">
        <v>1507</v>
      </c>
      <c r="BP466" s="1" t="s">
        <v>1531</v>
      </c>
      <c r="BQ466" s="1" t="s">
        <v>1507</v>
      </c>
      <c r="BR466" s="1" t="s">
        <v>1507</v>
      </c>
      <c r="BS466" s="1" t="s">
        <v>13744</v>
      </c>
      <c r="BT466" s="1" t="s">
        <v>11482</v>
      </c>
      <c r="BU466" s="1" t="str">
        <f>HYPERLINK("https%3A%2F%2Fwww.webofscience.com%2Fwos%2Fwoscc%2Ffull-record%2FWOS:000471118800004","View Full Record in Web of Science")</f>
        <v>View Full Record in Web of Science</v>
      </c>
    </row>
    <row r="467" spans="1:73" x14ac:dyDescent="0.25">
      <c r="A467" s="1">
        <v>515</v>
      </c>
      <c r="B467" s="1" t="s">
        <v>1506</v>
      </c>
      <c r="C467" s="1" t="s">
        <v>8278</v>
      </c>
      <c r="D467" s="1" t="s">
        <v>1507</v>
      </c>
      <c r="E467" s="1" t="s">
        <v>1507</v>
      </c>
      <c r="F467" s="1" t="s">
        <v>1507</v>
      </c>
      <c r="G467" s="1" t="s">
        <v>8279</v>
      </c>
      <c r="H467" s="1" t="s">
        <v>1507</v>
      </c>
      <c r="I467" s="1" t="s">
        <v>1507</v>
      </c>
      <c r="J467" s="1" t="s">
        <v>8280</v>
      </c>
      <c r="K467" s="1" t="s">
        <v>8281</v>
      </c>
      <c r="L467" s="1" t="s">
        <v>1507</v>
      </c>
      <c r="M467" s="1" t="s">
        <v>1507</v>
      </c>
      <c r="N467" s="1" t="s">
        <v>42</v>
      </c>
      <c r="O467" s="1" t="s">
        <v>56</v>
      </c>
      <c r="P467" s="1" t="s">
        <v>1507</v>
      </c>
      <c r="Q467" s="1" t="s">
        <v>1507</v>
      </c>
      <c r="R467" s="1" t="s">
        <v>1507</v>
      </c>
      <c r="S467" s="1" t="s">
        <v>1507</v>
      </c>
      <c r="T467" s="1" t="s">
        <v>1507</v>
      </c>
      <c r="U467" s="1" t="s">
        <v>8282</v>
      </c>
      <c r="V467" s="1" t="s">
        <v>8283</v>
      </c>
      <c r="W467" s="1" t="s">
        <v>8284</v>
      </c>
      <c r="X467" s="1" t="s">
        <v>8285</v>
      </c>
      <c r="Y467" s="1" t="s">
        <v>8286</v>
      </c>
      <c r="Z467" s="1" t="s">
        <v>8287</v>
      </c>
      <c r="AA467" s="1" t="s">
        <v>8288</v>
      </c>
      <c r="AB467" s="1" t="s">
        <v>1507</v>
      </c>
      <c r="AC467" s="1" t="s">
        <v>8289</v>
      </c>
      <c r="AD467" s="1" t="s">
        <v>8290</v>
      </c>
      <c r="AE467" s="1" t="s">
        <v>8290</v>
      </c>
      <c r="AF467" s="1" t="s">
        <v>8291</v>
      </c>
      <c r="AG467" s="1" t="s">
        <v>1507</v>
      </c>
      <c r="AH467" s="1">
        <v>78</v>
      </c>
      <c r="AI467" s="1">
        <v>10</v>
      </c>
      <c r="AJ467" s="1">
        <v>10</v>
      </c>
      <c r="AK467" s="1">
        <v>2</v>
      </c>
      <c r="AL467" s="1">
        <v>12</v>
      </c>
      <c r="AM467" s="1" t="s">
        <v>1586</v>
      </c>
      <c r="AN467" s="1" t="s">
        <v>1583</v>
      </c>
      <c r="AO467" s="1" t="s">
        <v>3684</v>
      </c>
      <c r="AP467" s="1" t="s">
        <v>8292</v>
      </c>
      <c r="AQ467" s="1" t="s">
        <v>8293</v>
      </c>
      <c r="AR467" s="1" t="s">
        <v>1507</v>
      </c>
      <c r="AS467" s="1" t="s">
        <v>8294</v>
      </c>
      <c r="AT467" s="1" t="s">
        <v>8295</v>
      </c>
      <c r="AU467" s="1" t="s">
        <v>12091</v>
      </c>
      <c r="AV467" s="1">
        <v>2021</v>
      </c>
      <c r="AW467" s="1">
        <v>68</v>
      </c>
      <c r="AX467" s="1">
        <v>8</v>
      </c>
      <c r="AY467" s="1" t="s">
        <v>1507</v>
      </c>
      <c r="AZ467" s="1" t="s">
        <v>1507</v>
      </c>
      <c r="BA467" s="1" t="s">
        <v>1507</v>
      </c>
      <c r="BB467" s="1" t="s">
        <v>1507</v>
      </c>
      <c r="BC467" s="1">
        <v>3342</v>
      </c>
      <c r="BD467" s="1">
        <v>3364</v>
      </c>
      <c r="BE467" s="1" t="s">
        <v>1507</v>
      </c>
      <c r="BF467" s="1" t="s">
        <v>8296</v>
      </c>
      <c r="BG467" s="1" t="str">
        <f>HYPERLINK("http://dx.doi.org/10.1016/j.asr.2021.06.034","http://dx.doi.org/10.1016/j.asr.2021.06.034")</f>
        <v>http://dx.doi.org/10.1016/j.asr.2021.06.034</v>
      </c>
      <c r="BH467" s="1" t="s">
        <v>1507</v>
      </c>
      <c r="BI467" s="1" t="s">
        <v>8271</v>
      </c>
      <c r="BJ467" s="1">
        <v>23</v>
      </c>
      <c r="BK467" s="1" t="s">
        <v>8297</v>
      </c>
      <c r="BL467" s="1" t="s">
        <v>1573</v>
      </c>
      <c r="BM467" s="1" t="s">
        <v>8298</v>
      </c>
      <c r="BN467" s="1" t="s">
        <v>8299</v>
      </c>
      <c r="BO467" s="1" t="s">
        <v>1507</v>
      </c>
      <c r="BP467" s="1" t="s">
        <v>1507</v>
      </c>
      <c r="BQ467" s="1" t="s">
        <v>1507</v>
      </c>
      <c r="BR467" s="1" t="s">
        <v>1507</v>
      </c>
      <c r="BS467" s="1" t="s">
        <v>13744</v>
      </c>
      <c r="BT467" s="1" t="s">
        <v>8300</v>
      </c>
      <c r="BU467" s="1" t="str">
        <f>HYPERLINK("https%3A%2F%2Fwww.webofscience.com%2Fwos%2Fwoscc%2Ffull-record%2FWOS:000688385400005","View Full Record in Web of Science")</f>
        <v>View Full Record in Web of Science</v>
      </c>
    </row>
    <row r="468" spans="1:73" x14ac:dyDescent="0.25">
      <c r="A468" s="1">
        <v>516</v>
      </c>
      <c r="B468" s="1" t="s">
        <v>5546</v>
      </c>
      <c r="C468" s="1" t="s">
        <v>7865</v>
      </c>
      <c r="D468" s="1" t="s">
        <v>1507</v>
      </c>
      <c r="E468" s="1" t="s">
        <v>1507</v>
      </c>
      <c r="F468" s="1" t="s">
        <v>7647</v>
      </c>
      <c r="G468" s="1" t="s">
        <v>7866</v>
      </c>
      <c r="H468" s="1" t="s">
        <v>1507</v>
      </c>
      <c r="I468" s="1" t="s">
        <v>1507</v>
      </c>
      <c r="J468" s="1" t="s">
        <v>7867</v>
      </c>
      <c r="K468" s="1" t="s">
        <v>7650</v>
      </c>
      <c r="L468" s="1" t="s">
        <v>1507</v>
      </c>
      <c r="M468" s="1" t="s">
        <v>1507</v>
      </c>
      <c r="N468" s="1" t="s">
        <v>42</v>
      </c>
      <c r="O468" s="1" t="s">
        <v>5552</v>
      </c>
      <c r="P468" s="1" t="s">
        <v>7651</v>
      </c>
      <c r="Q468" s="1" t="s">
        <v>7652</v>
      </c>
      <c r="R468" s="1" t="s">
        <v>7653</v>
      </c>
      <c r="S468" s="1" t="s">
        <v>7654</v>
      </c>
      <c r="T468" s="1" t="s">
        <v>1507</v>
      </c>
      <c r="U468" s="1" t="s">
        <v>1507</v>
      </c>
      <c r="V468" s="1" t="s">
        <v>1507</v>
      </c>
      <c r="W468" s="1" t="s">
        <v>7868</v>
      </c>
      <c r="X468" s="1" t="s">
        <v>7869</v>
      </c>
      <c r="Y468" s="1" t="s">
        <v>7870</v>
      </c>
      <c r="Z468" s="1" t="s">
        <v>7871</v>
      </c>
      <c r="AA468" s="1" t="s">
        <v>1507</v>
      </c>
      <c r="AB468" s="1" t="s">
        <v>15673</v>
      </c>
      <c r="AC468" s="1" t="s">
        <v>15674</v>
      </c>
      <c r="AD468" s="1" t="s">
        <v>7872</v>
      </c>
      <c r="AE468" s="1" t="s">
        <v>7873</v>
      </c>
      <c r="AF468" s="1" t="s">
        <v>7874</v>
      </c>
      <c r="AG468" s="1" t="s">
        <v>1507</v>
      </c>
      <c r="AH468" s="1">
        <v>19</v>
      </c>
      <c r="AI468" s="1">
        <v>0</v>
      </c>
      <c r="AJ468" s="1">
        <v>0</v>
      </c>
      <c r="AK468" s="1">
        <v>0</v>
      </c>
      <c r="AL468" s="1">
        <v>0</v>
      </c>
      <c r="AM468" s="1" t="s">
        <v>7663</v>
      </c>
      <c r="AN468" s="1" t="s">
        <v>7664</v>
      </c>
      <c r="AO468" s="1" t="s">
        <v>7665</v>
      </c>
      <c r="AP468" s="1" t="s">
        <v>1507</v>
      </c>
      <c r="AQ468" s="1" t="s">
        <v>1507</v>
      </c>
      <c r="AR468" s="1" t="s">
        <v>7666</v>
      </c>
      <c r="AS468" s="1" t="s">
        <v>1507</v>
      </c>
      <c r="AT468" s="1" t="s">
        <v>1507</v>
      </c>
      <c r="AU468" s="1" t="s">
        <v>1507</v>
      </c>
      <c r="AV468" s="1">
        <v>2022</v>
      </c>
      <c r="AW468" s="1" t="s">
        <v>1507</v>
      </c>
      <c r="AX468" s="1" t="s">
        <v>1507</v>
      </c>
      <c r="AY468" s="1" t="s">
        <v>1507</v>
      </c>
      <c r="AZ468" s="1" t="s">
        <v>1507</v>
      </c>
      <c r="BA468" s="1" t="s">
        <v>1507</v>
      </c>
      <c r="BB468" s="1" t="s">
        <v>1507</v>
      </c>
      <c r="BC468" s="1">
        <v>119</v>
      </c>
      <c r="BD468" s="1">
        <v>128</v>
      </c>
      <c r="BE468" s="1" t="s">
        <v>1507</v>
      </c>
      <c r="BF468" s="1" t="s">
        <v>1507</v>
      </c>
      <c r="BG468" s="1" t="s">
        <v>1507</v>
      </c>
      <c r="BH468" s="1" t="s">
        <v>1507</v>
      </c>
      <c r="BI468" s="1" t="s">
        <v>1507</v>
      </c>
      <c r="BJ468" s="1">
        <v>10</v>
      </c>
      <c r="BK468" s="1" t="s">
        <v>7667</v>
      </c>
      <c r="BL468" s="1" t="s">
        <v>5695</v>
      </c>
      <c r="BM468" s="1" t="s">
        <v>7668</v>
      </c>
      <c r="BN468" s="1" t="s">
        <v>7669</v>
      </c>
      <c r="BO468" s="1" t="s">
        <v>1507</v>
      </c>
      <c r="BP468" s="1" t="s">
        <v>1507</v>
      </c>
      <c r="BQ468" s="1" t="s">
        <v>1507</v>
      </c>
      <c r="BR468" s="1" t="s">
        <v>1507</v>
      </c>
      <c r="BS468" s="1" t="s">
        <v>13744</v>
      </c>
      <c r="BT468" s="1" t="s">
        <v>7875</v>
      </c>
      <c r="BU468" s="1" t="str">
        <f>HYPERLINK("https%3A%2F%2Fwww.webofscience.com%2Fwos%2Fwoscc%2Ffull-record%2FWOS:000846896600016","View Full Record in Web of Science")</f>
        <v>View Full Record in Web of Science</v>
      </c>
    </row>
    <row r="469" spans="1:73" x14ac:dyDescent="0.25">
      <c r="A469" s="1">
        <v>517</v>
      </c>
      <c r="B469" s="1" t="s">
        <v>1506</v>
      </c>
      <c r="C469" s="1" t="s">
        <v>11773</v>
      </c>
      <c r="D469" s="1" t="s">
        <v>1507</v>
      </c>
      <c r="E469" s="1" t="s">
        <v>1507</v>
      </c>
      <c r="F469" s="1" t="s">
        <v>1507</v>
      </c>
      <c r="G469" s="1" t="s">
        <v>11774</v>
      </c>
      <c r="H469" s="1" t="s">
        <v>1507</v>
      </c>
      <c r="I469" s="1" t="s">
        <v>1507</v>
      </c>
      <c r="J469" s="1" t="s">
        <v>11775</v>
      </c>
      <c r="K469" s="1" t="s">
        <v>11776</v>
      </c>
      <c r="L469" s="1" t="s">
        <v>1507</v>
      </c>
      <c r="M469" s="1" t="s">
        <v>1507</v>
      </c>
      <c r="N469" s="1" t="s">
        <v>42</v>
      </c>
      <c r="O469" s="1" t="s">
        <v>56</v>
      </c>
      <c r="P469" s="1" t="s">
        <v>1507</v>
      </c>
      <c r="Q469" s="1" t="s">
        <v>1507</v>
      </c>
      <c r="R469" s="1" t="s">
        <v>1507</v>
      </c>
      <c r="S469" s="1" t="s">
        <v>1507</v>
      </c>
      <c r="T469" s="1" t="s">
        <v>1507</v>
      </c>
      <c r="U469" s="1" t="s">
        <v>1507</v>
      </c>
      <c r="V469" s="1" t="s">
        <v>11777</v>
      </c>
      <c r="W469" s="1" t="s">
        <v>11778</v>
      </c>
      <c r="X469" s="1" t="s">
        <v>11779</v>
      </c>
      <c r="Y469" s="1" t="s">
        <v>16008</v>
      </c>
      <c r="Z469" s="1" t="s">
        <v>11780</v>
      </c>
      <c r="AA469" s="1" t="s">
        <v>11781</v>
      </c>
      <c r="AB469" s="1" t="s">
        <v>16009</v>
      </c>
      <c r="AC469" s="1" t="s">
        <v>16010</v>
      </c>
      <c r="AD469" s="1" t="s">
        <v>11782</v>
      </c>
      <c r="AE469" s="1" t="s">
        <v>11783</v>
      </c>
      <c r="AF469" s="1" t="s">
        <v>11784</v>
      </c>
      <c r="AG469" s="1" t="s">
        <v>1507</v>
      </c>
      <c r="AH469" s="1">
        <v>61</v>
      </c>
      <c r="AI469" s="1">
        <v>8</v>
      </c>
      <c r="AJ469" s="1">
        <v>8</v>
      </c>
      <c r="AK469" s="1">
        <v>1</v>
      </c>
      <c r="AL469" s="1">
        <v>22</v>
      </c>
      <c r="AM469" s="1" t="s">
        <v>11785</v>
      </c>
      <c r="AN469" s="1" t="s">
        <v>11786</v>
      </c>
      <c r="AO469" s="1" t="s">
        <v>11787</v>
      </c>
      <c r="AP469" s="1" t="s">
        <v>11788</v>
      </c>
      <c r="AQ469" s="1" t="s">
        <v>11789</v>
      </c>
      <c r="AR469" s="1" t="s">
        <v>1507</v>
      </c>
      <c r="AS469" s="1" t="s">
        <v>11790</v>
      </c>
      <c r="AT469" s="1" t="s">
        <v>11791</v>
      </c>
      <c r="AU469" s="1" t="s">
        <v>5045</v>
      </c>
      <c r="AV469" s="1">
        <v>2018</v>
      </c>
      <c r="AW469" s="1">
        <v>62</v>
      </c>
      <c r="AX469" s="1">
        <v>3</v>
      </c>
      <c r="AY469" s="1" t="s">
        <v>1507</v>
      </c>
      <c r="AZ469" s="1" t="s">
        <v>1507</v>
      </c>
      <c r="BA469" s="1" t="s">
        <v>1507</v>
      </c>
      <c r="BB469" s="1" t="s">
        <v>1507</v>
      </c>
      <c r="BC469" s="1">
        <v>739</v>
      </c>
      <c r="BD469" s="1">
        <v>752</v>
      </c>
      <c r="BE469" s="1" t="s">
        <v>1507</v>
      </c>
      <c r="BF469" s="1" t="s">
        <v>11792</v>
      </c>
      <c r="BG469" s="1" t="str">
        <f>HYPERLINK("http://dx.doi.org/10.1122/1.5017674","http://dx.doi.org/10.1122/1.5017674")</f>
        <v>http://dx.doi.org/10.1122/1.5017674</v>
      </c>
      <c r="BH469" s="1" t="s">
        <v>1507</v>
      </c>
      <c r="BI469" s="1" t="s">
        <v>1507</v>
      </c>
      <c r="BJ469" s="1">
        <v>14</v>
      </c>
      <c r="BK469" s="1" t="s">
        <v>1572</v>
      </c>
      <c r="BL469" s="1" t="s">
        <v>1573</v>
      </c>
      <c r="BM469" s="1" t="s">
        <v>1572</v>
      </c>
      <c r="BN469" s="1" t="s">
        <v>11793</v>
      </c>
      <c r="BO469" s="1" t="s">
        <v>1507</v>
      </c>
      <c r="BP469" s="1" t="s">
        <v>1507</v>
      </c>
      <c r="BQ469" s="1" t="s">
        <v>1507</v>
      </c>
      <c r="BR469" s="1" t="s">
        <v>1507</v>
      </c>
      <c r="BS469" s="1" t="s">
        <v>13744</v>
      </c>
      <c r="BT469" s="1" t="s">
        <v>11794</v>
      </c>
      <c r="BU469" s="1" t="str">
        <f>HYPERLINK("https%3A%2F%2Fwww.webofscience.com%2Fwos%2Fwoscc%2Ffull-record%2FWOS:000431351700006","View Full Record in Web of Science")</f>
        <v>View Full Record in Web of Science</v>
      </c>
    </row>
    <row r="470" spans="1:73" x14ac:dyDescent="0.25">
      <c r="A470" s="1">
        <v>518</v>
      </c>
      <c r="B470" s="1" t="s">
        <v>1506</v>
      </c>
      <c r="C470" s="1" t="s">
        <v>10164</v>
      </c>
      <c r="D470" s="1" t="s">
        <v>1507</v>
      </c>
      <c r="E470" s="1" t="s">
        <v>1507</v>
      </c>
      <c r="F470" s="1" t="s">
        <v>1507</v>
      </c>
      <c r="G470" s="1" t="s">
        <v>10165</v>
      </c>
      <c r="H470" s="1" t="s">
        <v>1507</v>
      </c>
      <c r="I470" s="1" t="s">
        <v>1507</v>
      </c>
      <c r="J470" s="1" t="s">
        <v>10166</v>
      </c>
      <c r="K470" s="1" t="s">
        <v>10167</v>
      </c>
      <c r="L470" s="1" t="s">
        <v>1507</v>
      </c>
      <c r="M470" s="1" t="s">
        <v>1507</v>
      </c>
      <c r="N470" s="1" t="s">
        <v>42</v>
      </c>
      <c r="O470" s="1" t="s">
        <v>56</v>
      </c>
      <c r="P470" s="1" t="s">
        <v>1507</v>
      </c>
      <c r="Q470" s="1" t="s">
        <v>1507</v>
      </c>
      <c r="R470" s="1" t="s">
        <v>1507</v>
      </c>
      <c r="S470" s="1" t="s">
        <v>1507</v>
      </c>
      <c r="T470" s="1" t="s">
        <v>1507</v>
      </c>
      <c r="U470" s="1" t="s">
        <v>1507</v>
      </c>
      <c r="V470" s="1" t="s">
        <v>10168</v>
      </c>
      <c r="W470" s="1" t="s">
        <v>10169</v>
      </c>
      <c r="X470" s="1" t="s">
        <v>10170</v>
      </c>
      <c r="Y470" s="1" t="s">
        <v>10171</v>
      </c>
      <c r="Z470" s="1" t="s">
        <v>10172</v>
      </c>
      <c r="AA470" s="1" t="s">
        <v>10173</v>
      </c>
      <c r="AB470" s="1" t="s">
        <v>10174</v>
      </c>
      <c r="AC470" s="1" t="s">
        <v>10175</v>
      </c>
      <c r="AD470" s="1" t="s">
        <v>1507</v>
      </c>
      <c r="AE470" s="1" t="s">
        <v>1507</v>
      </c>
      <c r="AF470" s="1" t="s">
        <v>1507</v>
      </c>
      <c r="AG470" s="1" t="s">
        <v>1507</v>
      </c>
      <c r="AH470" s="1">
        <v>33</v>
      </c>
      <c r="AI470" s="1">
        <v>7</v>
      </c>
      <c r="AJ470" s="1">
        <v>7</v>
      </c>
      <c r="AK470" s="1">
        <v>0</v>
      </c>
      <c r="AL470" s="1">
        <v>8</v>
      </c>
      <c r="AM470" s="1" t="s">
        <v>3156</v>
      </c>
      <c r="AN470" s="1" t="s">
        <v>3157</v>
      </c>
      <c r="AO470" s="1" t="s">
        <v>3158</v>
      </c>
      <c r="AP470" s="1" t="s">
        <v>10176</v>
      </c>
      <c r="AQ470" s="1" t="s">
        <v>10177</v>
      </c>
      <c r="AR470" s="1" t="s">
        <v>1507</v>
      </c>
      <c r="AS470" s="1" t="s">
        <v>10178</v>
      </c>
      <c r="AT470" s="1" t="s">
        <v>10179</v>
      </c>
      <c r="AU470" s="1" t="s">
        <v>9054</v>
      </c>
      <c r="AV470" s="1">
        <v>2020</v>
      </c>
      <c r="AW470" s="1">
        <v>46</v>
      </c>
      <c r="AX470" s="1">
        <v>2</v>
      </c>
      <c r="AY470" s="1" t="s">
        <v>1507</v>
      </c>
      <c r="AZ470" s="1" t="s">
        <v>1507</v>
      </c>
      <c r="BA470" s="1" t="s">
        <v>1507</v>
      </c>
      <c r="BB470" s="1" t="s">
        <v>1507</v>
      </c>
      <c r="BC470" s="1">
        <v>64</v>
      </c>
      <c r="BD470" s="1">
        <v>71</v>
      </c>
      <c r="BE470" s="1" t="s">
        <v>1507</v>
      </c>
      <c r="BF470" s="1" t="s">
        <v>10180</v>
      </c>
      <c r="BG470" s="1" t="str">
        <f>HYPERLINK("http://dx.doi.org/10.1016/j.jcjq.2019.11.004","http://dx.doi.org/10.1016/j.jcjq.2019.11.004")</f>
        <v>http://dx.doi.org/10.1016/j.jcjq.2019.11.004</v>
      </c>
      <c r="BH470" s="1" t="s">
        <v>1507</v>
      </c>
      <c r="BI470" s="1" t="s">
        <v>1507</v>
      </c>
      <c r="BJ470" s="1">
        <v>8</v>
      </c>
      <c r="BK470" s="1" t="s">
        <v>10181</v>
      </c>
      <c r="BL470" s="1" t="s">
        <v>1529</v>
      </c>
      <c r="BM470" s="1" t="s">
        <v>10181</v>
      </c>
      <c r="BN470" s="1" t="s">
        <v>10182</v>
      </c>
      <c r="BO470" s="1">
        <v>31899153</v>
      </c>
      <c r="BP470" s="1" t="s">
        <v>1507</v>
      </c>
      <c r="BQ470" s="1" t="s">
        <v>1507</v>
      </c>
      <c r="BR470" s="1" t="s">
        <v>1507</v>
      </c>
      <c r="BS470" s="1" t="s">
        <v>13744</v>
      </c>
      <c r="BT470" s="1" t="s">
        <v>10183</v>
      </c>
      <c r="BU470" s="1" t="str">
        <f>HYPERLINK("https%3A%2F%2Fwww.webofscience.com%2Fwos%2Fwoscc%2Ffull-record%2FWOS:000509577100002","View Full Record in Web of Science")</f>
        <v>View Full Record in Web of Science</v>
      </c>
    </row>
    <row r="471" spans="1:73" x14ac:dyDescent="0.25">
      <c r="A471" s="1">
        <v>519</v>
      </c>
      <c r="B471" s="1" t="s">
        <v>1506</v>
      </c>
      <c r="C471" s="1" t="s">
        <v>11795</v>
      </c>
      <c r="D471" s="1" t="s">
        <v>1507</v>
      </c>
      <c r="E471" s="1" t="s">
        <v>1507</v>
      </c>
      <c r="F471" s="1" t="s">
        <v>1507</v>
      </c>
      <c r="G471" s="1" t="s">
        <v>11796</v>
      </c>
      <c r="H471" s="1" t="s">
        <v>1507</v>
      </c>
      <c r="I471" s="1" t="s">
        <v>1507</v>
      </c>
      <c r="J471" s="1" t="s">
        <v>11797</v>
      </c>
      <c r="K471" s="1" t="s">
        <v>11798</v>
      </c>
      <c r="L471" s="1" t="s">
        <v>1507</v>
      </c>
      <c r="M471" s="1" t="s">
        <v>1507</v>
      </c>
      <c r="N471" s="1" t="s">
        <v>42</v>
      </c>
      <c r="O471" s="1" t="s">
        <v>56</v>
      </c>
      <c r="P471" s="1" t="s">
        <v>1507</v>
      </c>
      <c r="Q471" s="1" t="s">
        <v>1507</v>
      </c>
      <c r="R471" s="1" t="s">
        <v>1507</v>
      </c>
      <c r="S471" s="1" t="s">
        <v>1507</v>
      </c>
      <c r="T471" s="1" t="s">
        <v>1507</v>
      </c>
      <c r="U471" s="1" t="s">
        <v>11799</v>
      </c>
      <c r="V471" s="1" t="s">
        <v>11800</v>
      </c>
      <c r="W471" s="1" t="s">
        <v>11801</v>
      </c>
      <c r="X471" s="1" t="s">
        <v>11802</v>
      </c>
      <c r="Y471" s="1" t="s">
        <v>16011</v>
      </c>
      <c r="Z471" s="1" t="s">
        <v>11803</v>
      </c>
      <c r="AA471" s="1" t="s">
        <v>11804</v>
      </c>
      <c r="AB471" s="1" t="s">
        <v>16012</v>
      </c>
      <c r="AC471" s="1" t="s">
        <v>16013</v>
      </c>
      <c r="AD471" s="1" t="s">
        <v>11805</v>
      </c>
      <c r="AE471" s="1" t="s">
        <v>11806</v>
      </c>
      <c r="AF471" s="1" t="s">
        <v>11807</v>
      </c>
      <c r="AG471" s="1" t="s">
        <v>1507</v>
      </c>
      <c r="AH471" s="1">
        <v>36</v>
      </c>
      <c r="AI471" s="1">
        <v>17</v>
      </c>
      <c r="AJ471" s="1">
        <v>17</v>
      </c>
      <c r="AK471" s="1">
        <v>0</v>
      </c>
      <c r="AL471" s="1">
        <v>6</v>
      </c>
      <c r="AM471" s="1" t="s">
        <v>4284</v>
      </c>
      <c r="AN471" s="1" t="s">
        <v>4285</v>
      </c>
      <c r="AO471" s="1" t="s">
        <v>4286</v>
      </c>
      <c r="AP471" s="1" t="s">
        <v>11808</v>
      </c>
      <c r="AQ471" s="1" t="s">
        <v>11809</v>
      </c>
      <c r="AR471" s="1" t="s">
        <v>1507</v>
      </c>
      <c r="AS471" s="1" t="s">
        <v>11810</v>
      </c>
      <c r="AT471" s="1" t="s">
        <v>11811</v>
      </c>
      <c r="AU471" s="1" t="s">
        <v>5284</v>
      </c>
      <c r="AV471" s="1">
        <v>2018</v>
      </c>
      <c r="AW471" s="1">
        <v>66</v>
      </c>
      <c r="AX471" s="1">
        <v>6</v>
      </c>
      <c r="AY471" s="1" t="s">
        <v>1507</v>
      </c>
      <c r="AZ471" s="1" t="s">
        <v>1507</v>
      </c>
      <c r="BA471" s="1" t="s">
        <v>1507</v>
      </c>
      <c r="BB471" s="1" t="s">
        <v>1507</v>
      </c>
      <c r="BC471" s="1">
        <v>904</v>
      </c>
      <c r="BD471" s="1">
        <v>912</v>
      </c>
      <c r="BE471" s="1" t="s">
        <v>1507</v>
      </c>
      <c r="BF471" s="1" t="s">
        <v>11812</v>
      </c>
      <c r="BG471" s="1" t="str">
        <f>HYPERLINK("http://dx.doi.org/10.1093/cid/cix900","http://dx.doi.org/10.1093/cid/cix900")</f>
        <v>http://dx.doi.org/10.1093/cid/cix900</v>
      </c>
      <c r="BH471" s="1" t="s">
        <v>1507</v>
      </c>
      <c r="BI471" s="1" t="s">
        <v>1507</v>
      </c>
      <c r="BJ471" s="1">
        <v>9</v>
      </c>
      <c r="BK471" s="1" t="s">
        <v>11813</v>
      </c>
      <c r="BL471" s="1" t="s">
        <v>1573</v>
      </c>
      <c r="BM471" s="1" t="s">
        <v>11813</v>
      </c>
      <c r="BN471" s="1" t="s">
        <v>11814</v>
      </c>
      <c r="BO471" s="1">
        <v>29069368</v>
      </c>
      <c r="BP471" s="1" t="s">
        <v>3572</v>
      </c>
      <c r="BQ471" s="1" t="s">
        <v>1507</v>
      </c>
      <c r="BR471" s="1" t="s">
        <v>1507</v>
      </c>
      <c r="BS471" s="1" t="s">
        <v>13744</v>
      </c>
      <c r="BT471" s="1" t="s">
        <v>11815</v>
      </c>
      <c r="BU471" s="1" t="str">
        <f>HYPERLINK("https%3A%2F%2Fwww.webofscience.com%2Fwos%2Fwoscc%2Ffull-record%2FWOS:000426819800012","View Full Record in Web of Science")</f>
        <v>View Full Record in Web of Science</v>
      </c>
    </row>
    <row r="472" spans="1:73" x14ac:dyDescent="0.25">
      <c r="A472" s="1">
        <v>520</v>
      </c>
      <c r="B472" s="1" t="s">
        <v>5546</v>
      </c>
      <c r="C472" s="1" t="s">
        <v>6426</v>
      </c>
      <c r="D472" s="1" t="s">
        <v>1507</v>
      </c>
      <c r="E472" s="1" t="s">
        <v>6427</v>
      </c>
      <c r="F472" s="1" t="s">
        <v>1507</v>
      </c>
      <c r="G472" s="1" t="s">
        <v>6428</v>
      </c>
      <c r="H472" s="1" t="s">
        <v>1507</v>
      </c>
      <c r="I472" s="1" t="s">
        <v>1507</v>
      </c>
      <c r="J472" s="1" t="s">
        <v>6429</v>
      </c>
      <c r="K472" s="1" t="s">
        <v>6430</v>
      </c>
      <c r="L472" s="1" t="s">
        <v>6368</v>
      </c>
      <c r="M472" s="1" t="s">
        <v>1507</v>
      </c>
      <c r="N472" s="1" t="s">
        <v>42</v>
      </c>
      <c r="O472" s="1" t="s">
        <v>5552</v>
      </c>
      <c r="P472" s="1" t="s">
        <v>6431</v>
      </c>
      <c r="Q472" s="1" t="s">
        <v>6432</v>
      </c>
      <c r="R472" s="1" t="s">
        <v>6433</v>
      </c>
      <c r="S472" s="1" t="s">
        <v>6434</v>
      </c>
      <c r="T472" s="1" t="s">
        <v>6435</v>
      </c>
      <c r="U472" s="1" t="s">
        <v>1507</v>
      </c>
      <c r="V472" s="1" t="s">
        <v>1507</v>
      </c>
      <c r="W472" s="1" t="s">
        <v>6436</v>
      </c>
      <c r="X472" s="1" t="s">
        <v>6437</v>
      </c>
      <c r="Y472" s="1" t="s">
        <v>6438</v>
      </c>
      <c r="Z472" s="1" t="s">
        <v>6439</v>
      </c>
      <c r="AA472" s="1" t="s">
        <v>6440</v>
      </c>
      <c r="AB472" s="1" t="s">
        <v>1507</v>
      </c>
      <c r="AC472" s="1" t="s">
        <v>15369</v>
      </c>
      <c r="AD472" s="1" t="s">
        <v>1507</v>
      </c>
      <c r="AE472" s="1" t="s">
        <v>1507</v>
      </c>
      <c r="AF472" s="1" t="s">
        <v>1507</v>
      </c>
      <c r="AG472" s="1" t="s">
        <v>1507</v>
      </c>
      <c r="AH472" s="1">
        <v>34</v>
      </c>
      <c r="AI472" s="1">
        <v>0</v>
      </c>
      <c r="AJ472" s="1">
        <v>0</v>
      </c>
      <c r="AK472" s="1">
        <v>0</v>
      </c>
      <c r="AL472" s="1">
        <v>0</v>
      </c>
      <c r="AM472" s="1" t="s">
        <v>6221</v>
      </c>
      <c r="AN472" s="1" t="s">
        <v>6222</v>
      </c>
      <c r="AO472" s="1" t="s">
        <v>6223</v>
      </c>
      <c r="AP472" s="1" t="s">
        <v>6378</v>
      </c>
      <c r="AQ472" s="1" t="s">
        <v>6225</v>
      </c>
      <c r="AR472" s="1" t="s">
        <v>6441</v>
      </c>
      <c r="AS472" s="1" t="s">
        <v>6380</v>
      </c>
      <c r="AT472" s="1" t="s">
        <v>1507</v>
      </c>
      <c r="AU472" s="1" t="s">
        <v>1507</v>
      </c>
      <c r="AV472" s="1">
        <v>2023</v>
      </c>
      <c r="AW472" s="1">
        <v>14132</v>
      </c>
      <c r="AX472" s="1" t="s">
        <v>1507</v>
      </c>
      <c r="AY472" s="1" t="s">
        <v>1507</v>
      </c>
      <c r="AZ472" s="1" t="s">
        <v>1507</v>
      </c>
      <c r="BA472" s="1" t="s">
        <v>1507</v>
      </c>
      <c r="BB472" s="1" t="s">
        <v>1507</v>
      </c>
      <c r="BC472" s="1">
        <v>509</v>
      </c>
      <c r="BD472" s="1">
        <v>521</v>
      </c>
      <c r="BE472" s="1" t="s">
        <v>1507</v>
      </c>
      <c r="BF472" s="1" t="s">
        <v>6442</v>
      </c>
      <c r="BG472" s="1" t="str">
        <f>HYPERLINK("http://dx.doi.org/10.1007/978-3-031-38499-8_29","http://dx.doi.org/10.1007/978-3-031-38499-8_29")</f>
        <v>http://dx.doi.org/10.1007/978-3-031-38499-8_29</v>
      </c>
      <c r="BH472" s="1" t="s">
        <v>1507</v>
      </c>
      <c r="BI472" s="1" t="s">
        <v>1507</v>
      </c>
      <c r="BJ472" s="1">
        <v>13</v>
      </c>
      <c r="BK472" s="1" t="s">
        <v>6443</v>
      </c>
      <c r="BL472" s="1" t="s">
        <v>5570</v>
      </c>
      <c r="BM472" s="1" t="s">
        <v>3292</v>
      </c>
      <c r="BN472" s="1" t="s">
        <v>6444</v>
      </c>
      <c r="BO472" s="1" t="s">
        <v>1507</v>
      </c>
      <c r="BP472" s="1" t="s">
        <v>1537</v>
      </c>
      <c r="BQ472" s="1" t="s">
        <v>1507</v>
      </c>
      <c r="BR472" s="1" t="s">
        <v>1507</v>
      </c>
      <c r="BS472" s="1" t="s">
        <v>13744</v>
      </c>
      <c r="BT472" s="1" t="s">
        <v>6445</v>
      </c>
      <c r="BU472" s="1" t="str">
        <f>HYPERLINK("https%3A%2F%2Fwww.webofscience.com%2Fwos%2Fwoscc%2Ffull-record%2FWOS:001156342400027","View Full Record in Web of Science")</f>
        <v>View Full Record in Web of Science</v>
      </c>
    </row>
    <row r="473" spans="1:73" x14ac:dyDescent="0.25">
      <c r="A473" s="1">
        <v>521</v>
      </c>
      <c r="B473" s="1" t="s">
        <v>5546</v>
      </c>
      <c r="C473" s="1" t="s">
        <v>6446</v>
      </c>
      <c r="D473" s="1" t="s">
        <v>1507</v>
      </c>
      <c r="E473" s="1" t="s">
        <v>1507</v>
      </c>
      <c r="F473" s="1" t="s">
        <v>5628</v>
      </c>
      <c r="G473" s="1" t="s">
        <v>6447</v>
      </c>
      <c r="H473" s="1" t="s">
        <v>1507</v>
      </c>
      <c r="I473" s="1" t="s">
        <v>1507</v>
      </c>
      <c r="J473" s="1" t="s">
        <v>81</v>
      </c>
      <c r="K473" s="1" t="s">
        <v>6448</v>
      </c>
      <c r="L473" s="1" t="s">
        <v>6449</v>
      </c>
      <c r="M473" s="1" t="s">
        <v>1507</v>
      </c>
      <c r="N473" s="1" t="s">
        <v>42</v>
      </c>
      <c r="O473" s="1" t="s">
        <v>5552</v>
      </c>
      <c r="P473" s="1" t="s">
        <v>6450</v>
      </c>
      <c r="Q473" s="1" t="s">
        <v>6451</v>
      </c>
      <c r="R473" s="1" t="s">
        <v>5579</v>
      </c>
      <c r="S473" s="1" t="s">
        <v>6452</v>
      </c>
      <c r="T473" s="1" t="s">
        <v>1507</v>
      </c>
      <c r="U473" s="1" t="s">
        <v>1507</v>
      </c>
      <c r="V473" s="1" t="s">
        <v>1507</v>
      </c>
      <c r="W473" s="1" t="s">
        <v>6453</v>
      </c>
      <c r="X473" s="1" t="s">
        <v>6454</v>
      </c>
      <c r="Y473" s="1" t="s">
        <v>1507</v>
      </c>
      <c r="Z473" s="1" t="s">
        <v>6455</v>
      </c>
      <c r="AA473" s="1" t="s">
        <v>6456</v>
      </c>
      <c r="AB473" s="1" t="s">
        <v>15370</v>
      </c>
      <c r="AC473" s="1" t="s">
        <v>15371</v>
      </c>
      <c r="AD473" s="1" t="s">
        <v>1507</v>
      </c>
      <c r="AE473" s="1" t="s">
        <v>1507</v>
      </c>
      <c r="AF473" s="1" t="s">
        <v>1507</v>
      </c>
      <c r="AG473" s="1" t="s">
        <v>1507</v>
      </c>
      <c r="AH473" s="1">
        <v>22</v>
      </c>
      <c r="AI473" s="1">
        <v>0</v>
      </c>
      <c r="AJ473" s="1">
        <v>0</v>
      </c>
      <c r="AK473" s="1">
        <v>6</v>
      </c>
      <c r="AL473" s="1">
        <v>6</v>
      </c>
      <c r="AM473" s="1" t="s">
        <v>5628</v>
      </c>
      <c r="AN473" s="1" t="s">
        <v>1512</v>
      </c>
      <c r="AO473" s="1" t="s">
        <v>6457</v>
      </c>
      <c r="AP473" s="1" t="s">
        <v>6458</v>
      </c>
      <c r="AQ473" s="1" t="s">
        <v>1507</v>
      </c>
      <c r="AR473" s="1" t="s">
        <v>6459</v>
      </c>
      <c r="AS473" s="1" t="s">
        <v>6460</v>
      </c>
      <c r="AT473" s="1" t="s">
        <v>1507</v>
      </c>
      <c r="AU473" s="1" t="s">
        <v>1507</v>
      </c>
      <c r="AV473" s="1">
        <v>2023</v>
      </c>
      <c r="AW473" s="1" t="s">
        <v>1507</v>
      </c>
      <c r="AX473" s="1" t="s">
        <v>1507</v>
      </c>
      <c r="AY473" s="1" t="s">
        <v>1507</v>
      </c>
      <c r="AZ473" s="1" t="s">
        <v>1507</v>
      </c>
      <c r="BA473" s="1" t="s">
        <v>1507</v>
      </c>
      <c r="BB473" s="1" t="s">
        <v>1507</v>
      </c>
      <c r="BC473" s="1">
        <v>1357</v>
      </c>
      <c r="BD473" s="1">
        <v>1364</v>
      </c>
      <c r="BE473" s="1" t="s">
        <v>1507</v>
      </c>
      <c r="BF473" s="1" t="s">
        <v>83</v>
      </c>
      <c r="BG473" s="1" t="str">
        <f>HYPERLINK("http://dx.doi.org/10.1109/APSIPAASC58517.2023.10317226","http://dx.doi.org/10.1109/APSIPAASC58517.2023.10317226")</f>
        <v>http://dx.doi.org/10.1109/APSIPAASC58517.2023.10317226</v>
      </c>
      <c r="BH473" s="1" t="s">
        <v>1507</v>
      </c>
      <c r="BI473" s="1" t="s">
        <v>1507</v>
      </c>
      <c r="BJ473" s="1">
        <v>8</v>
      </c>
      <c r="BK473" s="1" t="s">
        <v>2230</v>
      </c>
      <c r="BL473" s="1" t="s">
        <v>5570</v>
      </c>
      <c r="BM473" s="1" t="s">
        <v>1577</v>
      </c>
      <c r="BN473" s="1" t="s">
        <v>6461</v>
      </c>
      <c r="BO473" s="1" t="s">
        <v>1507</v>
      </c>
      <c r="BP473" s="1" t="s">
        <v>1507</v>
      </c>
      <c r="BQ473" s="1" t="s">
        <v>1507</v>
      </c>
      <c r="BR473" s="1" t="s">
        <v>1507</v>
      </c>
      <c r="BS473" s="1" t="s">
        <v>13744</v>
      </c>
      <c r="BT473" s="1" t="s">
        <v>6462</v>
      </c>
      <c r="BU473" s="1" t="str">
        <f>HYPERLINK("https%3A%2F%2Fwww.webofscience.com%2Fwos%2Fwoscc%2Ffull-record%2FWOS:001108741800213","View Full Record in Web of Science")</f>
        <v>View Full Record in Web of Science</v>
      </c>
    </row>
    <row r="474" spans="1:73" x14ac:dyDescent="0.25">
      <c r="A474" s="1">
        <v>522</v>
      </c>
      <c r="B474" s="1" t="s">
        <v>1506</v>
      </c>
      <c r="C474" s="1" t="s">
        <v>3019</v>
      </c>
      <c r="D474" s="1" t="s">
        <v>1507</v>
      </c>
      <c r="E474" s="1" t="s">
        <v>1507</v>
      </c>
      <c r="F474" s="1" t="s">
        <v>1507</v>
      </c>
      <c r="G474" s="1" t="s">
        <v>3020</v>
      </c>
      <c r="H474" s="1" t="s">
        <v>1507</v>
      </c>
      <c r="I474" s="1" t="s">
        <v>1507</v>
      </c>
      <c r="J474" s="1" t="s">
        <v>3021</v>
      </c>
      <c r="K474" s="1" t="s">
        <v>3022</v>
      </c>
      <c r="L474" s="1" t="s">
        <v>1507</v>
      </c>
      <c r="M474" s="1" t="s">
        <v>1507</v>
      </c>
      <c r="N474" s="1" t="s">
        <v>42</v>
      </c>
      <c r="O474" s="1" t="s">
        <v>56</v>
      </c>
      <c r="P474" s="1" t="s">
        <v>1507</v>
      </c>
      <c r="Q474" s="1" t="s">
        <v>1507</v>
      </c>
      <c r="R474" s="1" t="s">
        <v>1507</v>
      </c>
      <c r="S474" s="1" t="s">
        <v>1507</v>
      </c>
      <c r="T474" s="1" t="s">
        <v>1507</v>
      </c>
      <c r="U474" s="1" t="s">
        <v>1507</v>
      </c>
      <c r="V474" s="1" t="s">
        <v>1507</v>
      </c>
      <c r="W474" s="1" t="s">
        <v>3023</v>
      </c>
      <c r="X474" s="1" t="s">
        <v>3024</v>
      </c>
      <c r="Y474" s="1" t="s">
        <v>14246</v>
      </c>
      <c r="Z474" s="1" t="s">
        <v>3025</v>
      </c>
      <c r="AA474" s="1" t="s">
        <v>3026</v>
      </c>
      <c r="AB474" s="1" t="s">
        <v>14247</v>
      </c>
      <c r="AC474" s="1" t="s">
        <v>14248</v>
      </c>
      <c r="AD474" s="1" t="s">
        <v>3027</v>
      </c>
      <c r="AE474" s="1" t="s">
        <v>3028</v>
      </c>
      <c r="AF474" s="1" t="s">
        <v>3029</v>
      </c>
      <c r="AG474" s="1" t="s">
        <v>1507</v>
      </c>
      <c r="AH474" s="1">
        <v>85</v>
      </c>
      <c r="AI474" s="1">
        <v>5</v>
      </c>
      <c r="AJ474" s="1">
        <v>5</v>
      </c>
      <c r="AK474" s="1">
        <v>32</v>
      </c>
      <c r="AL474" s="1">
        <v>32</v>
      </c>
      <c r="AM474" s="1" t="s">
        <v>1579</v>
      </c>
      <c r="AN474" s="1" t="s">
        <v>1580</v>
      </c>
      <c r="AO474" s="1" t="s">
        <v>1581</v>
      </c>
      <c r="AP474" s="1" t="s">
        <v>3030</v>
      </c>
      <c r="AQ474" s="1" t="s">
        <v>1507</v>
      </c>
      <c r="AR474" s="1" t="s">
        <v>1507</v>
      </c>
      <c r="AS474" s="1" t="s">
        <v>3031</v>
      </c>
      <c r="AT474" s="1" t="s">
        <v>3032</v>
      </c>
      <c r="AU474" s="1" t="s">
        <v>2191</v>
      </c>
      <c r="AV474" s="1">
        <v>2023</v>
      </c>
      <c r="AW474" s="1">
        <v>3</v>
      </c>
      <c r="AX474" s="1">
        <v>4</v>
      </c>
      <c r="AY474" s="1" t="s">
        <v>1507</v>
      </c>
      <c r="AZ474" s="1" t="s">
        <v>1507</v>
      </c>
      <c r="BA474" s="1" t="s">
        <v>1507</v>
      </c>
      <c r="BB474" s="1" t="s">
        <v>1507</v>
      </c>
      <c r="BC474" s="1" t="s">
        <v>1507</v>
      </c>
      <c r="BD474" s="1" t="s">
        <v>1507</v>
      </c>
      <c r="BE474" s="1">
        <v>100394</v>
      </c>
      <c r="BF474" s="1" t="s">
        <v>3033</v>
      </c>
      <c r="BG474" s="1" t="str">
        <f>HYPERLINK("http://dx.doi.org/10.1016/j.xops.2023.100394","http://dx.doi.org/10.1016/j.xops.2023.100394")</f>
        <v>http://dx.doi.org/10.1016/j.xops.2023.100394</v>
      </c>
      <c r="BH474" s="1" t="s">
        <v>1507</v>
      </c>
      <c r="BI474" s="1" t="s">
        <v>2891</v>
      </c>
      <c r="BJ474" s="1">
        <v>9</v>
      </c>
      <c r="BK474" s="1" t="s">
        <v>2739</v>
      </c>
      <c r="BL474" s="1" t="s">
        <v>1529</v>
      </c>
      <c r="BM474" s="1" t="s">
        <v>2739</v>
      </c>
      <c r="BN474" s="1" t="s">
        <v>3034</v>
      </c>
      <c r="BO474" s="1">
        <v>37885755</v>
      </c>
      <c r="BP474" s="1" t="s">
        <v>1952</v>
      </c>
      <c r="BQ474" s="1" t="s">
        <v>1507</v>
      </c>
      <c r="BR474" s="1" t="s">
        <v>1507</v>
      </c>
      <c r="BS474" s="1" t="s">
        <v>13744</v>
      </c>
      <c r="BT474" s="1" t="s">
        <v>3035</v>
      </c>
      <c r="BU474" s="1" t="str">
        <f>HYPERLINK("https%3A%2F%2Fwww.webofscience.com%2Fwos%2Fwoscc%2Ffull-record%2FWOS:001101673900001","View Full Record in Web of Science")</f>
        <v>View Full Record in Web of Science</v>
      </c>
    </row>
    <row r="475" spans="1:73" x14ac:dyDescent="0.25">
      <c r="A475" s="1">
        <v>523</v>
      </c>
      <c r="B475" s="1" t="s">
        <v>5546</v>
      </c>
      <c r="C475" s="1" t="s">
        <v>15372</v>
      </c>
      <c r="D475" s="1" t="s">
        <v>1507</v>
      </c>
      <c r="E475" s="1" t="s">
        <v>15373</v>
      </c>
      <c r="F475" s="1" t="s">
        <v>1507</v>
      </c>
      <c r="G475" s="1" t="s">
        <v>15374</v>
      </c>
      <c r="H475" s="1" t="s">
        <v>1507</v>
      </c>
      <c r="I475" s="1" t="s">
        <v>1507</v>
      </c>
      <c r="J475" s="1" t="s">
        <v>15375</v>
      </c>
      <c r="K475" s="1" t="s">
        <v>15376</v>
      </c>
      <c r="L475" s="1" t="s">
        <v>6208</v>
      </c>
      <c r="M475" s="1" t="s">
        <v>1507</v>
      </c>
      <c r="N475" s="1" t="s">
        <v>42</v>
      </c>
      <c r="O475" s="1" t="s">
        <v>5552</v>
      </c>
      <c r="P475" s="1" t="s">
        <v>15377</v>
      </c>
      <c r="Q475" s="1" t="s">
        <v>15378</v>
      </c>
      <c r="R475" s="1" t="s">
        <v>7763</v>
      </c>
      <c r="S475" s="1" t="s">
        <v>15379</v>
      </c>
      <c r="T475" s="1" t="s">
        <v>1507</v>
      </c>
      <c r="U475" s="1" t="s">
        <v>15380</v>
      </c>
      <c r="V475" s="1" t="s">
        <v>1507</v>
      </c>
      <c r="W475" s="1" t="s">
        <v>15381</v>
      </c>
      <c r="X475" s="1" t="s">
        <v>15382</v>
      </c>
      <c r="Y475" s="1" t="s">
        <v>15383</v>
      </c>
      <c r="Z475" s="1" t="s">
        <v>15384</v>
      </c>
      <c r="AA475" s="1" t="s">
        <v>15385</v>
      </c>
      <c r="AB475" s="1" t="s">
        <v>15386</v>
      </c>
      <c r="AC475" s="1" t="s">
        <v>15387</v>
      </c>
      <c r="AD475" s="1" t="s">
        <v>15388</v>
      </c>
      <c r="AE475" s="1" t="s">
        <v>15389</v>
      </c>
      <c r="AF475" s="1" t="s">
        <v>15390</v>
      </c>
      <c r="AG475" s="1" t="s">
        <v>1507</v>
      </c>
      <c r="AH475" s="1">
        <v>54</v>
      </c>
      <c r="AI475" s="1">
        <v>0</v>
      </c>
      <c r="AJ475" s="1">
        <v>0</v>
      </c>
      <c r="AK475" s="1">
        <v>4</v>
      </c>
      <c r="AL475" s="1">
        <v>4</v>
      </c>
      <c r="AM475" s="1" t="s">
        <v>6221</v>
      </c>
      <c r="AN475" s="1" t="s">
        <v>6222</v>
      </c>
      <c r="AO475" s="1" t="s">
        <v>6223</v>
      </c>
      <c r="AP475" s="1" t="s">
        <v>6224</v>
      </c>
      <c r="AQ475" s="1" t="s">
        <v>6225</v>
      </c>
      <c r="AR475" s="1" t="s">
        <v>15391</v>
      </c>
      <c r="AS475" s="1" t="s">
        <v>6227</v>
      </c>
      <c r="AT475" s="1" t="s">
        <v>1507</v>
      </c>
      <c r="AU475" s="1" t="s">
        <v>1507</v>
      </c>
      <c r="AV475" s="1">
        <v>2023</v>
      </c>
      <c r="AW475" s="1">
        <v>14265</v>
      </c>
      <c r="AX475" s="1" t="s">
        <v>1507</v>
      </c>
      <c r="AY475" s="1" t="s">
        <v>1507</v>
      </c>
      <c r="AZ475" s="1" t="s">
        <v>1507</v>
      </c>
      <c r="BA475" s="1" t="s">
        <v>1507</v>
      </c>
      <c r="BB475" s="1" t="s">
        <v>1507</v>
      </c>
      <c r="BC475" s="1">
        <v>348</v>
      </c>
      <c r="BD475" s="1">
        <v>367</v>
      </c>
      <c r="BE475" s="1" t="s">
        <v>1507</v>
      </c>
      <c r="BF475" s="1" t="s">
        <v>15392</v>
      </c>
      <c r="BG475" s="1" t="str">
        <f>HYPERLINK("http://dx.doi.org/10.1007/978-3-031-47240-4_19","http://dx.doi.org/10.1007/978-3-031-47240-4_19")</f>
        <v>http://dx.doi.org/10.1007/978-3-031-47240-4_19</v>
      </c>
      <c r="BH475" s="1" t="s">
        <v>1507</v>
      </c>
      <c r="BI475" s="1" t="s">
        <v>1507</v>
      </c>
      <c r="BJ475" s="1">
        <v>20</v>
      </c>
      <c r="BK475" s="1" t="s">
        <v>2230</v>
      </c>
      <c r="BL475" s="1" t="s">
        <v>5570</v>
      </c>
      <c r="BM475" s="1" t="s">
        <v>1577</v>
      </c>
      <c r="BN475" s="1" t="s">
        <v>15393</v>
      </c>
      <c r="BO475" s="1" t="s">
        <v>1507</v>
      </c>
      <c r="BP475" s="1" t="s">
        <v>1600</v>
      </c>
      <c r="BQ475" s="1" t="s">
        <v>1507</v>
      </c>
      <c r="BR475" s="1" t="s">
        <v>1507</v>
      </c>
      <c r="BS475" s="1" t="s">
        <v>13744</v>
      </c>
      <c r="BT475" s="1" t="s">
        <v>15394</v>
      </c>
      <c r="BU475" s="1" t="str">
        <f>HYPERLINK("https%3A%2F%2Fwww.webofscience.com%2Fwos%2Fwoscc%2Ffull-record%2FWOS:001160736700019","View Full Record in Web of Science")</f>
        <v>View Full Record in Web of Science</v>
      </c>
    </row>
    <row r="476" spans="1:73" x14ac:dyDescent="0.25">
      <c r="A476" s="1">
        <v>524</v>
      </c>
      <c r="B476" s="1" t="s">
        <v>5546</v>
      </c>
      <c r="C476" s="1" t="s">
        <v>15395</v>
      </c>
      <c r="D476" s="1" t="s">
        <v>1507</v>
      </c>
      <c r="E476" s="1" t="s">
        <v>1507</v>
      </c>
      <c r="F476" s="1" t="s">
        <v>5628</v>
      </c>
      <c r="G476" s="1" t="s">
        <v>15396</v>
      </c>
      <c r="H476" s="1" t="s">
        <v>1507</v>
      </c>
      <c r="I476" s="1" t="s">
        <v>1507</v>
      </c>
      <c r="J476" s="1" t="s">
        <v>15397</v>
      </c>
      <c r="K476" s="1" t="s">
        <v>15398</v>
      </c>
      <c r="L476" s="1" t="s">
        <v>15399</v>
      </c>
      <c r="M476" s="1" t="s">
        <v>1507</v>
      </c>
      <c r="N476" s="1" t="s">
        <v>42</v>
      </c>
      <c r="O476" s="1" t="s">
        <v>5552</v>
      </c>
      <c r="P476" s="1" t="s">
        <v>15400</v>
      </c>
      <c r="Q476" s="1" t="s">
        <v>15401</v>
      </c>
      <c r="R476" s="1" t="s">
        <v>15402</v>
      </c>
      <c r="S476" s="1" t="s">
        <v>15403</v>
      </c>
      <c r="T476" s="1" t="s">
        <v>1507</v>
      </c>
      <c r="U476" s="1" t="s">
        <v>1507</v>
      </c>
      <c r="V476" s="1" t="s">
        <v>2202</v>
      </c>
      <c r="W476" s="1" t="s">
        <v>15404</v>
      </c>
      <c r="X476" s="1" t="s">
        <v>15405</v>
      </c>
      <c r="Y476" s="1" t="s">
        <v>15406</v>
      </c>
      <c r="Z476" s="1" t="s">
        <v>15407</v>
      </c>
      <c r="AA476" s="1" t="s">
        <v>15408</v>
      </c>
      <c r="AB476" s="1" t="s">
        <v>1507</v>
      </c>
      <c r="AC476" s="1" t="s">
        <v>1507</v>
      </c>
      <c r="AD476" s="1" t="s">
        <v>15409</v>
      </c>
      <c r="AE476" s="1" t="s">
        <v>15410</v>
      </c>
      <c r="AF476" s="1" t="s">
        <v>15411</v>
      </c>
      <c r="AG476" s="1" t="s">
        <v>1507</v>
      </c>
      <c r="AH476" s="1">
        <v>65</v>
      </c>
      <c r="AI476" s="1">
        <v>0</v>
      </c>
      <c r="AJ476" s="1">
        <v>0</v>
      </c>
      <c r="AK476" s="1">
        <v>0</v>
      </c>
      <c r="AL476" s="1">
        <v>0</v>
      </c>
      <c r="AM476" s="1" t="s">
        <v>5645</v>
      </c>
      <c r="AN476" s="1" t="s">
        <v>5646</v>
      </c>
      <c r="AO476" s="1" t="s">
        <v>5647</v>
      </c>
      <c r="AP476" s="1" t="s">
        <v>15412</v>
      </c>
      <c r="AQ476" s="1" t="s">
        <v>1507</v>
      </c>
      <c r="AR476" s="1" t="s">
        <v>15413</v>
      </c>
      <c r="AS476" s="1" t="s">
        <v>15414</v>
      </c>
      <c r="AT476" s="1" t="s">
        <v>1507</v>
      </c>
      <c r="AU476" s="1" t="s">
        <v>1507</v>
      </c>
      <c r="AV476" s="1">
        <v>2023</v>
      </c>
      <c r="AW476" s="1" t="s">
        <v>1507</v>
      </c>
      <c r="AX476" s="1" t="s">
        <v>1507</v>
      </c>
      <c r="AY476" s="1" t="s">
        <v>1507</v>
      </c>
      <c r="AZ476" s="1" t="s">
        <v>1507</v>
      </c>
      <c r="BA476" s="1" t="s">
        <v>1507</v>
      </c>
      <c r="BB476" s="1" t="s">
        <v>1507</v>
      </c>
      <c r="BC476" s="1">
        <v>3045</v>
      </c>
      <c r="BD476" s="1">
        <v>3055</v>
      </c>
      <c r="BE476" s="1" t="s">
        <v>1507</v>
      </c>
      <c r="BF476" s="1" t="s">
        <v>15415</v>
      </c>
      <c r="BG476" s="1" t="str">
        <f>HYPERLINK("http://dx.doi.org/10.1109/ICCV51070.2023.00285","http://dx.doi.org/10.1109/ICCV51070.2023.00285")</f>
        <v>http://dx.doi.org/10.1109/ICCV51070.2023.00285</v>
      </c>
      <c r="BH476" s="1" t="s">
        <v>1507</v>
      </c>
      <c r="BI476" s="1" t="s">
        <v>1507</v>
      </c>
      <c r="BJ476" s="1">
        <v>11</v>
      </c>
      <c r="BK476" s="1" t="s">
        <v>15416</v>
      </c>
      <c r="BL476" s="1" t="s">
        <v>5570</v>
      </c>
      <c r="BM476" s="1" t="s">
        <v>7841</v>
      </c>
      <c r="BN476" s="1" t="s">
        <v>15417</v>
      </c>
      <c r="BO476" s="1" t="s">
        <v>1507</v>
      </c>
      <c r="BP476" s="1" t="s">
        <v>1600</v>
      </c>
      <c r="BQ476" s="1" t="s">
        <v>1507</v>
      </c>
      <c r="BR476" s="1" t="s">
        <v>1507</v>
      </c>
      <c r="BS476" s="1" t="s">
        <v>13744</v>
      </c>
      <c r="BT476" s="1" t="s">
        <v>15418</v>
      </c>
      <c r="BU476" s="1" t="str">
        <f>HYPERLINK("https%3A%2F%2Fwww.webofscience.com%2Fwos%2Fwoscc%2Ffull-record%2FWOS:001159644303028","View Full Record in Web of Science")</f>
        <v>View Full Record in Web of Science</v>
      </c>
    </row>
    <row r="477" spans="1:73" x14ac:dyDescent="0.25">
      <c r="A477" s="1">
        <v>525</v>
      </c>
      <c r="B477" s="1" t="s">
        <v>1506</v>
      </c>
      <c r="C477" s="1" t="s">
        <v>6889</v>
      </c>
      <c r="D477" s="1" t="s">
        <v>1507</v>
      </c>
      <c r="E477" s="1" t="s">
        <v>1507</v>
      </c>
      <c r="F477" s="1" t="s">
        <v>1507</v>
      </c>
      <c r="G477" s="1" t="s">
        <v>6890</v>
      </c>
      <c r="H477" s="1" t="s">
        <v>1507</v>
      </c>
      <c r="I477" s="1" t="s">
        <v>1507</v>
      </c>
      <c r="J477" s="1" t="s">
        <v>6891</v>
      </c>
      <c r="K477" s="1" t="s">
        <v>6892</v>
      </c>
      <c r="L477" s="1" t="s">
        <v>1507</v>
      </c>
      <c r="M477" s="1" t="s">
        <v>1507</v>
      </c>
      <c r="N477" s="1" t="s">
        <v>42</v>
      </c>
      <c r="O477" s="1" t="s">
        <v>56</v>
      </c>
      <c r="P477" s="1" t="s">
        <v>1507</v>
      </c>
      <c r="Q477" s="1" t="s">
        <v>1507</v>
      </c>
      <c r="R477" s="1" t="s">
        <v>1507</v>
      </c>
      <c r="S477" s="1" t="s">
        <v>1507</v>
      </c>
      <c r="T477" s="1" t="s">
        <v>1507</v>
      </c>
      <c r="U477" s="1" t="s">
        <v>6893</v>
      </c>
      <c r="V477" s="1" t="s">
        <v>6894</v>
      </c>
      <c r="W477" s="1" t="s">
        <v>6895</v>
      </c>
      <c r="X477" s="1" t="s">
        <v>6896</v>
      </c>
      <c r="Y477" s="1" t="s">
        <v>6897</v>
      </c>
      <c r="Z477" s="1" t="s">
        <v>6898</v>
      </c>
      <c r="AA477" s="1" t="s">
        <v>6899</v>
      </c>
      <c r="AB477" s="1" t="s">
        <v>6900</v>
      </c>
      <c r="AC477" s="1" t="s">
        <v>6901</v>
      </c>
      <c r="AD477" s="1" t="s">
        <v>6902</v>
      </c>
      <c r="AE477" s="1" t="s">
        <v>6903</v>
      </c>
      <c r="AF477" s="1" t="s">
        <v>6904</v>
      </c>
      <c r="AG477" s="1" t="s">
        <v>1507</v>
      </c>
      <c r="AH477" s="1">
        <v>79</v>
      </c>
      <c r="AI477" s="1">
        <v>8</v>
      </c>
      <c r="AJ477" s="1">
        <v>8</v>
      </c>
      <c r="AK477" s="1">
        <v>19</v>
      </c>
      <c r="AL477" s="1">
        <v>86</v>
      </c>
      <c r="AM477" s="1" t="s">
        <v>2372</v>
      </c>
      <c r="AN477" s="1" t="s">
        <v>2300</v>
      </c>
      <c r="AO477" s="1" t="s">
        <v>2373</v>
      </c>
      <c r="AP477" s="1" t="s">
        <v>6905</v>
      </c>
      <c r="AQ477" s="1" t="s">
        <v>6906</v>
      </c>
      <c r="AR477" s="1" t="s">
        <v>1507</v>
      </c>
      <c r="AS477" s="1" t="s">
        <v>6907</v>
      </c>
      <c r="AT477" s="1" t="s">
        <v>6908</v>
      </c>
      <c r="AU477" s="1" t="s">
        <v>15563</v>
      </c>
      <c r="AV477" s="1">
        <v>2022</v>
      </c>
      <c r="AW477" s="1">
        <v>56</v>
      </c>
      <c r="AX477" s="1">
        <v>19</v>
      </c>
      <c r="AY477" s="1" t="s">
        <v>1507</v>
      </c>
      <c r="AZ477" s="1" t="s">
        <v>1507</v>
      </c>
      <c r="BA477" s="1" t="s">
        <v>1507</v>
      </c>
      <c r="BB477" s="1" t="s">
        <v>1507</v>
      </c>
      <c r="BC477" s="1">
        <v>14133</v>
      </c>
      <c r="BD477" s="1">
        <v>14145</v>
      </c>
      <c r="BE477" s="1" t="s">
        <v>1507</v>
      </c>
      <c r="BF477" s="1" t="s">
        <v>6909</v>
      </c>
      <c r="BG477" s="1" t="str">
        <f>HYPERLINK("http://dx.doi.org/10.1021/acs.est.2c01973","http://dx.doi.org/10.1021/acs.est.2c01973")</f>
        <v>http://dx.doi.org/10.1021/acs.est.2c01973</v>
      </c>
      <c r="BH477" s="1" t="s">
        <v>1507</v>
      </c>
      <c r="BI477" s="1" t="s">
        <v>6910</v>
      </c>
      <c r="BJ477" s="1">
        <v>13</v>
      </c>
      <c r="BK477" s="1" t="s">
        <v>2613</v>
      </c>
      <c r="BL477" s="1" t="s">
        <v>1573</v>
      </c>
      <c r="BM477" s="1" t="s">
        <v>2614</v>
      </c>
      <c r="BN477" s="1" t="s">
        <v>6911</v>
      </c>
      <c r="BO477" s="1">
        <v>36108131</v>
      </c>
      <c r="BP477" s="1" t="s">
        <v>1507</v>
      </c>
      <c r="BQ477" s="1" t="s">
        <v>1507</v>
      </c>
      <c r="BR477" s="1" t="s">
        <v>1507</v>
      </c>
      <c r="BS477" s="1" t="s">
        <v>13744</v>
      </c>
      <c r="BT477" s="1" t="s">
        <v>6912</v>
      </c>
      <c r="BU477" s="1" t="str">
        <f>HYPERLINK("https%3A%2F%2Fwww.webofscience.com%2Fwos%2Fwoscc%2Ffull-record%2FWOS:000861929900001","View Full Record in Web of Science")</f>
        <v>View Full Record in Web of Science</v>
      </c>
    </row>
    <row r="478" spans="1:73" x14ac:dyDescent="0.25">
      <c r="A478" s="1">
        <v>526</v>
      </c>
      <c r="B478" s="1" t="s">
        <v>1506</v>
      </c>
      <c r="C478" s="1" t="s">
        <v>9368</v>
      </c>
      <c r="D478" s="1" t="s">
        <v>1507</v>
      </c>
      <c r="E478" s="1" t="s">
        <v>1507</v>
      </c>
      <c r="F478" s="1" t="s">
        <v>1507</v>
      </c>
      <c r="G478" s="1" t="s">
        <v>9369</v>
      </c>
      <c r="H478" s="1" t="s">
        <v>1507</v>
      </c>
      <c r="I478" s="1" t="s">
        <v>1507</v>
      </c>
      <c r="J478" s="1" t="s">
        <v>9370</v>
      </c>
      <c r="K478" s="1" t="s">
        <v>9371</v>
      </c>
      <c r="L478" s="1" t="s">
        <v>1507</v>
      </c>
      <c r="M478" s="1" t="s">
        <v>1507</v>
      </c>
      <c r="N478" s="1" t="s">
        <v>42</v>
      </c>
      <c r="O478" s="1" t="s">
        <v>56</v>
      </c>
      <c r="P478" s="1" t="s">
        <v>1507</v>
      </c>
      <c r="Q478" s="1" t="s">
        <v>1507</v>
      </c>
      <c r="R478" s="1" t="s">
        <v>1507</v>
      </c>
      <c r="S478" s="1" t="s">
        <v>1507</v>
      </c>
      <c r="T478" s="1" t="s">
        <v>1507</v>
      </c>
      <c r="U478" s="1" t="s">
        <v>1507</v>
      </c>
      <c r="V478" s="1" t="s">
        <v>9372</v>
      </c>
      <c r="W478" s="1" t="s">
        <v>9373</v>
      </c>
      <c r="X478" s="1" t="s">
        <v>9374</v>
      </c>
      <c r="Y478" s="1" t="s">
        <v>9375</v>
      </c>
      <c r="Z478" s="1" t="s">
        <v>9376</v>
      </c>
      <c r="AA478" s="1" t="s">
        <v>9377</v>
      </c>
      <c r="AB478" s="1" t="s">
        <v>9378</v>
      </c>
      <c r="AC478" s="1" t="s">
        <v>15786</v>
      </c>
      <c r="AD478" s="1" t="s">
        <v>9379</v>
      </c>
      <c r="AE478" s="1" t="s">
        <v>9380</v>
      </c>
      <c r="AF478" s="1" t="s">
        <v>9381</v>
      </c>
      <c r="AG478" s="1" t="s">
        <v>1507</v>
      </c>
      <c r="AH478" s="1">
        <v>36</v>
      </c>
      <c r="AI478" s="1">
        <v>31</v>
      </c>
      <c r="AJ478" s="1">
        <v>32</v>
      </c>
      <c r="AK478" s="1">
        <v>5</v>
      </c>
      <c r="AL478" s="1">
        <v>57</v>
      </c>
      <c r="AM478" s="1" t="s">
        <v>2372</v>
      </c>
      <c r="AN478" s="1" t="s">
        <v>2300</v>
      </c>
      <c r="AO478" s="1" t="s">
        <v>2373</v>
      </c>
      <c r="AP478" s="1" t="s">
        <v>9382</v>
      </c>
      <c r="AQ478" s="1" t="s">
        <v>9383</v>
      </c>
      <c r="AR478" s="1" t="s">
        <v>1507</v>
      </c>
      <c r="AS478" s="1" t="s">
        <v>9384</v>
      </c>
      <c r="AT478" s="1" t="s">
        <v>9385</v>
      </c>
      <c r="AU478" s="1" t="s">
        <v>2101</v>
      </c>
      <c r="AV478" s="1">
        <v>2020</v>
      </c>
      <c r="AW478" s="1">
        <v>59</v>
      </c>
      <c r="AX478" s="1">
        <v>23</v>
      </c>
      <c r="AY478" s="1" t="s">
        <v>1507</v>
      </c>
      <c r="AZ478" s="1" t="s">
        <v>1507</v>
      </c>
      <c r="BA478" s="1" t="s">
        <v>1507</v>
      </c>
      <c r="BB478" s="1" t="s">
        <v>1507</v>
      </c>
      <c r="BC478" s="1">
        <v>17766</v>
      </c>
      <c r="BD478" s="1">
        <v>17774</v>
      </c>
      <c r="BE478" s="1" t="s">
        <v>1507</v>
      </c>
      <c r="BF478" s="1" t="s">
        <v>9386</v>
      </c>
      <c r="BG478" s="1" t="str">
        <f>HYPERLINK("http://dx.doi.org/10.1021/acs.inorgchem.0c03014","http://dx.doi.org/10.1021/acs.inorgchem.0c03014")</f>
        <v>http://dx.doi.org/10.1021/acs.inorgchem.0c03014</v>
      </c>
      <c r="BH478" s="1" t="s">
        <v>1507</v>
      </c>
      <c r="BI478" s="1" t="s">
        <v>1507</v>
      </c>
      <c r="BJ478" s="1">
        <v>9</v>
      </c>
      <c r="BK478" s="1" t="s">
        <v>9387</v>
      </c>
      <c r="BL478" s="1" t="s">
        <v>1573</v>
      </c>
      <c r="BM478" s="1" t="s">
        <v>2380</v>
      </c>
      <c r="BN478" s="1" t="s">
        <v>9388</v>
      </c>
      <c r="BO478" s="1">
        <v>33198458</v>
      </c>
      <c r="BP478" s="1" t="s">
        <v>1507</v>
      </c>
      <c r="BQ478" s="1" t="s">
        <v>1507</v>
      </c>
      <c r="BR478" s="1" t="s">
        <v>1507</v>
      </c>
      <c r="BS478" s="1" t="s">
        <v>13744</v>
      </c>
      <c r="BT478" s="1" t="s">
        <v>9389</v>
      </c>
      <c r="BU478" s="1" t="str">
        <f>HYPERLINK("https%3A%2F%2Fwww.webofscience.com%2Fwos%2Fwoscc%2Ffull-record%2FWOS:000599190300105","View Full Record in Web of Science")</f>
        <v>View Full Record in Web of Science</v>
      </c>
    </row>
    <row r="479" spans="1:73" x14ac:dyDescent="0.25">
      <c r="A479" s="1">
        <v>527</v>
      </c>
      <c r="B479" s="1" t="s">
        <v>1506</v>
      </c>
      <c r="C479" s="1" t="s">
        <v>2311</v>
      </c>
      <c r="D479" s="1" t="s">
        <v>1507</v>
      </c>
      <c r="E479" s="1" t="s">
        <v>1507</v>
      </c>
      <c r="F479" s="1" t="s">
        <v>1507</v>
      </c>
      <c r="G479" s="1" t="s">
        <v>2312</v>
      </c>
      <c r="H479" s="1" t="s">
        <v>1507</v>
      </c>
      <c r="I479" s="1" t="s">
        <v>1507</v>
      </c>
      <c r="J479" s="1" t="s">
        <v>243</v>
      </c>
      <c r="K479" s="1" t="s">
        <v>2200</v>
      </c>
      <c r="L479" s="1" t="s">
        <v>1507</v>
      </c>
      <c r="M479" s="1" t="s">
        <v>1507</v>
      </c>
      <c r="N479" s="1" t="s">
        <v>42</v>
      </c>
      <c r="O479" s="1" t="s">
        <v>56</v>
      </c>
      <c r="P479" s="1" t="s">
        <v>1507</v>
      </c>
      <c r="Q479" s="1" t="s">
        <v>1507</v>
      </c>
      <c r="R479" s="1" t="s">
        <v>1507</v>
      </c>
      <c r="S479" s="1" t="s">
        <v>1507</v>
      </c>
      <c r="T479" s="1" t="s">
        <v>1507</v>
      </c>
      <c r="U479" s="1" t="s">
        <v>2313</v>
      </c>
      <c r="V479" s="1" t="s">
        <v>1507</v>
      </c>
      <c r="W479" s="1" t="s">
        <v>2314</v>
      </c>
      <c r="X479" s="1" t="s">
        <v>2315</v>
      </c>
      <c r="Y479" s="1" t="s">
        <v>13938</v>
      </c>
      <c r="Z479" s="1" t="s">
        <v>2316</v>
      </c>
      <c r="AA479" s="1" t="s">
        <v>2317</v>
      </c>
      <c r="AB479" s="1" t="s">
        <v>13939</v>
      </c>
      <c r="AC479" s="1" t="s">
        <v>13940</v>
      </c>
      <c r="AD479" s="1" t="s">
        <v>2318</v>
      </c>
      <c r="AE479" s="1" t="s">
        <v>2318</v>
      </c>
      <c r="AF479" s="1" t="s">
        <v>1510</v>
      </c>
      <c r="AG479" s="1" t="s">
        <v>1507</v>
      </c>
      <c r="AH479" s="1">
        <v>22</v>
      </c>
      <c r="AI479" s="1">
        <v>1</v>
      </c>
      <c r="AJ479" s="1">
        <v>1</v>
      </c>
      <c r="AK479" s="1">
        <v>3</v>
      </c>
      <c r="AL479" s="1">
        <v>3</v>
      </c>
      <c r="AM479" s="1" t="s">
        <v>1610</v>
      </c>
      <c r="AN479" s="1" t="s">
        <v>1611</v>
      </c>
      <c r="AO479" s="1" t="s">
        <v>1612</v>
      </c>
      <c r="AP479" s="1" t="s">
        <v>1507</v>
      </c>
      <c r="AQ479" s="1" t="s">
        <v>2211</v>
      </c>
      <c r="AR479" s="1" t="s">
        <v>1507</v>
      </c>
      <c r="AS479" s="1" t="s">
        <v>2200</v>
      </c>
      <c r="AT479" s="1" t="s">
        <v>2212</v>
      </c>
      <c r="AU479" s="1" t="s">
        <v>2191</v>
      </c>
      <c r="AV479" s="1">
        <v>2023</v>
      </c>
      <c r="AW479" s="1">
        <v>10</v>
      </c>
      <c r="AX479" s="1">
        <v>4</v>
      </c>
      <c r="AY479" s="1" t="s">
        <v>1507</v>
      </c>
      <c r="AZ479" s="1" t="s">
        <v>1507</v>
      </c>
      <c r="BA479" s="1" t="s">
        <v>1507</v>
      </c>
      <c r="BB479" s="1" t="s">
        <v>1507</v>
      </c>
      <c r="BC479" s="1" t="s">
        <v>1507</v>
      </c>
      <c r="BD479" s="1" t="s">
        <v>1507</v>
      </c>
      <c r="BE479" s="1">
        <v>81</v>
      </c>
      <c r="BF479" s="1" t="s">
        <v>245</v>
      </c>
      <c r="BG479" s="1" t="str">
        <f>HYPERLINK("http://dx.doi.org/10.3390/informatics10040081","http://dx.doi.org/10.3390/informatics10040081")</f>
        <v>http://dx.doi.org/10.3390/informatics10040081</v>
      </c>
      <c r="BH479" s="1" t="s">
        <v>1507</v>
      </c>
      <c r="BI479" s="1" t="s">
        <v>1507</v>
      </c>
      <c r="BJ479" s="1">
        <v>21</v>
      </c>
      <c r="BK479" s="1" t="s">
        <v>2214</v>
      </c>
      <c r="BL479" s="1" t="s">
        <v>1529</v>
      </c>
      <c r="BM479" s="1" t="s">
        <v>1577</v>
      </c>
      <c r="BN479" s="1" t="s">
        <v>2319</v>
      </c>
      <c r="BO479" s="1" t="s">
        <v>1507</v>
      </c>
      <c r="BP479" s="1" t="s">
        <v>1553</v>
      </c>
      <c r="BQ479" s="1" t="s">
        <v>1507</v>
      </c>
      <c r="BR479" s="1" t="s">
        <v>1507</v>
      </c>
      <c r="BS479" s="1" t="s">
        <v>13744</v>
      </c>
      <c r="BT479" s="1" t="s">
        <v>2320</v>
      </c>
      <c r="BU479" s="1" t="str">
        <f>HYPERLINK("https%3A%2F%2Fwww.webofscience.com%2Fwos%2Fwoscc%2Ffull-record%2FWOS:001130992000001","View Full Record in Web of Science")</f>
        <v>View Full Record in Web of Science</v>
      </c>
    </row>
    <row r="480" spans="1:73" x14ac:dyDescent="0.25">
      <c r="A480" s="1">
        <v>528</v>
      </c>
      <c r="B480" s="1" t="s">
        <v>1506</v>
      </c>
      <c r="C480" s="1" t="s">
        <v>11554</v>
      </c>
      <c r="D480" s="1" t="s">
        <v>1507</v>
      </c>
      <c r="E480" s="1" t="s">
        <v>1507</v>
      </c>
      <c r="F480" s="1" t="s">
        <v>1507</v>
      </c>
      <c r="G480" s="1" t="s">
        <v>11555</v>
      </c>
      <c r="H480" s="1" t="s">
        <v>1507</v>
      </c>
      <c r="I480" s="1" t="s">
        <v>1507</v>
      </c>
      <c r="J480" s="1" t="s">
        <v>11556</v>
      </c>
      <c r="K480" s="1" t="s">
        <v>11557</v>
      </c>
      <c r="L480" s="1" t="s">
        <v>1507</v>
      </c>
      <c r="M480" s="1" t="s">
        <v>1507</v>
      </c>
      <c r="N480" s="1" t="s">
        <v>42</v>
      </c>
      <c r="O480" s="1" t="s">
        <v>56</v>
      </c>
      <c r="P480" s="1" t="s">
        <v>1507</v>
      </c>
      <c r="Q480" s="1" t="s">
        <v>1507</v>
      </c>
      <c r="R480" s="1" t="s">
        <v>1507</v>
      </c>
      <c r="S480" s="1" t="s">
        <v>1507</v>
      </c>
      <c r="T480" s="1" t="s">
        <v>1507</v>
      </c>
      <c r="U480" s="1" t="s">
        <v>1507</v>
      </c>
      <c r="V480" s="1" t="s">
        <v>11558</v>
      </c>
      <c r="W480" s="1" t="s">
        <v>11559</v>
      </c>
      <c r="X480" s="1" t="s">
        <v>11560</v>
      </c>
      <c r="Y480" s="1" t="s">
        <v>15948</v>
      </c>
      <c r="Z480" s="1" t="s">
        <v>11561</v>
      </c>
      <c r="AA480" s="1" t="s">
        <v>11562</v>
      </c>
      <c r="AB480" s="1" t="s">
        <v>15949</v>
      </c>
      <c r="AC480" s="1" t="s">
        <v>15950</v>
      </c>
      <c r="AD480" s="1" t="s">
        <v>15951</v>
      </c>
      <c r="AE480" s="1" t="s">
        <v>15952</v>
      </c>
      <c r="AF480" s="1" t="s">
        <v>11563</v>
      </c>
      <c r="AG480" s="1" t="s">
        <v>1507</v>
      </c>
      <c r="AH480" s="1">
        <v>50</v>
      </c>
      <c r="AI480" s="1">
        <v>72</v>
      </c>
      <c r="AJ480" s="1">
        <v>86</v>
      </c>
      <c r="AK480" s="1">
        <v>0</v>
      </c>
      <c r="AL480" s="1">
        <v>13</v>
      </c>
      <c r="AM480" s="1" t="s">
        <v>1591</v>
      </c>
      <c r="AN480" s="1" t="s">
        <v>1592</v>
      </c>
      <c r="AO480" s="1" t="s">
        <v>1593</v>
      </c>
      <c r="AP480" s="1" t="s">
        <v>11564</v>
      </c>
      <c r="AQ480" s="1" t="s">
        <v>1507</v>
      </c>
      <c r="AR480" s="1" t="s">
        <v>1507</v>
      </c>
      <c r="AS480" s="1" t="s">
        <v>11565</v>
      </c>
      <c r="AT480" s="1" t="s">
        <v>11566</v>
      </c>
      <c r="AU480" s="1" t="s">
        <v>2771</v>
      </c>
      <c r="AV480" s="1">
        <v>2018</v>
      </c>
      <c r="AW480" s="1">
        <v>3</v>
      </c>
      <c r="AX480" s="1">
        <v>11</v>
      </c>
      <c r="AY480" s="1" t="s">
        <v>1507</v>
      </c>
      <c r="AZ480" s="1" t="s">
        <v>1507</v>
      </c>
      <c r="BA480" s="1" t="s">
        <v>1507</v>
      </c>
      <c r="BB480" s="1" t="s">
        <v>1507</v>
      </c>
      <c r="BC480" s="1">
        <v>1234</v>
      </c>
      <c r="BD480" s="1">
        <v>1242</v>
      </c>
      <c r="BE480" s="1" t="s">
        <v>1507</v>
      </c>
      <c r="BF480" s="1" t="s">
        <v>11567</v>
      </c>
      <c r="BG480" s="1" t="str">
        <f>HYPERLINK("http://dx.doi.org/10.1038/s41564-018-0240-5","http://dx.doi.org/10.1038/s41564-018-0240-5")</f>
        <v>http://dx.doi.org/10.1038/s41564-018-0240-5</v>
      </c>
      <c r="BH480" s="1" t="s">
        <v>1507</v>
      </c>
      <c r="BI480" s="1" t="s">
        <v>1507</v>
      </c>
      <c r="BJ480" s="1">
        <v>9</v>
      </c>
      <c r="BK480" s="1" t="s">
        <v>4485</v>
      </c>
      <c r="BL480" s="1" t="s">
        <v>1573</v>
      </c>
      <c r="BM480" s="1" t="s">
        <v>4485</v>
      </c>
      <c r="BN480" s="1" t="s">
        <v>11568</v>
      </c>
      <c r="BO480" s="1">
        <v>30224800</v>
      </c>
      <c r="BP480" s="1" t="s">
        <v>15953</v>
      </c>
      <c r="BQ480" s="1" t="s">
        <v>1507</v>
      </c>
      <c r="BR480" s="1" t="s">
        <v>1507</v>
      </c>
      <c r="BS480" s="1" t="s">
        <v>13744</v>
      </c>
      <c r="BT480" s="1" t="s">
        <v>11569</v>
      </c>
      <c r="BU480" s="1" t="str">
        <f>HYPERLINK("https%3A%2F%2Fwww.webofscience.com%2Fwos%2Fwoscc%2Ffull-record%2FWOS:000448229100010","View Full Record in Web of Science")</f>
        <v>View Full Record in Web of Science</v>
      </c>
    </row>
    <row r="481" spans="1:73" x14ac:dyDescent="0.25">
      <c r="A481" s="1">
        <v>529</v>
      </c>
      <c r="B481" s="1" t="s">
        <v>5546</v>
      </c>
      <c r="C481" s="1" t="s">
        <v>7876</v>
      </c>
      <c r="D481" s="1" t="s">
        <v>1507</v>
      </c>
      <c r="E481" s="1" t="s">
        <v>1507</v>
      </c>
      <c r="F481" s="1" t="s">
        <v>7877</v>
      </c>
      <c r="G481" s="1" t="s">
        <v>7878</v>
      </c>
      <c r="H481" s="1" t="s">
        <v>1507</v>
      </c>
      <c r="I481" s="1" t="s">
        <v>1507</v>
      </c>
      <c r="J481" s="1" t="s">
        <v>7879</v>
      </c>
      <c r="K481" s="1" t="s">
        <v>7880</v>
      </c>
      <c r="L481" s="1" t="s">
        <v>5906</v>
      </c>
      <c r="M481" s="1" t="s">
        <v>1507</v>
      </c>
      <c r="N481" s="1" t="s">
        <v>42</v>
      </c>
      <c r="O481" s="1" t="s">
        <v>5552</v>
      </c>
      <c r="P481" s="1" t="s">
        <v>5907</v>
      </c>
      <c r="Q481" s="1" t="s">
        <v>7881</v>
      </c>
      <c r="R481" s="1" t="s">
        <v>7882</v>
      </c>
      <c r="S481" s="1" t="s">
        <v>5910</v>
      </c>
      <c r="T481" s="1" t="s">
        <v>1507</v>
      </c>
      <c r="U481" s="1" t="s">
        <v>1507</v>
      </c>
      <c r="V481" s="1" t="s">
        <v>1507</v>
      </c>
      <c r="W481" s="1" t="s">
        <v>7883</v>
      </c>
      <c r="X481" s="1" t="s">
        <v>7884</v>
      </c>
      <c r="Y481" s="1" t="s">
        <v>7885</v>
      </c>
      <c r="Z481" s="1" t="s">
        <v>7886</v>
      </c>
      <c r="AA481" s="1" t="s">
        <v>1507</v>
      </c>
      <c r="AB481" s="1" t="s">
        <v>1507</v>
      </c>
      <c r="AC481" s="1" t="s">
        <v>1507</v>
      </c>
      <c r="AD481" s="1" t="s">
        <v>7887</v>
      </c>
      <c r="AE481" s="1" t="s">
        <v>7888</v>
      </c>
      <c r="AF481" s="1" t="s">
        <v>7889</v>
      </c>
      <c r="AG481" s="1" t="s">
        <v>1507</v>
      </c>
      <c r="AH481" s="1">
        <v>77</v>
      </c>
      <c r="AI481" s="1">
        <v>14</v>
      </c>
      <c r="AJ481" s="1">
        <v>14</v>
      </c>
      <c r="AK481" s="1">
        <v>2</v>
      </c>
      <c r="AL481" s="1">
        <v>7</v>
      </c>
      <c r="AM481" s="1" t="s">
        <v>5645</v>
      </c>
      <c r="AN481" s="1" t="s">
        <v>5646</v>
      </c>
      <c r="AO481" s="1" t="s">
        <v>5647</v>
      </c>
      <c r="AP481" s="1" t="s">
        <v>5919</v>
      </c>
      <c r="AQ481" s="1" t="s">
        <v>1507</v>
      </c>
      <c r="AR481" s="1" t="s">
        <v>7890</v>
      </c>
      <c r="AS481" s="1" t="s">
        <v>5921</v>
      </c>
      <c r="AT481" s="1" t="s">
        <v>1507</v>
      </c>
      <c r="AU481" s="1" t="s">
        <v>1507</v>
      </c>
      <c r="AV481" s="1">
        <v>2022</v>
      </c>
      <c r="AW481" s="1" t="s">
        <v>1507</v>
      </c>
      <c r="AX481" s="1" t="s">
        <v>1507</v>
      </c>
      <c r="AY481" s="1" t="s">
        <v>1507</v>
      </c>
      <c r="AZ481" s="1" t="s">
        <v>1507</v>
      </c>
      <c r="BA481" s="1" t="s">
        <v>1507</v>
      </c>
      <c r="BB481" s="1" t="s">
        <v>1507</v>
      </c>
      <c r="BC481" s="1">
        <v>17897</v>
      </c>
      <c r="BD481" s="1">
        <v>17907</v>
      </c>
      <c r="BE481" s="1" t="s">
        <v>1507</v>
      </c>
      <c r="BF481" s="1" t="s">
        <v>7891</v>
      </c>
      <c r="BG481" s="1" t="str">
        <f>HYPERLINK("http://dx.doi.org/10.1109/CVPR52688.2022.01739","http://dx.doi.org/10.1109/CVPR52688.2022.01739")</f>
        <v>http://dx.doi.org/10.1109/CVPR52688.2022.01739</v>
      </c>
      <c r="BH481" s="1" t="s">
        <v>1507</v>
      </c>
      <c r="BI481" s="1" t="s">
        <v>1507</v>
      </c>
      <c r="BJ481" s="1">
        <v>11</v>
      </c>
      <c r="BK481" s="1" t="s">
        <v>7840</v>
      </c>
      <c r="BL481" s="1" t="s">
        <v>5570</v>
      </c>
      <c r="BM481" s="1" t="s">
        <v>7841</v>
      </c>
      <c r="BN481" s="1" t="s">
        <v>7892</v>
      </c>
      <c r="BO481" s="1" t="s">
        <v>1507</v>
      </c>
      <c r="BP481" s="1" t="s">
        <v>1600</v>
      </c>
      <c r="BQ481" s="1" t="s">
        <v>1507</v>
      </c>
      <c r="BR481" s="1" t="s">
        <v>1507</v>
      </c>
      <c r="BS481" s="1" t="s">
        <v>13744</v>
      </c>
      <c r="BT481" s="1" t="s">
        <v>7893</v>
      </c>
      <c r="BU481" s="1" t="str">
        <f>HYPERLINK("https%3A%2F%2Fwww.webofscience.com%2Fwos%2Fwoscc%2Ffull-record%2FWOS:000870783003071","View Full Record in Web of Science")</f>
        <v>View Full Record in Web of Science</v>
      </c>
    </row>
    <row r="482" spans="1:73" x14ac:dyDescent="0.25">
      <c r="A482" s="1">
        <v>530</v>
      </c>
      <c r="B482" s="1" t="s">
        <v>1506</v>
      </c>
      <c r="C482" s="1" t="s">
        <v>4359</v>
      </c>
      <c r="D482" s="1" t="s">
        <v>1507</v>
      </c>
      <c r="E482" s="1" t="s">
        <v>1507</v>
      </c>
      <c r="F482" s="1" t="s">
        <v>1507</v>
      </c>
      <c r="G482" s="1" t="s">
        <v>4360</v>
      </c>
      <c r="H482" s="1" t="s">
        <v>1507</v>
      </c>
      <c r="I482" s="1" t="s">
        <v>1507</v>
      </c>
      <c r="J482" s="1" t="s">
        <v>904</v>
      </c>
      <c r="K482" s="1" t="s">
        <v>3577</v>
      </c>
      <c r="L482" s="1" t="s">
        <v>1507</v>
      </c>
      <c r="M482" s="1" t="s">
        <v>1507</v>
      </c>
      <c r="N482" s="1" t="s">
        <v>42</v>
      </c>
      <c r="O482" s="1" t="s">
        <v>56</v>
      </c>
      <c r="P482" s="1" t="s">
        <v>1507</v>
      </c>
      <c r="Q482" s="1" t="s">
        <v>1507</v>
      </c>
      <c r="R482" s="1" t="s">
        <v>1507</v>
      </c>
      <c r="S482" s="1" t="s">
        <v>1507</v>
      </c>
      <c r="T482" s="1" t="s">
        <v>1507</v>
      </c>
      <c r="U482" s="1" t="s">
        <v>4361</v>
      </c>
      <c r="V482" s="1" t="s">
        <v>1507</v>
      </c>
      <c r="W482" s="1" t="s">
        <v>4362</v>
      </c>
      <c r="X482" s="1" t="s">
        <v>4363</v>
      </c>
      <c r="Y482" s="1" t="s">
        <v>4364</v>
      </c>
      <c r="Z482" s="1" t="s">
        <v>4365</v>
      </c>
      <c r="AA482" s="1" t="s">
        <v>1507</v>
      </c>
      <c r="AB482" s="1" t="s">
        <v>14574</v>
      </c>
      <c r="AC482" s="1" t="s">
        <v>1507</v>
      </c>
      <c r="AD482" s="1" t="s">
        <v>1507</v>
      </c>
      <c r="AE482" s="1" t="s">
        <v>1507</v>
      </c>
      <c r="AF482" s="1" t="s">
        <v>1507</v>
      </c>
      <c r="AG482" s="1" t="s">
        <v>1507</v>
      </c>
      <c r="AH482" s="1">
        <v>18</v>
      </c>
      <c r="AI482" s="1">
        <v>0</v>
      </c>
      <c r="AJ482" s="1">
        <v>0</v>
      </c>
      <c r="AK482" s="1">
        <v>5</v>
      </c>
      <c r="AL482" s="1">
        <v>8</v>
      </c>
      <c r="AM482" s="1" t="s">
        <v>3585</v>
      </c>
      <c r="AN482" s="1" t="s">
        <v>3586</v>
      </c>
      <c r="AO482" s="1" t="s">
        <v>3587</v>
      </c>
      <c r="AP482" s="1" t="s">
        <v>3588</v>
      </c>
      <c r="AQ482" s="1" t="s">
        <v>3589</v>
      </c>
      <c r="AR482" s="1" t="s">
        <v>1507</v>
      </c>
      <c r="AS482" s="1" t="s">
        <v>3590</v>
      </c>
      <c r="AT482" s="1" t="s">
        <v>3591</v>
      </c>
      <c r="AU482" s="1" t="s">
        <v>4336</v>
      </c>
      <c r="AV482" s="1">
        <v>2023</v>
      </c>
      <c r="AW482" s="1">
        <v>14</v>
      </c>
      <c r="AX482" s="1">
        <v>8</v>
      </c>
      <c r="AY482" s="1" t="s">
        <v>1507</v>
      </c>
      <c r="AZ482" s="1" t="s">
        <v>1507</v>
      </c>
      <c r="BA482" s="1" t="s">
        <v>1507</v>
      </c>
      <c r="BB482" s="1" t="s">
        <v>1507</v>
      </c>
      <c r="BC482" s="1">
        <v>937</v>
      </c>
      <c r="BD482" s="1">
        <v>946</v>
      </c>
      <c r="BE482" s="1" t="s">
        <v>1507</v>
      </c>
      <c r="BF482" s="1" t="s">
        <v>1507</v>
      </c>
      <c r="BG482" s="1" t="s">
        <v>1507</v>
      </c>
      <c r="BH482" s="1" t="s">
        <v>1507</v>
      </c>
      <c r="BI482" s="1" t="s">
        <v>1507</v>
      </c>
      <c r="BJ482" s="1">
        <v>10</v>
      </c>
      <c r="BK482" s="1" t="s">
        <v>1603</v>
      </c>
      <c r="BL482" s="1" t="s">
        <v>1529</v>
      </c>
      <c r="BM482" s="1" t="s">
        <v>1577</v>
      </c>
      <c r="BN482" s="1" t="s">
        <v>4366</v>
      </c>
      <c r="BO482" s="1" t="s">
        <v>1507</v>
      </c>
      <c r="BP482" s="1" t="s">
        <v>1507</v>
      </c>
      <c r="BQ482" s="1" t="s">
        <v>1507</v>
      </c>
      <c r="BR482" s="1" t="s">
        <v>1507</v>
      </c>
      <c r="BS482" s="1" t="s">
        <v>13744</v>
      </c>
      <c r="BT482" s="1" t="s">
        <v>4367</v>
      </c>
      <c r="BU482" s="1" t="str">
        <f>HYPERLINK("https%3A%2F%2Fwww.webofscience.com%2Fwos%2Fwoscc%2Ffull-record%2FWOS:001064929600001","View Full Record in Web of Science")</f>
        <v>View Full Record in Web of Science</v>
      </c>
    </row>
    <row r="483" spans="1:73" x14ac:dyDescent="0.25">
      <c r="A483" s="1">
        <v>531</v>
      </c>
      <c r="B483" s="1" t="s">
        <v>1506</v>
      </c>
      <c r="C483" s="1" t="s">
        <v>3213</v>
      </c>
      <c r="D483" s="1" t="s">
        <v>1507</v>
      </c>
      <c r="E483" s="1" t="s">
        <v>1507</v>
      </c>
      <c r="F483" s="1" t="s">
        <v>1507</v>
      </c>
      <c r="G483" s="1" t="s">
        <v>3214</v>
      </c>
      <c r="H483" s="1" t="s">
        <v>1507</v>
      </c>
      <c r="I483" s="1" t="s">
        <v>1507</v>
      </c>
      <c r="J483" s="1" t="s">
        <v>3215</v>
      </c>
      <c r="K483" s="1" t="s">
        <v>1657</v>
      </c>
      <c r="L483" s="1" t="s">
        <v>1507</v>
      </c>
      <c r="M483" s="1" t="s">
        <v>1507</v>
      </c>
      <c r="N483" s="1" t="s">
        <v>42</v>
      </c>
      <c r="O483" s="1" t="s">
        <v>56</v>
      </c>
      <c r="P483" s="1" t="s">
        <v>1507</v>
      </c>
      <c r="Q483" s="1" t="s">
        <v>1507</v>
      </c>
      <c r="R483" s="1" t="s">
        <v>1507</v>
      </c>
      <c r="S483" s="1" t="s">
        <v>1507</v>
      </c>
      <c r="T483" s="1" t="s">
        <v>1507</v>
      </c>
      <c r="U483" s="1" t="s">
        <v>3216</v>
      </c>
      <c r="V483" s="1" t="s">
        <v>3217</v>
      </c>
      <c r="W483" s="1" t="s">
        <v>3218</v>
      </c>
      <c r="X483" s="1" t="s">
        <v>3219</v>
      </c>
      <c r="Y483" s="1" t="s">
        <v>3220</v>
      </c>
      <c r="Z483" s="1" t="s">
        <v>3221</v>
      </c>
      <c r="AA483" s="1" t="s">
        <v>3222</v>
      </c>
      <c r="AB483" s="1" t="s">
        <v>14247</v>
      </c>
      <c r="AC483" s="1" t="s">
        <v>14295</v>
      </c>
      <c r="AD483" s="1" t="s">
        <v>3223</v>
      </c>
      <c r="AE483" s="1" t="s">
        <v>3224</v>
      </c>
      <c r="AF483" s="1" t="s">
        <v>3225</v>
      </c>
      <c r="AG483" s="1" t="s">
        <v>1507</v>
      </c>
      <c r="AH483" s="1">
        <v>47</v>
      </c>
      <c r="AI483" s="1">
        <v>1</v>
      </c>
      <c r="AJ483" s="1">
        <v>1</v>
      </c>
      <c r="AK483" s="1">
        <v>3</v>
      </c>
      <c r="AL483" s="1">
        <v>3</v>
      </c>
      <c r="AM483" s="1" t="s">
        <v>1667</v>
      </c>
      <c r="AN483" s="1" t="s">
        <v>1668</v>
      </c>
      <c r="AO483" s="1" t="s">
        <v>1669</v>
      </c>
      <c r="AP483" s="1" t="s">
        <v>1670</v>
      </c>
      <c r="AQ483" s="1" t="s">
        <v>1507</v>
      </c>
      <c r="AR483" s="1" t="s">
        <v>1507</v>
      </c>
      <c r="AS483" s="1" t="s">
        <v>1671</v>
      </c>
      <c r="AT483" s="1" t="s">
        <v>567</v>
      </c>
      <c r="AU483" s="1" t="s">
        <v>3226</v>
      </c>
      <c r="AV483" s="1">
        <v>2023</v>
      </c>
      <c r="AW483" s="1">
        <v>25</v>
      </c>
      <c r="AX483" s="1" t="s">
        <v>1507</v>
      </c>
      <c r="AY483" s="1" t="s">
        <v>1507</v>
      </c>
      <c r="AZ483" s="1" t="s">
        <v>1507</v>
      </c>
      <c r="BA483" s="1" t="s">
        <v>1507</v>
      </c>
      <c r="BB483" s="1" t="s">
        <v>1507</v>
      </c>
      <c r="BC483" s="1" t="s">
        <v>1507</v>
      </c>
      <c r="BD483" s="1" t="s">
        <v>1507</v>
      </c>
      <c r="BE483" s="1" t="s">
        <v>3227</v>
      </c>
      <c r="BF483" s="1" t="s">
        <v>3228</v>
      </c>
      <c r="BG483" s="1" t="str">
        <f>HYPERLINK("http://dx.doi.org/10.2196/49949","http://dx.doi.org/10.2196/49949")</f>
        <v>http://dx.doi.org/10.2196/49949</v>
      </c>
      <c r="BH483" s="1" t="s">
        <v>1507</v>
      </c>
      <c r="BI483" s="1" t="s">
        <v>1507</v>
      </c>
      <c r="BJ483" s="1">
        <v>11</v>
      </c>
      <c r="BK483" s="1" t="s">
        <v>1585</v>
      </c>
      <c r="BL483" s="1" t="s">
        <v>1573</v>
      </c>
      <c r="BM483" s="1" t="s">
        <v>1585</v>
      </c>
      <c r="BN483" s="1" t="s">
        <v>3229</v>
      </c>
      <c r="BO483" s="1">
        <v>37824185</v>
      </c>
      <c r="BP483" s="1" t="s">
        <v>2518</v>
      </c>
      <c r="BQ483" s="1" t="s">
        <v>1507</v>
      </c>
      <c r="BR483" s="1" t="s">
        <v>1507</v>
      </c>
      <c r="BS483" s="1" t="s">
        <v>13744</v>
      </c>
      <c r="BT483" s="1" t="s">
        <v>3230</v>
      </c>
      <c r="BU483" s="1" t="str">
        <f>HYPERLINK("https%3A%2F%2Fwww.webofscience.com%2Fwos%2Fwoscc%2Ffull-record%2FWOS:001092176300007","View Full Record in Web of Science")</f>
        <v>View Full Record in Web of Science</v>
      </c>
    </row>
    <row r="484" spans="1:73" x14ac:dyDescent="0.25">
      <c r="A484" s="1">
        <v>532</v>
      </c>
      <c r="B484" s="1" t="s">
        <v>1506</v>
      </c>
      <c r="C484" s="1" t="s">
        <v>5049</v>
      </c>
      <c r="D484" s="1" t="s">
        <v>1507</v>
      </c>
      <c r="E484" s="1" t="s">
        <v>1507</v>
      </c>
      <c r="F484" s="1" t="s">
        <v>1507</v>
      </c>
      <c r="G484" s="1" t="s">
        <v>5050</v>
      </c>
      <c r="H484" s="1" t="s">
        <v>1507</v>
      </c>
      <c r="I484" s="1" t="s">
        <v>1507</v>
      </c>
      <c r="J484" s="1" t="s">
        <v>5051</v>
      </c>
      <c r="K484" s="1" t="s">
        <v>5052</v>
      </c>
      <c r="L484" s="1" t="s">
        <v>1507</v>
      </c>
      <c r="M484" s="1" t="s">
        <v>1507</v>
      </c>
      <c r="N484" s="1" t="s">
        <v>42</v>
      </c>
      <c r="O484" s="1" t="s">
        <v>56</v>
      </c>
      <c r="P484" s="1" t="s">
        <v>1507</v>
      </c>
      <c r="Q484" s="1" t="s">
        <v>1507</v>
      </c>
      <c r="R484" s="1" t="s">
        <v>1507</v>
      </c>
      <c r="S484" s="1" t="s">
        <v>1507</v>
      </c>
      <c r="T484" s="1" t="s">
        <v>1507</v>
      </c>
      <c r="U484" s="1" t="s">
        <v>1507</v>
      </c>
      <c r="V484" s="1" t="s">
        <v>5053</v>
      </c>
      <c r="W484" s="1" t="s">
        <v>5054</v>
      </c>
      <c r="X484" s="1" t="s">
        <v>5055</v>
      </c>
      <c r="Y484" s="1" t="s">
        <v>5056</v>
      </c>
      <c r="Z484" s="1" t="s">
        <v>5057</v>
      </c>
      <c r="AA484" s="1" t="s">
        <v>1507</v>
      </c>
      <c r="AB484" s="1" t="s">
        <v>1507</v>
      </c>
      <c r="AC484" s="1" t="s">
        <v>1507</v>
      </c>
      <c r="AD484" s="1" t="s">
        <v>5058</v>
      </c>
      <c r="AE484" s="1" t="s">
        <v>5058</v>
      </c>
      <c r="AF484" s="1" t="s">
        <v>5059</v>
      </c>
      <c r="AG484" s="1" t="s">
        <v>1507</v>
      </c>
      <c r="AH484" s="1">
        <v>140</v>
      </c>
      <c r="AI484" s="1">
        <v>0</v>
      </c>
      <c r="AJ484" s="1">
        <v>0</v>
      </c>
      <c r="AK484" s="1">
        <v>1</v>
      </c>
      <c r="AL484" s="1">
        <v>1</v>
      </c>
      <c r="AM484" s="1" t="s">
        <v>5060</v>
      </c>
      <c r="AN484" s="1" t="s">
        <v>5061</v>
      </c>
      <c r="AO484" s="1" t="s">
        <v>5062</v>
      </c>
      <c r="AP484" s="1" t="s">
        <v>5063</v>
      </c>
      <c r="AQ484" s="1" t="s">
        <v>5064</v>
      </c>
      <c r="AR484" s="1" t="s">
        <v>1507</v>
      </c>
      <c r="AS484" s="1" t="s">
        <v>5065</v>
      </c>
      <c r="AT484" s="1" t="s">
        <v>5066</v>
      </c>
      <c r="AU484" s="1" t="s">
        <v>5045</v>
      </c>
      <c r="AV484" s="1">
        <v>2023</v>
      </c>
      <c r="AW484" s="1">
        <v>45</v>
      </c>
      <c r="AX484" s="1">
        <v>2</v>
      </c>
      <c r="AY484" s="1" t="s">
        <v>1507</v>
      </c>
      <c r="AZ484" s="1" t="s">
        <v>1507</v>
      </c>
      <c r="BA484" s="1" t="s">
        <v>1507</v>
      </c>
      <c r="BB484" s="1" t="s">
        <v>1507</v>
      </c>
      <c r="BC484" s="1">
        <v>306</v>
      </c>
      <c r="BD484" s="1">
        <v>334</v>
      </c>
      <c r="BE484" s="1" t="s">
        <v>1507</v>
      </c>
      <c r="BF484" s="1" t="s">
        <v>5067</v>
      </c>
      <c r="BG484" s="1" t="str">
        <f>HYPERLINK("http://dx.doi.org/10.1353/hrq.2023.0015","http://dx.doi.org/10.1353/hrq.2023.0015")</f>
        <v>http://dx.doi.org/10.1353/hrq.2023.0015</v>
      </c>
      <c r="BH484" s="1" t="s">
        <v>1507</v>
      </c>
      <c r="BI484" s="1" t="s">
        <v>1507</v>
      </c>
      <c r="BJ484" s="1">
        <v>30</v>
      </c>
      <c r="BK484" s="1" t="s">
        <v>5068</v>
      </c>
      <c r="BL484" s="1" t="s">
        <v>1518</v>
      </c>
      <c r="BM484" s="1" t="s">
        <v>5069</v>
      </c>
      <c r="BN484" s="1" t="s">
        <v>5070</v>
      </c>
      <c r="BO484" s="1" t="s">
        <v>1507</v>
      </c>
      <c r="BP484" s="1" t="s">
        <v>5071</v>
      </c>
      <c r="BQ484" s="1" t="s">
        <v>1507</v>
      </c>
      <c r="BR484" s="1" t="s">
        <v>1507</v>
      </c>
      <c r="BS484" s="1" t="s">
        <v>13744</v>
      </c>
      <c r="BT484" s="1" t="s">
        <v>5072</v>
      </c>
      <c r="BU484" s="1" t="str">
        <f>HYPERLINK("https%3A%2F%2Fwww.webofscience.com%2Fwos%2Fwoscc%2Ffull-record%2FWOS:000988636300006","View Full Record in Web of Science")</f>
        <v>View Full Record in Web of Science</v>
      </c>
    </row>
    <row r="485" spans="1:73" x14ac:dyDescent="0.25">
      <c r="A485" s="1">
        <v>533</v>
      </c>
      <c r="B485" s="1" t="s">
        <v>1506</v>
      </c>
      <c r="C485" s="1" t="s">
        <v>2659</v>
      </c>
      <c r="D485" s="1" t="s">
        <v>1507</v>
      </c>
      <c r="E485" s="1" t="s">
        <v>1507</v>
      </c>
      <c r="F485" s="1" t="s">
        <v>1507</v>
      </c>
      <c r="G485" s="1" t="s">
        <v>2660</v>
      </c>
      <c r="H485" s="1" t="s">
        <v>1507</v>
      </c>
      <c r="I485" s="1" t="s">
        <v>1507</v>
      </c>
      <c r="J485" s="1" t="s">
        <v>2661</v>
      </c>
      <c r="K485" s="1" t="s">
        <v>2662</v>
      </c>
      <c r="L485" s="1" t="s">
        <v>1507</v>
      </c>
      <c r="M485" s="1" t="s">
        <v>1507</v>
      </c>
      <c r="N485" s="1" t="s">
        <v>42</v>
      </c>
      <c r="O485" s="1" t="s">
        <v>56</v>
      </c>
      <c r="P485" s="1" t="s">
        <v>1507</v>
      </c>
      <c r="Q485" s="1" t="s">
        <v>1507</v>
      </c>
      <c r="R485" s="1" t="s">
        <v>1507</v>
      </c>
      <c r="S485" s="1" t="s">
        <v>1507</v>
      </c>
      <c r="T485" s="1" t="s">
        <v>1507</v>
      </c>
      <c r="U485" s="1" t="s">
        <v>2663</v>
      </c>
      <c r="V485" s="1" t="s">
        <v>2664</v>
      </c>
      <c r="W485" s="1" t="s">
        <v>2665</v>
      </c>
      <c r="X485" s="1" t="s">
        <v>2666</v>
      </c>
      <c r="Y485" s="1" t="s">
        <v>2667</v>
      </c>
      <c r="Z485" s="1" t="s">
        <v>2668</v>
      </c>
      <c r="AA485" s="1" t="s">
        <v>2669</v>
      </c>
      <c r="AB485" s="1" t="s">
        <v>14004</v>
      </c>
      <c r="AC485" s="1" t="s">
        <v>14005</v>
      </c>
      <c r="AD485" s="1" t="s">
        <v>2670</v>
      </c>
      <c r="AE485" s="1" t="s">
        <v>2671</v>
      </c>
      <c r="AF485" s="1" t="s">
        <v>2672</v>
      </c>
      <c r="AG485" s="1" t="s">
        <v>1507</v>
      </c>
      <c r="AH485" s="1">
        <v>138</v>
      </c>
      <c r="AI485" s="1">
        <v>1</v>
      </c>
      <c r="AJ485" s="1">
        <v>1</v>
      </c>
      <c r="AK485" s="1">
        <v>33</v>
      </c>
      <c r="AL485" s="1">
        <v>33</v>
      </c>
      <c r="AM485" s="1" t="s">
        <v>1579</v>
      </c>
      <c r="AN485" s="1" t="s">
        <v>1580</v>
      </c>
      <c r="AO485" s="1" t="s">
        <v>1581</v>
      </c>
      <c r="AP485" s="1" t="s">
        <v>2673</v>
      </c>
      <c r="AQ485" s="1" t="s">
        <v>2674</v>
      </c>
      <c r="AR485" s="1" t="s">
        <v>1507</v>
      </c>
      <c r="AS485" s="1" t="s">
        <v>2675</v>
      </c>
      <c r="AT485" s="1" t="s">
        <v>2676</v>
      </c>
      <c r="AU485" s="1" t="s">
        <v>5362</v>
      </c>
      <c r="AV485" s="1">
        <v>2024</v>
      </c>
      <c r="AW485" s="1">
        <v>103</v>
      </c>
      <c r="AX485" s="1" t="s">
        <v>1507</v>
      </c>
      <c r="AY485" s="1" t="s">
        <v>1507</v>
      </c>
      <c r="AZ485" s="1" t="s">
        <v>1507</v>
      </c>
      <c r="BA485" s="1" t="s">
        <v>1507</v>
      </c>
      <c r="BB485" s="1" t="s">
        <v>1507</v>
      </c>
      <c r="BC485" s="1" t="s">
        <v>1507</v>
      </c>
      <c r="BD485" s="1" t="s">
        <v>1507</v>
      </c>
      <c r="BE485" s="1">
        <v>102135</v>
      </c>
      <c r="BF485" s="1" t="s">
        <v>2677</v>
      </c>
      <c r="BG485" s="1" t="str">
        <f>HYPERLINK("http://dx.doi.org/10.1016/j.inffus.2023.102135","http://dx.doi.org/10.1016/j.inffus.2023.102135")</f>
        <v>http://dx.doi.org/10.1016/j.inffus.2023.102135</v>
      </c>
      <c r="BH485" s="1" t="s">
        <v>1507</v>
      </c>
      <c r="BI485" s="1" t="s">
        <v>2396</v>
      </c>
      <c r="BJ485" s="1">
        <v>16</v>
      </c>
      <c r="BK485" s="1" t="s">
        <v>2678</v>
      </c>
      <c r="BL485" s="1" t="s">
        <v>1573</v>
      </c>
      <c r="BM485" s="1" t="s">
        <v>1577</v>
      </c>
      <c r="BN485" s="1" t="s">
        <v>2679</v>
      </c>
      <c r="BO485" s="1" t="s">
        <v>1507</v>
      </c>
      <c r="BP485" s="1" t="s">
        <v>1600</v>
      </c>
      <c r="BQ485" s="1" t="s">
        <v>1507</v>
      </c>
      <c r="BR485" s="1" t="s">
        <v>1507</v>
      </c>
      <c r="BS485" s="1" t="s">
        <v>13744</v>
      </c>
      <c r="BT485" s="1" t="s">
        <v>2680</v>
      </c>
      <c r="BU485" s="1" t="str">
        <f>HYPERLINK("https%3A%2F%2Fwww.webofscience.com%2Fwos%2Fwoscc%2Ffull-record%2FWOS:001112351800001","View Full Record in Web of Science")</f>
        <v>View Full Record in Web of Science</v>
      </c>
    </row>
    <row r="486" spans="1:73" x14ac:dyDescent="0.25">
      <c r="A486" s="1">
        <v>534</v>
      </c>
      <c r="B486" s="1" t="s">
        <v>1506</v>
      </c>
      <c r="C486" s="1" t="s">
        <v>8813</v>
      </c>
      <c r="D486" s="1" t="s">
        <v>1507</v>
      </c>
      <c r="E486" s="1" t="s">
        <v>1507</v>
      </c>
      <c r="F486" s="1" t="s">
        <v>1507</v>
      </c>
      <c r="G486" s="1" t="s">
        <v>8814</v>
      </c>
      <c r="H486" s="1" t="s">
        <v>1507</v>
      </c>
      <c r="I486" s="1" t="s">
        <v>1507</v>
      </c>
      <c r="J486" s="1" t="s">
        <v>8815</v>
      </c>
      <c r="K486" s="1" t="s">
        <v>8816</v>
      </c>
      <c r="L486" s="1" t="s">
        <v>1507</v>
      </c>
      <c r="M486" s="1" t="s">
        <v>1507</v>
      </c>
      <c r="N486" s="1" t="s">
        <v>42</v>
      </c>
      <c r="O486" s="1" t="s">
        <v>56</v>
      </c>
      <c r="P486" s="1" t="s">
        <v>1507</v>
      </c>
      <c r="Q486" s="1" t="s">
        <v>1507</v>
      </c>
      <c r="R486" s="1" t="s">
        <v>1507</v>
      </c>
      <c r="S486" s="1" t="s">
        <v>1507</v>
      </c>
      <c r="T486" s="1" t="s">
        <v>1507</v>
      </c>
      <c r="U486" s="1" t="s">
        <v>8817</v>
      </c>
      <c r="V486" s="1" t="s">
        <v>1507</v>
      </c>
      <c r="W486" s="1" t="s">
        <v>8818</v>
      </c>
      <c r="X486" s="1" t="s">
        <v>8819</v>
      </c>
      <c r="Y486" s="1" t="s">
        <v>8820</v>
      </c>
      <c r="Z486" s="1" t="s">
        <v>8821</v>
      </c>
      <c r="AA486" s="1" t="s">
        <v>8822</v>
      </c>
      <c r="AB486" s="1" t="s">
        <v>1507</v>
      </c>
      <c r="AC486" s="1" t="s">
        <v>8823</v>
      </c>
      <c r="AD486" s="1" t="s">
        <v>8824</v>
      </c>
      <c r="AE486" s="1" t="s">
        <v>8824</v>
      </c>
      <c r="AF486" s="1" t="s">
        <v>8825</v>
      </c>
      <c r="AG486" s="1" t="s">
        <v>1507</v>
      </c>
      <c r="AH486" s="1">
        <v>64</v>
      </c>
      <c r="AI486" s="1">
        <v>5</v>
      </c>
      <c r="AJ486" s="1">
        <v>6</v>
      </c>
      <c r="AK486" s="1">
        <v>2</v>
      </c>
      <c r="AL486" s="1">
        <v>4</v>
      </c>
      <c r="AM486" s="1" t="s">
        <v>8826</v>
      </c>
      <c r="AN486" s="1" t="s">
        <v>8827</v>
      </c>
      <c r="AO486" s="1" t="s">
        <v>8828</v>
      </c>
      <c r="AP486" s="1" t="s">
        <v>8829</v>
      </c>
      <c r="AQ486" s="1" t="s">
        <v>8830</v>
      </c>
      <c r="AR486" s="1" t="s">
        <v>1507</v>
      </c>
      <c r="AS486" s="1" t="s">
        <v>8816</v>
      </c>
      <c r="AT486" s="1" t="s">
        <v>8831</v>
      </c>
      <c r="AU486" s="1" t="s">
        <v>8832</v>
      </c>
      <c r="AV486" s="1">
        <v>2021</v>
      </c>
      <c r="AW486" s="1">
        <v>63</v>
      </c>
      <c r="AX486" s="1">
        <v>2</v>
      </c>
      <c r="AY486" s="1" t="s">
        <v>1507</v>
      </c>
      <c r="AZ486" s="1" t="s">
        <v>1507</v>
      </c>
      <c r="BA486" s="1" t="s">
        <v>1507</v>
      </c>
      <c r="BB486" s="1" t="s">
        <v>1507</v>
      </c>
      <c r="BC486" s="1">
        <v>179</v>
      </c>
      <c r="BD486" s="1">
        <v>193</v>
      </c>
      <c r="BE486" s="1" t="s">
        <v>1507</v>
      </c>
      <c r="BF486" s="1" t="s">
        <v>8833</v>
      </c>
      <c r="BG486" s="1" t="str">
        <f>HYPERLINK("http://dx.doi.org/10.1016/j.oceano.2020.11.004","http://dx.doi.org/10.1016/j.oceano.2020.11.004")</f>
        <v>http://dx.doi.org/10.1016/j.oceano.2020.11.004</v>
      </c>
      <c r="BH486" s="1" t="s">
        <v>1507</v>
      </c>
      <c r="BI486" s="1" t="s">
        <v>1507</v>
      </c>
      <c r="BJ486" s="1">
        <v>15</v>
      </c>
      <c r="BK486" s="1" t="s">
        <v>8834</v>
      </c>
      <c r="BL486" s="1" t="s">
        <v>1573</v>
      </c>
      <c r="BM486" s="1" t="s">
        <v>8834</v>
      </c>
      <c r="BN486" s="1" t="s">
        <v>8835</v>
      </c>
      <c r="BO486" s="1" t="s">
        <v>1507</v>
      </c>
      <c r="BP486" s="1" t="s">
        <v>1531</v>
      </c>
      <c r="BQ486" s="1" t="s">
        <v>1507</v>
      </c>
      <c r="BR486" s="1" t="s">
        <v>1507</v>
      </c>
      <c r="BS486" s="1" t="s">
        <v>13744</v>
      </c>
      <c r="BT486" s="1" t="s">
        <v>8836</v>
      </c>
      <c r="BU486" s="1" t="str">
        <f>HYPERLINK("https%3A%2F%2Fwww.webofscience.com%2Fwos%2Fwoscc%2Ffull-record%2FWOS:000634931500002","View Full Record in Web of Science")</f>
        <v>View Full Record in Web of Science</v>
      </c>
    </row>
    <row r="487" spans="1:73" x14ac:dyDescent="0.25">
      <c r="A487" s="1">
        <v>535</v>
      </c>
      <c r="B487" s="1" t="s">
        <v>1506</v>
      </c>
      <c r="C487" s="1" t="s">
        <v>1819</v>
      </c>
      <c r="D487" s="1" t="s">
        <v>1507</v>
      </c>
      <c r="E487" s="1" t="s">
        <v>1507</v>
      </c>
      <c r="F487" s="1" t="s">
        <v>1507</v>
      </c>
      <c r="G487" s="1" t="s">
        <v>1820</v>
      </c>
      <c r="H487" s="1" t="s">
        <v>1507</v>
      </c>
      <c r="I487" s="1" t="s">
        <v>1507</v>
      </c>
      <c r="J487" s="1" t="s">
        <v>1821</v>
      </c>
      <c r="K487" s="1" t="s">
        <v>1822</v>
      </c>
      <c r="L487" s="1" t="s">
        <v>1507</v>
      </c>
      <c r="M487" s="1" t="s">
        <v>1507</v>
      </c>
      <c r="N487" s="1" t="s">
        <v>42</v>
      </c>
      <c r="O487" s="1" t="s">
        <v>1509</v>
      </c>
      <c r="P487" s="1" t="s">
        <v>1507</v>
      </c>
      <c r="Q487" s="1" t="s">
        <v>1507</v>
      </c>
      <c r="R487" s="1" t="s">
        <v>1507</v>
      </c>
      <c r="S487" s="1" t="s">
        <v>1507</v>
      </c>
      <c r="T487" s="1" t="s">
        <v>1507</v>
      </c>
      <c r="U487" s="1" t="s">
        <v>1823</v>
      </c>
      <c r="V487" s="1" t="s">
        <v>1824</v>
      </c>
      <c r="W487" s="1" t="s">
        <v>1825</v>
      </c>
      <c r="X487" s="1" t="s">
        <v>1826</v>
      </c>
      <c r="Y487" s="1" t="s">
        <v>1827</v>
      </c>
      <c r="Z487" s="1" t="s">
        <v>1828</v>
      </c>
      <c r="AA487" s="1" t="s">
        <v>1829</v>
      </c>
      <c r="AB487" s="1" t="s">
        <v>13801</v>
      </c>
      <c r="AC487" s="1" t="s">
        <v>13802</v>
      </c>
      <c r="AD487" s="1" t="s">
        <v>1830</v>
      </c>
      <c r="AE487" s="1" t="s">
        <v>1831</v>
      </c>
      <c r="AF487" s="1" t="s">
        <v>1832</v>
      </c>
      <c r="AG487" s="1" t="s">
        <v>1507</v>
      </c>
      <c r="AH487" s="1">
        <v>75</v>
      </c>
      <c r="AI487" s="1">
        <v>0</v>
      </c>
      <c r="AJ487" s="1">
        <v>0</v>
      </c>
      <c r="AK487" s="1">
        <v>5</v>
      </c>
      <c r="AL487" s="1">
        <v>5</v>
      </c>
      <c r="AM487" s="1" t="s">
        <v>1559</v>
      </c>
      <c r="AN487" s="1" t="s">
        <v>1560</v>
      </c>
      <c r="AO487" s="1" t="s">
        <v>1561</v>
      </c>
      <c r="AP487" s="1" t="s">
        <v>1833</v>
      </c>
      <c r="AQ487" s="1" t="s">
        <v>1834</v>
      </c>
      <c r="AR487" s="1" t="s">
        <v>1507</v>
      </c>
      <c r="AS487" s="1" t="s">
        <v>1822</v>
      </c>
      <c r="AT487" s="1" t="s">
        <v>1835</v>
      </c>
      <c r="AU487" s="1" t="s">
        <v>1836</v>
      </c>
      <c r="AV487" s="1">
        <v>2023</v>
      </c>
      <c r="AW487" s="1" t="s">
        <v>1507</v>
      </c>
      <c r="AX487" s="1" t="s">
        <v>1507</v>
      </c>
      <c r="AY487" s="1" t="s">
        <v>1507</v>
      </c>
      <c r="AZ487" s="1" t="s">
        <v>1507</v>
      </c>
      <c r="BA487" s="1" t="s">
        <v>1507</v>
      </c>
      <c r="BB487" s="1" t="s">
        <v>1507</v>
      </c>
      <c r="BC487" s="1" t="s">
        <v>1507</v>
      </c>
      <c r="BD487" s="1" t="s">
        <v>1507</v>
      </c>
      <c r="BE487" s="1" t="s">
        <v>1507</v>
      </c>
      <c r="BF487" s="1" t="s">
        <v>1837</v>
      </c>
      <c r="BG487" s="1" t="str">
        <f>HYPERLINK("http://dx.doi.org/10.1111/btp.13290","http://dx.doi.org/10.1111/btp.13290")</f>
        <v>http://dx.doi.org/10.1111/btp.13290</v>
      </c>
      <c r="BH487" s="1" t="s">
        <v>1507</v>
      </c>
      <c r="BI487" s="1" t="s">
        <v>1652</v>
      </c>
      <c r="BJ487" s="1">
        <v>13</v>
      </c>
      <c r="BK487" s="1" t="s">
        <v>1838</v>
      </c>
      <c r="BL487" s="1" t="s">
        <v>1573</v>
      </c>
      <c r="BM487" s="1" t="s">
        <v>1839</v>
      </c>
      <c r="BN487" s="1" t="s">
        <v>1840</v>
      </c>
      <c r="BO487" s="1" t="s">
        <v>1507</v>
      </c>
      <c r="BP487" s="1" t="s">
        <v>1537</v>
      </c>
      <c r="BQ487" s="1" t="s">
        <v>1507</v>
      </c>
      <c r="BR487" s="1" t="s">
        <v>1507</v>
      </c>
      <c r="BS487" s="1" t="s">
        <v>13744</v>
      </c>
      <c r="BT487" s="1" t="s">
        <v>1841</v>
      </c>
      <c r="BU487" s="1" t="str">
        <f>HYPERLINK("https%3A%2F%2Fwww.webofscience.com%2Fwos%2Fwoscc%2Ffull-record%2FWOS:001128676000001","View Full Record in Web of Science")</f>
        <v>View Full Record in Web of Science</v>
      </c>
    </row>
    <row r="488" spans="1:73" x14ac:dyDescent="0.25">
      <c r="A488" s="1">
        <v>536</v>
      </c>
      <c r="B488" s="1" t="s">
        <v>1506</v>
      </c>
      <c r="C488" s="1" t="s">
        <v>6463</v>
      </c>
      <c r="D488" s="1" t="s">
        <v>1507</v>
      </c>
      <c r="E488" s="1" t="s">
        <v>1507</v>
      </c>
      <c r="F488" s="1" t="s">
        <v>1507</v>
      </c>
      <c r="G488" s="1" t="s">
        <v>6464</v>
      </c>
      <c r="H488" s="1" t="s">
        <v>1507</v>
      </c>
      <c r="I488" s="1" t="s">
        <v>1507</v>
      </c>
      <c r="J488" s="1" t="s">
        <v>6465</v>
      </c>
      <c r="K488" s="1" t="s">
        <v>6466</v>
      </c>
      <c r="L488" s="1" t="s">
        <v>1507</v>
      </c>
      <c r="M488" s="1" t="s">
        <v>1507</v>
      </c>
      <c r="N488" s="1" t="s">
        <v>42</v>
      </c>
      <c r="O488" s="1" t="s">
        <v>56</v>
      </c>
      <c r="P488" s="1" t="s">
        <v>1507</v>
      </c>
      <c r="Q488" s="1" t="s">
        <v>1507</v>
      </c>
      <c r="R488" s="1" t="s">
        <v>1507</v>
      </c>
      <c r="S488" s="1" t="s">
        <v>1507</v>
      </c>
      <c r="T488" s="1" t="s">
        <v>1507</v>
      </c>
      <c r="U488" s="1" t="s">
        <v>6467</v>
      </c>
      <c r="V488" s="1" t="s">
        <v>6468</v>
      </c>
      <c r="W488" s="1" t="s">
        <v>6469</v>
      </c>
      <c r="X488" s="1" t="s">
        <v>6470</v>
      </c>
      <c r="Y488" s="1" t="s">
        <v>6471</v>
      </c>
      <c r="Z488" s="1" t="s">
        <v>6472</v>
      </c>
      <c r="AA488" s="1" t="s">
        <v>6473</v>
      </c>
      <c r="AB488" s="1" t="s">
        <v>1507</v>
      </c>
      <c r="AC488" s="1" t="s">
        <v>6474</v>
      </c>
      <c r="AD488" s="1" t="s">
        <v>1507</v>
      </c>
      <c r="AE488" s="1" t="s">
        <v>1507</v>
      </c>
      <c r="AF488" s="1" t="s">
        <v>1507</v>
      </c>
      <c r="AG488" s="1" t="s">
        <v>1507</v>
      </c>
      <c r="AH488" s="1">
        <v>73</v>
      </c>
      <c r="AI488" s="1">
        <v>0</v>
      </c>
      <c r="AJ488" s="1">
        <v>0</v>
      </c>
      <c r="AK488" s="1">
        <v>24</v>
      </c>
      <c r="AL488" s="1">
        <v>24</v>
      </c>
      <c r="AM488" s="1" t="s">
        <v>6475</v>
      </c>
      <c r="AN488" s="1" t="s">
        <v>6476</v>
      </c>
      <c r="AO488" s="1" t="s">
        <v>6477</v>
      </c>
      <c r="AP488" s="1" t="s">
        <v>6478</v>
      </c>
      <c r="AQ488" s="1" t="s">
        <v>6479</v>
      </c>
      <c r="AR488" s="1" t="s">
        <v>1507</v>
      </c>
      <c r="AS488" s="1" t="s">
        <v>6480</v>
      </c>
      <c r="AT488" s="1" t="s">
        <v>6481</v>
      </c>
      <c r="AU488" s="1" t="s">
        <v>1507</v>
      </c>
      <c r="AV488" s="1">
        <v>2023</v>
      </c>
      <c r="AW488" s="1">
        <v>19</v>
      </c>
      <c r="AX488" s="1">
        <v>4</v>
      </c>
      <c r="AY488" s="1" t="s">
        <v>1507</v>
      </c>
      <c r="AZ488" s="1" t="s">
        <v>1507</v>
      </c>
      <c r="BA488" s="1" t="s">
        <v>1507</v>
      </c>
      <c r="BB488" s="1" t="s">
        <v>1507</v>
      </c>
      <c r="BC488" s="1">
        <v>21</v>
      </c>
      <c r="BD488" s="1">
        <v>34</v>
      </c>
      <c r="BE488" s="1" t="s">
        <v>1507</v>
      </c>
      <c r="BF488" s="1" t="s">
        <v>6482</v>
      </c>
      <c r="BG488" s="1" t="str">
        <f>HYPERLINK("http://dx.doi.org/10.18089/tms.2023.190402","http://dx.doi.org/10.18089/tms.2023.190402")</f>
        <v>http://dx.doi.org/10.18089/tms.2023.190402</v>
      </c>
      <c r="BH488" s="1" t="s">
        <v>1507</v>
      </c>
      <c r="BI488" s="1" t="s">
        <v>1507</v>
      </c>
      <c r="BJ488" s="1">
        <v>14</v>
      </c>
      <c r="BK488" s="1" t="s">
        <v>6483</v>
      </c>
      <c r="BL488" s="1" t="s">
        <v>1529</v>
      </c>
      <c r="BM488" s="1" t="s">
        <v>6484</v>
      </c>
      <c r="BN488" s="1" t="s">
        <v>6485</v>
      </c>
      <c r="BO488" s="1" t="s">
        <v>1507</v>
      </c>
      <c r="BP488" s="1" t="s">
        <v>1553</v>
      </c>
      <c r="BQ488" s="1" t="s">
        <v>1507</v>
      </c>
      <c r="BR488" s="1" t="s">
        <v>1507</v>
      </c>
      <c r="BS488" s="1" t="s">
        <v>13744</v>
      </c>
      <c r="BT488" s="1" t="s">
        <v>6486</v>
      </c>
      <c r="BU488" s="1" t="str">
        <f>HYPERLINK("https%3A%2F%2Fwww.webofscience.com%2Fwos%2Fwoscc%2Ffull-record%2FWOS:001108771500003","View Full Record in Web of Science")</f>
        <v>View Full Record in Web of Science</v>
      </c>
    </row>
    <row r="489" spans="1:73" x14ac:dyDescent="0.25">
      <c r="A489" s="1">
        <v>537</v>
      </c>
      <c r="B489" s="1" t="s">
        <v>1506</v>
      </c>
      <c r="C489" s="1" t="s">
        <v>4926</v>
      </c>
      <c r="D489" s="1" t="s">
        <v>1507</v>
      </c>
      <c r="E489" s="1" t="s">
        <v>1507</v>
      </c>
      <c r="F489" s="1" t="s">
        <v>1507</v>
      </c>
      <c r="G489" s="1" t="s">
        <v>4927</v>
      </c>
      <c r="H489" s="1" t="s">
        <v>1507</v>
      </c>
      <c r="I489" s="1" t="s">
        <v>1507</v>
      </c>
      <c r="J489" s="1" t="s">
        <v>4928</v>
      </c>
      <c r="K489" s="1" t="s">
        <v>4929</v>
      </c>
      <c r="L489" s="1" t="s">
        <v>1507</v>
      </c>
      <c r="M489" s="1" t="s">
        <v>1507</v>
      </c>
      <c r="N489" s="1" t="s">
        <v>42</v>
      </c>
      <c r="O489" s="1" t="s">
        <v>56</v>
      </c>
      <c r="P489" s="1" t="s">
        <v>1507</v>
      </c>
      <c r="Q489" s="1" t="s">
        <v>1507</v>
      </c>
      <c r="R489" s="1" t="s">
        <v>1507</v>
      </c>
      <c r="S489" s="1" t="s">
        <v>1507</v>
      </c>
      <c r="T489" s="1" t="s">
        <v>1507</v>
      </c>
      <c r="U489" s="1" t="s">
        <v>220</v>
      </c>
      <c r="V489" s="1" t="s">
        <v>1507</v>
      </c>
      <c r="W489" s="1" t="s">
        <v>4930</v>
      </c>
      <c r="X489" s="1" t="s">
        <v>4931</v>
      </c>
      <c r="Y489" s="1" t="s">
        <v>1507</v>
      </c>
      <c r="Z489" s="1" t="s">
        <v>4932</v>
      </c>
      <c r="AA489" s="1" t="s">
        <v>4933</v>
      </c>
      <c r="AB489" s="1" t="s">
        <v>1507</v>
      </c>
      <c r="AC489" s="1" t="s">
        <v>1507</v>
      </c>
      <c r="AD489" s="1" t="s">
        <v>1507</v>
      </c>
      <c r="AE489" s="1" t="s">
        <v>1507</v>
      </c>
      <c r="AF489" s="1" t="s">
        <v>1507</v>
      </c>
      <c r="AG489" s="1" t="s">
        <v>1507</v>
      </c>
      <c r="AH489" s="1">
        <v>14</v>
      </c>
      <c r="AI489" s="1">
        <v>11</v>
      </c>
      <c r="AJ489" s="1">
        <v>11</v>
      </c>
      <c r="AK489" s="1">
        <v>5</v>
      </c>
      <c r="AL489" s="1">
        <v>17</v>
      </c>
      <c r="AM489" s="1" t="s">
        <v>1559</v>
      </c>
      <c r="AN489" s="1" t="s">
        <v>1560</v>
      </c>
      <c r="AO489" s="1" t="s">
        <v>1561</v>
      </c>
      <c r="AP489" s="1" t="s">
        <v>4934</v>
      </c>
      <c r="AQ489" s="1" t="s">
        <v>4935</v>
      </c>
      <c r="AR489" s="1" t="s">
        <v>1507</v>
      </c>
      <c r="AS489" s="1" t="s">
        <v>4936</v>
      </c>
      <c r="AT489" s="1" t="s">
        <v>221</v>
      </c>
      <c r="AU489" s="1" t="s">
        <v>4556</v>
      </c>
      <c r="AV489" s="1">
        <v>2023</v>
      </c>
      <c r="AW489" s="1">
        <v>26</v>
      </c>
      <c r="AX489" s="1">
        <v>7</v>
      </c>
      <c r="AY489" s="1" t="s">
        <v>1507</v>
      </c>
      <c r="AZ489" s="1" t="s">
        <v>1507</v>
      </c>
      <c r="BA489" s="1" t="s">
        <v>1507</v>
      </c>
      <c r="BB489" s="1" t="s">
        <v>1507</v>
      </c>
      <c r="BC489" s="1">
        <v>1343</v>
      </c>
      <c r="BD489" s="1">
        <v>1349</v>
      </c>
      <c r="BE489" s="1" t="s">
        <v>1507</v>
      </c>
      <c r="BF489" s="1" t="s">
        <v>216</v>
      </c>
      <c r="BG489" s="1" t="str">
        <f>HYPERLINK("http://dx.doi.org/10.1111/1756-185X.14749","http://dx.doi.org/10.1111/1756-185X.14749")</f>
        <v>http://dx.doi.org/10.1111/1756-185X.14749</v>
      </c>
      <c r="BH489" s="1" t="s">
        <v>1507</v>
      </c>
      <c r="BI489" s="1" t="s">
        <v>4832</v>
      </c>
      <c r="BJ489" s="1">
        <v>7</v>
      </c>
      <c r="BK489" s="1" t="s">
        <v>4937</v>
      </c>
      <c r="BL489" s="1" t="s">
        <v>1573</v>
      </c>
      <c r="BM489" s="1" t="s">
        <v>4937</v>
      </c>
      <c r="BN489" s="1" t="s">
        <v>4938</v>
      </c>
      <c r="BO489" s="1">
        <v>37218530</v>
      </c>
      <c r="BP489" s="1" t="s">
        <v>1507</v>
      </c>
      <c r="BQ489" s="1" t="s">
        <v>1507</v>
      </c>
      <c r="BR489" s="1" t="s">
        <v>1507</v>
      </c>
      <c r="BS489" s="1" t="s">
        <v>13744</v>
      </c>
      <c r="BT489" s="1" t="s">
        <v>4939</v>
      </c>
      <c r="BU489" s="1" t="str">
        <f>HYPERLINK("https%3A%2F%2Fwww.webofscience.com%2Fwos%2Fwoscc%2Ffull-record%2FWOS:000993728100001","View Full Record in Web of Science")</f>
        <v>View Full Record in Web of Science</v>
      </c>
    </row>
    <row r="490" spans="1:73" x14ac:dyDescent="0.25">
      <c r="A490" s="1">
        <v>538</v>
      </c>
      <c r="B490" s="1" t="s">
        <v>1506</v>
      </c>
      <c r="C490" s="1" t="s">
        <v>6487</v>
      </c>
      <c r="D490" s="1" t="s">
        <v>1507</v>
      </c>
      <c r="E490" s="1" t="s">
        <v>1507</v>
      </c>
      <c r="F490" s="1" t="s">
        <v>1507</v>
      </c>
      <c r="G490" s="1" t="s">
        <v>6488</v>
      </c>
      <c r="H490" s="1" t="s">
        <v>1507</v>
      </c>
      <c r="I490" s="1" t="s">
        <v>1507</v>
      </c>
      <c r="J490" s="1" t="s">
        <v>6489</v>
      </c>
      <c r="K490" s="1" t="s">
        <v>6490</v>
      </c>
      <c r="L490" s="1" t="s">
        <v>1507</v>
      </c>
      <c r="M490" s="1" t="s">
        <v>1507</v>
      </c>
      <c r="N490" s="1" t="s">
        <v>42</v>
      </c>
      <c r="O490" s="1" t="s">
        <v>56</v>
      </c>
      <c r="P490" s="1" t="s">
        <v>1507</v>
      </c>
      <c r="Q490" s="1" t="s">
        <v>1507</v>
      </c>
      <c r="R490" s="1" t="s">
        <v>1507</v>
      </c>
      <c r="S490" s="1" t="s">
        <v>1507</v>
      </c>
      <c r="T490" s="1" t="s">
        <v>1507</v>
      </c>
      <c r="U490" s="1" t="s">
        <v>6491</v>
      </c>
      <c r="V490" s="1" t="s">
        <v>6492</v>
      </c>
      <c r="W490" s="1" t="s">
        <v>6493</v>
      </c>
      <c r="X490" s="1" t="s">
        <v>6494</v>
      </c>
      <c r="Y490" s="1" t="s">
        <v>6495</v>
      </c>
      <c r="Z490" s="1" t="s">
        <v>6496</v>
      </c>
      <c r="AA490" s="1" t="s">
        <v>6497</v>
      </c>
      <c r="AB490" s="1" t="s">
        <v>6498</v>
      </c>
      <c r="AC490" s="1" t="s">
        <v>15419</v>
      </c>
      <c r="AD490" s="1" t="s">
        <v>6499</v>
      </c>
      <c r="AE490" s="1" t="s">
        <v>6500</v>
      </c>
      <c r="AF490" s="1" t="s">
        <v>6501</v>
      </c>
      <c r="AG490" s="1" t="s">
        <v>1507</v>
      </c>
      <c r="AH490" s="1">
        <v>35</v>
      </c>
      <c r="AI490" s="1">
        <v>0</v>
      </c>
      <c r="AJ490" s="1">
        <v>0</v>
      </c>
      <c r="AK490" s="1">
        <v>0</v>
      </c>
      <c r="AL490" s="1">
        <v>8</v>
      </c>
      <c r="AM490" s="1" t="s">
        <v>6502</v>
      </c>
      <c r="AN490" s="1" t="s">
        <v>6503</v>
      </c>
      <c r="AO490" s="1" t="s">
        <v>6504</v>
      </c>
      <c r="AP490" s="1" t="s">
        <v>6505</v>
      </c>
      <c r="AQ490" s="1" t="s">
        <v>6506</v>
      </c>
      <c r="AR490" s="1" t="s">
        <v>1507</v>
      </c>
      <c r="AS490" s="1" t="s">
        <v>6507</v>
      </c>
      <c r="AT490" s="1" t="s">
        <v>6508</v>
      </c>
      <c r="AU490" s="1" t="s">
        <v>1507</v>
      </c>
      <c r="AV490" s="1">
        <v>2023</v>
      </c>
      <c r="AW490" s="1">
        <v>45</v>
      </c>
      <c r="AX490" s="1" t="s">
        <v>1507</v>
      </c>
      <c r="AY490" s="1" t="s">
        <v>1507</v>
      </c>
      <c r="AZ490" s="1" t="s">
        <v>1507</v>
      </c>
      <c r="BA490" s="1" t="s">
        <v>1507</v>
      </c>
      <c r="BB490" s="1" t="s">
        <v>1507</v>
      </c>
      <c r="BC490" s="1" t="s">
        <v>1507</v>
      </c>
      <c r="BD490" s="1" t="s">
        <v>1507</v>
      </c>
      <c r="BE490" s="1" t="s">
        <v>6509</v>
      </c>
      <c r="BF490" s="1" t="s">
        <v>6510</v>
      </c>
      <c r="BG490" s="1" t="str">
        <f>HYPERLINK("http://dx.doi.org/10.4025/actasciagron.v45i1.56160","http://dx.doi.org/10.4025/actasciagron.v45i1.56160")</f>
        <v>http://dx.doi.org/10.4025/actasciagron.v45i1.56160</v>
      </c>
      <c r="BH490" s="1" t="s">
        <v>1507</v>
      </c>
      <c r="BI490" s="1" t="s">
        <v>1507</v>
      </c>
      <c r="BJ490" s="1">
        <v>10</v>
      </c>
      <c r="BK490" s="1" t="s">
        <v>6511</v>
      </c>
      <c r="BL490" s="1" t="s">
        <v>1573</v>
      </c>
      <c r="BM490" s="1" t="s">
        <v>6512</v>
      </c>
      <c r="BN490" s="1" t="s">
        <v>6513</v>
      </c>
      <c r="BO490" s="1" t="s">
        <v>1507</v>
      </c>
      <c r="BP490" s="1" t="s">
        <v>1674</v>
      </c>
      <c r="BQ490" s="1" t="s">
        <v>1507</v>
      </c>
      <c r="BR490" s="1" t="s">
        <v>1507</v>
      </c>
      <c r="BS490" s="1" t="s">
        <v>13744</v>
      </c>
      <c r="BT490" s="1" t="s">
        <v>6514</v>
      </c>
      <c r="BU490" s="1" t="str">
        <f>HYPERLINK("https%3A%2F%2Fwww.webofscience.com%2Fwos%2Fwoscc%2Ffull-record%2FWOS:000874820200001","View Full Record in Web of Science")</f>
        <v>View Full Record in Web of Science</v>
      </c>
    </row>
    <row r="491" spans="1:73" x14ac:dyDescent="0.25">
      <c r="A491" s="1">
        <v>539</v>
      </c>
      <c r="B491" s="1" t="s">
        <v>1506</v>
      </c>
      <c r="C491" s="1" t="s">
        <v>2681</v>
      </c>
      <c r="D491" s="1" t="s">
        <v>1507</v>
      </c>
      <c r="E491" s="1" t="s">
        <v>1507</v>
      </c>
      <c r="F491" s="1" t="s">
        <v>1507</v>
      </c>
      <c r="G491" s="1" t="s">
        <v>2682</v>
      </c>
      <c r="H491" s="1" t="s">
        <v>1507</v>
      </c>
      <c r="I491" s="1" t="s">
        <v>1507</v>
      </c>
      <c r="J491" s="1" t="s">
        <v>2683</v>
      </c>
      <c r="K491" s="1" t="s">
        <v>2684</v>
      </c>
      <c r="L491" s="1" t="s">
        <v>1507</v>
      </c>
      <c r="M491" s="1" t="s">
        <v>1507</v>
      </c>
      <c r="N491" s="1" t="s">
        <v>42</v>
      </c>
      <c r="O491" s="1" t="s">
        <v>56</v>
      </c>
      <c r="P491" s="1" t="s">
        <v>1507</v>
      </c>
      <c r="Q491" s="1" t="s">
        <v>1507</v>
      </c>
      <c r="R491" s="1" t="s">
        <v>1507</v>
      </c>
      <c r="S491" s="1" t="s">
        <v>1507</v>
      </c>
      <c r="T491" s="1" t="s">
        <v>1507</v>
      </c>
      <c r="U491" s="1" t="s">
        <v>1507</v>
      </c>
      <c r="V491" s="1" t="s">
        <v>2685</v>
      </c>
      <c r="W491" s="1" t="s">
        <v>2686</v>
      </c>
      <c r="X491" s="1" t="s">
        <v>2687</v>
      </c>
      <c r="Y491" s="1" t="s">
        <v>2688</v>
      </c>
      <c r="Z491" s="1" t="s">
        <v>2689</v>
      </c>
      <c r="AA491" s="1" t="s">
        <v>2690</v>
      </c>
      <c r="AB491" s="1" t="s">
        <v>1507</v>
      </c>
      <c r="AC491" s="1" t="s">
        <v>2691</v>
      </c>
      <c r="AD491" s="1" t="s">
        <v>2692</v>
      </c>
      <c r="AE491" s="1" t="s">
        <v>2693</v>
      </c>
      <c r="AF491" s="1" t="s">
        <v>2694</v>
      </c>
      <c r="AG491" s="1" t="s">
        <v>1507</v>
      </c>
      <c r="AH491" s="1">
        <v>74</v>
      </c>
      <c r="AI491" s="1">
        <v>1</v>
      </c>
      <c r="AJ491" s="1">
        <v>1</v>
      </c>
      <c r="AK491" s="1">
        <v>2</v>
      </c>
      <c r="AL491" s="1">
        <v>2</v>
      </c>
      <c r="AM491" s="1" t="s">
        <v>1559</v>
      </c>
      <c r="AN491" s="1" t="s">
        <v>1560</v>
      </c>
      <c r="AO491" s="1" t="s">
        <v>1561</v>
      </c>
      <c r="AP491" s="1" t="s">
        <v>2695</v>
      </c>
      <c r="AQ491" s="1" t="s">
        <v>2696</v>
      </c>
      <c r="AR491" s="1" t="s">
        <v>1507</v>
      </c>
      <c r="AS491" s="1" t="s">
        <v>2697</v>
      </c>
      <c r="AT491" s="1" t="s">
        <v>2698</v>
      </c>
      <c r="AU491" s="1" t="s">
        <v>2771</v>
      </c>
      <c r="AV491" s="1">
        <v>2023</v>
      </c>
      <c r="AW491" s="1">
        <v>32</v>
      </c>
      <c r="AX491" s="1">
        <v>6</v>
      </c>
      <c r="AY491" s="1" t="s">
        <v>1507</v>
      </c>
      <c r="AZ491" s="1" t="s">
        <v>1507</v>
      </c>
      <c r="BA491" s="1" t="s">
        <v>1507</v>
      </c>
      <c r="BB491" s="1" t="s">
        <v>1507</v>
      </c>
      <c r="BC491" s="1" t="s">
        <v>1507</v>
      </c>
      <c r="BD491" s="1" t="s">
        <v>1507</v>
      </c>
      <c r="BE491" s="1" t="s">
        <v>1507</v>
      </c>
      <c r="BF491" s="1" t="s">
        <v>2699</v>
      </c>
      <c r="BG491" s="1" t="str">
        <f>HYPERLINK("http://dx.doi.org/10.1002/icd.2478","http://dx.doi.org/10.1002/icd.2478")</f>
        <v>http://dx.doi.org/10.1002/icd.2478</v>
      </c>
      <c r="BH491" s="1" t="s">
        <v>1507</v>
      </c>
      <c r="BI491" s="1" t="s">
        <v>2396</v>
      </c>
      <c r="BJ491" s="1">
        <v>17</v>
      </c>
      <c r="BK491" s="1" t="s">
        <v>2700</v>
      </c>
      <c r="BL491" s="1" t="s">
        <v>1518</v>
      </c>
      <c r="BM491" s="1" t="s">
        <v>1519</v>
      </c>
      <c r="BN491" s="1" t="s">
        <v>2701</v>
      </c>
      <c r="BO491" s="1" t="s">
        <v>1507</v>
      </c>
      <c r="BP491" s="1" t="s">
        <v>1537</v>
      </c>
      <c r="BQ491" s="1" t="s">
        <v>1507</v>
      </c>
      <c r="BR491" s="1" t="s">
        <v>1507</v>
      </c>
      <c r="BS491" s="1" t="s">
        <v>13744</v>
      </c>
      <c r="BT491" s="1" t="s">
        <v>2702</v>
      </c>
      <c r="BU491" s="1" t="str">
        <f>HYPERLINK("https%3A%2F%2Fwww.webofscience.com%2Fwos%2Fwoscc%2Ffull-record%2FWOS:001102040500001","View Full Record in Web of Science")</f>
        <v>View Full Record in Web of Science</v>
      </c>
    </row>
    <row r="492" spans="1:73" x14ac:dyDescent="0.25">
      <c r="A492" s="1">
        <v>540</v>
      </c>
      <c r="B492" s="1" t="s">
        <v>1506</v>
      </c>
      <c r="C492" s="1" t="s">
        <v>5366</v>
      </c>
      <c r="D492" s="1" t="s">
        <v>1507</v>
      </c>
      <c r="E492" s="1" t="s">
        <v>1507</v>
      </c>
      <c r="F492" s="1" t="s">
        <v>1507</v>
      </c>
      <c r="G492" s="1" t="s">
        <v>5367</v>
      </c>
      <c r="H492" s="1" t="s">
        <v>1507</v>
      </c>
      <c r="I492" s="1" t="s">
        <v>1507</v>
      </c>
      <c r="J492" s="1" t="s">
        <v>5368</v>
      </c>
      <c r="K492" s="1" t="s">
        <v>5369</v>
      </c>
      <c r="L492" s="1" t="s">
        <v>1507</v>
      </c>
      <c r="M492" s="1" t="s">
        <v>1507</v>
      </c>
      <c r="N492" s="1" t="s">
        <v>42</v>
      </c>
      <c r="O492" s="1" t="s">
        <v>1509</v>
      </c>
      <c r="P492" s="1" t="s">
        <v>1507</v>
      </c>
      <c r="Q492" s="1" t="s">
        <v>1507</v>
      </c>
      <c r="R492" s="1" t="s">
        <v>1507</v>
      </c>
      <c r="S492" s="1" t="s">
        <v>1507</v>
      </c>
      <c r="T492" s="1" t="s">
        <v>1507</v>
      </c>
      <c r="U492" s="1" t="s">
        <v>5370</v>
      </c>
      <c r="V492" s="1" t="s">
        <v>5371</v>
      </c>
      <c r="W492" s="1" t="s">
        <v>5372</v>
      </c>
      <c r="X492" s="1" t="s">
        <v>5373</v>
      </c>
      <c r="Y492" s="1" t="s">
        <v>14806</v>
      </c>
      <c r="Z492" s="1" t="s">
        <v>5374</v>
      </c>
      <c r="AA492" s="1" t="s">
        <v>5375</v>
      </c>
      <c r="AB492" s="1" t="s">
        <v>5376</v>
      </c>
      <c r="AC492" s="1" t="s">
        <v>5377</v>
      </c>
      <c r="AD492" s="1" t="s">
        <v>5378</v>
      </c>
      <c r="AE492" s="1" t="s">
        <v>5379</v>
      </c>
      <c r="AF492" s="1" t="s">
        <v>5380</v>
      </c>
      <c r="AG492" s="1" t="s">
        <v>1507</v>
      </c>
      <c r="AH492" s="1">
        <v>18</v>
      </c>
      <c r="AI492" s="1">
        <v>0</v>
      </c>
      <c r="AJ492" s="1">
        <v>0</v>
      </c>
      <c r="AK492" s="1">
        <v>0</v>
      </c>
      <c r="AL492" s="1">
        <v>0</v>
      </c>
      <c r="AM492" s="1" t="s">
        <v>5381</v>
      </c>
      <c r="AN492" s="1" t="s">
        <v>1512</v>
      </c>
      <c r="AO492" s="1" t="s">
        <v>5382</v>
      </c>
      <c r="AP492" s="1" t="s">
        <v>5383</v>
      </c>
      <c r="AQ492" s="1" t="s">
        <v>5384</v>
      </c>
      <c r="AR492" s="1" t="s">
        <v>1507</v>
      </c>
      <c r="AS492" s="1" t="s">
        <v>5385</v>
      </c>
      <c r="AT492" s="1" t="s">
        <v>5386</v>
      </c>
      <c r="AU492" s="1" t="s">
        <v>5387</v>
      </c>
      <c r="AV492" s="1">
        <v>2023</v>
      </c>
      <c r="AW492" s="1" t="s">
        <v>1507</v>
      </c>
      <c r="AX492" s="1" t="s">
        <v>1507</v>
      </c>
      <c r="AY492" s="1" t="s">
        <v>1507</v>
      </c>
      <c r="AZ492" s="1" t="s">
        <v>1507</v>
      </c>
      <c r="BA492" s="1" t="s">
        <v>1507</v>
      </c>
      <c r="BB492" s="1" t="s">
        <v>1507</v>
      </c>
      <c r="BC492" s="1" t="s">
        <v>1507</v>
      </c>
      <c r="BD492" s="1" t="s">
        <v>1507</v>
      </c>
      <c r="BE492" s="1" t="s">
        <v>1507</v>
      </c>
      <c r="BF492" s="1" t="s">
        <v>5388</v>
      </c>
      <c r="BG492" s="1" t="str">
        <f>HYPERLINK("http://dx.doi.org/10.1055/s-0043-1761280","http://dx.doi.org/10.1055/s-0043-1761280")</f>
        <v>http://dx.doi.org/10.1055/s-0043-1761280</v>
      </c>
      <c r="BH492" s="1" t="s">
        <v>1507</v>
      </c>
      <c r="BI492" s="1" t="s">
        <v>5389</v>
      </c>
      <c r="BJ492" s="1">
        <v>8</v>
      </c>
      <c r="BK492" s="1" t="s">
        <v>4961</v>
      </c>
      <c r="BL492" s="1" t="s">
        <v>1529</v>
      </c>
      <c r="BM492" s="1" t="s">
        <v>4962</v>
      </c>
      <c r="BN492" s="1" t="s">
        <v>5390</v>
      </c>
      <c r="BO492" s="1" t="s">
        <v>1507</v>
      </c>
      <c r="BP492" s="1" t="s">
        <v>4214</v>
      </c>
      <c r="BQ492" s="1" t="s">
        <v>1507</v>
      </c>
      <c r="BR492" s="1" t="s">
        <v>1507</v>
      </c>
      <c r="BS492" s="1" t="s">
        <v>13744</v>
      </c>
      <c r="BT492" s="1" t="s">
        <v>5391</v>
      </c>
      <c r="BU492" s="1" t="str">
        <f>HYPERLINK("https%3A%2F%2Fwww.webofscience.com%2Fwos%2Fwoscc%2Ffull-record%2FWOS:000940223400001","View Full Record in Web of Science")</f>
        <v>View Full Record in Web of Science</v>
      </c>
    </row>
    <row r="493" spans="1:73" s="7" customFormat="1" x14ac:dyDescent="0.25">
      <c r="A493" s="1">
        <v>542</v>
      </c>
      <c r="B493" s="1" t="s">
        <v>1506</v>
      </c>
      <c r="C493" s="1" t="s">
        <v>3373</v>
      </c>
      <c r="D493" s="1" t="s">
        <v>1507</v>
      </c>
      <c r="E493" s="1" t="s">
        <v>1507</v>
      </c>
      <c r="F493" s="1" t="s">
        <v>1507</v>
      </c>
      <c r="G493" s="1" t="s">
        <v>3374</v>
      </c>
      <c r="H493" s="1" t="s">
        <v>1507</v>
      </c>
      <c r="I493" s="1" t="s">
        <v>1507</v>
      </c>
      <c r="J493" s="1" t="s">
        <v>3375</v>
      </c>
      <c r="K493" s="1" t="s">
        <v>3376</v>
      </c>
      <c r="L493" s="1" t="s">
        <v>1507</v>
      </c>
      <c r="M493" s="1" t="s">
        <v>1507</v>
      </c>
      <c r="N493" s="1" t="s">
        <v>42</v>
      </c>
      <c r="O493" s="1" t="s">
        <v>1509</v>
      </c>
      <c r="P493" s="1" t="s">
        <v>1507</v>
      </c>
      <c r="Q493" s="1" t="s">
        <v>1507</v>
      </c>
      <c r="R493" s="1" t="s">
        <v>1507</v>
      </c>
      <c r="S493" s="1" t="s">
        <v>1507</v>
      </c>
      <c r="T493" s="1" t="s">
        <v>1507</v>
      </c>
      <c r="U493" s="1" t="s">
        <v>3377</v>
      </c>
      <c r="V493" s="1" t="s">
        <v>1507</v>
      </c>
      <c r="W493" s="1" t="s">
        <v>3378</v>
      </c>
      <c r="X493" s="1" t="s">
        <v>3379</v>
      </c>
      <c r="Y493" s="1" t="s">
        <v>14302</v>
      </c>
      <c r="Z493" s="1" t="s">
        <v>3380</v>
      </c>
      <c r="AA493" s="1" t="s">
        <v>3381</v>
      </c>
      <c r="AB493" s="1" t="s">
        <v>1507</v>
      </c>
      <c r="AC493" s="1" t="s">
        <v>1507</v>
      </c>
      <c r="AD493" s="1" t="s">
        <v>3382</v>
      </c>
      <c r="AE493" s="1" t="s">
        <v>3383</v>
      </c>
      <c r="AF493" s="1" t="s">
        <v>3384</v>
      </c>
      <c r="AG493" s="1" t="s">
        <v>1507</v>
      </c>
      <c r="AH493" s="1">
        <v>54</v>
      </c>
      <c r="AI493" s="1">
        <v>0</v>
      </c>
      <c r="AJ493" s="1">
        <v>0</v>
      </c>
      <c r="AK493" s="1">
        <v>20</v>
      </c>
      <c r="AL493" s="1">
        <v>20</v>
      </c>
      <c r="AM493" s="1" t="s">
        <v>3385</v>
      </c>
      <c r="AN493" s="1" t="s">
        <v>3386</v>
      </c>
      <c r="AO493" s="1" t="s">
        <v>3387</v>
      </c>
      <c r="AP493" s="1" t="s">
        <v>3388</v>
      </c>
      <c r="AQ493" s="1" t="s">
        <v>3389</v>
      </c>
      <c r="AR493" s="1" t="s">
        <v>1507</v>
      </c>
      <c r="AS493" s="1" t="s">
        <v>3390</v>
      </c>
      <c r="AT493" s="1" t="s">
        <v>3391</v>
      </c>
      <c r="AU493" s="1" t="s">
        <v>3392</v>
      </c>
      <c r="AV493" s="1">
        <v>2023</v>
      </c>
      <c r="AW493" s="1" t="s">
        <v>1507</v>
      </c>
      <c r="AX493" s="1" t="s">
        <v>1507</v>
      </c>
      <c r="AY493" s="1" t="s">
        <v>1507</v>
      </c>
      <c r="AZ493" s="1" t="s">
        <v>1507</v>
      </c>
      <c r="BA493" s="1" t="s">
        <v>1507</v>
      </c>
      <c r="BB493" s="1" t="s">
        <v>1507</v>
      </c>
      <c r="BC493" s="1" t="s">
        <v>1507</v>
      </c>
      <c r="BD493" s="1" t="s">
        <v>1507</v>
      </c>
      <c r="BE493" s="1" t="s">
        <v>1507</v>
      </c>
      <c r="BF493" s="1" t="s">
        <v>3393</v>
      </c>
      <c r="BG493" s="1" t="str">
        <f>HYPERLINK("http://dx.doi.org/10.1002/prep.202300109","http://dx.doi.org/10.1002/prep.202300109")</f>
        <v>http://dx.doi.org/10.1002/prep.202300109</v>
      </c>
      <c r="BH493" s="1" t="s">
        <v>1507</v>
      </c>
      <c r="BI493" s="1" t="s">
        <v>2891</v>
      </c>
      <c r="BJ493" s="1">
        <v>21</v>
      </c>
      <c r="BK493" s="1" t="s">
        <v>3394</v>
      </c>
      <c r="BL493" s="1" t="s">
        <v>1573</v>
      </c>
      <c r="BM493" s="1" t="s">
        <v>3395</v>
      </c>
      <c r="BN493" s="1" t="s">
        <v>3396</v>
      </c>
      <c r="BO493" s="1" t="s">
        <v>1507</v>
      </c>
      <c r="BP493" s="1" t="s">
        <v>1507</v>
      </c>
      <c r="BQ493" s="1" t="s">
        <v>1507</v>
      </c>
      <c r="BR493" s="1" t="s">
        <v>1507</v>
      </c>
      <c r="BS493" s="1" t="s">
        <v>13744</v>
      </c>
      <c r="BT493" s="1" t="s">
        <v>3397</v>
      </c>
      <c r="BU493" s="1" t="str">
        <f>HYPERLINK("https%3A%2F%2Fwww.webofscience.com%2Fwos%2Fwoscc%2Ffull-record%2FWOS:001076295500001","View Full Record in Web of Science")</f>
        <v>View Full Record in Web of Science</v>
      </c>
    </row>
    <row r="494" spans="1:73" s="7" customFormat="1" x14ac:dyDescent="0.25">
      <c r="A494" s="1">
        <v>543</v>
      </c>
      <c r="B494" s="1" t="s">
        <v>1506</v>
      </c>
      <c r="C494" s="1" t="s">
        <v>7172</v>
      </c>
      <c r="D494" s="1" t="s">
        <v>1507</v>
      </c>
      <c r="E494" s="1" t="s">
        <v>1507</v>
      </c>
      <c r="F494" s="1" t="s">
        <v>1507</v>
      </c>
      <c r="G494" s="1" t="s">
        <v>7173</v>
      </c>
      <c r="H494" s="1" t="s">
        <v>1507</v>
      </c>
      <c r="I494" s="1" t="s">
        <v>1507</v>
      </c>
      <c r="J494" s="1" t="s">
        <v>7174</v>
      </c>
      <c r="K494" s="1" t="s">
        <v>7175</v>
      </c>
      <c r="L494" s="1" t="s">
        <v>1507</v>
      </c>
      <c r="M494" s="1" t="s">
        <v>1507</v>
      </c>
      <c r="N494" s="1" t="s">
        <v>42</v>
      </c>
      <c r="O494" s="1" t="s">
        <v>56</v>
      </c>
      <c r="P494" s="1" t="s">
        <v>1507</v>
      </c>
      <c r="Q494" s="1" t="s">
        <v>1507</v>
      </c>
      <c r="R494" s="1" t="s">
        <v>1507</v>
      </c>
      <c r="S494" s="1" t="s">
        <v>1507</v>
      </c>
      <c r="T494" s="1" t="s">
        <v>1507</v>
      </c>
      <c r="U494" s="1" t="s">
        <v>1507</v>
      </c>
      <c r="V494" s="1" t="s">
        <v>7176</v>
      </c>
      <c r="W494" s="1" t="s">
        <v>7177</v>
      </c>
      <c r="X494" s="1" t="s">
        <v>7178</v>
      </c>
      <c r="Y494" s="1" t="s">
        <v>2688</v>
      </c>
      <c r="Z494" s="1" t="s">
        <v>7179</v>
      </c>
      <c r="AA494" s="1" t="s">
        <v>7180</v>
      </c>
      <c r="AB494" s="1" t="s">
        <v>7181</v>
      </c>
      <c r="AC494" s="1" t="s">
        <v>15609</v>
      </c>
      <c r="AD494" s="1" t="s">
        <v>7182</v>
      </c>
      <c r="AE494" s="1" t="s">
        <v>7183</v>
      </c>
      <c r="AF494" s="1" t="s">
        <v>7184</v>
      </c>
      <c r="AG494" s="1" t="s">
        <v>1507</v>
      </c>
      <c r="AH494" s="1">
        <v>35</v>
      </c>
      <c r="AI494" s="1">
        <v>5</v>
      </c>
      <c r="AJ494" s="1">
        <v>5</v>
      </c>
      <c r="AK494" s="1">
        <v>0</v>
      </c>
      <c r="AL494" s="1">
        <v>0</v>
      </c>
      <c r="AM494" s="1" t="s">
        <v>2733</v>
      </c>
      <c r="AN494" s="1" t="s">
        <v>1551</v>
      </c>
      <c r="AO494" s="1" t="s">
        <v>2734</v>
      </c>
      <c r="AP494" s="1" t="s">
        <v>1507</v>
      </c>
      <c r="AQ494" s="1" t="s">
        <v>7185</v>
      </c>
      <c r="AR494" s="1" t="s">
        <v>1507</v>
      </c>
      <c r="AS494" s="1" t="s">
        <v>7186</v>
      </c>
      <c r="AT494" s="1" t="s">
        <v>7187</v>
      </c>
      <c r="AU494" s="1" t="s">
        <v>4556</v>
      </c>
      <c r="AV494" s="1">
        <v>2022</v>
      </c>
      <c r="AW494" s="1">
        <v>10</v>
      </c>
      <c r="AX494" s="1">
        <v>4</v>
      </c>
      <c r="AY494" s="1" t="s">
        <v>1507</v>
      </c>
      <c r="AZ494" s="1" t="s">
        <v>1507</v>
      </c>
      <c r="BA494" s="1" t="s">
        <v>1507</v>
      </c>
      <c r="BB494" s="1" t="s">
        <v>1507</v>
      </c>
      <c r="BC494" s="1" t="s">
        <v>1507</v>
      </c>
      <c r="BD494" s="1" t="s">
        <v>1507</v>
      </c>
      <c r="BE494" s="1" t="s">
        <v>7188</v>
      </c>
      <c r="BF494" s="1" t="s">
        <v>1206</v>
      </c>
      <c r="BG494" s="1" t="str">
        <f>HYPERLINK("http://dx.doi.org/10.1136/bmjdrc-2022-002765","http://dx.doi.org/10.1136/bmjdrc-2022-002765")</f>
        <v>http://dx.doi.org/10.1136/bmjdrc-2022-002765</v>
      </c>
      <c r="BH494" s="1" t="s">
        <v>1507</v>
      </c>
      <c r="BI494" s="1" t="s">
        <v>1507</v>
      </c>
      <c r="BJ494" s="1">
        <v>9</v>
      </c>
      <c r="BK494" s="1" t="s">
        <v>7189</v>
      </c>
      <c r="BL494" s="1" t="s">
        <v>1573</v>
      </c>
      <c r="BM494" s="1" t="s">
        <v>7189</v>
      </c>
      <c r="BN494" s="1" t="s">
        <v>7190</v>
      </c>
      <c r="BO494" s="1">
        <v>35858715</v>
      </c>
      <c r="BP494" s="1" t="s">
        <v>1674</v>
      </c>
      <c r="BQ494" s="1" t="s">
        <v>1507</v>
      </c>
      <c r="BR494" s="1" t="s">
        <v>1507</v>
      </c>
      <c r="BS494" s="1" t="s">
        <v>13744</v>
      </c>
      <c r="BT494" s="1" t="s">
        <v>7191</v>
      </c>
      <c r="BU494" s="1" t="str">
        <f>HYPERLINK("https%3A%2F%2Fwww.webofscience.com%2Fwos%2Fwoscc%2Ffull-record%2FWOS:000828736400001","View Full Record in Web of Science")</f>
        <v>View Full Record in Web of Science</v>
      </c>
    </row>
    <row r="495" spans="1:73" s="7" customFormat="1" x14ac:dyDescent="0.25">
      <c r="A495" s="1">
        <v>544</v>
      </c>
      <c r="B495" s="1" t="s">
        <v>1506</v>
      </c>
      <c r="C495" s="1" t="s">
        <v>11483</v>
      </c>
      <c r="D495" s="1" t="s">
        <v>1507</v>
      </c>
      <c r="E495" s="1" t="s">
        <v>1507</v>
      </c>
      <c r="F495" s="1" t="s">
        <v>1507</v>
      </c>
      <c r="G495" s="1" t="s">
        <v>11484</v>
      </c>
      <c r="H495" s="1" t="s">
        <v>1507</v>
      </c>
      <c r="I495" s="1" t="s">
        <v>1507</v>
      </c>
      <c r="J495" s="1" t="s">
        <v>11485</v>
      </c>
      <c r="K495" s="1" t="s">
        <v>11486</v>
      </c>
      <c r="L495" s="1" t="s">
        <v>1507</v>
      </c>
      <c r="M495" s="1" t="s">
        <v>1507</v>
      </c>
      <c r="N495" s="1" t="s">
        <v>42</v>
      </c>
      <c r="O495" s="1" t="s">
        <v>56</v>
      </c>
      <c r="P495" s="1" t="s">
        <v>1507</v>
      </c>
      <c r="Q495" s="1" t="s">
        <v>1507</v>
      </c>
      <c r="R495" s="1" t="s">
        <v>1507</v>
      </c>
      <c r="S495" s="1" t="s">
        <v>1507</v>
      </c>
      <c r="T495" s="1" t="s">
        <v>1507</v>
      </c>
      <c r="U495" s="1" t="s">
        <v>11487</v>
      </c>
      <c r="V495" s="1" t="s">
        <v>11488</v>
      </c>
      <c r="W495" s="1" t="s">
        <v>11489</v>
      </c>
      <c r="X495" s="1" t="s">
        <v>11490</v>
      </c>
      <c r="Y495" s="1" t="s">
        <v>11491</v>
      </c>
      <c r="Z495" s="1" t="s">
        <v>11492</v>
      </c>
      <c r="AA495" s="1" t="s">
        <v>11493</v>
      </c>
      <c r="AB495" s="1" t="s">
        <v>15946</v>
      </c>
      <c r="AC495" s="1" t="s">
        <v>15947</v>
      </c>
      <c r="AD495" s="1" t="s">
        <v>11494</v>
      </c>
      <c r="AE495" s="1" t="s">
        <v>11495</v>
      </c>
      <c r="AF495" s="1" t="s">
        <v>11496</v>
      </c>
      <c r="AG495" s="1" t="s">
        <v>1507</v>
      </c>
      <c r="AH495" s="1">
        <v>29</v>
      </c>
      <c r="AI495" s="1">
        <v>7</v>
      </c>
      <c r="AJ495" s="1">
        <v>9</v>
      </c>
      <c r="AK495" s="1">
        <v>2</v>
      </c>
      <c r="AL495" s="1">
        <v>16</v>
      </c>
      <c r="AM495" s="1" t="s">
        <v>11497</v>
      </c>
      <c r="AN495" s="1" t="s">
        <v>11498</v>
      </c>
      <c r="AO495" s="1" t="s">
        <v>11499</v>
      </c>
      <c r="AP495" s="1" t="s">
        <v>11500</v>
      </c>
      <c r="AQ495" s="1" t="s">
        <v>1507</v>
      </c>
      <c r="AR495" s="1" t="s">
        <v>1507</v>
      </c>
      <c r="AS495" s="1" t="s">
        <v>11501</v>
      </c>
      <c r="AT495" s="1" t="s">
        <v>11502</v>
      </c>
      <c r="AU495" s="1" t="s">
        <v>1507</v>
      </c>
      <c r="AV495" s="1">
        <v>2019</v>
      </c>
      <c r="AW495" s="1">
        <v>48</v>
      </c>
      <c r="AX495" s="1" t="s">
        <v>1507</v>
      </c>
      <c r="AY495" s="1" t="s">
        <v>1507</v>
      </c>
      <c r="AZ495" s="1" t="s">
        <v>1507</v>
      </c>
      <c r="BA495" s="1" t="s">
        <v>1507</v>
      </c>
      <c r="BB495" s="1" t="s">
        <v>1507</v>
      </c>
      <c r="BC495" s="1" t="s">
        <v>1507</v>
      </c>
      <c r="BD495" s="1" t="s">
        <v>1507</v>
      </c>
      <c r="BE495" s="1" t="s">
        <v>11503</v>
      </c>
      <c r="BF495" s="1" t="s">
        <v>11504</v>
      </c>
      <c r="BG495" s="1" t="str">
        <f>HYPERLINK("http://dx.doi.org/10.1590/rbz4820180131","http://dx.doi.org/10.1590/rbz4820180131")</f>
        <v>http://dx.doi.org/10.1590/rbz4820180131</v>
      </c>
      <c r="BH495" s="1" t="s">
        <v>1507</v>
      </c>
      <c r="BI495" s="1" t="s">
        <v>1507</v>
      </c>
      <c r="BJ495" s="1">
        <v>8</v>
      </c>
      <c r="BK495" s="1" t="s">
        <v>8533</v>
      </c>
      <c r="BL495" s="1" t="s">
        <v>1573</v>
      </c>
      <c r="BM495" s="1" t="s">
        <v>8534</v>
      </c>
      <c r="BN495" s="1" t="s">
        <v>11505</v>
      </c>
      <c r="BO495" s="1" t="s">
        <v>1507</v>
      </c>
      <c r="BP495" s="1" t="s">
        <v>10606</v>
      </c>
      <c r="BQ495" s="1" t="s">
        <v>1507</v>
      </c>
      <c r="BR495" s="1" t="s">
        <v>1507</v>
      </c>
      <c r="BS495" s="1" t="s">
        <v>13744</v>
      </c>
      <c r="BT495" s="1" t="s">
        <v>11506</v>
      </c>
      <c r="BU495" s="1" t="str">
        <f>HYPERLINK("https%3A%2F%2Fwww.webofscience.com%2Fwos%2Fwoscc%2Ffull-record%2FWOS:000465074800002","View Full Record in Web of Science")</f>
        <v>View Full Record in Web of Science</v>
      </c>
    </row>
    <row r="496" spans="1:73" s="7" customFormat="1" x14ac:dyDescent="0.25">
      <c r="A496" s="1">
        <v>545</v>
      </c>
      <c r="B496" s="1" t="s">
        <v>1506</v>
      </c>
      <c r="C496" s="1" t="s">
        <v>6515</v>
      </c>
      <c r="D496" s="1" t="s">
        <v>1507</v>
      </c>
      <c r="E496" s="1" t="s">
        <v>1507</v>
      </c>
      <c r="F496" s="1" t="s">
        <v>1507</v>
      </c>
      <c r="G496" s="1" t="s">
        <v>6516</v>
      </c>
      <c r="H496" s="1" t="s">
        <v>1507</v>
      </c>
      <c r="I496" s="1" t="s">
        <v>1507</v>
      </c>
      <c r="J496" s="1" t="s">
        <v>6517</v>
      </c>
      <c r="K496" s="1" t="s">
        <v>6518</v>
      </c>
      <c r="L496" s="1" t="s">
        <v>1507</v>
      </c>
      <c r="M496" s="1" t="s">
        <v>1507</v>
      </c>
      <c r="N496" s="1" t="s">
        <v>42</v>
      </c>
      <c r="O496" s="1" t="s">
        <v>56</v>
      </c>
      <c r="P496" s="1" t="s">
        <v>1507</v>
      </c>
      <c r="Q496" s="1" t="s">
        <v>1507</v>
      </c>
      <c r="R496" s="1" t="s">
        <v>1507</v>
      </c>
      <c r="S496" s="1" t="s">
        <v>1507</v>
      </c>
      <c r="T496" s="1" t="s">
        <v>1507</v>
      </c>
      <c r="U496" s="1" t="s">
        <v>6519</v>
      </c>
      <c r="V496" s="1" t="s">
        <v>1507</v>
      </c>
      <c r="W496" s="1" t="s">
        <v>6520</v>
      </c>
      <c r="X496" s="1" t="s">
        <v>6521</v>
      </c>
      <c r="Y496" s="1" t="s">
        <v>6522</v>
      </c>
      <c r="Z496" s="1" t="s">
        <v>6523</v>
      </c>
      <c r="AA496" s="1" t="s">
        <v>6524</v>
      </c>
      <c r="AB496" s="1" t="s">
        <v>15420</v>
      </c>
      <c r="AC496" s="1" t="s">
        <v>15421</v>
      </c>
      <c r="AD496" s="1" t="s">
        <v>6525</v>
      </c>
      <c r="AE496" s="1" t="s">
        <v>6525</v>
      </c>
      <c r="AF496" s="1" t="s">
        <v>6526</v>
      </c>
      <c r="AG496" s="1" t="s">
        <v>1507</v>
      </c>
      <c r="AH496" s="1">
        <v>36</v>
      </c>
      <c r="AI496" s="1">
        <v>2</v>
      </c>
      <c r="AJ496" s="1">
        <v>2</v>
      </c>
      <c r="AK496" s="1">
        <v>25</v>
      </c>
      <c r="AL496" s="1">
        <v>25</v>
      </c>
      <c r="AM496" s="1" t="s">
        <v>1667</v>
      </c>
      <c r="AN496" s="1" t="s">
        <v>1668</v>
      </c>
      <c r="AO496" s="1" t="s">
        <v>1669</v>
      </c>
      <c r="AP496" s="1" t="s">
        <v>6527</v>
      </c>
      <c r="AQ496" s="1" t="s">
        <v>1507</v>
      </c>
      <c r="AR496" s="1" t="s">
        <v>1507</v>
      </c>
      <c r="AS496" s="1" t="s">
        <v>6528</v>
      </c>
      <c r="AT496" s="1" t="s">
        <v>6529</v>
      </c>
      <c r="AU496" s="1" t="s">
        <v>1507</v>
      </c>
      <c r="AV496" s="1">
        <v>2023</v>
      </c>
      <c r="AW496" s="1">
        <v>12</v>
      </c>
      <c r="AX496" s="1" t="s">
        <v>1507</v>
      </c>
      <c r="AY496" s="1" t="s">
        <v>1507</v>
      </c>
      <c r="AZ496" s="1" t="s">
        <v>1507</v>
      </c>
      <c r="BA496" s="1" t="s">
        <v>1507</v>
      </c>
      <c r="BB496" s="1" t="s">
        <v>1507</v>
      </c>
      <c r="BC496" s="1" t="s">
        <v>1507</v>
      </c>
      <c r="BD496" s="1" t="s">
        <v>1507</v>
      </c>
      <c r="BE496" s="1" t="s">
        <v>6530</v>
      </c>
      <c r="BF496" s="1" t="s">
        <v>6531</v>
      </c>
      <c r="BG496" s="1" t="str">
        <f>HYPERLINK("http://dx.doi.org/10.2196/51873","http://dx.doi.org/10.2196/51873")</f>
        <v>http://dx.doi.org/10.2196/51873</v>
      </c>
      <c r="BH496" s="1" t="s">
        <v>1507</v>
      </c>
      <c r="BI496" s="1" t="s">
        <v>1507</v>
      </c>
      <c r="BJ496" s="1">
        <v>11</v>
      </c>
      <c r="BK496" s="1" t="s">
        <v>6532</v>
      </c>
      <c r="BL496" s="1" t="s">
        <v>1529</v>
      </c>
      <c r="BM496" s="1" t="s">
        <v>6532</v>
      </c>
      <c r="BN496" s="1" t="s">
        <v>6533</v>
      </c>
      <c r="BO496" s="1">
        <v>37999958</v>
      </c>
      <c r="BP496" s="1" t="s">
        <v>1531</v>
      </c>
      <c r="BQ496" s="1" t="s">
        <v>1507</v>
      </c>
      <c r="BR496" s="1" t="s">
        <v>1507</v>
      </c>
      <c r="BS496" s="1" t="s">
        <v>13744</v>
      </c>
      <c r="BT496" s="1" t="s">
        <v>6534</v>
      </c>
      <c r="BU496" s="1" t="str">
        <f>HYPERLINK("https%3A%2F%2Fwww.webofscience.com%2Fwos%2Fwoscc%2Ffull-record%2FWOS:001114836400005","View Full Record in Web of Science")</f>
        <v>View Full Record in Web of Science</v>
      </c>
    </row>
    <row r="497" spans="1:73" s="7" customFormat="1" x14ac:dyDescent="0.25">
      <c r="A497" s="1">
        <v>546</v>
      </c>
      <c r="B497" s="1" t="s">
        <v>1506</v>
      </c>
      <c r="C497" s="1" t="s">
        <v>10790</v>
      </c>
      <c r="D497" s="1" t="s">
        <v>1507</v>
      </c>
      <c r="E497" s="1" t="s">
        <v>1507</v>
      </c>
      <c r="F497" s="1" t="s">
        <v>1507</v>
      </c>
      <c r="G497" s="1" t="s">
        <v>10791</v>
      </c>
      <c r="H497" s="1" t="s">
        <v>1507</v>
      </c>
      <c r="I497" s="1" t="s">
        <v>1507</v>
      </c>
      <c r="J497" s="1" t="s">
        <v>10792</v>
      </c>
      <c r="K497" s="1" t="s">
        <v>10793</v>
      </c>
      <c r="L497" s="1" t="s">
        <v>1507</v>
      </c>
      <c r="M497" s="1" t="s">
        <v>1507</v>
      </c>
      <c r="N497" s="1" t="s">
        <v>42</v>
      </c>
      <c r="O497" s="1" t="s">
        <v>56</v>
      </c>
      <c r="P497" s="1" t="s">
        <v>1507</v>
      </c>
      <c r="Q497" s="1" t="s">
        <v>1507</v>
      </c>
      <c r="R497" s="1" t="s">
        <v>1507</v>
      </c>
      <c r="S497" s="1" t="s">
        <v>1507</v>
      </c>
      <c r="T497" s="1" t="s">
        <v>1507</v>
      </c>
      <c r="U497" s="1" t="s">
        <v>10794</v>
      </c>
      <c r="V497" s="1" t="s">
        <v>10795</v>
      </c>
      <c r="W497" s="1" t="s">
        <v>10796</v>
      </c>
      <c r="X497" s="1" t="s">
        <v>10797</v>
      </c>
      <c r="Y497" s="1" t="s">
        <v>10798</v>
      </c>
      <c r="Z497" s="1" t="s">
        <v>10799</v>
      </c>
      <c r="AA497" s="1" t="s">
        <v>10800</v>
      </c>
      <c r="AB497" s="1" t="s">
        <v>10801</v>
      </c>
      <c r="AC497" s="1" t="s">
        <v>15916</v>
      </c>
      <c r="AD497" s="1" t="s">
        <v>10802</v>
      </c>
      <c r="AE497" s="1" t="s">
        <v>10803</v>
      </c>
      <c r="AF497" s="1" t="s">
        <v>10804</v>
      </c>
      <c r="AG497" s="1" t="s">
        <v>1507</v>
      </c>
      <c r="AH497" s="1">
        <v>46</v>
      </c>
      <c r="AI497" s="1">
        <v>7</v>
      </c>
      <c r="AJ497" s="1">
        <v>7</v>
      </c>
      <c r="AK497" s="1">
        <v>1</v>
      </c>
      <c r="AL497" s="1">
        <v>20</v>
      </c>
      <c r="AM497" s="1" t="s">
        <v>10805</v>
      </c>
      <c r="AN497" s="1" t="s">
        <v>10806</v>
      </c>
      <c r="AO497" s="1" t="s">
        <v>10807</v>
      </c>
      <c r="AP497" s="1" t="s">
        <v>10808</v>
      </c>
      <c r="AQ497" s="1" t="s">
        <v>10809</v>
      </c>
      <c r="AR497" s="1" t="s">
        <v>1507</v>
      </c>
      <c r="AS497" s="1" t="s">
        <v>10810</v>
      </c>
      <c r="AT497" s="1" t="s">
        <v>10811</v>
      </c>
      <c r="AU497" s="1" t="s">
        <v>4336</v>
      </c>
      <c r="AV497" s="1">
        <v>2019</v>
      </c>
      <c r="AW497" s="1">
        <v>30</v>
      </c>
      <c r="AX497" s="1">
        <v>8</v>
      </c>
      <c r="AY497" s="1" t="s">
        <v>1507</v>
      </c>
      <c r="AZ497" s="1" t="s">
        <v>1507</v>
      </c>
      <c r="BA497" s="1" t="s">
        <v>1507</v>
      </c>
      <c r="BB497" s="1" t="s">
        <v>1507</v>
      </c>
      <c r="BC497" s="1">
        <v>1769</v>
      </c>
      <c r="BD497" s="1">
        <v>1778</v>
      </c>
      <c r="BE497" s="1" t="s">
        <v>1507</v>
      </c>
      <c r="BF497" s="1" t="s">
        <v>10812</v>
      </c>
      <c r="BG497" s="1" t="str">
        <f>HYPERLINK("http://dx.doi.org/10.21577/0103-5053.20190083","http://dx.doi.org/10.21577/0103-5053.20190083")</f>
        <v>http://dx.doi.org/10.21577/0103-5053.20190083</v>
      </c>
      <c r="BH497" s="1" t="s">
        <v>1507</v>
      </c>
      <c r="BI497" s="1" t="s">
        <v>1507</v>
      </c>
      <c r="BJ497" s="1">
        <v>10</v>
      </c>
      <c r="BK497" s="1" t="s">
        <v>2634</v>
      </c>
      <c r="BL497" s="1" t="s">
        <v>1573</v>
      </c>
      <c r="BM497" s="1" t="s">
        <v>2380</v>
      </c>
      <c r="BN497" s="1" t="s">
        <v>10813</v>
      </c>
      <c r="BO497" s="1" t="s">
        <v>1507</v>
      </c>
      <c r="BP497" s="1" t="s">
        <v>2040</v>
      </c>
      <c r="BQ497" s="1" t="s">
        <v>1507</v>
      </c>
      <c r="BR497" s="1" t="s">
        <v>1507</v>
      </c>
      <c r="BS497" s="1" t="s">
        <v>13744</v>
      </c>
      <c r="BT497" s="1" t="s">
        <v>10814</v>
      </c>
      <c r="BU497" s="1" t="str">
        <f>HYPERLINK("https%3A%2F%2Fwww.webofscience.com%2Fwos%2Fwoscc%2Ffull-record%2FWOS:000476620200021","View Full Record in Web of Science")</f>
        <v>View Full Record in Web of Science</v>
      </c>
    </row>
    <row r="498" spans="1:73" s="7" customFormat="1" x14ac:dyDescent="0.25">
      <c r="A498" s="1">
        <v>547</v>
      </c>
      <c r="B498" s="1" t="s">
        <v>5546</v>
      </c>
      <c r="C498" s="1" t="s">
        <v>10387</v>
      </c>
      <c r="D498" s="1" t="s">
        <v>1507</v>
      </c>
      <c r="E498" s="1" t="s">
        <v>10388</v>
      </c>
      <c r="F498" s="1" t="s">
        <v>1507</v>
      </c>
      <c r="G498" s="1" t="s">
        <v>10389</v>
      </c>
      <c r="H498" s="1" t="s">
        <v>1507</v>
      </c>
      <c r="I498" s="1" t="s">
        <v>1507</v>
      </c>
      <c r="J498" s="1" t="s">
        <v>10390</v>
      </c>
      <c r="K498" s="1" t="s">
        <v>10391</v>
      </c>
      <c r="L498" s="1" t="s">
        <v>10392</v>
      </c>
      <c r="M498" s="1" t="s">
        <v>1507</v>
      </c>
      <c r="N498" s="1" t="s">
        <v>42</v>
      </c>
      <c r="O498" s="1" t="s">
        <v>5552</v>
      </c>
      <c r="P498" s="1" t="s">
        <v>10393</v>
      </c>
      <c r="Q498" s="1" t="s">
        <v>10394</v>
      </c>
      <c r="R498" s="1" t="s">
        <v>10395</v>
      </c>
      <c r="S498" s="1" t="s">
        <v>10396</v>
      </c>
      <c r="T498" s="1" t="s">
        <v>10397</v>
      </c>
      <c r="U498" s="1" t="s">
        <v>10398</v>
      </c>
      <c r="V498" s="1" t="s">
        <v>1507</v>
      </c>
      <c r="W498" s="1" t="s">
        <v>10399</v>
      </c>
      <c r="X498" s="1" t="s">
        <v>10400</v>
      </c>
      <c r="Y498" s="1" t="s">
        <v>10401</v>
      </c>
      <c r="Z498" s="1" t="s">
        <v>10402</v>
      </c>
      <c r="AA498" s="1" t="s">
        <v>10403</v>
      </c>
      <c r="AB498" s="1" t="s">
        <v>1507</v>
      </c>
      <c r="AC498" s="1" t="s">
        <v>10404</v>
      </c>
      <c r="AD498" s="1" t="s">
        <v>10405</v>
      </c>
      <c r="AE498" s="1" t="s">
        <v>10406</v>
      </c>
      <c r="AF498" s="1" t="s">
        <v>10407</v>
      </c>
      <c r="AG498" s="1" t="s">
        <v>1507</v>
      </c>
      <c r="AH498" s="1">
        <v>18</v>
      </c>
      <c r="AI498" s="1">
        <v>3</v>
      </c>
      <c r="AJ498" s="1">
        <v>3</v>
      </c>
      <c r="AK498" s="1">
        <v>1</v>
      </c>
      <c r="AL498" s="1">
        <v>11</v>
      </c>
      <c r="AM498" s="1" t="s">
        <v>9284</v>
      </c>
      <c r="AN498" s="1" t="s">
        <v>1580</v>
      </c>
      <c r="AO498" s="1" t="s">
        <v>9285</v>
      </c>
      <c r="AP498" s="1" t="s">
        <v>10408</v>
      </c>
      <c r="AQ498" s="1" t="s">
        <v>10409</v>
      </c>
      <c r="AR498" s="1" t="s">
        <v>10410</v>
      </c>
      <c r="AS498" s="1" t="s">
        <v>10411</v>
      </c>
      <c r="AT498" s="1" t="s">
        <v>1507</v>
      </c>
      <c r="AU498" s="1" t="s">
        <v>1507</v>
      </c>
      <c r="AV498" s="1">
        <v>2020</v>
      </c>
      <c r="AW498" s="1">
        <v>328</v>
      </c>
      <c r="AX498" s="1" t="s">
        <v>1507</v>
      </c>
      <c r="AY498" s="1" t="s">
        <v>1507</v>
      </c>
      <c r="AZ498" s="1" t="s">
        <v>1507</v>
      </c>
      <c r="BA498" s="1" t="s">
        <v>1507</v>
      </c>
      <c r="BB498" s="1" t="s">
        <v>1507</v>
      </c>
      <c r="BC498" s="1">
        <v>62</v>
      </c>
      <c r="BD498" s="1">
        <v>69</v>
      </c>
      <c r="BE498" s="1" t="s">
        <v>1507</v>
      </c>
      <c r="BF498" s="1" t="s">
        <v>10412</v>
      </c>
      <c r="BG498" s="1" t="str">
        <f>HYPERLINK("http://dx.doi.org/10.3233/FAIA200603","http://dx.doi.org/10.3233/FAIA200603")</f>
        <v>http://dx.doi.org/10.3233/FAIA200603</v>
      </c>
      <c r="BH498" s="1" t="s">
        <v>1507</v>
      </c>
      <c r="BI498" s="1" t="s">
        <v>1507</v>
      </c>
      <c r="BJ498" s="1">
        <v>8</v>
      </c>
      <c r="BK498" s="1" t="s">
        <v>7862</v>
      </c>
      <c r="BL498" s="1" t="s">
        <v>5695</v>
      </c>
      <c r="BM498" s="1" t="s">
        <v>1546</v>
      </c>
      <c r="BN498" s="1" t="s">
        <v>10413</v>
      </c>
      <c r="BO498" s="1" t="s">
        <v>1507</v>
      </c>
      <c r="BP498" s="1" t="s">
        <v>1537</v>
      </c>
      <c r="BQ498" s="1" t="s">
        <v>1507</v>
      </c>
      <c r="BR498" s="1" t="s">
        <v>1507</v>
      </c>
      <c r="BS498" s="1" t="s">
        <v>13744</v>
      </c>
      <c r="BT498" s="1" t="s">
        <v>10414</v>
      </c>
      <c r="BU498" s="1" t="str">
        <f>HYPERLINK("https%3A%2F%2Fwww.webofscience.com%2Fwos%2Fwoscc%2Ffull-record%2FWOS:000648590800009","View Full Record in Web of Science")</f>
        <v>View Full Record in Web of Science</v>
      </c>
    </row>
    <row r="499" spans="1:73" s="7" customFormat="1" x14ac:dyDescent="0.25">
      <c r="A499" s="1">
        <v>548</v>
      </c>
      <c r="B499" s="1" t="s">
        <v>5546</v>
      </c>
      <c r="C499" s="1" t="s">
        <v>15422</v>
      </c>
      <c r="D499" s="1" t="s">
        <v>1507</v>
      </c>
      <c r="E499" s="1" t="s">
        <v>1507</v>
      </c>
      <c r="F499" s="1" t="s">
        <v>5628</v>
      </c>
      <c r="G499" s="1" t="s">
        <v>15423</v>
      </c>
      <c r="H499" s="1" t="s">
        <v>1507</v>
      </c>
      <c r="I499" s="1" t="s">
        <v>1507</v>
      </c>
      <c r="J499" s="1" t="s">
        <v>15424</v>
      </c>
      <c r="K499" s="1" t="s">
        <v>15425</v>
      </c>
      <c r="L499" s="1" t="s">
        <v>1507</v>
      </c>
      <c r="M499" s="1" t="s">
        <v>1507</v>
      </c>
      <c r="N499" s="1" t="s">
        <v>42</v>
      </c>
      <c r="O499" s="1" t="s">
        <v>5552</v>
      </c>
      <c r="P499" s="1" t="s">
        <v>15426</v>
      </c>
      <c r="Q499" s="1" t="s">
        <v>15427</v>
      </c>
      <c r="R499" s="1" t="s">
        <v>15428</v>
      </c>
      <c r="S499" s="1" t="s">
        <v>15429</v>
      </c>
      <c r="T499" s="1" t="s">
        <v>1507</v>
      </c>
      <c r="U499" s="1" t="s">
        <v>15430</v>
      </c>
      <c r="V499" s="1" t="s">
        <v>1507</v>
      </c>
      <c r="W499" s="1" t="s">
        <v>15431</v>
      </c>
      <c r="X499" s="1" t="s">
        <v>15432</v>
      </c>
      <c r="Y499" s="1" t="s">
        <v>15433</v>
      </c>
      <c r="Z499" s="1" t="s">
        <v>15434</v>
      </c>
      <c r="AA499" s="1" t="s">
        <v>15435</v>
      </c>
      <c r="AB499" s="1" t="s">
        <v>1507</v>
      </c>
      <c r="AC499" s="1" t="s">
        <v>1507</v>
      </c>
      <c r="AD499" s="1" t="s">
        <v>15436</v>
      </c>
      <c r="AE499" s="1" t="s">
        <v>15437</v>
      </c>
      <c r="AF499" s="1" t="s">
        <v>15438</v>
      </c>
      <c r="AG499" s="1" t="s">
        <v>1507</v>
      </c>
      <c r="AH499" s="1">
        <v>27</v>
      </c>
      <c r="AI499" s="1">
        <v>0</v>
      </c>
      <c r="AJ499" s="1">
        <v>0</v>
      </c>
      <c r="AK499" s="1">
        <v>0</v>
      </c>
      <c r="AL499" s="1">
        <v>0</v>
      </c>
      <c r="AM499" s="1" t="s">
        <v>5628</v>
      </c>
      <c r="AN499" s="1" t="s">
        <v>1512</v>
      </c>
      <c r="AO499" s="1" t="s">
        <v>6457</v>
      </c>
      <c r="AP499" s="1" t="s">
        <v>1507</v>
      </c>
      <c r="AQ499" s="1" t="s">
        <v>1507</v>
      </c>
      <c r="AR499" s="1" t="s">
        <v>15439</v>
      </c>
      <c r="AS499" s="1" t="s">
        <v>1507</v>
      </c>
      <c r="AT499" s="1" t="s">
        <v>1507</v>
      </c>
      <c r="AU499" s="1" t="s">
        <v>1507</v>
      </c>
      <c r="AV499" s="1">
        <v>2023</v>
      </c>
      <c r="AW499" s="1" t="s">
        <v>1507</v>
      </c>
      <c r="AX499" s="1" t="s">
        <v>1507</v>
      </c>
      <c r="AY499" s="1" t="s">
        <v>1507</v>
      </c>
      <c r="AZ499" s="1" t="s">
        <v>1507</v>
      </c>
      <c r="BA499" s="1" t="s">
        <v>1507</v>
      </c>
      <c r="BB499" s="1" t="s">
        <v>1507</v>
      </c>
      <c r="BC499" s="1" t="s">
        <v>1507</v>
      </c>
      <c r="BD499" s="1" t="s">
        <v>1507</v>
      </c>
      <c r="BE499" s="1" t="s">
        <v>1507</v>
      </c>
      <c r="BF499" s="1" t="s">
        <v>1507</v>
      </c>
      <c r="BG499" s="1" t="s">
        <v>1507</v>
      </c>
      <c r="BH499" s="1" t="s">
        <v>1507</v>
      </c>
      <c r="BI499" s="1" t="s">
        <v>1507</v>
      </c>
      <c r="BJ499" s="1">
        <v>7</v>
      </c>
      <c r="BK499" s="1" t="s">
        <v>15440</v>
      </c>
      <c r="BL499" s="1" t="s">
        <v>5570</v>
      </c>
      <c r="BM499" s="1" t="s">
        <v>1578</v>
      </c>
      <c r="BN499" s="1" t="s">
        <v>15441</v>
      </c>
      <c r="BO499" s="1" t="s">
        <v>1507</v>
      </c>
      <c r="BP499" s="1" t="s">
        <v>1507</v>
      </c>
      <c r="BQ499" s="1" t="s">
        <v>1507</v>
      </c>
      <c r="BR499" s="1" t="s">
        <v>1507</v>
      </c>
      <c r="BS499" s="1" t="s">
        <v>13744</v>
      </c>
      <c r="BT499" s="1" t="s">
        <v>15442</v>
      </c>
      <c r="BU499" s="1" t="str">
        <f>HYPERLINK("https%3A%2F%2Fwww.webofscience.com%2Fwos%2Fwoscc%2Ffull-record%2FWOS:001164299600008","View Full Record in Web of Science")</f>
        <v>View Full Record in Web of Science</v>
      </c>
    </row>
    <row r="500" spans="1:73" s="7" customFormat="1" x14ac:dyDescent="0.25">
      <c r="A500" s="1">
        <v>549</v>
      </c>
      <c r="B500" s="1" t="s">
        <v>1506</v>
      </c>
      <c r="C500" s="1" t="s">
        <v>10415</v>
      </c>
      <c r="D500" s="1" t="s">
        <v>1507</v>
      </c>
      <c r="E500" s="1" t="s">
        <v>1507</v>
      </c>
      <c r="F500" s="1" t="s">
        <v>1507</v>
      </c>
      <c r="G500" s="1" t="s">
        <v>10416</v>
      </c>
      <c r="H500" s="1" t="s">
        <v>1507</v>
      </c>
      <c r="I500" s="1" t="s">
        <v>1507</v>
      </c>
      <c r="J500" s="1" t="s">
        <v>10417</v>
      </c>
      <c r="K500" s="1" t="s">
        <v>10418</v>
      </c>
      <c r="L500" s="1" t="s">
        <v>1507</v>
      </c>
      <c r="M500" s="1" t="s">
        <v>1507</v>
      </c>
      <c r="N500" s="1" t="s">
        <v>42</v>
      </c>
      <c r="O500" s="1" t="s">
        <v>56</v>
      </c>
      <c r="P500" s="1" t="s">
        <v>1507</v>
      </c>
      <c r="Q500" s="1" t="s">
        <v>1507</v>
      </c>
      <c r="R500" s="1" t="s">
        <v>1507</v>
      </c>
      <c r="S500" s="1" t="s">
        <v>1507</v>
      </c>
      <c r="T500" s="1" t="s">
        <v>1507</v>
      </c>
      <c r="U500" s="1" t="s">
        <v>1507</v>
      </c>
      <c r="V500" s="1" t="s">
        <v>1507</v>
      </c>
      <c r="W500" s="1" t="s">
        <v>10419</v>
      </c>
      <c r="X500" s="1" t="s">
        <v>10420</v>
      </c>
      <c r="Y500" s="1" t="s">
        <v>15853</v>
      </c>
      <c r="Z500" s="1" t="s">
        <v>10421</v>
      </c>
      <c r="AA500" s="1" t="s">
        <v>1507</v>
      </c>
      <c r="AB500" s="1" t="s">
        <v>1507</v>
      </c>
      <c r="AC500" s="1" t="s">
        <v>10123</v>
      </c>
      <c r="AD500" s="1" t="s">
        <v>10124</v>
      </c>
      <c r="AE500" s="1" t="s">
        <v>10125</v>
      </c>
      <c r="AF500" s="1" t="s">
        <v>10422</v>
      </c>
      <c r="AG500" s="1" t="s">
        <v>1507</v>
      </c>
      <c r="AH500" s="1">
        <v>16</v>
      </c>
      <c r="AI500" s="1">
        <v>1</v>
      </c>
      <c r="AJ500" s="1">
        <v>1</v>
      </c>
      <c r="AK500" s="1">
        <v>0</v>
      </c>
      <c r="AL500" s="1">
        <v>0</v>
      </c>
      <c r="AM500" s="1" t="s">
        <v>9237</v>
      </c>
      <c r="AN500" s="1" t="s">
        <v>9238</v>
      </c>
      <c r="AO500" s="1" t="s">
        <v>9239</v>
      </c>
      <c r="AP500" s="1" t="s">
        <v>10423</v>
      </c>
      <c r="AQ500" s="1" t="s">
        <v>1507</v>
      </c>
      <c r="AR500" s="1" t="s">
        <v>1507</v>
      </c>
      <c r="AS500" s="1" t="s">
        <v>10424</v>
      </c>
      <c r="AT500" s="1" t="s">
        <v>10425</v>
      </c>
      <c r="AU500" s="1" t="s">
        <v>1507</v>
      </c>
      <c r="AV500" s="1">
        <v>2020</v>
      </c>
      <c r="AW500" s="1">
        <v>31</v>
      </c>
      <c r="AX500" s="1">
        <v>2</v>
      </c>
      <c r="AY500" s="1" t="s">
        <v>1507</v>
      </c>
      <c r="AZ500" s="1" t="s">
        <v>1507</v>
      </c>
      <c r="BA500" s="1" t="s">
        <v>1507</v>
      </c>
      <c r="BB500" s="1" t="s">
        <v>1507</v>
      </c>
      <c r="BC500" s="1">
        <v>175</v>
      </c>
      <c r="BD500" s="1">
        <v>188</v>
      </c>
      <c r="BE500" s="1" t="s">
        <v>1507</v>
      </c>
      <c r="BF500" s="1" t="s">
        <v>1507</v>
      </c>
      <c r="BG500" s="1" t="s">
        <v>1507</v>
      </c>
      <c r="BH500" s="1" t="s">
        <v>1507</v>
      </c>
      <c r="BI500" s="1" t="s">
        <v>1507</v>
      </c>
      <c r="BJ500" s="1">
        <v>14</v>
      </c>
      <c r="BK500" s="1" t="s">
        <v>1535</v>
      </c>
      <c r="BL500" s="1" t="s">
        <v>1529</v>
      </c>
      <c r="BM500" s="1" t="s">
        <v>1536</v>
      </c>
      <c r="BN500" s="1" t="s">
        <v>10426</v>
      </c>
      <c r="BO500" s="1" t="s">
        <v>1507</v>
      </c>
      <c r="BP500" s="1" t="s">
        <v>1507</v>
      </c>
      <c r="BQ500" s="1" t="s">
        <v>1507</v>
      </c>
      <c r="BR500" s="1" t="s">
        <v>1507</v>
      </c>
      <c r="BS500" s="1" t="s">
        <v>13744</v>
      </c>
      <c r="BT500" s="1" t="s">
        <v>10427</v>
      </c>
      <c r="BU500" s="1" t="str">
        <f>HYPERLINK("https%3A%2F%2Fwww.webofscience.com%2Fwos%2Fwoscc%2Ffull-record%2FWOS:000567771400009","View Full Record in Web of Science")</f>
        <v>View Full Record in Web of Science</v>
      </c>
    </row>
    <row r="501" spans="1:73" s="7" customFormat="1" x14ac:dyDescent="0.25">
      <c r="A501" s="1">
        <v>550</v>
      </c>
      <c r="B501" s="1" t="s">
        <v>1506</v>
      </c>
      <c r="C501" s="1" t="s">
        <v>8663</v>
      </c>
      <c r="D501" s="1" t="s">
        <v>1507</v>
      </c>
      <c r="E501" s="1" t="s">
        <v>1507</v>
      </c>
      <c r="F501" s="1" t="s">
        <v>1507</v>
      </c>
      <c r="G501" s="1" t="s">
        <v>8664</v>
      </c>
      <c r="H501" s="1" t="s">
        <v>1507</v>
      </c>
      <c r="I501" s="1" t="s">
        <v>1507</v>
      </c>
      <c r="J501" s="1" t="s">
        <v>8665</v>
      </c>
      <c r="K501" s="1" t="s">
        <v>8666</v>
      </c>
      <c r="L501" s="1" t="s">
        <v>1507</v>
      </c>
      <c r="M501" s="1" t="s">
        <v>1507</v>
      </c>
      <c r="N501" s="1" t="s">
        <v>42</v>
      </c>
      <c r="O501" s="1" t="s">
        <v>56</v>
      </c>
      <c r="P501" s="1" t="s">
        <v>1507</v>
      </c>
      <c r="Q501" s="1" t="s">
        <v>1507</v>
      </c>
      <c r="R501" s="1" t="s">
        <v>1507</v>
      </c>
      <c r="S501" s="1" t="s">
        <v>1507</v>
      </c>
      <c r="T501" s="1" t="s">
        <v>1507</v>
      </c>
      <c r="U501" s="1" t="s">
        <v>1507</v>
      </c>
      <c r="V501" s="1" t="s">
        <v>8667</v>
      </c>
      <c r="W501" s="1" t="s">
        <v>8668</v>
      </c>
      <c r="X501" s="1" t="s">
        <v>8669</v>
      </c>
      <c r="Y501" s="1" t="s">
        <v>15742</v>
      </c>
      <c r="Z501" s="1" t="s">
        <v>8670</v>
      </c>
      <c r="AA501" s="1" t="s">
        <v>8671</v>
      </c>
      <c r="AB501" s="1" t="s">
        <v>15743</v>
      </c>
      <c r="AC501" s="1" t="s">
        <v>15744</v>
      </c>
      <c r="AD501" s="1" t="s">
        <v>8672</v>
      </c>
      <c r="AE501" s="1" t="s">
        <v>8673</v>
      </c>
      <c r="AF501" s="1" t="s">
        <v>8674</v>
      </c>
      <c r="AG501" s="1" t="s">
        <v>1507</v>
      </c>
      <c r="AH501" s="1">
        <v>69</v>
      </c>
      <c r="AI501" s="1">
        <v>11</v>
      </c>
      <c r="AJ501" s="1">
        <v>12</v>
      </c>
      <c r="AK501" s="1">
        <v>2</v>
      </c>
      <c r="AL501" s="1">
        <v>4</v>
      </c>
      <c r="AM501" s="1" t="s">
        <v>8675</v>
      </c>
      <c r="AN501" s="1" t="s">
        <v>8676</v>
      </c>
      <c r="AO501" s="1" t="s">
        <v>8677</v>
      </c>
      <c r="AP501" s="1" t="s">
        <v>1507</v>
      </c>
      <c r="AQ501" s="1" t="s">
        <v>8678</v>
      </c>
      <c r="AR501" s="1" t="s">
        <v>1507</v>
      </c>
      <c r="AS501" s="1" t="s">
        <v>8666</v>
      </c>
      <c r="AT501" s="1" t="s">
        <v>8679</v>
      </c>
      <c r="AU501" s="1" t="s">
        <v>8680</v>
      </c>
      <c r="AV501" s="1">
        <v>2021</v>
      </c>
      <c r="AW501" s="1">
        <v>6</v>
      </c>
      <c r="AX501" s="1">
        <v>9</v>
      </c>
      <c r="AY501" s="1" t="s">
        <v>1507</v>
      </c>
      <c r="AZ501" s="1" t="s">
        <v>1507</v>
      </c>
      <c r="BA501" s="1" t="s">
        <v>1507</v>
      </c>
      <c r="BB501" s="1" t="s">
        <v>1507</v>
      </c>
      <c r="BC501" s="1" t="s">
        <v>1507</v>
      </c>
      <c r="BD501" s="1" t="s">
        <v>1507</v>
      </c>
      <c r="BE501" s="1" t="s">
        <v>8681</v>
      </c>
      <c r="BF501" s="1" t="s">
        <v>8682</v>
      </c>
      <c r="BG501" s="1" t="str">
        <f>HYPERLINK("http://dx.doi.org/10.1172/jci.insight.147832","http://dx.doi.org/10.1172/jci.insight.147832")</f>
        <v>http://dx.doi.org/10.1172/jci.insight.147832</v>
      </c>
      <c r="BH501" s="1" t="s">
        <v>1507</v>
      </c>
      <c r="BI501" s="1" t="s">
        <v>1507</v>
      </c>
      <c r="BJ501" s="1">
        <v>14</v>
      </c>
      <c r="BK501" s="1" t="s">
        <v>3858</v>
      </c>
      <c r="BL501" s="1" t="s">
        <v>1573</v>
      </c>
      <c r="BM501" s="1" t="s">
        <v>3859</v>
      </c>
      <c r="BN501" s="1" t="s">
        <v>8683</v>
      </c>
      <c r="BO501" s="1">
        <v>33784257</v>
      </c>
      <c r="BP501" s="1" t="s">
        <v>1952</v>
      </c>
      <c r="BQ501" s="1" t="s">
        <v>1507</v>
      </c>
      <c r="BR501" s="1" t="s">
        <v>1507</v>
      </c>
      <c r="BS501" s="1" t="s">
        <v>13744</v>
      </c>
      <c r="BT501" s="1" t="s">
        <v>8684</v>
      </c>
      <c r="BU501" s="1" t="str">
        <f>HYPERLINK("https%3A%2F%2Fwww.webofscience.com%2Fwos%2Fwoscc%2Ffull-record%2FWOS:000652331300026","View Full Record in Web of Science")</f>
        <v>View Full Record in Web of Science</v>
      </c>
    </row>
    <row r="502" spans="1:73" s="7" customFormat="1" x14ac:dyDescent="0.25">
      <c r="A502" s="1">
        <v>551</v>
      </c>
      <c r="B502" s="1" t="s">
        <v>1506</v>
      </c>
      <c r="C502" s="1" t="s">
        <v>11178</v>
      </c>
      <c r="D502" s="1" t="s">
        <v>1507</v>
      </c>
      <c r="E502" s="1" t="s">
        <v>1507</v>
      </c>
      <c r="F502" s="1" t="s">
        <v>1507</v>
      </c>
      <c r="G502" s="1" t="s">
        <v>11179</v>
      </c>
      <c r="H502" s="1" t="s">
        <v>1507</v>
      </c>
      <c r="I502" s="1" t="s">
        <v>1507</v>
      </c>
      <c r="J502" s="1" t="s">
        <v>11180</v>
      </c>
      <c r="K502" s="1" t="s">
        <v>11181</v>
      </c>
      <c r="L502" s="1" t="s">
        <v>1507</v>
      </c>
      <c r="M502" s="1" t="s">
        <v>1507</v>
      </c>
      <c r="N502" s="1" t="s">
        <v>42</v>
      </c>
      <c r="O502" s="1" t="s">
        <v>56</v>
      </c>
      <c r="P502" s="1" t="s">
        <v>1507</v>
      </c>
      <c r="Q502" s="1" t="s">
        <v>1507</v>
      </c>
      <c r="R502" s="1" t="s">
        <v>1507</v>
      </c>
      <c r="S502" s="1" t="s">
        <v>1507</v>
      </c>
      <c r="T502" s="1" t="s">
        <v>1507</v>
      </c>
      <c r="U502" s="1" t="s">
        <v>1507</v>
      </c>
      <c r="V502" s="1" t="s">
        <v>11182</v>
      </c>
      <c r="W502" s="1" t="s">
        <v>11183</v>
      </c>
      <c r="X502" s="1" t="s">
        <v>11184</v>
      </c>
      <c r="Y502" s="1" t="s">
        <v>11185</v>
      </c>
      <c r="Z502" s="1" t="s">
        <v>11186</v>
      </c>
      <c r="AA502" s="1" t="s">
        <v>1507</v>
      </c>
      <c r="AB502" s="1" t="s">
        <v>11187</v>
      </c>
      <c r="AC502" s="1" t="s">
        <v>1507</v>
      </c>
      <c r="AD502" s="1" t="s">
        <v>1507</v>
      </c>
      <c r="AE502" s="1" t="s">
        <v>1507</v>
      </c>
      <c r="AF502" s="1" t="s">
        <v>1507</v>
      </c>
      <c r="AG502" s="1" t="s">
        <v>1507</v>
      </c>
      <c r="AH502" s="1">
        <v>82</v>
      </c>
      <c r="AI502" s="1">
        <v>34</v>
      </c>
      <c r="AJ502" s="1">
        <v>36</v>
      </c>
      <c r="AK502" s="1">
        <v>4</v>
      </c>
      <c r="AL502" s="1">
        <v>19</v>
      </c>
      <c r="AM502" s="1" t="s">
        <v>11188</v>
      </c>
      <c r="AN502" s="1" t="s">
        <v>3325</v>
      </c>
      <c r="AO502" s="1" t="s">
        <v>11189</v>
      </c>
      <c r="AP502" s="1" t="s">
        <v>11190</v>
      </c>
      <c r="AQ502" s="1" t="s">
        <v>1507</v>
      </c>
      <c r="AR502" s="1" t="s">
        <v>1507</v>
      </c>
      <c r="AS502" s="1" t="s">
        <v>11191</v>
      </c>
      <c r="AT502" s="1" t="s">
        <v>11192</v>
      </c>
      <c r="AU502" s="1" t="s">
        <v>5362</v>
      </c>
      <c r="AV502" s="1">
        <v>2019</v>
      </c>
      <c r="AW502" s="1">
        <v>86</v>
      </c>
      <c r="AX502" s="1">
        <v>2</v>
      </c>
      <c r="AY502" s="1" t="s">
        <v>1507</v>
      </c>
      <c r="AZ502" s="1" t="s">
        <v>1507</v>
      </c>
      <c r="BA502" s="1" t="s">
        <v>1507</v>
      </c>
      <c r="BB502" s="1" t="s">
        <v>1507</v>
      </c>
      <c r="BC502" s="1">
        <v>581</v>
      </c>
      <c r="BD502" s="1">
        <v>609</v>
      </c>
      <c r="BE502" s="1" t="s">
        <v>1507</v>
      </c>
      <c r="BF502" s="1" t="s">
        <v>1507</v>
      </c>
      <c r="BG502" s="1" t="s">
        <v>1507</v>
      </c>
      <c r="BH502" s="1" t="s">
        <v>1507</v>
      </c>
      <c r="BI502" s="1" t="s">
        <v>1507</v>
      </c>
      <c r="BJ502" s="1">
        <v>29</v>
      </c>
      <c r="BK502" s="1" t="s">
        <v>1535</v>
      </c>
      <c r="BL502" s="1" t="s">
        <v>1518</v>
      </c>
      <c r="BM502" s="1" t="s">
        <v>1536</v>
      </c>
      <c r="BN502" s="1" t="s">
        <v>11193</v>
      </c>
      <c r="BO502" s="1" t="s">
        <v>1507</v>
      </c>
      <c r="BP502" s="1" t="s">
        <v>1507</v>
      </c>
      <c r="BQ502" s="1" t="s">
        <v>1507</v>
      </c>
      <c r="BR502" s="1" t="s">
        <v>1507</v>
      </c>
      <c r="BS502" s="1" t="s">
        <v>13744</v>
      </c>
      <c r="BT502" s="1" t="s">
        <v>11194</v>
      </c>
      <c r="BU502" s="1" t="str">
        <f>HYPERLINK("https%3A%2F%2Fwww.webofscience.com%2Fwos%2Fwoscc%2Ffull-record%2FWOS:000460998600013","View Full Record in Web of Science")</f>
        <v>View Full Record in Web of Science</v>
      </c>
    </row>
    <row r="503" spans="1:73" s="7" customFormat="1" x14ac:dyDescent="0.25">
      <c r="A503" s="1">
        <v>553</v>
      </c>
      <c r="B503" s="1" t="s">
        <v>1506</v>
      </c>
      <c r="C503" s="1" t="s">
        <v>2321</v>
      </c>
      <c r="D503" s="1" t="s">
        <v>1507</v>
      </c>
      <c r="E503" s="1" t="s">
        <v>1507</v>
      </c>
      <c r="F503" s="1" t="s">
        <v>1507</v>
      </c>
      <c r="G503" s="1" t="s">
        <v>2322</v>
      </c>
      <c r="H503" s="1" t="s">
        <v>1507</v>
      </c>
      <c r="I503" s="1" t="s">
        <v>1507</v>
      </c>
      <c r="J503" s="1" t="s">
        <v>2323</v>
      </c>
      <c r="K503" s="1" t="s">
        <v>2324</v>
      </c>
      <c r="L503" s="1" t="s">
        <v>1507</v>
      </c>
      <c r="M503" s="1" t="s">
        <v>1507</v>
      </c>
      <c r="N503" s="1" t="s">
        <v>42</v>
      </c>
      <c r="O503" s="1" t="s">
        <v>56</v>
      </c>
      <c r="P503" s="1" t="s">
        <v>1507</v>
      </c>
      <c r="Q503" s="1" t="s">
        <v>1507</v>
      </c>
      <c r="R503" s="1" t="s">
        <v>1507</v>
      </c>
      <c r="S503" s="1" t="s">
        <v>1507</v>
      </c>
      <c r="T503" s="1" t="s">
        <v>1507</v>
      </c>
      <c r="U503" s="1" t="s">
        <v>1507</v>
      </c>
      <c r="V503" s="1" t="s">
        <v>1507</v>
      </c>
      <c r="W503" s="1" t="s">
        <v>2325</v>
      </c>
      <c r="X503" s="1" t="s">
        <v>2326</v>
      </c>
      <c r="Y503" s="1" t="s">
        <v>2327</v>
      </c>
      <c r="Z503" s="1" t="s">
        <v>2328</v>
      </c>
      <c r="AA503" s="1" t="s">
        <v>1507</v>
      </c>
      <c r="AB503" s="1" t="s">
        <v>13941</v>
      </c>
      <c r="AC503" s="1" t="s">
        <v>13942</v>
      </c>
      <c r="AD503" s="1" t="s">
        <v>2329</v>
      </c>
      <c r="AE503" s="1" t="s">
        <v>2330</v>
      </c>
      <c r="AF503" s="1" t="s">
        <v>2331</v>
      </c>
      <c r="AG503" s="1" t="s">
        <v>1507</v>
      </c>
      <c r="AH503" s="1">
        <v>85</v>
      </c>
      <c r="AI503" s="1">
        <v>2</v>
      </c>
      <c r="AJ503" s="1">
        <v>2</v>
      </c>
      <c r="AK503" s="1">
        <v>0</v>
      </c>
      <c r="AL503" s="1">
        <v>0</v>
      </c>
      <c r="AM503" s="1" t="s">
        <v>2332</v>
      </c>
      <c r="AN503" s="1" t="s">
        <v>2333</v>
      </c>
      <c r="AO503" s="1" t="s">
        <v>2334</v>
      </c>
      <c r="AP503" s="1" t="s">
        <v>2335</v>
      </c>
      <c r="AQ503" s="1" t="s">
        <v>2336</v>
      </c>
      <c r="AR503" s="1" t="s">
        <v>1507</v>
      </c>
      <c r="AS503" s="1" t="s">
        <v>2337</v>
      </c>
      <c r="AT503" s="1" t="s">
        <v>2338</v>
      </c>
      <c r="AU503" s="1" t="s">
        <v>2191</v>
      </c>
      <c r="AV503" s="1">
        <v>2023</v>
      </c>
      <c r="AW503" s="1">
        <v>46</v>
      </c>
      <c r="AX503" s="1">
        <v>4</v>
      </c>
      <c r="AY503" s="1" t="s">
        <v>1507</v>
      </c>
      <c r="AZ503" s="1" t="s">
        <v>1507</v>
      </c>
      <c r="BA503" s="1" t="s">
        <v>1507</v>
      </c>
      <c r="BB503" s="1" t="s">
        <v>1507</v>
      </c>
      <c r="BC503" s="1">
        <v>1421</v>
      </c>
      <c r="BD503" s="1">
        <v>1470</v>
      </c>
      <c r="BE503" s="1" t="s">
        <v>1507</v>
      </c>
      <c r="BF503" s="1" t="s">
        <v>1507</v>
      </c>
      <c r="BG503" s="1" t="s">
        <v>1507</v>
      </c>
      <c r="BH503" s="1" t="s">
        <v>1507</v>
      </c>
      <c r="BI503" s="1" t="s">
        <v>1507</v>
      </c>
      <c r="BJ503" s="1">
        <v>50</v>
      </c>
      <c r="BK503" s="1" t="s">
        <v>1535</v>
      </c>
      <c r="BL503" s="1" t="s">
        <v>1529</v>
      </c>
      <c r="BM503" s="1" t="s">
        <v>1536</v>
      </c>
      <c r="BN503" s="1" t="s">
        <v>2339</v>
      </c>
      <c r="BO503" s="1" t="s">
        <v>1507</v>
      </c>
      <c r="BP503" s="1" t="s">
        <v>1507</v>
      </c>
      <c r="BQ503" s="1" t="s">
        <v>1507</v>
      </c>
      <c r="BR503" s="1" t="s">
        <v>1507</v>
      </c>
      <c r="BS503" s="1" t="s">
        <v>13744</v>
      </c>
      <c r="BT503" s="1" t="s">
        <v>2340</v>
      </c>
      <c r="BU503" s="1" t="str">
        <f>HYPERLINK("https%3A%2F%2Fwww.webofscience.com%2Fwos%2Fwoscc%2Ffull-record%2FWOS:001125409100007","View Full Record in Web of Science")</f>
        <v>View Full Record in Web of Science</v>
      </c>
    </row>
    <row r="504" spans="1:73" s="7" customFormat="1" x14ac:dyDescent="0.25">
      <c r="A504" s="1">
        <v>554</v>
      </c>
      <c r="B504" s="1" t="s">
        <v>1506</v>
      </c>
      <c r="C504" s="1" t="s">
        <v>6994</v>
      </c>
      <c r="D504" s="1" t="s">
        <v>1507</v>
      </c>
      <c r="E504" s="1" t="s">
        <v>1507</v>
      </c>
      <c r="F504" s="1" t="s">
        <v>1507</v>
      </c>
      <c r="G504" s="1" t="s">
        <v>6995</v>
      </c>
      <c r="H504" s="1" t="s">
        <v>1507</v>
      </c>
      <c r="I504" s="1" t="s">
        <v>1507</v>
      </c>
      <c r="J504" s="1" t="s">
        <v>6996</v>
      </c>
      <c r="K504" s="1" t="s">
        <v>6997</v>
      </c>
      <c r="L504" s="1" t="s">
        <v>1507</v>
      </c>
      <c r="M504" s="1" t="s">
        <v>1507</v>
      </c>
      <c r="N504" s="1" t="s">
        <v>42</v>
      </c>
      <c r="O504" s="1" t="s">
        <v>56</v>
      </c>
      <c r="P504" s="1" t="s">
        <v>1507</v>
      </c>
      <c r="Q504" s="1" t="s">
        <v>1507</v>
      </c>
      <c r="R504" s="1" t="s">
        <v>1507</v>
      </c>
      <c r="S504" s="1" t="s">
        <v>1507</v>
      </c>
      <c r="T504" s="1" t="s">
        <v>1507</v>
      </c>
      <c r="U504" s="1" t="s">
        <v>6998</v>
      </c>
      <c r="V504" s="1" t="s">
        <v>1507</v>
      </c>
      <c r="W504" s="1" t="s">
        <v>6999</v>
      </c>
      <c r="X504" s="1" t="s">
        <v>7000</v>
      </c>
      <c r="Y504" s="1" t="s">
        <v>7001</v>
      </c>
      <c r="Z504" s="1" t="s">
        <v>7002</v>
      </c>
      <c r="AA504" s="1" t="s">
        <v>7003</v>
      </c>
      <c r="AB504" s="1" t="s">
        <v>7004</v>
      </c>
      <c r="AC504" s="1" t="s">
        <v>7005</v>
      </c>
      <c r="AD504" s="1" t="s">
        <v>7006</v>
      </c>
      <c r="AE504" s="1" t="s">
        <v>7007</v>
      </c>
      <c r="AF504" s="1" t="s">
        <v>7008</v>
      </c>
      <c r="AG504" s="1" t="s">
        <v>1507</v>
      </c>
      <c r="AH504" s="1">
        <v>58</v>
      </c>
      <c r="AI504" s="1">
        <v>0</v>
      </c>
      <c r="AJ504" s="1">
        <v>0</v>
      </c>
      <c r="AK504" s="1">
        <v>3</v>
      </c>
      <c r="AL504" s="1">
        <v>9</v>
      </c>
      <c r="AM504" s="1" t="s">
        <v>7009</v>
      </c>
      <c r="AN504" s="1" t="s">
        <v>7010</v>
      </c>
      <c r="AO504" s="1" t="s">
        <v>7011</v>
      </c>
      <c r="AP504" s="1" t="s">
        <v>7012</v>
      </c>
      <c r="AQ504" s="1" t="s">
        <v>1507</v>
      </c>
      <c r="AR504" s="1" t="s">
        <v>1507</v>
      </c>
      <c r="AS504" s="1" t="s">
        <v>7013</v>
      </c>
      <c r="AT504" s="1" t="s">
        <v>7014</v>
      </c>
      <c r="AU504" s="1" t="s">
        <v>3992</v>
      </c>
      <c r="AV504" s="1">
        <v>2022</v>
      </c>
      <c r="AW504" s="1">
        <v>17</v>
      </c>
      <c r="AX504" s="1">
        <v>2</v>
      </c>
      <c r="AY504" s="1" t="s">
        <v>1507</v>
      </c>
      <c r="AZ504" s="1" t="s">
        <v>1507</v>
      </c>
      <c r="BA504" s="1" t="s">
        <v>1507</v>
      </c>
      <c r="BB504" s="1" t="s">
        <v>1507</v>
      </c>
      <c r="BC504" s="1">
        <v>331</v>
      </c>
      <c r="BD504" s="1">
        <v>370</v>
      </c>
      <c r="BE504" s="1" t="s">
        <v>1507</v>
      </c>
      <c r="BF504" s="1" t="s">
        <v>1507</v>
      </c>
      <c r="BG504" s="1" t="s">
        <v>1507</v>
      </c>
      <c r="BH504" s="1" t="s">
        <v>1507</v>
      </c>
      <c r="BI504" s="1" t="s">
        <v>1507</v>
      </c>
      <c r="BJ504" s="1">
        <v>40</v>
      </c>
      <c r="BK504" s="1" t="s">
        <v>7015</v>
      </c>
      <c r="BL504" s="1" t="s">
        <v>1518</v>
      </c>
      <c r="BM504" s="1" t="s">
        <v>7016</v>
      </c>
      <c r="BN504" s="1" t="s">
        <v>7017</v>
      </c>
      <c r="BO504" s="1" t="s">
        <v>1507</v>
      </c>
      <c r="BP504" s="1" t="s">
        <v>1507</v>
      </c>
      <c r="BQ504" s="1" t="s">
        <v>1507</v>
      </c>
      <c r="BR504" s="1" t="s">
        <v>1507</v>
      </c>
      <c r="BS504" s="1" t="s">
        <v>13744</v>
      </c>
      <c r="BT504" s="1" t="s">
        <v>7018</v>
      </c>
      <c r="BU504" s="1" t="str">
        <f>HYPERLINK("https%3A%2F%2Fwww.webofscience.com%2Fwos%2Fwoscc%2Ffull-record%2FWOS:000867485400002","View Full Record in Web of Science")</f>
        <v>View Full Record in Web of Science</v>
      </c>
    </row>
    <row r="505" spans="1:73" s="7" customFormat="1" x14ac:dyDescent="0.25">
      <c r="A505" s="1">
        <v>555</v>
      </c>
      <c r="B505" s="1" t="s">
        <v>1506</v>
      </c>
      <c r="C505" s="1" t="s">
        <v>7940</v>
      </c>
      <c r="D505" s="1" t="s">
        <v>1507</v>
      </c>
      <c r="E505" s="1" t="s">
        <v>1507</v>
      </c>
      <c r="F505" s="1" t="s">
        <v>1507</v>
      </c>
      <c r="G505" s="1" t="s">
        <v>7941</v>
      </c>
      <c r="H505" s="1" t="s">
        <v>1507</v>
      </c>
      <c r="I505" s="1" t="s">
        <v>1507</v>
      </c>
      <c r="J505" s="1" t="s">
        <v>7942</v>
      </c>
      <c r="K505" s="1" t="s">
        <v>7943</v>
      </c>
      <c r="L505" s="1" t="s">
        <v>1507</v>
      </c>
      <c r="M505" s="1" t="s">
        <v>1507</v>
      </c>
      <c r="N505" s="1" t="s">
        <v>42</v>
      </c>
      <c r="O505" s="1" t="s">
        <v>56</v>
      </c>
      <c r="P505" s="1" t="s">
        <v>1507</v>
      </c>
      <c r="Q505" s="1" t="s">
        <v>1507</v>
      </c>
      <c r="R505" s="1" t="s">
        <v>1507</v>
      </c>
      <c r="S505" s="1" t="s">
        <v>1507</v>
      </c>
      <c r="T505" s="1" t="s">
        <v>1507</v>
      </c>
      <c r="U505" s="1" t="s">
        <v>1507</v>
      </c>
      <c r="V505" s="1" t="s">
        <v>7944</v>
      </c>
      <c r="W505" s="1" t="s">
        <v>7945</v>
      </c>
      <c r="X505" s="1" t="s">
        <v>7946</v>
      </c>
      <c r="Y505" s="1" t="s">
        <v>7947</v>
      </c>
      <c r="Z505" s="1" t="s">
        <v>7948</v>
      </c>
      <c r="AA505" s="1" t="s">
        <v>7949</v>
      </c>
      <c r="AB505" s="1" t="s">
        <v>15675</v>
      </c>
      <c r="AC505" s="1" t="s">
        <v>15676</v>
      </c>
      <c r="AD505" s="1" t="s">
        <v>7950</v>
      </c>
      <c r="AE505" s="1" t="s">
        <v>7951</v>
      </c>
      <c r="AF505" s="1" t="s">
        <v>7952</v>
      </c>
      <c r="AG505" s="1" t="s">
        <v>1507</v>
      </c>
      <c r="AH505" s="1">
        <v>45</v>
      </c>
      <c r="AI505" s="1">
        <v>2</v>
      </c>
      <c r="AJ505" s="1">
        <v>4</v>
      </c>
      <c r="AK505" s="1">
        <v>7</v>
      </c>
      <c r="AL505" s="1">
        <v>39</v>
      </c>
      <c r="AM505" s="1" t="s">
        <v>1522</v>
      </c>
      <c r="AN505" s="1" t="s">
        <v>1523</v>
      </c>
      <c r="AO505" s="1" t="s">
        <v>1524</v>
      </c>
      <c r="AP505" s="1" t="s">
        <v>7953</v>
      </c>
      <c r="AQ505" s="1" t="s">
        <v>7954</v>
      </c>
      <c r="AR505" s="1" t="s">
        <v>1507</v>
      </c>
      <c r="AS505" s="1" t="s">
        <v>7955</v>
      </c>
      <c r="AT505" s="1" t="s">
        <v>7956</v>
      </c>
      <c r="AU505" s="1" t="s">
        <v>15677</v>
      </c>
      <c r="AV505" s="1">
        <v>2022</v>
      </c>
      <c r="AW505" s="1">
        <v>24</v>
      </c>
      <c r="AX505" s="1">
        <v>4</v>
      </c>
      <c r="AY505" s="1" t="s">
        <v>1507</v>
      </c>
      <c r="AZ505" s="1" t="s">
        <v>1507</v>
      </c>
      <c r="BA505" s="1" t="s">
        <v>1507</v>
      </c>
      <c r="BB505" s="1" t="s">
        <v>1507</v>
      </c>
      <c r="BC505" s="1">
        <v>2396</v>
      </c>
      <c r="BD505" s="1">
        <v>2402</v>
      </c>
      <c r="BE505" s="1" t="s">
        <v>1507</v>
      </c>
      <c r="BF505" s="1" t="s">
        <v>7957</v>
      </c>
      <c r="BG505" s="1" t="str">
        <f>HYPERLINK("http://dx.doi.org/10.1039/d1cp04076f","http://dx.doi.org/10.1039/d1cp04076f")</f>
        <v>http://dx.doi.org/10.1039/d1cp04076f</v>
      </c>
      <c r="BH505" s="1" t="s">
        <v>1507</v>
      </c>
      <c r="BI505" s="1" t="s">
        <v>7958</v>
      </c>
      <c r="BJ505" s="1">
        <v>7</v>
      </c>
      <c r="BK505" s="1" t="s">
        <v>7093</v>
      </c>
      <c r="BL505" s="1" t="s">
        <v>1573</v>
      </c>
      <c r="BM505" s="1" t="s">
        <v>7094</v>
      </c>
      <c r="BN505" s="1" t="s">
        <v>7959</v>
      </c>
      <c r="BO505" s="1">
        <v>35019913</v>
      </c>
      <c r="BP505" s="1" t="s">
        <v>1507</v>
      </c>
      <c r="BQ505" s="1" t="s">
        <v>1507</v>
      </c>
      <c r="BR505" s="1" t="s">
        <v>1507</v>
      </c>
      <c r="BS505" s="1" t="s">
        <v>13744</v>
      </c>
      <c r="BT505" s="1" t="s">
        <v>7960</v>
      </c>
      <c r="BU505" s="1" t="str">
        <f>HYPERLINK("https%3A%2F%2Fwww.webofscience.com%2Fwos%2Fwoscc%2Ffull-record%2FWOS:000741637800001","View Full Record in Web of Science")</f>
        <v>View Full Record in Web of Science</v>
      </c>
    </row>
    <row r="506" spans="1:73" s="7" customFormat="1" x14ac:dyDescent="0.25">
      <c r="A506" s="1">
        <v>556</v>
      </c>
      <c r="B506" s="1" t="s">
        <v>1506</v>
      </c>
      <c r="C506" s="1" t="s">
        <v>2477</v>
      </c>
      <c r="D506" s="1" t="s">
        <v>1507</v>
      </c>
      <c r="E506" s="1" t="s">
        <v>1507</v>
      </c>
      <c r="F506" s="1" t="s">
        <v>1507</v>
      </c>
      <c r="G506" s="1" t="s">
        <v>2478</v>
      </c>
      <c r="H506" s="1" t="s">
        <v>1507</v>
      </c>
      <c r="I506" s="1" t="s">
        <v>1507</v>
      </c>
      <c r="J506" s="1" t="s">
        <v>2479</v>
      </c>
      <c r="K506" s="1" t="s">
        <v>2480</v>
      </c>
      <c r="L506" s="1" t="s">
        <v>1507</v>
      </c>
      <c r="M506" s="1" t="s">
        <v>1507</v>
      </c>
      <c r="N506" s="1" t="s">
        <v>42</v>
      </c>
      <c r="O506" s="1" t="s">
        <v>1509</v>
      </c>
      <c r="P506" s="1" t="s">
        <v>1507</v>
      </c>
      <c r="Q506" s="1" t="s">
        <v>1507</v>
      </c>
      <c r="R506" s="1" t="s">
        <v>1507</v>
      </c>
      <c r="S506" s="1" t="s">
        <v>1507</v>
      </c>
      <c r="T506" s="1" t="s">
        <v>1507</v>
      </c>
      <c r="U506" s="1" t="s">
        <v>2481</v>
      </c>
      <c r="V506" s="1" t="s">
        <v>1507</v>
      </c>
      <c r="W506" s="1" t="s">
        <v>2482</v>
      </c>
      <c r="X506" s="1" t="s">
        <v>2483</v>
      </c>
      <c r="Y506" s="1" t="s">
        <v>2484</v>
      </c>
      <c r="Z506" s="1" t="s">
        <v>2485</v>
      </c>
      <c r="AA506" s="1" t="s">
        <v>2486</v>
      </c>
      <c r="AB506" s="1" t="s">
        <v>13962</v>
      </c>
      <c r="AC506" s="1" t="s">
        <v>13963</v>
      </c>
      <c r="AD506" s="1" t="s">
        <v>2487</v>
      </c>
      <c r="AE506" s="1" t="s">
        <v>2487</v>
      </c>
      <c r="AF506" s="1" t="s">
        <v>2488</v>
      </c>
      <c r="AG506" s="1" t="s">
        <v>1507</v>
      </c>
      <c r="AH506" s="1">
        <v>37</v>
      </c>
      <c r="AI506" s="1">
        <v>1</v>
      </c>
      <c r="AJ506" s="1">
        <v>1</v>
      </c>
      <c r="AK506" s="1">
        <v>6</v>
      </c>
      <c r="AL506" s="1">
        <v>6</v>
      </c>
      <c r="AM506" s="1" t="s">
        <v>1511</v>
      </c>
      <c r="AN506" s="1" t="s">
        <v>1570</v>
      </c>
      <c r="AO506" s="1" t="s">
        <v>1571</v>
      </c>
      <c r="AP506" s="1" t="s">
        <v>2489</v>
      </c>
      <c r="AQ506" s="1" t="s">
        <v>2490</v>
      </c>
      <c r="AR506" s="1" t="s">
        <v>1507</v>
      </c>
      <c r="AS506" s="1" t="s">
        <v>2491</v>
      </c>
      <c r="AT506" s="1" t="s">
        <v>2492</v>
      </c>
      <c r="AU506" s="1" t="s">
        <v>2493</v>
      </c>
      <c r="AV506" s="1">
        <v>2023</v>
      </c>
      <c r="AW506" s="1" t="s">
        <v>1507</v>
      </c>
      <c r="AX506" s="1" t="s">
        <v>1507</v>
      </c>
      <c r="AY506" s="1" t="s">
        <v>1507</v>
      </c>
      <c r="AZ506" s="1" t="s">
        <v>1507</v>
      </c>
      <c r="BA506" s="1" t="s">
        <v>1507</v>
      </c>
      <c r="BB506" s="1" t="s">
        <v>1507</v>
      </c>
      <c r="BC506" s="1" t="s">
        <v>1507</v>
      </c>
      <c r="BD506" s="1" t="s">
        <v>1507</v>
      </c>
      <c r="BE506" s="1" t="s">
        <v>1507</v>
      </c>
      <c r="BF506" s="1" t="s">
        <v>2494</v>
      </c>
      <c r="BG506" s="1" t="str">
        <f>HYPERLINK("http://dx.doi.org/10.1007/s11196-023-10068-1","http://dx.doi.org/10.1007/s11196-023-10068-1")</f>
        <v>http://dx.doi.org/10.1007/s11196-023-10068-1</v>
      </c>
      <c r="BH506" s="1" t="s">
        <v>1507</v>
      </c>
      <c r="BI506" s="1" t="s">
        <v>2396</v>
      </c>
      <c r="BJ506" s="1">
        <v>20</v>
      </c>
      <c r="BK506" s="1" t="s">
        <v>2495</v>
      </c>
      <c r="BL506" s="1" t="s">
        <v>1529</v>
      </c>
      <c r="BM506" s="1" t="s">
        <v>2496</v>
      </c>
      <c r="BN506" s="1" t="s">
        <v>2497</v>
      </c>
      <c r="BO506" s="1" t="s">
        <v>1507</v>
      </c>
      <c r="BP506" s="1" t="s">
        <v>1537</v>
      </c>
      <c r="BQ506" s="1" t="s">
        <v>1507</v>
      </c>
      <c r="BR506" s="1" t="s">
        <v>1507</v>
      </c>
      <c r="BS506" s="1" t="s">
        <v>13744</v>
      </c>
      <c r="BT506" s="1" t="s">
        <v>2498</v>
      </c>
      <c r="BU506" s="1" t="str">
        <f>HYPERLINK("https%3A%2F%2Fwww.webofscience.com%2Fwos%2Fwoscc%2Ffull-record%2FWOS:001105001600002","View Full Record in Web of Science")</f>
        <v>View Full Record in Web of Science</v>
      </c>
    </row>
    <row r="507" spans="1:73" s="7" customFormat="1" x14ac:dyDescent="0.25">
      <c r="A507" s="1">
        <v>557</v>
      </c>
      <c r="B507" s="1" t="s">
        <v>1506</v>
      </c>
      <c r="C507" s="1" t="s">
        <v>1973</v>
      </c>
      <c r="D507" s="1" t="s">
        <v>1507</v>
      </c>
      <c r="E507" s="1" t="s">
        <v>1507</v>
      </c>
      <c r="F507" s="1" t="s">
        <v>1507</v>
      </c>
      <c r="G507" s="1" t="s">
        <v>1974</v>
      </c>
      <c r="H507" s="1" t="s">
        <v>1507</v>
      </c>
      <c r="I507" s="1" t="s">
        <v>1507</v>
      </c>
      <c r="J507" s="1" t="s">
        <v>1975</v>
      </c>
      <c r="K507" s="1" t="s">
        <v>1976</v>
      </c>
      <c r="L507" s="1" t="s">
        <v>1507</v>
      </c>
      <c r="M507" s="1" t="s">
        <v>1507</v>
      </c>
      <c r="N507" s="1" t="s">
        <v>42</v>
      </c>
      <c r="O507" s="1" t="s">
        <v>56</v>
      </c>
      <c r="P507" s="1" t="s">
        <v>1507</v>
      </c>
      <c r="Q507" s="1" t="s">
        <v>1507</v>
      </c>
      <c r="R507" s="1" t="s">
        <v>1507</v>
      </c>
      <c r="S507" s="1" t="s">
        <v>1507</v>
      </c>
      <c r="T507" s="1" t="s">
        <v>1507</v>
      </c>
      <c r="U507" s="1" t="s">
        <v>1977</v>
      </c>
      <c r="V507" s="1" t="s">
        <v>1978</v>
      </c>
      <c r="W507" s="1" t="s">
        <v>1979</v>
      </c>
      <c r="X507" s="1" t="s">
        <v>1980</v>
      </c>
      <c r="Y507" s="1" t="s">
        <v>1981</v>
      </c>
      <c r="Z507" s="1" t="s">
        <v>1982</v>
      </c>
      <c r="AA507" s="1" t="s">
        <v>1983</v>
      </c>
      <c r="AB507" s="1" t="s">
        <v>1984</v>
      </c>
      <c r="AC507" s="1" t="s">
        <v>1985</v>
      </c>
      <c r="AD507" s="1" t="s">
        <v>1986</v>
      </c>
      <c r="AE507" s="1" t="s">
        <v>1987</v>
      </c>
      <c r="AF507" s="1" t="s">
        <v>1988</v>
      </c>
      <c r="AG507" s="1" t="s">
        <v>1507</v>
      </c>
      <c r="AH507" s="1">
        <v>72</v>
      </c>
      <c r="AI507" s="1">
        <v>0</v>
      </c>
      <c r="AJ507" s="1">
        <v>0</v>
      </c>
      <c r="AK507" s="1">
        <v>56</v>
      </c>
      <c r="AL507" s="1">
        <v>56</v>
      </c>
      <c r="AM507" s="1" t="s">
        <v>1586</v>
      </c>
      <c r="AN507" s="1" t="s">
        <v>1587</v>
      </c>
      <c r="AO507" s="1" t="s">
        <v>1588</v>
      </c>
      <c r="AP507" s="1" t="s">
        <v>1989</v>
      </c>
      <c r="AQ507" s="1" t="s">
        <v>1990</v>
      </c>
      <c r="AR507" s="1" t="s">
        <v>1507</v>
      </c>
      <c r="AS507" s="1" t="s">
        <v>1991</v>
      </c>
      <c r="AT507" s="1" t="s">
        <v>1992</v>
      </c>
      <c r="AU507" s="1" t="s">
        <v>5362</v>
      </c>
      <c r="AV507" s="1">
        <v>2024</v>
      </c>
      <c r="AW507" s="1">
        <v>51</v>
      </c>
      <c r="AX507" s="1" t="s">
        <v>1507</v>
      </c>
      <c r="AY507" s="1" t="s">
        <v>1507</v>
      </c>
      <c r="AZ507" s="1" t="s">
        <v>1507</v>
      </c>
      <c r="BA507" s="1" t="s">
        <v>1507</v>
      </c>
      <c r="BB507" s="1" t="s">
        <v>1507</v>
      </c>
      <c r="BC507" s="1" t="s">
        <v>1507</v>
      </c>
      <c r="BD507" s="1" t="s">
        <v>1507</v>
      </c>
      <c r="BE507" s="1">
        <v>101440</v>
      </c>
      <c r="BF507" s="1" t="s">
        <v>1993</v>
      </c>
      <c r="BG507" s="1" t="str">
        <f>HYPERLINK("http://dx.doi.org/10.1016/j.tsc.2023.101440","http://dx.doi.org/10.1016/j.tsc.2023.101440")</f>
        <v>http://dx.doi.org/10.1016/j.tsc.2023.101440</v>
      </c>
      <c r="BH507" s="1" t="s">
        <v>1507</v>
      </c>
      <c r="BI507" s="1" t="s">
        <v>1652</v>
      </c>
      <c r="BJ507" s="1">
        <v>14</v>
      </c>
      <c r="BK507" s="1" t="s">
        <v>1558</v>
      </c>
      <c r="BL507" s="1" t="s">
        <v>1518</v>
      </c>
      <c r="BM507" s="1" t="s">
        <v>1558</v>
      </c>
      <c r="BN507" s="1" t="s">
        <v>1994</v>
      </c>
      <c r="BO507" s="1" t="s">
        <v>1507</v>
      </c>
      <c r="BP507" s="1" t="s">
        <v>1507</v>
      </c>
      <c r="BQ507" s="1" t="s">
        <v>1507</v>
      </c>
      <c r="BR507" s="1" t="s">
        <v>1507</v>
      </c>
      <c r="BS507" s="1" t="s">
        <v>13744</v>
      </c>
      <c r="BT507" s="1" t="s">
        <v>1995</v>
      </c>
      <c r="BU507" s="1" t="str">
        <f>HYPERLINK("https%3A%2F%2Fwww.webofscience.com%2Fwos%2Fwoscc%2Ffull-record%2FWOS:001140175900001","View Full Record in Web of Science")</f>
        <v>View Full Record in Web of Science</v>
      </c>
    </row>
    <row r="508" spans="1:73" s="7" customFormat="1" x14ac:dyDescent="0.25">
      <c r="A508" s="1">
        <v>558</v>
      </c>
      <c r="B508" s="1" t="s">
        <v>1506</v>
      </c>
      <c r="C508" s="1" t="s">
        <v>8040</v>
      </c>
      <c r="D508" s="1" t="s">
        <v>1507</v>
      </c>
      <c r="E508" s="1" t="s">
        <v>1507</v>
      </c>
      <c r="F508" s="1" t="s">
        <v>1507</v>
      </c>
      <c r="G508" s="1" t="s">
        <v>8041</v>
      </c>
      <c r="H508" s="1" t="s">
        <v>1507</v>
      </c>
      <c r="I508" s="1" t="s">
        <v>1507</v>
      </c>
      <c r="J508" s="1" t="s">
        <v>8042</v>
      </c>
      <c r="K508" s="1" t="s">
        <v>8043</v>
      </c>
      <c r="L508" s="1" t="s">
        <v>1507</v>
      </c>
      <c r="M508" s="1" t="s">
        <v>1507</v>
      </c>
      <c r="N508" s="1" t="s">
        <v>42</v>
      </c>
      <c r="O508" s="1" t="s">
        <v>56</v>
      </c>
      <c r="P508" s="1" t="s">
        <v>1507</v>
      </c>
      <c r="Q508" s="1" t="s">
        <v>1507</v>
      </c>
      <c r="R508" s="1" t="s">
        <v>1507</v>
      </c>
      <c r="S508" s="1" t="s">
        <v>1507</v>
      </c>
      <c r="T508" s="1" t="s">
        <v>1507</v>
      </c>
      <c r="U508" s="1" t="s">
        <v>8044</v>
      </c>
      <c r="V508" s="1" t="s">
        <v>8045</v>
      </c>
      <c r="W508" s="1" t="s">
        <v>8046</v>
      </c>
      <c r="X508" s="1" t="s">
        <v>8047</v>
      </c>
      <c r="Y508" s="1" t="s">
        <v>8048</v>
      </c>
      <c r="Z508" s="1" t="s">
        <v>8049</v>
      </c>
      <c r="AA508" s="1" t="s">
        <v>5402</v>
      </c>
      <c r="AB508" s="1" t="s">
        <v>1507</v>
      </c>
      <c r="AC508" s="1" t="s">
        <v>8050</v>
      </c>
      <c r="AD508" s="1" t="s">
        <v>8051</v>
      </c>
      <c r="AE508" s="1" t="s">
        <v>8052</v>
      </c>
      <c r="AF508" s="1" t="s">
        <v>8053</v>
      </c>
      <c r="AG508" s="1" t="s">
        <v>1507</v>
      </c>
      <c r="AH508" s="1">
        <v>72</v>
      </c>
      <c r="AI508" s="1">
        <v>5</v>
      </c>
      <c r="AJ508" s="1">
        <v>5</v>
      </c>
      <c r="AK508" s="1">
        <v>1</v>
      </c>
      <c r="AL508" s="1">
        <v>17</v>
      </c>
      <c r="AM508" s="1" t="s">
        <v>1511</v>
      </c>
      <c r="AN508" s="1" t="s">
        <v>1512</v>
      </c>
      <c r="AO508" s="1" t="s">
        <v>1513</v>
      </c>
      <c r="AP508" s="1" t="s">
        <v>8054</v>
      </c>
      <c r="AQ508" s="1" t="s">
        <v>8055</v>
      </c>
      <c r="AR508" s="1" t="s">
        <v>1507</v>
      </c>
      <c r="AS508" s="1" t="s">
        <v>8056</v>
      </c>
      <c r="AT508" s="1" t="s">
        <v>8057</v>
      </c>
      <c r="AU508" s="1" t="s">
        <v>2191</v>
      </c>
      <c r="AV508" s="1">
        <v>2021</v>
      </c>
      <c r="AW508" s="1">
        <v>27</v>
      </c>
      <c r="AX508" s="1">
        <v>1</v>
      </c>
      <c r="AY508" s="1" t="s">
        <v>1507</v>
      </c>
      <c r="AZ508" s="1" t="s">
        <v>1507</v>
      </c>
      <c r="BA508" s="1" t="s">
        <v>1507</v>
      </c>
      <c r="BB508" s="1" t="s">
        <v>1507</v>
      </c>
      <c r="BC508" s="1" t="s">
        <v>1507</v>
      </c>
      <c r="BD508" s="1" t="s">
        <v>1507</v>
      </c>
      <c r="BE508" s="1">
        <v>79</v>
      </c>
      <c r="BF508" s="1" t="s">
        <v>8058</v>
      </c>
      <c r="BG508" s="1" t="str">
        <f>HYPERLINK("http://dx.doi.org/10.1186/s10020-021-00334-y","http://dx.doi.org/10.1186/s10020-021-00334-y")</f>
        <v>http://dx.doi.org/10.1186/s10020-021-00334-y</v>
      </c>
      <c r="BH508" s="1" t="s">
        <v>1507</v>
      </c>
      <c r="BI508" s="1" t="s">
        <v>1507</v>
      </c>
      <c r="BJ508" s="1">
        <v>17</v>
      </c>
      <c r="BK508" s="1" t="s">
        <v>8059</v>
      </c>
      <c r="BL508" s="1" t="s">
        <v>1573</v>
      </c>
      <c r="BM508" s="1" t="s">
        <v>8060</v>
      </c>
      <c r="BN508" s="1" t="s">
        <v>8061</v>
      </c>
      <c r="BO508" s="1">
        <v>34271850</v>
      </c>
      <c r="BP508" s="1" t="s">
        <v>1952</v>
      </c>
      <c r="BQ508" s="1" t="s">
        <v>1507</v>
      </c>
      <c r="BR508" s="1" t="s">
        <v>1507</v>
      </c>
      <c r="BS508" s="1" t="s">
        <v>13744</v>
      </c>
      <c r="BT508" s="1" t="s">
        <v>8062</v>
      </c>
      <c r="BU508" s="1" t="str">
        <f>HYPERLINK("https%3A%2F%2Fwww.webofscience.com%2Fwos%2Fwoscc%2Ffull-record%2FWOS:000674079600001","View Full Record in Web of Science")</f>
        <v>View Full Record in Web of Science</v>
      </c>
    </row>
    <row r="509" spans="1:73" s="7" customFormat="1" x14ac:dyDescent="0.25">
      <c r="A509" s="1">
        <v>559</v>
      </c>
      <c r="B509" s="1" t="s">
        <v>1506</v>
      </c>
      <c r="C509" s="1" t="s">
        <v>6535</v>
      </c>
      <c r="D509" s="1" t="s">
        <v>1507</v>
      </c>
      <c r="E509" s="1" t="s">
        <v>1507</v>
      </c>
      <c r="F509" s="1" t="s">
        <v>1507</v>
      </c>
      <c r="G509" s="1" t="s">
        <v>6536</v>
      </c>
      <c r="H509" s="1" t="s">
        <v>1507</v>
      </c>
      <c r="I509" s="1" t="s">
        <v>1507</v>
      </c>
      <c r="J509" s="1" t="s">
        <v>6537</v>
      </c>
      <c r="K509" s="1" t="s">
        <v>6538</v>
      </c>
      <c r="L509" s="1" t="s">
        <v>1507</v>
      </c>
      <c r="M509" s="1" t="s">
        <v>1507</v>
      </c>
      <c r="N509" s="1" t="s">
        <v>42</v>
      </c>
      <c r="O509" s="1" t="s">
        <v>56</v>
      </c>
      <c r="P509" s="1" t="s">
        <v>1507</v>
      </c>
      <c r="Q509" s="1" t="s">
        <v>1507</v>
      </c>
      <c r="R509" s="1" t="s">
        <v>1507</v>
      </c>
      <c r="S509" s="1" t="s">
        <v>1507</v>
      </c>
      <c r="T509" s="1" t="s">
        <v>1507</v>
      </c>
      <c r="U509" s="1" t="s">
        <v>6539</v>
      </c>
      <c r="V509" s="1" t="s">
        <v>1507</v>
      </c>
      <c r="W509" s="1" t="s">
        <v>6540</v>
      </c>
      <c r="X509" s="1" t="s">
        <v>6541</v>
      </c>
      <c r="Y509" s="1" t="s">
        <v>6542</v>
      </c>
      <c r="Z509" s="1" t="s">
        <v>6543</v>
      </c>
      <c r="AA509" s="1" t="s">
        <v>6544</v>
      </c>
      <c r="AB509" s="1" t="s">
        <v>1507</v>
      </c>
      <c r="AC509" s="1" t="s">
        <v>1507</v>
      </c>
      <c r="AD509" s="1" t="s">
        <v>6545</v>
      </c>
      <c r="AE509" s="1" t="s">
        <v>6546</v>
      </c>
      <c r="AF509" s="1" t="s">
        <v>6547</v>
      </c>
      <c r="AG509" s="1" t="s">
        <v>1507</v>
      </c>
      <c r="AH509" s="1">
        <v>50</v>
      </c>
      <c r="AI509" s="1">
        <v>0</v>
      </c>
      <c r="AJ509" s="1">
        <v>0</v>
      </c>
      <c r="AK509" s="1">
        <v>12</v>
      </c>
      <c r="AL509" s="1">
        <v>12</v>
      </c>
      <c r="AM509" s="1" t="s">
        <v>3048</v>
      </c>
      <c r="AN509" s="1" t="s">
        <v>1551</v>
      </c>
      <c r="AO509" s="1" t="s">
        <v>3049</v>
      </c>
      <c r="AP509" s="1" t="s">
        <v>6548</v>
      </c>
      <c r="AQ509" s="1" t="s">
        <v>1507</v>
      </c>
      <c r="AR509" s="1" t="s">
        <v>1507</v>
      </c>
      <c r="AS509" s="1" t="s">
        <v>6549</v>
      </c>
      <c r="AT509" s="1" t="s">
        <v>6550</v>
      </c>
      <c r="AU509" s="1" t="s">
        <v>1507</v>
      </c>
      <c r="AV509" s="1">
        <v>2023</v>
      </c>
      <c r="AW509" s="1">
        <v>17</v>
      </c>
      <c r="AX509" s="1" t="s">
        <v>1507</v>
      </c>
      <c r="AY509" s="1" t="s">
        <v>1507</v>
      </c>
      <c r="AZ509" s="1" t="s">
        <v>1507</v>
      </c>
      <c r="BA509" s="1" t="s">
        <v>1507</v>
      </c>
      <c r="BB509" s="1" t="s">
        <v>1507</v>
      </c>
      <c r="BC509" s="1" t="s">
        <v>1507</v>
      </c>
      <c r="BD509" s="1" t="s">
        <v>1507</v>
      </c>
      <c r="BE509" s="1">
        <v>1.834490923121396E+16</v>
      </c>
      <c r="BF509" s="1" t="s">
        <v>6551</v>
      </c>
      <c r="BG509" s="1" t="str">
        <f>HYPERLINK("http://dx.doi.org/10.1177/18344909231213958","http://dx.doi.org/10.1177/18344909231213958")</f>
        <v>http://dx.doi.org/10.1177/18344909231213958</v>
      </c>
      <c r="BH509" s="1" t="s">
        <v>1507</v>
      </c>
      <c r="BI509" s="1" t="s">
        <v>1507</v>
      </c>
      <c r="BJ509" s="1">
        <v>12</v>
      </c>
      <c r="BK509" s="1" t="s">
        <v>1517</v>
      </c>
      <c r="BL509" s="1" t="s">
        <v>1518</v>
      </c>
      <c r="BM509" s="1" t="s">
        <v>1519</v>
      </c>
      <c r="BN509" s="1" t="s">
        <v>6552</v>
      </c>
      <c r="BO509" s="1" t="s">
        <v>1507</v>
      </c>
      <c r="BP509" s="1" t="s">
        <v>1553</v>
      </c>
      <c r="BQ509" s="1" t="s">
        <v>1507</v>
      </c>
      <c r="BR509" s="1" t="s">
        <v>1507</v>
      </c>
      <c r="BS509" s="1" t="s">
        <v>13744</v>
      </c>
      <c r="BT509" s="1" t="s">
        <v>6553</v>
      </c>
      <c r="BU509" s="1" t="str">
        <f>HYPERLINK("https%3A%2F%2Fwww.webofscience.com%2Fwos%2Fwoscc%2Ffull-record%2FWOS:001103462400001","View Full Record in Web of Science")</f>
        <v>View Full Record in Web of Science</v>
      </c>
    </row>
    <row r="510" spans="1:73" s="7" customFormat="1" x14ac:dyDescent="0.25">
      <c r="A510" s="1">
        <v>560</v>
      </c>
      <c r="B510" s="1" t="s">
        <v>5546</v>
      </c>
      <c r="C510" s="1" t="s">
        <v>7894</v>
      </c>
      <c r="D510" s="1" t="s">
        <v>1507</v>
      </c>
      <c r="E510" s="1" t="s">
        <v>7895</v>
      </c>
      <c r="F510" s="1" t="s">
        <v>1507</v>
      </c>
      <c r="G510" s="1" t="s">
        <v>7896</v>
      </c>
      <c r="H510" s="1" t="s">
        <v>1507</v>
      </c>
      <c r="I510" s="1" t="s">
        <v>1507</v>
      </c>
      <c r="J510" s="1" t="s">
        <v>7897</v>
      </c>
      <c r="K510" s="1" t="s">
        <v>7898</v>
      </c>
      <c r="L510" s="1" t="s">
        <v>6208</v>
      </c>
      <c r="M510" s="1" t="s">
        <v>1507</v>
      </c>
      <c r="N510" s="1" t="s">
        <v>42</v>
      </c>
      <c r="O510" s="1" t="s">
        <v>5552</v>
      </c>
      <c r="P510" s="1" t="s">
        <v>7899</v>
      </c>
      <c r="Q510" s="1" t="s">
        <v>7900</v>
      </c>
      <c r="R510" s="1" t="s">
        <v>7901</v>
      </c>
      <c r="S510" s="1" t="s">
        <v>1507</v>
      </c>
      <c r="T510" s="1" t="s">
        <v>7902</v>
      </c>
      <c r="U510" s="1" t="s">
        <v>1507</v>
      </c>
      <c r="V510" s="1" t="s">
        <v>7903</v>
      </c>
      <c r="W510" s="1" t="s">
        <v>7904</v>
      </c>
      <c r="X510" s="1" t="s">
        <v>7905</v>
      </c>
      <c r="Y510" s="1" t="s">
        <v>7906</v>
      </c>
      <c r="Z510" s="1" t="s">
        <v>7907</v>
      </c>
      <c r="AA510" s="1" t="s">
        <v>7908</v>
      </c>
      <c r="AB510" s="1" t="s">
        <v>1507</v>
      </c>
      <c r="AC510" s="1" t="s">
        <v>7909</v>
      </c>
      <c r="AD510" s="1" t="s">
        <v>7910</v>
      </c>
      <c r="AE510" s="1" t="s">
        <v>7911</v>
      </c>
      <c r="AF510" s="1" t="s">
        <v>7912</v>
      </c>
      <c r="AG510" s="1" t="s">
        <v>1507</v>
      </c>
      <c r="AH510" s="1">
        <v>28</v>
      </c>
      <c r="AI510" s="1">
        <v>5</v>
      </c>
      <c r="AJ510" s="1">
        <v>5</v>
      </c>
      <c r="AK510" s="1">
        <v>9</v>
      </c>
      <c r="AL510" s="1">
        <v>13</v>
      </c>
      <c r="AM510" s="1" t="s">
        <v>6221</v>
      </c>
      <c r="AN510" s="1" t="s">
        <v>6222</v>
      </c>
      <c r="AO510" s="1" t="s">
        <v>6223</v>
      </c>
      <c r="AP510" s="1" t="s">
        <v>6224</v>
      </c>
      <c r="AQ510" s="1" t="s">
        <v>6225</v>
      </c>
      <c r="AR510" s="1" t="s">
        <v>7913</v>
      </c>
      <c r="AS510" s="1" t="s">
        <v>6227</v>
      </c>
      <c r="AT510" s="1" t="s">
        <v>1507</v>
      </c>
      <c r="AU510" s="1" t="s">
        <v>1507</v>
      </c>
      <c r="AV510" s="1">
        <v>2022</v>
      </c>
      <c r="AW510" s="1">
        <v>13355</v>
      </c>
      <c r="AX510" s="1" t="s">
        <v>1507</v>
      </c>
      <c r="AY510" s="1" t="s">
        <v>1507</v>
      </c>
      <c r="AZ510" s="1" t="s">
        <v>1507</v>
      </c>
      <c r="BA510" s="1" t="s">
        <v>1507</v>
      </c>
      <c r="BB510" s="1" t="s">
        <v>1507</v>
      </c>
      <c r="BC510" s="1">
        <v>153</v>
      </c>
      <c r="BD510" s="1">
        <v>166</v>
      </c>
      <c r="BE510" s="1" t="s">
        <v>1507</v>
      </c>
      <c r="BF510" s="1" t="s">
        <v>7914</v>
      </c>
      <c r="BG510" s="1" t="str">
        <f>HYPERLINK("http://dx.doi.org/10.1007/978-3-031-11644-5_13","http://dx.doi.org/10.1007/978-3-031-11644-5_13")</f>
        <v>http://dx.doi.org/10.1007/978-3-031-11644-5_13</v>
      </c>
      <c r="BH510" s="1" t="s">
        <v>1507</v>
      </c>
      <c r="BI510" s="1" t="s">
        <v>1507</v>
      </c>
      <c r="BJ510" s="1">
        <v>14</v>
      </c>
      <c r="BK510" s="1" t="s">
        <v>7915</v>
      </c>
      <c r="BL510" s="1" t="s">
        <v>5695</v>
      </c>
      <c r="BM510" s="1" t="s">
        <v>6108</v>
      </c>
      <c r="BN510" s="1" t="s">
        <v>7916</v>
      </c>
      <c r="BO510" s="1" t="s">
        <v>1507</v>
      </c>
      <c r="BP510" s="1" t="s">
        <v>1507</v>
      </c>
      <c r="BQ510" s="1" t="s">
        <v>1507</v>
      </c>
      <c r="BR510" s="1" t="s">
        <v>1507</v>
      </c>
      <c r="BS510" s="1" t="s">
        <v>13744</v>
      </c>
      <c r="BT510" s="1" t="s">
        <v>7917</v>
      </c>
      <c r="BU510" s="1" t="str">
        <f>HYPERLINK("https%3A%2F%2Fwww.webofscience.com%2Fwos%2Fwoscc%2Ffull-record%2FWOS:000877435100013","View Full Record in Web of Science")</f>
        <v>View Full Record in Web of Science</v>
      </c>
    </row>
    <row r="511" spans="1:73" s="7" customFormat="1" x14ac:dyDescent="0.25">
      <c r="A511" s="1">
        <v>561</v>
      </c>
      <c r="B511" s="1" t="s">
        <v>5546</v>
      </c>
      <c r="C511" s="1" t="s">
        <v>15443</v>
      </c>
      <c r="D511" s="1" t="s">
        <v>1507</v>
      </c>
      <c r="E511" s="1" t="s">
        <v>1507</v>
      </c>
      <c r="F511" s="1" t="s">
        <v>5548</v>
      </c>
      <c r="G511" s="1" t="s">
        <v>15444</v>
      </c>
      <c r="H511" s="1" t="s">
        <v>1507</v>
      </c>
      <c r="I511" s="1" t="s">
        <v>1507</v>
      </c>
      <c r="J511" s="1" t="s">
        <v>15445</v>
      </c>
      <c r="K511" s="1" t="s">
        <v>15092</v>
      </c>
      <c r="L511" s="1" t="s">
        <v>1507</v>
      </c>
      <c r="M511" s="1" t="s">
        <v>1507</v>
      </c>
      <c r="N511" s="1" t="s">
        <v>42</v>
      </c>
      <c r="O511" s="1" t="s">
        <v>5552</v>
      </c>
      <c r="P511" s="1" t="s">
        <v>15093</v>
      </c>
      <c r="Q511" s="1" t="s">
        <v>15094</v>
      </c>
      <c r="R511" s="1" t="s">
        <v>15095</v>
      </c>
      <c r="S511" s="1" t="s">
        <v>15096</v>
      </c>
      <c r="T511" s="1" t="s">
        <v>1507</v>
      </c>
      <c r="U511" s="1" t="s">
        <v>15446</v>
      </c>
      <c r="V511" s="1" t="s">
        <v>1507</v>
      </c>
      <c r="W511" s="1" t="s">
        <v>15447</v>
      </c>
      <c r="X511" s="1" t="s">
        <v>15448</v>
      </c>
      <c r="Y511" s="1" t="s">
        <v>15449</v>
      </c>
      <c r="Z511" s="1" t="s">
        <v>15450</v>
      </c>
      <c r="AA511" s="1" t="s">
        <v>15451</v>
      </c>
      <c r="AB511" s="1" t="s">
        <v>1507</v>
      </c>
      <c r="AC511" s="1" t="s">
        <v>1507</v>
      </c>
      <c r="AD511" s="1" t="s">
        <v>15452</v>
      </c>
      <c r="AE511" s="1" t="s">
        <v>15453</v>
      </c>
      <c r="AF511" s="1" t="s">
        <v>15454</v>
      </c>
      <c r="AG511" s="1" t="s">
        <v>1507</v>
      </c>
      <c r="AH511" s="1">
        <v>33</v>
      </c>
      <c r="AI511" s="1">
        <v>0</v>
      </c>
      <c r="AJ511" s="1">
        <v>0</v>
      </c>
      <c r="AK511" s="1">
        <v>0</v>
      </c>
      <c r="AL511" s="1">
        <v>0</v>
      </c>
      <c r="AM511" s="1" t="s">
        <v>5565</v>
      </c>
      <c r="AN511" s="1" t="s">
        <v>1512</v>
      </c>
      <c r="AO511" s="1" t="s">
        <v>5566</v>
      </c>
      <c r="AP511" s="1" t="s">
        <v>1507</v>
      </c>
      <c r="AQ511" s="1" t="s">
        <v>1507</v>
      </c>
      <c r="AR511" s="1" t="s">
        <v>15107</v>
      </c>
      <c r="AS511" s="1" t="s">
        <v>1507</v>
      </c>
      <c r="AT511" s="1" t="s">
        <v>1507</v>
      </c>
      <c r="AU511" s="1" t="s">
        <v>1507</v>
      </c>
      <c r="AV511" s="1">
        <v>2023</v>
      </c>
      <c r="AW511" s="1" t="s">
        <v>1507</v>
      </c>
      <c r="AX511" s="1" t="s">
        <v>1507</v>
      </c>
      <c r="AY511" s="1" t="s">
        <v>1507</v>
      </c>
      <c r="AZ511" s="1" t="s">
        <v>1507</v>
      </c>
      <c r="BA511" s="1" t="s">
        <v>1507</v>
      </c>
      <c r="BB511" s="1" t="s">
        <v>1507</v>
      </c>
      <c r="BC511" s="1">
        <v>2656</v>
      </c>
      <c r="BD511" s="1">
        <v>2665</v>
      </c>
      <c r="BE511" s="1" t="s">
        <v>1507</v>
      </c>
      <c r="BF511" s="1" t="s">
        <v>15455</v>
      </c>
      <c r="BG511" s="1" t="str">
        <f>HYPERLINK("http://dx.doi.org/10.1145/3583780.3614993","http://dx.doi.org/10.1145/3583780.3614993")</f>
        <v>http://dx.doi.org/10.1145/3583780.3614993</v>
      </c>
      <c r="BH511" s="1" t="s">
        <v>1507</v>
      </c>
      <c r="BI511" s="1" t="s">
        <v>1507</v>
      </c>
      <c r="BJ511" s="1">
        <v>10</v>
      </c>
      <c r="BK511" s="1" t="s">
        <v>5650</v>
      </c>
      <c r="BL511" s="1" t="s">
        <v>5570</v>
      </c>
      <c r="BM511" s="1" t="s">
        <v>1577</v>
      </c>
      <c r="BN511" s="1" t="s">
        <v>15109</v>
      </c>
      <c r="BO511" s="1" t="s">
        <v>1507</v>
      </c>
      <c r="BP511" s="1" t="s">
        <v>1507</v>
      </c>
      <c r="BQ511" s="1" t="s">
        <v>1507</v>
      </c>
      <c r="BR511" s="1" t="s">
        <v>1507</v>
      </c>
      <c r="BS511" s="1" t="s">
        <v>13744</v>
      </c>
      <c r="BT511" s="1" t="s">
        <v>15456</v>
      </c>
      <c r="BU511" s="1" t="str">
        <f>HYPERLINK("https%3A%2F%2Fwww.webofscience.com%2Fwos%2Fwoscc%2Ffull-record%2FWOS:001161549502071","View Full Record in Web of Science")</f>
        <v>View Full Record in Web of Science</v>
      </c>
    </row>
    <row r="512" spans="1:73" s="7" customFormat="1" x14ac:dyDescent="0.25">
      <c r="A512" s="1">
        <v>562</v>
      </c>
      <c r="B512" s="1" t="s">
        <v>5546</v>
      </c>
      <c r="C512" s="1" t="s">
        <v>15457</v>
      </c>
      <c r="D512" s="1" t="s">
        <v>1507</v>
      </c>
      <c r="E512" s="1" t="s">
        <v>1507</v>
      </c>
      <c r="F512" s="1" t="s">
        <v>5628</v>
      </c>
      <c r="G512" s="1" t="s">
        <v>15458</v>
      </c>
      <c r="H512" s="1" t="s">
        <v>1507</v>
      </c>
      <c r="I512" s="1" t="s">
        <v>1507</v>
      </c>
      <c r="J512" s="1" t="s">
        <v>15459</v>
      </c>
      <c r="K512" s="1" t="s">
        <v>15263</v>
      </c>
      <c r="L512" s="1" t="s">
        <v>15264</v>
      </c>
      <c r="M512" s="1" t="s">
        <v>1507</v>
      </c>
      <c r="N512" s="1" t="s">
        <v>42</v>
      </c>
      <c r="O512" s="1" t="s">
        <v>5552</v>
      </c>
      <c r="P512" s="1" t="s">
        <v>15265</v>
      </c>
      <c r="Q512" s="1" t="s">
        <v>15266</v>
      </c>
      <c r="R512" s="1" t="s">
        <v>15267</v>
      </c>
      <c r="S512" s="1" t="s">
        <v>15268</v>
      </c>
      <c r="T512" s="1" t="s">
        <v>1507</v>
      </c>
      <c r="U512" s="1" t="s">
        <v>15460</v>
      </c>
      <c r="V512" s="1" t="s">
        <v>1507</v>
      </c>
      <c r="W512" s="1" t="s">
        <v>15461</v>
      </c>
      <c r="X512" s="1" t="s">
        <v>15462</v>
      </c>
      <c r="Y512" s="1" t="s">
        <v>15463</v>
      </c>
      <c r="Z512" s="1" t="s">
        <v>15464</v>
      </c>
      <c r="AA512" s="1" t="s">
        <v>15465</v>
      </c>
      <c r="AB512" s="1" t="s">
        <v>1507</v>
      </c>
      <c r="AC512" s="1" t="s">
        <v>1507</v>
      </c>
      <c r="AD512" s="1" t="s">
        <v>15466</v>
      </c>
      <c r="AE512" s="1" t="s">
        <v>15467</v>
      </c>
      <c r="AF512" s="1" t="s">
        <v>15468</v>
      </c>
      <c r="AG512" s="1" t="s">
        <v>1507</v>
      </c>
      <c r="AH512" s="1">
        <v>55</v>
      </c>
      <c r="AI512" s="1">
        <v>0</v>
      </c>
      <c r="AJ512" s="1">
        <v>0</v>
      </c>
      <c r="AK512" s="1">
        <v>0</v>
      </c>
      <c r="AL512" s="1">
        <v>0</v>
      </c>
      <c r="AM512" s="1" t="s">
        <v>5645</v>
      </c>
      <c r="AN512" s="1" t="s">
        <v>5646</v>
      </c>
      <c r="AO512" s="1" t="s">
        <v>5647</v>
      </c>
      <c r="AP512" s="1" t="s">
        <v>15277</v>
      </c>
      <c r="AQ512" s="1" t="s">
        <v>1507</v>
      </c>
      <c r="AR512" s="1" t="s">
        <v>15278</v>
      </c>
      <c r="AS512" s="1" t="s">
        <v>15279</v>
      </c>
      <c r="AT512" s="1" t="s">
        <v>1507</v>
      </c>
      <c r="AU512" s="1" t="s">
        <v>1507</v>
      </c>
      <c r="AV512" s="1">
        <v>2023</v>
      </c>
      <c r="AW512" s="1" t="s">
        <v>1507</v>
      </c>
      <c r="AX512" s="1" t="s">
        <v>1507</v>
      </c>
      <c r="AY512" s="1" t="s">
        <v>1507</v>
      </c>
      <c r="AZ512" s="1" t="s">
        <v>1507</v>
      </c>
      <c r="BA512" s="1" t="s">
        <v>1507</v>
      </c>
      <c r="BB512" s="1" t="s">
        <v>1507</v>
      </c>
      <c r="BC512" s="1">
        <v>813</v>
      </c>
      <c r="BD512" s="1">
        <v>820</v>
      </c>
      <c r="BE512" s="1" t="s">
        <v>1507</v>
      </c>
      <c r="BF512" s="1" t="s">
        <v>15469</v>
      </c>
      <c r="BG512" s="1" t="str">
        <f>HYPERLINK("http://dx.doi.org/10.1109/ICTAI59109.2023.00124","http://dx.doi.org/10.1109/ICTAI59109.2023.00124")</f>
        <v>http://dx.doi.org/10.1109/ICTAI59109.2023.00124</v>
      </c>
      <c r="BH512" s="1" t="s">
        <v>1507</v>
      </c>
      <c r="BI512" s="1" t="s">
        <v>1507</v>
      </c>
      <c r="BJ512" s="1">
        <v>8</v>
      </c>
      <c r="BK512" s="1" t="s">
        <v>2994</v>
      </c>
      <c r="BL512" s="1" t="s">
        <v>5570</v>
      </c>
      <c r="BM512" s="1" t="s">
        <v>1577</v>
      </c>
      <c r="BN512" s="1" t="s">
        <v>15281</v>
      </c>
      <c r="BO512" s="1" t="s">
        <v>1507</v>
      </c>
      <c r="BP512" s="1" t="s">
        <v>1507</v>
      </c>
      <c r="BQ512" s="1" t="s">
        <v>1507</v>
      </c>
      <c r="BR512" s="1" t="s">
        <v>1507</v>
      </c>
      <c r="BS512" s="1" t="s">
        <v>13744</v>
      </c>
      <c r="BT512" s="1" t="s">
        <v>15470</v>
      </c>
      <c r="BU512" s="1" t="str">
        <f>HYPERLINK("https%3A%2F%2Fwww.webofscience.com%2Fwos%2Fwoscc%2Ffull-record%2FWOS:001139095400116","View Full Record in Web of Science")</f>
        <v>View Full Record in Web of Science</v>
      </c>
    </row>
    <row r="513" spans="1:73" s="7" customFormat="1" x14ac:dyDescent="0.25">
      <c r="A513" s="1">
        <v>563</v>
      </c>
      <c r="B513" s="1" t="s">
        <v>1506</v>
      </c>
      <c r="C513" s="1" t="s">
        <v>8837</v>
      </c>
      <c r="D513" s="1" t="s">
        <v>1507</v>
      </c>
      <c r="E513" s="1" t="s">
        <v>1507</v>
      </c>
      <c r="F513" s="1" t="s">
        <v>1507</v>
      </c>
      <c r="G513" s="1" t="s">
        <v>8838</v>
      </c>
      <c r="H513" s="1" t="s">
        <v>1507</v>
      </c>
      <c r="I513" s="1" t="s">
        <v>1507</v>
      </c>
      <c r="J513" s="1" t="s">
        <v>8839</v>
      </c>
      <c r="K513" s="1" t="s">
        <v>8840</v>
      </c>
      <c r="L513" s="1" t="s">
        <v>1507</v>
      </c>
      <c r="M513" s="1" t="s">
        <v>1507</v>
      </c>
      <c r="N513" s="1" t="s">
        <v>42</v>
      </c>
      <c r="O513" s="1" t="s">
        <v>56</v>
      </c>
      <c r="P513" s="1" t="s">
        <v>1507</v>
      </c>
      <c r="Q513" s="1" t="s">
        <v>1507</v>
      </c>
      <c r="R513" s="1" t="s">
        <v>1507</v>
      </c>
      <c r="S513" s="1" t="s">
        <v>1507</v>
      </c>
      <c r="T513" s="1" t="s">
        <v>1507</v>
      </c>
      <c r="U513" s="1" t="s">
        <v>1507</v>
      </c>
      <c r="V513" s="1" t="s">
        <v>1507</v>
      </c>
      <c r="W513" s="1" t="s">
        <v>8841</v>
      </c>
      <c r="X513" s="1" t="s">
        <v>8842</v>
      </c>
      <c r="Y513" s="1" t="s">
        <v>8843</v>
      </c>
      <c r="Z513" s="1" t="s">
        <v>8844</v>
      </c>
      <c r="AA513" s="1" t="s">
        <v>1507</v>
      </c>
      <c r="AB513" s="1" t="s">
        <v>1507</v>
      </c>
      <c r="AC513" s="1" t="s">
        <v>1507</v>
      </c>
      <c r="AD513" s="1" t="s">
        <v>8845</v>
      </c>
      <c r="AE513" s="1" t="s">
        <v>8846</v>
      </c>
      <c r="AF513" s="1" t="s">
        <v>8847</v>
      </c>
      <c r="AG513" s="1" t="s">
        <v>1507</v>
      </c>
      <c r="AH513" s="1">
        <v>34</v>
      </c>
      <c r="AI513" s="1">
        <v>0</v>
      </c>
      <c r="AJ513" s="1">
        <v>0</v>
      </c>
      <c r="AK513" s="1">
        <v>1</v>
      </c>
      <c r="AL513" s="1">
        <v>3</v>
      </c>
      <c r="AM513" s="1" t="s">
        <v>8848</v>
      </c>
      <c r="AN513" s="1" t="s">
        <v>8849</v>
      </c>
      <c r="AO513" s="1" t="s">
        <v>8850</v>
      </c>
      <c r="AP513" s="1" t="s">
        <v>8851</v>
      </c>
      <c r="AQ513" s="1" t="s">
        <v>1507</v>
      </c>
      <c r="AR513" s="1" t="s">
        <v>1507</v>
      </c>
      <c r="AS513" s="1" t="s">
        <v>8852</v>
      </c>
      <c r="AT513" s="1" t="s">
        <v>8853</v>
      </c>
      <c r="AU513" s="1" t="s">
        <v>5201</v>
      </c>
      <c r="AV513" s="1">
        <v>2021</v>
      </c>
      <c r="AW513" s="1">
        <v>18</v>
      </c>
      <c r="AX513" s="1">
        <v>1</v>
      </c>
      <c r="AY513" s="1" t="s">
        <v>1507</v>
      </c>
      <c r="AZ513" s="1" t="s">
        <v>1507</v>
      </c>
      <c r="BA513" s="1" t="s">
        <v>1507</v>
      </c>
      <c r="BB513" s="1" t="s">
        <v>1507</v>
      </c>
      <c r="BC513" s="1">
        <v>70</v>
      </c>
      <c r="BD513" s="1">
        <v>100</v>
      </c>
      <c r="BE513" s="1" t="s">
        <v>1507</v>
      </c>
      <c r="BF513" s="1" t="s">
        <v>1507</v>
      </c>
      <c r="BG513" s="1" t="s">
        <v>1507</v>
      </c>
      <c r="BH513" s="1" t="s">
        <v>1507</v>
      </c>
      <c r="BI513" s="1" t="s">
        <v>1507</v>
      </c>
      <c r="BJ513" s="1">
        <v>31</v>
      </c>
      <c r="BK513" s="1" t="s">
        <v>8854</v>
      </c>
      <c r="BL513" s="1" t="s">
        <v>1529</v>
      </c>
      <c r="BM513" s="1" t="s">
        <v>8855</v>
      </c>
      <c r="BN513" s="1" t="s">
        <v>8856</v>
      </c>
      <c r="BO513" s="1" t="s">
        <v>1507</v>
      </c>
      <c r="BP513" s="1" t="s">
        <v>1507</v>
      </c>
      <c r="BQ513" s="1" t="s">
        <v>1507</v>
      </c>
      <c r="BR513" s="1" t="s">
        <v>1507</v>
      </c>
      <c r="BS513" s="1" t="s">
        <v>13744</v>
      </c>
      <c r="BT513" s="1" t="s">
        <v>8857</v>
      </c>
      <c r="BU513" s="1" t="str">
        <f>HYPERLINK("https%3A%2F%2Fwww.webofscience.com%2Fwos%2Fwoscc%2Ffull-record%2FWOS:000648718900004","View Full Record in Web of Science")</f>
        <v>View Full Record in Web of Science</v>
      </c>
    </row>
    <row r="514" spans="1:73" s="7" customFormat="1" x14ac:dyDescent="0.25">
      <c r="A514" s="1">
        <v>564</v>
      </c>
      <c r="B514" s="1" t="s">
        <v>1506</v>
      </c>
      <c r="C514" s="1" t="s">
        <v>1713</v>
      </c>
      <c r="D514" s="1" t="s">
        <v>1507</v>
      </c>
      <c r="E514" s="1" t="s">
        <v>1507</v>
      </c>
      <c r="F514" s="1" t="s">
        <v>1507</v>
      </c>
      <c r="G514" s="1" t="s">
        <v>1714</v>
      </c>
      <c r="H514" s="1" t="s">
        <v>1507</v>
      </c>
      <c r="I514" s="1" t="s">
        <v>1507</v>
      </c>
      <c r="J514" s="1" t="s">
        <v>1715</v>
      </c>
      <c r="K514" s="1" t="s">
        <v>1716</v>
      </c>
      <c r="L514" s="1" t="s">
        <v>1507</v>
      </c>
      <c r="M514" s="1" t="s">
        <v>1507</v>
      </c>
      <c r="N514" s="1" t="s">
        <v>42</v>
      </c>
      <c r="O514" s="1" t="s">
        <v>56</v>
      </c>
      <c r="P514" s="1" t="s">
        <v>1507</v>
      </c>
      <c r="Q514" s="1" t="s">
        <v>1507</v>
      </c>
      <c r="R514" s="1" t="s">
        <v>1507</v>
      </c>
      <c r="S514" s="1" t="s">
        <v>1507</v>
      </c>
      <c r="T514" s="1" t="s">
        <v>1507</v>
      </c>
      <c r="U514" s="1" t="s">
        <v>1717</v>
      </c>
      <c r="V514" s="1" t="s">
        <v>1507</v>
      </c>
      <c r="W514" s="1" t="s">
        <v>1718</v>
      </c>
      <c r="X514" s="1" t="s">
        <v>1719</v>
      </c>
      <c r="Y514" s="1" t="s">
        <v>1720</v>
      </c>
      <c r="Z514" s="1" t="s">
        <v>1721</v>
      </c>
      <c r="AA514" s="1" t="s">
        <v>1722</v>
      </c>
      <c r="AB514" s="1" t="s">
        <v>13773</v>
      </c>
      <c r="AC514" s="1" t="s">
        <v>13774</v>
      </c>
      <c r="AD514" s="1" t="s">
        <v>1723</v>
      </c>
      <c r="AE514" s="1" t="s">
        <v>1723</v>
      </c>
      <c r="AF514" s="1" t="s">
        <v>1724</v>
      </c>
      <c r="AG514" s="1" t="s">
        <v>1507</v>
      </c>
      <c r="AH514" s="1">
        <v>46</v>
      </c>
      <c r="AI514" s="1">
        <v>1</v>
      </c>
      <c r="AJ514" s="1">
        <v>1</v>
      </c>
      <c r="AK514" s="1">
        <v>29</v>
      </c>
      <c r="AL514" s="1">
        <v>29</v>
      </c>
      <c r="AM514" s="1" t="s">
        <v>1725</v>
      </c>
      <c r="AN514" s="1" t="s">
        <v>1551</v>
      </c>
      <c r="AO514" s="1" t="s">
        <v>1726</v>
      </c>
      <c r="AP514" s="1" t="s">
        <v>1727</v>
      </c>
      <c r="AQ514" s="1" t="s">
        <v>1507</v>
      </c>
      <c r="AR514" s="1" t="s">
        <v>1507</v>
      </c>
      <c r="AS514" s="1" t="s">
        <v>1728</v>
      </c>
      <c r="AT514" s="1" t="s">
        <v>1729</v>
      </c>
      <c r="AU514" s="1" t="s">
        <v>1708</v>
      </c>
      <c r="AV514" s="1">
        <v>2023</v>
      </c>
      <c r="AW514" s="1">
        <v>19</v>
      </c>
      <c r="AX514" s="1">
        <v>1</v>
      </c>
      <c r="AY514" s="1" t="s">
        <v>1507</v>
      </c>
      <c r="AZ514" s="1" t="s">
        <v>1507</v>
      </c>
      <c r="BA514" s="1" t="s">
        <v>1507</v>
      </c>
      <c r="BB514" s="1" t="s">
        <v>1507</v>
      </c>
      <c r="BC514" s="1" t="s">
        <v>1507</v>
      </c>
      <c r="BD514" s="1" t="s">
        <v>1507</v>
      </c>
      <c r="BE514" s="1">
        <v>26</v>
      </c>
      <c r="BF514" s="1" t="s">
        <v>1730</v>
      </c>
      <c r="BG514" s="1" t="str">
        <f>HYPERLINK("http://dx.doi.org/10.1007/s40979-023-00146-z","http://dx.doi.org/10.1007/s40979-023-00146-z")</f>
        <v>http://dx.doi.org/10.1007/s40979-023-00146-z</v>
      </c>
      <c r="BH514" s="1" t="s">
        <v>1507</v>
      </c>
      <c r="BI514" s="1" t="s">
        <v>1507</v>
      </c>
      <c r="BJ514" s="1">
        <v>39</v>
      </c>
      <c r="BK514" s="1" t="s">
        <v>1558</v>
      </c>
      <c r="BL514" s="1" t="s">
        <v>1529</v>
      </c>
      <c r="BM514" s="1" t="s">
        <v>1558</v>
      </c>
      <c r="BN514" s="1" t="s">
        <v>1731</v>
      </c>
      <c r="BO514" s="1" t="s">
        <v>1507</v>
      </c>
      <c r="BP514" s="1" t="s">
        <v>1547</v>
      </c>
      <c r="BQ514" s="1" t="s">
        <v>1507</v>
      </c>
      <c r="BR514" s="1" t="s">
        <v>1507</v>
      </c>
      <c r="BS514" s="1" t="s">
        <v>13744</v>
      </c>
      <c r="BT514" s="1" t="s">
        <v>1732</v>
      </c>
      <c r="BU514" s="1" t="str">
        <f>HYPERLINK("https%3A%2F%2Fwww.webofscience.com%2Fwos%2Fwoscc%2Ffull-record%2FWOS:001129231700001","View Full Record in Web of Science")</f>
        <v>View Full Record in Web of Science</v>
      </c>
    </row>
    <row r="515" spans="1:73" s="7" customFormat="1" x14ac:dyDescent="0.25">
      <c r="A515" s="1">
        <v>565</v>
      </c>
      <c r="B515" s="1" t="s">
        <v>1506</v>
      </c>
      <c r="C515" s="1" t="s">
        <v>7301</v>
      </c>
      <c r="D515" s="1" t="s">
        <v>1507</v>
      </c>
      <c r="E515" s="1" t="s">
        <v>1507</v>
      </c>
      <c r="F515" s="1" t="s">
        <v>1507</v>
      </c>
      <c r="G515" s="1" t="s">
        <v>7302</v>
      </c>
      <c r="H515" s="1" t="s">
        <v>1507</v>
      </c>
      <c r="I515" s="1" t="s">
        <v>1507</v>
      </c>
      <c r="J515" s="1" t="s">
        <v>7303</v>
      </c>
      <c r="K515" s="1" t="s">
        <v>7304</v>
      </c>
      <c r="L515" s="1" t="s">
        <v>1507</v>
      </c>
      <c r="M515" s="1" t="s">
        <v>1507</v>
      </c>
      <c r="N515" s="1" t="s">
        <v>42</v>
      </c>
      <c r="O515" s="1" t="s">
        <v>56</v>
      </c>
      <c r="P515" s="1" t="s">
        <v>1507</v>
      </c>
      <c r="Q515" s="1" t="s">
        <v>1507</v>
      </c>
      <c r="R515" s="1" t="s">
        <v>1507</v>
      </c>
      <c r="S515" s="1" t="s">
        <v>1507</v>
      </c>
      <c r="T515" s="1" t="s">
        <v>1507</v>
      </c>
      <c r="U515" s="1" t="s">
        <v>7305</v>
      </c>
      <c r="V515" s="1" t="s">
        <v>7306</v>
      </c>
      <c r="W515" s="1" t="s">
        <v>7307</v>
      </c>
      <c r="X515" s="1" t="s">
        <v>7308</v>
      </c>
      <c r="Y515" s="1" t="s">
        <v>15620</v>
      </c>
      <c r="Z515" s="1" t="s">
        <v>7309</v>
      </c>
      <c r="AA515" s="1" t="s">
        <v>7310</v>
      </c>
      <c r="AB515" s="1" t="s">
        <v>1507</v>
      </c>
      <c r="AC515" s="1" t="s">
        <v>1507</v>
      </c>
      <c r="AD515" s="1" t="s">
        <v>7311</v>
      </c>
      <c r="AE515" s="1" t="s">
        <v>7311</v>
      </c>
      <c r="AF515" s="1" t="s">
        <v>7312</v>
      </c>
      <c r="AG515" s="1" t="s">
        <v>1507</v>
      </c>
      <c r="AH515" s="1">
        <v>64</v>
      </c>
      <c r="AI515" s="1">
        <v>7</v>
      </c>
      <c r="AJ515" s="1">
        <v>7</v>
      </c>
      <c r="AK515" s="1">
        <v>1</v>
      </c>
      <c r="AL515" s="1">
        <v>11</v>
      </c>
      <c r="AM515" s="1" t="s">
        <v>5178</v>
      </c>
      <c r="AN515" s="1" t="s">
        <v>5179</v>
      </c>
      <c r="AO515" s="1" t="s">
        <v>5180</v>
      </c>
      <c r="AP515" s="1" t="s">
        <v>7313</v>
      </c>
      <c r="AQ515" s="1" t="s">
        <v>7314</v>
      </c>
      <c r="AR515" s="1" t="s">
        <v>1507</v>
      </c>
      <c r="AS515" s="1" t="s">
        <v>7315</v>
      </c>
      <c r="AT515" s="1" t="s">
        <v>7316</v>
      </c>
      <c r="AU515" s="1" t="s">
        <v>7091</v>
      </c>
      <c r="AV515" s="1">
        <v>2022</v>
      </c>
      <c r="AW515" s="1">
        <v>49</v>
      </c>
      <c r="AX515" s="1">
        <v>9</v>
      </c>
      <c r="AY515" s="1" t="s">
        <v>1507</v>
      </c>
      <c r="AZ515" s="1" t="s">
        <v>1507</v>
      </c>
      <c r="BA515" s="1" t="s">
        <v>1507</v>
      </c>
      <c r="BB515" s="1" t="s">
        <v>1507</v>
      </c>
      <c r="BC515" s="1">
        <v>1349</v>
      </c>
      <c r="BD515" s="1">
        <v>1367</v>
      </c>
      <c r="BE515" s="1" t="s">
        <v>1507</v>
      </c>
      <c r="BF515" s="1" t="s">
        <v>7317</v>
      </c>
      <c r="BG515" s="1" t="str">
        <f>HYPERLINK("http://dx.doi.org/10.1108/IJSE-02-2021-0114","http://dx.doi.org/10.1108/IJSE-02-2021-0114")</f>
        <v>http://dx.doi.org/10.1108/IJSE-02-2021-0114</v>
      </c>
      <c r="BH515" s="1" t="s">
        <v>1507</v>
      </c>
      <c r="BI515" s="1" t="s">
        <v>7274</v>
      </c>
      <c r="BJ515" s="1">
        <v>19</v>
      </c>
      <c r="BK515" s="1" t="s">
        <v>7318</v>
      </c>
      <c r="BL515" s="1" t="s">
        <v>1529</v>
      </c>
      <c r="BM515" s="1" t="s">
        <v>3118</v>
      </c>
      <c r="BN515" s="1" t="s">
        <v>7319</v>
      </c>
      <c r="BO515" s="1" t="s">
        <v>1507</v>
      </c>
      <c r="BP515" s="1" t="s">
        <v>5957</v>
      </c>
      <c r="BQ515" s="1" t="s">
        <v>1507</v>
      </c>
      <c r="BR515" s="1" t="s">
        <v>1507</v>
      </c>
      <c r="BS515" s="1" t="s">
        <v>13744</v>
      </c>
      <c r="BT515" s="1" t="s">
        <v>7320</v>
      </c>
      <c r="BU515" s="1" t="str">
        <f>HYPERLINK("https%3A%2F%2Fwww.webofscience.com%2Fwos%2Fwoscc%2Ffull-record%2FWOS:000782801500001","View Full Record in Web of Science")</f>
        <v>View Full Record in Web of Science</v>
      </c>
    </row>
    <row r="516" spans="1:73" s="7" customFormat="1" x14ac:dyDescent="0.25">
      <c r="A516" s="1">
        <v>566</v>
      </c>
      <c r="B516" s="1" t="s">
        <v>1506</v>
      </c>
      <c r="C516" s="1" t="s">
        <v>13748</v>
      </c>
      <c r="D516" s="1" t="s">
        <v>1507</v>
      </c>
      <c r="E516" s="1" t="s">
        <v>1507</v>
      </c>
      <c r="F516" s="1" t="s">
        <v>1507</v>
      </c>
      <c r="G516" s="1" t="s">
        <v>13749</v>
      </c>
      <c r="H516" s="1" t="s">
        <v>1507</v>
      </c>
      <c r="I516" s="1" t="s">
        <v>1507</v>
      </c>
      <c r="J516" s="1" t="s">
        <v>13750</v>
      </c>
      <c r="K516" s="1" t="s">
        <v>13751</v>
      </c>
      <c r="L516" s="1" t="s">
        <v>1507</v>
      </c>
      <c r="M516" s="1" t="s">
        <v>1507</v>
      </c>
      <c r="N516" s="1" t="s">
        <v>42</v>
      </c>
      <c r="O516" s="1" t="s">
        <v>56</v>
      </c>
      <c r="P516" s="1" t="s">
        <v>1507</v>
      </c>
      <c r="Q516" s="1" t="s">
        <v>1507</v>
      </c>
      <c r="R516" s="1" t="s">
        <v>1507</v>
      </c>
      <c r="S516" s="1" t="s">
        <v>1507</v>
      </c>
      <c r="T516" s="1" t="s">
        <v>1507</v>
      </c>
      <c r="U516" s="1" t="s">
        <v>13752</v>
      </c>
      <c r="V516" s="1" t="s">
        <v>1507</v>
      </c>
      <c r="W516" s="1" t="s">
        <v>13753</v>
      </c>
      <c r="X516" s="1" t="s">
        <v>13754</v>
      </c>
      <c r="Y516" s="1" t="s">
        <v>13755</v>
      </c>
      <c r="Z516" s="1" t="s">
        <v>13756</v>
      </c>
      <c r="AA516" s="1" t="s">
        <v>13757</v>
      </c>
      <c r="AB516" s="1" t="s">
        <v>13758</v>
      </c>
      <c r="AC516" s="1" t="s">
        <v>13759</v>
      </c>
      <c r="AD516" s="1" t="s">
        <v>13760</v>
      </c>
      <c r="AE516" s="1" t="s">
        <v>13761</v>
      </c>
      <c r="AF516" s="1" t="s">
        <v>13762</v>
      </c>
      <c r="AG516" s="1" t="s">
        <v>1507</v>
      </c>
      <c r="AH516" s="1">
        <v>22</v>
      </c>
      <c r="AI516" s="1">
        <v>2</v>
      </c>
      <c r="AJ516" s="1">
        <v>2</v>
      </c>
      <c r="AK516" s="1">
        <v>10</v>
      </c>
      <c r="AL516" s="1">
        <v>10</v>
      </c>
      <c r="AM516" s="1" t="s">
        <v>1586</v>
      </c>
      <c r="AN516" s="1" t="s">
        <v>1587</v>
      </c>
      <c r="AO516" s="1" t="s">
        <v>1588</v>
      </c>
      <c r="AP516" s="1" t="s">
        <v>13763</v>
      </c>
      <c r="AQ516" s="1" t="s">
        <v>13764</v>
      </c>
      <c r="AR516" s="1" t="s">
        <v>1507</v>
      </c>
      <c r="AS516" s="1" t="s">
        <v>13765</v>
      </c>
      <c r="AT516" s="1" t="s">
        <v>13766</v>
      </c>
      <c r="AU516" s="1" t="s">
        <v>1616</v>
      </c>
      <c r="AV516" s="1">
        <v>2024</v>
      </c>
      <c r="AW516" s="1">
        <v>30</v>
      </c>
      <c r="AX516" s="1">
        <v>1</v>
      </c>
      <c r="AY516" s="1" t="s">
        <v>1507</v>
      </c>
      <c r="AZ516" s="1" t="s">
        <v>1507</v>
      </c>
      <c r="BA516" s="1" t="s">
        <v>1507</v>
      </c>
      <c r="BB516" s="1" t="s">
        <v>1507</v>
      </c>
      <c r="BC516" s="1">
        <v>1420</v>
      </c>
      <c r="BD516" s="1">
        <v>142000</v>
      </c>
      <c r="BE516" s="1" t="s">
        <v>1507</v>
      </c>
      <c r="BF516" s="1" t="s">
        <v>13767</v>
      </c>
      <c r="BG516" s="1" t="str">
        <f>HYPERLINK("http://dx.doi.org/10.1016/j.cmi.2023.11.002","http://dx.doi.org/10.1016/j.cmi.2023.11.002")</f>
        <v>http://dx.doi.org/10.1016/j.cmi.2023.11.002</v>
      </c>
      <c r="BH516" s="1" t="s">
        <v>1507</v>
      </c>
      <c r="BI516" s="1" t="s">
        <v>1652</v>
      </c>
      <c r="BJ516" s="1">
        <v>3</v>
      </c>
      <c r="BK516" s="1" t="s">
        <v>7423</v>
      </c>
      <c r="BL516" s="1" t="s">
        <v>1573</v>
      </c>
      <c r="BM516" s="1" t="s">
        <v>7423</v>
      </c>
      <c r="BN516" s="1" t="s">
        <v>13768</v>
      </c>
      <c r="BO516" s="1">
        <v>37949111</v>
      </c>
      <c r="BP516" s="1" t="s">
        <v>1507</v>
      </c>
      <c r="BQ516" s="1" t="s">
        <v>1507</v>
      </c>
      <c r="BR516" s="1" t="s">
        <v>1507</v>
      </c>
      <c r="BS516" s="1" t="s">
        <v>13744</v>
      </c>
      <c r="BT516" s="1" t="s">
        <v>13769</v>
      </c>
      <c r="BU516" s="1" t="str">
        <f>HYPERLINK("https%3A%2F%2Fwww.webofscience.com%2Fwos%2Fwoscc%2Ffull-record%2FWOS:001165106600001","View Full Record in Web of Science")</f>
        <v>View Full Record in Web of Science</v>
      </c>
    </row>
    <row r="517" spans="1:73" s="7" customFormat="1" x14ac:dyDescent="0.25">
      <c r="A517" s="1">
        <v>567</v>
      </c>
      <c r="B517" s="1" t="s">
        <v>1506</v>
      </c>
      <c r="C517" s="1" t="s">
        <v>2341</v>
      </c>
      <c r="D517" s="1" t="s">
        <v>1507</v>
      </c>
      <c r="E517" s="1" t="s">
        <v>1507</v>
      </c>
      <c r="F517" s="1" t="s">
        <v>1507</v>
      </c>
      <c r="G517" s="1" t="s">
        <v>2342</v>
      </c>
      <c r="H517" s="1" t="s">
        <v>1507</v>
      </c>
      <c r="I517" s="1" t="s">
        <v>1507</v>
      </c>
      <c r="J517" s="1" t="s">
        <v>2343</v>
      </c>
      <c r="K517" s="1" t="s">
        <v>2344</v>
      </c>
      <c r="L517" s="1" t="s">
        <v>1507</v>
      </c>
      <c r="M517" s="1" t="s">
        <v>1507</v>
      </c>
      <c r="N517" s="1" t="s">
        <v>42</v>
      </c>
      <c r="O517" s="1" t="s">
        <v>56</v>
      </c>
      <c r="P517" s="1" t="s">
        <v>1507</v>
      </c>
      <c r="Q517" s="1" t="s">
        <v>1507</v>
      </c>
      <c r="R517" s="1" t="s">
        <v>1507</v>
      </c>
      <c r="S517" s="1" t="s">
        <v>1507</v>
      </c>
      <c r="T517" s="1" t="s">
        <v>1507</v>
      </c>
      <c r="U517" s="1" t="s">
        <v>2345</v>
      </c>
      <c r="V517" s="1" t="s">
        <v>2346</v>
      </c>
      <c r="W517" s="1" t="s">
        <v>2347</v>
      </c>
      <c r="X517" s="1" t="s">
        <v>2348</v>
      </c>
      <c r="Y517" s="1" t="s">
        <v>2349</v>
      </c>
      <c r="Z517" s="1" t="s">
        <v>2350</v>
      </c>
      <c r="AA517" s="1" t="s">
        <v>2351</v>
      </c>
      <c r="AB517" s="1" t="s">
        <v>1507</v>
      </c>
      <c r="AC517" s="1" t="s">
        <v>1507</v>
      </c>
      <c r="AD517" s="1" t="s">
        <v>2352</v>
      </c>
      <c r="AE517" s="1" t="s">
        <v>2352</v>
      </c>
      <c r="AF517" s="1" t="s">
        <v>1510</v>
      </c>
      <c r="AG517" s="1" t="s">
        <v>1507</v>
      </c>
      <c r="AH517" s="1">
        <v>78</v>
      </c>
      <c r="AI517" s="1">
        <v>1</v>
      </c>
      <c r="AJ517" s="1">
        <v>1</v>
      </c>
      <c r="AK517" s="1">
        <v>11</v>
      </c>
      <c r="AL517" s="1">
        <v>11</v>
      </c>
      <c r="AM517" s="1" t="s">
        <v>1610</v>
      </c>
      <c r="AN517" s="1" t="s">
        <v>1611</v>
      </c>
      <c r="AO517" s="1" t="s">
        <v>1612</v>
      </c>
      <c r="AP517" s="1" t="s">
        <v>1507</v>
      </c>
      <c r="AQ517" s="1" t="s">
        <v>2353</v>
      </c>
      <c r="AR517" s="1" t="s">
        <v>1507</v>
      </c>
      <c r="AS517" s="1" t="s">
        <v>2344</v>
      </c>
      <c r="AT517" s="1" t="s">
        <v>2354</v>
      </c>
      <c r="AU517" s="1" t="s">
        <v>2191</v>
      </c>
      <c r="AV517" s="1">
        <v>2023</v>
      </c>
      <c r="AW517" s="1">
        <v>14</v>
      </c>
      <c r="AX517" s="1">
        <v>12</v>
      </c>
      <c r="AY517" s="1" t="s">
        <v>1507</v>
      </c>
      <c r="AZ517" s="1" t="s">
        <v>1507</v>
      </c>
      <c r="BA517" s="1" t="s">
        <v>1507</v>
      </c>
      <c r="BB517" s="1" t="s">
        <v>1507</v>
      </c>
      <c r="BC517" s="1" t="s">
        <v>1507</v>
      </c>
      <c r="BD517" s="1" t="s">
        <v>1507</v>
      </c>
      <c r="BE517" s="1">
        <v>2412</v>
      </c>
      <c r="BF517" s="1" t="s">
        <v>2355</v>
      </c>
      <c r="BG517" s="1" t="str">
        <f>HYPERLINK("http://dx.doi.org/10.3390/f14122412","http://dx.doi.org/10.3390/f14122412")</f>
        <v>http://dx.doi.org/10.3390/f14122412</v>
      </c>
      <c r="BH517" s="1" t="s">
        <v>1507</v>
      </c>
      <c r="BI517" s="1" t="s">
        <v>1507</v>
      </c>
      <c r="BJ517" s="1">
        <v>26</v>
      </c>
      <c r="BK517" s="1" t="s">
        <v>2356</v>
      </c>
      <c r="BL517" s="1" t="s">
        <v>1573</v>
      </c>
      <c r="BM517" s="1" t="s">
        <v>2356</v>
      </c>
      <c r="BN517" s="1" t="s">
        <v>2357</v>
      </c>
      <c r="BO517" s="1" t="s">
        <v>1507</v>
      </c>
      <c r="BP517" s="1" t="s">
        <v>1531</v>
      </c>
      <c r="BQ517" s="1" t="s">
        <v>1507</v>
      </c>
      <c r="BR517" s="1" t="s">
        <v>1507</v>
      </c>
      <c r="BS517" s="1" t="s">
        <v>13744</v>
      </c>
      <c r="BT517" s="1" t="s">
        <v>2358</v>
      </c>
      <c r="BU517" s="1" t="str">
        <f>HYPERLINK("https%3A%2F%2Fwww.webofscience.com%2Fwos%2Fwoscc%2Ffull-record%2FWOS:001130872500001","View Full Record in Web of Science")</f>
        <v>View Full Record in Web of Science</v>
      </c>
    </row>
    <row r="518" spans="1:73" s="7" customFormat="1" x14ac:dyDescent="0.25">
      <c r="A518" s="1">
        <v>568</v>
      </c>
      <c r="B518" s="1" t="s">
        <v>1506</v>
      </c>
      <c r="C518" s="1" t="s">
        <v>2959</v>
      </c>
      <c r="D518" s="1" t="s">
        <v>1507</v>
      </c>
      <c r="E518" s="1" t="s">
        <v>1507</v>
      </c>
      <c r="F518" s="1" t="s">
        <v>1507</v>
      </c>
      <c r="G518" s="1" t="s">
        <v>2960</v>
      </c>
      <c r="H518" s="1" t="s">
        <v>1507</v>
      </c>
      <c r="I518" s="1" t="s">
        <v>1507</v>
      </c>
      <c r="J518" s="1" t="s">
        <v>2961</v>
      </c>
      <c r="K518" s="1" t="s">
        <v>2962</v>
      </c>
      <c r="L518" s="1" t="s">
        <v>1507</v>
      </c>
      <c r="M518" s="1" t="s">
        <v>1507</v>
      </c>
      <c r="N518" s="1" t="s">
        <v>42</v>
      </c>
      <c r="O518" s="1" t="s">
        <v>56</v>
      </c>
      <c r="P518" s="1" t="s">
        <v>1507</v>
      </c>
      <c r="Q518" s="1" t="s">
        <v>1507</v>
      </c>
      <c r="R518" s="1" t="s">
        <v>1507</v>
      </c>
      <c r="S518" s="1" t="s">
        <v>1507</v>
      </c>
      <c r="T518" s="1" t="s">
        <v>1507</v>
      </c>
      <c r="U518" s="1" t="s">
        <v>2963</v>
      </c>
      <c r="V518" s="1" t="s">
        <v>1507</v>
      </c>
      <c r="W518" s="1" t="s">
        <v>2964</v>
      </c>
      <c r="X518" s="1" t="s">
        <v>2965</v>
      </c>
      <c r="Y518" s="1" t="s">
        <v>14225</v>
      </c>
      <c r="Z518" s="1" t="s">
        <v>2966</v>
      </c>
      <c r="AA518" s="1" t="s">
        <v>2967</v>
      </c>
      <c r="AB518" s="1" t="s">
        <v>1507</v>
      </c>
      <c r="AC518" s="1" t="s">
        <v>2968</v>
      </c>
      <c r="AD518" s="1" t="s">
        <v>2969</v>
      </c>
      <c r="AE518" s="1" t="s">
        <v>2970</v>
      </c>
      <c r="AF518" s="1" t="s">
        <v>2971</v>
      </c>
      <c r="AG518" s="1" t="s">
        <v>1507</v>
      </c>
      <c r="AH518" s="1">
        <v>19</v>
      </c>
      <c r="AI518" s="1">
        <v>1</v>
      </c>
      <c r="AJ518" s="1">
        <v>1</v>
      </c>
      <c r="AK518" s="1">
        <v>33</v>
      </c>
      <c r="AL518" s="1">
        <v>33</v>
      </c>
      <c r="AM518" s="1" t="s">
        <v>1579</v>
      </c>
      <c r="AN518" s="1" t="s">
        <v>1580</v>
      </c>
      <c r="AO518" s="1" t="s">
        <v>1581</v>
      </c>
      <c r="AP518" s="1" t="s">
        <v>2972</v>
      </c>
      <c r="AQ518" s="1" t="s">
        <v>2973</v>
      </c>
      <c r="AR518" s="1" t="s">
        <v>1507</v>
      </c>
      <c r="AS518" s="1" t="s">
        <v>2974</v>
      </c>
      <c r="AT518" s="1" t="s">
        <v>2975</v>
      </c>
      <c r="AU518" s="1" t="s">
        <v>2191</v>
      </c>
      <c r="AV518" s="1">
        <v>2023</v>
      </c>
      <c r="AW518" s="1">
        <v>90</v>
      </c>
      <c r="AX518" s="1" t="s">
        <v>1507</v>
      </c>
      <c r="AY518" s="1" t="s">
        <v>1507</v>
      </c>
      <c r="AZ518" s="1" t="s">
        <v>1507</v>
      </c>
      <c r="BA518" s="1" t="s">
        <v>1507</v>
      </c>
      <c r="BB518" s="1" t="s">
        <v>1507</v>
      </c>
      <c r="BC518" s="1" t="s">
        <v>1507</v>
      </c>
      <c r="BD518" s="1" t="s">
        <v>1507</v>
      </c>
      <c r="BE518" s="1">
        <v>103808</v>
      </c>
      <c r="BF518" s="1" t="s">
        <v>2976</v>
      </c>
      <c r="BG518" s="1" t="str">
        <f>HYPERLINK("http://dx.doi.org/10.1016/j.ajp.2023.103808","http://dx.doi.org/10.1016/j.ajp.2023.103808")</f>
        <v>http://dx.doi.org/10.1016/j.ajp.2023.103808</v>
      </c>
      <c r="BH518" s="1" t="s">
        <v>1507</v>
      </c>
      <c r="BI518" s="1" t="s">
        <v>2891</v>
      </c>
      <c r="BJ518" s="1">
        <v>3</v>
      </c>
      <c r="BK518" s="1" t="s">
        <v>2977</v>
      </c>
      <c r="BL518" s="1" t="s">
        <v>1573</v>
      </c>
      <c r="BM518" s="1" t="s">
        <v>2977</v>
      </c>
      <c r="BN518" s="1" t="s">
        <v>2978</v>
      </c>
      <c r="BO518" s="1">
        <v>37898100</v>
      </c>
      <c r="BP518" s="1" t="s">
        <v>1507</v>
      </c>
      <c r="BQ518" s="1" t="s">
        <v>1507</v>
      </c>
      <c r="BR518" s="1" t="s">
        <v>1507</v>
      </c>
      <c r="BS518" s="1" t="s">
        <v>13744</v>
      </c>
      <c r="BT518" s="1" t="s">
        <v>2979</v>
      </c>
      <c r="BU518" s="1" t="str">
        <f>HYPERLINK("https%3A%2F%2Fwww.webofscience.com%2Fwos%2Fwoscc%2Ffull-record%2FWOS:001108124800001","View Full Record in Web of Science")</f>
        <v>View Full Record in Web of Science</v>
      </c>
    </row>
    <row r="519" spans="1:73" s="7" customFormat="1" x14ac:dyDescent="0.25">
      <c r="A519" s="1">
        <v>569</v>
      </c>
      <c r="B519" s="1" t="s">
        <v>1506</v>
      </c>
      <c r="C519" s="1" t="s">
        <v>4276</v>
      </c>
      <c r="D519" s="1" t="s">
        <v>1507</v>
      </c>
      <c r="E519" s="1" t="s">
        <v>1507</v>
      </c>
      <c r="F519" s="1" t="s">
        <v>1507</v>
      </c>
      <c r="G519" s="1" t="s">
        <v>4277</v>
      </c>
      <c r="H519" s="1" t="s">
        <v>1507</v>
      </c>
      <c r="I519" s="1" t="s">
        <v>1507</v>
      </c>
      <c r="J519" s="1" t="s">
        <v>204</v>
      </c>
      <c r="K519" s="1" t="s">
        <v>4278</v>
      </c>
      <c r="L519" s="1" t="s">
        <v>1507</v>
      </c>
      <c r="M519" s="1" t="s">
        <v>1507</v>
      </c>
      <c r="N519" s="1" t="s">
        <v>42</v>
      </c>
      <c r="O519" s="1" t="s">
        <v>56</v>
      </c>
      <c r="P519" s="1" t="s">
        <v>1507</v>
      </c>
      <c r="Q519" s="1" t="s">
        <v>1507</v>
      </c>
      <c r="R519" s="1" t="s">
        <v>1507</v>
      </c>
      <c r="S519" s="1" t="s">
        <v>1507</v>
      </c>
      <c r="T519" s="1" t="s">
        <v>1507</v>
      </c>
      <c r="U519" s="1" t="s">
        <v>210</v>
      </c>
      <c r="V519" s="1" t="s">
        <v>1507</v>
      </c>
      <c r="W519" s="1" t="s">
        <v>4279</v>
      </c>
      <c r="X519" s="1" t="s">
        <v>4280</v>
      </c>
      <c r="Y519" s="1" t="s">
        <v>2389</v>
      </c>
      <c r="Z519" s="1" t="s">
        <v>4281</v>
      </c>
      <c r="AA519" s="1" t="s">
        <v>4282</v>
      </c>
      <c r="AB519" s="1" t="s">
        <v>1507</v>
      </c>
      <c r="AC519" s="1" t="s">
        <v>4283</v>
      </c>
      <c r="AD519" s="1" t="s">
        <v>1507</v>
      </c>
      <c r="AE519" s="1" t="s">
        <v>1507</v>
      </c>
      <c r="AF519" s="1" t="s">
        <v>1507</v>
      </c>
      <c r="AG519" s="1" t="s">
        <v>1507</v>
      </c>
      <c r="AH519" s="1">
        <v>11</v>
      </c>
      <c r="AI519" s="1">
        <v>0</v>
      </c>
      <c r="AJ519" s="1">
        <v>0</v>
      </c>
      <c r="AK519" s="1">
        <v>33</v>
      </c>
      <c r="AL519" s="1">
        <v>47</v>
      </c>
      <c r="AM519" s="1" t="s">
        <v>4284</v>
      </c>
      <c r="AN519" s="1" t="s">
        <v>4285</v>
      </c>
      <c r="AO519" s="1" t="s">
        <v>4286</v>
      </c>
      <c r="AP519" s="1" t="s">
        <v>4287</v>
      </c>
      <c r="AQ519" s="1" t="s">
        <v>4288</v>
      </c>
      <c r="AR519" s="1" t="s">
        <v>1507</v>
      </c>
      <c r="AS519" s="1" t="s">
        <v>4278</v>
      </c>
      <c r="AT519" s="1" t="s">
        <v>205</v>
      </c>
      <c r="AU519" s="1" t="s">
        <v>14569</v>
      </c>
      <c r="AV519" s="1">
        <v>2023</v>
      </c>
      <c r="AW519" s="1">
        <v>33</v>
      </c>
      <c r="AX519" s="1">
        <v>8</v>
      </c>
      <c r="AY519" s="1" t="s">
        <v>1507</v>
      </c>
      <c r="AZ519" s="1" t="s">
        <v>1507</v>
      </c>
      <c r="BA519" s="1" t="s">
        <v>1507</v>
      </c>
      <c r="BB519" s="1" t="s">
        <v>1507</v>
      </c>
      <c r="BC519" s="1">
        <v>606</v>
      </c>
      <c r="BD519" s="1">
        <v>614</v>
      </c>
      <c r="BE519" s="1" t="s">
        <v>4289</v>
      </c>
      <c r="BF519" s="1" t="s">
        <v>206</v>
      </c>
      <c r="BG519" s="1" t="str">
        <f>HYPERLINK("http://dx.doi.org/10.1093/glycob/cwad064","http://dx.doi.org/10.1093/glycob/cwad064")</f>
        <v>http://dx.doi.org/10.1093/glycob/cwad064</v>
      </c>
      <c r="BH519" s="1" t="s">
        <v>1507</v>
      </c>
      <c r="BI519" s="1" t="s">
        <v>4056</v>
      </c>
      <c r="BJ519" s="1">
        <v>9</v>
      </c>
      <c r="BK519" s="1" t="s">
        <v>4290</v>
      </c>
      <c r="BL519" s="1" t="s">
        <v>1573</v>
      </c>
      <c r="BM519" s="1" t="s">
        <v>4290</v>
      </c>
      <c r="BN519" s="1" t="s">
        <v>4291</v>
      </c>
      <c r="BO519" s="1">
        <v>37531256</v>
      </c>
      <c r="BP519" s="1" t="s">
        <v>1600</v>
      </c>
      <c r="BQ519" s="1" t="s">
        <v>1507</v>
      </c>
      <c r="BR519" s="1" t="s">
        <v>1507</v>
      </c>
      <c r="BS519" s="1" t="s">
        <v>13744</v>
      </c>
      <c r="BT519" s="1" t="s">
        <v>4292</v>
      </c>
      <c r="BU519" s="1" t="str">
        <f>HYPERLINK("https%3A%2F%2Fwww.webofscience.com%2Fwos%2Fwoscc%2Ffull-record%2FWOS:001052316000001","View Full Record in Web of Science")</f>
        <v>View Full Record in Web of Science</v>
      </c>
    </row>
    <row r="520" spans="1:73" s="7" customFormat="1" x14ac:dyDescent="0.25">
      <c r="A520" s="1">
        <v>570</v>
      </c>
      <c r="B520" s="1" t="s">
        <v>1506</v>
      </c>
      <c r="C520" s="1" t="s">
        <v>2539</v>
      </c>
      <c r="D520" s="1" t="s">
        <v>1507</v>
      </c>
      <c r="E520" s="1" t="s">
        <v>1507</v>
      </c>
      <c r="F520" s="1" t="s">
        <v>1507</v>
      </c>
      <c r="G520" s="1" t="s">
        <v>2540</v>
      </c>
      <c r="H520" s="1" t="s">
        <v>1507</v>
      </c>
      <c r="I520" s="1" t="s">
        <v>1507</v>
      </c>
      <c r="J520" s="1" t="s">
        <v>2541</v>
      </c>
      <c r="K520" s="1" t="s">
        <v>1538</v>
      </c>
      <c r="L520" s="1" t="s">
        <v>1507</v>
      </c>
      <c r="M520" s="1" t="s">
        <v>1507</v>
      </c>
      <c r="N520" s="1" t="s">
        <v>42</v>
      </c>
      <c r="O520" s="1" t="s">
        <v>56</v>
      </c>
      <c r="P520" s="1" t="s">
        <v>1507</v>
      </c>
      <c r="Q520" s="1" t="s">
        <v>1507</v>
      </c>
      <c r="R520" s="1" t="s">
        <v>1507</v>
      </c>
      <c r="S520" s="1" t="s">
        <v>1507</v>
      </c>
      <c r="T520" s="1" t="s">
        <v>1507</v>
      </c>
      <c r="U520" s="1" t="s">
        <v>1507</v>
      </c>
      <c r="V520" s="1" t="s">
        <v>1507</v>
      </c>
      <c r="W520" s="1" t="s">
        <v>2542</v>
      </c>
      <c r="X520" s="1" t="s">
        <v>2543</v>
      </c>
      <c r="Y520" s="1" t="s">
        <v>2544</v>
      </c>
      <c r="Z520" s="1" t="s">
        <v>2545</v>
      </c>
      <c r="AA520" s="1" t="s">
        <v>2546</v>
      </c>
      <c r="AB520" s="1" t="s">
        <v>1507</v>
      </c>
      <c r="AC520" s="1" t="s">
        <v>1507</v>
      </c>
      <c r="AD520" s="1" t="s">
        <v>2547</v>
      </c>
      <c r="AE520" s="1" t="s">
        <v>2548</v>
      </c>
      <c r="AF520" s="1" t="s">
        <v>2549</v>
      </c>
      <c r="AG520" s="1" t="s">
        <v>1507</v>
      </c>
      <c r="AH520" s="1">
        <v>45</v>
      </c>
      <c r="AI520" s="1">
        <v>0</v>
      </c>
      <c r="AJ520" s="1">
        <v>0</v>
      </c>
      <c r="AK520" s="1">
        <v>10</v>
      </c>
      <c r="AL520" s="1">
        <v>10</v>
      </c>
      <c r="AM520" s="1" t="s">
        <v>1539</v>
      </c>
      <c r="AN520" s="1" t="s">
        <v>1523</v>
      </c>
      <c r="AO520" s="1" t="s">
        <v>1540</v>
      </c>
      <c r="AP520" s="1" t="s">
        <v>1507</v>
      </c>
      <c r="AQ520" s="1" t="s">
        <v>1541</v>
      </c>
      <c r="AR520" s="1" t="s">
        <v>1507</v>
      </c>
      <c r="AS520" s="1" t="s">
        <v>1542</v>
      </c>
      <c r="AT520" s="1" t="s">
        <v>1543</v>
      </c>
      <c r="AU520" s="1" t="s">
        <v>2514</v>
      </c>
      <c r="AV520" s="1">
        <v>2023</v>
      </c>
      <c r="AW520" s="1">
        <v>11</v>
      </c>
      <c r="AX520" s="1" t="s">
        <v>1507</v>
      </c>
      <c r="AY520" s="1" t="s">
        <v>1507</v>
      </c>
      <c r="AZ520" s="1" t="s">
        <v>1507</v>
      </c>
      <c r="BA520" s="1" t="s">
        <v>1507</v>
      </c>
      <c r="BB520" s="1" t="s">
        <v>1507</v>
      </c>
      <c r="BC520" s="1">
        <v>1377</v>
      </c>
      <c r="BD520" s="1">
        <v>1395</v>
      </c>
      <c r="BE520" s="1" t="s">
        <v>1507</v>
      </c>
      <c r="BF520" s="1" t="s">
        <v>2550</v>
      </c>
      <c r="BG520" s="1" t="str">
        <f>HYPERLINK("http://dx.doi.org/10.1162/tacl_a_00608","http://dx.doi.org/10.1162/tacl_a_00608")</f>
        <v>http://dx.doi.org/10.1162/tacl_a_00608</v>
      </c>
      <c r="BH520" s="1" t="s">
        <v>1507</v>
      </c>
      <c r="BI520" s="1" t="s">
        <v>1507</v>
      </c>
      <c r="BJ520" s="1">
        <v>19</v>
      </c>
      <c r="BK520" s="1" t="s">
        <v>1544</v>
      </c>
      <c r="BL520" s="1" t="s">
        <v>1545</v>
      </c>
      <c r="BM520" s="1" t="s">
        <v>1546</v>
      </c>
      <c r="BN520" s="1" t="s">
        <v>2551</v>
      </c>
      <c r="BO520" s="1" t="s">
        <v>1507</v>
      </c>
      <c r="BP520" s="1" t="s">
        <v>1547</v>
      </c>
      <c r="BQ520" s="1" t="s">
        <v>1507</v>
      </c>
      <c r="BR520" s="1" t="s">
        <v>1507</v>
      </c>
      <c r="BS520" s="1" t="s">
        <v>13744</v>
      </c>
      <c r="BT520" s="1" t="s">
        <v>2552</v>
      </c>
      <c r="BU520" s="1" t="str">
        <f>HYPERLINK("https%3A%2F%2Fwww.webofscience.com%2Fwos%2Fwoscc%2Ffull-record%2FWOS:001104813600003","View Full Record in Web of Science")</f>
        <v>View Full Record in Web of Science</v>
      </c>
    </row>
    <row r="521" spans="1:73" s="7" customFormat="1" x14ac:dyDescent="0.25">
      <c r="A521" s="1">
        <v>571</v>
      </c>
      <c r="B521" s="1" t="s">
        <v>1506</v>
      </c>
      <c r="C521" s="1" t="s">
        <v>5222</v>
      </c>
      <c r="D521" s="1" t="s">
        <v>1507</v>
      </c>
      <c r="E521" s="1" t="s">
        <v>1507</v>
      </c>
      <c r="F521" s="1" t="s">
        <v>1507</v>
      </c>
      <c r="G521" s="1" t="s">
        <v>5223</v>
      </c>
      <c r="H521" s="1" t="s">
        <v>1507</v>
      </c>
      <c r="I521" s="1" t="s">
        <v>1507</v>
      </c>
      <c r="J521" s="1" t="s">
        <v>5224</v>
      </c>
      <c r="K521" s="1" t="s">
        <v>2811</v>
      </c>
      <c r="L521" s="1" t="s">
        <v>1507</v>
      </c>
      <c r="M521" s="1" t="s">
        <v>1507</v>
      </c>
      <c r="N521" s="1" t="s">
        <v>42</v>
      </c>
      <c r="O521" s="1" t="s">
        <v>56</v>
      </c>
      <c r="P521" s="1" t="s">
        <v>1507</v>
      </c>
      <c r="Q521" s="1" t="s">
        <v>1507</v>
      </c>
      <c r="R521" s="1" t="s">
        <v>1507</v>
      </c>
      <c r="S521" s="1" t="s">
        <v>1507</v>
      </c>
      <c r="T521" s="1" t="s">
        <v>1507</v>
      </c>
      <c r="U521" s="1" t="s">
        <v>5225</v>
      </c>
      <c r="V521" s="1" t="s">
        <v>5226</v>
      </c>
      <c r="W521" s="1" t="s">
        <v>5227</v>
      </c>
      <c r="X521" s="1" t="s">
        <v>5228</v>
      </c>
      <c r="Y521" s="1" t="s">
        <v>5229</v>
      </c>
      <c r="Z521" s="1" t="s">
        <v>5230</v>
      </c>
      <c r="AA521" s="1" t="s">
        <v>5231</v>
      </c>
      <c r="AB521" s="1" t="s">
        <v>5232</v>
      </c>
      <c r="AC521" s="1" t="s">
        <v>5233</v>
      </c>
      <c r="AD521" s="1" t="s">
        <v>5234</v>
      </c>
      <c r="AE521" s="1" t="s">
        <v>5235</v>
      </c>
      <c r="AF521" s="1" t="s">
        <v>5236</v>
      </c>
      <c r="AG521" s="1" t="s">
        <v>1507</v>
      </c>
      <c r="AH521" s="1">
        <v>78</v>
      </c>
      <c r="AI521" s="1">
        <v>2</v>
      </c>
      <c r="AJ521" s="1">
        <v>2</v>
      </c>
      <c r="AK521" s="1">
        <v>5</v>
      </c>
      <c r="AL521" s="1">
        <v>11</v>
      </c>
      <c r="AM521" s="1" t="s">
        <v>1559</v>
      </c>
      <c r="AN521" s="1" t="s">
        <v>1560</v>
      </c>
      <c r="AO521" s="1" t="s">
        <v>1561</v>
      </c>
      <c r="AP521" s="1" t="s">
        <v>2822</v>
      </c>
      <c r="AQ521" s="1" t="s">
        <v>2823</v>
      </c>
      <c r="AR521" s="1" t="s">
        <v>1507</v>
      </c>
      <c r="AS521" s="1" t="s">
        <v>2824</v>
      </c>
      <c r="AT521" s="1" t="s">
        <v>2825</v>
      </c>
      <c r="AU521" s="1" t="s">
        <v>5201</v>
      </c>
      <c r="AV521" s="1">
        <v>2023</v>
      </c>
      <c r="AW521" s="1">
        <v>47</v>
      </c>
      <c r="AX521" s="1">
        <v>4</v>
      </c>
      <c r="AY521" s="1" t="s">
        <v>1507</v>
      </c>
      <c r="AZ521" s="1" t="s">
        <v>1507</v>
      </c>
      <c r="BA521" s="1" t="s">
        <v>1507</v>
      </c>
      <c r="BB521" s="1" t="s">
        <v>1507</v>
      </c>
      <c r="BC521" s="1" t="s">
        <v>1507</v>
      </c>
      <c r="BD521" s="1" t="s">
        <v>1507</v>
      </c>
      <c r="BE521" s="1" t="s">
        <v>5237</v>
      </c>
      <c r="BF521" s="1" t="s">
        <v>5238</v>
      </c>
      <c r="BG521" s="1" t="str">
        <f>HYPERLINK("http://dx.doi.org/10.1111/cogs.13254","http://dx.doi.org/10.1111/cogs.13254")</f>
        <v>http://dx.doi.org/10.1111/cogs.13254</v>
      </c>
      <c r="BH521" s="1" t="s">
        <v>1507</v>
      </c>
      <c r="BI521" s="1" t="s">
        <v>1507</v>
      </c>
      <c r="BJ521" s="1">
        <v>25</v>
      </c>
      <c r="BK521" s="1" t="s">
        <v>2828</v>
      </c>
      <c r="BL521" s="1" t="s">
        <v>1518</v>
      </c>
      <c r="BM521" s="1" t="s">
        <v>1519</v>
      </c>
      <c r="BN521" s="1" t="s">
        <v>5239</v>
      </c>
      <c r="BO521" s="1">
        <v>37017257</v>
      </c>
      <c r="BP521" s="1" t="s">
        <v>8276</v>
      </c>
      <c r="BQ521" s="1" t="s">
        <v>1507</v>
      </c>
      <c r="BR521" s="1" t="s">
        <v>1507</v>
      </c>
      <c r="BS521" s="1" t="s">
        <v>13744</v>
      </c>
      <c r="BT521" s="1" t="s">
        <v>5240</v>
      </c>
      <c r="BU521" s="1" t="str">
        <f>HYPERLINK("https%3A%2F%2Fwww.webofscience.com%2Fwos%2Fwoscc%2Ffull-record%2FWOS:000963108300001","View Full Record in Web of Science")</f>
        <v>View Full Record in Web of Science</v>
      </c>
    </row>
    <row r="522" spans="1:73" s="7" customFormat="1" x14ac:dyDescent="0.25">
      <c r="A522" s="1">
        <v>572</v>
      </c>
      <c r="B522" s="1" t="s">
        <v>1506</v>
      </c>
      <c r="C522" s="1" t="s">
        <v>15471</v>
      </c>
      <c r="D522" s="1" t="s">
        <v>1507</v>
      </c>
      <c r="E522" s="1" t="s">
        <v>1507</v>
      </c>
      <c r="F522" s="1" t="s">
        <v>1507</v>
      </c>
      <c r="G522" s="1" t="s">
        <v>15472</v>
      </c>
      <c r="H522" s="1" t="s">
        <v>1507</v>
      </c>
      <c r="I522" s="1" t="s">
        <v>1507</v>
      </c>
      <c r="J522" s="1" t="s">
        <v>15473</v>
      </c>
      <c r="K522" s="1" t="s">
        <v>15474</v>
      </c>
      <c r="L522" s="1" t="s">
        <v>1507</v>
      </c>
      <c r="M522" s="1" t="s">
        <v>1507</v>
      </c>
      <c r="N522" s="1" t="s">
        <v>15475</v>
      </c>
      <c r="O522" s="1" t="s">
        <v>56</v>
      </c>
      <c r="P522" s="1" t="s">
        <v>1507</v>
      </c>
      <c r="Q522" s="1" t="s">
        <v>1507</v>
      </c>
      <c r="R522" s="1" t="s">
        <v>1507</v>
      </c>
      <c r="S522" s="1" t="s">
        <v>1507</v>
      </c>
      <c r="T522" s="1" t="s">
        <v>1507</v>
      </c>
      <c r="U522" s="1" t="s">
        <v>15476</v>
      </c>
      <c r="V522" s="1" t="s">
        <v>1507</v>
      </c>
      <c r="W522" s="1" t="s">
        <v>15477</v>
      </c>
      <c r="X522" s="1" t="s">
        <v>15478</v>
      </c>
      <c r="Y522" s="1" t="s">
        <v>15479</v>
      </c>
      <c r="Z522" s="1" t="s">
        <v>15480</v>
      </c>
      <c r="AA522" s="1" t="s">
        <v>1507</v>
      </c>
      <c r="AB522" s="1" t="s">
        <v>1507</v>
      </c>
      <c r="AC522" s="1" t="s">
        <v>1507</v>
      </c>
      <c r="AD522" s="1" t="s">
        <v>1507</v>
      </c>
      <c r="AE522" s="1" t="s">
        <v>1507</v>
      </c>
      <c r="AF522" s="1" t="s">
        <v>1507</v>
      </c>
      <c r="AG522" s="1" t="s">
        <v>1507</v>
      </c>
      <c r="AH522" s="1">
        <v>11</v>
      </c>
      <c r="AI522" s="1">
        <v>1</v>
      </c>
      <c r="AJ522" s="1">
        <v>1</v>
      </c>
      <c r="AK522" s="1">
        <v>2</v>
      </c>
      <c r="AL522" s="1">
        <v>2</v>
      </c>
      <c r="AM522" s="1" t="s">
        <v>15481</v>
      </c>
      <c r="AN522" s="1" t="s">
        <v>12096</v>
      </c>
      <c r="AO522" s="1" t="s">
        <v>15482</v>
      </c>
      <c r="AP522" s="1" t="s">
        <v>15483</v>
      </c>
      <c r="AQ522" s="1" t="s">
        <v>15484</v>
      </c>
      <c r="AR522" s="1" t="s">
        <v>1507</v>
      </c>
      <c r="AS522" s="1" t="s">
        <v>15474</v>
      </c>
      <c r="AT522" s="1" t="s">
        <v>15485</v>
      </c>
      <c r="AU522" s="1" t="s">
        <v>1507</v>
      </c>
      <c r="AV522" s="1">
        <v>2023</v>
      </c>
      <c r="AW522" s="1" t="s">
        <v>1507</v>
      </c>
      <c r="AX522" s="1">
        <v>3</v>
      </c>
      <c r="AY522" s="1" t="s">
        <v>1507</v>
      </c>
      <c r="AZ522" s="1" t="s">
        <v>1507</v>
      </c>
      <c r="BA522" s="1" t="s">
        <v>1507</v>
      </c>
      <c r="BB522" s="1" t="s">
        <v>1507</v>
      </c>
      <c r="BC522" s="1">
        <v>51</v>
      </c>
      <c r="BD522" s="1">
        <v>60</v>
      </c>
      <c r="BE522" s="1" t="s">
        <v>1507</v>
      </c>
      <c r="BF522" s="1" t="s">
        <v>15486</v>
      </c>
      <c r="BG522" s="1" t="str">
        <f>HYPERLINK("http://dx.doi.org/10.15219/em100.1617","http://dx.doi.org/10.15219/em100.1617")</f>
        <v>http://dx.doi.org/10.15219/em100.1617</v>
      </c>
      <c r="BH522" s="1" t="s">
        <v>1507</v>
      </c>
      <c r="BI522" s="1" t="s">
        <v>1507</v>
      </c>
      <c r="BJ522" s="1">
        <v>10</v>
      </c>
      <c r="BK522" s="1" t="s">
        <v>1558</v>
      </c>
      <c r="BL522" s="1" t="s">
        <v>1529</v>
      </c>
      <c r="BM522" s="1" t="s">
        <v>1558</v>
      </c>
      <c r="BN522" s="1" t="s">
        <v>15487</v>
      </c>
      <c r="BO522" s="1" t="s">
        <v>1507</v>
      </c>
      <c r="BP522" s="1" t="s">
        <v>1507</v>
      </c>
      <c r="BQ522" s="1" t="s">
        <v>1507</v>
      </c>
      <c r="BR522" s="1" t="s">
        <v>1507</v>
      </c>
      <c r="BS522" s="1" t="s">
        <v>13744</v>
      </c>
      <c r="BT522" s="1" t="s">
        <v>15488</v>
      </c>
      <c r="BU522" s="1" t="str">
        <f>HYPERLINK("https%3A%2F%2Fwww.webofscience.com%2Fwos%2Fwoscc%2Ffull-record%2FWOS:001173963300005","View Full Record in Web of Science")</f>
        <v>View Full Record in Web of Science</v>
      </c>
    </row>
    <row r="523" spans="1:73" s="7" customFormat="1" x14ac:dyDescent="0.25">
      <c r="A523" s="1">
        <v>574</v>
      </c>
      <c r="B523" s="1" t="s">
        <v>1506</v>
      </c>
      <c r="C523" s="1" t="s">
        <v>8063</v>
      </c>
      <c r="D523" s="1" t="s">
        <v>1507</v>
      </c>
      <c r="E523" s="1" t="s">
        <v>1507</v>
      </c>
      <c r="F523" s="1" t="s">
        <v>1507</v>
      </c>
      <c r="G523" s="1" t="s">
        <v>8064</v>
      </c>
      <c r="H523" s="1" t="s">
        <v>1507</v>
      </c>
      <c r="I523" s="1" t="s">
        <v>1507</v>
      </c>
      <c r="J523" s="1" t="s">
        <v>8065</v>
      </c>
      <c r="K523" s="1" t="s">
        <v>8066</v>
      </c>
      <c r="L523" s="1" t="s">
        <v>1507</v>
      </c>
      <c r="M523" s="1" t="s">
        <v>1507</v>
      </c>
      <c r="N523" s="1" t="s">
        <v>42</v>
      </c>
      <c r="O523" s="1" t="s">
        <v>56</v>
      </c>
      <c r="P523" s="1" t="s">
        <v>1507</v>
      </c>
      <c r="Q523" s="1" t="s">
        <v>1507</v>
      </c>
      <c r="R523" s="1" t="s">
        <v>1507</v>
      </c>
      <c r="S523" s="1" t="s">
        <v>1507</v>
      </c>
      <c r="T523" s="1" t="s">
        <v>1507</v>
      </c>
      <c r="U523" s="1" t="s">
        <v>8067</v>
      </c>
      <c r="V523" s="1" t="s">
        <v>8068</v>
      </c>
      <c r="W523" s="1" t="s">
        <v>8069</v>
      </c>
      <c r="X523" s="1" t="s">
        <v>8070</v>
      </c>
      <c r="Y523" s="1" t="s">
        <v>8071</v>
      </c>
      <c r="Z523" s="1" t="s">
        <v>8072</v>
      </c>
      <c r="AA523" s="1" t="s">
        <v>8073</v>
      </c>
      <c r="AB523" s="1" t="s">
        <v>15686</v>
      </c>
      <c r="AC523" s="1" t="s">
        <v>15687</v>
      </c>
      <c r="AD523" s="1" t="s">
        <v>8074</v>
      </c>
      <c r="AE523" s="1" t="s">
        <v>8075</v>
      </c>
      <c r="AF523" s="1" t="s">
        <v>8076</v>
      </c>
      <c r="AG523" s="1" t="s">
        <v>1507</v>
      </c>
      <c r="AH523" s="1">
        <v>80</v>
      </c>
      <c r="AI523" s="1">
        <v>15</v>
      </c>
      <c r="AJ523" s="1">
        <v>15</v>
      </c>
      <c r="AK523" s="1">
        <v>3</v>
      </c>
      <c r="AL523" s="1">
        <v>13</v>
      </c>
      <c r="AM523" s="1" t="s">
        <v>8077</v>
      </c>
      <c r="AN523" s="1" t="s">
        <v>8078</v>
      </c>
      <c r="AO523" s="1" t="s">
        <v>8079</v>
      </c>
      <c r="AP523" s="1" t="s">
        <v>8080</v>
      </c>
      <c r="AQ523" s="1" t="s">
        <v>8081</v>
      </c>
      <c r="AR523" s="1" t="s">
        <v>1507</v>
      </c>
      <c r="AS523" s="1" t="s">
        <v>8082</v>
      </c>
      <c r="AT523" s="1" t="s">
        <v>8083</v>
      </c>
      <c r="AU523" s="1" t="s">
        <v>15688</v>
      </c>
      <c r="AV523" s="1">
        <v>2022</v>
      </c>
      <c r="AW523" s="1">
        <v>525</v>
      </c>
      <c r="AX523" s="1" t="s">
        <v>1507</v>
      </c>
      <c r="AY523" s="1" t="s">
        <v>1507</v>
      </c>
      <c r="AZ523" s="1" t="s">
        <v>1507</v>
      </c>
      <c r="BA523" s="1" t="s">
        <v>1507</v>
      </c>
      <c r="BB523" s="1" t="s">
        <v>1507</v>
      </c>
      <c r="BC523" s="1">
        <v>115</v>
      </c>
      <c r="BD523" s="1">
        <v>130</v>
      </c>
      <c r="BE523" s="1" t="s">
        <v>1507</v>
      </c>
      <c r="BF523" s="1" t="s">
        <v>8084</v>
      </c>
      <c r="BG523" s="1" t="str">
        <f>HYPERLINK("http://dx.doi.org/10.1016/j.canlet.2021.10.039","http://dx.doi.org/10.1016/j.canlet.2021.10.039")</f>
        <v>http://dx.doi.org/10.1016/j.canlet.2021.10.039</v>
      </c>
      <c r="BH523" s="1" t="s">
        <v>1507</v>
      </c>
      <c r="BI523" s="1" t="s">
        <v>8085</v>
      </c>
      <c r="BJ523" s="1">
        <v>16</v>
      </c>
      <c r="BK523" s="1" t="s">
        <v>3875</v>
      </c>
      <c r="BL523" s="1" t="s">
        <v>1573</v>
      </c>
      <c r="BM523" s="1" t="s">
        <v>3875</v>
      </c>
      <c r="BN523" s="1" t="s">
        <v>8086</v>
      </c>
      <c r="BO523" s="1">
        <v>34736960</v>
      </c>
      <c r="BP523" s="1" t="s">
        <v>1507</v>
      </c>
      <c r="BQ523" s="1" t="s">
        <v>1507</v>
      </c>
      <c r="BR523" s="1" t="s">
        <v>1507</v>
      </c>
      <c r="BS523" s="1" t="s">
        <v>13744</v>
      </c>
      <c r="BT523" s="1" t="s">
        <v>8087</v>
      </c>
      <c r="BU523" s="1" t="str">
        <f>HYPERLINK("https%3A%2F%2Fwww.webofscience.com%2Fwos%2Fwoscc%2Ffull-record%2FWOS:000720470900006","View Full Record in Web of Science")</f>
        <v>View Full Record in Web of Science</v>
      </c>
    </row>
    <row r="524" spans="1:73" s="7" customFormat="1" x14ac:dyDescent="0.25">
      <c r="A524" s="1">
        <v>575</v>
      </c>
      <c r="B524" s="1" t="s">
        <v>1506</v>
      </c>
      <c r="C524" s="1" t="s">
        <v>10090</v>
      </c>
      <c r="D524" s="1" t="s">
        <v>1507</v>
      </c>
      <c r="E524" s="1" t="s">
        <v>1507</v>
      </c>
      <c r="F524" s="1" t="s">
        <v>1507</v>
      </c>
      <c r="G524" s="1" t="s">
        <v>10091</v>
      </c>
      <c r="H524" s="1" t="s">
        <v>1507</v>
      </c>
      <c r="I524" s="1" t="s">
        <v>1507</v>
      </c>
      <c r="J524" s="1" t="s">
        <v>10092</v>
      </c>
      <c r="K524" s="1" t="s">
        <v>10093</v>
      </c>
      <c r="L524" s="1" t="s">
        <v>1507</v>
      </c>
      <c r="M524" s="1" t="s">
        <v>1507</v>
      </c>
      <c r="N524" s="1" t="s">
        <v>42</v>
      </c>
      <c r="O524" s="1" t="s">
        <v>56</v>
      </c>
      <c r="P524" s="1" t="s">
        <v>1507</v>
      </c>
      <c r="Q524" s="1" t="s">
        <v>1507</v>
      </c>
      <c r="R524" s="1" t="s">
        <v>1507</v>
      </c>
      <c r="S524" s="1" t="s">
        <v>1507</v>
      </c>
      <c r="T524" s="1" t="s">
        <v>1507</v>
      </c>
      <c r="U524" s="1" t="s">
        <v>10094</v>
      </c>
      <c r="V524" s="1" t="s">
        <v>1507</v>
      </c>
      <c r="W524" s="1" t="s">
        <v>10095</v>
      </c>
      <c r="X524" s="1" t="s">
        <v>10096</v>
      </c>
      <c r="Y524" s="1" t="s">
        <v>10097</v>
      </c>
      <c r="Z524" s="1" t="s">
        <v>10098</v>
      </c>
      <c r="AA524" s="1" t="s">
        <v>10099</v>
      </c>
      <c r="AB524" s="1" t="s">
        <v>10100</v>
      </c>
      <c r="AC524" s="1" t="s">
        <v>10101</v>
      </c>
      <c r="AD524" s="1" t="s">
        <v>10102</v>
      </c>
      <c r="AE524" s="1" t="s">
        <v>10103</v>
      </c>
      <c r="AF524" s="1" t="s">
        <v>10104</v>
      </c>
      <c r="AG524" s="1" t="s">
        <v>1507</v>
      </c>
      <c r="AH524" s="1">
        <v>34</v>
      </c>
      <c r="AI524" s="1">
        <v>1</v>
      </c>
      <c r="AJ524" s="1">
        <v>1</v>
      </c>
      <c r="AK524" s="1">
        <v>0</v>
      </c>
      <c r="AL524" s="1">
        <v>14</v>
      </c>
      <c r="AM524" s="1" t="s">
        <v>1511</v>
      </c>
      <c r="AN524" s="1" t="s">
        <v>1512</v>
      </c>
      <c r="AO524" s="1" t="s">
        <v>1513</v>
      </c>
      <c r="AP524" s="1" t="s">
        <v>10105</v>
      </c>
      <c r="AQ524" s="1" t="s">
        <v>10106</v>
      </c>
      <c r="AR524" s="1" t="s">
        <v>1507</v>
      </c>
      <c r="AS524" s="1" t="s">
        <v>10107</v>
      </c>
      <c r="AT524" s="1" t="s">
        <v>10108</v>
      </c>
      <c r="AU524" s="1" t="s">
        <v>10109</v>
      </c>
      <c r="AV524" s="1">
        <v>2020</v>
      </c>
      <c r="AW524" s="1">
        <v>26</v>
      </c>
      <c r="AX524" s="1">
        <v>3</v>
      </c>
      <c r="AY524" s="1" t="s">
        <v>1507</v>
      </c>
      <c r="AZ524" s="1" t="s">
        <v>1507</v>
      </c>
      <c r="BA524" s="1" t="s">
        <v>1507</v>
      </c>
      <c r="BB524" s="1" t="s">
        <v>1507</v>
      </c>
      <c r="BC524" s="1" t="s">
        <v>1507</v>
      </c>
      <c r="BD524" s="1" t="s">
        <v>1507</v>
      </c>
      <c r="BE524" s="1">
        <v>41</v>
      </c>
      <c r="BF524" s="1" t="s">
        <v>10110</v>
      </c>
      <c r="BG524" s="1" t="str">
        <f>HYPERLINK("http://dx.doi.org/10.1007/s00894-020-4310-2","http://dx.doi.org/10.1007/s00894-020-4310-2")</f>
        <v>http://dx.doi.org/10.1007/s00894-020-4310-2</v>
      </c>
      <c r="BH524" s="1" t="s">
        <v>1507</v>
      </c>
      <c r="BI524" s="1" t="s">
        <v>1507</v>
      </c>
      <c r="BJ524" s="1">
        <v>10</v>
      </c>
      <c r="BK524" s="1" t="s">
        <v>10111</v>
      </c>
      <c r="BL524" s="1" t="s">
        <v>1573</v>
      </c>
      <c r="BM524" s="1" t="s">
        <v>10112</v>
      </c>
      <c r="BN524" s="1" t="s">
        <v>10113</v>
      </c>
      <c r="BO524" s="1">
        <v>32009197</v>
      </c>
      <c r="BP524" s="1" t="s">
        <v>1507</v>
      </c>
      <c r="BQ524" s="1" t="s">
        <v>1507</v>
      </c>
      <c r="BR524" s="1" t="s">
        <v>1507</v>
      </c>
      <c r="BS524" s="1" t="s">
        <v>13744</v>
      </c>
      <c r="BT524" s="1" t="s">
        <v>10114</v>
      </c>
      <c r="BU524" s="1" t="str">
        <f>HYPERLINK("https%3A%2F%2Fwww.webofscience.com%2Fwos%2Fwoscc%2Ffull-record%2FWOS:000514577500001","View Full Record in Web of Science")</f>
        <v>View Full Record in Web of Science</v>
      </c>
    </row>
    <row r="525" spans="1:73" s="7" customFormat="1" x14ac:dyDescent="0.25">
      <c r="A525" s="1">
        <v>576</v>
      </c>
      <c r="B525" s="1" t="s">
        <v>1506</v>
      </c>
      <c r="C525" s="1" t="s">
        <v>10945</v>
      </c>
      <c r="D525" s="1" t="s">
        <v>1507</v>
      </c>
      <c r="E525" s="1" t="s">
        <v>1507</v>
      </c>
      <c r="F525" s="1" t="s">
        <v>1507</v>
      </c>
      <c r="G525" s="1" t="s">
        <v>10946</v>
      </c>
      <c r="H525" s="1" t="s">
        <v>1507</v>
      </c>
      <c r="I525" s="1" t="s">
        <v>1507</v>
      </c>
      <c r="J525" s="1" t="s">
        <v>10947</v>
      </c>
      <c r="K525" s="1" t="s">
        <v>10948</v>
      </c>
      <c r="L525" s="1" t="s">
        <v>1507</v>
      </c>
      <c r="M525" s="1" t="s">
        <v>1507</v>
      </c>
      <c r="N525" s="1" t="s">
        <v>42</v>
      </c>
      <c r="O525" s="1" t="s">
        <v>56</v>
      </c>
      <c r="P525" s="1" t="s">
        <v>1507</v>
      </c>
      <c r="Q525" s="1" t="s">
        <v>1507</v>
      </c>
      <c r="R525" s="1" t="s">
        <v>1507</v>
      </c>
      <c r="S525" s="1" t="s">
        <v>1507</v>
      </c>
      <c r="T525" s="1" t="s">
        <v>1507</v>
      </c>
      <c r="U525" s="1" t="s">
        <v>1507</v>
      </c>
      <c r="V525" s="1" t="s">
        <v>10949</v>
      </c>
      <c r="W525" s="1" t="s">
        <v>10950</v>
      </c>
      <c r="X525" s="1" t="s">
        <v>10951</v>
      </c>
      <c r="Y525" s="1" t="s">
        <v>10952</v>
      </c>
      <c r="Z525" s="1" t="s">
        <v>10953</v>
      </c>
      <c r="AA525" s="1" t="s">
        <v>10954</v>
      </c>
      <c r="AB525" s="1" t="s">
        <v>1507</v>
      </c>
      <c r="AC525" s="1" t="s">
        <v>1507</v>
      </c>
      <c r="AD525" s="1" t="s">
        <v>10955</v>
      </c>
      <c r="AE525" s="1" t="s">
        <v>10955</v>
      </c>
      <c r="AF525" s="1" t="s">
        <v>10956</v>
      </c>
      <c r="AG525" s="1" t="s">
        <v>1507</v>
      </c>
      <c r="AH525" s="1">
        <v>62</v>
      </c>
      <c r="AI525" s="1">
        <v>3</v>
      </c>
      <c r="AJ525" s="1">
        <v>3</v>
      </c>
      <c r="AK525" s="1">
        <v>2</v>
      </c>
      <c r="AL525" s="1">
        <v>13</v>
      </c>
      <c r="AM525" s="1" t="s">
        <v>6981</v>
      </c>
      <c r="AN525" s="1" t="s">
        <v>6982</v>
      </c>
      <c r="AO525" s="1" t="s">
        <v>6983</v>
      </c>
      <c r="AP525" s="1" t="s">
        <v>10957</v>
      </c>
      <c r="AQ525" s="1" t="s">
        <v>1507</v>
      </c>
      <c r="AR525" s="1" t="s">
        <v>1507</v>
      </c>
      <c r="AS525" s="1" t="s">
        <v>10958</v>
      </c>
      <c r="AT525" s="1" t="s">
        <v>10959</v>
      </c>
      <c r="AU525" s="1" t="s">
        <v>10960</v>
      </c>
      <c r="AV525" s="1">
        <v>2019</v>
      </c>
      <c r="AW525" s="1">
        <v>4</v>
      </c>
      <c r="AX525" s="1">
        <v>6</v>
      </c>
      <c r="AY525" s="1" t="s">
        <v>1507</v>
      </c>
      <c r="AZ525" s="1" t="s">
        <v>1507</v>
      </c>
      <c r="BA525" s="1" t="s">
        <v>1507</v>
      </c>
      <c r="BB525" s="1" t="s">
        <v>1507</v>
      </c>
      <c r="BC525" s="1" t="s">
        <v>1507</v>
      </c>
      <c r="BD525" s="1" t="s">
        <v>1507</v>
      </c>
      <c r="BE525" s="1">
        <v>63101</v>
      </c>
      <c r="BF525" s="1" t="s">
        <v>10961</v>
      </c>
      <c r="BG525" s="1" t="str">
        <f>HYPERLINK("http://dx.doi.org/10.1103/PhysRevFluids.4.063101","http://dx.doi.org/10.1103/PhysRevFluids.4.063101")</f>
        <v>http://dx.doi.org/10.1103/PhysRevFluids.4.063101</v>
      </c>
      <c r="BH525" s="1" t="s">
        <v>1507</v>
      </c>
      <c r="BI525" s="1" t="s">
        <v>1507</v>
      </c>
      <c r="BJ525" s="1">
        <v>21</v>
      </c>
      <c r="BK525" s="1" t="s">
        <v>6777</v>
      </c>
      <c r="BL525" s="1" t="s">
        <v>1573</v>
      </c>
      <c r="BM525" s="1" t="s">
        <v>2104</v>
      </c>
      <c r="BN525" s="1" t="s">
        <v>10962</v>
      </c>
      <c r="BO525" s="1" t="s">
        <v>1507</v>
      </c>
      <c r="BP525" s="1" t="s">
        <v>1507</v>
      </c>
      <c r="BQ525" s="1" t="s">
        <v>1507</v>
      </c>
      <c r="BR525" s="1" t="s">
        <v>1507</v>
      </c>
      <c r="BS525" s="1" t="s">
        <v>13744</v>
      </c>
      <c r="BT525" s="1" t="s">
        <v>10963</v>
      </c>
      <c r="BU525" s="1" t="str">
        <f>HYPERLINK("https%3A%2F%2Fwww.webofscience.com%2Fwos%2Fwoscc%2Ffull-record%2FWOS:000470896800001","View Full Record in Web of Science")</f>
        <v>View Full Record in Web of Science</v>
      </c>
    </row>
    <row r="526" spans="1:73" s="7" customFormat="1" x14ac:dyDescent="0.25">
      <c r="A526" s="1">
        <v>577</v>
      </c>
      <c r="B526" s="1" t="s">
        <v>1506</v>
      </c>
      <c r="C526" s="1" t="s">
        <v>10945</v>
      </c>
      <c r="D526" s="1" t="s">
        <v>1507</v>
      </c>
      <c r="E526" s="1" t="s">
        <v>1507</v>
      </c>
      <c r="F526" s="1" t="s">
        <v>1507</v>
      </c>
      <c r="G526" s="1" t="s">
        <v>10946</v>
      </c>
      <c r="H526" s="1" t="s">
        <v>1507</v>
      </c>
      <c r="I526" s="1" t="s">
        <v>1507</v>
      </c>
      <c r="J526" s="1" t="s">
        <v>11840</v>
      </c>
      <c r="K526" s="1" t="s">
        <v>10948</v>
      </c>
      <c r="L526" s="1" t="s">
        <v>1507</v>
      </c>
      <c r="M526" s="1" t="s">
        <v>1507</v>
      </c>
      <c r="N526" s="1" t="s">
        <v>42</v>
      </c>
      <c r="O526" s="1" t="s">
        <v>56</v>
      </c>
      <c r="P526" s="1" t="s">
        <v>1507</v>
      </c>
      <c r="Q526" s="1" t="s">
        <v>1507</v>
      </c>
      <c r="R526" s="1" t="s">
        <v>1507</v>
      </c>
      <c r="S526" s="1" t="s">
        <v>1507</v>
      </c>
      <c r="T526" s="1" t="s">
        <v>1507</v>
      </c>
      <c r="U526" s="1" t="s">
        <v>1507</v>
      </c>
      <c r="V526" s="1" t="s">
        <v>11841</v>
      </c>
      <c r="W526" s="1" t="s">
        <v>11842</v>
      </c>
      <c r="X526" s="1" t="s">
        <v>11843</v>
      </c>
      <c r="Y526" s="1" t="s">
        <v>11844</v>
      </c>
      <c r="Z526" s="1" t="s">
        <v>11845</v>
      </c>
      <c r="AA526" s="1" t="s">
        <v>11846</v>
      </c>
      <c r="AB526" s="1" t="s">
        <v>1507</v>
      </c>
      <c r="AC526" s="1" t="s">
        <v>1507</v>
      </c>
      <c r="AD526" s="1" t="s">
        <v>11844</v>
      </c>
      <c r="AE526" s="1" t="s">
        <v>11844</v>
      </c>
      <c r="AF526" s="1" t="s">
        <v>11847</v>
      </c>
      <c r="AG526" s="1" t="s">
        <v>1507</v>
      </c>
      <c r="AH526" s="1">
        <v>51</v>
      </c>
      <c r="AI526" s="1">
        <v>1</v>
      </c>
      <c r="AJ526" s="1">
        <v>3</v>
      </c>
      <c r="AK526" s="1">
        <v>1</v>
      </c>
      <c r="AL526" s="1">
        <v>23</v>
      </c>
      <c r="AM526" s="1" t="s">
        <v>6981</v>
      </c>
      <c r="AN526" s="1" t="s">
        <v>6982</v>
      </c>
      <c r="AO526" s="1" t="s">
        <v>6983</v>
      </c>
      <c r="AP526" s="1" t="s">
        <v>10957</v>
      </c>
      <c r="AQ526" s="1" t="s">
        <v>1507</v>
      </c>
      <c r="AR526" s="1" t="s">
        <v>1507</v>
      </c>
      <c r="AS526" s="1" t="s">
        <v>10958</v>
      </c>
      <c r="AT526" s="1" t="s">
        <v>10959</v>
      </c>
      <c r="AU526" s="1" t="s">
        <v>11848</v>
      </c>
      <c r="AV526" s="1">
        <v>2018</v>
      </c>
      <c r="AW526" s="1">
        <v>3</v>
      </c>
      <c r="AX526" s="1">
        <v>3</v>
      </c>
      <c r="AY526" s="1" t="s">
        <v>1507</v>
      </c>
      <c r="AZ526" s="1" t="s">
        <v>1507</v>
      </c>
      <c r="BA526" s="1" t="s">
        <v>1507</v>
      </c>
      <c r="BB526" s="1" t="s">
        <v>1507</v>
      </c>
      <c r="BC526" s="1" t="s">
        <v>1507</v>
      </c>
      <c r="BD526" s="1" t="s">
        <v>1507</v>
      </c>
      <c r="BE526" s="1">
        <v>31101</v>
      </c>
      <c r="BF526" s="1" t="s">
        <v>11849</v>
      </c>
      <c r="BG526" s="1" t="str">
        <f>HYPERLINK("http://dx.doi.org/10.1103/PhysRevFluids.3.031101","http://dx.doi.org/10.1103/PhysRevFluids.3.031101")</f>
        <v>http://dx.doi.org/10.1103/PhysRevFluids.3.031101</v>
      </c>
      <c r="BH526" s="1" t="s">
        <v>1507</v>
      </c>
      <c r="BI526" s="1" t="s">
        <v>1507</v>
      </c>
      <c r="BJ526" s="1">
        <v>11</v>
      </c>
      <c r="BK526" s="1" t="s">
        <v>6777</v>
      </c>
      <c r="BL526" s="1" t="s">
        <v>1573</v>
      </c>
      <c r="BM526" s="1" t="s">
        <v>2104</v>
      </c>
      <c r="BN526" s="1" t="s">
        <v>11850</v>
      </c>
      <c r="BO526" s="1" t="s">
        <v>1507</v>
      </c>
      <c r="BP526" s="1" t="s">
        <v>1507</v>
      </c>
      <c r="BQ526" s="1" t="s">
        <v>1507</v>
      </c>
      <c r="BR526" s="1" t="s">
        <v>1507</v>
      </c>
      <c r="BS526" s="1" t="s">
        <v>13744</v>
      </c>
      <c r="BT526" s="1" t="s">
        <v>11851</v>
      </c>
      <c r="BU526" s="1" t="str">
        <f>HYPERLINK("https%3A%2F%2Fwww.webofscience.com%2Fwos%2Fwoscc%2Ffull-record%2FWOS:000426464800001","View Full Record in Web of Science")</f>
        <v>View Full Record in Web of Science</v>
      </c>
    </row>
    <row r="527" spans="1:73" x14ac:dyDescent="0.25">
      <c r="A527" s="1">
        <v>578</v>
      </c>
      <c r="B527" s="1" t="s">
        <v>1506</v>
      </c>
      <c r="C527" s="1" t="s">
        <v>9578</v>
      </c>
      <c r="D527" s="1" t="s">
        <v>1507</v>
      </c>
      <c r="E527" s="1" t="s">
        <v>1507</v>
      </c>
      <c r="F527" s="1" t="s">
        <v>1507</v>
      </c>
      <c r="G527" s="1" t="s">
        <v>9579</v>
      </c>
      <c r="H527" s="1" t="s">
        <v>1507</v>
      </c>
      <c r="I527" s="1" t="s">
        <v>1507</v>
      </c>
      <c r="J527" s="1" t="s">
        <v>9580</v>
      </c>
      <c r="K527" s="1" t="s">
        <v>9581</v>
      </c>
      <c r="L527" s="1" t="s">
        <v>1507</v>
      </c>
      <c r="M527" s="1" t="s">
        <v>1507</v>
      </c>
      <c r="N527" s="1" t="s">
        <v>42</v>
      </c>
      <c r="O527" s="1" t="s">
        <v>56</v>
      </c>
      <c r="P527" s="1" t="s">
        <v>1507</v>
      </c>
      <c r="Q527" s="1" t="s">
        <v>1507</v>
      </c>
      <c r="R527" s="1" t="s">
        <v>1507</v>
      </c>
      <c r="S527" s="1" t="s">
        <v>1507</v>
      </c>
      <c r="T527" s="1" t="s">
        <v>1507</v>
      </c>
      <c r="U527" s="1" t="s">
        <v>9582</v>
      </c>
      <c r="V527" s="1" t="s">
        <v>9583</v>
      </c>
      <c r="W527" s="1" t="s">
        <v>9584</v>
      </c>
      <c r="X527" s="1" t="s">
        <v>9585</v>
      </c>
      <c r="Y527" s="1" t="s">
        <v>15796</v>
      </c>
      <c r="Z527" s="1" t="s">
        <v>9586</v>
      </c>
      <c r="AA527" s="1" t="s">
        <v>9587</v>
      </c>
      <c r="AB527" s="1" t="s">
        <v>1507</v>
      </c>
      <c r="AC527" s="1" t="s">
        <v>9131</v>
      </c>
      <c r="AD527" s="1" t="s">
        <v>9588</v>
      </c>
      <c r="AE527" s="1" t="s">
        <v>9589</v>
      </c>
      <c r="AF527" s="1" t="s">
        <v>9590</v>
      </c>
      <c r="AG527" s="1" t="s">
        <v>1507</v>
      </c>
      <c r="AH527" s="1">
        <v>87</v>
      </c>
      <c r="AI527" s="1">
        <v>25</v>
      </c>
      <c r="AJ527" s="1">
        <v>29</v>
      </c>
      <c r="AK527" s="1">
        <v>11</v>
      </c>
      <c r="AL527" s="1">
        <v>78</v>
      </c>
      <c r="AM527" s="1" t="s">
        <v>1564</v>
      </c>
      <c r="AN527" s="1" t="s">
        <v>1565</v>
      </c>
      <c r="AO527" s="1" t="s">
        <v>1566</v>
      </c>
      <c r="AP527" s="1" t="s">
        <v>9591</v>
      </c>
      <c r="AQ527" s="1" t="s">
        <v>1507</v>
      </c>
      <c r="AR527" s="1" t="s">
        <v>1507</v>
      </c>
      <c r="AS527" s="1" t="s">
        <v>9592</v>
      </c>
      <c r="AT527" s="1" t="s">
        <v>9593</v>
      </c>
      <c r="AU527" s="1" t="s">
        <v>9594</v>
      </c>
      <c r="AV527" s="1">
        <v>2020</v>
      </c>
      <c r="AW527" s="1">
        <v>11</v>
      </c>
      <c r="AX527" s="1" t="s">
        <v>1507</v>
      </c>
      <c r="AY527" s="1" t="s">
        <v>1507</v>
      </c>
      <c r="AZ527" s="1" t="s">
        <v>1507</v>
      </c>
      <c r="BA527" s="1" t="s">
        <v>1507</v>
      </c>
      <c r="BB527" s="1" t="s">
        <v>1507</v>
      </c>
      <c r="BC527" s="1" t="s">
        <v>1507</v>
      </c>
      <c r="BD527" s="1" t="s">
        <v>1507</v>
      </c>
      <c r="BE527" s="1">
        <v>2230</v>
      </c>
      <c r="BF527" s="1" t="s">
        <v>9595</v>
      </c>
      <c r="BG527" s="1" t="str">
        <f>HYPERLINK("http://dx.doi.org/10.3389/fpsyg.2020.02230","http://dx.doi.org/10.3389/fpsyg.2020.02230")</f>
        <v>http://dx.doi.org/10.3389/fpsyg.2020.02230</v>
      </c>
      <c r="BH527" s="1" t="s">
        <v>1507</v>
      </c>
      <c r="BI527" s="1" t="s">
        <v>1507</v>
      </c>
      <c r="BJ527" s="1">
        <v>13</v>
      </c>
      <c r="BK527" s="1" t="s">
        <v>1517</v>
      </c>
      <c r="BL527" s="1" t="s">
        <v>1518</v>
      </c>
      <c r="BM527" s="1" t="s">
        <v>1519</v>
      </c>
      <c r="BN527" s="1" t="s">
        <v>9596</v>
      </c>
      <c r="BO527" s="1">
        <v>33013581</v>
      </c>
      <c r="BP527" s="1" t="s">
        <v>1952</v>
      </c>
      <c r="BQ527" s="1" t="s">
        <v>1507</v>
      </c>
      <c r="BR527" s="1" t="s">
        <v>1507</v>
      </c>
      <c r="BS527" s="1" t="s">
        <v>13744</v>
      </c>
      <c r="BT527" s="1" t="s">
        <v>9597</v>
      </c>
      <c r="BU527" s="1" t="str">
        <f>HYPERLINK("https%3A%2F%2Fwww.webofscience.com%2Fwos%2Fwoscc%2Ffull-record%2FWOS:000574390300001","View Full Record in Web of Science")</f>
        <v>View Full Record in Web of Science</v>
      </c>
    </row>
    <row r="528" spans="1:73" x14ac:dyDescent="0.25">
      <c r="A528" s="1">
        <v>579</v>
      </c>
      <c r="B528" s="1" t="s">
        <v>1506</v>
      </c>
      <c r="C528" s="1" t="s">
        <v>8604</v>
      </c>
      <c r="D528" s="1" t="s">
        <v>1507</v>
      </c>
      <c r="E528" s="1" t="s">
        <v>1507</v>
      </c>
      <c r="F528" s="1" t="s">
        <v>1507</v>
      </c>
      <c r="G528" s="1" t="s">
        <v>8605</v>
      </c>
      <c r="H528" s="1" t="s">
        <v>1507</v>
      </c>
      <c r="I528" s="1" t="s">
        <v>1507</v>
      </c>
      <c r="J528" s="1" t="s">
        <v>8606</v>
      </c>
      <c r="K528" s="1" t="s">
        <v>1508</v>
      </c>
      <c r="L528" s="1" t="s">
        <v>1507</v>
      </c>
      <c r="M528" s="1" t="s">
        <v>1507</v>
      </c>
      <c r="N528" s="1" t="s">
        <v>42</v>
      </c>
      <c r="O528" s="1" t="s">
        <v>56</v>
      </c>
      <c r="P528" s="1" t="s">
        <v>1507</v>
      </c>
      <c r="Q528" s="1" t="s">
        <v>1507</v>
      </c>
      <c r="R528" s="1" t="s">
        <v>1507</v>
      </c>
      <c r="S528" s="1" t="s">
        <v>1507</v>
      </c>
      <c r="T528" s="1" t="s">
        <v>1507</v>
      </c>
      <c r="U528" s="1" t="s">
        <v>8607</v>
      </c>
      <c r="V528" s="1" t="s">
        <v>8608</v>
      </c>
      <c r="W528" s="1" t="s">
        <v>8609</v>
      </c>
      <c r="X528" s="1" t="s">
        <v>8610</v>
      </c>
      <c r="Y528" s="1" t="s">
        <v>15741</v>
      </c>
      <c r="Z528" s="1" t="s">
        <v>8611</v>
      </c>
      <c r="AA528" s="1" t="s">
        <v>8612</v>
      </c>
      <c r="AB528" s="1" t="s">
        <v>1507</v>
      </c>
      <c r="AC528" s="1" t="s">
        <v>8613</v>
      </c>
      <c r="AD528" s="1" t="s">
        <v>8614</v>
      </c>
      <c r="AE528" s="1" t="s">
        <v>8615</v>
      </c>
      <c r="AF528" s="1" t="s">
        <v>8616</v>
      </c>
      <c r="AG528" s="1" t="s">
        <v>1507</v>
      </c>
      <c r="AH528" s="1">
        <v>73</v>
      </c>
      <c r="AI528" s="1">
        <v>6</v>
      </c>
      <c r="AJ528" s="1">
        <v>6</v>
      </c>
      <c r="AK528" s="1">
        <v>3</v>
      </c>
      <c r="AL528" s="1">
        <v>44</v>
      </c>
      <c r="AM528" s="1" t="s">
        <v>1511</v>
      </c>
      <c r="AN528" s="1" t="s">
        <v>1512</v>
      </c>
      <c r="AO528" s="1" t="s">
        <v>1513</v>
      </c>
      <c r="AP528" s="1" t="s">
        <v>1514</v>
      </c>
      <c r="AQ528" s="1" t="s">
        <v>1515</v>
      </c>
      <c r="AR528" s="1" t="s">
        <v>1507</v>
      </c>
      <c r="AS528" s="1" t="s">
        <v>1516</v>
      </c>
      <c r="AT528" s="1" t="s">
        <v>393</v>
      </c>
      <c r="AU528" s="1" t="s">
        <v>9054</v>
      </c>
      <c r="AV528" s="1">
        <v>2023</v>
      </c>
      <c r="AW528" s="1">
        <v>42</v>
      </c>
      <c r="AX528" s="1">
        <v>6</v>
      </c>
      <c r="AY528" s="1" t="s">
        <v>1507</v>
      </c>
      <c r="AZ528" s="1" t="s">
        <v>1507</v>
      </c>
      <c r="BA528" s="1" t="s">
        <v>1507</v>
      </c>
      <c r="BB528" s="1" t="s">
        <v>1507</v>
      </c>
      <c r="BC528" s="1">
        <v>4885</v>
      </c>
      <c r="BD528" s="1">
        <v>4899</v>
      </c>
      <c r="BE528" s="1" t="s">
        <v>1507</v>
      </c>
      <c r="BF528" s="1" t="s">
        <v>8617</v>
      </c>
      <c r="BG528" s="1" t="str">
        <f>HYPERLINK("http://dx.doi.org/10.1007/s12144-021-01836-y","http://dx.doi.org/10.1007/s12144-021-01836-y")</f>
        <v>http://dx.doi.org/10.1007/s12144-021-01836-y</v>
      </c>
      <c r="BH528" s="1" t="s">
        <v>1507</v>
      </c>
      <c r="BI528" s="1" t="s">
        <v>8618</v>
      </c>
      <c r="BJ528" s="1">
        <v>15</v>
      </c>
      <c r="BK528" s="1" t="s">
        <v>1517</v>
      </c>
      <c r="BL528" s="1" t="s">
        <v>1518</v>
      </c>
      <c r="BM528" s="1" t="s">
        <v>1519</v>
      </c>
      <c r="BN528" s="1" t="s">
        <v>8619</v>
      </c>
      <c r="BO528" s="1" t="s">
        <v>1507</v>
      </c>
      <c r="BP528" s="1" t="s">
        <v>1507</v>
      </c>
      <c r="BQ528" s="1" t="s">
        <v>1507</v>
      </c>
      <c r="BR528" s="1" t="s">
        <v>1507</v>
      </c>
      <c r="BS528" s="1" t="s">
        <v>13744</v>
      </c>
      <c r="BT528" s="1" t="s">
        <v>8620</v>
      </c>
      <c r="BU528" s="1" t="str">
        <f>HYPERLINK("https%3A%2F%2Fwww.webofscience.com%2Fwos%2Fwoscc%2Ffull-record%2FWOS:000650108700002","View Full Record in Web of Science")</f>
        <v>View Full Record in Web of Science</v>
      </c>
    </row>
    <row r="529" spans="1:73" x14ac:dyDescent="0.25">
      <c r="A529" s="1">
        <v>580</v>
      </c>
      <c r="B529" s="1" t="s">
        <v>1506</v>
      </c>
      <c r="C529" s="1" t="s">
        <v>9122</v>
      </c>
      <c r="D529" s="1" t="s">
        <v>1507</v>
      </c>
      <c r="E529" s="1" t="s">
        <v>1507</v>
      </c>
      <c r="F529" s="1" t="s">
        <v>1507</v>
      </c>
      <c r="G529" s="1" t="s">
        <v>9123</v>
      </c>
      <c r="H529" s="1" t="s">
        <v>1507</v>
      </c>
      <c r="I529" s="1" t="s">
        <v>1507</v>
      </c>
      <c r="J529" s="1" t="s">
        <v>9124</v>
      </c>
      <c r="K529" s="1" t="s">
        <v>1508</v>
      </c>
      <c r="L529" s="1" t="s">
        <v>1507</v>
      </c>
      <c r="M529" s="1" t="s">
        <v>1507</v>
      </c>
      <c r="N529" s="1" t="s">
        <v>42</v>
      </c>
      <c r="O529" s="1" t="s">
        <v>56</v>
      </c>
      <c r="P529" s="1" t="s">
        <v>1507</v>
      </c>
      <c r="Q529" s="1" t="s">
        <v>1507</v>
      </c>
      <c r="R529" s="1" t="s">
        <v>1507</v>
      </c>
      <c r="S529" s="1" t="s">
        <v>1507</v>
      </c>
      <c r="T529" s="1" t="s">
        <v>1507</v>
      </c>
      <c r="U529" s="1" t="s">
        <v>9125</v>
      </c>
      <c r="V529" s="1" t="s">
        <v>9126</v>
      </c>
      <c r="W529" s="1" t="s">
        <v>9127</v>
      </c>
      <c r="X529" s="1" t="s">
        <v>9128</v>
      </c>
      <c r="Y529" s="1" t="s">
        <v>15762</v>
      </c>
      <c r="Z529" s="1" t="s">
        <v>9129</v>
      </c>
      <c r="AA529" s="1" t="s">
        <v>9130</v>
      </c>
      <c r="AB529" s="1" t="s">
        <v>1507</v>
      </c>
      <c r="AC529" s="1" t="s">
        <v>9131</v>
      </c>
      <c r="AD529" s="1" t="s">
        <v>9132</v>
      </c>
      <c r="AE529" s="1" t="s">
        <v>9133</v>
      </c>
      <c r="AF529" s="1" t="s">
        <v>9134</v>
      </c>
      <c r="AG529" s="1" t="s">
        <v>1507</v>
      </c>
      <c r="AH529" s="1">
        <v>58</v>
      </c>
      <c r="AI529" s="1">
        <v>9</v>
      </c>
      <c r="AJ529" s="1">
        <v>10</v>
      </c>
      <c r="AK529" s="1">
        <v>4</v>
      </c>
      <c r="AL529" s="1">
        <v>61</v>
      </c>
      <c r="AM529" s="1" t="s">
        <v>1511</v>
      </c>
      <c r="AN529" s="1" t="s">
        <v>1512</v>
      </c>
      <c r="AO529" s="1" t="s">
        <v>1513</v>
      </c>
      <c r="AP529" s="1" t="s">
        <v>1514</v>
      </c>
      <c r="AQ529" s="1" t="s">
        <v>1515</v>
      </c>
      <c r="AR529" s="1" t="s">
        <v>1507</v>
      </c>
      <c r="AS529" s="1" t="s">
        <v>1516</v>
      </c>
      <c r="AT529" s="1" t="s">
        <v>393</v>
      </c>
      <c r="AU529" s="1" t="s">
        <v>2771</v>
      </c>
      <c r="AV529" s="1">
        <v>2022</v>
      </c>
      <c r="AW529" s="1">
        <v>41</v>
      </c>
      <c r="AX529" s="1">
        <v>11</v>
      </c>
      <c r="AY529" s="1" t="s">
        <v>1507</v>
      </c>
      <c r="AZ529" s="1" t="s">
        <v>1507</v>
      </c>
      <c r="BA529" s="1" t="s">
        <v>1507</v>
      </c>
      <c r="BB529" s="1" t="s">
        <v>1507</v>
      </c>
      <c r="BC529" s="1">
        <v>7854</v>
      </c>
      <c r="BD529" s="1">
        <v>7866</v>
      </c>
      <c r="BE529" s="1" t="s">
        <v>1507</v>
      </c>
      <c r="BF529" s="1" t="s">
        <v>9135</v>
      </c>
      <c r="BG529" s="1" t="str">
        <f>HYPERLINK("http://dx.doi.org/10.1007/s12144-020-01230-0","http://dx.doi.org/10.1007/s12144-020-01230-0")</f>
        <v>http://dx.doi.org/10.1007/s12144-020-01230-0</v>
      </c>
      <c r="BH529" s="1" t="s">
        <v>1507</v>
      </c>
      <c r="BI529" s="1" t="s">
        <v>9118</v>
      </c>
      <c r="BJ529" s="1">
        <v>13</v>
      </c>
      <c r="BK529" s="1" t="s">
        <v>1517</v>
      </c>
      <c r="BL529" s="1" t="s">
        <v>1518</v>
      </c>
      <c r="BM529" s="1" t="s">
        <v>1519</v>
      </c>
      <c r="BN529" s="1" t="s">
        <v>9136</v>
      </c>
      <c r="BO529" s="1" t="s">
        <v>1507</v>
      </c>
      <c r="BP529" s="1" t="s">
        <v>1507</v>
      </c>
      <c r="BQ529" s="1" t="s">
        <v>1507</v>
      </c>
      <c r="BR529" s="1" t="s">
        <v>1507</v>
      </c>
      <c r="BS529" s="1" t="s">
        <v>13744</v>
      </c>
      <c r="BT529" s="1" t="s">
        <v>9137</v>
      </c>
      <c r="BU529" s="1" t="str">
        <f>HYPERLINK("https%3A%2F%2Fwww.webofscience.com%2Fwos%2Fwoscc%2Ffull-record%2FWOS:000605556200002","View Full Record in Web of Science")</f>
        <v>View Full Record in Web of Science</v>
      </c>
    </row>
    <row r="530" spans="1:73" x14ac:dyDescent="0.25">
      <c r="A530" s="1">
        <v>581</v>
      </c>
      <c r="B530" s="1" t="s">
        <v>1506</v>
      </c>
      <c r="C530" s="1" t="s">
        <v>10591</v>
      </c>
      <c r="D530" s="1" t="s">
        <v>1507</v>
      </c>
      <c r="E530" s="1" t="s">
        <v>1507</v>
      </c>
      <c r="F530" s="1" t="s">
        <v>1507</v>
      </c>
      <c r="G530" s="1" t="s">
        <v>10592</v>
      </c>
      <c r="H530" s="1" t="s">
        <v>1507</v>
      </c>
      <c r="I530" s="1" t="s">
        <v>1507</v>
      </c>
      <c r="J530" s="1" t="s">
        <v>10593</v>
      </c>
      <c r="K530" s="1" t="s">
        <v>8410</v>
      </c>
      <c r="L530" s="1" t="s">
        <v>1507</v>
      </c>
      <c r="M530" s="1" t="s">
        <v>1507</v>
      </c>
      <c r="N530" s="1" t="s">
        <v>42</v>
      </c>
      <c r="O530" s="1" t="s">
        <v>56</v>
      </c>
      <c r="P530" s="1" t="s">
        <v>1507</v>
      </c>
      <c r="Q530" s="1" t="s">
        <v>1507</v>
      </c>
      <c r="R530" s="1" t="s">
        <v>1507</v>
      </c>
      <c r="S530" s="1" t="s">
        <v>1507</v>
      </c>
      <c r="T530" s="1" t="s">
        <v>1507</v>
      </c>
      <c r="U530" s="1" t="s">
        <v>1507</v>
      </c>
      <c r="V530" s="1" t="s">
        <v>10594</v>
      </c>
      <c r="W530" s="1" t="s">
        <v>10595</v>
      </c>
      <c r="X530" s="1" t="s">
        <v>10596</v>
      </c>
      <c r="Y530" s="1" t="s">
        <v>10597</v>
      </c>
      <c r="Z530" s="1" t="s">
        <v>10598</v>
      </c>
      <c r="AA530" s="1" t="s">
        <v>10599</v>
      </c>
      <c r="AB530" s="1" t="s">
        <v>10600</v>
      </c>
      <c r="AC530" s="1" t="s">
        <v>15870</v>
      </c>
      <c r="AD530" s="1" t="s">
        <v>10601</v>
      </c>
      <c r="AE530" s="1" t="s">
        <v>10602</v>
      </c>
      <c r="AF530" s="1" t="s">
        <v>10603</v>
      </c>
      <c r="AG530" s="1" t="s">
        <v>1507</v>
      </c>
      <c r="AH530" s="1">
        <v>51</v>
      </c>
      <c r="AI530" s="1">
        <v>10</v>
      </c>
      <c r="AJ530" s="1">
        <v>14</v>
      </c>
      <c r="AK530" s="1">
        <v>0</v>
      </c>
      <c r="AL530" s="1">
        <v>6</v>
      </c>
      <c r="AM530" s="1" t="s">
        <v>7524</v>
      </c>
      <c r="AN530" s="1" t="s">
        <v>7525</v>
      </c>
      <c r="AO530" s="1" t="s">
        <v>7526</v>
      </c>
      <c r="AP530" s="1" t="s">
        <v>1507</v>
      </c>
      <c r="AQ530" s="1" t="s">
        <v>8423</v>
      </c>
      <c r="AR530" s="1" t="s">
        <v>1507</v>
      </c>
      <c r="AS530" s="1" t="s">
        <v>8424</v>
      </c>
      <c r="AT530" s="1" t="s">
        <v>8425</v>
      </c>
      <c r="AU530" s="1" t="s">
        <v>2771</v>
      </c>
      <c r="AV530" s="1">
        <v>2019</v>
      </c>
      <c r="AW530" s="1">
        <v>6</v>
      </c>
      <c r="AX530" s="1">
        <v>6</v>
      </c>
      <c r="AY530" s="1" t="s">
        <v>1507</v>
      </c>
      <c r="AZ530" s="1" t="s">
        <v>1507</v>
      </c>
      <c r="BA530" s="1" t="s">
        <v>1507</v>
      </c>
      <c r="BB530" s="1" t="s">
        <v>1507</v>
      </c>
      <c r="BC530" s="1" t="s">
        <v>1507</v>
      </c>
      <c r="BD530" s="1" t="s">
        <v>1507</v>
      </c>
      <c r="BE530" s="1">
        <v>64704</v>
      </c>
      <c r="BF530" s="1" t="s">
        <v>10604</v>
      </c>
      <c r="BG530" s="1" t="str">
        <f>HYPERLINK("http://dx.doi.org/10.1063/1.5132692","http://dx.doi.org/10.1063/1.5132692")</f>
        <v>http://dx.doi.org/10.1063/1.5132692</v>
      </c>
      <c r="BH530" s="1" t="s">
        <v>1507</v>
      </c>
      <c r="BI530" s="1" t="s">
        <v>1507</v>
      </c>
      <c r="BJ530" s="1">
        <v>11</v>
      </c>
      <c r="BK530" s="1" t="s">
        <v>7093</v>
      </c>
      <c r="BL530" s="1" t="s">
        <v>1573</v>
      </c>
      <c r="BM530" s="1" t="s">
        <v>7094</v>
      </c>
      <c r="BN530" s="1" t="s">
        <v>10605</v>
      </c>
      <c r="BO530" s="1">
        <v>31867408</v>
      </c>
      <c r="BP530" s="1" t="s">
        <v>3433</v>
      </c>
      <c r="BQ530" s="1" t="s">
        <v>1507</v>
      </c>
      <c r="BR530" s="1" t="s">
        <v>1507</v>
      </c>
      <c r="BS530" s="1" t="s">
        <v>13744</v>
      </c>
      <c r="BT530" s="1" t="s">
        <v>10607</v>
      </c>
      <c r="BU530" s="1" t="str">
        <f>HYPERLINK("https%3A%2F%2Fwww.webofscience.com%2Fwos%2Fwoscc%2Ffull-record%2FWOS:000505574600012","View Full Record in Web of Science")</f>
        <v>View Full Record in Web of Science</v>
      </c>
    </row>
    <row r="531" spans="1:73" x14ac:dyDescent="0.25">
      <c r="A531" s="1">
        <v>582</v>
      </c>
      <c r="B531" s="1" t="s">
        <v>1506</v>
      </c>
      <c r="C531" s="1" t="s">
        <v>14226</v>
      </c>
      <c r="D531" s="1" t="s">
        <v>1507</v>
      </c>
      <c r="E531" s="1" t="s">
        <v>1507</v>
      </c>
      <c r="F531" s="1" t="s">
        <v>1507</v>
      </c>
      <c r="G531" s="1" t="s">
        <v>14227</v>
      </c>
      <c r="H531" s="1" t="s">
        <v>1507</v>
      </c>
      <c r="I531" s="1" t="s">
        <v>1507</v>
      </c>
      <c r="J531" s="1" t="s">
        <v>14228</v>
      </c>
      <c r="K531" s="1" t="s">
        <v>1760</v>
      </c>
      <c r="L531" s="1" t="s">
        <v>1507</v>
      </c>
      <c r="M531" s="1" t="s">
        <v>1507</v>
      </c>
      <c r="N531" s="1" t="s">
        <v>42</v>
      </c>
      <c r="O531" s="1" t="s">
        <v>56</v>
      </c>
      <c r="P531" s="1" t="s">
        <v>1507</v>
      </c>
      <c r="Q531" s="1" t="s">
        <v>1507</v>
      </c>
      <c r="R531" s="1" t="s">
        <v>1507</v>
      </c>
      <c r="S531" s="1" t="s">
        <v>1507</v>
      </c>
      <c r="T531" s="1" t="s">
        <v>1507</v>
      </c>
      <c r="U531" s="1" t="s">
        <v>1507</v>
      </c>
      <c r="V531" s="1" t="s">
        <v>14229</v>
      </c>
      <c r="W531" s="1" t="s">
        <v>14230</v>
      </c>
      <c r="X531" s="1" t="s">
        <v>14231</v>
      </c>
      <c r="Y531" s="1" t="s">
        <v>14232</v>
      </c>
      <c r="Z531" s="1" t="s">
        <v>14233</v>
      </c>
      <c r="AA531" s="1" t="s">
        <v>14234</v>
      </c>
      <c r="AB531" s="1" t="s">
        <v>14235</v>
      </c>
      <c r="AC531" s="1" t="s">
        <v>14236</v>
      </c>
      <c r="AD531" s="1" t="s">
        <v>14237</v>
      </c>
      <c r="AE531" s="1" t="s">
        <v>14238</v>
      </c>
      <c r="AF531" s="1" t="s">
        <v>14239</v>
      </c>
      <c r="AG531" s="1" t="s">
        <v>1507</v>
      </c>
      <c r="AH531" s="1">
        <v>65</v>
      </c>
      <c r="AI531" s="1">
        <v>13</v>
      </c>
      <c r="AJ531" s="1">
        <v>13</v>
      </c>
      <c r="AK531" s="1">
        <v>16</v>
      </c>
      <c r="AL531" s="1">
        <v>16</v>
      </c>
      <c r="AM531" s="1" t="s">
        <v>1591</v>
      </c>
      <c r="AN531" s="1" t="s">
        <v>1592</v>
      </c>
      <c r="AO531" s="1" t="s">
        <v>1593</v>
      </c>
      <c r="AP531" s="1" t="s">
        <v>1770</v>
      </c>
      <c r="AQ531" s="1" t="s">
        <v>1771</v>
      </c>
      <c r="AR531" s="1" t="s">
        <v>1507</v>
      </c>
      <c r="AS531" s="1" t="s">
        <v>1760</v>
      </c>
      <c r="AT531" s="1" t="s">
        <v>1772</v>
      </c>
      <c r="AU531" s="1" t="s">
        <v>12098</v>
      </c>
      <c r="AV531" s="1">
        <v>2023</v>
      </c>
      <c r="AW531" s="1">
        <v>622</v>
      </c>
      <c r="AX531" s="1">
        <v>7984</v>
      </c>
      <c r="AY531" s="1" t="s">
        <v>1507</v>
      </c>
      <c r="AZ531" s="1" t="s">
        <v>1507</v>
      </c>
      <c r="BA531" s="1" t="s">
        <v>1507</v>
      </c>
      <c r="BB531" s="1" t="s">
        <v>1507</v>
      </c>
      <c r="BC531" s="1">
        <v>810</v>
      </c>
      <c r="BD531" s="1" t="s">
        <v>1774</v>
      </c>
      <c r="BE531" s="1" t="s">
        <v>1507</v>
      </c>
      <c r="BF531" s="1" t="s">
        <v>14240</v>
      </c>
      <c r="BG531" s="1" t="str">
        <f>HYPERLINK("http://dx.doi.org/10.1038/s41586-023-06631-2","http://dx.doi.org/10.1038/s41586-023-06631-2")</f>
        <v>http://dx.doi.org/10.1038/s41586-023-06631-2</v>
      </c>
      <c r="BH531" s="1" t="s">
        <v>1507</v>
      </c>
      <c r="BI531" s="1" t="s">
        <v>1507</v>
      </c>
      <c r="BJ531" s="1">
        <v>23</v>
      </c>
      <c r="BK531" s="1" t="s">
        <v>1776</v>
      </c>
      <c r="BL531" s="1" t="s">
        <v>1573</v>
      </c>
      <c r="BM531" s="1" t="s">
        <v>1777</v>
      </c>
      <c r="BN531" s="1" t="s">
        <v>14241</v>
      </c>
      <c r="BO531" s="1">
        <v>37853121</v>
      </c>
      <c r="BP531" s="1" t="s">
        <v>1600</v>
      </c>
      <c r="BQ531" s="1" t="s">
        <v>1507</v>
      </c>
      <c r="BR531" s="1" t="s">
        <v>1507</v>
      </c>
      <c r="BS531" s="1" t="s">
        <v>13744</v>
      </c>
      <c r="BT531" s="1" t="s">
        <v>14242</v>
      </c>
      <c r="BU531" s="1" t="str">
        <f>HYPERLINK("https%3A%2F%2Fwww.webofscience.com%2Fwos%2Fwoscc%2Ffull-record%2FWOS:001169105200017","View Full Record in Web of Science")</f>
        <v>View Full Record in Web of Science</v>
      </c>
    </row>
    <row r="532" spans="1:73" x14ac:dyDescent="0.25">
      <c r="A532" s="1">
        <v>583</v>
      </c>
      <c r="B532" s="1" t="s">
        <v>1506</v>
      </c>
      <c r="C532" s="1" t="s">
        <v>7019</v>
      </c>
      <c r="D532" s="1" t="s">
        <v>1507</v>
      </c>
      <c r="E532" s="1" t="s">
        <v>1507</v>
      </c>
      <c r="F532" s="1" t="s">
        <v>1507</v>
      </c>
      <c r="G532" s="1" t="s">
        <v>7020</v>
      </c>
      <c r="H532" s="1" t="s">
        <v>1507</v>
      </c>
      <c r="I532" s="1" t="s">
        <v>1507</v>
      </c>
      <c r="J532" s="1" t="s">
        <v>7021</v>
      </c>
      <c r="K532" s="1" t="s">
        <v>7022</v>
      </c>
      <c r="L532" s="1" t="s">
        <v>1507</v>
      </c>
      <c r="M532" s="1" t="s">
        <v>1507</v>
      </c>
      <c r="N532" s="1" t="s">
        <v>42</v>
      </c>
      <c r="O532" s="1" t="s">
        <v>56</v>
      </c>
      <c r="P532" s="1" t="s">
        <v>1507</v>
      </c>
      <c r="Q532" s="1" t="s">
        <v>1507</v>
      </c>
      <c r="R532" s="1" t="s">
        <v>1507</v>
      </c>
      <c r="S532" s="1" t="s">
        <v>1507</v>
      </c>
      <c r="T532" s="1" t="s">
        <v>1507</v>
      </c>
      <c r="U532" s="1" t="s">
        <v>7023</v>
      </c>
      <c r="V532" s="1" t="s">
        <v>7024</v>
      </c>
      <c r="W532" s="1" t="s">
        <v>7025</v>
      </c>
      <c r="X532" s="1" t="s">
        <v>7026</v>
      </c>
      <c r="Y532" s="1" t="s">
        <v>15594</v>
      </c>
      <c r="Z532" s="1" t="s">
        <v>7027</v>
      </c>
      <c r="AA532" s="1" t="s">
        <v>7028</v>
      </c>
      <c r="AB532" s="1" t="s">
        <v>15595</v>
      </c>
      <c r="AC532" s="1" t="s">
        <v>15596</v>
      </c>
      <c r="AD532" s="1" t="s">
        <v>7029</v>
      </c>
      <c r="AE532" s="1" t="s">
        <v>7030</v>
      </c>
      <c r="AF532" s="1" t="s">
        <v>7031</v>
      </c>
      <c r="AG532" s="1" t="s">
        <v>1507</v>
      </c>
      <c r="AH532" s="1">
        <v>93</v>
      </c>
      <c r="AI532" s="1">
        <v>11</v>
      </c>
      <c r="AJ532" s="1">
        <v>12</v>
      </c>
      <c r="AK532" s="1">
        <v>46</v>
      </c>
      <c r="AL532" s="1">
        <v>136</v>
      </c>
      <c r="AM532" s="1" t="s">
        <v>1900</v>
      </c>
      <c r="AN532" s="1" t="s">
        <v>1583</v>
      </c>
      <c r="AO532" s="1" t="s">
        <v>1901</v>
      </c>
      <c r="AP532" s="1" t="s">
        <v>7032</v>
      </c>
      <c r="AQ532" s="1" t="s">
        <v>7033</v>
      </c>
      <c r="AR532" s="1" t="s">
        <v>1507</v>
      </c>
      <c r="AS532" s="1" t="s">
        <v>7034</v>
      </c>
      <c r="AT532" s="1" t="s">
        <v>7035</v>
      </c>
      <c r="AU532" s="1" t="s">
        <v>2889</v>
      </c>
      <c r="AV532" s="1">
        <v>2022</v>
      </c>
      <c r="AW532" s="1">
        <v>168</v>
      </c>
      <c r="AX532" s="1" t="s">
        <v>1507</v>
      </c>
      <c r="AY532" s="1" t="s">
        <v>1507</v>
      </c>
      <c r="AZ532" s="1" t="s">
        <v>1507</v>
      </c>
      <c r="BA532" s="1" t="s">
        <v>1507</v>
      </c>
      <c r="BB532" s="1" t="s">
        <v>1507</v>
      </c>
      <c r="BC532" s="1" t="s">
        <v>1507</v>
      </c>
      <c r="BD532" s="1" t="s">
        <v>1507</v>
      </c>
      <c r="BE532" s="1">
        <v>107484</v>
      </c>
      <c r="BF532" s="1" t="s">
        <v>7036</v>
      </c>
      <c r="BG532" s="1" t="str">
        <f>HYPERLINK("http://dx.doi.org/10.1016/j.envint.2022.107484","http://dx.doi.org/10.1016/j.envint.2022.107484")</f>
        <v>http://dx.doi.org/10.1016/j.envint.2022.107484</v>
      </c>
      <c r="BH532" s="1" t="s">
        <v>1507</v>
      </c>
      <c r="BI532" s="1" t="s">
        <v>7037</v>
      </c>
      <c r="BJ532" s="1">
        <v>11</v>
      </c>
      <c r="BK532" s="1" t="s">
        <v>7038</v>
      </c>
      <c r="BL532" s="1" t="s">
        <v>1573</v>
      </c>
      <c r="BM532" s="1" t="s">
        <v>1839</v>
      </c>
      <c r="BN532" s="1" t="s">
        <v>7039</v>
      </c>
      <c r="BO532" s="1">
        <v>36049376</v>
      </c>
      <c r="BP532" s="1" t="s">
        <v>1531</v>
      </c>
      <c r="BQ532" s="1" t="s">
        <v>1507</v>
      </c>
      <c r="BR532" s="1" t="s">
        <v>1507</v>
      </c>
      <c r="BS532" s="1" t="s">
        <v>13744</v>
      </c>
      <c r="BT532" s="1" t="s">
        <v>7040</v>
      </c>
      <c r="BU532" s="1" t="str">
        <f>HYPERLINK("https%3A%2F%2Fwww.webofscience.com%2Fwos%2Fwoscc%2Ffull-record%2FWOS:000855696200004","View Full Record in Web of Science")</f>
        <v>View Full Record in Web of Science</v>
      </c>
    </row>
    <row r="533" spans="1:73" x14ac:dyDescent="0.25">
      <c r="A533" s="1">
        <v>584</v>
      </c>
      <c r="B533" s="1" t="s">
        <v>1506</v>
      </c>
      <c r="C533" s="1" t="s">
        <v>11195</v>
      </c>
      <c r="D533" s="1" t="s">
        <v>1507</v>
      </c>
      <c r="E533" s="1" t="s">
        <v>1507</v>
      </c>
      <c r="F533" s="1" t="s">
        <v>1507</v>
      </c>
      <c r="G533" s="1" t="s">
        <v>11196</v>
      </c>
      <c r="H533" s="1" t="s">
        <v>1507</v>
      </c>
      <c r="I533" s="1" t="s">
        <v>1507</v>
      </c>
      <c r="J533" s="1" t="s">
        <v>11197</v>
      </c>
      <c r="K533" s="1" t="s">
        <v>7563</v>
      </c>
      <c r="L533" s="1" t="s">
        <v>1507</v>
      </c>
      <c r="M533" s="1" t="s">
        <v>1507</v>
      </c>
      <c r="N533" s="1" t="s">
        <v>42</v>
      </c>
      <c r="O533" s="1" t="s">
        <v>56</v>
      </c>
      <c r="P533" s="1" t="s">
        <v>1507</v>
      </c>
      <c r="Q533" s="1" t="s">
        <v>1507</v>
      </c>
      <c r="R533" s="1" t="s">
        <v>1507</v>
      </c>
      <c r="S533" s="1" t="s">
        <v>1507</v>
      </c>
      <c r="T533" s="1" t="s">
        <v>1507</v>
      </c>
      <c r="U533" s="1" t="s">
        <v>1507</v>
      </c>
      <c r="V533" s="1" t="s">
        <v>11198</v>
      </c>
      <c r="W533" s="1" t="s">
        <v>11199</v>
      </c>
      <c r="X533" s="1" t="s">
        <v>11200</v>
      </c>
      <c r="Y533" s="1" t="s">
        <v>11201</v>
      </c>
      <c r="Z533" s="1" t="s">
        <v>11202</v>
      </c>
      <c r="AA533" s="1" t="s">
        <v>8073</v>
      </c>
      <c r="AB533" s="1" t="s">
        <v>15939</v>
      </c>
      <c r="AC533" s="1" t="s">
        <v>15940</v>
      </c>
      <c r="AD533" s="1" t="s">
        <v>11203</v>
      </c>
      <c r="AE533" s="1" t="s">
        <v>11204</v>
      </c>
      <c r="AF533" s="1" t="s">
        <v>11205</v>
      </c>
      <c r="AG533" s="1" t="s">
        <v>1507</v>
      </c>
      <c r="AH533" s="1">
        <v>70</v>
      </c>
      <c r="AI533" s="1">
        <v>57</v>
      </c>
      <c r="AJ533" s="1">
        <v>68</v>
      </c>
      <c r="AK533" s="1">
        <v>1</v>
      </c>
      <c r="AL533" s="1">
        <v>20</v>
      </c>
      <c r="AM533" s="1" t="s">
        <v>10620</v>
      </c>
      <c r="AN533" s="1" t="s">
        <v>1551</v>
      </c>
      <c r="AO533" s="1" t="s">
        <v>10621</v>
      </c>
      <c r="AP533" s="1" t="s">
        <v>7572</v>
      </c>
      <c r="AQ533" s="1" t="s">
        <v>1507</v>
      </c>
      <c r="AR533" s="1" t="s">
        <v>1507</v>
      </c>
      <c r="AS533" s="1" t="s">
        <v>7573</v>
      </c>
      <c r="AT533" s="1" t="s">
        <v>7574</v>
      </c>
      <c r="AU533" s="1" t="s">
        <v>1569</v>
      </c>
      <c r="AV533" s="1">
        <v>2019</v>
      </c>
      <c r="AW533" s="1">
        <v>10</v>
      </c>
      <c r="AX533" s="1" t="s">
        <v>1507</v>
      </c>
      <c r="AY533" s="1" t="s">
        <v>1507</v>
      </c>
      <c r="AZ533" s="1" t="s">
        <v>1507</v>
      </c>
      <c r="BA533" s="1" t="s">
        <v>1507</v>
      </c>
      <c r="BB533" s="1" t="s">
        <v>1507</v>
      </c>
      <c r="BC533" s="1" t="s">
        <v>1507</v>
      </c>
      <c r="BD533" s="1" t="s">
        <v>1507</v>
      </c>
      <c r="BE533" s="1">
        <v>335</v>
      </c>
      <c r="BF533" s="1" t="s">
        <v>11206</v>
      </c>
      <c r="BG533" s="1" t="str">
        <f>HYPERLINK("http://dx.doi.org/10.1038/s41467-018-08245-z","http://dx.doi.org/10.1038/s41467-018-08245-z")</f>
        <v>http://dx.doi.org/10.1038/s41467-018-08245-z</v>
      </c>
      <c r="BH533" s="1" t="s">
        <v>1507</v>
      </c>
      <c r="BI533" s="1" t="s">
        <v>1507</v>
      </c>
      <c r="BJ533" s="1">
        <v>14</v>
      </c>
      <c r="BK533" s="1" t="s">
        <v>1776</v>
      </c>
      <c r="BL533" s="1" t="s">
        <v>1573</v>
      </c>
      <c r="BM533" s="1" t="s">
        <v>1777</v>
      </c>
      <c r="BN533" s="1" t="s">
        <v>11207</v>
      </c>
      <c r="BO533" s="1">
        <v>30659195</v>
      </c>
      <c r="BP533" s="1" t="s">
        <v>1674</v>
      </c>
      <c r="BQ533" s="1" t="s">
        <v>1507</v>
      </c>
      <c r="BR533" s="1" t="s">
        <v>1507</v>
      </c>
      <c r="BS533" s="1" t="s">
        <v>13744</v>
      </c>
      <c r="BT533" s="1" t="s">
        <v>11208</v>
      </c>
      <c r="BU533" s="1" t="str">
        <f>HYPERLINK("https%3A%2F%2Fwww.webofscience.com%2Fwos%2Fwoscc%2Ffull-record%2FWOS:000456012000007","View Full Record in Web of Science")</f>
        <v>View Full Record in Web of Science</v>
      </c>
    </row>
    <row r="534" spans="1:73" x14ac:dyDescent="0.25">
      <c r="A534" s="1">
        <v>585</v>
      </c>
      <c r="B534" s="1" t="s">
        <v>5546</v>
      </c>
      <c r="C534" s="1" t="s">
        <v>6554</v>
      </c>
      <c r="D534" s="1" t="s">
        <v>1507</v>
      </c>
      <c r="E534" s="1" t="s">
        <v>1507</v>
      </c>
      <c r="F534" s="1" t="s">
        <v>5628</v>
      </c>
      <c r="G534" s="1" t="s">
        <v>6555</v>
      </c>
      <c r="H534" s="1" t="s">
        <v>1507</v>
      </c>
      <c r="I534" s="1" t="s">
        <v>1507</v>
      </c>
      <c r="J534" s="1" t="s">
        <v>6556</v>
      </c>
      <c r="K534" s="1" t="s">
        <v>6557</v>
      </c>
      <c r="L534" s="1" t="s">
        <v>6558</v>
      </c>
      <c r="M534" s="1" t="s">
        <v>1507</v>
      </c>
      <c r="N534" s="1" t="s">
        <v>42</v>
      </c>
      <c r="O534" s="1" t="s">
        <v>5552</v>
      </c>
      <c r="P534" s="1" t="s">
        <v>6559</v>
      </c>
      <c r="Q534" s="1" t="s">
        <v>6560</v>
      </c>
      <c r="R534" s="1" t="s">
        <v>6561</v>
      </c>
      <c r="S534" s="1" t="s">
        <v>6562</v>
      </c>
      <c r="T534" s="1" t="s">
        <v>1507</v>
      </c>
      <c r="U534" s="1" t="s">
        <v>6563</v>
      </c>
      <c r="V534" s="1" t="s">
        <v>6564</v>
      </c>
      <c r="W534" s="1" t="s">
        <v>6565</v>
      </c>
      <c r="X534" s="1" t="s">
        <v>6566</v>
      </c>
      <c r="Y534" s="1" t="s">
        <v>15489</v>
      </c>
      <c r="Z534" s="1" t="s">
        <v>6567</v>
      </c>
      <c r="AA534" s="1" t="s">
        <v>6568</v>
      </c>
      <c r="AB534" s="1" t="s">
        <v>1507</v>
      </c>
      <c r="AC534" s="1" t="s">
        <v>1507</v>
      </c>
      <c r="AD534" s="1" t="s">
        <v>6569</v>
      </c>
      <c r="AE534" s="1" t="s">
        <v>6570</v>
      </c>
      <c r="AF534" s="1" t="s">
        <v>6571</v>
      </c>
      <c r="AG534" s="1" t="s">
        <v>1507</v>
      </c>
      <c r="AH534" s="1">
        <v>35</v>
      </c>
      <c r="AI534" s="1">
        <v>0</v>
      </c>
      <c r="AJ534" s="1">
        <v>0</v>
      </c>
      <c r="AK534" s="1">
        <v>2</v>
      </c>
      <c r="AL534" s="1">
        <v>2</v>
      </c>
      <c r="AM534" s="1" t="s">
        <v>5628</v>
      </c>
      <c r="AN534" s="1" t="s">
        <v>1512</v>
      </c>
      <c r="AO534" s="1" t="s">
        <v>6457</v>
      </c>
      <c r="AP534" s="1" t="s">
        <v>6572</v>
      </c>
      <c r="AQ534" s="1" t="s">
        <v>1507</v>
      </c>
      <c r="AR534" s="1" t="s">
        <v>6573</v>
      </c>
      <c r="AS534" s="1" t="s">
        <v>6574</v>
      </c>
      <c r="AT534" s="1" t="s">
        <v>1507</v>
      </c>
      <c r="AU534" s="1" t="s">
        <v>1507</v>
      </c>
      <c r="AV534" s="1">
        <v>2023</v>
      </c>
      <c r="AW534" s="1" t="s">
        <v>1507</v>
      </c>
      <c r="AX534" s="1" t="s">
        <v>1507</v>
      </c>
      <c r="AY534" s="1" t="s">
        <v>1507</v>
      </c>
      <c r="AZ534" s="1" t="s">
        <v>1507</v>
      </c>
      <c r="BA534" s="1" t="s">
        <v>1507</v>
      </c>
      <c r="BB534" s="1" t="s">
        <v>1507</v>
      </c>
      <c r="BC534" s="1" t="s">
        <v>1507</v>
      </c>
      <c r="BD534" s="1" t="s">
        <v>1507</v>
      </c>
      <c r="BE534" s="1" t="s">
        <v>1507</v>
      </c>
      <c r="BF534" s="1" t="s">
        <v>6575</v>
      </c>
      <c r="BG534" s="1" t="str">
        <f>HYPERLINK("http://dx.doi.org/10.1109/VTC2023-Fall60731.2023.10333403","http://dx.doi.org/10.1109/VTC2023-Fall60731.2023.10333403")</f>
        <v>http://dx.doi.org/10.1109/VTC2023-Fall60731.2023.10333403</v>
      </c>
      <c r="BH534" s="1" t="s">
        <v>1507</v>
      </c>
      <c r="BI534" s="1" t="s">
        <v>1507</v>
      </c>
      <c r="BJ534" s="1">
        <v>6</v>
      </c>
      <c r="BK534" s="1" t="s">
        <v>6576</v>
      </c>
      <c r="BL534" s="1" t="s">
        <v>5570</v>
      </c>
      <c r="BM534" s="1" t="s">
        <v>1908</v>
      </c>
      <c r="BN534" s="1" t="s">
        <v>6577</v>
      </c>
      <c r="BO534" s="1" t="s">
        <v>1507</v>
      </c>
      <c r="BP534" s="1" t="s">
        <v>1507</v>
      </c>
      <c r="BQ534" s="1" t="s">
        <v>1507</v>
      </c>
      <c r="BR534" s="1" t="s">
        <v>1507</v>
      </c>
      <c r="BS534" s="1" t="s">
        <v>13744</v>
      </c>
      <c r="BT534" s="1" t="s">
        <v>6578</v>
      </c>
      <c r="BU534" s="1" t="str">
        <f>HYPERLINK("https%3A%2F%2Fwww.webofscience.com%2Fwos%2Fwoscc%2Ffull-record%2FWOS:001133762500051","View Full Record in Web of Science")</f>
        <v>View Full Record in Web of Science</v>
      </c>
    </row>
    <row r="535" spans="1:73" x14ac:dyDescent="0.25">
      <c r="A535" s="1">
        <v>586</v>
      </c>
      <c r="B535" s="1" t="s">
        <v>1506</v>
      </c>
      <c r="C535" s="1" t="s">
        <v>8472</v>
      </c>
      <c r="D535" s="1" t="s">
        <v>1507</v>
      </c>
      <c r="E535" s="1" t="s">
        <v>1507</v>
      </c>
      <c r="F535" s="1" t="s">
        <v>1507</v>
      </c>
      <c r="G535" s="1" t="s">
        <v>8473</v>
      </c>
      <c r="H535" s="1" t="s">
        <v>1507</v>
      </c>
      <c r="I535" s="1" t="s">
        <v>1507</v>
      </c>
      <c r="J535" s="1" t="s">
        <v>8474</v>
      </c>
      <c r="K535" s="1" t="s">
        <v>7141</v>
      </c>
      <c r="L535" s="1" t="s">
        <v>1507</v>
      </c>
      <c r="M535" s="1" t="s">
        <v>1507</v>
      </c>
      <c r="N535" s="1" t="s">
        <v>42</v>
      </c>
      <c r="O535" s="1" t="s">
        <v>56</v>
      </c>
      <c r="P535" s="1" t="s">
        <v>1507</v>
      </c>
      <c r="Q535" s="1" t="s">
        <v>1507</v>
      </c>
      <c r="R535" s="1" t="s">
        <v>1507</v>
      </c>
      <c r="S535" s="1" t="s">
        <v>1507</v>
      </c>
      <c r="T535" s="1" t="s">
        <v>1507</v>
      </c>
      <c r="U535" s="1" t="s">
        <v>8475</v>
      </c>
      <c r="V535" s="1" t="s">
        <v>8476</v>
      </c>
      <c r="W535" s="1" t="s">
        <v>8477</v>
      </c>
      <c r="X535" s="1" t="s">
        <v>8478</v>
      </c>
      <c r="Y535" s="1" t="s">
        <v>7146</v>
      </c>
      <c r="Z535" s="1" t="s">
        <v>8479</v>
      </c>
      <c r="AA535" s="1" t="s">
        <v>8480</v>
      </c>
      <c r="AB535" s="1" t="s">
        <v>15733</v>
      </c>
      <c r="AC535" s="1" t="s">
        <v>8481</v>
      </c>
      <c r="AD535" s="1" t="s">
        <v>8482</v>
      </c>
      <c r="AE535" s="1" t="s">
        <v>8483</v>
      </c>
      <c r="AF535" s="1" t="s">
        <v>8484</v>
      </c>
      <c r="AG535" s="1" t="s">
        <v>1507</v>
      </c>
      <c r="AH535" s="1">
        <v>27</v>
      </c>
      <c r="AI535" s="1">
        <v>45</v>
      </c>
      <c r="AJ535" s="1">
        <v>48</v>
      </c>
      <c r="AK535" s="1">
        <v>2</v>
      </c>
      <c r="AL535" s="1">
        <v>55</v>
      </c>
      <c r="AM535" s="1" t="s">
        <v>1579</v>
      </c>
      <c r="AN535" s="1" t="s">
        <v>1580</v>
      </c>
      <c r="AO535" s="1" t="s">
        <v>8485</v>
      </c>
      <c r="AP535" s="1" t="s">
        <v>7151</v>
      </c>
      <c r="AQ535" s="1" t="s">
        <v>7152</v>
      </c>
      <c r="AR535" s="1" t="s">
        <v>1507</v>
      </c>
      <c r="AS535" s="1" t="s">
        <v>7153</v>
      </c>
      <c r="AT535" s="1" t="s">
        <v>7154</v>
      </c>
      <c r="AU535" s="1" t="s">
        <v>3269</v>
      </c>
      <c r="AV535" s="1">
        <v>2021</v>
      </c>
      <c r="AW535" s="1">
        <v>790</v>
      </c>
      <c r="AX535" s="1" t="s">
        <v>1507</v>
      </c>
      <c r="AY535" s="1" t="s">
        <v>1507</v>
      </c>
      <c r="AZ535" s="1" t="s">
        <v>1507</v>
      </c>
      <c r="BA535" s="1" t="s">
        <v>1507</v>
      </c>
      <c r="BB535" s="1" t="s">
        <v>1507</v>
      </c>
      <c r="BC535" s="1" t="s">
        <v>1507</v>
      </c>
      <c r="BD535" s="1" t="s">
        <v>1507</v>
      </c>
      <c r="BE535" s="1">
        <v>148000</v>
      </c>
      <c r="BF535" s="1" t="s">
        <v>8486</v>
      </c>
      <c r="BG535" s="1" t="str">
        <f>HYPERLINK("http://dx.doi.org/10.1016/j.scitotenv.2021.148000","http://dx.doi.org/10.1016/j.scitotenv.2021.148000")</f>
        <v>http://dx.doi.org/10.1016/j.scitotenv.2021.148000</v>
      </c>
      <c r="BH535" s="1" t="s">
        <v>1507</v>
      </c>
      <c r="BI535" s="1" t="s">
        <v>8441</v>
      </c>
      <c r="BJ535" s="1">
        <v>7</v>
      </c>
      <c r="BK535" s="1" t="s">
        <v>7038</v>
      </c>
      <c r="BL535" s="1" t="s">
        <v>1573</v>
      </c>
      <c r="BM535" s="1" t="s">
        <v>1839</v>
      </c>
      <c r="BN535" s="1" t="s">
        <v>8487</v>
      </c>
      <c r="BO535" s="1">
        <v>34091338</v>
      </c>
      <c r="BP535" s="1" t="s">
        <v>5071</v>
      </c>
      <c r="BQ535" s="1" t="s">
        <v>1507</v>
      </c>
      <c r="BR535" s="1" t="s">
        <v>1507</v>
      </c>
      <c r="BS535" s="1" t="s">
        <v>13744</v>
      </c>
      <c r="BT535" s="1" t="s">
        <v>8489</v>
      </c>
      <c r="BU535" s="1" t="str">
        <f>HYPERLINK("https%3A%2F%2Fwww.webofscience.com%2Fwos%2Fwoscc%2Ffull-record%2FWOS:000684999300010","View Full Record in Web of Science")</f>
        <v>View Full Record in Web of Science</v>
      </c>
    </row>
    <row r="536" spans="1:73" x14ac:dyDescent="0.25">
      <c r="A536" s="1">
        <v>587</v>
      </c>
      <c r="B536" s="1" t="s">
        <v>1506</v>
      </c>
      <c r="C536" s="1" t="s">
        <v>8301</v>
      </c>
      <c r="D536" s="1" t="s">
        <v>1507</v>
      </c>
      <c r="E536" s="1" t="s">
        <v>1507</v>
      </c>
      <c r="F536" s="1" t="s">
        <v>1507</v>
      </c>
      <c r="G536" s="1" t="s">
        <v>8302</v>
      </c>
      <c r="H536" s="1" t="s">
        <v>1507</v>
      </c>
      <c r="I536" s="1" t="s">
        <v>1507</v>
      </c>
      <c r="J536" s="1" t="s">
        <v>8303</v>
      </c>
      <c r="K536" s="1" t="s">
        <v>8304</v>
      </c>
      <c r="L536" s="1" t="s">
        <v>1507</v>
      </c>
      <c r="M536" s="1" t="s">
        <v>1507</v>
      </c>
      <c r="N536" s="1" t="s">
        <v>42</v>
      </c>
      <c r="O536" s="1" t="s">
        <v>56</v>
      </c>
      <c r="P536" s="1" t="s">
        <v>1507</v>
      </c>
      <c r="Q536" s="1" t="s">
        <v>1507</v>
      </c>
      <c r="R536" s="1" t="s">
        <v>1507</v>
      </c>
      <c r="S536" s="1" t="s">
        <v>1507</v>
      </c>
      <c r="T536" s="1" t="s">
        <v>1507</v>
      </c>
      <c r="U536" s="1" t="s">
        <v>1507</v>
      </c>
      <c r="V536" s="1" t="s">
        <v>8305</v>
      </c>
      <c r="W536" s="1" t="s">
        <v>8306</v>
      </c>
      <c r="X536" s="1" t="s">
        <v>8307</v>
      </c>
      <c r="Y536" s="1" t="s">
        <v>8308</v>
      </c>
      <c r="Z536" s="1" t="s">
        <v>8309</v>
      </c>
      <c r="AA536" s="1" t="s">
        <v>8310</v>
      </c>
      <c r="AB536" s="1" t="s">
        <v>15716</v>
      </c>
      <c r="AC536" s="1" t="s">
        <v>15717</v>
      </c>
      <c r="AD536" s="1" t="s">
        <v>8311</v>
      </c>
      <c r="AE536" s="1" t="s">
        <v>8312</v>
      </c>
      <c r="AF536" s="1" t="s">
        <v>8313</v>
      </c>
      <c r="AG536" s="1" t="s">
        <v>1507</v>
      </c>
      <c r="AH536" s="1">
        <v>69</v>
      </c>
      <c r="AI536" s="1">
        <v>5</v>
      </c>
      <c r="AJ536" s="1">
        <v>5</v>
      </c>
      <c r="AK536" s="1">
        <v>2</v>
      </c>
      <c r="AL536" s="1">
        <v>2</v>
      </c>
      <c r="AM536" s="1" t="s">
        <v>1582</v>
      </c>
      <c r="AN536" s="1" t="s">
        <v>1583</v>
      </c>
      <c r="AO536" s="1" t="s">
        <v>1584</v>
      </c>
      <c r="AP536" s="1" t="s">
        <v>8314</v>
      </c>
      <c r="AQ536" s="1" t="s">
        <v>8315</v>
      </c>
      <c r="AR536" s="1" t="s">
        <v>1507</v>
      </c>
      <c r="AS536" s="1" t="s">
        <v>8316</v>
      </c>
      <c r="AT536" s="1" t="s">
        <v>8317</v>
      </c>
      <c r="AU536" s="1" t="s">
        <v>15718</v>
      </c>
      <c r="AV536" s="1">
        <v>2021</v>
      </c>
      <c r="AW536" s="1">
        <v>49</v>
      </c>
      <c r="AX536" s="1">
        <v>15</v>
      </c>
      <c r="AY536" s="1" t="s">
        <v>1507</v>
      </c>
      <c r="AZ536" s="1" t="s">
        <v>1507</v>
      </c>
      <c r="BA536" s="1" t="s">
        <v>1507</v>
      </c>
      <c r="BB536" s="1" t="s">
        <v>1507</v>
      </c>
      <c r="BC536" s="1">
        <v>8796</v>
      </c>
      <c r="BD536" s="1">
        <v>8810</v>
      </c>
      <c r="BE536" s="1" t="s">
        <v>1507</v>
      </c>
      <c r="BF536" s="1" t="s">
        <v>8318</v>
      </c>
      <c r="BG536" s="1" t="str">
        <f>HYPERLINK("http://dx.doi.org/10.1093/nar/gkab660","http://dx.doi.org/10.1093/nar/gkab660")</f>
        <v>http://dx.doi.org/10.1093/nar/gkab660</v>
      </c>
      <c r="BH536" s="1" t="s">
        <v>1507</v>
      </c>
      <c r="BI536" s="1" t="s">
        <v>8271</v>
      </c>
      <c r="BJ536" s="1">
        <v>15</v>
      </c>
      <c r="BK536" s="1" t="s">
        <v>4290</v>
      </c>
      <c r="BL536" s="1" t="s">
        <v>1573</v>
      </c>
      <c r="BM536" s="1" t="s">
        <v>4290</v>
      </c>
      <c r="BN536" s="1" t="s">
        <v>8319</v>
      </c>
      <c r="BO536" s="1">
        <v>34379778</v>
      </c>
      <c r="BP536" s="1" t="s">
        <v>1952</v>
      </c>
      <c r="BQ536" s="1" t="s">
        <v>1507</v>
      </c>
      <c r="BR536" s="1" t="s">
        <v>1507</v>
      </c>
      <c r="BS536" s="1" t="s">
        <v>13744</v>
      </c>
      <c r="BT536" s="1" t="s">
        <v>8320</v>
      </c>
      <c r="BU536" s="1" t="str">
        <f>HYPERLINK("https%3A%2F%2Fwww.webofscience.com%2Fwos%2Fwoscc%2Ffull-record%2FWOS:000697383500032","View Full Record in Web of Science")</f>
        <v>View Full Record in Web of Science</v>
      </c>
    </row>
    <row r="537" spans="1:73" x14ac:dyDescent="0.25">
      <c r="A537" s="1">
        <v>588</v>
      </c>
      <c r="B537" s="1" t="s">
        <v>1506</v>
      </c>
      <c r="C537" s="1" t="s">
        <v>10184</v>
      </c>
      <c r="D537" s="1" t="s">
        <v>1507</v>
      </c>
      <c r="E537" s="1" t="s">
        <v>1507</v>
      </c>
      <c r="F537" s="1" t="s">
        <v>1507</v>
      </c>
      <c r="G537" s="1" t="s">
        <v>10185</v>
      </c>
      <c r="H537" s="1" t="s">
        <v>1507</v>
      </c>
      <c r="I537" s="1" t="s">
        <v>1507</v>
      </c>
      <c r="J537" s="1" t="s">
        <v>10186</v>
      </c>
      <c r="K537" s="1" t="s">
        <v>10187</v>
      </c>
      <c r="L537" s="1" t="s">
        <v>1507</v>
      </c>
      <c r="M537" s="1" t="s">
        <v>1507</v>
      </c>
      <c r="N537" s="1" t="s">
        <v>42</v>
      </c>
      <c r="O537" s="1" t="s">
        <v>56</v>
      </c>
      <c r="P537" s="1" t="s">
        <v>1507</v>
      </c>
      <c r="Q537" s="1" t="s">
        <v>1507</v>
      </c>
      <c r="R537" s="1" t="s">
        <v>1507</v>
      </c>
      <c r="S537" s="1" t="s">
        <v>1507</v>
      </c>
      <c r="T537" s="1" t="s">
        <v>1507</v>
      </c>
      <c r="U537" s="1" t="s">
        <v>1507</v>
      </c>
      <c r="V537" s="1" t="s">
        <v>10188</v>
      </c>
      <c r="W537" s="1" t="s">
        <v>10189</v>
      </c>
      <c r="X537" s="1" t="s">
        <v>10190</v>
      </c>
      <c r="Y537" s="1" t="s">
        <v>10191</v>
      </c>
      <c r="Z537" s="1" t="s">
        <v>10192</v>
      </c>
      <c r="AA537" s="1" t="s">
        <v>10193</v>
      </c>
      <c r="AB537" s="1" t="s">
        <v>15832</v>
      </c>
      <c r="AC537" s="1" t="s">
        <v>15833</v>
      </c>
      <c r="AD537" s="1" t="s">
        <v>10194</v>
      </c>
      <c r="AE537" s="1" t="s">
        <v>10195</v>
      </c>
      <c r="AF537" s="1" t="s">
        <v>10196</v>
      </c>
      <c r="AG537" s="1" t="s">
        <v>1507</v>
      </c>
      <c r="AH537" s="1">
        <v>31</v>
      </c>
      <c r="AI537" s="1">
        <v>11</v>
      </c>
      <c r="AJ537" s="1">
        <v>13</v>
      </c>
      <c r="AK537" s="1">
        <v>1</v>
      </c>
      <c r="AL537" s="1">
        <v>53</v>
      </c>
      <c r="AM537" s="1" t="s">
        <v>2372</v>
      </c>
      <c r="AN537" s="1" t="s">
        <v>2300</v>
      </c>
      <c r="AO537" s="1" t="s">
        <v>2373</v>
      </c>
      <c r="AP537" s="1" t="s">
        <v>10197</v>
      </c>
      <c r="AQ537" s="1" t="s">
        <v>10198</v>
      </c>
      <c r="AR537" s="1" t="s">
        <v>1507</v>
      </c>
      <c r="AS537" s="1" t="s">
        <v>10199</v>
      </c>
      <c r="AT537" s="1" t="s">
        <v>10200</v>
      </c>
      <c r="AU537" s="1" t="s">
        <v>10201</v>
      </c>
      <c r="AV537" s="1">
        <v>2020</v>
      </c>
      <c r="AW537" s="1">
        <v>124</v>
      </c>
      <c r="AX537" s="1">
        <v>4</v>
      </c>
      <c r="AY537" s="1" t="s">
        <v>1507</v>
      </c>
      <c r="AZ537" s="1" t="s">
        <v>1507</v>
      </c>
      <c r="BA537" s="1" t="s">
        <v>1507</v>
      </c>
      <c r="BB537" s="1" t="s">
        <v>1507</v>
      </c>
      <c r="BC537" s="1">
        <v>2399</v>
      </c>
      <c r="BD537" s="1">
        <v>2405</v>
      </c>
      <c r="BE537" s="1" t="s">
        <v>1507</v>
      </c>
      <c r="BF537" s="1" t="s">
        <v>10202</v>
      </c>
      <c r="BG537" s="1" t="str">
        <f>HYPERLINK("http://dx.doi.org/10.1021/acs.jpcc.0c00055","http://dx.doi.org/10.1021/acs.jpcc.0c00055")</f>
        <v>http://dx.doi.org/10.1021/acs.jpcc.0c00055</v>
      </c>
      <c r="BH537" s="1" t="s">
        <v>1507</v>
      </c>
      <c r="BI537" s="1" t="s">
        <v>1507</v>
      </c>
      <c r="BJ537" s="1">
        <v>7</v>
      </c>
      <c r="BK537" s="1" t="s">
        <v>10203</v>
      </c>
      <c r="BL537" s="1" t="s">
        <v>1573</v>
      </c>
      <c r="BM537" s="1" t="s">
        <v>8919</v>
      </c>
      <c r="BN537" s="1" t="s">
        <v>10204</v>
      </c>
      <c r="BO537" s="1" t="s">
        <v>1507</v>
      </c>
      <c r="BP537" s="1" t="s">
        <v>1507</v>
      </c>
      <c r="BQ537" s="1" t="s">
        <v>1507</v>
      </c>
      <c r="BR537" s="1" t="s">
        <v>1507</v>
      </c>
      <c r="BS537" s="1" t="s">
        <v>13744</v>
      </c>
      <c r="BT537" s="1" t="s">
        <v>10205</v>
      </c>
      <c r="BU537" s="1" t="str">
        <f>HYPERLINK("https%3A%2F%2Fwww.webofscience.com%2Fwos%2Fwoscc%2Ffull-record%2FWOS:000510529400017","View Full Record in Web of Science")</f>
        <v>View Full Record in Web of Science</v>
      </c>
    </row>
    <row r="538" spans="1:73" x14ac:dyDescent="0.25">
      <c r="A538" s="1">
        <v>589</v>
      </c>
      <c r="B538" s="1" t="s">
        <v>1506</v>
      </c>
      <c r="C538" s="1" t="s">
        <v>11209</v>
      </c>
      <c r="D538" s="1" t="s">
        <v>1507</v>
      </c>
      <c r="E538" s="1" t="s">
        <v>1507</v>
      </c>
      <c r="F538" s="1" t="s">
        <v>1507</v>
      </c>
      <c r="G538" s="1" t="s">
        <v>11210</v>
      </c>
      <c r="H538" s="1" t="s">
        <v>1507</v>
      </c>
      <c r="I538" s="1" t="s">
        <v>1507</v>
      </c>
      <c r="J538" s="1" t="s">
        <v>11211</v>
      </c>
      <c r="K538" s="1" t="s">
        <v>10187</v>
      </c>
      <c r="L538" s="1" t="s">
        <v>1507</v>
      </c>
      <c r="M538" s="1" t="s">
        <v>1507</v>
      </c>
      <c r="N538" s="1" t="s">
        <v>42</v>
      </c>
      <c r="O538" s="1" t="s">
        <v>56</v>
      </c>
      <c r="P538" s="1" t="s">
        <v>1507</v>
      </c>
      <c r="Q538" s="1" t="s">
        <v>1507</v>
      </c>
      <c r="R538" s="1" t="s">
        <v>1507</v>
      </c>
      <c r="S538" s="1" t="s">
        <v>1507</v>
      </c>
      <c r="T538" s="1" t="s">
        <v>1507</v>
      </c>
      <c r="U538" s="1" t="s">
        <v>1507</v>
      </c>
      <c r="V538" s="1" t="s">
        <v>11212</v>
      </c>
      <c r="W538" s="1" t="s">
        <v>11213</v>
      </c>
      <c r="X538" s="1" t="s">
        <v>11214</v>
      </c>
      <c r="Y538" s="1" t="s">
        <v>11215</v>
      </c>
      <c r="Z538" s="1" t="s">
        <v>11216</v>
      </c>
      <c r="AA538" s="1" t="s">
        <v>11217</v>
      </c>
      <c r="AB538" s="1" t="s">
        <v>15941</v>
      </c>
      <c r="AC538" s="1" t="s">
        <v>15833</v>
      </c>
      <c r="AD538" s="1" t="s">
        <v>11218</v>
      </c>
      <c r="AE538" s="1" t="s">
        <v>11219</v>
      </c>
      <c r="AF538" s="1" t="s">
        <v>11220</v>
      </c>
      <c r="AG538" s="1" t="s">
        <v>1507</v>
      </c>
      <c r="AH538" s="1">
        <v>39</v>
      </c>
      <c r="AI538" s="1">
        <v>27</v>
      </c>
      <c r="AJ538" s="1">
        <v>29</v>
      </c>
      <c r="AK538" s="1">
        <v>1</v>
      </c>
      <c r="AL538" s="1">
        <v>74</v>
      </c>
      <c r="AM538" s="1" t="s">
        <v>2372</v>
      </c>
      <c r="AN538" s="1" t="s">
        <v>2300</v>
      </c>
      <c r="AO538" s="1" t="s">
        <v>2373</v>
      </c>
      <c r="AP538" s="1" t="s">
        <v>10197</v>
      </c>
      <c r="AQ538" s="1" t="s">
        <v>1507</v>
      </c>
      <c r="AR538" s="1" t="s">
        <v>1507</v>
      </c>
      <c r="AS538" s="1" t="s">
        <v>10199</v>
      </c>
      <c r="AT538" s="1" t="s">
        <v>10200</v>
      </c>
      <c r="AU538" s="1" t="s">
        <v>11221</v>
      </c>
      <c r="AV538" s="1">
        <v>2019</v>
      </c>
      <c r="AW538" s="1">
        <v>123</v>
      </c>
      <c r="AX538" s="1">
        <v>2</v>
      </c>
      <c r="AY538" s="1" t="s">
        <v>1507</v>
      </c>
      <c r="AZ538" s="1" t="s">
        <v>1507</v>
      </c>
      <c r="BA538" s="1" t="s">
        <v>1507</v>
      </c>
      <c r="BB538" s="1" t="s">
        <v>1507</v>
      </c>
      <c r="BC538" s="1">
        <v>1110</v>
      </c>
      <c r="BD538" s="1">
        <v>1119</v>
      </c>
      <c r="BE538" s="1" t="s">
        <v>1507</v>
      </c>
      <c r="BF538" s="1" t="s">
        <v>11222</v>
      </c>
      <c r="BG538" s="1" t="str">
        <f>HYPERLINK("http://dx.doi.org/10.1021/acs.jpcc.8b10837","http://dx.doi.org/10.1021/acs.jpcc.8b10837")</f>
        <v>http://dx.doi.org/10.1021/acs.jpcc.8b10837</v>
      </c>
      <c r="BH538" s="1" t="s">
        <v>1507</v>
      </c>
      <c r="BI538" s="1" t="s">
        <v>1507</v>
      </c>
      <c r="BJ538" s="1">
        <v>10</v>
      </c>
      <c r="BK538" s="1" t="s">
        <v>10203</v>
      </c>
      <c r="BL538" s="1" t="s">
        <v>1573</v>
      </c>
      <c r="BM538" s="1" t="s">
        <v>8919</v>
      </c>
      <c r="BN538" s="1" t="s">
        <v>11223</v>
      </c>
      <c r="BO538" s="1" t="s">
        <v>1507</v>
      </c>
      <c r="BP538" s="1" t="s">
        <v>1507</v>
      </c>
      <c r="BQ538" s="1" t="s">
        <v>1507</v>
      </c>
      <c r="BR538" s="1" t="s">
        <v>1507</v>
      </c>
      <c r="BS538" s="1" t="s">
        <v>13744</v>
      </c>
      <c r="BT538" s="1" t="s">
        <v>11224</v>
      </c>
      <c r="BU538" s="1" t="str">
        <f>HYPERLINK("https%3A%2F%2Fwww.webofscience.com%2Fwos%2Fwoscc%2Ffull-record%2FWOS:000456350600014","View Full Record in Web of Science")</f>
        <v>View Full Record in Web of Science</v>
      </c>
    </row>
    <row r="539" spans="1:73" x14ac:dyDescent="0.25">
      <c r="A539" s="1">
        <v>590</v>
      </c>
      <c r="B539" s="1" t="s">
        <v>1506</v>
      </c>
      <c r="C539" s="1" t="s">
        <v>8558</v>
      </c>
      <c r="D539" s="1" t="s">
        <v>1507</v>
      </c>
      <c r="E539" s="1" t="s">
        <v>1507</v>
      </c>
      <c r="F539" s="1" t="s">
        <v>1507</v>
      </c>
      <c r="G539" s="1" t="s">
        <v>8559</v>
      </c>
      <c r="H539" s="1" t="s">
        <v>1507</v>
      </c>
      <c r="I539" s="1" t="s">
        <v>1507</v>
      </c>
      <c r="J539" s="1" t="s">
        <v>8560</v>
      </c>
      <c r="K539" s="1" t="s">
        <v>8561</v>
      </c>
      <c r="L539" s="1" t="s">
        <v>1507</v>
      </c>
      <c r="M539" s="1" t="s">
        <v>1507</v>
      </c>
      <c r="N539" s="1" t="s">
        <v>42</v>
      </c>
      <c r="O539" s="1" t="s">
        <v>56</v>
      </c>
      <c r="P539" s="1" t="s">
        <v>1507</v>
      </c>
      <c r="Q539" s="1" t="s">
        <v>1507</v>
      </c>
      <c r="R539" s="1" t="s">
        <v>1507</v>
      </c>
      <c r="S539" s="1" t="s">
        <v>1507</v>
      </c>
      <c r="T539" s="1" t="s">
        <v>1507</v>
      </c>
      <c r="U539" s="1" t="s">
        <v>8562</v>
      </c>
      <c r="V539" s="1" t="s">
        <v>1507</v>
      </c>
      <c r="W539" s="1" t="s">
        <v>8563</v>
      </c>
      <c r="X539" s="1" t="s">
        <v>8564</v>
      </c>
      <c r="Y539" s="1" t="s">
        <v>8565</v>
      </c>
      <c r="Z539" s="1" t="s">
        <v>8566</v>
      </c>
      <c r="AA539" s="1" t="s">
        <v>8567</v>
      </c>
      <c r="AB539" s="1" t="s">
        <v>1507</v>
      </c>
      <c r="AC539" s="1" t="s">
        <v>1507</v>
      </c>
      <c r="AD539" s="1" t="s">
        <v>8568</v>
      </c>
      <c r="AE539" s="1" t="s">
        <v>8569</v>
      </c>
      <c r="AF539" s="1" t="s">
        <v>8570</v>
      </c>
      <c r="AG539" s="1" t="s">
        <v>1507</v>
      </c>
      <c r="AH539" s="1">
        <v>26</v>
      </c>
      <c r="AI539" s="1">
        <v>10</v>
      </c>
      <c r="AJ539" s="1">
        <v>10</v>
      </c>
      <c r="AK539" s="1">
        <v>5</v>
      </c>
      <c r="AL539" s="1">
        <v>53</v>
      </c>
      <c r="AM539" s="1" t="s">
        <v>8571</v>
      </c>
      <c r="AN539" s="1" t="s">
        <v>1512</v>
      </c>
      <c r="AO539" s="1" t="s">
        <v>8572</v>
      </c>
      <c r="AP539" s="1" t="s">
        <v>8573</v>
      </c>
      <c r="AQ539" s="1" t="s">
        <v>8574</v>
      </c>
      <c r="AR539" s="1" t="s">
        <v>1507</v>
      </c>
      <c r="AS539" s="1" t="s">
        <v>8575</v>
      </c>
      <c r="AT539" s="1" t="s">
        <v>8576</v>
      </c>
      <c r="AU539" s="1" t="s">
        <v>4721</v>
      </c>
      <c r="AV539" s="1">
        <v>2021</v>
      </c>
      <c r="AW539" s="1">
        <v>40</v>
      </c>
      <c r="AX539" s="1">
        <v>2</v>
      </c>
      <c r="AY539" s="1" t="s">
        <v>1507</v>
      </c>
      <c r="AZ539" s="1" t="s">
        <v>1507</v>
      </c>
      <c r="BA539" s="1" t="s">
        <v>1507</v>
      </c>
      <c r="BB539" s="1" t="s">
        <v>1507</v>
      </c>
      <c r="BC539" s="1" t="s">
        <v>1507</v>
      </c>
      <c r="BD539" s="1" t="s">
        <v>1507</v>
      </c>
      <c r="BE539" s="1">
        <v>40</v>
      </c>
      <c r="BF539" s="1" t="s">
        <v>8577</v>
      </c>
      <c r="BG539" s="1" t="str">
        <f>HYPERLINK("http://dx.doi.org/10.1007/s10921-021-00773-x","http://dx.doi.org/10.1007/s10921-021-00773-x")</f>
        <v>http://dx.doi.org/10.1007/s10921-021-00773-x</v>
      </c>
      <c r="BH539" s="1" t="s">
        <v>1507</v>
      </c>
      <c r="BI539" s="1" t="s">
        <v>1507</v>
      </c>
      <c r="BJ539" s="1">
        <v>10</v>
      </c>
      <c r="BK539" s="1" t="s">
        <v>8578</v>
      </c>
      <c r="BL539" s="1" t="s">
        <v>1573</v>
      </c>
      <c r="BM539" s="1" t="s">
        <v>7255</v>
      </c>
      <c r="BN539" s="1" t="s">
        <v>8579</v>
      </c>
      <c r="BO539" s="1" t="s">
        <v>1507</v>
      </c>
      <c r="BP539" s="1" t="s">
        <v>1507</v>
      </c>
      <c r="BQ539" s="1" t="s">
        <v>1507</v>
      </c>
      <c r="BR539" s="1" t="s">
        <v>1507</v>
      </c>
      <c r="BS539" s="1" t="s">
        <v>13744</v>
      </c>
      <c r="BT539" s="1" t="s">
        <v>8580</v>
      </c>
      <c r="BU539" s="1" t="str">
        <f>HYPERLINK("https%3A%2F%2Fwww.webofscience.com%2Fwos%2Fwoscc%2Ffull-record%2FWOS:000645067000001","View Full Record in Web of Science")</f>
        <v>View Full Record in Web of Science</v>
      </c>
    </row>
    <row r="540" spans="1:73" x14ac:dyDescent="0.25">
      <c r="A540" s="1">
        <v>591</v>
      </c>
      <c r="B540" s="1" t="s">
        <v>5546</v>
      </c>
      <c r="C540" s="1" t="s">
        <v>6579</v>
      </c>
      <c r="D540" s="1" t="s">
        <v>1507</v>
      </c>
      <c r="E540" s="1" t="s">
        <v>1507</v>
      </c>
      <c r="F540" s="1" t="s">
        <v>5628</v>
      </c>
      <c r="G540" s="1" t="s">
        <v>6580</v>
      </c>
      <c r="H540" s="1" t="s">
        <v>1507</v>
      </c>
      <c r="I540" s="1" t="s">
        <v>1507</v>
      </c>
      <c r="J540" s="1" t="s">
        <v>6581</v>
      </c>
      <c r="K540" s="1" t="s">
        <v>6014</v>
      </c>
      <c r="L540" s="1" t="s">
        <v>6015</v>
      </c>
      <c r="M540" s="1" t="s">
        <v>1507</v>
      </c>
      <c r="N540" s="1" t="s">
        <v>42</v>
      </c>
      <c r="O540" s="1" t="s">
        <v>5552</v>
      </c>
      <c r="P540" s="1" t="s">
        <v>6016</v>
      </c>
      <c r="Q540" s="1" t="s">
        <v>6017</v>
      </c>
      <c r="R540" s="1" t="s">
        <v>6018</v>
      </c>
      <c r="S540" s="1" t="s">
        <v>6019</v>
      </c>
      <c r="T540" s="1" t="s">
        <v>1507</v>
      </c>
      <c r="U540" s="1" t="s">
        <v>6582</v>
      </c>
      <c r="V540" s="1" t="s">
        <v>1507</v>
      </c>
      <c r="W540" s="1" t="s">
        <v>6583</v>
      </c>
      <c r="X540" s="1" t="s">
        <v>6584</v>
      </c>
      <c r="Y540" s="1" t="s">
        <v>6585</v>
      </c>
      <c r="Z540" s="1" t="s">
        <v>6586</v>
      </c>
      <c r="AA540" s="1" t="s">
        <v>6587</v>
      </c>
      <c r="AB540" s="1" t="s">
        <v>15490</v>
      </c>
      <c r="AC540" s="1" t="s">
        <v>1507</v>
      </c>
      <c r="AD540" s="1" t="s">
        <v>6588</v>
      </c>
      <c r="AE540" s="1" t="s">
        <v>6589</v>
      </c>
      <c r="AF540" s="1" t="s">
        <v>6590</v>
      </c>
      <c r="AG540" s="1" t="s">
        <v>1507</v>
      </c>
      <c r="AH540" s="1">
        <v>41</v>
      </c>
      <c r="AI540" s="1">
        <v>0</v>
      </c>
      <c r="AJ540" s="1">
        <v>0</v>
      </c>
      <c r="AK540" s="1">
        <v>8</v>
      </c>
      <c r="AL540" s="1">
        <v>8</v>
      </c>
      <c r="AM540" s="1" t="s">
        <v>5645</v>
      </c>
      <c r="AN540" s="1" t="s">
        <v>5646</v>
      </c>
      <c r="AO540" s="1" t="s">
        <v>5647</v>
      </c>
      <c r="AP540" s="1" t="s">
        <v>6030</v>
      </c>
      <c r="AQ540" s="1" t="s">
        <v>1507</v>
      </c>
      <c r="AR540" s="1" t="s">
        <v>6031</v>
      </c>
      <c r="AS540" s="1" t="s">
        <v>6032</v>
      </c>
      <c r="AT540" s="1" t="s">
        <v>1507</v>
      </c>
      <c r="AU540" s="1" t="s">
        <v>1507</v>
      </c>
      <c r="AV540" s="1">
        <v>2023</v>
      </c>
      <c r="AW540" s="1" t="s">
        <v>1507</v>
      </c>
      <c r="AX540" s="1" t="s">
        <v>1507</v>
      </c>
      <c r="AY540" s="1" t="s">
        <v>1507</v>
      </c>
      <c r="AZ540" s="1" t="s">
        <v>1507</v>
      </c>
      <c r="BA540" s="1" t="s">
        <v>1507</v>
      </c>
      <c r="BB540" s="1" t="s">
        <v>1507</v>
      </c>
      <c r="BC540" s="1">
        <v>1887</v>
      </c>
      <c r="BD540" s="1">
        <v>1898</v>
      </c>
      <c r="BE540" s="1" t="s">
        <v>1507</v>
      </c>
      <c r="BF540" s="1" t="s">
        <v>6591</v>
      </c>
      <c r="BG540" s="1" t="str">
        <f>HYPERLINK("http://dx.doi.org/10.1109/ASE56229.2023.00096","http://dx.doi.org/10.1109/ASE56229.2023.00096")</f>
        <v>http://dx.doi.org/10.1109/ASE56229.2023.00096</v>
      </c>
      <c r="BH540" s="1" t="s">
        <v>1507</v>
      </c>
      <c r="BI540" s="1" t="s">
        <v>1507</v>
      </c>
      <c r="BJ540" s="1">
        <v>12</v>
      </c>
      <c r="BK540" s="1" t="s">
        <v>6034</v>
      </c>
      <c r="BL540" s="1" t="s">
        <v>5570</v>
      </c>
      <c r="BM540" s="1" t="s">
        <v>6035</v>
      </c>
      <c r="BN540" s="1" t="s">
        <v>6036</v>
      </c>
      <c r="BO540" s="1" t="s">
        <v>1507</v>
      </c>
      <c r="BP540" s="1" t="s">
        <v>1507</v>
      </c>
      <c r="BQ540" s="1" t="s">
        <v>1507</v>
      </c>
      <c r="BR540" s="1" t="s">
        <v>1507</v>
      </c>
      <c r="BS540" s="1" t="s">
        <v>13744</v>
      </c>
      <c r="BT540" s="1" t="s">
        <v>6592</v>
      </c>
      <c r="BU540" s="1" t="str">
        <f>HYPERLINK("https%3A%2F%2Fwww.webofscience.com%2Fwos%2Fwoscc%2Ffull-record%2FWOS:001103357200175","View Full Record in Web of Science")</f>
        <v>View Full Record in Web of Science</v>
      </c>
    </row>
    <row r="541" spans="1:73" x14ac:dyDescent="0.25">
      <c r="A541" s="1">
        <v>593</v>
      </c>
      <c r="B541" s="1" t="s">
        <v>1506</v>
      </c>
      <c r="C541" s="1" t="s">
        <v>7979</v>
      </c>
      <c r="D541" s="1" t="s">
        <v>1507</v>
      </c>
      <c r="E541" s="1" t="s">
        <v>1507</v>
      </c>
      <c r="F541" s="1" t="s">
        <v>1507</v>
      </c>
      <c r="G541" s="1" t="s">
        <v>7980</v>
      </c>
      <c r="H541" s="1" t="s">
        <v>1507</v>
      </c>
      <c r="I541" s="1" t="s">
        <v>1507</v>
      </c>
      <c r="J541" s="1" t="s">
        <v>7981</v>
      </c>
      <c r="K541" s="1" t="s">
        <v>7982</v>
      </c>
      <c r="L541" s="1" t="s">
        <v>1507</v>
      </c>
      <c r="M541" s="1" t="s">
        <v>1507</v>
      </c>
      <c r="N541" s="1" t="s">
        <v>42</v>
      </c>
      <c r="O541" s="1" t="s">
        <v>56</v>
      </c>
      <c r="P541" s="1" t="s">
        <v>1507</v>
      </c>
      <c r="Q541" s="1" t="s">
        <v>1507</v>
      </c>
      <c r="R541" s="1" t="s">
        <v>1507</v>
      </c>
      <c r="S541" s="1" t="s">
        <v>1507</v>
      </c>
      <c r="T541" s="1" t="s">
        <v>1507</v>
      </c>
      <c r="U541" s="1" t="s">
        <v>7983</v>
      </c>
      <c r="V541" s="1" t="s">
        <v>7984</v>
      </c>
      <c r="W541" s="1" t="s">
        <v>7985</v>
      </c>
      <c r="X541" s="1" t="s">
        <v>7986</v>
      </c>
      <c r="Y541" s="1" t="s">
        <v>7987</v>
      </c>
      <c r="Z541" s="1" t="s">
        <v>7988</v>
      </c>
      <c r="AA541" s="1" t="s">
        <v>7989</v>
      </c>
      <c r="AB541" s="1" t="s">
        <v>15681</v>
      </c>
      <c r="AC541" s="1" t="s">
        <v>15682</v>
      </c>
      <c r="AD541" s="1" t="s">
        <v>7990</v>
      </c>
      <c r="AE541" s="1" t="s">
        <v>7991</v>
      </c>
      <c r="AF541" s="1" t="s">
        <v>7992</v>
      </c>
      <c r="AG541" s="1" t="s">
        <v>1507</v>
      </c>
      <c r="AH541" s="1">
        <v>74</v>
      </c>
      <c r="AI541" s="1">
        <v>8</v>
      </c>
      <c r="AJ541" s="1">
        <v>8</v>
      </c>
      <c r="AK541" s="1">
        <v>8</v>
      </c>
      <c r="AL541" s="1">
        <v>38</v>
      </c>
      <c r="AM541" s="1" t="s">
        <v>1582</v>
      </c>
      <c r="AN541" s="1" t="s">
        <v>1583</v>
      </c>
      <c r="AO541" s="1" t="s">
        <v>1584</v>
      </c>
      <c r="AP541" s="1" t="s">
        <v>7993</v>
      </c>
      <c r="AQ541" s="1" t="s">
        <v>7994</v>
      </c>
      <c r="AR541" s="1" t="s">
        <v>1507</v>
      </c>
      <c r="AS541" s="1" t="s">
        <v>7995</v>
      </c>
      <c r="AT541" s="1" t="s">
        <v>7996</v>
      </c>
      <c r="AU541" s="1" t="s">
        <v>15683</v>
      </c>
      <c r="AV541" s="1">
        <v>2022</v>
      </c>
      <c r="AW541" s="1">
        <v>73</v>
      </c>
      <c r="AX541" s="1">
        <v>3</v>
      </c>
      <c r="AY541" s="1" t="s">
        <v>1507</v>
      </c>
      <c r="AZ541" s="1" t="s">
        <v>1507</v>
      </c>
      <c r="BA541" s="1" t="s">
        <v>1507</v>
      </c>
      <c r="BB541" s="1" t="s">
        <v>1507</v>
      </c>
      <c r="BC541" s="1">
        <v>835</v>
      </c>
      <c r="BD541" s="1">
        <v>847</v>
      </c>
      <c r="BE541" s="1" t="s">
        <v>1507</v>
      </c>
      <c r="BF541" s="1" t="s">
        <v>7997</v>
      </c>
      <c r="BG541" s="1" t="str">
        <f>HYPERLINK("http://dx.doi.org/10.1093/jxb/erab430","http://dx.doi.org/10.1093/jxb/erab430")</f>
        <v>http://dx.doi.org/10.1093/jxb/erab430</v>
      </c>
      <c r="BH541" s="1" t="s">
        <v>1507</v>
      </c>
      <c r="BI541" s="1" t="s">
        <v>7958</v>
      </c>
      <c r="BJ541" s="1">
        <v>13</v>
      </c>
      <c r="BK541" s="1" t="s">
        <v>2914</v>
      </c>
      <c r="BL541" s="1" t="s">
        <v>1573</v>
      </c>
      <c r="BM541" s="1" t="s">
        <v>2914</v>
      </c>
      <c r="BN541" s="1" t="s">
        <v>7998</v>
      </c>
      <c r="BO541" s="1">
        <v>34545936</v>
      </c>
      <c r="BP541" s="1" t="s">
        <v>3572</v>
      </c>
      <c r="BQ541" s="1" t="s">
        <v>1507</v>
      </c>
      <c r="BR541" s="1" t="s">
        <v>1507</v>
      </c>
      <c r="BS541" s="1" t="s">
        <v>13744</v>
      </c>
      <c r="BT541" s="1" t="s">
        <v>7999</v>
      </c>
      <c r="BU541" s="1" t="str">
        <f>HYPERLINK("https%3A%2F%2Fwww.webofscience.com%2Fwos%2Fwoscc%2Ffull-record%2FWOS:000761507000015","View Full Record in Web of Science")</f>
        <v>View Full Record in Web of Science</v>
      </c>
    </row>
    <row r="542" spans="1:73" x14ac:dyDescent="0.25">
      <c r="A542" s="1">
        <v>594</v>
      </c>
      <c r="B542" s="1" t="s">
        <v>1506</v>
      </c>
      <c r="C542" s="1" t="s">
        <v>3231</v>
      </c>
      <c r="D542" s="1" t="s">
        <v>1507</v>
      </c>
      <c r="E542" s="1" t="s">
        <v>1507</v>
      </c>
      <c r="F542" s="1" t="s">
        <v>1507</v>
      </c>
      <c r="G542" s="1" t="s">
        <v>3232</v>
      </c>
      <c r="H542" s="1" t="s">
        <v>1507</v>
      </c>
      <c r="I542" s="1" t="s">
        <v>1507</v>
      </c>
      <c r="J542" s="1" t="s">
        <v>3233</v>
      </c>
      <c r="K542" s="1" t="s">
        <v>1999</v>
      </c>
      <c r="L542" s="1" t="s">
        <v>1507</v>
      </c>
      <c r="M542" s="1" t="s">
        <v>1507</v>
      </c>
      <c r="N542" s="1" t="s">
        <v>42</v>
      </c>
      <c r="O542" s="1" t="s">
        <v>56</v>
      </c>
      <c r="P542" s="1" t="s">
        <v>1507</v>
      </c>
      <c r="Q542" s="1" t="s">
        <v>1507</v>
      </c>
      <c r="R542" s="1" t="s">
        <v>1507</v>
      </c>
      <c r="S542" s="1" t="s">
        <v>1507</v>
      </c>
      <c r="T542" s="1" t="s">
        <v>1507</v>
      </c>
      <c r="U542" s="1" t="s">
        <v>1507</v>
      </c>
      <c r="V542" s="1" t="s">
        <v>3234</v>
      </c>
      <c r="W542" s="1" t="s">
        <v>3235</v>
      </c>
      <c r="X542" s="1" t="s">
        <v>3236</v>
      </c>
      <c r="Y542" s="1" t="s">
        <v>3237</v>
      </c>
      <c r="Z542" s="1" t="s">
        <v>3238</v>
      </c>
      <c r="AA542" s="1" t="s">
        <v>3239</v>
      </c>
      <c r="AB542" s="1" t="s">
        <v>1507</v>
      </c>
      <c r="AC542" s="1" t="s">
        <v>3240</v>
      </c>
      <c r="AD542" s="1" t="s">
        <v>3241</v>
      </c>
      <c r="AE542" s="1" t="s">
        <v>3242</v>
      </c>
      <c r="AF542" s="1" t="s">
        <v>3243</v>
      </c>
      <c r="AG542" s="1" t="s">
        <v>1507</v>
      </c>
      <c r="AH542" s="1">
        <v>34</v>
      </c>
      <c r="AI542" s="1">
        <v>0</v>
      </c>
      <c r="AJ542" s="1">
        <v>0</v>
      </c>
      <c r="AK542" s="1">
        <v>31</v>
      </c>
      <c r="AL542" s="1">
        <v>31</v>
      </c>
      <c r="AM542" s="1" t="s">
        <v>2009</v>
      </c>
      <c r="AN542" s="1" t="s">
        <v>2010</v>
      </c>
      <c r="AO542" s="1" t="s">
        <v>2011</v>
      </c>
      <c r="AP542" s="1" t="s">
        <v>2012</v>
      </c>
      <c r="AQ542" s="1" t="s">
        <v>1507</v>
      </c>
      <c r="AR542" s="1" t="s">
        <v>1507</v>
      </c>
      <c r="AS542" s="1" t="s">
        <v>1999</v>
      </c>
      <c r="AT542" s="1" t="s">
        <v>2013</v>
      </c>
      <c r="AU542" s="1" t="s">
        <v>3226</v>
      </c>
      <c r="AV542" s="1">
        <v>2023</v>
      </c>
      <c r="AW542" s="1">
        <v>18</v>
      </c>
      <c r="AX542" s="1">
        <v>10</v>
      </c>
      <c r="AY542" s="1" t="s">
        <v>1507</v>
      </c>
      <c r="AZ542" s="1" t="s">
        <v>1507</v>
      </c>
      <c r="BA542" s="1" t="s">
        <v>1507</v>
      </c>
      <c r="BB542" s="1" t="s">
        <v>1507</v>
      </c>
      <c r="BC542" s="1" t="s">
        <v>1507</v>
      </c>
      <c r="BD542" s="1" t="s">
        <v>1507</v>
      </c>
      <c r="BE542" s="1" t="s">
        <v>3244</v>
      </c>
      <c r="BF542" s="1" t="s">
        <v>3245</v>
      </c>
      <c r="BG542" s="1" t="str">
        <f>HYPERLINK("http://dx.doi.org/10.1371/journal.pone.0292903","http://dx.doi.org/10.1371/journal.pone.0292903")</f>
        <v>http://dx.doi.org/10.1371/journal.pone.0292903</v>
      </c>
      <c r="BH542" s="1" t="s">
        <v>1507</v>
      </c>
      <c r="BI542" s="1" t="s">
        <v>1507</v>
      </c>
      <c r="BJ542" s="1">
        <v>18</v>
      </c>
      <c r="BK542" s="1" t="s">
        <v>1776</v>
      </c>
      <c r="BL542" s="1" t="s">
        <v>1573</v>
      </c>
      <c r="BM542" s="1" t="s">
        <v>1777</v>
      </c>
      <c r="BN542" s="1" t="s">
        <v>3246</v>
      </c>
      <c r="BO542" s="1">
        <v>37824573</v>
      </c>
      <c r="BP542" s="1" t="s">
        <v>1952</v>
      </c>
      <c r="BQ542" s="1" t="s">
        <v>1507</v>
      </c>
      <c r="BR542" s="1" t="s">
        <v>1507</v>
      </c>
      <c r="BS542" s="1" t="s">
        <v>13744</v>
      </c>
      <c r="BT542" s="1" t="s">
        <v>3247</v>
      </c>
      <c r="BU542" s="1" t="str">
        <f>HYPERLINK("https%3A%2F%2Fwww.webofscience.com%2Fwos%2Fwoscc%2Ffull-record%2FWOS:001092548300091","View Full Record in Web of Science")</f>
        <v>View Full Record in Web of Science</v>
      </c>
    </row>
    <row r="543" spans="1:73" x14ac:dyDescent="0.25">
      <c r="A543" s="1">
        <v>595</v>
      </c>
      <c r="B543" s="1" t="s">
        <v>1506</v>
      </c>
      <c r="C543" s="1" t="s">
        <v>8235</v>
      </c>
      <c r="D543" s="1" t="s">
        <v>1507</v>
      </c>
      <c r="E543" s="1" t="s">
        <v>1507</v>
      </c>
      <c r="F543" s="1" t="s">
        <v>1507</v>
      </c>
      <c r="G543" s="1" t="s">
        <v>8236</v>
      </c>
      <c r="H543" s="1" t="s">
        <v>1507</v>
      </c>
      <c r="I543" s="1" t="s">
        <v>1507</v>
      </c>
      <c r="J543" s="1" t="s">
        <v>8237</v>
      </c>
      <c r="K543" s="1" t="s">
        <v>8238</v>
      </c>
      <c r="L543" s="1" t="s">
        <v>1507</v>
      </c>
      <c r="M543" s="1" t="s">
        <v>1507</v>
      </c>
      <c r="N543" s="1" t="s">
        <v>42</v>
      </c>
      <c r="O543" s="1" t="s">
        <v>56</v>
      </c>
      <c r="P543" s="1" t="s">
        <v>1507</v>
      </c>
      <c r="Q543" s="1" t="s">
        <v>1507</v>
      </c>
      <c r="R543" s="1" t="s">
        <v>1507</v>
      </c>
      <c r="S543" s="1" t="s">
        <v>1507</v>
      </c>
      <c r="T543" s="1" t="s">
        <v>1507</v>
      </c>
      <c r="U543" s="1" t="s">
        <v>8239</v>
      </c>
      <c r="V543" s="1" t="s">
        <v>8240</v>
      </c>
      <c r="W543" s="1" t="s">
        <v>8241</v>
      </c>
      <c r="X543" s="1" t="s">
        <v>8242</v>
      </c>
      <c r="Y543" s="1" t="s">
        <v>15713</v>
      </c>
      <c r="Z543" s="1" t="s">
        <v>8243</v>
      </c>
      <c r="AA543" s="1" t="s">
        <v>8244</v>
      </c>
      <c r="AB543" s="1" t="s">
        <v>15714</v>
      </c>
      <c r="AC543" s="1" t="s">
        <v>15715</v>
      </c>
      <c r="AD543" s="1" t="s">
        <v>8245</v>
      </c>
      <c r="AE543" s="1" t="s">
        <v>8246</v>
      </c>
      <c r="AF543" s="1" t="s">
        <v>8247</v>
      </c>
      <c r="AG543" s="1" t="s">
        <v>1507</v>
      </c>
      <c r="AH543" s="1">
        <v>42</v>
      </c>
      <c r="AI543" s="1">
        <v>2</v>
      </c>
      <c r="AJ543" s="1">
        <v>2</v>
      </c>
      <c r="AK543" s="1">
        <v>0</v>
      </c>
      <c r="AL543" s="1">
        <v>4</v>
      </c>
      <c r="AM543" s="1" t="s">
        <v>1610</v>
      </c>
      <c r="AN543" s="1" t="s">
        <v>1611</v>
      </c>
      <c r="AO543" s="1" t="s">
        <v>1612</v>
      </c>
      <c r="AP543" s="1" t="s">
        <v>1507</v>
      </c>
      <c r="AQ543" s="1" t="s">
        <v>8248</v>
      </c>
      <c r="AR543" s="1" t="s">
        <v>1507</v>
      </c>
      <c r="AS543" s="1" t="s">
        <v>8238</v>
      </c>
      <c r="AT543" s="1" t="s">
        <v>1094</v>
      </c>
      <c r="AU543" s="1" t="s">
        <v>3992</v>
      </c>
      <c r="AV543" s="1">
        <v>2021</v>
      </c>
      <c r="AW543" s="1">
        <v>11</v>
      </c>
      <c r="AX543" s="1">
        <v>9</v>
      </c>
      <c r="AY543" s="1" t="s">
        <v>1507</v>
      </c>
      <c r="AZ543" s="1" t="s">
        <v>1507</v>
      </c>
      <c r="BA543" s="1" t="s">
        <v>1507</v>
      </c>
      <c r="BB543" s="1" t="s">
        <v>1507</v>
      </c>
      <c r="BC543" s="1" t="s">
        <v>1507</v>
      </c>
      <c r="BD543" s="1" t="s">
        <v>1507</v>
      </c>
      <c r="BE543" s="1">
        <v>1268</v>
      </c>
      <c r="BF543" s="1" t="s">
        <v>1095</v>
      </c>
      <c r="BG543" s="1" t="str">
        <f>HYPERLINK("http://dx.doi.org/10.3390/biom11091268","http://dx.doi.org/10.3390/biom11091268")</f>
        <v>http://dx.doi.org/10.3390/biom11091268</v>
      </c>
      <c r="BH543" s="1" t="s">
        <v>1507</v>
      </c>
      <c r="BI543" s="1" t="s">
        <v>1507</v>
      </c>
      <c r="BJ543" s="1">
        <v>15</v>
      </c>
      <c r="BK543" s="1" t="s">
        <v>4290</v>
      </c>
      <c r="BL543" s="1" t="s">
        <v>1573</v>
      </c>
      <c r="BM543" s="1" t="s">
        <v>4290</v>
      </c>
      <c r="BN543" s="1" t="s">
        <v>8249</v>
      </c>
      <c r="BO543" s="1">
        <v>34572480</v>
      </c>
      <c r="BP543" s="1" t="s">
        <v>1952</v>
      </c>
      <c r="BQ543" s="1" t="s">
        <v>1507</v>
      </c>
      <c r="BR543" s="1" t="s">
        <v>1507</v>
      </c>
      <c r="BS543" s="1" t="s">
        <v>13744</v>
      </c>
      <c r="BT543" s="1" t="s">
        <v>8250</v>
      </c>
      <c r="BU543" s="1" t="str">
        <f>HYPERLINK("https%3A%2F%2Fwww.webofscience.com%2Fwos%2Fwoscc%2Ffull-record%2FWOS:000699229600001","View Full Record in Web of Science")</f>
        <v>View Full Record in Web of Science</v>
      </c>
    </row>
    <row r="544" spans="1:73" x14ac:dyDescent="0.25">
      <c r="A544" s="1">
        <v>596</v>
      </c>
      <c r="B544" s="1" t="s">
        <v>5546</v>
      </c>
      <c r="C544" s="1" t="s">
        <v>15491</v>
      </c>
      <c r="D544" s="1" t="s">
        <v>1507</v>
      </c>
      <c r="E544" s="1" t="s">
        <v>15492</v>
      </c>
      <c r="F544" s="1" t="s">
        <v>1507</v>
      </c>
      <c r="G544" s="1" t="s">
        <v>15493</v>
      </c>
      <c r="H544" s="1" t="s">
        <v>1507</v>
      </c>
      <c r="I544" s="1" t="s">
        <v>1507</v>
      </c>
      <c r="J544" s="1" t="s">
        <v>15494</v>
      </c>
      <c r="K544" s="1" t="s">
        <v>15495</v>
      </c>
      <c r="L544" s="1" t="s">
        <v>1507</v>
      </c>
      <c r="M544" s="1" t="s">
        <v>1507</v>
      </c>
      <c r="N544" s="1" t="s">
        <v>42</v>
      </c>
      <c r="O544" s="1" t="s">
        <v>5552</v>
      </c>
      <c r="P544" s="1" t="s">
        <v>15496</v>
      </c>
      <c r="Q544" s="1" t="s">
        <v>15497</v>
      </c>
      <c r="R544" s="1" t="s">
        <v>6057</v>
      </c>
      <c r="S544" s="1" t="s">
        <v>15498</v>
      </c>
      <c r="T544" s="1" t="s">
        <v>1507</v>
      </c>
      <c r="U544" s="1" t="s">
        <v>15499</v>
      </c>
      <c r="V544" s="1" t="s">
        <v>15500</v>
      </c>
      <c r="W544" s="1" t="s">
        <v>15501</v>
      </c>
      <c r="X544" s="1" t="s">
        <v>15502</v>
      </c>
      <c r="Y544" s="1" t="s">
        <v>15503</v>
      </c>
      <c r="Z544" s="1" t="s">
        <v>15504</v>
      </c>
      <c r="AA544" s="1" t="s">
        <v>15505</v>
      </c>
      <c r="AB544" s="1" t="s">
        <v>1507</v>
      </c>
      <c r="AC544" s="1" t="s">
        <v>15506</v>
      </c>
      <c r="AD544" s="1" t="s">
        <v>1507</v>
      </c>
      <c r="AE544" s="1" t="s">
        <v>1507</v>
      </c>
      <c r="AF544" s="1" t="s">
        <v>1507</v>
      </c>
      <c r="AG544" s="1" t="s">
        <v>1507</v>
      </c>
      <c r="AH544" s="1">
        <v>41</v>
      </c>
      <c r="AI544" s="1">
        <v>0</v>
      </c>
      <c r="AJ544" s="1">
        <v>0</v>
      </c>
      <c r="AK544" s="1">
        <v>2</v>
      </c>
      <c r="AL544" s="1">
        <v>2</v>
      </c>
      <c r="AM544" s="1" t="s">
        <v>5565</v>
      </c>
      <c r="AN544" s="1" t="s">
        <v>1512</v>
      </c>
      <c r="AO544" s="1" t="s">
        <v>5566</v>
      </c>
      <c r="AP544" s="1" t="s">
        <v>1507</v>
      </c>
      <c r="AQ544" s="1" t="s">
        <v>1507</v>
      </c>
      <c r="AR544" s="1" t="s">
        <v>15507</v>
      </c>
      <c r="AS544" s="1" t="s">
        <v>1507</v>
      </c>
      <c r="AT544" s="1" t="s">
        <v>1507</v>
      </c>
      <c r="AU544" s="1" t="s">
        <v>1507</v>
      </c>
      <c r="AV544" s="1">
        <v>2023</v>
      </c>
      <c r="AW544" s="1" t="s">
        <v>1507</v>
      </c>
      <c r="AX544" s="1" t="s">
        <v>1507</v>
      </c>
      <c r="AY544" s="1" t="s">
        <v>1507</v>
      </c>
      <c r="AZ544" s="1" t="s">
        <v>1507</v>
      </c>
      <c r="BA544" s="1" t="s">
        <v>1507</v>
      </c>
      <c r="BB544" s="1" t="s">
        <v>1507</v>
      </c>
      <c r="BC544" s="1">
        <v>36</v>
      </c>
      <c r="BD544" s="1">
        <v>43</v>
      </c>
      <c r="BE544" s="1" t="s">
        <v>1507</v>
      </c>
      <c r="BF544" s="1" t="s">
        <v>15508</v>
      </c>
      <c r="BG544" s="1" t="str">
        <f>HYPERLINK("http://dx.doi.org/10.1145/3615890.3628538","http://dx.doi.org/10.1145/3615890.3628538")</f>
        <v>http://dx.doi.org/10.1145/3615890.3628538</v>
      </c>
      <c r="BH544" s="1" t="s">
        <v>1507</v>
      </c>
      <c r="BI544" s="1" t="s">
        <v>1507</v>
      </c>
      <c r="BJ544" s="1">
        <v>8</v>
      </c>
      <c r="BK544" s="1" t="s">
        <v>15509</v>
      </c>
      <c r="BL544" s="1" t="s">
        <v>5570</v>
      </c>
      <c r="BM544" s="1" t="s">
        <v>1577</v>
      </c>
      <c r="BN544" s="1" t="s">
        <v>15510</v>
      </c>
      <c r="BO544" s="1" t="s">
        <v>1507</v>
      </c>
      <c r="BP544" s="1" t="s">
        <v>2574</v>
      </c>
      <c r="BQ544" s="1" t="s">
        <v>1507</v>
      </c>
      <c r="BR544" s="1" t="s">
        <v>1507</v>
      </c>
      <c r="BS544" s="1" t="s">
        <v>13744</v>
      </c>
      <c r="BT544" s="1" t="s">
        <v>15511</v>
      </c>
      <c r="BU544" s="1" t="str">
        <f>HYPERLINK("https%3A%2F%2Fwww.webofscience.com%2Fwos%2Fwoscc%2Ffull-record%2FWOS:001161646800006","View Full Record in Web of Science")</f>
        <v>View Full Record in Web of Science</v>
      </c>
    </row>
    <row r="545" spans="1:73" x14ac:dyDescent="0.25">
      <c r="A545" s="1">
        <v>597</v>
      </c>
      <c r="B545" s="1" t="s">
        <v>1506</v>
      </c>
      <c r="C545" s="1" t="s">
        <v>4368</v>
      </c>
      <c r="D545" s="1" t="s">
        <v>1507</v>
      </c>
      <c r="E545" s="1" t="s">
        <v>1507</v>
      </c>
      <c r="F545" s="1" t="s">
        <v>1507</v>
      </c>
      <c r="G545" s="1" t="s">
        <v>4369</v>
      </c>
      <c r="H545" s="1" t="s">
        <v>1507</v>
      </c>
      <c r="I545" s="1" t="s">
        <v>1507</v>
      </c>
      <c r="J545" s="1" t="s">
        <v>4370</v>
      </c>
      <c r="K545" s="1" t="s">
        <v>4371</v>
      </c>
      <c r="L545" s="1" t="s">
        <v>1507</v>
      </c>
      <c r="M545" s="1" t="s">
        <v>1507</v>
      </c>
      <c r="N545" s="1" t="s">
        <v>42</v>
      </c>
      <c r="O545" s="1" t="s">
        <v>56</v>
      </c>
      <c r="P545" s="1" t="s">
        <v>1507</v>
      </c>
      <c r="Q545" s="1" t="s">
        <v>1507</v>
      </c>
      <c r="R545" s="1" t="s">
        <v>1507</v>
      </c>
      <c r="S545" s="1" t="s">
        <v>1507</v>
      </c>
      <c r="T545" s="1" t="s">
        <v>1507</v>
      </c>
      <c r="U545" s="1" t="s">
        <v>4372</v>
      </c>
      <c r="V545" s="1" t="s">
        <v>4373</v>
      </c>
      <c r="W545" s="1" t="s">
        <v>4374</v>
      </c>
      <c r="X545" s="1" t="s">
        <v>4375</v>
      </c>
      <c r="Y545" s="1" t="s">
        <v>4376</v>
      </c>
      <c r="Z545" s="1" t="s">
        <v>4377</v>
      </c>
      <c r="AA545" s="1" t="s">
        <v>4378</v>
      </c>
      <c r="AB545" s="1" t="s">
        <v>4379</v>
      </c>
      <c r="AC545" s="1" t="s">
        <v>1507</v>
      </c>
      <c r="AD545" s="1" t="s">
        <v>4380</v>
      </c>
      <c r="AE545" s="1" t="s">
        <v>4381</v>
      </c>
      <c r="AF545" s="1" t="s">
        <v>4382</v>
      </c>
      <c r="AG545" s="1" t="s">
        <v>1507</v>
      </c>
      <c r="AH545" s="1">
        <v>42</v>
      </c>
      <c r="AI545" s="1">
        <v>2</v>
      </c>
      <c r="AJ545" s="1">
        <v>2</v>
      </c>
      <c r="AK545" s="1">
        <v>13</v>
      </c>
      <c r="AL545" s="1">
        <v>22</v>
      </c>
      <c r="AM545" s="1" t="s">
        <v>1900</v>
      </c>
      <c r="AN545" s="1" t="s">
        <v>1583</v>
      </c>
      <c r="AO545" s="1" t="s">
        <v>1901</v>
      </c>
      <c r="AP545" s="1" t="s">
        <v>4383</v>
      </c>
      <c r="AQ545" s="1" t="s">
        <v>4384</v>
      </c>
      <c r="AR545" s="1" t="s">
        <v>1507</v>
      </c>
      <c r="AS545" s="1" t="s">
        <v>4385</v>
      </c>
      <c r="AT545" s="1" t="s">
        <v>4386</v>
      </c>
      <c r="AU545" s="1" t="s">
        <v>4387</v>
      </c>
      <c r="AV545" s="1">
        <v>2023</v>
      </c>
      <c r="AW545" s="1">
        <v>303</v>
      </c>
      <c r="AX545" s="1" t="s">
        <v>1507</v>
      </c>
      <c r="AY545" s="1" t="s">
        <v>1507</v>
      </c>
      <c r="AZ545" s="1" t="s">
        <v>1507</v>
      </c>
      <c r="BA545" s="1" t="s">
        <v>1507</v>
      </c>
      <c r="BB545" s="1" t="s">
        <v>1507</v>
      </c>
      <c r="BC545" s="1" t="s">
        <v>1507</v>
      </c>
      <c r="BD545" s="1" t="s">
        <v>1507</v>
      </c>
      <c r="BE545" s="1">
        <v>123170</v>
      </c>
      <c r="BF545" s="1" t="s">
        <v>4388</v>
      </c>
      <c r="BG545" s="1" t="str">
        <f>HYPERLINK("http://dx.doi.org/10.1016/j.saa.2023.123170","http://dx.doi.org/10.1016/j.saa.2023.123170")</f>
        <v>http://dx.doi.org/10.1016/j.saa.2023.123170</v>
      </c>
      <c r="BH545" s="1" t="s">
        <v>1507</v>
      </c>
      <c r="BI545" s="1" t="s">
        <v>4389</v>
      </c>
      <c r="BJ545" s="1">
        <v>11</v>
      </c>
      <c r="BK545" s="1" t="s">
        <v>4390</v>
      </c>
      <c r="BL545" s="1" t="s">
        <v>1573</v>
      </c>
      <c r="BM545" s="1" t="s">
        <v>4390</v>
      </c>
      <c r="BN545" s="1" t="s">
        <v>4391</v>
      </c>
      <c r="BO545" s="1">
        <v>37517265</v>
      </c>
      <c r="BP545" s="1" t="s">
        <v>1507</v>
      </c>
      <c r="BQ545" s="1" t="s">
        <v>1507</v>
      </c>
      <c r="BR545" s="1" t="s">
        <v>1507</v>
      </c>
      <c r="BS545" s="1" t="s">
        <v>13744</v>
      </c>
      <c r="BT545" s="1" t="s">
        <v>4392</v>
      </c>
      <c r="BU545" s="1" t="str">
        <f>HYPERLINK("https%3A%2F%2Fwww.webofscience.com%2Fwos%2Fwoscc%2Ffull-record%2FWOS:001058475600001","View Full Record in Web of Science")</f>
        <v>View Full Record in Web of Science</v>
      </c>
    </row>
    <row r="546" spans="1:73" x14ac:dyDescent="0.25">
      <c r="A546" s="1">
        <v>598</v>
      </c>
      <c r="B546" s="1" t="s">
        <v>1506</v>
      </c>
      <c r="C546" s="1" t="s">
        <v>6593</v>
      </c>
      <c r="D546" s="1" t="s">
        <v>1507</v>
      </c>
      <c r="E546" s="1" t="s">
        <v>1507</v>
      </c>
      <c r="F546" s="1" t="s">
        <v>1507</v>
      </c>
      <c r="G546" s="1" t="s">
        <v>6594</v>
      </c>
      <c r="H546" s="1" t="s">
        <v>1507</v>
      </c>
      <c r="I546" s="1" t="s">
        <v>1507</v>
      </c>
      <c r="J546" s="1" t="s">
        <v>6595</v>
      </c>
      <c r="K546" s="1" t="s">
        <v>6596</v>
      </c>
      <c r="L546" s="1" t="s">
        <v>1507</v>
      </c>
      <c r="M546" s="1" t="s">
        <v>1507</v>
      </c>
      <c r="N546" s="1" t="s">
        <v>42</v>
      </c>
      <c r="O546" s="1" t="s">
        <v>56</v>
      </c>
      <c r="P546" s="1" t="s">
        <v>1507</v>
      </c>
      <c r="Q546" s="1" t="s">
        <v>1507</v>
      </c>
      <c r="R546" s="1" t="s">
        <v>1507</v>
      </c>
      <c r="S546" s="1" t="s">
        <v>1507</v>
      </c>
      <c r="T546" s="1" t="s">
        <v>1507</v>
      </c>
      <c r="U546" s="1" t="s">
        <v>6597</v>
      </c>
      <c r="V546" s="1" t="s">
        <v>6598</v>
      </c>
      <c r="W546" s="1" t="s">
        <v>6599</v>
      </c>
      <c r="X546" s="1" t="s">
        <v>6600</v>
      </c>
      <c r="Y546" s="1" t="s">
        <v>6601</v>
      </c>
      <c r="Z546" s="1" t="s">
        <v>6602</v>
      </c>
      <c r="AA546" s="1" t="s">
        <v>6603</v>
      </c>
      <c r="AB546" s="1" t="s">
        <v>1507</v>
      </c>
      <c r="AC546" s="1" t="s">
        <v>1507</v>
      </c>
      <c r="AD546" s="1" t="s">
        <v>6604</v>
      </c>
      <c r="AE546" s="1" t="s">
        <v>6604</v>
      </c>
      <c r="AF546" s="1" t="s">
        <v>6605</v>
      </c>
      <c r="AG546" s="1" t="s">
        <v>1507</v>
      </c>
      <c r="AH546" s="1">
        <v>58</v>
      </c>
      <c r="AI546" s="1">
        <v>0</v>
      </c>
      <c r="AJ546" s="1">
        <v>0</v>
      </c>
      <c r="AK546" s="1">
        <v>2</v>
      </c>
      <c r="AL546" s="1">
        <v>2</v>
      </c>
      <c r="AM546" s="1" t="s">
        <v>6606</v>
      </c>
      <c r="AN546" s="1" t="s">
        <v>6607</v>
      </c>
      <c r="AO546" s="1" t="s">
        <v>6608</v>
      </c>
      <c r="AP546" s="1" t="s">
        <v>6609</v>
      </c>
      <c r="AQ546" s="1" t="s">
        <v>1507</v>
      </c>
      <c r="AR546" s="1" t="s">
        <v>1507</v>
      </c>
      <c r="AS546" s="1" t="s">
        <v>6610</v>
      </c>
      <c r="AT546" s="1" t="s">
        <v>6611</v>
      </c>
      <c r="AU546" s="1" t="s">
        <v>1507</v>
      </c>
      <c r="AV546" s="1">
        <v>2023</v>
      </c>
      <c r="AW546" s="1">
        <v>24</v>
      </c>
      <c r="AX546" s="1">
        <v>4</v>
      </c>
      <c r="AY546" s="1" t="s">
        <v>1507</v>
      </c>
      <c r="AZ546" s="1" t="s">
        <v>1507</v>
      </c>
      <c r="BA546" s="1" t="s">
        <v>1507</v>
      </c>
      <c r="BB546" s="1" t="s">
        <v>1507</v>
      </c>
      <c r="BC546" s="1">
        <v>465</v>
      </c>
      <c r="BD546" s="1">
        <v>496</v>
      </c>
      <c r="BE546" s="1" t="s">
        <v>1507</v>
      </c>
      <c r="BF546" s="1" t="s">
        <v>1507</v>
      </c>
      <c r="BG546" s="1" t="s">
        <v>1507</v>
      </c>
      <c r="BH546" s="1" t="s">
        <v>1507</v>
      </c>
      <c r="BI546" s="1" t="s">
        <v>1507</v>
      </c>
      <c r="BJ546" s="1">
        <v>32</v>
      </c>
      <c r="BK546" s="1" t="s">
        <v>6612</v>
      </c>
      <c r="BL546" s="1" t="s">
        <v>1529</v>
      </c>
      <c r="BM546" s="1" t="s">
        <v>6612</v>
      </c>
      <c r="BN546" s="1" t="s">
        <v>6613</v>
      </c>
      <c r="BO546" s="1" t="s">
        <v>1507</v>
      </c>
      <c r="BP546" s="1" t="s">
        <v>1507</v>
      </c>
      <c r="BQ546" s="1" t="s">
        <v>1507</v>
      </c>
      <c r="BR546" s="1" t="s">
        <v>1507</v>
      </c>
      <c r="BS546" s="1" t="s">
        <v>13744</v>
      </c>
      <c r="BT546" s="1" t="s">
        <v>6614</v>
      </c>
      <c r="BU546" s="1" t="str">
        <f>HYPERLINK("https%3A%2F%2Fwww.webofscience.com%2Fwos%2Fwoscc%2Ffull-record%2FWOS:001147235500003","View Full Record in Web of Science")</f>
        <v>View Full Record in Web of Science</v>
      </c>
    </row>
    <row r="547" spans="1:73" x14ac:dyDescent="0.25">
      <c r="A547" s="1">
        <v>599</v>
      </c>
      <c r="B547" s="1" t="s">
        <v>1506</v>
      </c>
      <c r="C547" s="1" t="s">
        <v>10999</v>
      </c>
      <c r="D547" s="1" t="s">
        <v>1507</v>
      </c>
      <c r="E547" s="1" t="s">
        <v>1507</v>
      </c>
      <c r="F547" s="1" t="s">
        <v>1507</v>
      </c>
      <c r="G547" s="1" t="s">
        <v>11000</v>
      </c>
      <c r="H547" s="1" t="s">
        <v>1507</v>
      </c>
      <c r="I547" s="1" t="s">
        <v>1507</v>
      </c>
      <c r="J547" s="1" t="s">
        <v>11001</v>
      </c>
      <c r="K547" s="1" t="s">
        <v>11002</v>
      </c>
      <c r="L547" s="1" t="s">
        <v>1507</v>
      </c>
      <c r="M547" s="1" t="s">
        <v>1507</v>
      </c>
      <c r="N547" s="1" t="s">
        <v>42</v>
      </c>
      <c r="O547" s="1" t="s">
        <v>56</v>
      </c>
      <c r="P547" s="1" t="s">
        <v>1507</v>
      </c>
      <c r="Q547" s="1" t="s">
        <v>1507</v>
      </c>
      <c r="R547" s="1" t="s">
        <v>1507</v>
      </c>
      <c r="S547" s="1" t="s">
        <v>1507</v>
      </c>
      <c r="T547" s="1" t="s">
        <v>1507</v>
      </c>
      <c r="U547" s="1" t="s">
        <v>11003</v>
      </c>
      <c r="V547" s="1" t="s">
        <v>11004</v>
      </c>
      <c r="W547" s="1" t="s">
        <v>11005</v>
      </c>
      <c r="X547" s="1" t="s">
        <v>11006</v>
      </c>
      <c r="Y547" s="1" t="s">
        <v>11007</v>
      </c>
      <c r="Z547" s="1" t="s">
        <v>11008</v>
      </c>
      <c r="AA547" s="1" t="s">
        <v>11009</v>
      </c>
      <c r="AB547" s="1" t="s">
        <v>1507</v>
      </c>
      <c r="AC547" s="1" t="s">
        <v>11010</v>
      </c>
      <c r="AD547" s="1" t="s">
        <v>11011</v>
      </c>
      <c r="AE547" s="1" t="s">
        <v>11012</v>
      </c>
      <c r="AF547" s="1" t="s">
        <v>11013</v>
      </c>
      <c r="AG547" s="1" t="s">
        <v>1507</v>
      </c>
      <c r="AH547" s="1">
        <v>43</v>
      </c>
      <c r="AI547" s="1">
        <v>8</v>
      </c>
      <c r="AJ547" s="1">
        <v>8</v>
      </c>
      <c r="AK547" s="1">
        <v>0</v>
      </c>
      <c r="AL547" s="1">
        <v>7</v>
      </c>
      <c r="AM547" s="1" t="s">
        <v>11014</v>
      </c>
      <c r="AN547" s="1" t="s">
        <v>11015</v>
      </c>
      <c r="AO547" s="1" t="s">
        <v>11016</v>
      </c>
      <c r="AP547" s="1" t="s">
        <v>11017</v>
      </c>
      <c r="AQ547" s="1" t="s">
        <v>11018</v>
      </c>
      <c r="AR547" s="1" t="s">
        <v>1507</v>
      </c>
      <c r="AS547" s="1" t="s">
        <v>11002</v>
      </c>
      <c r="AT547" s="1" t="s">
        <v>11019</v>
      </c>
      <c r="AU547" s="1" t="s">
        <v>4309</v>
      </c>
      <c r="AV547" s="1">
        <v>2019</v>
      </c>
      <c r="AW547" s="1">
        <v>16</v>
      </c>
      <c r="AX547" s="1">
        <v>4</v>
      </c>
      <c r="AY547" s="1" t="s">
        <v>1507</v>
      </c>
      <c r="AZ547" s="1" t="s">
        <v>1507</v>
      </c>
      <c r="BA547" s="1" t="s">
        <v>1507</v>
      </c>
      <c r="BB547" s="1" t="s">
        <v>1507</v>
      </c>
      <c r="BC547" s="1">
        <v>379</v>
      </c>
      <c r="BD547" s="1">
        <v>387</v>
      </c>
      <c r="BE547" s="1" t="s">
        <v>1507</v>
      </c>
      <c r="BF547" s="1" t="s">
        <v>11020</v>
      </c>
      <c r="BG547" s="1" t="str">
        <f>HYPERLINK("http://dx.doi.org/10.1089/zeb.2019.1731","http://dx.doi.org/10.1089/zeb.2019.1731")</f>
        <v>http://dx.doi.org/10.1089/zeb.2019.1731</v>
      </c>
      <c r="BH547" s="1" t="s">
        <v>1507</v>
      </c>
      <c r="BI547" s="1" t="s">
        <v>11021</v>
      </c>
      <c r="BJ547" s="1">
        <v>9</v>
      </c>
      <c r="BK547" s="1" t="s">
        <v>11022</v>
      </c>
      <c r="BL547" s="1" t="s">
        <v>1573</v>
      </c>
      <c r="BM547" s="1" t="s">
        <v>11022</v>
      </c>
      <c r="BN547" s="1" t="s">
        <v>11023</v>
      </c>
      <c r="BO547" s="1">
        <v>31145051</v>
      </c>
      <c r="BP547" s="1" t="s">
        <v>5071</v>
      </c>
      <c r="BQ547" s="1" t="s">
        <v>1507</v>
      </c>
      <c r="BR547" s="1" t="s">
        <v>1507</v>
      </c>
      <c r="BS547" s="1" t="s">
        <v>13744</v>
      </c>
      <c r="BT547" s="1" t="s">
        <v>11024</v>
      </c>
      <c r="BU547" s="1" t="str">
        <f>HYPERLINK("https%3A%2F%2Fwww.webofscience.com%2Fwos%2Fwoscc%2Ffull-record%2FWOS:000469516000001","View Full Record in Web of Science")</f>
        <v>View Full Record in Web of Science</v>
      </c>
    </row>
    <row r="548" spans="1:73" x14ac:dyDescent="0.25">
      <c r="A548" s="1">
        <v>600</v>
      </c>
      <c r="B548" s="1" t="s">
        <v>1506</v>
      </c>
      <c r="C548" s="1" t="s">
        <v>4790</v>
      </c>
      <c r="D548" s="1" t="s">
        <v>1507</v>
      </c>
      <c r="E548" s="1" t="s">
        <v>1507</v>
      </c>
      <c r="F548" s="1" t="s">
        <v>1507</v>
      </c>
      <c r="G548" s="1" t="s">
        <v>4791</v>
      </c>
      <c r="H548" s="1" t="s">
        <v>1507</v>
      </c>
      <c r="I548" s="1" t="s">
        <v>1507</v>
      </c>
      <c r="J548" s="1" t="s">
        <v>4792</v>
      </c>
      <c r="K548" s="1" t="s">
        <v>4793</v>
      </c>
      <c r="L548" s="1" t="s">
        <v>1507</v>
      </c>
      <c r="M548" s="1" t="s">
        <v>1507</v>
      </c>
      <c r="N548" s="1" t="s">
        <v>42</v>
      </c>
      <c r="O548" s="1" t="s">
        <v>56</v>
      </c>
      <c r="P548" s="1" t="s">
        <v>1507</v>
      </c>
      <c r="Q548" s="1" t="s">
        <v>1507</v>
      </c>
      <c r="R548" s="1" t="s">
        <v>1507</v>
      </c>
      <c r="S548" s="1" t="s">
        <v>1507</v>
      </c>
      <c r="T548" s="1" t="s">
        <v>1507</v>
      </c>
      <c r="U548" s="1" t="s">
        <v>4794</v>
      </c>
      <c r="V548" s="1" t="s">
        <v>4795</v>
      </c>
      <c r="W548" s="1" t="s">
        <v>4796</v>
      </c>
      <c r="X548" s="1" t="s">
        <v>4797</v>
      </c>
      <c r="Y548" s="1" t="s">
        <v>4798</v>
      </c>
      <c r="Z548" s="1" t="s">
        <v>4799</v>
      </c>
      <c r="AA548" s="1" t="s">
        <v>4800</v>
      </c>
      <c r="AB548" s="1" t="s">
        <v>4801</v>
      </c>
      <c r="AC548" s="1" t="s">
        <v>1507</v>
      </c>
      <c r="AD548" s="1" t="s">
        <v>4802</v>
      </c>
      <c r="AE548" s="1" t="s">
        <v>4803</v>
      </c>
      <c r="AF548" s="1" t="s">
        <v>4804</v>
      </c>
      <c r="AG548" s="1" t="s">
        <v>1507</v>
      </c>
      <c r="AH548" s="1">
        <v>39</v>
      </c>
      <c r="AI548" s="1">
        <v>0</v>
      </c>
      <c r="AJ548" s="1">
        <v>0</v>
      </c>
      <c r="AK548" s="1">
        <v>1</v>
      </c>
      <c r="AL548" s="1">
        <v>1</v>
      </c>
      <c r="AM548" s="1" t="s">
        <v>4805</v>
      </c>
      <c r="AN548" s="1" t="s">
        <v>4806</v>
      </c>
      <c r="AO548" s="1" t="s">
        <v>4807</v>
      </c>
      <c r="AP548" s="1" t="s">
        <v>4808</v>
      </c>
      <c r="AQ548" s="1" t="s">
        <v>4809</v>
      </c>
      <c r="AR548" s="1" t="s">
        <v>1507</v>
      </c>
      <c r="AS548" s="1" t="s">
        <v>4810</v>
      </c>
      <c r="AT548" s="1" t="s">
        <v>1365</v>
      </c>
      <c r="AU548" s="1" t="s">
        <v>4721</v>
      </c>
      <c r="AV548" s="1">
        <v>2023</v>
      </c>
      <c r="AW548" s="1">
        <v>13</v>
      </c>
      <c r="AX548" s="1">
        <v>2</v>
      </c>
      <c r="AY548" s="1" t="s">
        <v>1507</v>
      </c>
      <c r="AZ548" s="1" t="s">
        <v>1507</v>
      </c>
      <c r="BA548" s="1" t="s">
        <v>1507</v>
      </c>
      <c r="BB548" s="1" t="s">
        <v>1507</v>
      </c>
      <c r="BC548" s="1">
        <v>153</v>
      </c>
      <c r="BD548" s="1">
        <v>180</v>
      </c>
      <c r="BE548" s="1" t="s">
        <v>1507</v>
      </c>
      <c r="BF548" s="1" t="s">
        <v>1507</v>
      </c>
      <c r="BG548" s="1" t="s">
        <v>1507</v>
      </c>
      <c r="BH548" s="1" t="s">
        <v>1507</v>
      </c>
      <c r="BI548" s="1" t="s">
        <v>1507</v>
      </c>
      <c r="BJ548" s="1">
        <v>28</v>
      </c>
      <c r="BK548" s="1" t="s">
        <v>1535</v>
      </c>
      <c r="BL548" s="1" t="s">
        <v>1518</v>
      </c>
      <c r="BM548" s="1" t="s">
        <v>1536</v>
      </c>
      <c r="BN548" s="1" t="s">
        <v>4811</v>
      </c>
      <c r="BO548" s="1" t="s">
        <v>1507</v>
      </c>
      <c r="BP548" s="1" t="s">
        <v>1507</v>
      </c>
      <c r="BQ548" s="1" t="s">
        <v>1507</v>
      </c>
      <c r="BR548" s="1" t="s">
        <v>1507</v>
      </c>
      <c r="BS548" s="1" t="s">
        <v>13744</v>
      </c>
      <c r="BT548" s="1" t="s">
        <v>4812</v>
      </c>
      <c r="BU548" s="1" t="str">
        <f>HYPERLINK("https%3A%2F%2Fwww.webofscience.com%2Fwos%2Fwoscc%2Ffull-record%2FWOS:001096015800002","View Full Record in Web of Science")</f>
        <v>View Full Record in Web of Science</v>
      </c>
    </row>
    <row r="549" spans="1:73" x14ac:dyDescent="0.25">
      <c r="A549" s="1">
        <v>601</v>
      </c>
      <c r="B549" s="1" t="s">
        <v>5546</v>
      </c>
      <c r="C549" s="1" t="s">
        <v>15512</v>
      </c>
      <c r="D549" s="1" t="s">
        <v>1507</v>
      </c>
      <c r="E549" s="1" t="s">
        <v>1507</v>
      </c>
      <c r="F549" s="1" t="s">
        <v>5548</v>
      </c>
      <c r="G549" s="1" t="s">
        <v>15513</v>
      </c>
      <c r="H549" s="1" t="s">
        <v>1507</v>
      </c>
      <c r="I549" s="1" t="s">
        <v>1507</v>
      </c>
      <c r="J549" s="1" t="s">
        <v>15514</v>
      </c>
      <c r="K549" s="1" t="s">
        <v>14946</v>
      </c>
      <c r="L549" s="1" t="s">
        <v>1507</v>
      </c>
      <c r="M549" s="1" t="s">
        <v>1507</v>
      </c>
      <c r="N549" s="1" t="s">
        <v>42</v>
      </c>
      <c r="O549" s="1" t="s">
        <v>5552</v>
      </c>
      <c r="P549" s="1" t="s">
        <v>14947</v>
      </c>
      <c r="Q549" s="1" t="s">
        <v>6409</v>
      </c>
      <c r="R549" s="1" t="s">
        <v>14948</v>
      </c>
      <c r="S549" s="1" t="s">
        <v>14949</v>
      </c>
      <c r="T549" s="1" t="s">
        <v>1507</v>
      </c>
      <c r="U549" s="1" t="s">
        <v>15515</v>
      </c>
      <c r="V549" s="1" t="s">
        <v>1507</v>
      </c>
      <c r="W549" s="1" t="s">
        <v>15516</v>
      </c>
      <c r="X549" s="1" t="s">
        <v>15517</v>
      </c>
      <c r="Y549" s="1" t="s">
        <v>15518</v>
      </c>
      <c r="Z549" s="1" t="s">
        <v>15519</v>
      </c>
      <c r="AA549" s="1" t="s">
        <v>15520</v>
      </c>
      <c r="AB549" s="1" t="s">
        <v>1507</v>
      </c>
      <c r="AC549" s="1" t="s">
        <v>1507</v>
      </c>
      <c r="AD549" s="1" t="s">
        <v>15521</v>
      </c>
      <c r="AE549" s="1" t="s">
        <v>15522</v>
      </c>
      <c r="AF549" s="1" t="s">
        <v>15523</v>
      </c>
      <c r="AG549" s="1" t="s">
        <v>1507</v>
      </c>
      <c r="AH549" s="1">
        <v>40</v>
      </c>
      <c r="AI549" s="1">
        <v>0</v>
      </c>
      <c r="AJ549" s="1">
        <v>0</v>
      </c>
      <c r="AK549" s="1">
        <v>1</v>
      </c>
      <c r="AL549" s="1">
        <v>1</v>
      </c>
      <c r="AM549" s="1" t="s">
        <v>5565</v>
      </c>
      <c r="AN549" s="1" t="s">
        <v>1512</v>
      </c>
      <c r="AO549" s="1" t="s">
        <v>5566</v>
      </c>
      <c r="AP549" s="1" t="s">
        <v>1507</v>
      </c>
      <c r="AQ549" s="1" t="s">
        <v>1507</v>
      </c>
      <c r="AR549" s="1" t="s">
        <v>14957</v>
      </c>
      <c r="AS549" s="1" t="s">
        <v>1507</v>
      </c>
      <c r="AT549" s="1" t="s">
        <v>1507</v>
      </c>
      <c r="AU549" s="1" t="s">
        <v>1507</v>
      </c>
      <c r="AV549" s="1">
        <v>2023</v>
      </c>
      <c r="AW549" s="1" t="s">
        <v>1507</v>
      </c>
      <c r="AX549" s="1" t="s">
        <v>1507</v>
      </c>
      <c r="AY549" s="1" t="s">
        <v>1507</v>
      </c>
      <c r="AZ549" s="1" t="s">
        <v>1507</v>
      </c>
      <c r="BA549" s="1" t="s">
        <v>1507</v>
      </c>
      <c r="BB549" s="1" t="s">
        <v>1507</v>
      </c>
      <c r="BC549" s="1">
        <v>5564</v>
      </c>
      <c r="BD549" s="1">
        <v>5575</v>
      </c>
      <c r="BE549" s="1" t="s">
        <v>1507</v>
      </c>
      <c r="BF549" s="1" t="s">
        <v>15524</v>
      </c>
      <c r="BG549" s="1" t="str">
        <f>HYPERLINK("http://dx.doi.org/10.1145/3580305.3599832","http://dx.doi.org/10.1145/3580305.3599832")</f>
        <v>http://dx.doi.org/10.1145/3580305.3599832</v>
      </c>
      <c r="BH549" s="1" t="s">
        <v>1507</v>
      </c>
      <c r="BI549" s="1" t="s">
        <v>1507</v>
      </c>
      <c r="BJ549" s="1">
        <v>12</v>
      </c>
      <c r="BK549" s="1" t="s">
        <v>14958</v>
      </c>
      <c r="BL549" s="1" t="s">
        <v>5570</v>
      </c>
      <c r="BM549" s="1" t="s">
        <v>1577</v>
      </c>
      <c r="BN549" s="1" t="s">
        <v>14959</v>
      </c>
      <c r="BO549" s="1" t="s">
        <v>1507</v>
      </c>
      <c r="BP549" s="1" t="s">
        <v>1600</v>
      </c>
      <c r="BQ549" s="1" t="s">
        <v>1507</v>
      </c>
      <c r="BR549" s="1" t="s">
        <v>1507</v>
      </c>
      <c r="BS549" s="1" t="s">
        <v>13744</v>
      </c>
      <c r="BT549" s="1" t="s">
        <v>15525</v>
      </c>
      <c r="BU549" s="1" t="str">
        <f>HYPERLINK("https%3A%2F%2Fwww.webofscience.com%2Fwos%2Fwoscc%2Ffull-record%2FWOS:001118896305054","View Full Record in Web of Science")</f>
        <v>View Full Record in Web of Science</v>
      </c>
    </row>
    <row r="550" spans="1:73" x14ac:dyDescent="0.25">
      <c r="A550" s="1">
        <v>602</v>
      </c>
      <c r="B550" s="1" t="s">
        <v>5546</v>
      </c>
      <c r="C550" s="1" t="s">
        <v>6615</v>
      </c>
      <c r="D550" s="1" t="s">
        <v>1507</v>
      </c>
      <c r="E550" s="1" t="s">
        <v>6616</v>
      </c>
      <c r="F550" s="1" t="s">
        <v>1507</v>
      </c>
      <c r="G550" s="1" t="s">
        <v>6617</v>
      </c>
      <c r="H550" s="1" t="s">
        <v>1507</v>
      </c>
      <c r="I550" s="1" t="s">
        <v>1507</v>
      </c>
      <c r="J550" s="1" t="s">
        <v>6618</v>
      </c>
      <c r="K550" s="1" t="s">
        <v>6619</v>
      </c>
      <c r="L550" s="1" t="s">
        <v>1507</v>
      </c>
      <c r="M550" s="1" t="s">
        <v>1507</v>
      </c>
      <c r="N550" s="1" t="s">
        <v>42</v>
      </c>
      <c r="O550" s="1" t="s">
        <v>5552</v>
      </c>
      <c r="P550" s="1" t="s">
        <v>6620</v>
      </c>
      <c r="Q550" s="1" t="s">
        <v>6621</v>
      </c>
      <c r="R550" s="1" t="s">
        <v>6622</v>
      </c>
      <c r="S550" s="1" t="s">
        <v>6623</v>
      </c>
      <c r="T550" s="1" t="s">
        <v>1507</v>
      </c>
      <c r="U550" s="1" t="s">
        <v>6624</v>
      </c>
      <c r="V550" s="1" t="s">
        <v>1507</v>
      </c>
      <c r="W550" s="1" t="s">
        <v>6625</v>
      </c>
      <c r="X550" s="1" t="s">
        <v>6626</v>
      </c>
      <c r="Y550" s="1" t="s">
        <v>6627</v>
      </c>
      <c r="Z550" s="1" t="s">
        <v>6628</v>
      </c>
      <c r="AA550" s="1" t="s">
        <v>6629</v>
      </c>
      <c r="AB550" s="1" t="s">
        <v>1507</v>
      </c>
      <c r="AC550" s="1" t="s">
        <v>1507</v>
      </c>
      <c r="AD550" s="1" t="s">
        <v>6630</v>
      </c>
      <c r="AE550" s="1" t="s">
        <v>6631</v>
      </c>
      <c r="AF550" s="1" t="s">
        <v>6632</v>
      </c>
      <c r="AG550" s="1" t="s">
        <v>1507</v>
      </c>
      <c r="AH550" s="1">
        <v>60</v>
      </c>
      <c r="AI550" s="1">
        <v>0</v>
      </c>
      <c r="AJ550" s="1">
        <v>0</v>
      </c>
      <c r="AK550" s="1">
        <v>3</v>
      </c>
      <c r="AL550" s="1">
        <v>3</v>
      </c>
      <c r="AM550" s="1" t="s">
        <v>5565</v>
      </c>
      <c r="AN550" s="1" t="s">
        <v>1512</v>
      </c>
      <c r="AO550" s="1" t="s">
        <v>5566</v>
      </c>
      <c r="AP550" s="1" t="s">
        <v>1507</v>
      </c>
      <c r="AQ550" s="1" t="s">
        <v>1507</v>
      </c>
      <c r="AR550" s="1" t="s">
        <v>6633</v>
      </c>
      <c r="AS550" s="1" t="s">
        <v>1507</v>
      </c>
      <c r="AT550" s="1" t="s">
        <v>1507</v>
      </c>
      <c r="AU550" s="1" t="s">
        <v>1507</v>
      </c>
      <c r="AV550" s="1">
        <v>2023</v>
      </c>
      <c r="AW550" s="1" t="s">
        <v>1507</v>
      </c>
      <c r="AX550" s="1" t="s">
        <v>1507</v>
      </c>
      <c r="AY550" s="1" t="s">
        <v>1507</v>
      </c>
      <c r="AZ550" s="1" t="s">
        <v>1507</v>
      </c>
      <c r="BA550" s="1" t="s">
        <v>1507</v>
      </c>
      <c r="BB550" s="1" t="s">
        <v>1507</v>
      </c>
      <c r="BC550" s="1">
        <v>695</v>
      </c>
      <c r="BD550" s="1">
        <v>707</v>
      </c>
      <c r="BE550" s="1" t="s">
        <v>1507</v>
      </c>
      <c r="BF550" s="1" t="s">
        <v>6634</v>
      </c>
      <c r="BG550" s="1" t="str">
        <f>HYPERLINK("http://dx.doi.org/10.1145/3611643.3616350","http://dx.doi.org/10.1145/3611643.3616350")</f>
        <v>http://dx.doi.org/10.1145/3611643.3616350</v>
      </c>
      <c r="BH550" s="1" t="s">
        <v>1507</v>
      </c>
      <c r="BI550" s="1" t="s">
        <v>1507</v>
      </c>
      <c r="BJ550" s="1">
        <v>13</v>
      </c>
      <c r="BK550" s="1" t="s">
        <v>6635</v>
      </c>
      <c r="BL550" s="1" t="s">
        <v>5570</v>
      </c>
      <c r="BM550" s="1" t="s">
        <v>1577</v>
      </c>
      <c r="BN550" s="1" t="s">
        <v>6636</v>
      </c>
      <c r="BO550" s="1" t="s">
        <v>1507</v>
      </c>
      <c r="BP550" s="1" t="s">
        <v>1574</v>
      </c>
      <c r="BQ550" s="1" t="s">
        <v>1507</v>
      </c>
      <c r="BR550" s="1" t="s">
        <v>1507</v>
      </c>
      <c r="BS550" s="1" t="s">
        <v>13744</v>
      </c>
      <c r="BT550" s="1" t="s">
        <v>6637</v>
      </c>
      <c r="BU550" s="1" t="str">
        <f>HYPERLINK("https%3A%2F%2Fwww.webofscience.com%2Fwos%2Fwoscc%2Ffull-record%2FWOS:001148157800057","View Full Record in Web of Science")</f>
        <v>View Full Record in Web of Science</v>
      </c>
    </row>
    <row r="551" spans="1:73" x14ac:dyDescent="0.25">
      <c r="A551" s="1">
        <v>603</v>
      </c>
      <c r="B551" s="1" t="s">
        <v>5546</v>
      </c>
      <c r="C551" s="1" t="s">
        <v>7918</v>
      </c>
      <c r="D551" s="1" t="s">
        <v>1507</v>
      </c>
      <c r="E551" s="1" t="s">
        <v>1507</v>
      </c>
      <c r="F551" s="1" t="s">
        <v>5565</v>
      </c>
      <c r="G551" s="1" t="s">
        <v>7919</v>
      </c>
      <c r="H551" s="1" t="s">
        <v>1507</v>
      </c>
      <c r="I551" s="1" t="s">
        <v>1507</v>
      </c>
      <c r="J551" s="1" t="s">
        <v>7920</v>
      </c>
      <c r="K551" s="1" t="s">
        <v>7921</v>
      </c>
      <c r="L551" s="1" t="s">
        <v>6015</v>
      </c>
      <c r="M551" s="1" t="s">
        <v>1507</v>
      </c>
      <c r="N551" s="1" t="s">
        <v>42</v>
      </c>
      <c r="O551" s="1" t="s">
        <v>5552</v>
      </c>
      <c r="P551" s="1" t="s">
        <v>7922</v>
      </c>
      <c r="Q551" s="1" t="s">
        <v>7923</v>
      </c>
      <c r="R551" s="1" t="s">
        <v>7924</v>
      </c>
      <c r="S551" s="1" t="s">
        <v>7925</v>
      </c>
      <c r="T551" s="1" t="s">
        <v>7926</v>
      </c>
      <c r="U551" s="1" t="s">
        <v>7927</v>
      </c>
      <c r="V551" s="1" t="s">
        <v>1507</v>
      </c>
      <c r="W551" s="1" t="s">
        <v>7928</v>
      </c>
      <c r="X551" s="1" t="s">
        <v>7929</v>
      </c>
      <c r="Y551" s="1" t="s">
        <v>6627</v>
      </c>
      <c r="Z551" s="1" t="s">
        <v>7930</v>
      </c>
      <c r="AA551" s="1" t="s">
        <v>7931</v>
      </c>
      <c r="AB551" s="1" t="s">
        <v>7932</v>
      </c>
      <c r="AC551" s="1" t="s">
        <v>1507</v>
      </c>
      <c r="AD551" s="1" t="s">
        <v>7933</v>
      </c>
      <c r="AE551" s="1" t="s">
        <v>6631</v>
      </c>
      <c r="AF551" s="1" t="s">
        <v>7934</v>
      </c>
      <c r="AG551" s="1" t="s">
        <v>1507</v>
      </c>
      <c r="AH551" s="1">
        <v>63</v>
      </c>
      <c r="AI551" s="1">
        <v>11</v>
      </c>
      <c r="AJ551" s="1">
        <v>12</v>
      </c>
      <c r="AK551" s="1">
        <v>4</v>
      </c>
      <c r="AL551" s="1">
        <v>4</v>
      </c>
      <c r="AM551" s="1" t="s">
        <v>5565</v>
      </c>
      <c r="AN551" s="1" t="s">
        <v>1512</v>
      </c>
      <c r="AO551" s="1" t="s">
        <v>5566</v>
      </c>
      <c r="AP551" s="1" t="s">
        <v>6030</v>
      </c>
      <c r="AQ551" s="1" t="s">
        <v>1507</v>
      </c>
      <c r="AR551" s="1" t="s">
        <v>7935</v>
      </c>
      <c r="AS551" s="1" t="s">
        <v>6032</v>
      </c>
      <c r="AT551" s="1" t="s">
        <v>1507</v>
      </c>
      <c r="AU551" s="1" t="s">
        <v>1507</v>
      </c>
      <c r="AV551" s="1">
        <v>2022</v>
      </c>
      <c r="AW551" s="1" t="s">
        <v>1507</v>
      </c>
      <c r="AX551" s="1" t="s">
        <v>1507</v>
      </c>
      <c r="AY551" s="1" t="s">
        <v>1507</v>
      </c>
      <c r="AZ551" s="1" t="s">
        <v>1507</v>
      </c>
      <c r="BA551" s="1" t="s">
        <v>1507</v>
      </c>
      <c r="BB551" s="1" t="s">
        <v>1507</v>
      </c>
      <c r="BC551" s="1" t="s">
        <v>1507</v>
      </c>
      <c r="BD551" s="1" t="s">
        <v>1507</v>
      </c>
      <c r="BE551" s="1">
        <v>22</v>
      </c>
      <c r="BF551" s="1" t="s">
        <v>7936</v>
      </c>
      <c r="BG551" s="1" t="str">
        <f>HYPERLINK("http://dx.doi.org/10.1145/3551349.3556955","http://dx.doi.org/10.1145/3551349.3556955")</f>
        <v>http://dx.doi.org/10.1145/3551349.3556955</v>
      </c>
      <c r="BH551" s="1" t="s">
        <v>1507</v>
      </c>
      <c r="BI551" s="1" t="s">
        <v>1507</v>
      </c>
      <c r="BJ551" s="1">
        <v>12</v>
      </c>
      <c r="BK551" s="1" t="s">
        <v>7937</v>
      </c>
      <c r="BL551" s="1" t="s">
        <v>5570</v>
      </c>
      <c r="BM551" s="1" t="s">
        <v>6035</v>
      </c>
      <c r="BN551" s="1" t="s">
        <v>7938</v>
      </c>
      <c r="BO551" s="1" t="s">
        <v>1507</v>
      </c>
      <c r="BP551" s="1" t="s">
        <v>7776</v>
      </c>
      <c r="BQ551" s="1" t="s">
        <v>1507</v>
      </c>
      <c r="BR551" s="1" t="s">
        <v>1507</v>
      </c>
      <c r="BS551" s="1" t="s">
        <v>13744</v>
      </c>
      <c r="BT551" s="1" t="s">
        <v>7939</v>
      </c>
      <c r="BU551" s="1" t="str">
        <f>HYPERLINK("https%3A%2F%2Fwww.webofscience.com%2Fwos%2Fwoscc%2Ffull-record%2FWOS:001062775200063","View Full Record in Web of Science")</f>
        <v>View Full Record in Web of Science</v>
      </c>
    </row>
    <row r="552" spans="1:73" x14ac:dyDescent="0.25">
      <c r="A552" s="1">
        <v>604</v>
      </c>
      <c r="B552" s="1" t="s">
        <v>1506</v>
      </c>
      <c r="C552" s="1" t="s">
        <v>10608</v>
      </c>
      <c r="D552" s="1" t="s">
        <v>1507</v>
      </c>
      <c r="E552" s="1" t="s">
        <v>1507</v>
      </c>
      <c r="F552" s="1" t="s">
        <v>1507</v>
      </c>
      <c r="G552" s="1" t="s">
        <v>10609</v>
      </c>
      <c r="H552" s="1" t="s">
        <v>1507</v>
      </c>
      <c r="I552" s="1" t="s">
        <v>1507</v>
      </c>
      <c r="J552" s="1" t="s">
        <v>10610</v>
      </c>
      <c r="K552" s="1" t="s">
        <v>7563</v>
      </c>
      <c r="L552" s="1" t="s">
        <v>1507</v>
      </c>
      <c r="M552" s="1" t="s">
        <v>1507</v>
      </c>
      <c r="N552" s="1" t="s">
        <v>42</v>
      </c>
      <c r="O552" s="1" t="s">
        <v>56</v>
      </c>
      <c r="P552" s="1" t="s">
        <v>1507</v>
      </c>
      <c r="Q552" s="1" t="s">
        <v>1507</v>
      </c>
      <c r="R552" s="1" t="s">
        <v>1507</v>
      </c>
      <c r="S552" s="1" t="s">
        <v>1507</v>
      </c>
      <c r="T552" s="1" t="s">
        <v>1507</v>
      </c>
      <c r="U552" s="1" t="s">
        <v>1507</v>
      </c>
      <c r="V552" s="1" t="s">
        <v>10611</v>
      </c>
      <c r="W552" s="1" t="s">
        <v>10612</v>
      </c>
      <c r="X552" s="1" t="s">
        <v>10613</v>
      </c>
      <c r="Y552" s="1" t="s">
        <v>10614</v>
      </c>
      <c r="Z552" s="1" t="s">
        <v>10615</v>
      </c>
      <c r="AA552" s="1" t="s">
        <v>10616</v>
      </c>
      <c r="AB552" s="1" t="s">
        <v>15871</v>
      </c>
      <c r="AC552" s="1" t="s">
        <v>15872</v>
      </c>
      <c r="AD552" s="1" t="s">
        <v>10617</v>
      </c>
      <c r="AE552" s="1" t="s">
        <v>10618</v>
      </c>
      <c r="AF552" s="1" t="s">
        <v>10619</v>
      </c>
      <c r="AG552" s="1" t="s">
        <v>1507</v>
      </c>
      <c r="AH552" s="1">
        <v>50</v>
      </c>
      <c r="AI552" s="1">
        <v>363</v>
      </c>
      <c r="AJ552" s="1">
        <v>372</v>
      </c>
      <c r="AK552" s="1">
        <v>81</v>
      </c>
      <c r="AL552" s="1">
        <v>632</v>
      </c>
      <c r="AM552" s="1" t="s">
        <v>10620</v>
      </c>
      <c r="AN552" s="1" t="s">
        <v>1551</v>
      </c>
      <c r="AO552" s="1" t="s">
        <v>10621</v>
      </c>
      <c r="AP552" s="1" t="s">
        <v>7572</v>
      </c>
      <c r="AQ552" s="1" t="s">
        <v>1507</v>
      </c>
      <c r="AR552" s="1" t="s">
        <v>1507</v>
      </c>
      <c r="AS552" s="1" t="s">
        <v>7573</v>
      </c>
      <c r="AT552" s="1" t="s">
        <v>7574</v>
      </c>
      <c r="AU552" s="1" t="s">
        <v>9485</v>
      </c>
      <c r="AV552" s="1">
        <v>2019</v>
      </c>
      <c r="AW552" s="1">
        <v>10</v>
      </c>
      <c r="AX552" s="1" t="s">
        <v>1507</v>
      </c>
      <c r="AY552" s="1" t="s">
        <v>1507</v>
      </c>
      <c r="AZ552" s="1" t="s">
        <v>1507</v>
      </c>
      <c r="BA552" s="1" t="s">
        <v>1507</v>
      </c>
      <c r="BB552" s="1" t="s">
        <v>1507</v>
      </c>
      <c r="BC552" s="1" t="s">
        <v>1507</v>
      </c>
      <c r="BD552" s="1" t="s">
        <v>1507</v>
      </c>
      <c r="BE552" s="1">
        <v>4936</v>
      </c>
      <c r="BF552" s="1" t="s">
        <v>10622</v>
      </c>
      <c r="BG552" s="1" t="str">
        <f>HYPERLINK("http://dx.doi.org/10.1038/s41467-019-12887-y","http://dx.doi.org/10.1038/s41467-019-12887-y")</f>
        <v>http://dx.doi.org/10.1038/s41467-019-12887-y</v>
      </c>
      <c r="BH552" s="1" t="s">
        <v>1507</v>
      </c>
      <c r="BI552" s="1" t="s">
        <v>1507</v>
      </c>
      <c r="BJ552" s="1">
        <v>11</v>
      </c>
      <c r="BK552" s="1" t="s">
        <v>1776</v>
      </c>
      <c r="BL552" s="1" t="s">
        <v>1573</v>
      </c>
      <c r="BM552" s="1" t="s">
        <v>1777</v>
      </c>
      <c r="BN552" s="1" t="s">
        <v>10623</v>
      </c>
      <c r="BO552" s="1">
        <v>31666505</v>
      </c>
      <c r="BP552" s="1" t="s">
        <v>1674</v>
      </c>
      <c r="BQ552" s="1" t="s">
        <v>1507</v>
      </c>
      <c r="BR552" s="1" t="s">
        <v>1507</v>
      </c>
      <c r="BS552" s="1" t="s">
        <v>13744</v>
      </c>
      <c r="BT552" s="1" t="s">
        <v>10624</v>
      </c>
      <c r="BU552" s="1" t="str">
        <f>HYPERLINK("https%3A%2F%2Fwww.webofscience.com%2Fwos%2Fwoscc%2Ffull-record%2FWOS:000493275600010","View Full Record in Web of Science")</f>
        <v>View Full Record in Web of Science</v>
      </c>
    </row>
    <row r="553" spans="1:73" x14ac:dyDescent="0.25">
      <c r="A553" s="1">
        <v>606</v>
      </c>
      <c r="B553" s="1" t="s">
        <v>1506</v>
      </c>
      <c r="C553" s="1" t="s">
        <v>10508</v>
      </c>
      <c r="D553" s="1" t="s">
        <v>1507</v>
      </c>
      <c r="E553" s="1" t="s">
        <v>1507</v>
      </c>
      <c r="F553" s="1" t="s">
        <v>1507</v>
      </c>
      <c r="G553" s="1" t="s">
        <v>10509</v>
      </c>
      <c r="H553" s="1" t="s">
        <v>1507</v>
      </c>
      <c r="I553" s="1" t="s">
        <v>1507</v>
      </c>
      <c r="J553" s="1" t="s">
        <v>10510</v>
      </c>
      <c r="K553" s="1" t="s">
        <v>10511</v>
      </c>
      <c r="L553" s="1" t="s">
        <v>1507</v>
      </c>
      <c r="M553" s="1" t="s">
        <v>1507</v>
      </c>
      <c r="N553" s="1" t="s">
        <v>42</v>
      </c>
      <c r="O553" s="1" t="s">
        <v>56</v>
      </c>
      <c r="P553" s="1" t="s">
        <v>1507</v>
      </c>
      <c r="Q553" s="1" t="s">
        <v>1507</v>
      </c>
      <c r="R553" s="1" t="s">
        <v>1507</v>
      </c>
      <c r="S553" s="1" t="s">
        <v>1507</v>
      </c>
      <c r="T553" s="1" t="s">
        <v>1507</v>
      </c>
      <c r="U553" s="1" t="s">
        <v>1507</v>
      </c>
      <c r="V553" s="1" t="s">
        <v>10512</v>
      </c>
      <c r="W553" s="1" t="s">
        <v>10513</v>
      </c>
      <c r="X553" s="1" t="s">
        <v>10514</v>
      </c>
      <c r="Y553" s="1" t="s">
        <v>10515</v>
      </c>
      <c r="Z553" s="1" t="s">
        <v>10516</v>
      </c>
      <c r="AA553" s="1" t="s">
        <v>10517</v>
      </c>
      <c r="AB553" s="1" t="s">
        <v>15861</v>
      </c>
      <c r="AC553" s="1" t="s">
        <v>15862</v>
      </c>
      <c r="AD553" s="1" t="s">
        <v>10518</v>
      </c>
      <c r="AE553" s="1" t="s">
        <v>10519</v>
      </c>
      <c r="AF553" s="1" t="s">
        <v>10520</v>
      </c>
      <c r="AG553" s="1" t="s">
        <v>1507</v>
      </c>
      <c r="AH553" s="1">
        <v>86</v>
      </c>
      <c r="AI553" s="1">
        <v>40</v>
      </c>
      <c r="AJ553" s="1">
        <v>40</v>
      </c>
      <c r="AK553" s="1">
        <v>7</v>
      </c>
      <c r="AL553" s="1">
        <v>97</v>
      </c>
      <c r="AM553" s="1" t="s">
        <v>1522</v>
      </c>
      <c r="AN553" s="1" t="s">
        <v>1523</v>
      </c>
      <c r="AO553" s="1" t="s">
        <v>1524</v>
      </c>
      <c r="AP553" s="1" t="s">
        <v>10521</v>
      </c>
      <c r="AQ553" s="1" t="s">
        <v>10522</v>
      </c>
      <c r="AR553" s="1" t="s">
        <v>1507</v>
      </c>
      <c r="AS553" s="1" t="s">
        <v>10523</v>
      </c>
      <c r="AT553" s="1" t="s">
        <v>10524</v>
      </c>
      <c r="AU553" s="1" t="s">
        <v>10525</v>
      </c>
      <c r="AV553" s="1">
        <v>2019</v>
      </c>
      <c r="AW553" s="1">
        <v>10</v>
      </c>
      <c r="AX553" s="1">
        <v>43</v>
      </c>
      <c r="AY553" s="1" t="s">
        <v>1507</v>
      </c>
      <c r="AZ553" s="1" t="s">
        <v>1507</v>
      </c>
      <c r="BA553" s="1" t="s">
        <v>1507</v>
      </c>
      <c r="BB553" s="1" t="s">
        <v>1507</v>
      </c>
      <c r="BC553" s="1">
        <v>10122</v>
      </c>
      <c r="BD553" s="1">
        <v>10128</v>
      </c>
      <c r="BE553" s="1" t="s">
        <v>1507</v>
      </c>
      <c r="BF553" s="1" t="s">
        <v>10526</v>
      </c>
      <c r="BG553" s="1" t="str">
        <f>HYPERLINK("http://dx.doi.org/10.1039/c9sc03455b","http://dx.doi.org/10.1039/c9sc03455b")</f>
        <v>http://dx.doi.org/10.1039/c9sc03455b</v>
      </c>
      <c r="BH553" s="1" t="s">
        <v>1507</v>
      </c>
      <c r="BI553" s="1" t="s">
        <v>1507</v>
      </c>
      <c r="BJ553" s="1">
        <v>7</v>
      </c>
      <c r="BK553" s="1" t="s">
        <v>2634</v>
      </c>
      <c r="BL553" s="1" t="s">
        <v>1573</v>
      </c>
      <c r="BM553" s="1" t="s">
        <v>2380</v>
      </c>
      <c r="BN553" s="1" t="s">
        <v>10527</v>
      </c>
      <c r="BO553" s="1">
        <v>32055367</v>
      </c>
      <c r="BP553" s="1" t="s">
        <v>1674</v>
      </c>
      <c r="BQ553" s="1" t="s">
        <v>1507</v>
      </c>
      <c r="BR553" s="1" t="s">
        <v>1507</v>
      </c>
      <c r="BS553" s="1" t="s">
        <v>13744</v>
      </c>
      <c r="BT553" s="1" t="s">
        <v>10528</v>
      </c>
      <c r="BU553" s="1" t="str">
        <f>HYPERLINK("https%3A%2F%2Fwww.webofscience.com%2Fwos%2Fwoscc%2Ffull-record%2FWOS:000496188700023","View Full Record in Web of Science")</f>
        <v>View Full Record in Web of Science</v>
      </c>
    </row>
    <row r="554" spans="1:73" x14ac:dyDescent="0.25">
      <c r="A554" s="1">
        <v>607</v>
      </c>
      <c r="B554" s="1" t="s">
        <v>1506</v>
      </c>
      <c r="C554" s="1" t="s">
        <v>8352</v>
      </c>
      <c r="D554" s="1" t="s">
        <v>1507</v>
      </c>
      <c r="E554" s="1" t="s">
        <v>1507</v>
      </c>
      <c r="F554" s="1" t="s">
        <v>1507</v>
      </c>
      <c r="G554" s="1" t="s">
        <v>8353</v>
      </c>
      <c r="H554" s="1" t="s">
        <v>1507</v>
      </c>
      <c r="I554" s="1" t="s">
        <v>1507</v>
      </c>
      <c r="J554" s="1" t="s">
        <v>8354</v>
      </c>
      <c r="K554" s="1" t="s">
        <v>4793</v>
      </c>
      <c r="L554" s="1" t="s">
        <v>1507</v>
      </c>
      <c r="M554" s="1" t="s">
        <v>1507</v>
      </c>
      <c r="N554" s="1" t="s">
        <v>42</v>
      </c>
      <c r="O554" s="1" t="s">
        <v>56</v>
      </c>
      <c r="P554" s="1" t="s">
        <v>1507</v>
      </c>
      <c r="Q554" s="1" t="s">
        <v>1507</v>
      </c>
      <c r="R554" s="1" t="s">
        <v>1507</v>
      </c>
      <c r="S554" s="1" t="s">
        <v>1507</v>
      </c>
      <c r="T554" s="1" t="s">
        <v>1507</v>
      </c>
      <c r="U554" s="1" t="s">
        <v>8355</v>
      </c>
      <c r="V554" s="1" t="s">
        <v>1507</v>
      </c>
      <c r="W554" s="1" t="s">
        <v>8356</v>
      </c>
      <c r="X554" s="1" t="s">
        <v>8357</v>
      </c>
      <c r="Y554" s="1" t="s">
        <v>8358</v>
      </c>
      <c r="Z554" s="1" t="s">
        <v>8359</v>
      </c>
      <c r="AA554" s="1" t="s">
        <v>8360</v>
      </c>
      <c r="AB554" s="1" t="s">
        <v>8361</v>
      </c>
      <c r="AC554" s="1" t="s">
        <v>1507</v>
      </c>
      <c r="AD554" s="1" t="s">
        <v>8362</v>
      </c>
      <c r="AE554" s="1" t="s">
        <v>8363</v>
      </c>
      <c r="AF554" s="1" t="s">
        <v>8364</v>
      </c>
      <c r="AG554" s="1" t="s">
        <v>1507</v>
      </c>
      <c r="AH554" s="1">
        <v>62</v>
      </c>
      <c r="AI554" s="1">
        <v>0</v>
      </c>
      <c r="AJ554" s="1">
        <v>0</v>
      </c>
      <c r="AK554" s="1">
        <v>10</v>
      </c>
      <c r="AL554" s="1">
        <v>92</v>
      </c>
      <c r="AM554" s="1" t="s">
        <v>4805</v>
      </c>
      <c r="AN554" s="1" t="s">
        <v>4806</v>
      </c>
      <c r="AO554" s="1" t="s">
        <v>4807</v>
      </c>
      <c r="AP554" s="1" t="s">
        <v>4808</v>
      </c>
      <c r="AQ554" s="1" t="s">
        <v>4809</v>
      </c>
      <c r="AR554" s="1" t="s">
        <v>1507</v>
      </c>
      <c r="AS554" s="1" t="s">
        <v>4810</v>
      </c>
      <c r="AT554" s="1" t="s">
        <v>1365</v>
      </c>
      <c r="AU554" s="1" t="s">
        <v>4336</v>
      </c>
      <c r="AV554" s="1">
        <v>2021</v>
      </c>
      <c r="AW554" s="1">
        <v>11</v>
      </c>
      <c r="AX554" s="1">
        <v>3</v>
      </c>
      <c r="AY554" s="1" t="s">
        <v>1507</v>
      </c>
      <c r="AZ554" s="1" t="s">
        <v>1507</v>
      </c>
      <c r="BA554" s="1" t="s">
        <v>1507</v>
      </c>
      <c r="BB554" s="1" t="s">
        <v>1507</v>
      </c>
      <c r="BC554" s="1">
        <v>362</v>
      </c>
      <c r="BD554" s="1">
        <v>385</v>
      </c>
      <c r="BE554" s="1" t="s">
        <v>1507</v>
      </c>
      <c r="BF554" s="1" t="s">
        <v>8365</v>
      </c>
      <c r="BG554" s="1" t="str">
        <f>HYPERLINK("http://dx.doi.org/10.4337/qmjip.2021.03.05","http://dx.doi.org/10.4337/qmjip.2021.03.05")</f>
        <v>http://dx.doi.org/10.4337/qmjip.2021.03.05</v>
      </c>
      <c r="BH554" s="1" t="s">
        <v>1507</v>
      </c>
      <c r="BI554" s="1" t="s">
        <v>1507</v>
      </c>
      <c r="BJ554" s="1">
        <v>24</v>
      </c>
      <c r="BK554" s="1" t="s">
        <v>1535</v>
      </c>
      <c r="BL554" s="1" t="s">
        <v>1518</v>
      </c>
      <c r="BM554" s="1" t="s">
        <v>1536</v>
      </c>
      <c r="BN554" s="1" t="s">
        <v>8331</v>
      </c>
      <c r="BO554" s="1" t="s">
        <v>1507</v>
      </c>
      <c r="BP554" s="1" t="s">
        <v>1507</v>
      </c>
      <c r="BQ554" s="1" t="s">
        <v>1507</v>
      </c>
      <c r="BR554" s="1" t="s">
        <v>1507</v>
      </c>
      <c r="BS554" s="1" t="s">
        <v>13744</v>
      </c>
      <c r="BT554" s="1" t="s">
        <v>8366</v>
      </c>
      <c r="BU554" s="1" t="str">
        <f>HYPERLINK("https%3A%2F%2Fwww.webofscience.com%2Fwos%2Fwoscc%2Ffull-record%2FWOS:000689726300006","View Full Record in Web of Science")</f>
        <v>View Full Record in Web of Science</v>
      </c>
    </row>
    <row r="555" spans="1:73" x14ac:dyDescent="0.25">
      <c r="A555" s="1">
        <v>608</v>
      </c>
      <c r="B555" s="1" t="s">
        <v>5546</v>
      </c>
      <c r="C555" s="1" t="s">
        <v>6638</v>
      </c>
      <c r="D555" s="1" t="s">
        <v>1507</v>
      </c>
      <c r="E555" s="1" t="s">
        <v>6639</v>
      </c>
      <c r="F555" s="1" t="s">
        <v>1507</v>
      </c>
      <c r="G555" s="1" t="s">
        <v>6640</v>
      </c>
      <c r="H555" s="1" t="s">
        <v>1507</v>
      </c>
      <c r="I555" s="1" t="s">
        <v>1507</v>
      </c>
      <c r="J555" s="1" t="s">
        <v>6641</v>
      </c>
      <c r="K555" s="1" t="s">
        <v>6642</v>
      </c>
      <c r="L555" s="1" t="s">
        <v>6643</v>
      </c>
      <c r="M555" s="1" t="s">
        <v>1507</v>
      </c>
      <c r="N555" s="1" t="s">
        <v>42</v>
      </c>
      <c r="O555" s="1" t="s">
        <v>5552</v>
      </c>
      <c r="P555" s="1" t="s">
        <v>6644</v>
      </c>
      <c r="Q555" s="1" t="s">
        <v>6645</v>
      </c>
      <c r="R555" s="1" t="s">
        <v>6646</v>
      </c>
      <c r="S555" s="1" t="s">
        <v>6647</v>
      </c>
      <c r="T555" s="1" t="s">
        <v>6648</v>
      </c>
      <c r="U555" s="1" t="s">
        <v>6649</v>
      </c>
      <c r="V555" s="1" t="s">
        <v>1507</v>
      </c>
      <c r="W555" s="1" t="s">
        <v>6650</v>
      </c>
      <c r="X555" s="1" t="s">
        <v>6651</v>
      </c>
      <c r="Y555" s="1" t="s">
        <v>6652</v>
      </c>
      <c r="Z555" s="1" t="s">
        <v>6653</v>
      </c>
      <c r="AA555" s="1" t="s">
        <v>6654</v>
      </c>
      <c r="AB555" s="1" t="s">
        <v>15526</v>
      </c>
      <c r="AC555" s="1" t="s">
        <v>15527</v>
      </c>
      <c r="AD555" s="1" t="s">
        <v>6655</v>
      </c>
      <c r="AE555" s="1" t="s">
        <v>6655</v>
      </c>
      <c r="AF555" s="1" t="s">
        <v>6656</v>
      </c>
      <c r="AG555" s="1" t="s">
        <v>1507</v>
      </c>
      <c r="AH555" s="1">
        <v>20</v>
      </c>
      <c r="AI555" s="1">
        <v>0</v>
      </c>
      <c r="AJ555" s="1">
        <v>0</v>
      </c>
      <c r="AK555" s="1">
        <v>4</v>
      </c>
      <c r="AL555" s="1">
        <v>4</v>
      </c>
      <c r="AM555" s="1" t="s">
        <v>5645</v>
      </c>
      <c r="AN555" s="1" t="s">
        <v>5646</v>
      </c>
      <c r="AO555" s="1" t="s">
        <v>5647</v>
      </c>
      <c r="AP555" s="1" t="s">
        <v>6657</v>
      </c>
      <c r="AQ555" s="1" t="s">
        <v>1507</v>
      </c>
      <c r="AR555" s="1" t="s">
        <v>6658</v>
      </c>
      <c r="AS555" s="1" t="s">
        <v>6659</v>
      </c>
      <c r="AT555" s="1" t="s">
        <v>1507</v>
      </c>
      <c r="AU555" s="1" t="s">
        <v>1507</v>
      </c>
      <c r="AV555" s="1">
        <v>2023</v>
      </c>
      <c r="AW555" s="1" t="s">
        <v>1507</v>
      </c>
      <c r="AX555" s="1" t="s">
        <v>1507</v>
      </c>
      <c r="AY555" s="1" t="s">
        <v>1507</v>
      </c>
      <c r="AZ555" s="1" t="s">
        <v>1507</v>
      </c>
      <c r="BA555" s="1" t="s">
        <v>1507</v>
      </c>
      <c r="BB555" s="1" t="s">
        <v>1507</v>
      </c>
      <c r="BC555" s="1">
        <v>1780</v>
      </c>
      <c r="BD555" s="1">
        <v>1785</v>
      </c>
      <c r="BE555" s="1" t="s">
        <v>1507</v>
      </c>
      <c r="BF555" s="1" t="s">
        <v>6660</v>
      </c>
      <c r="BG555" s="1" t="str">
        <f>HYPERLINK("http://dx.doi.org/10.1109/COMPSAC57700.2023.00275","http://dx.doi.org/10.1109/COMPSAC57700.2023.00275")</f>
        <v>http://dx.doi.org/10.1109/COMPSAC57700.2023.00275</v>
      </c>
      <c r="BH555" s="1" t="s">
        <v>1507</v>
      </c>
      <c r="BI555" s="1" t="s">
        <v>1507</v>
      </c>
      <c r="BJ555" s="1">
        <v>6</v>
      </c>
      <c r="BK555" s="1" t="s">
        <v>6661</v>
      </c>
      <c r="BL555" s="1" t="s">
        <v>5570</v>
      </c>
      <c r="BM555" s="1" t="s">
        <v>1577</v>
      </c>
      <c r="BN555" s="1" t="s">
        <v>6662</v>
      </c>
      <c r="BO555" s="1" t="s">
        <v>1507</v>
      </c>
      <c r="BP555" s="1" t="s">
        <v>1507</v>
      </c>
      <c r="BQ555" s="1" t="s">
        <v>1507</v>
      </c>
      <c r="BR555" s="1" t="s">
        <v>1507</v>
      </c>
      <c r="BS555" s="1" t="s">
        <v>13744</v>
      </c>
      <c r="BT555" s="1" t="s">
        <v>6663</v>
      </c>
      <c r="BU555" s="1" t="str">
        <f>HYPERLINK("https%3A%2F%2Fwww.webofscience.com%2Fwos%2Fwoscc%2Ffull-record%2FWOS:001046484100265","View Full Record in Web of Science")</f>
        <v>View Full Record in Web of Science</v>
      </c>
    </row>
    <row r="556" spans="1:73" x14ac:dyDescent="0.25">
      <c r="A556" s="1">
        <v>609</v>
      </c>
      <c r="B556" s="1" t="s">
        <v>1506</v>
      </c>
      <c r="C556" s="1" t="s">
        <v>10223</v>
      </c>
      <c r="D556" s="1" t="s">
        <v>1507</v>
      </c>
      <c r="E556" s="1" t="s">
        <v>1507</v>
      </c>
      <c r="F556" s="1" t="s">
        <v>1507</v>
      </c>
      <c r="G556" s="1" t="s">
        <v>10224</v>
      </c>
      <c r="H556" s="1" t="s">
        <v>1507</v>
      </c>
      <c r="I556" s="1" t="s">
        <v>1507</v>
      </c>
      <c r="J556" s="1" t="s">
        <v>10225</v>
      </c>
      <c r="K556" s="1" t="s">
        <v>10226</v>
      </c>
      <c r="L556" s="1" t="s">
        <v>1507</v>
      </c>
      <c r="M556" s="1" t="s">
        <v>1507</v>
      </c>
      <c r="N556" s="1" t="s">
        <v>42</v>
      </c>
      <c r="O556" s="1" t="s">
        <v>56</v>
      </c>
      <c r="P556" s="1" t="s">
        <v>1507</v>
      </c>
      <c r="Q556" s="1" t="s">
        <v>1507</v>
      </c>
      <c r="R556" s="1" t="s">
        <v>1507</v>
      </c>
      <c r="S556" s="1" t="s">
        <v>1507</v>
      </c>
      <c r="T556" s="1" t="s">
        <v>1507</v>
      </c>
      <c r="U556" s="1" t="s">
        <v>1507</v>
      </c>
      <c r="V556" s="1" t="s">
        <v>10227</v>
      </c>
      <c r="W556" s="1" t="s">
        <v>10228</v>
      </c>
      <c r="X556" s="1" t="s">
        <v>10229</v>
      </c>
      <c r="Y556" s="1" t="s">
        <v>10230</v>
      </c>
      <c r="Z556" s="1" t="s">
        <v>10231</v>
      </c>
      <c r="AA556" s="1" t="s">
        <v>10232</v>
      </c>
      <c r="AB556" s="1" t="s">
        <v>15834</v>
      </c>
      <c r="AC556" s="1" t="s">
        <v>10233</v>
      </c>
      <c r="AD556" s="1" t="s">
        <v>10234</v>
      </c>
      <c r="AE556" s="1" t="s">
        <v>10235</v>
      </c>
      <c r="AF556" s="1" t="s">
        <v>10236</v>
      </c>
      <c r="AG556" s="1" t="s">
        <v>1507</v>
      </c>
      <c r="AH556" s="1">
        <v>27</v>
      </c>
      <c r="AI556" s="1">
        <v>5</v>
      </c>
      <c r="AJ556" s="1">
        <v>5</v>
      </c>
      <c r="AK556" s="1">
        <v>15</v>
      </c>
      <c r="AL556" s="1">
        <v>65</v>
      </c>
      <c r="AM556" s="1" t="s">
        <v>5278</v>
      </c>
      <c r="AN556" s="1" t="s">
        <v>1551</v>
      </c>
      <c r="AO556" s="1" t="s">
        <v>5279</v>
      </c>
      <c r="AP556" s="1" t="s">
        <v>10237</v>
      </c>
      <c r="AQ556" s="1" t="s">
        <v>10238</v>
      </c>
      <c r="AR556" s="1" t="s">
        <v>1507</v>
      </c>
      <c r="AS556" s="1" t="s">
        <v>10239</v>
      </c>
      <c r="AT556" s="1" t="s">
        <v>10240</v>
      </c>
      <c r="AU556" s="1" t="s">
        <v>10241</v>
      </c>
      <c r="AV556" s="1">
        <v>2020</v>
      </c>
      <c r="AW556" s="1">
        <v>2020</v>
      </c>
      <c r="AX556" s="1" t="s">
        <v>1507</v>
      </c>
      <c r="AY556" s="1" t="s">
        <v>1507</v>
      </c>
      <c r="AZ556" s="1" t="s">
        <v>1507</v>
      </c>
      <c r="BA556" s="1" t="s">
        <v>1507</v>
      </c>
      <c r="BB556" s="1" t="s">
        <v>1507</v>
      </c>
      <c r="BC556" s="1" t="s">
        <v>1507</v>
      </c>
      <c r="BD556" s="1" t="s">
        <v>1507</v>
      </c>
      <c r="BE556" s="1">
        <v>7605140</v>
      </c>
      <c r="BF556" s="1" t="s">
        <v>10242</v>
      </c>
      <c r="BG556" s="1" t="str">
        <f>HYPERLINK("http://dx.doi.org/10.1155/2020/7605140","http://dx.doi.org/10.1155/2020/7605140")</f>
        <v>http://dx.doi.org/10.1155/2020/7605140</v>
      </c>
      <c r="BH556" s="1" t="s">
        <v>1507</v>
      </c>
      <c r="BI556" s="1" t="s">
        <v>1507</v>
      </c>
      <c r="BJ556" s="1">
        <v>8</v>
      </c>
      <c r="BK556" s="1" t="s">
        <v>2634</v>
      </c>
      <c r="BL556" s="1" t="s">
        <v>1573</v>
      </c>
      <c r="BM556" s="1" t="s">
        <v>2380</v>
      </c>
      <c r="BN556" s="1" t="s">
        <v>10243</v>
      </c>
      <c r="BO556" s="1" t="s">
        <v>1507</v>
      </c>
      <c r="BP556" s="1" t="s">
        <v>1531</v>
      </c>
      <c r="BQ556" s="1" t="s">
        <v>1507</v>
      </c>
      <c r="BR556" s="1" t="s">
        <v>1507</v>
      </c>
      <c r="BS556" s="1" t="s">
        <v>13744</v>
      </c>
      <c r="BT556" s="1" t="s">
        <v>10244</v>
      </c>
      <c r="BU556" s="1" t="str">
        <f>HYPERLINK("https%3A%2F%2Fwww.webofscience.com%2Fwos%2Fwoscc%2Ffull-record%2FWOS:000510901900001","View Full Record in Web of Science")</f>
        <v>View Full Record in Web of Science</v>
      </c>
    </row>
    <row r="557" spans="1:73" x14ac:dyDescent="0.25">
      <c r="A557" s="1">
        <v>610</v>
      </c>
      <c r="B557" s="1" t="s">
        <v>1506</v>
      </c>
      <c r="C557" s="1" t="s">
        <v>1842</v>
      </c>
      <c r="D557" s="1" t="s">
        <v>1507</v>
      </c>
      <c r="E557" s="1" t="s">
        <v>1507</v>
      </c>
      <c r="F557" s="1" t="s">
        <v>1507</v>
      </c>
      <c r="G557" s="1" t="s">
        <v>1843</v>
      </c>
      <c r="H557" s="1" t="s">
        <v>1507</v>
      </c>
      <c r="I557" s="1" t="s">
        <v>1507</v>
      </c>
      <c r="J557" s="1" t="s">
        <v>1844</v>
      </c>
      <c r="K557" s="1" t="s">
        <v>1845</v>
      </c>
      <c r="L557" s="1" t="s">
        <v>1507</v>
      </c>
      <c r="M557" s="1" t="s">
        <v>1507</v>
      </c>
      <c r="N557" s="1" t="s">
        <v>42</v>
      </c>
      <c r="O557" s="1" t="s">
        <v>56</v>
      </c>
      <c r="P557" s="1" t="s">
        <v>1507</v>
      </c>
      <c r="Q557" s="1" t="s">
        <v>1507</v>
      </c>
      <c r="R557" s="1" t="s">
        <v>1507</v>
      </c>
      <c r="S557" s="1" t="s">
        <v>1507</v>
      </c>
      <c r="T557" s="1" t="s">
        <v>1507</v>
      </c>
      <c r="U557" s="1" t="s">
        <v>1846</v>
      </c>
      <c r="V557" s="1" t="s">
        <v>1847</v>
      </c>
      <c r="W557" s="1" t="s">
        <v>1848</v>
      </c>
      <c r="X557" s="1" t="s">
        <v>1849</v>
      </c>
      <c r="Y557" s="1" t="s">
        <v>13803</v>
      </c>
      <c r="Z557" s="1" t="s">
        <v>1850</v>
      </c>
      <c r="AA557" s="1" t="s">
        <v>1851</v>
      </c>
      <c r="AB557" s="1" t="s">
        <v>13804</v>
      </c>
      <c r="AC557" s="1" t="s">
        <v>13805</v>
      </c>
      <c r="AD557" s="1" t="s">
        <v>1852</v>
      </c>
      <c r="AE557" s="1" t="s">
        <v>1853</v>
      </c>
      <c r="AF557" s="1" t="s">
        <v>1854</v>
      </c>
      <c r="AG557" s="1" t="s">
        <v>1507</v>
      </c>
      <c r="AH557" s="1">
        <v>20</v>
      </c>
      <c r="AI557" s="1">
        <v>0</v>
      </c>
      <c r="AJ557" s="1">
        <v>0</v>
      </c>
      <c r="AK557" s="1">
        <v>3</v>
      </c>
      <c r="AL557" s="1">
        <v>3</v>
      </c>
      <c r="AM557" s="1" t="s">
        <v>1855</v>
      </c>
      <c r="AN557" s="1" t="s">
        <v>1856</v>
      </c>
      <c r="AO557" s="1" t="s">
        <v>1857</v>
      </c>
      <c r="AP557" s="1" t="s">
        <v>1858</v>
      </c>
      <c r="AQ557" s="1" t="s">
        <v>1859</v>
      </c>
      <c r="AR557" s="1" t="s">
        <v>1507</v>
      </c>
      <c r="AS557" s="1" t="s">
        <v>1860</v>
      </c>
      <c r="AT557" s="1" t="s">
        <v>1861</v>
      </c>
      <c r="AU557" s="1" t="s">
        <v>9054</v>
      </c>
      <c r="AV557" s="1">
        <v>2024</v>
      </c>
      <c r="AW557" s="1">
        <v>67</v>
      </c>
      <c r="AX557" s="1">
        <v>2</v>
      </c>
      <c r="AY557" s="1" t="s">
        <v>1507</v>
      </c>
      <c r="AZ557" s="1" t="s">
        <v>1507</v>
      </c>
      <c r="BA557" s="1" t="s">
        <v>1507</v>
      </c>
      <c r="BB557" s="1" t="s">
        <v>1507</v>
      </c>
      <c r="BC557" s="1">
        <v>221</v>
      </c>
      <c r="BD557" s="1">
        <v>229</v>
      </c>
      <c r="BE557" s="1" t="s">
        <v>1507</v>
      </c>
      <c r="BF557" s="1" t="s">
        <v>1862</v>
      </c>
      <c r="BG557" s="1" t="str">
        <f>HYPERLINK("http://dx.doi.org/10.1007/s11427-023-2509-x","http://dx.doi.org/10.1007/s11427-023-2509-x")</f>
        <v>http://dx.doi.org/10.1007/s11427-023-2509-x</v>
      </c>
      <c r="BH557" s="1" t="s">
        <v>1507</v>
      </c>
      <c r="BI557" s="1" t="s">
        <v>1652</v>
      </c>
      <c r="BJ557" s="1">
        <v>9</v>
      </c>
      <c r="BK557" s="1" t="s">
        <v>1863</v>
      </c>
      <c r="BL557" s="1" t="s">
        <v>1573</v>
      </c>
      <c r="BM557" s="1" t="s">
        <v>1864</v>
      </c>
      <c r="BN557" s="1" t="s">
        <v>13806</v>
      </c>
      <c r="BO557" s="1">
        <v>38157107</v>
      </c>
      <c r="BP557" s="1" t="s">
        <v>3572</v>
      </c>
      <c r="BQ557" s="1" t="s">
        <v>1507</v>
      </c>
      <c r="BR557" s="1" t="s">
        <v>1507</v>
      </c>
      <c r="BS557" s="1" t="s">
        <v>13744</v>
      </c>
      <c r="BT557" s="1" t="s">
        <v>1865</v>
      </c>
      <c r="BU557" s="1" t="str">
        <f>HYPERLINK("https%3A%2F%2Fwww.webofscience.com%2Fwos%2Fwoscc%2Ffull-record%2FWOS:001133741600002","View Full Record in Web of Science")</f>
        <v>View Full Record in Web of Science</v>
      </c>
    </row>
    <row r="558" spans="1:73" x14ac:dyDescent="0.25">
      <c r="A558" s="1">
        <v>611</v>
      </c>
      <c r="B558" s="1" t="s">
        <v>1506</v>
      </c>
      <c r="C558" s="1" t="s">
        <v>3435</v>
      </c>
      <c r="D558" s="1" t="s">
        <v>1507</v>
      </c>
      <c r="E558" s="1" t="s">
        <v>1507</v>
      </c>
      <c r="F558" s="1" t="s">
        <v>1507</v>
      </c>
      <c r="G558" s="1" t="s">
        <v>3436</v>
      </c>
      <c r="H558" s="1" t="s">
        <v>1507</v>
      </c>
      <c r="I558" s="1" t="s">
        <v>1507</v>
      </c>
      <c r="J558" s="1" t="s">
        <v>3437</v>
      </c>
      <c r="K558" s="1" t="s">
        <v>3438</v>
      </c>
      <c r="L558" s="1" t="s">
        <v>1507</v>
      </c>
      <c r="M558" s="1" t="s">
        <v>1507</v>
      </c>
      <c r="N558" s="1" t="s">
        <v>42</v>
      </c>
      <c r="O558" s="1" t="s">
        <v>56</v>
      </c>
      <c r="P558" s="1" t="s">
        <v>1507</v>
      </c>
      <c r="Q558" s="1" t="s">
        <v>1507</v>
      </c>
      <c r="R558" s="1" t="s">
        <v>1507</v>
      </c>
      <c r="S558" s="1" t="s">
        <v>1507</v>
      </c>
      <c r="T558" s="1" t="s">
        <v>1507</v>
      </c>
      <c r="U558" s="1" t="s">
        <v>1507</v>
      </c>
      <c r="V558" s="1" t="s">
        <v>1507</v>
      </c>
      <c r="W558" s="1" t="s">
        <v>3439</v>
      </c>
      <c r="X558" s="1" t="s">
        <v>3440</v>
      </c>
      <c r="Y558" s="1" t="s">
        <v>3441</v>
      </c>
      <c r="Z558" s="1" t="s">
        <v>3442</v>
      </c>
      <c r="AA558" s="1" t="s">
        <v>3443</v>
      </c>
      <c r="AB558" s="1" t="s">
        <v>14305</v>
      </c>
      <c r="AC558" s="1" t="s">
        <v>14306</v>
      </c>
      <c r="AD558" s="1" t="s">
        <v>3444</v>
      </c>
      <c r="AE558" s="1" t="s">
        <v>3445</v>
      </c>
      <c r="AF558" s="1" t="s">
        <v>3446</v>
      </c>
      <c r="AG558" s="1" t="s">
        <v>1507</v>
      </c>
      <c r="AH558" s="1">
        <v>60</v>
      </c>
      <c r="AI558" s="1">
        <v>1</v>
      </c>
      <c r="AJ558" s="1">
        <v>1</v>
      </c>
      <c r="AK558" s="1">
        <v>5</v>
      </c>
      <c r="AL558" s="1">
        <v>5</v>
      </c>
      <c r="AM558" s="1" t="s">
        <v>1591</v>
      </c>
      <c r="AN558" s="1" t="s">
        <v>1592</v>
      </c>
      <c r="AO558" s="1" t="s">
        <v>1593</v>
      </c>
      <c r="AP558" s="1" t="s">
        <v>1507</v>
      </c>
      <c r="AQ558" s="1" t="s">
        <v>3447</v>
      </c>
      <c r="AR558" s="1" t="s">
        <v>1507</v>
      </c>
      <c r="AS558" s="1" t="s">
        <v>3438</v>
      </c>
      <c r="AT558" s="1" t="s">
        <v>3448</v>
      </c>
      <c r="AU558" s="1" t="s">
        <v>3431</v>
      </c>
      <c r="AV558" s="1">
        <v>2023</v>
      </c>
      <c r="AW558" s="1">
        <v>8</v>
      </c>
      <c r="AX558" s="1">
        <v>1</v>
      </c>
      <c r="AY558" s="1" t="s">
        <v>1507</v>
      </c>
      <c r="AZ558" s="1" t="s">
        <v>1507</v>
      </c>
      <c r="BA558" s="1" t="s">
        <v>1507</v>
      </c>
      <c r="BB558" s="1" t="s">
        <v>1507</v>
      </c>
      <c r="BC558" s="1" t="s">
        <v>1507</v>
      </c>
      <c r="BD558" s="1" t="s">
        <v>1507</v>
      </c>
      <c r="BE558" s="1">
        <v>151</v>
      </c>
      <c r="BF558" s="1" t="s">
        <v>3449</v>
      </c>
      <c r="BG558" s="1" t="str">
        <f>HYPERLINK("http://dx.doi.org/10.1038/s41541-023-00745-4","http://dx.doi.org/10.1038/s41541-023-00745-4")</f>
        <v>http://dx.doi.org/10.1038/s41541-023-00745-4</v>
      </c>
      <c r="BH558" s="1" t="s">
        <v>1507</v>
      </c>
      <c r="BI558" s="1" t="s">
        <v>1507</v>
      </c>
      <c r="BJ558" s="1">
        <v>11</v>
      </c>
      <c r="BK558" s="1" t="s">
        <v>3450</v>
      </c>
      <c r="BL558" s="1" t="s">
        <v>1573</v>
      </c>
      <c r="BM558" s="1" t="s">
        <v>3451</v>
      </c>
      <c r="BN558" s="1" t="s">
        <v>3452</v>
      </c>
      <c r="BO558" s="1">
        <v>37798293</v>
      </c>
      <c r="BP558" s="1" t="s">
        <v>2040</v>
      </c>
      <c r="BQ558" s="1" t="s">
        <v>1507</v>
      </c>
      <c r="BR558" s="1" t="s">
        <v>1507</v>
      </c>
      <c r="BS558" s="1" t="s">
        <v>13744</v>
      </c>
      <c r="BT558" s="1" t="s">
        <v>3453</v>
      </c>
      <c r="BU558" s="1" t="str">
        <f>HYPERLINK("https%3A%2F%2Fwww.webofscience.com%2Fwos%2Fwoscc%2Ffull-record%2FWOS:001076219900001","View Full Record in Web of Science")</f>
        <v>View Full Record in Web of Science</v>
      </c>
    </row>
    <row r="559" spans="1:73" x14ac:dyDescent="0.25">
      <c r="A559" s="1">
        <v>612</v>
      </c>
      <c r="B559" s="1" t="s">
        <v>5546</v>
      </c>
      <c r="C559" s="1" t="s">
        <v>15528</v>
      </c>
      <c r="D559" s="1" t="s">
        <v>1507</v>
      </c>
      <c r="E559" s="1" t="s">
        <v>1507</v>
      </c>
      <c r="F559" s="1" t="s">
        <v>5548</v>
      </c>
      <c r="G559" s="1" t="s">
        <v>15529</v>
      </c>
      <c r="H559" s="1" t="s">
        <v>1507</v>
      </c>
      <c r="I559" s="1" t="s">
        <v>1507</v>
      </c>
      <c r="J559" s="1" t="s">
        <v>15530</v>
      </c>
      <c r="K559" s="1" t="s">
        <v>14946</v>
      </c>
      <c r="L559" s="1" t="s">
        <v>1507</v>
      </c>
      <c r="M559" s="1" t="s">
        <v>1507</v>
      </c>
      <c r="N559" s="1" t="s">
        <v>42</v>
      </c>
      <c r="O559" s="1" t="s">
        <v>5552</v>
      </c>
      <c r="P559" s="1" t="s">
        <v>14947</v>
      </c>
      <c r="Q559" s="1" t="s">
        <v>6409</v>
      </c>
      <c r="R559" s="1" t="s">
        <v>14948</v>
      </c>
      <c r="S559" s="1" t="s">
        <v>14949</v>
      </c>
      <c r="T559" s="1" t="s">
        <v>1507</v>
      </c>
      <c r="U559" s="1" t="s">
        <v>15531</v>
      </c>
      <c r="V559" s="1" t="s">
        <v>1507</v>
      </c>
      <c r="W559" s="1" t="s">
        <v>15532</v>
      </c>
      <c r="X559" s="1" t="s">
        <v>15533</v>
      </c>
      <c r="Y559" s="1" t="s">
        <v>15449</v>
      </c>
      <c r="Z559" s="1" t="s">
        <v>15534</v>
      </c>
      <c r="AA559" s="1" t="s">
        <v>15535</v>
      </c>
      <c r="AB559" s="1" t="s">
        <v>15536</v>
      </c>
      <c r="AC559" s="1" t="s">
        <v>1507</v>
      </c>
      <c r="AD559" s="1" t="s">
        <v>15537</v>
      </c>
      <c r="AE559" s="1" t="s">
        <v>15538</v>
      </c>
      <c r="AF559" s="1" t="s">
        <v>15539</v>
      </c>
      <c r="AG559" s="1" t="s">
        <v>1507</v>
      </c>
      <c r="AH559" s="1">
        <v>59</v>
      </c>
      <c r="AI559" s="1">
        <v>0</v>
      </c>
      <c r="AJ559" s="1">
        <v>0</v>
      </c>
      <c r="AK559" s="1">
        <v>0</v>
      </c>
      <c r="AL559" s="1">
        <v>0</v>
      </c>
      <c r="AM559" s="1" t="s">
        <v>5565</v>
      </c>
      <c r="AN559" s="1" t="s">
        <v>1512</v>
      </c>
      <c r="AO559" s="1" t="s">
        <v>5566</v>
      </c>
      <c r="AP559" s="1" t="s">
        <v>1507</v>
      </c>
      <c r="AQ559" s="1" t="s">
        <v>1507</v>
      </c>
      <c r="AR559" s="1" t="s">
        <v>14957</v>
      </c>
      <c r="AS559" s="1" t="s">
        <v>1507</v>
      </c>
      <c r="AT559" s="1" t="s">
        <v>1507</v>
      </c>
      <c r="AU559" s="1" t="s">
        <v>1507</v>
      </c>
      <c r="AV559" s="1">
        <v>2023</v>
      </c>
      <c r="AW559" s="1" t="s">
        <v>1507</v>
      </c>
      <c r="AX559" s="1" t="s">
        <v>1507</v>
      </c>
      <c r="AY559" s="1" t="s">
        <v>1507</v>
      </c>
      <c r="AZ559" s="1" t="s">
        <v>1507</v>
      </c>
      <c r="BA559" s="1" t="s">
        <v>1507</v>
      </c>
      <c r="BB559" s="1" t="s">
        <v>1507</v>
      </c>
      <c r="BC559" s="1">
        <v>5660</v>
      </c>
      <c r="BD559" s="1">
        <v>5672</v>
      </c>
      <c r="BE559" s="1" t="s">
        <v>1507</v>
      </c>
      <c r="BF559" s="1" t="s">
        <v>15540</v>
      </c>
      <c r="BG559" s="1" t="str">
        <f>HYPERLINK("http://dx.doi.org/10.1145/3580305.3599850","http://dx.doi.org/10.1145/3580305.3599850")</f>
        <v>http://dx.doi.org/10.1145/3580305.3599850</v>
      </c>
      <c r="BH559" s="1" t="s">
        <v>1507</v>
      </c>
      <c r="BI559" s="1" t="s">
        <v>1507</v>
      </c>
      <c r="BJ559" s="1">
        <v>13</v>
      </c>
      <c r="BK559" s="1" t="s">
        <v>14958</v>
      </c>
      <c r="BL559" s="1" t="s">
        <v>5570</v>
      </c>
      <c r="BM559" s="1" t="s">
        <v>1577</v>
      </c>
      <c r="BN559" s="1" t="s">
        <v>14959</v>
      </c>
      <c r="BO559" s="1" t="s">
        <v>1507</v>
      </c>
      <c r="BP559" s="1" t="s">
        <v>1600</v>
      </c>
      <c r="BQ559" s="1" t="s">
        <v>1507</v>
      </c>
      <c r="BR559" s="1" t="s">
        <v>1507</v>
      </c>
      <c r="BS559" s="1" t="s">
        <v>13744</v>
      </c>
      <c r="BT559" s="1" t="s">
        <v>15541</v>
      </c>
      <c r="BU559" s="1" t="str">
        <f>HYPERLINK("https%3A%2F%2Fwww.webofscience.com%2Fwos%2Fwoscc%2Ffull-record%2FWOS:001118896305063","View Full Record in Web of Science")</f>
        <v>View Full Record in Web of Science</v>
      </c>
    </row>
    <row r="560" spans="1:73" x14ac:dyDescent="0.25">
      <c r="A560" s="1">
        <v>613</v>
      </c>
      <c r="B560" s="1" t="s">
        <v>1506</v>
      </c>
      <c r="C560" s="1" t="s">
        <v>4061</v>
      </c>
      <c r="D560" s="1" t="s">
        <v>1507</v>
      </c>
      <c r="E560" s="1" t="s">
        <v>1507</v>
      </c>
      <c r="F560" s="1" t="s">
        <v>1507</v>
      </c>
      <c r="G560" s="1" t="s">
        <v>4062</v>
      </c>
      <c r="H560" s="1" t="s">
        <v>1507</v>
      </c>
      <c r="I560" s="1" t="s">
        <v>1507</v>
      </c>
      <c r="J560" s="1" t="s">
        <v>4063</v>
      </c>
      <c r="K560" s="1" t="s">
        <v>4064</v>
      </c>
      <c r="L560" s="1" t="s">
        <v>1507</v>
      </c>
      <c r="M560" s="1" t="s">
        <v>1507</v>
      </c>
      <c r="N560" s="1" t="s">
        <v>42</v>
      </c>
      <c r="O560" s="1" t="s">
        <v>56</v>
      </c>
      <c r="P560" s="1" t="s">
        <v>1507</v>
      </c>
      <c r="Q560" s="1" t="s">
        <v>1507</v>
      </c>
      <c r="R560" s="1" t="s">
        <v>1507</v>
      </c>
      <c r="S560" s="1" t="s">
        <v>1507</v>
      </c>
      <c r="T560" s="1" t="s">
        <v>1507</v>
      </c>
      <c r="U560" s="1" t="s">
        <v>4065</v>
      </c>
      <c r="V560" s="1" t="s">
        <v>4066</v>
      </c>
      <c r="W560" s="1" t="s">
        <v>4067</v>
      </c>
      <c r="X560" s="1" t="s">
        <v>4068</v>
      </c>
      <c r="Y560" s="1" t="s">
        <v>4069</v>
      </c>
      <c r="Z560" s="1" t="s">
        <v>4070</v>
      </c>
      <c r="AA560" s="1" t="s">
        <v>4071</v>
      </c>
      <c r="AB560" s="1" t="s">
        <v>1507</v>
      </c>
      <c r="AC560" s="1" t="s">
        <v>1507</v>
      </c>
      <c r="AD560" s="1" t="s">
        <v>4072</v>
      </c>
      <c r="AE560" s="1" t="s">
        <v>4073</v>
      </c>
      <c r="AF560" s="1" t="s">
        <v>4074</v>
      </c>
      <c r="AG560" s="1" t="s">
        <v>1507</v>
      </c>
      <c r="AH560" s="1">
        <v>56</v>
      </c>
      <c r="AI560" s="1">
        <v>1</v>
      </c>
      <c r="AJ560" s="1">
        <v>1</v>
      </c>
      <c r="AK560" s="1">
        <v>41</v>
      </c>
      <c r="AL560" s="1">
        <v>41</v>
      </c>
      <c r="AM560" s="1" t="s">
        <v>1579</v>
      </c>
      <c r="AN560" s="1" t="s">
        <v>1580</v>
      </c>
      <c r="AO560" s="1" t="s">
        <v>1581</v>
      </c>
      <c r="AP560" s="1" t="s">
        <v>4075</v>
      </c>
      <c r="AQ560" s="1" t="s">
        <v>4076</v>
      </c>
      <c r="AR560" s="1" t="s">
        <v>1507</v>
      </c>
      <c r="AS560" s="1" t="s">
        <v>4077</v>
      </c>
      <c r="AT560" s="1" t="s">
        <v>4078</v>
      </c>
      <c r="AU560" s="1" t="s">
        <v>2771</v>
      </c>
      <c r="AV560" s="1">
        <v>2023</v>
      </c>
      <c r="AW560" s="1">
        <v>155</v>
      </c>
      <c r="AX560" s="1" t="s">
        <v>1507</v>
      </c>
      <c r="AY560" s="1" t="s">
        <v>1507</v>
      </c>
      <c r="AZ560" s="1" t="s">
        <v>1507</v>
      </c>
      <c r="BA560" s="1" t="s">
        <v>1507</v>
      </c>
      <c r="BB560" s="1" t="s">
        <v>1507</v>
      </c>
      <c r="BC560" s="1" t="s">
        <v>1507</v>
      </c>
      <c r="BD560" s="1" t="s">
        <v>1507</v>
      </c>
      <c r="BE560" s="1">
        <v>105067</v>
      </c>
      <c r="BF560" s="1" t="s">
        <v>4079</v>
      </c>
      <c r="BG560" s="1" t="str">
        <f>HYPERLINK("http://dx.doi.org/10.1016/j.autcon.2023.105067","http://dx.doi.org/10.1016/j.autcon.2023.105067")</f>
        <v>http://dx.doi.org/10.1016/j.autcon.2023.105067</v>
      </c>
      <c r="BH560" s="1" t="s">
        <v>1507</v>
      </c>
      <c r="BI560" s="1" t="s">
        <v>4056</v>
      </c>
      <c r="BJ560" s="1">
        <v>24</v>
      </c>
      <c r="BK560" s="1" t="s">
        <v>1815</v>
      </c>
      <c r="BL560" s="1" t="s">
        <v>1573</v>
      </c>
      <c r="BM560" s="1" t="s">
        <v>1816</v>
      </c>
      <c r="BN560" s="1" t="s">
        <v>4080</v>
      </c>
      <c r="BO560" s="1" t="s">
        <v>1507</v>
      </c>
      <c r="BP560" s="1" t="s">
        <v>1507</v>
      </c>
      <c r="BQ560" s="1" t="s">
        <v>1507</v>
      </c>
      <c r="BR560" s="1" t="s">
        <v>1507</v>
      </c>
      <c r="BS560" s="1" t="s">
        <v>13744</v>
      </c>
      <c r="BT560" s="1" t="s">
        <v>4081</v>
      </c>
      <c r="BU560" s="1" t="str">
        <f>HYPERLINK("https%3A%2F%2Fwww.webofscience.com%2Fwos%2Fwoscc%2Ffull-record%2FWOS:001088738700001","View Full Record in Web of Science")</f>
        <v>View Full Record in Web of Science</v>
      </c>
    </row>
    <row r="561" spans="1:73" x14ac:dyDescent="0.25">
      <c r="A561" s="1">
        <v>614</v>
      </c>
      <c r="B561" s="1" t="s">
        <v>1506</v>
      </c>
      <c r="C561" s="1" t="s">
        <v>3919</v>
      </c>
      <c r="D561" s="1" t="s">
        <v>1507</v>
      </c>
      <c r="E561" s="1" t="s">
        <v>1507</v>
      </c>
      <c r="F561" s="1" t="s">
        <v>1507</v>
      </c>
      <c r="G561" s="1" t="s">
        <v>3920</v>
      </c>
      <c r="H561" s="1" t="s">
        <v>1507</v>
      </c>
      <c r="I561" s="1" t="s">
        <v>1507</v>
      </c>
      <c r="J561" s="1" t="s">
        <v>3921</v>
      </c>
      <c r="K561" s="1" t="s">
        <v>3922</v>
      </c>
      <c r="L561" s="1" t="s">
        <v>1507</v>
      </c>
      <c r="M561" s="1" t="s">
        <v>1507</v>
      </c>
      <c r="N561" s="1" t="s">
        <v>42</v>
      </c>
      <c r="O561" s="1" t="s">
        <v>56</v>
      </c>
      <c r="P561" s="1" t="s">
        <v>1507</v>
      </c>
      <c r="Q561" s="1" t="s">
        <v>1507</v>
      </c>
      <c r="R561" s="1" t="s">
        <v>1507</v>
      </c>
      <c r="S561" s="1" t="s">
        <v>1507</v>
      </c>
      <c r="T561" s="1" t="s">
        <v>1507</v>
      </c>
      <c r="U561" s="1" t="s">
        <v>1507</v>
      </c>
      <c r="V561" s="1" t="s">
        <v>3923</v>
      </c>
      <c r="W561" s="1" t="s">
        <v>3924</v>
      </c>
      <c r="X561" s="1" t="s">
        <v>3925</v>
      </c>
      <c r="Y561" s="1" t="s">
        <v>14527</v>
      </c>
      <c r="Z561" s="1" t="s">
        <v>3926</v>
      </c>
      <c r="AA561" s="1" t="s">
        <v>3927</v>
      </c>
      <c r="AB561" s="1" t="s">
        <v>3928</v>
      </c>
      <c r="AC561" s="1" t="s">
        <v>14528</v>
      </c>
      <c r="AD561" s="1" t="s">
        <v>3929</v>
      </c>
      <c r="AE561" s="1" t="s">
        <v>3930</v>
      </c>
      <c r="AF561" s="1" t="s">
        <v>3931</v>
      </c>
      <c r="AG561" s="1" t="s">
        <v>1507</v>
      </c>
      <c r="AH561" s="1">
        <v>54</v>
      </c>
      <c r="AI561" s="1">
        <v>1</v>
      </c>
      <c r="AJ561" s="1">
        <v>1</v>
      </c>
      <c r="AK561" s="1">
        <v>1</v>
      </c>
      <c r="AL561" s="1">
        <v>1</v>
      </c>
      <c r="AM561" s="1" t="s">
        <v>3766</v>
      </c>
      <c r="AN561" s="1" t="s">
        <v>2300</v>
      </c>
      <c r="AO561" s="1" t="s">
        <v>3767</v>
      </c>
      <c r="AP561" s="1" t="s">
        <v>3932</v>
      </c>
      <c r="AQ561" s="1" t="s">
        <v>1507</v>
      </c>
      <c r="AR561" s="1" t="s">
        <v>1507</v>
      </c>
      <c r="AS561" s="1" t="s">
        <v>3933</v>
      </c>
      <c r="AT561" s="1" t="s">
        <v>3934</v>
      </c>
      <c r="AU561" s="1" t="s">
        <v>3935</v>
      </c>
      <c r="AV561" s="1">
        <v>2023</v>
      </c>
      <c r="AW561" s="1">
        <v>9</v>
      </c>
      <c r="AX561" s="1">
        <v>36</v>
      </c>
      <c r="AY561" s="1" t="s">
        <v>1507</v>
      </c>
      <c r="AZ561" s="1" t="s">
        <v>1507</v>
      </c>
      <c r="BA561" s="1" t="s">
        <v>1507</v>
      </c>
      <c r="BB561" s="1" t="s">
        <v>1507</v>
      </c>
      <c r="BC561" s="1" t="s">
        <v>1507</v>
      </c>
      <c r="BD561" s="1" t="s">
        <v>1507</v>
      </c>
      <c r="BE561" s="1" t="s">
        <v>3936</v>
      </c>
      <c r="BF561" s="1" t="s">
        <v>3937</v>
      </c>
      <c r="BG561" s="1" t="str">
        <f>HYPERLINK("http://dx.doi.org/10.1126/sciadv.adg3469","http://dx.doi.org/10.1126/sciadv.adg3469")</f>
        <v>http://dx.doi.org/10.1126/sciadv.adg3469</v>
      </c>
      <c r="BH561" s="1" t="s">
        <v>1507</v>
      </c>
      <c r="BI561" s="1" t="s">
        <v>1507</v>
      </c>
      <c r="BJ561" s="1">
        <v>14</v>
      </c>
      <c r="BK561" s="1" t="s">
        <v>1776</v>
      </c>
      <c r="BL561" s="1" t="s">
        <v>1573</v>
      </c>
      <c r="BM561" s="1" t="s">
        <v>1777</v>
      </c>
      <c r="BN561" s="1" t="s">
        <v>3938</v>
      </c>
      <c r="BO561" s="1">
        <v>37683004</v>
      </c>
      <c r="BP561" s="1" t="s">
        <v>1507</v>
      </c>
      <c r="BQ561" s="1" t="s">
        <v>1507</v>
      </c>
      <c r="BR561" s="1" t="s">
        <v>1507</v>
      </c>
      <c r="BS561" s="1" t="s">
        <v>13744</v>
      </c>
      <c r="BT561" s="1" t="s">
        <v>3939</v>
      </c>
      <c r="BU561" s="1" t="str">
        <f>HYPERLINK("https%3A%2F%2Fwww.webofscience.com%2Fwos%2Fwoscc%2Ffull-record%2FWOS:001129563900003","View Full Record in Web of Science")</f>
        <v>View Full Record in Web of Science</v>
      </c>
    </row>
    <row r="562" spans="1:73" x14ac:dyDescent="0.25">
      <c r="A562" s="1">
        <v>615</v>
      </c>
      <c r="B562" s="1" t="s">
        <v>1506</v>
      </c>
      <c r="C562" s="1" t="s">
        <v>7473</v>
      </c>
      <c r="D562" s="1" t="s">
        <v>1507</v>
      </c>
      <c r="E562" s="1" t="s">
        <v>1507</v>
      </c>
      <c r="F562" s="1" t="s">
        <v>1507</v>
      </c>
      <c r="G562" s="1" t="s">
        <v>7474</v>
      </c>
      <c r="H562" s="1" t="s">
        <v>1507</v>
      </c>
      <c r="I562" s="1" t="s">
        <v>1507</v>
      </c>
      <c r="J562" s="1" t="s">
        <v>7475</v>
      </c>
      <c r="K562" s="1" t="s">
        <v>7141</v>
      </c>
      <c r="L562" s="1" t="s">
        <v>1507</v>
      </c>
      <c r="M562" s="1" t="s">
        <v>1507</v>
      </c>
      <c r="N562" s="1" t="s">
        <v>42</v>
      </c>
      <c r="O562" s="1" t="s">
        <v>56</v>
      </c>
      <c r="P562" s="1" t="s">
        <v>1507</v>
      </c>
      <c r="Q562" s="1" t="s">
        <v>1507</v>
      </c>
      <c r="R562" s="1" t="s">
        <v>1507</v>
      </c>
      <c r="S562" s="1" t="s">
        <v>1507</v>
      </c>
      <c r="T562" s="1" t="s">
        <v>1507</v>
      </c>
      <c r="U562" s="1" t="s">
        <v>7476</v>
      </c>
      <c r="V562" s="1" t="s">
        <v>1507</v>
      </c>
      <c r="W562" s="1" t="s">
        <v>7477</v>
      </c>
      <c r="X562" s="1" t="s">
        <v>7478</v>
      </c>
      <c r="Y562" s="1" t="s">
        <v>7062</v>
      </c>
      <c r="Z562" s="1" t="s">
        <v>3718</v>
      </c>
      <c r="AA562" s="1" t="s">
        <v>3719</v>
      </c>
      <c r="AB562" s="1" t="s">
        <v>15631</v>
      </c>
      <c r="AC562" s="1" t="s">
        <v>15632</v>
      </c>
      <c r="AD562" s="1" t="s">
        <v>7479</v>
      </c>
      <c r="AE562" s="1" t="s">
        <v>7480</v>
      </c>
      <c r="AF562" s="1" t="s">
        <v>7481</v>
      </c>
      <c r="AG562" s="1" t="s">
        <v>1507</v>
      </c>
      <c r="AH562" s="1">
        <v>39</v>
      </c>
      <c r="AI562" s="1">
        <v>39</v>
      </c>
      <c r="AJ562" s="1">
        <v>45</v>
      </c>
      <c r="AK562" s="1">
        <v>2</v>
      </c>
      <c r="AL562" s="1">
        <v>67</v>
      </c>
      <c r="AM562" s="1" t="s">
        <v>1579</v>
      </c>
      <c r="AN562" s="1" t="s">
        <v>1580</v>
      </c>
      <c r="AO562" s="1" t="s">
        <v>1581</v>
      </c>
      <c r="AP562" s="1" t="s">
        <v>7151</v>
      </c>
      <c r="AQ562" s="1" t="s">
        <v>7152</v>
      </c>
      <c r="AR562" s="1" t="s">
        <v>1507</v>
      </c>
      <c r="AS562" s="1" t="s">
        <v>7153</v>
      </c>
      <c r="AT562" s="1" t="s">
        <v>7154</v>
      </c>
      <c r="AU562" s="1" t="s">
        <v>15633</v>
      </c>
      <c r="AV562" s="1">
        <v>2022</v>
      </c>
      <c r="AW562" s="1">
        <v>824</v>
      </c>
      <c r="AX562" s="1" t="s">
        <v>1507</v>
      </c>
      <c r="AY562" s="1" t="s">
        <v>1507</v>
      </c>
      <c r="AZ562" s="1" t="s">
        <v>1507</v>
      </c>
      <c r="BA562" s="1" t="s">
        <v>1507</v>
      </c>
      <c r="BB562" s="1" t="s">
        <v>1507</v>
      </c>
      <c r="BC562" s="1" t="s">
        <v>1507</v>
      </c>
      <c r="BD562" s="1" t="s">
        <v>1507</v>
      </c>
      <c r="BE562" s="1">
        <v>153687</v>
      </c>
      <c r="BF562" s="1" t="s">
        <v>7482</v>
      </c>
      <c r="BG562" s="1" t="str">
        <f>HYPERLINK("http://dx.doi.org/10.1016/j.scitotenv.2022.153687","http://dx.doi.org/10.1016/j.scitotenv.2022.153687")</f>
        <v>http://dx.doi.org/10.1016/j.scitotenv.2022.153687</v>
      </c>
      <c r="BH562" s="1" t="s">
        <v>1507</v>
      </c>
      <c r="BI562" s="1" t="s">
        <v>7483</v>
      </c>
      <c r="BJ562" s="1">
        <v>9</v>
      </c>
      <c r="BK562" s="1" t="s">
        <v>7038</v>
      </c>
      <c r="BL562" s="1" t="s">
        <v>1573</v>
      </c>
      <c r="BM562" s="1" t="s">
        <v>1839</v>
      </c>
      <c r="BN562" s="1" t="s">
        <v>7484</v>
      </c>
      <c r="BO562" s="1">
        <v>35134418</v>
      </c>
      <c r="BP562" s="1" t="s">
        <v>5071</v>
      </c>
      <c r="BQ562" s="1" t="s">
        <v>1507</v>
      </c>
      <c r="BR562" s="1" t="s">
        <v>1507</v>
      </c>
      <c r="BS562" s="1" t="s">
        <v>13744</v>
      </c>
      <c r="BT562" s="1" t="s">
        <v>7485</v>
      </c>
      <c r="BU562" s="1" t="str">
        <f>HYPERLINK("https%3A%2F%2Fwww.webofscience.com%2Fwos%2Fwoscc%2Ffull-record%2FWOS:000764890800018","View Full Record in Web of Science")</f>
        <v>View Full Record in Web of Science</v>
      </c>
    </row>
    <row r="563" spans="1:73" x14ac:dyDescent="0.25">
      <c r="A563" s="1">
        <v>616</v>
      </c>
      <c r="B563" s="1" t="s">
        <v>1506</v>
      </c>
      <c r="C563" s="1" t="s">
        <v>7138</v>
      </c>
      <c r="D563" s="1" t="s">
        <v>1507</v>
      </c>
      <c r="E563" s="1" t="s">
        <v>1507</v>
      </c>
      <c r="F563" s="1" t="s">
        <v>1507</v>
      </c>
      <c r="G563" s="1" t="s">
        <v>7139</v>
      </c>
      <c r="H563" s="1" t="s">
        <v>1507</v>
      </c>
      <c r="I563" s="1" t="s">
        <v>1507</v>
      </c>
      <c r="J563" s="1" t="s">
        <v>7140</v>
      </c>
      <c r="K563" s="1" t="s">
        <v>7141</v>
      </c>
      <c r="L563" s="1" t="s">
        <v>1507</v>
      </c>
      <c r="M563" s="1" t="s">
        <v>1507</v>
      </c>
      <c r="N563" s="1" t="s">
        <v>42</v>
      </c>
      <c r="O563" s="1" t="s">
        <v>56</v>
      </c>
      <c r="P563" s="1" t="s">
        <v>1507</v>
      </c>
      <c r="Q563" s="1" t="s">
        <v>1507</v>
      </c>
      <c r="R563" s="1" t="s">
        <v>1507</v>
      </c>
      <c r="S563" s="1" t="s">
        <v>1507</v>
      </c>
      <c r="T563" s="1" t="s">
        <v>1507</v>
      </c>
      <c r="U563" s="1" t="s">
        <v>7142</v>
      </c>
      <c r="V563" s="1" t="s">
        <v>7143</v>
      </c>
      <c r="W563" s="1" t="s">
        <v>7144</v>
      </c>
      <c r="X563" s="1" t="s">
        <v>7145</v>
      </c>
      <c r="Y563" s="1" t="s">
        <v>7146</v>
      </c>
      <c r="Z563" s="1" t="s">
        <v>3718</v>
      </c>
      <c r="AA563" s="1" t="s">
        <v>3719</v>
      </c>
      <c r="AB563" s="1" t="s">
        <v>15607</v>
      </c>
      <c r="AC563" s="1" t="s">
        <v>7147</v>
      </c>
      <c r="AD563" s="1" t="s">
        <v>7148</v>
      </c>
      <c r="AE563" s="1" t="s">
        <v>7149</v>
      </c>
      <c r="AF563" s="1" t="s">
        <v>7150</v>
      </c>
      <c r="AG563" s="1" t="s">
        <v>1507</v>
      </c>
      <c r="AH563" s="1">
        <v>53</v>
      </c>
      <c r="AI563" s="1">
        <v>15</v>
      </c>
      <c r="AJ563" s="1">
        <v>15</v>
      </c>
      <c r="AK563" s="1">
        <v>4</v>
      </c>
      <c r="AL563" s="1">
        <v>36</v>
      </c>
      <c r="AM563" s="1" t="s">
        <v>1579</v>
      </c>
      <c r="AN563" s="1" t="s">
        <v>1580</v>
      </c>
      <c r="AO563" s="1" t="s">
        <v>1581</v>
      </c>
      <c r="AP563" s="1" t="s">
        <v>7151</v>
      </c>
      <c r="AQ563" s="1" t="s">
        <v>7152</v>
      </c>
      <c r="AR563" s="1" t="s">
        <v>1507</v>
      </c>
      <c r="AS563" s="1" t="s">
        <v>7153</v>
      </c>
      <c r="AT563" s="1" t="s">
        <v>7154</v>
      </c>
      <c r="AU563" s="1" t="s">
        <v>15608</v>
      </c>
      <c r="AV563" s="1">
        <v>2022</v>
      </c>
      <c r="AW563" s="1">
        <v>844</v>
      </c>
      <c r="AX563" s="1" t="s">
        <v>1507</v>
      </c>
      <c r="AY563" s="1" t="s">
        <v>1507</v>
      </c>
      <c r="AZ563" s="1" t="s">
        <v>1507</v>
      </c>
      <c r="BA563" s="1" t="s">
        <v>1507</v>
      </c>
      <c r="BB563" s="1" t="s">
        <v>1507</v>
      </c>
      <c r="BC563" s="1" t="s">
        <v>1507</v>
      </c>
      <c r="BD563" s="1" t="s">
        <v>1507</v>
      </c>
      <c r="BE563" s="1">
        <v>157121</v>
      </c>
      <c r="BF563" s="1" t="s">
        <v>7155</v>
      </c>
      <c r="BG563" s="1" t="str">
        <f>HYPERLINK("http://dx.doi.org/10.1016/j.scitotenv.2022.157121","http://dx.doi.org/10.1016/j.scitotenv.2022.157121")</f>
        <v>http://dx.doi.org/10.1016/j.scitotenv.2022.157121</v>
      </c>
      <c r="BH563" s="1" t="s">
        <v>1507</v>
      </c>
      <c r="BI563" s="1" t="s">
        <v>7135</v>
      </c>
      <c r="BJ563" s="1">
        <v>8</v>
      </c>
      <c r="BK563" s="1" t="s">
        <v>7038</v>
      </c>
      <c r="BL563" s="1" t="s">
        <v>1573</v>
      </c>
      <c r="BM563" s="1" t="s">
        <v>1839</v>
      </c>
      <c r="BN563" s="1" t="s">
        <v>7156</v>
      </c>
      <c r="BO563" s="1">
        <v>35787900</v>
      </c>
      <c r="BP563" s="1" t="s">
        <v>5071</v>
      </c>
      <c r="BQ563" s="1" t="s">
        <v>1507</v>
      </c>
      <c r="BR563" s="1" t="s">
        <v>1507</v>
      </c>
      <c r="BS563" s="1" t="s">
        <v>13744</v>
      </c>
      <c r="BT563" s="1" t="s">
        <v>7157</v>
      </c>
      <c r="BU563" s="1" t="str">
        <f>HYPERLINK("https%3A%2F%2Fwww.webofscience.com%2Fwos%2Fwoscc%2Ffull-record%2FWOS:000831653300010","View Full Record in Web of Science")</f>
        <v>View Full Record in Web of Science</v>
      </c>
    </row>
    <row r="564" spans="1:73" x14ac:dyDescent="0.25">
      <c r="A564" s="1">
        <v>617</v>
      </c>
      <c r="B564" s="1" t="s">
        <v>1506</v>
      </c>
      <c r="C564" s="1" t="s">
        <v>3710</v>
      </c>
      <c r="D564" s="1" t="s">
        <v>1507</v>
      </c>
      <c r="E564" s="1" t="s">
        <v>1507</v>
      </c>
      <c r="F564" s="1" t="s">
        <v>1507</v>
      </c>
      <c r="G564" s="1" t="s">
        <v>3711</v>
      </c>
      <c r="H564" s="1" t="s">
        <v>1507</v>
      </c>
      <c r="I564" s="1" t="s">
        <v>1507</v>
      </c>
      <c r="J564" s="1" t="s">
        <v>3712</v>
      </c>
      <c r="K564" s="1" t="s">
        <v>3713</v>
      </c>
      <c r="L564" s="1" t="s">
        <v>1507</v>
      </c>
      <c r="M564" s="1" t="s">
        <v>1507</v>
      </c>
      <c r="N564" s="1" t="s">
        <v>42</v>
      </c>
      <c r="O564" s="1" t="s">
        <v>56</v>
      </c>
      <c r="P564" s="1" t="s">
        <v>1507</v>
      </c>
      <c r="Q564" s="1" t="s">
        <v>1507</v>
      </c>
      <c r="R564" s="1" t="s">
        <v>1507</v>
      </c>
      <c r="S564" s="1" t="s">
        <v>1507</v>
      </c>
      <c r="T564" s="1" t="s">
        <v>1507</v>
      </c>
      <c r="U564" s="1" t="s">
        <v>3714</v>
      </c>
      <c r="V564" s="1" t="s">
        <v>1507</v>
      </c>
      <c r="W564" s="1" t="s">
        <v>3715</v>
      </c>
      <c r="X564" s="1" t="s">
        <v>3716</v>
      </c>
      <c r="Y564" s="1" t="s">
        <v>3717</v>
      </c>
      <c r="Z564" s="1" t="s">
        <v>3718</v>
      </c>
      <c r="AA564" s="1" t="s">
        <v>3719</v>
      </c>
      <c r="AB564" s="1" t="s">
        <v>14475</v>
      </c>
      <c r="AC564" s="1" t="s">
        <v>14476</v>
      </c>
      <c r="AD564" s="1" t="s">
        <v>3720</v>
      </c>
      <c r="AE564" s="1" t="s">
        <v>3721</v>
      </c>
      <c r="AF564" s="1" t="s">
        <v>3722</v>
      </c>
      <c r="AG564" s="1" t="s">
        <v>1507</v>
      </c>
      <c r="AH564" s="1">
        <v>31</v>
      </c>
      <c r="AI564" s="1">
        <v>1</v>
      </c>
      <c r="AJ564" s="1">
        <v>1</v>
      </c>
      <c r="AK564" s="1">
        <v>22</v>
      </c>
      <c r="AL564" s="1">
        <v>25</v>
      </c>
      <c r="AM564" s="1" t="s">
        <v>1900</v>
      </c>
      <c r="AN564" s="1" t="s">
        <v>1583</v>
      </c>
      <c r="AO564" s="1" t="s">
        <v>1901</v>
      </c>
      <c r="AP564" s="1" t="s">
        <v>3723</v>
      </c>
      <c r="AQ564" s="1" t="s">
        <v>3724</v>
      </c>
      <c r="AR564" s="1" t="s">
        <v>1507</v>
      </c>
      <c r="AS564" s="1" t="s">
        <v>3725</v>
      </c>
      <c r="AT564" s="1" t="s">
        <v>3726</v>
      </c>
      <c r="AU564" s="1" t="s">
        <v>12091</v>
      </c>
      <c r="AV564" s="1">
        <v>2023</v>
      </c>
      <c r="AW564" s="1">
        <v>245</v>
      </c>
      <c r="AX564" s="1" t="s">
        <v>1507</v>
      </c>
      <c r="AY564" s="1" t="s">
        <v>1507</v>
      </c>
      <c r="AZ564" s="1" t="s">
        <v>1507</v>
      </c>
      <c r="BA564" s="1" t="s">
        <v>1507</v>
      </c>
      <c r="BB564" s="1" t="s">
        <v>1507</v>
      </c>
      <c r="BC564" s="1" t="s">
        <v>1507</v>
      </c>
      <c r="BD564" s="1" t="s">
        <v>1507</v>
      </c>
      <c r="BE564" s="1">
        <v>120594</v>
      </c>
      <c r="BF564" s="1" t="s">
        <v>3727</v>
      </c>
      <c r="BG564" s="1" t="str">
        <f>HYPERLINK("http://dx.doi.org/10.1016/j.watres.2023.120594","http://dx.doi.org/10.1016/j.watres.2023.120594")</f>
        <v>http://dx.doi.org/10.1016/j.watres.2023.120594</v>
      </c>
      <c r="BH564" s="1" t="s">
        <v>1507</v>
      </c>
      <c r="BI564" s="1" t="s">
        <v>3689</v>
      </c>
      <c r="BJ564" s="1">
        <v>11</v>
      </c>
      <c r="BK564" s="1" t="s">
        <v>3728</v>
      </c>
      <c r="BL564" s="1" t="s">
        <v>1573</v>
      </c>
      <c r="BM564" s="1" t="s">
        <v>3729</v>
      </c>
      <c r="BN564" s="1" t="s">
        <v>3730</v>
      </c>
      <c r="BO564" s="1">
        <v>37741039</v>
      </c>
      <c r="BP564" s="1" t="s">
        <v>1507</v>
      </c>
      <c r="BQ564" s="1" t="s">
        <v>1507</v>
      </c>
      <c r="BR564" s="1" t="s">
        <v>1507</v>
      </c>
      <c r="BS564" s="1" t="s">
        <v>13744</v>
      </c>
      <c r="BT564" s="1" t="s">
        <v>3731</v>
      </c>
      <c r="BU564" s="1" t="str">
        <f>HYPERLINK("https%3A%2F%2Fwww.webofscience.com%2Fwos%2Fwoscc%2Ffull-record%2FWOS:001083574400001","View Full Record in Web of Science")</f>
        <v>View Full Record in Web of Science</v>
      </c>
    </row>
    <row r="565" spans="1:73" x14ac:dyDescent="0.25">
      <c r="A565" s="1">
        <v>618</v>
      </c>
      <c r="B565" s="1" t="s">
        <v>1506</v>
      </c>
      <c r="C565" s="1" t="s">
        <v>8211</v>
      </c>
      <c r="D565" s="1" t="s">
        <v>1507</v>
      </c>
      <c r="E565" s="1" t="s">
        <v>1507</v>
      </c>
      <c r="F565" s="1" t="s">
        <v>1507</v>
      </c>
      <c r="G565" s="1" t="s">
        <v>8212</v>
      </c>
      <c r="H565" s="1" t="s">
        <v>1507</v>
      </c>
      <c r="I565" s="1" t="s">
        <v>1507</v>
      </c>
      <c r="J565" s="1" t="s">
        <v>8213</v>
      </c>
      <c r="K565" s="1" t="s">
        <v>8214</v>
      </c>
      <c r="L565" s="1" t="s">
        <v>1507</v>
      </c>
      <c r="M565" s="1" t="s">
        <v>1507</v>
      </c>
      <c r="N565" s="1" t="s">
        <v>42</v>
      </c>
      <c r="O565" s="1" t="s">
        <v>56</v>
      </c>
      <c r="P565" s="1" t="s">
        <v>1507</v>
      </c>
      <c r="Q565" s="1" t="s">
        <v>1507</v>
      </c>
      <c r="R565" s="1" t="s">
        <v>1507</v>
      </c>
      <c r="S565" s="1" t="s">
        <v>1507</v>
      </c>
      <c r="T565" s="1" t="s">
        <v>1507</v>
      </c>
      <c r="U565" s="1" t="s">
        <v>8215</v>
      </c>
      <c r="V565" s="1" t="s">
        <v>8216</v>
      </c>
      <c r="W565" s="1" t="s">
        <v>8217</v>
      </c>
      <c r="X565" s="1" t="s">
        <v>8218</v>
      </c>
      <c r="Y565" s="1" t="s">
        <v>8219</v>
      </c>
      <c r="Z565" s="1" t="s">
        <v>8220</v>
      </c>
      <c r="AA565" s="1" t="s">
        <v>8221</v>
      </c>
      <c r="AB565" s="1" t="s">
        <v>8222</v>
      </c>
      <c r="AC565" s="1" t="s">
        <v>8223</v>
      </c>
      <c r="AD565" s="1" t="s">
        <v>8224</v>
      </c>
      <c r="AE565" s="1" t="s">
        <v>8225</v>
      </c>
      <c r="AF565" s="1" t="s">
        <v>8226</v>
      </c>
      <c r="AG565" s="1" t="s">
        <v>1507</v>
      </c>
      <c r="AH565" s="1">
        <v>68</v>
      </c>
      <c r="AI565" s="1">
        <v>5</v>
      </c>
      <c r="AJ565" s="1">
        <v>5</v>
      </c>
      <c r="AK565" s="1">
        <v>8</v>
      </c>
      <c r="AL565" s="1">
        <v>30</v>
      </c>
      <c r="AM565" s="1" t="s">
        <v>1582</v>
      </c>
      <c r="AN565" s="1" t="s">
        <v>1583</v>
      </c>
      <c r="AO565" s="1" t="s">
        <v>1584</v>
      </c>
      <c r="AP565" s="1" t="s">
        <v>8227</v>
      </c>
      <c r="AQ565" s="1" t="s">
        <v>8228</v>
      </c>
      <c r="AR565" s="1" t="s">
        <v>1507</v>
      </c>
      <c r="AS565" s="1" t="s">
        <v>8229</v>
      </c>
      <c r="AT565" s="1" t="s">
        <v>8230</v>
      </c>
      <c r="AU565" s="1" t="s">
        <v>2771</v>
      </c>
      <c r="AV565" s="1">
        <v>2021</v>
      </c>
      <c r="AW565" s="1">
        <v>62</v>
      </c>
      <c r="AX565" s="1">
        <v>11</v>
      </c>
      <c r="AY565" s="1" t="s">
        <v>1507</v>
      </c>
      <c r="AZ565" s="1" t="s">
        <v>1507</v>
      </c>
      <c r="BA565" s="1" t="s">
        <v>1507</v>
      </c>
      <c r="BB565" s="1" t="s">
        <v>1507</v>
      </c>
      <c r="BC565" s="1">
        <v>1702</v>
      </c>
      <c r="BD565" s="1">
        <v>1717</v>
      </c>
      <c r="BE565" s="1" t="s">
        <v>1507</v>
      </c>
      <c r="BF565" s="1" t="s">
        <v>8231</v>
      </c>
      <c r="BG565" s="1" t="str">
        <f>HYPERLINK("http://dx.doi.org/10.1093/pcp/pcab125","http://dx.doi.org/10.1093/pcp/pcab125")</f>
        <v>http://dx.doi.org/10.1093/pcp/pcab125</v>
      </c>
      <c r="BH565" s="1" t="s">
        <v>1507</v>
      </c>
      <c r="BI565" s="1" t="s">
        <v>8170</v>
      </c>
      <c r="BJ565" s="1">
        <v>16</v>
      </c>
      <c r="BK565" s="1" t="s">
        <v>8232</v>
      </c>
      <c r="BL565" s="1" t="s">
        <v>1573</v>
      </c>
      <c r="BM565" s="1" t="s">
        <v>8232</v>
      </c>
      <c r="BN565" s="1" t="s">
        <v>8233</v>
      </c>
      <c r="BO565" s="1">
        <v>34463342</v>
      </c>
      <c r="BP565" s="1" t="s">
        <v>1507</v>
      </c>
      <c r="BQ565" s="1" t="s">
        <v>1507</v>
      </c>
      <c r="BR565" s="1" t="s">
        <v>1507</v>
      </c>
      <c r="BS565" s="1" t="s">
        <v>13744</v>
      </c>
      <c r="BT565" s="1" t="s">
        <v>8234</v>
      </c>
      <c r="BU565" s="1" t="str">
        <f>HYPERLINK("https%3A%2F%2Fwww.webofscience.com%2Fwos%2Fwoscc%2Ffull-record%2FWOS:000734079300006","View Full Record in Web of Science")</f>
        <v>View Full Record in Web of Science</v>
      </c>
    </row>
    <row r="566" spans="1:73" x14ac:dyDescent="0.25">
      <c r="A566" s="1">
        <v>619</v>
      </c>
      <c r="B566" s="1" t="s">
        <v>1506</v>
      </c>
      <c r="C566" s="1" t="s">
        <v>4239</v>
      </c>
      <c r="D566" s="1" t="s">
        <v>1507</v>
      </c>
      <c r="E566" s="1" t="s">
        <v>1507</v>
      </c>
      <c r="F566" s="1" t="s">
        <v>1507</v>
      </c>
      <c r="G566" s="1" t="s">
        <v>4240</v>
      </c>
      <c r="H566" s="1" t="s">
        <v>1507</v>
      </c>
      <c r="I566" s="1" t="s">
        <v>1507</v>
      </c>
      <c r="J566" s="1" t="s">
        <v>4241</v>
      </c>
      <c r="K566" s="1" t="s">
        <v>4242</v>
      </c>
      <c r="L566" s="1" t="s">
        <v>1507</v>
      </c>
      <c r="M566" s="1" t="s">
        <v>1507</v>
      </c>
      <c r="N566" s="1" t="s">
        <v>42</v>
      </c>
      <c r="O566" s="1" t="s">
        <v>56</v>
      </c>
      <c r="P566" s="1" t="s">
        <v>1507</v>
      </c>
      <c r="Q566" s="1" t="s">
        <v>1507</v>
      </c>
      <c r="R566" s="1" t="s">
        <v>1507</v>
      </c>
      <c r="S566" s="1" t="s">
        <v>1507</v>
      </c>
      <c r="T566" s="1" t="s">
        <v>1507</v>
      </c>
      <c r="U566" s="1" t="s">
        <v>1507</v>
      </c>
      <c r="V566" s="1" t="s">
        <v>4243</v>
      </c>
      <c r="W566" s="1" t="s">
        <v>4244</v>
      </c>
      <c r="X566" s="1" t="s">
        <v>4245</v>
      </c>
      <c r="Y566" s="1" t="s">
        <v>4246</v>
      </c>
      <c r="Z566" s="1" t="s">
        <v>4247</v>
      </c>
      <c r="AA566" s="1" t="s">
        <v>1521</v>
      </c>
      <c r="AB566" s="1" t="s">
        <v>1507</v>
      </c>
      <c r="AC566" s="1" t="s">
        <v>14566</v>
      </c>
      <c r="AD566" s="1" t="s">
        <v>4248</v>
      </c>
      <c r="AE566" s="1" t="s">
        <v>4249</v>
      </c>
      <c r="AF566" s="1" t="s">
        <v>4250</v>
      </c>
      <c r="AG566" s="1" t="s">
        <v>1507</v>
      </c>
      <c r="AH566" s="1">
        <v>66</v>
      </c>
      <c r="AI566" s="1">
        <v>38</v>
      </c>
      <c r="AJ566" s="1">
        <v>38</v>
      </c>
      <c r="AK566" s="1">
        <v>162</v>
      </c>
      <c r="AL566" s="1">
        <v>244</v>
      </c>
      <c r="AM566" s="1" t="s">
        <v>2372</v>
      </c>
      <c r="AN566" s="1" t="s">
        <v>2300</v>
      </c>
      <c r="AO566" s="1" t="s">
        <v>2373</v>
      </c>
      <c r="AP566" s="1" t="s">
        <v>4251</v>
      </c>
      <c r="AQ566" s="1" t="s">
        <v>4252</v>
      </c>
      <c r="AR566" s="1" t="s">
        <v>1507</v>
      </c>
      <c r="AS566" s="1" t="s">
        <v>4253</v>
      </c>
      <c r="AT566" s="1" t="s">
        <v>4254</v>
      </c>
      <c r="AU566" s="1" t="s">
        <v>14567</v>
      </c>
      <c r="AV566" s="1">
        <v>2023</v>
      </c>
      <c r="AW566" s="1">
        <v>145</v>
      </c>
      <c r="AX566" s="1">
        <v>32</v>
      </c>
      <c r="AY566" s="1" t="s">
        <v>1507</v>
      </c>
      <c r="AZ566" s="1" t="s">
        <v>1507</v>
      </c>
      <c r="BA566" s="1" t="s">
        <v>1507</v>
      </c>
      <c r="BB566" s="1" t="s">
        <v>1507</v>
      </c>
      <c r="BC566" s="1">
        <v>18048</v>
      </c>
      <c r="BD566" s="1">
        <v>18062</v>
      </c>
      <c r="BE566" s="1" t="s">
        <v>1507</v>
      </c>
      <c r="BF566" s="1" t="s">
        <v>4255</v>
      </c>
      <c r="BG566" s="1" t="str">
        <f>HYPERLINK("http://dx.doi.org/10.1021/jacs.3c05819","http://dx.doi.org/10.1021/jacs.3c05819")</f>
        <v>http://dx.doi.org/10.1021/jacs.3c05819</v>
      </c>
      <c r="BH566" s="1" t="s">
        <v>1507</v>
      </c>
      <c r="BI566" s="1" t="s">
        <v>4056</v>
      </c>
      <c r="BJ566" s="1">
        <v>15</v>
      </c>
      <c r="BK566" s="1" t="s">
        <v>2634</v>
      </c>
      <c r="BL566" s="1" t="s">
        <v>1573</v>
      </c>
      <c r="BM566" s="1" t="s">
        <v>2380</v>
      </c>
      <c r="BN566" s="1" t="s">
        <v>4256</v>
      </c>
      <c r="BO566" s="1">
        <v>37548379</v>
      </c>
      <c r="BP566" s="1" t="s">
        <v>1600</v>
      </c>
      <c r="BQ566" s="1" t="s">
        <v>1507</v>
      </c>
      <c r="BR566" s="1" t="s">
        <v>1507</v>
      </c>
      <c r="BS566" s="1" t="s">
        <v>13744</v>
      </c>
      <c r="BT566" s="1" t="s">
        <v>4257</v>
      </c>
      <c r="BU566" s="1" t="str">
        <f>HYPERLINK("https%3A%2F%2Fwww.webofscience.com%2Fwos%2Fwoscc%2Ffull-record%2FWOS:001052894400001","View Full Record in Web of Science")</f>
        <v>View Full Record in Web of Science</v>
      </c>
    </row>
    <row r="567" spans="1:73" x14ac:dyDescent="0.25">
      <c r="A567" s="1">
        <v>620</v>
      </c>
      <c r="B567" s="1" t="s">
        <v>1506</v>
      </c>
      <c r="C567" s="1" t="s">
        <v>2617</v>
      </c>
      <c r="D567" s="1" t="s">
        <v>1507</v>
      </c>
      <c r="E567" s="1" t="s">
        <v>1507</v>
      </c>
      <c r="F567" s="1" t="s">
        <v>1507</v>
      </c>
      <c r="G567" s="1" t="s">
        <v>2618</v>
      </c>
      <c r="H567" s="1" t="s">
        <v>1507</v>
      </c>
      <c r="I567" s="1" t="s">
        <v>1507</v>
      </c>
      <c r="J567" s="1" t="s">
        <v>2619</v>
      </c>
      <c r="K567" s="1" t="s">
        <v>2620</v>
      </c>
      <c r="L567" s="1" t="s">
        <v>1507</v>
      </c>
      <c r="M567" s="1" t="s">
        <v>1507</v>
      </c>
      <c r="N567" s="1" t="s">
        <v>42</v>
      </c>
      <c r="O567" s="1" t="s">
        <v>56</v>
      </c>
      <c r="P567" s="1" t="s">
        <v>1507</v>
      </c>
      <c r="Q567" s="1" t="s">
        <v>1507</v>
      </c>
      <c r="R567" s="1" t="s">
        <v>1507</v>
      </c>
      <c r="S567" s="1" t="s">
        <v>1507</v>
      </c>
      <c r="T567" s="1" t="s">
        <v>1507</v>
      </c>
      <c r="U567" s="1" t="s">
        <v>1507</v>
      </c>
      <c r="V567" s="1" t="s">
        <v>2621</v>
      </c>
      <c r="W567" s="1" t="s">
        <v>2622</v>
      </c>
      <c r="X567" s="1" t="s">
        <v>2623</v>
      </c>
      <c r="Y567" s="1" t="s">
        <v>2624</v>
      </c>
      <c r="Z567" s="1" t="s">
        <v>2625</v>
      </c>
      <c r="AA567" s="1" t="s">
        <v>1521</v>
      </c>
      <c r="AB567" s="1" t="s">
        <v>14001</v>
      </c>
      <c r="AC567" s="1" t="s">
        <v>14002</v>
      </c>
      <c r="AD567" s="1" t="s">
        <v>2626</v>
      </c>
      <c r="AE567" s="1" t="s">
        <v>2627</v>
      </c>
      <c r="AF567" s="1" t="s">
        <v>2628</v>
      </c>
      <c r="AG567" s="1" t="s">
        <v>1507</v>
      </c>
      <c r="AH567" s="1">
        <v>71</v>
      </c>
      <c r="AI567" s="1">
        <v>7</v>
      </c>
      <c r="AJ567" s="1">
        <v>7</v>
      </c>
      <c r="AK567" s="1">
        <v>75</v>
      </c>
      <c r="AL567" s="1">
        <v>75</v>
      </c>
      <c r="AM567" s="1" t="s">
        <v>2372</v>
      </c>
      <c r="AN567" s="1" t="s">
        <v>2300</v>
      </c>
      <c r="AO567" s="1" t="s">
        <v>2373</v>
      </c>
      <c r="AP567" s="1" t="s">
        <v>2629</v>
      </c>
      <c r="AQ567" s="1" t="s">
        <v>2630</v>
      </c>
      <c r="AR567" s="1" t="s">
        <v>1507</v>
      </c>
      <c r="AS567" s="1" t="s">
        <v>2631</v>
      </c>
      <c r="AT567" s="1" t="s">
        <v>2632</v>
      </c>
      <c r="AU567" s="1" t="s">
        <v>2592</v>
      </c>
      <c r="AV567" s="1">
        <v>2023</v>
      </c>
      <c r="AW567" s="1">
        <v>9</v>
      </c>
      <c r="AX567" s="1">
        <v>11</v>
      </c>
      <c r="AY567" s="1" t="s">
        <v>1507</v>
      </c>
      <c r="AZ567" s="1" t="s">
        <v>1507</v>
      </c>
      <c r="BA567" s="1" t="s">
        <v>1507</v>
      </c>
      <c r="BB567" s="1" t="s">
        <v>1507</v>
      </c>
      <c r="BC567" s="1">
        <v>2161</v>
      </c>
      <c r="BD567" s="1">
        <v>2170</v>
      </c>
      <c r="BE567" s="1" t="s">
        <v>1507</v>
      </c>
      <c r="BF567" s="1" t="s">
        <v>2633</v>
      </c>
      <c r="BG567" s="1" t="str">
        <f>HYPERLINK("http://dx.doi.org/10.1021/acscentsci.3c01087","http://dx.doi.org/10.1021/acscentsci.3c01087")</f>
        <v>http://dx.doi.org/10.1021/acscentsci.3c01087</v>
      </c>
      <c r="BH567" s="1" t="s">
        <v>1507</v>
      </c>
      <c r="BI567" s="1" t="s">
        <v>1507</v>
      </c>
      <c r="BJ567" s="1">
        <v>10</v>
      </c>
      <c r="BK567" s="1" t="s">
        <v>2634</v>
      </c>
      <c r="BL567" s="1" t="s">
        <v>1573</v>
      </c>
      <c r="BM567" s="1" t="s">
        <v>2380</v>
      </c>
      <c r="BN567" s="1" t="s">
        <v>2635</v>
      </c>
      <c r="BO567" s="1">
        <v>38033801</v>
      </c>
      <c r="BP567" s="1" t="s">
        <v>1952</v>
      </c>
      <c r="BQ567" s="1" t="s">
        <v>1507</v>
      </c>
      <c r="BR567" s="1" t="s">
        <v>1507</v>
      </c>
      <c r="BS567" s="1" t="s">
        <v>13744</v>
      </c>
      <c r="BT567" s="1" t="s">
        <v>2636</v>
      </c>
      <c r="BU567" s="1" t="str">
        <f>HYPERLINK("https%3A%2F%2Fwww.webofscience.com%2Fwos%2Fwoscc%2Ffull-record%2FWOS:001108538200001","View Full Record in Web of Science")</f>
        <v>View Full Record in Web of Science</v>
      </c>
    </row>
    <row r="568" spans="1:73" x14ac:dyDescent="0.25">
      <c r="A568" s="1">
        <v>621</v>
      </c>
      <c r="B568" s="1" t="s">
        <v>1506</v>
      </c>
      <c r="C568" s="1" t="s">
        <v>5313</v>
      </c>
      <c r="D568" s="1" t="s">
        <v>1507</v>
      </c>
      <c r="E568" s="1" t="s">
        <v>1507</v>
      </c>
      <c r="F568" s="1" t="s">
        <v>1507</v>
      </c>
      <c r="G568" s="1" t="s">
        <v>5314</v>
      </c>
      <c r="H568" s="1" t="s">
        <v>1507</v>
      </c>
      <c r="I568" s="1" t="s">
        <v>1507</v>
      </c>
      <c r="J568" s="1" t="s">
        <v>5315</v>
      </c>
      <c r="K568" s="1" t="s">
        <v>5316</v>
      </c>
      <c r="L568" s="1" t="s">
        <v>1507</v>
      </c>
      <c r="M568" s="1" t="s">
        <v>1507</v>
      </c>
      <c r="N568" s="1" t="s">
        <v>42</v>
      </c>
      <c r="O568" s="1" t="s">
        <v>56</v>
      </c>
      <c r="P568" s="1" t="s">
        <v>1507</v>
      </c>
      <c r="Q568" s="1" t="s">
        <v>1507</v>
      </c>
      <c r="R568" s="1" t="s">
        <v>1507</v>
      </c>
      <c r="S568" s="1" t="s">
        <v>1507</v>
      </c>
      <c r="T568" s="1" t="s">
        <v>1507</v>
      </c>
      <c r="U568" s="1" t="s">
        <v>5317</v>
      </c>
      <c r="V568" s="1" t="s">
        <v>5318</v>
      </c>
      <c r="W568" s="1" t="s">
        <v>5319</v>
      </c>
      <c r="X568" s="1" t="s">
        <v>5320</v>
      </c>
      <c r="Y568" s="1" t="s">
        <v>5321</v>
      </c>
      <c r="Z568" s="1" t="s">
        <v>5322</v>
      </c>
      <c r="AA568" s="1" t="s">
        <v>5323</v>
      </c>
      <c r="AB568" s="1" t="s">
        <v>14804</v>
      </c>
      <c r="AC568" s="1" t="s">
        <v>14805</v>
      </c>
      <c r="AD568" s="1" t="s">
        <v>5324</v>
      </c>
      <c r="AE568" s="1" t="s">
        <v>5325</v>
      </c>
      <c r="AF568" s="1" t="s">
        <v>5326</v>
      </c>
      <c r="AG568" s="1" t="s">
        <v>1507</v>
      </c>
      <c r="AH568" s="1">
        <v>37</v>
      </c>
      <c r="AI568" s="1">
        <v>2</v>
      </c>
      <c r="AJ568" s="1">
        <v>2</v>
      </c>
      <c r="AK568" s="1">
        <v>15</v>
      </c>
      <c r="AL568" s="1">
        <v>33</v>
      </c>
      <c r="AM568" s="1" t="s">
        <v>1511</v>
      </c>
      <c r="AN568" s="1" t="s">
        <v>1512</v>
      </c>
      <c r="AO568" s="1" t="s">
        <v>1513</v>
      </c>
      <c r="AP568" s="1" t="s">
        <v>5327</v>
      </c>
      <c r="AQ568" s="1" t="s">
        <v>5328</v>
      </c>
      <c r="AR568" s="1" t="s">
        <v>1507</v>
      </c>
      <c r="AS568" s="1" t="s">
        <v>5329</v>
      </c>
      <c r="AT568" s="1" t="s">
        <v>5330</v>
      </c>
      <c r="AU568" s="1" t="s">
        <v>4336</v>
      </c>
      <c r="AV568" s="1">
        <v>2023</v>
      </c>
      <c r="AW568" s="1">
        <v>17</v>
      </c>
      <c r="AX568" s="1">
        <v>4</v>
      </c>
      <c r="AY568" s="1" t="s">
        <v>1507</v>
      </c>
      <c r="AZ568" s="1" t="s">
        <v>1507</v>
      </c>
      <c r="BA568" s="1" t="s">
        <v>1507</v>
      </c>
      <c r="BB568" s="1" t="s">
        <v>1507</v>
      </c>
      <c r="BC568" s="1">
        <v>3254</v>
      </c>
      <c r="BD568" s="1">
        <v>3263</v>
      </c>
      <c r="BE568" s="1" t="s">
        <v>1507</v>
      </c>
      <c r="BF568" s="1" t="s">
        <v>5331</v>
      </c>
      <c r="BG568" s="1" t="str">
        <f>HYPERLINK("http://dx.doi.org/10.1007/s11694-023-01873-0","http://dx.doi.org/10.1007/s11694-023-01873-0")</f>
        <v>http://dx.doi.org/10.1007/s11694-023-01873-0</v>
      </c>
      <c r="BH568" s="1" t="s">
        <v>1507</v>
      </c>
      <c r="BI568" s="1" t="s">
        <v>5260</v>
      </c>
      <c r="BJ568" s="1">
        <v>10</v>
      </c>
      <c r="BK568" s="1" t="s">
        <v>5332</v>
      </c>
      <c r="BL568" s="1" t="s">
        <v>1573</v>
      </c>
      <c r="BM568" s="1" t="s">
        <v>5332</v>
      </c>
      <c r="BN568" s="1" t="s">
        <v>5333</v>
      </c>
      <c r="BO568" s="1" t="s">
        <v>1507</v>
      </c>
      <c r="BP568" s="1" t="s">
        <v>1507</v>
      </c>
      <c r="BQ568" s="1" t="s">
        <v>1507</v>
      </c>
      <c r="BR568" s="1" t="s">
        <v>1507</v>
      </c>
      <c r="BS568" s="1" t="s">
        <v>13744</v>
      </c>
      <c r="BT568" s="1" t="s">
        <v>5334</v>
      </c>
      <c r="BU568" s="1" t="str">
        <f>HYPERLINK("https%3A%2F%2Fwww.webofscience.com%2Fwos%2Fwoscc%2Ffull-record%2FWOS:000943629400004","View Full Record in Web of Science")</f>
        <v>View Full Record in Web of Science</v>
      </c>
    </row>
    <row r="569" spans="1:73" x14ac:dyDescent="0.25">
      <c r="A569" s="1">
        <v>622</v>
      </c>
      <c r="B569" s="1" t="s">
        <v>1506</v>
      </c>
      <c r="C569" s="1" t="s">
        <v>2637</v>
      </c>
      <c r="D569" s="1" t="s">
        <v>1507</v>
      </c>
      <c r="E569" s="1" t="s">
        <v>1507</v>
      </c>
      <c r="F569" s="1" t="s">
        <v>1507</v>
      </c>
      <c r="G569" s="1" t="s">
        <v>2638</v>
      </c>
      <c r="H569" s="1" t="s">
        <v>1507</v>
      </c>
      <c r="I569" s="1" t="s">
        <v>1507</v>
      </c>
      <c r="J569" s="1" t="s">
        <v>2639</v>
      </c>
      <c r="K569" s="1" t="s">
        <v>2640</v>
      </c>
      <c r="L569" s="1" t="s">
        <v>1507</v>
      </c>
      <c r="M569" s="1" t="s">
        <v>1507</v>
      </c>
      <c r="N569" s="1" t="s">
        <v>42</v>
      </c>
      <c r="O569" s="1" t="s">
        <v>56</v>
      </c>
      <c r="P569" s="1" t="s">
        <v>1507</v>
      </c>
      <c r="Q569" s="1" t="s">
        <v>1507</v>
      </c>
      <c r="R569" s="1" t="s">
        <v>1507</v>
      </c>
      <c r="S569" s="1" t="s">
        <v>1507</v>
      </c>
      <c r="T569" s="1" t="s">
        <v>1507</v>
      </c>
      <c r="U569" s="1" t="s">
        <v>2641</v>
      </c>
      <c r="V569" s="1" t="s">
        <v>2642</v>
      </c>
      <c r="W569" s="1" t="s">
        <v>2643</v>
      </c>
      <c r="X569" s="1" t="s">
        <v>2644</v>
      </c>
      <c r="Y569" s="1" t="s">
        <v>2645</v>
      </c>
      <c r="Z569" s="1" t="s">
        <v>2646</v>
      </c>
      <c r="AA569" s="1" t="s">
        <v>2647</v>
      </c>
      <c r="AB569" s="1" t="s">
        <v>2648</v>
      </c>
      <c r="AC569" s="1" t="s">
        <v>2649</v>
      </c>
      <c r="AD569" s="1" t="s">
        <v>2650</v>
      </c>
      <c r="AE569" s="1" t="s">
        <v>2650</v>
      </c>
      <c r="AF569" s="1" t="s">
        <v>2650</v>
      </c>
      <c r="AG569" s="1" t="s">
        <v>1507</v>
      </c>
      <c r="AH569" s="1">
        <v>40</v>
      </c>
      <c r="AI569" s="1">
        <v>0</v>
      </c>
      <c r="AJ569" s="1">
        <v>0</v>
      </c>
      <c r="AK569" s="1">
        <v>6</v>
      </c>
      <c r="AL569" s="1">
        <v>6</v>
      </c>
      <c r="AM569" s="1" t="s">
        <v>1582</v>
      </c>
      <c r="AN569" s="1" t="s">
        <v>1583</v>
      </c>
      <c r="AO569" s="1" t="s">
        <v>1584</v>
      </c>
      <c r="AP569" s="1" t="s">
        <v>2651</v>
      </c>
      <c r="AQ569" s="1" t="s">
        <v>2652</v>
      </c>
      <c r="AR569" s="1" t="s">
        <v>1507</v>
      </c>
      <c r="AS569" s="1" t="s">
        <v>2653</v>
      </c>
      <c r="AT569" s="1" t="s">
        <v>2654</v>
      </c>
      <c r="AU569" s="1" t="s">
        <v>1569</v>
      </c>
      <c r="AV569" s="1">
        <v>2024</v>
      </c>
      <c r="AW569" s="1">
        <v>31</v>
      </c>
      <c r="AX569" s="1">
        <v>2</v>
      </c>
      <c r="AY569" s="1" t="s">
        <v>1507</v>
      </c>
      <c r="AZ569" s="1" t="s">
        <v>1507</v>
      </c>
      <c r="BA569" s="1" t="s">
        <v>1507</v>
      </c>
      <c r="BB569" s="1" t="s">
        <v>1507</v>
      </c>
      <c r="BC569" s="1">
        <v>426</v>
      </c>
      <c r="BD569" s="1">
        <v>434</v>
      </c>
      <c r="BE569" s="1" t="s">
        <v>1507</v>
      </c>
      <c r="BF569" s="1" t="s">
        <v>2655</v>
      </c>
      <c r="BG569" s="1" t="str">
        <f>HYPERLINK("http://dx.doi.org/10.1093/jamia/ocad216","http://dx.doi.org/10.1093/jamia/ocad216")</f>
        <v>http://dx.doi.org/10.1093/jamia/ocad216</v>
      </c>
      <c r="BH569" s="1" t="s">
        <v>1507</v>
      </c>
      <c r="BI569" s="1" t="s">
        <v>2396</v>
      </c>
      <c r="BJ569" s="1">
        <v>9</v>
      </c>
      <c r="BK569" s="1" t="s">
        <v>2656</v>
      </c>
      <c r="BL569" s="1" t="s">
        <v>1598</v>
      </c>
      <c r="BM569" s="1" t="s">
        <v>2657</v>
      </c>
      <c r="BN569" s="1" t="s">
        <v>14003</v>
      </c>
      <c r="BO569" s="1">
        <v>37952122</v>
      </c>
      <c r="BP569" s="1" t="s">
        <v>2309</v>
      </c>
      <c r="BQ569" s="1" t="s">
        <v>1507</v>
      </c>
      <c r="BR569" s="1" t="s">
        <v>1507</v>
      </c>
      <c r="BS569" s="1" t="s">
        <v>13744</v>
      </c>
      <c r="BT569" s="1" t="s">
        <v>2658</v>
      </c>
      <c r="BU569" s="1" t="str">
        <f>HYPERLINK("https%3A%2F%2Fwww.webofscience.com%2Fwos%2Fwoscc%2Ffull-record%2FWOS:001100511500001","View Full Record in Web of Science")</f>
        <v>View Full Record in Web of Science</v>
      </c>
    </row>
    <row r="570" spans="1:73" x14ac:dyDescent="0.25">
      <c r="A570" s="1">
        <v>623</v>
      </c>
      <c r="B570" s="1" t="s">
        <v>5546</v>
      </c>
      <c r="C570" s="1" t="s">
        <v>6664</v>
      </c>
      <c r="D570" s="1" t="s">
        <v>1507</v>
      </c>
      <c r="E570" s="1" t="s">
        <v>1507</v>
      </c>
      <c r="F570" s="1" t="s">
        <v>5548</v>
      </c>
      <c r="G570" s="1" t="s">
        <v>6665</v>
      </c>
      <c r="H570" s="1" t="s">
        <v>1507</v>
      </c>
      <c r="I570" s="1" t="s">
        <v>1507</v>
      </c>
      <c r="J570" s="1" t="s">
        <v>6666</v>
      </c>
      <c r="K570" s="1" t="s">
        <v>6170</v>
      </c>
      <c r="L570" s="1" t="s">
        <v>1507</v>
      </c>
      <c r="M570" s="1" t="s">
        <v>1507</v>
      </c>
      <c r="N570" s="1" t="s">
        <v>42</v>
      </c>
      <c r="O570" s="1" t="s">
        <v>5552</v>
      </c>
      <c r="P570" s="1" t="s">
        <v>6171</v>
      </c>
      <c r="Q570" s="1" t="s">
        <v>6172</v>
      </c>
      <c r="R570" s="1" t="s">
        <v>6173</v>
      </c>
      <c r="S570" s="1" t="s">
        <v>6174</v>
      </c>
      <c r="T570" s="1" t="s">
        <v>1507</v>
      </c>
      <c r="U570" s="1" t="s">
        <v>6667</v>
      </c>
      <c r="V570" s="1" t="s">
        <v>1507</v>
      </c>
      <c r="W570" s="1" t="s">
        <v>6668</v>
      </c>
      <c r="X570" s="1" t="s">
        <v>6669</v>
      </c>
      <c r="Y570" s="1" t="s">
        <v>6670</v>
      </c>
      <c r="Z570" s="1" t="s">
        <v>6671</v>
      </c>
      <c r="AA570" s="1" t="s">
        <v>1507</v>
      </c>
      <c r="AB570" s="1" t="s">
        <v>1507</v>
      </c>
      <c r="AC570" s="1" t="s">
        <v>1507</v>
      </c>
      <c r="AD570" s="1" t="s">
        <v>1507</v>
      </c>
      <c r="AE570" s="1" t="s">
        <v>1507</v>
      </c>
      <c r="AF570" s="1" t="s">
        <v>1507</v>
      </c>
      <c r="AG570" s="1" t="s">
        <v>1507</v>
      </c>
      <c r="AH570" s="1">
        <v>25</v>
      </c>
      <c r="AI570" s="1">
        <v>0</v>
      </c>
      <c r="AJ570" s="1">
        <v>0</v>
      </c>
      <c r="AK570" s="1">
        <v>5</v>
      </c>
      <c r="AL570" s="1">
        <v>5</v>
      </c>
      <c r="AM570" s="1" t="s">
        <v>5565</v>
      </c>
      <c r="AN570" s="1" t="s">
        <v>1512</v>
      </c>
      <c r="AO570" s="1" t="s">
        <v>5566</v>
      </c>
      <c r="AP570" s="1" t="s">
        <v>1507</v>
      </c>
      <c r="AQ570" s="1" t="s">
        <v>1507</v>
      </c>
      <c r="AR570" s="1" t="s">
        <v>6181</v>
      </c>
      <c r="AS570" s="1" t="s">
        <v>1507</v>
      </c>
      <c r="AT570" s="1" t="s">
        <v>1507</v>
      </c>
      <c r="AU570" s="1" t="s">
        <v>1507</v>
      </c>
      <c r="AV570" s="1">
        <v>2023</v>
      </c>
      <c r="AW570" s="1" t="s">
        <v>1507</v>
      </c>
      <c r="AX570" s="1" t="s">
        <v>1507</v>
      </c>
      <c r="AY570" s="1" t="s">
        <v>1507</v>
      </c>
      <c r="AZ570" s="1" t="s">
        <v>1507</v>
      </c>
      <c r="BA570" s="1" t="s">
        <v>1507</v>
      </c>
      <c r="BB570" s="1" t="s">
        <v>1507</v>
      </c>
      <c r="BC570" s="1">
        <v>33</v>
      </c>
      <c r="BD570" s="1">
        <v>40</v>
      </c>
      <c r="BE570" s="1" t="s">
        <v>1507</v>
      </c>
      <c r="BF570" s="1" t="s">
        <v>6672</v>
      </c>
      <c r="BG570" s="1" t="str">
        <f>HYPERLINK("http://dx.doi.org/10.1145/3626111.3628212","http://dx.doi.org/10.1145/3626111.3628212")</f>
        <v>http://dx.doi.org/10.1145/3626111.3628212</v>
      </c>
      <c r="BH570" s="1" t="s">
        <v>1507</v>
      </c>
      <c r="BI570" s="1" t="s">
        <v>1507</v>
      </c>
      <c r="BJ570" s="1">
        <v>8</v>
      </c>
      <c r="BK570" s="1" t="s">
        <v>6183</v>
      </c>
      <c r="BL570" s="1" t="s">
        <v>5570</v>
      </c>
      <c r="BM570" s="1" t="s">
        <v>5671</v>
      </c>
      <c r="BN570" s="1" t="s">
        <v>6184</v>
      </c>
      <c r="BO570" s="1" t="s">
        <v>1507</v>
      </c>
      <c r="BP570" s="1" t="s">
        <v>1507</v>
      </c>
      <c r="BQ570" s="1" t="s">
        <v>1507</v>
      </c>
      <c r="BR570" s="1" t="s">
        <v>1507</v>
      </c>
      <c r="BS570" s="1" t="s">
        <v>13744</v>
      </c>
      <c r="BT570" s="1" t="s">
        <v>6673</v>
      </c>
      <c r="BU570" s="1" t="str">
        <f>HYPERLINK("https%3A%2F%2Fwww.webofscience.com%2Fwos%2Fwoscc%2Ffull-record%2FWOS:001124843800005","View Full Record in Web of Science")</f>
        <v>View Full Record in Web of Science</v>
      </c>
    </row>
    <row r="571" spans="1:73" x14ac:dyDescent="0.25">
      <c r="A571" s="1">
        <v>624</v>
      </c>
      <c r="B571" s="1" t="s">
        <v>1506</v>
      </c>
      <c r="C571" s="1" t="s">
        <v>8444</v>
      </c>
      <c r="D571" s="1" t="s">
        <v>1507</v>
      </c>
      <c r="E571" s="1" t="s">
        <v>1507</v>
      </c>
      <c r="F571" s="1" t="s">
        <v>1507</v>
      </c>
      <c r="G571" s="1" t="s">
        <v>8445</v>
      </c>
      <c r="H571" s="1" t="s">
        <v>1507</v>
      </c>
      <c r="I571" s="1" t="s">
        <v>1507</v>
      </c>
      <c r="J571" s="1" t="s">
        <v>8446</v>
      </c>
      <c r="K571" s="1" t="s">
        <v>3251</v>
      </c>
      <c r="L571" s="1" t="s">
        <v>1507</v>
      </c>
      <c r="M571" s="1" t="s">
        <v>1507</v>
      </c>
      <c r="N571" s="1" t="s">
        <v>42</v>
      </c>
      <c r="O571" s="1" t="s">
        <v>56</v>
      </c>
      <c r="P571" s="1" t="s">
        <v>1507</v>
      </c>
      <c r="Q571" s="1" t="s">
        <v>1507</v>
      </c>
      <c r="R571" s="1" t="s">
        <v>1507</v>
      </c>
      <c r="S571" s="1" t="s">
        <v>1507</v>
      </c>
      <c r="T571" s="1" t="s">
        <v>1507</v>
      </c>
      <c r="U571" s="1" t="s">
        <v>8447</v>
      </c>
      <c r="V571" s="1" t="s">
        <v>8448</v>
      </c>
      <c r="W571" s="1" t="s">
        <v>8449</v>
      </c>
      <c r="X571" s="1" t="s">
        <v>8450</v>
      </c>
      <c r="Y571" s="1" t="s">
        <v>15730</v>
      </c>
      <c r="Z571" s="1" t="s">
        <v>8451</v>
      </c>
      <c r="AA571" s="1" t="s">
        <v>8452</v>
      </c>
      <c r="AB571" s="1" t="s">
        <v>15731</v>
      </c>
      <c r="AC571" s="1" t="s">
        <v>15732</v>
      </c>
      <c r="AD571" s="1" t="s">
        <v>8453</v>
      </c>
      <c r="AE571" s="1" t="s">
        <v>8454</v>
      </c>
      <c r="AF571" s="1" t="s">
        <v>8455</v>
      </c>
      <c r="AG571" s="1" t="s">
        <v>1507</v>
      </c>
      <c r="AH571" s="1">
        <v>32</v>
      </c>
      <c r="AI571" s="1">
        <v>13</v>
      </c>
      <c r="AJ571" s="1">
        <v>14</v>
      </c>
      <c r="AK571" s="1">
        <v>2</v>
      </c>
      <c r="AL571" s="1">
        <v>17</v>
      </c>
      <c r="AM571" s="1" t="s">
        <v>3263</v>
      </c>
      <c r="AN571" s="1" t="s">
        <v>2300</v>
      </c>
      <c r="AO571" s="1" t="s">
        <v>3264</v>
      </c>
      <c r="AP571" s="1" t="s">
        <v>3265</v>
      </c>
      <c r="AQ571" s="1" t="s">
        <v>3266</v>
      </c>
      <c r="AR571" s="1" t="s">
        <v>1507</v>
      </c>
      <c r="AS571" s="1" t="s">
        <v>3267</v>
      </c>
      <c r="AT571" s="1" t="s">
        <v>3268</v>
      </c>
      <c r="AU571" s="1" t="s">
        <v>8456</v>
      </c>
      <c r="AV571" s="1">
        <v>2021</v>
      </c>
      <c r="AW571" s="1">
        <v>118</v>
      </c>
      <c r="AX571" s="1">
        <v>25</v>
      </c>
      <c r="AY571" s="1" t="s">
        <v>1507</v>
      </c>
      <c r="AZ571" s="1" t="s">
        <v>1507</v>
      </c>
      <c r="BA571" s="1" t="s">
        <v>1507</v>
      </c>
      <c r="BB571" s="1" t="s">
        <v>1507</v>
      </c>
      <c r="BC571" s="1" t="s">
        <v>1507</v>
      </c>
      <c r="BD571" s="1" t="s">
        <v>1507</v>
      </c>
      <c r="BE571" s="1" t="s">
        <v>8457</v>
      </c>
      <c r="BF571" s="1" t="s">
        <v>8458</v>
      </c>
      <c r="BG571" s="1" t="str">
        <f>HYPERLINK("http://dx.doi.org/10.1073/pnas.2103984118","http://dx.doi.org/10.1073/pnas.2103984118")</f>
        <v>http://dx.doi.org/10.1073/pnas.2103984118</v>
      </c>
      <c r="BH571" s="1" t="s">
        <v>1507</v>
      </c>
      <c r="BI571" s="1" t="s">
        <v>1507</v>
      </c>
      <c r="BJ571" s="1">
        <v>8</v>
      </c>
      <c r="BK571" s="1" t="s">
        <v>1776</v>
      </c>
      <c r="BL571" s="1" t="s">
        <v>1573</v>
      </c>
      <c r="BM571" s="1" t="s">
        <v>1777</v>
      </c>
      <c r="BN571" s="1" t="s">
        <v>8459</v>
      </c>
      <c r="BO571" s="1">
        <v>34099577</v>
      </c>
      <c r="BP571" s="1" t="s">
        <v>2309</v>
      </c>
      <c r="BQ571" s="1" t="s">
        <v>1507</v>
      </c>
      <c r="BR571" s="1" t="s">
        <v>1507</v>
      </c>
      <c r="BS571" s="1" t="s">
        <v>13744</v>
      </c>
      <c r="BT571" s="1" t="s">
        <v>8460</v>
      </c>
      <c r="BU571" s="1" t="str">
        <f>HYPERLINK("https%3A%2F%2Fwww.webofscience.com%2Fwos%2Fwoscc%2Ffull-record%2FWOS:000672563300021","View Full Record in Web of Science")</f>
        <v>View Full Record in Web of Science</v>
      </c>
    </row>
    <row r="572" spans="1:73" x14ac:dyDescent="0.25">
      <c r="A572" s="1">
        <v>625</v>
      </c>
      <c r="B572" s="1" t="s">
        <v>1506</v>
      </c>
      <c r="C572" s="1" t="s">
        <v>9316</v>
      </c>
      <c r="D572" s="1" t="s">
        <v>1507</v>
      </c>
      <c r="E572" s="1" t="s">
        <v>1507</v>
      </c>
      <c r="F572" s="1" t="s">
        <v>1507</v>
      </c>
      <c r="G572" s="1" t="s">
        <v>9317</v>
      </c>
      <c r="H572" s="1" t="s">
        <v>1507</v>
      </c>
      <c r="I572" s="1" t="s">
        <v>1507</v>
      </c>
      <c r="J572" s="1" t="s">
        <v>9318</v>
      </c>
      <c r="K572" s="1" t="s">
        <v>7697</v>
      </c>
      <c r="L572" s="1" t="s">
        <v>1507</v>
      </c>
      <c r="M572" s="1" t="s">
        <v>1507</v>
      </c>
      <c r="N572" s="1" t="s">
        <v>42</v>
      </c>
      <c r="O572" s="1" t="s">
        <v>56</v>
      </c>
      <c r="P572" s="1" t="s">
        <v>1507</v>
      </c>
      <c r="Q572" s="1" t="s">
        <v>1507</v>
      </c>
      <c r="R572" s="1" t="s">
        <v>1507</v>
      </c>
      <c r="S572" s="1" t="s">
        <v>1507</v>
      </c>
      <c r="T572" s="1" t="s">
        <v>1507</v>
      </c>
      <c r="U572" s="1" t="s">
        <v>1507</v>
      </c>
      <c r="V572" s="1" t="s">
        <v>1507</v>
      </c>
      <c r="W572" s="1" t="s">
        <v>9319</v>
      </c>
      <c r="X572" s="1" t="s">
        <v>9320</v>
      </c>
      <c r="Y572" s="1" t="s">
        <v>9321</v>
      </c>
      <c r="Z572" s="1" t="s">
        <v>9322</v>
      </c>
      <c r="AA572" s="1" t="s">
        <v>1507</v>
      </c>
      <c r="AB572" s="1" t="s">
        <v>1507</v>
      </c>
      <c r="AC572" s="1" t="s">
        <v>1507</v>
      </c>
      <c r="AD572" s="1" t="s">
        <v>9323</v>
      </c>
      <c r="AE572" s="1" t="s">
        <v>9324</v>
      </c>
      <c r="AF572" s="1" t="s">
        <v>9325</v>
      </c>
      <c r="AG572" s="1" t="s">
        <v>1507</v>
      </c>
      <c r="AH572" s="1">
        <v>29</v>
      </c>
      <c r="AI572" s="1">
        <v>0</v>
      </c>
      <c r="AJ572" s="1">
        <v>0</v>
      </c>
      <c r="AK572" s="1">
        <v>0</v>
      </c>
      <c r="AL572" s="1">
        <v>9</v>
      </c>
      <c r="AM572" s="1" t="s">
        <v>7708</v>
      </c>
      <c r="AN572" s="1" t="s">
        <v>7709</v>
      </c>
      <c r="AO572" s="1" t="s">
        <v>7710</v>
      </c>
      <c r="AP572" s="1" t="s">
        <v>7711</v>
      </c>
      <c r="AQ572" s="1" t="s">
        <v>1507</v>
      </c>
      <c r="AR572" s="1" t="s">
        <v>1507</v>
      </c>
      <c r="AS572" s="1" t="s">
        <v>7712</v>
      </c>
      <c r="AT572" s="1" t="s">
        <v>7713</v>
      </c>
      <c r="AU572" s="1" t="s">
        <v>1507</v>
      </c>
      <c r="AV572" s="1">
        <v>2021</v>
      </c>
      <c r="AW572" s="1">
        <v>51</v>
      </c>
      <c r="AX572" s="1" t="s">
        <v>1507</v>
      </c>
      <c r="AY572" s="1">
        <v>2</v>
      </c>
      <c r="AZ572" s="1" t="s">
        <v>1507</v>
      </c>
      <c r="BA572" s="1" t="s">
        <v>1507</v>
      </c>
      <c r="BB572" s="1" t="s">
        <v>1507</v>
      </c>
      <c r="BC572" s="1">
        <v>645</v>
      </c>
      <c r="BD572" s="1">
        <v>667</v>
      </c>
      <c r="BE572" s="1" t="s">
        <v>1507</v>
      </c>
      <c r="BF572" s="1" t="s">
        <v>1507</v>
      </c>
      <c r="BG572" s="1" t="s">
        <v>1507</v>
      </c>
      <c r="BH572" s="1" t="s">
        <v>1507</v>
      </c>
      <c r="BI572" s="1" t="s">
        <v>1507</v>
      </c>
      <c r="BJ572" s="1">
        <v>23</v>
      </c>
      <c r="BK572" s="1" t="s">
        <v>1535</v>
      </c>
      <c r="BL572" s="1" t="s">
        <v>1518</v>
      </c>
      <c r="BM572" s="1" t="s">
        <v>1536</v>
      </c>
      <c r="BN572" s="1" t="s">
        <v>9326</v>
      </c>
      <c r="BO572" s="1" t="s">
        <v>1507</v>
      </c>
      <c r="BP572" s="1" t="s">
        <v>1507</v>
      </c>
      <c r="BQ572" s="1" t="s">
        <v>1507</v>
      </c>
      <c r="BR572" s="1" t="s">
        <v>1507</v>
      </c>
      <c r="BS572" s="1" t="s">
        <v>13744</v>
      </c>
      <c r="BT572" s="1" t="s">
        <v>9327</v>
      </c>
      <c r="BU572" s="1" t="str">
        <f>HYPERLINK("https%3A%2F%2Fwww.webofscience.com%2Fwos%2Fwoscc%2Ffull-record%2FWOS:000741196900010","View Full Record in Web of Science")</f>
        <v>View Full Record in Web of Science</v>
      </c>
    </row>
    <row r="573" spans="1:73" x14ac:dyDescent="0.25">
      <c r="A573" s="1">
        <v>626</v>
      </c>
      <c r="B573" s="1" t="s">
        <v>5546</v>
      </c>
      <c r="C573" s="1" t="s">
        <v>6674</v>
      </c>
      <c r="D573" s="1" t="s">
        <v>1507</v>
      </c>
      <c r="E573" s="1" t="s">
        <v>1507</v>
      </c>
      <c r="F573" s="1" t="s">
        <v>5548</v>
      </c>
      <c r="G573" s="1" t="s">
        <v>6675</v>
      </c>
      <c r="H573" s="1" t="s">
        <v>1507</v>
      </c>
      <c r="I573" s="1" t="s">
        <v>1507</v>
      </c>
      <c r="J573" s="1" t="s">
        <v>6676</v>
      </c>
      <c r="K573" s="1" t="s">
        <v>6677</v>
      </c>
      <c r="L573" s="1" t="s">
        <v>1507</v>
      </c>
      <c r="M573" s="1" t="s">
        <v>1507</v>
      </c>
      <c r="N573" s="1" t="s">
        <v>42</v>
      </c>
      <c r="O573" s="1" t="s">
        <v>5552</v>
      </c>
      <c r="P573" s="1" t="s">
        <v>6678</v>
      </c>
      <c r="Q573" s="1" t="s">
        <v>6679</v>
      </c>
      <c r="R573" s="1" t="s">
        <v>6622</v>
      </c>
      <c r="S573" s="1" t="s">
        <v>6680</v>
      </c>
      <c r="T573" s="1" t="s">
        <v>1507</v>
      </c>
      <c r="U573" s="1" t="s">
        <v>6681</v>
      </c>
      <c r="V573" s="1" t="s">
        <v>1507</v>
      </c>
      <c r="W573" s="1" t="s">
        <v>6682</v>
      </c>
      <c r="X573" s="1" t="s">
        <v>6683</v>
      </c>
      <c r="Y573" s="1" t="s">
        <v>6684</v>
      </c>
      <c r="Z573" s="1" t="s">
        <v>6685</v>
      </c>
      <c r="AA573" s="1" t="s">
        <v>6686</v>
      </c>
      <c r="AB573" s="1" t="s">
        <v>1507</v>
      </c>
      <c r="AC573" s="1" t="s">
        <v>15542</v>
      </c>
      <c r="AD573" s="1" t="s">
        <v>6687</v>
      </c>
      <c r="AE573" s="1" t="s">
        <v>6688</v>
      </c>
      <c r="AF573" s="1" t="s">
        <v>6689</v>
      </c>
      <c r="AG573" s="1" t="s">
        <v>1507</v>
      </c>
      <c r="AH573" s="1">
        <v>14</v>
      </c>
      <c r="AI573" s="1">
        <v>0</v>
      </c>
      <c r="AJ573" s="1">
        <v>0</v>
      </c>
      <c r="AK573" s="1">
        <v>1</v>
      </c>
      <c r="AL573" s="1">
        <v>1</v>
      </c>
      <c r="AM573" s="1" t="s">
        <v>5565</v>
      </c>
      <c r="AN573" s="1" t="s">
        <v>1512</v>
      </c>
      <c r="AO573" s="1" t="s">
        <v>5566</v>
      </c>
      <c r="AP573" s="1" t="s">
        <v>1507</v>
      </c>
      <c r="AQ573" s="1" t="s">
        <v>1507</v>
      </c>
      <c r="AR573" s="1" t="s">
        <v>6690</v>
      </c>
      <c r="AS573" s="1" t="s">
        <v>1507</v>
      </c>
      <c r="AT573" s="1" t="s">
        <v>1507</v>
      </c>
      <c r="AU573" s="1" t="s">
        <v>1507</v>
      </c>
      <c r="AV573" s="1">
        <v>2023</v>
      </c>
      <c r="AW573" s="1" t="s">
        <v>1507</v>
      </c>
      <c r="AX573" s="1" t="s">
        <v>1507</v>
      </c>
      <c r="AY573" s="1" t="s">
        <v>1507</v>
      </c>
      <c r="AZ573" s="1" t="s">
        <v>1507</v>
      </c>
      <c r="BA573" s="1" t="s">
        <v>1507</v>
      </c>
      <c r="BB573" s="1" t="s">
        <v>1507</v>
      </c>
      <c r="BC573" s="1" t="s">
        <v>1507</v>
      </c>
      <c r="BD573" s="1" t="s">
        <v>1507</v>
      </c>
      <c r="BE573" s="1">
        <v>121</v>
      </c>
      <c r="BF573" s="1" t="s">
        <v>6691</v>
      </c>
      <c r="BG573" s="1" t="str">
        <f>HYPERLINK("http://dx.doi.org/10.1145/3586182.3625121","http://dx.doi.org/10.1145/3586182.3625121")</f>
        <v>http://dx.doi.org/10.1145/3586182.3625121</v>
      </c>
      <c r="BH573" s="1" t="s">
        <v>1507</v>
      </c>
      <c r="BI573" s="1" t="s">
        <v>1507</v>
      </c>
      <c r="BJ573" s="1">
        <v>3</v>
      </c>
      <c r="BK573" s="1" t="s">
        <v>6692</v>
      </c>
      <c r="BL573" s="1" t="s">
        <v>5570</v>
      </c>
      <c r="BM573" s="1" t="s">
        <v>1577</v>
      </c>
      <c r="BN573" s="1" t="s">
        <v>6693</v>
      </c>
      <c r="BO573" s="1" t="s">
        <v>1507</v>
      </c>
      <c r="BP573" s="1" t="s">
        <v>1507</v>
      </c>
      <c r="BQ573" s="1" t="s">
        <v>1507</v>
      </c>
      <c r="BR573" s="1" t="s">
        <v>1507</v>
      </c>
      <c r="BS573" s="1" t="s">
        <v>13744</v>
      </c>
      <c r="BT573" s="1" t="s">
        <v>6694</v>
      </c>
      <c r="BU573" s="1" t="str">
        <f>HYPERLINK("https%3A%2F%2Fwww.webofscience.com%2Fwos%2Fwoscc%2Ffull-record%2FWOS:001125107000120","View Full Record in Web of Science")</f>
        <v>View Full Record in Web of Science</v>
      </c>
    </row>
    <row r="574" spans="1:73" x14ac:dyDescent="0.25">
      <c r="A574" s="1">
        <v>627</v>
      </c>
      <c r="B574" s="1" t="s">
        <v>5546</v>
      </c>
      <c r="C574" s="1" t="s">
        <v>11507</v>
      </c>
      <c r="D574" s="1" t="s">
        <v>1507</v>
      </c>
      <c r="E574" s="1" t="s">
        <v>11508</v>
      </c>
      <c r="F574" s="1" t="s">
        <v>1507</v>
      </c>
      <c r="G574" s="1" t="s">
        <v>11509</v>
      </c>
      <c r="H574" s="1" t="s">
        <v>1507</v>
      </c>
      <c r="I574" s="1" t="s">
        <v>1507</v>
      </c>
      <c r="J574" s="1" t="s">
        <v>11510</v>
      </c>
      <c r="K574" s="1" t="s">
        <v>11511</v>
      </c>
      <c r="L574" s="1" t="s">
        <v>11512</v>
      </c>
      <c r="M574" s="1" t="s">
        <v>1507</v>
      </c>
      <c r="N574" s="1" t="s">
        <v>42</v>
      </c>
      <c r="O574" s="1" t="s">
        <v>5552</v>
      </c>
      <c r="P574" s="1" t="s">
        <v>11513</v>
      </c>
      <c r="Q574" s="1" t="s">
        <v>11514</v>
      </c>
      <c r="R574" s="1" t="s">
        <v>11515</v>
      </c>
      <c r="S574" s="1" t="s">
        <v>11516</v>
      </c>
      <c r="T574" s="1" t="s">
        <v>1507</v>
      </c>
      <c r="U574" s="1" t="s">
        <v>11517</v>
      </c>
      <c r="V574" s="1" t="s">
        <v>11518</v>
      </c>
      <c r="W574" s="1" t="s">
        <v>11519</v>
      </c>
      <c r="X574" s="1" t="s">
        <v>11520</v>
      </c>
      <c r="Y574" s="1" t="s">
        <v>11521</v>
      </c>
      <c r="Z574" s="1" t="s">
        <v>11522</v>
      </c>
      <c r="AA574" s="1" t="s">
        <v>11523</v>
      </c>
      <c r="AB574" s="1" t="s">
        <v>11524</v>
      </c>
      <c r="AC574" s="1" t="s">
        <v>12097</v>
      </c>
      <c r="AD574" s="1" t="s">
        <v>11525</v>
      </c>
      <c r="AE574" s="1" t="s">
        <v>11526</v>
      </c>
      <c r="AF574" s="1" t="s">
        <v>11527</v>
      </c>
      <c r="AG574" s="1" t="s">
        <v>1507</v>
      </c>
      <c r="AH574" s="1">
        <v>27</v>
      </c>
      <c r="AI574" s="1">
        <v>0</v>
      </c>
      <c r="AJ574" s="1">
        <v>0</v>
      </c>
      <c r="AK574" s="1">
        <v>2</v>
      </c>
      <c r="AL574" s="1">
        <v>4</v>
      </c>
      <c r="AM574" s="1" t="s">
        <v>6221</v>
      </c>
      <c r="AN574" s="1" t="s">
        <v>6222</v>
      </c>
      <c r="AO574" s="1" t="s">
        <v>6223</v>
      </c>
      <c r="AP574" s="1" t="s">
        <v>11528</v>
      </c>
      <c r="AQ574" s="1" t="s">
        <v>11529</v>
      </c>
      <c r="AR574" s="1" t="s">
        <v>11530</v>
      </c>
      <c r="AS574" s="1" t="s">
        <v>11531</v>
      </c>
      <c r="AT574" s="1" t="s">
        <v>1507</v>
      </c>
      <c r="AU574" s="1" t="s">
        <v>1507</v>
      </c>
      <c r="AV574" s="1">
        <v>2019</v>
      </c>
      <c r="AW574" s="1">
        <v>917</v>
      </c>
      <c r="AX574" s="1" t="s">
        <v>1507</v>
      </c>
      <c r="AY574" s="1" t="s">
        <v>1507</v>
      </c>
      <c r="AZ574" s="1" t="s">
        <v>1507</v>
      </c>
      <c r="BA574" s="1" t="s">
        <v>1507</v>
      </c>
      <c r="BB574" s="1" t="s">
        <v>1507</v>
      </c>
      <c r="BC574" s="1">
        <v>287</v>
      </c>
      <c r="BD574" s="1">
        <v>296</v>
      </c>
      <c r="BE574" s="1" t="s">
        <v>1507</v>
      </c>
      <c r="BF574" s="1" t="s">
        <v>11532</v>
      </c>
      <c r="BG574" s="1" t="str">
        <f>HYPERLINK("http://dx.doi.org/10.1007/978-3-030-11935-5_28","http://dx.doi.org/10.1007/978-3-030-11935-5_28")</f>
        <v>http://dx.doi.org/10.1007/978-3-030-11935-5_28</v>
      </c>
      <c r="BH574" s="1" t="s">
        <v>1507</v>
      </c>
      <c r="BI574" s="1" t="s">
        <v>1507</v>
      </c>
      <c r="BJ574" s="1">
        <v>10</v>
      </c>
      <c r="BK574" s="1" t="s">
        <v>11533</v>
      </c>
      <c r="BL574" s="1" t="s">
        <v>5570</v>
      </c>
      <c r="BM574" s="1" t="s">
        <v>1577</v>
      </c>
      <c r="BN574" s="1" t="s">
        <v>11534</v>
      </c>
      <c r="BO574" s="1" t="s">
        <v>1507</v>
      </c>
      <c r="BP574" s="1" t="s">
        <v>1507</v>
      </c>
      <c r="BQ574" s="1" t="s">
        <v>1507</v>
      </c>
      <c r="BR574" s="1" t="s">
        <v>1507</v>
      </c>
      <c r="BS574" s="1" t="s">
        <v>13744</v>
      </c>
      <c r="BT574" s="1" t="s">
        <v>11535</v>
      </c>
      <c r="BU574" s="1" t="str">
        <f>HYPERLINK("https%3A%2F%2Fwww.webofscience.com%2Fwos%2Fwoscc%2Ffull-record%2FWOS:000772239600028","View Full Record in Web of Science")</f>
        <v>View Full Record in Web of Science</v>
      </c>
    </row>
    <row r="575" spans="1:73" x14ac:dyDescent="0.25">
      <c r="A575" s="1">
        <v>628</v>
      </c>
      <c r="B575" s="1" t="s">
        <v>1506</v>
      </c>
      <c r="C575" s="1" t="s">
        <v>1733</v>
      </c>
      <c r="D575" s="1" t="s">
        <v>1507</v>
      </c>
      <c r="E575" s="1" t="s">
        <v>1507</v>
      </c>
      <c r="F575" s="1" t="s">
        <v>1507</v>
      </c>
      <c r="G575" s="1" t="s">
        <v>1734</v>
      </c>
      <c r="H575" s="1" t="s">
        <v>1507</v>
      </c>
      <c r="I575" s="1" t="s">
        <v>1507</v>
      </c>
      <c r="J575" s="1" t="s">
        <v>1735</v>
      </c>
      <c r="K575" s="1" t="s">
        <v>1736</v>
      </c>
      <c r="L575" s="1" t="s">
        <v>1507</v>
      </c>
      <c r="M575" s="1" t="s">
        <v>1507</v>
      </c>
      <c r="N575" s="1" t="s">
        <v>42</v>
      </c>
      <c r="O575" s="1" t="s">
        <v>1509</v>
      </c>
      <c r="P575" s="1" t="s">
        <v>1507</v>
      </c>
      <c r="Q575" s="1" t="s">
        <v>1507</v>
      </c>
      <c r="R575" s="1" t="s">
        <v>1507</v>
      </c>
      <c r="S575" s="1" t="s">
        <v>1507</v>
      </c>
      <c r="T575" s="1" t="s">
        <v>1507</v>
      </c>
      <c r="U575" s="1" t="s">
        <v>1737</v>
      </c>
      <c r="V575" s="1" t="s">
        <v>1507</v>
      </c>
      <c r="W575" s="1" t="s">
        <v>1738</v>
      </c>
      <c r="X575" s="1" t="s">
        <v>1739</v>
      </c>
      <c r="Y575" s="1" t="s">
        <v>1740</v>
      </c>
      <c r="Z575" s="1" t="s">
        <v>1741</v>
      </c>
      <c r="AA575" s="1" t="s">
        <v>1742</v>
      </c>
      <c r="AB575" s="1" t="s">
        <v>1507</v>
      </c>
      <c r="AC575" s="1" t="s">
        <v>13793</v>
      </c>
      <c r="AD575" s="1" t="s">
        <v>1743</v>
      </c>
      <c r="AE575" s="1" t="s">
        <v>1744</v>
      </c>
      <c r="AF575" s="1" t="s">
        <v>1510</v>
      </c>
      <c r="AG575" s="1" t="s">
        <v>1507</v>
      </c>
      <c r="AH575" s="1">
        <v>44</v>
      </c>
      <c r="AI575" s="1">
        <v>0</v>
      </c>
      <c r="AJ575" s="1">
        <v>0</v>
      </c>
      <c r="AK575" s="1">
        <v>16</v>
      </c>
      <c r="AL575" s="1">
        <v>16</v>
      </c>
      <c r="AM575" s="1" t="s">
        <v>1745</v>
      </c>
      <c r="AN575" s="1" t="s">
        <v>1746</v>
      </c>
      <c r="AO575" s="1" t="s">
        <v>1747</v>
      </c>
      <c r="AP575" s="1" t="s">
        <v>1748</v>
      </c>
      <c r="AQ575" s="1" t="s">
        <v>1749</v>
      </c>
      <c r="AR575" s="1" t="s">
        <v>1507</v>
      </c>
      <c r="AS575" s="1" t="s">
        <v>1750</v>
      </c>
      <c r="AT575" s="1" t="s">
        <v>1751</v>
      </c>
      <c r="AU575" s="1" t="s">
        <v>1752</v>
      </c>
      <c r="AV575" s="1">
        <v>2023</v>
      </c>
      <c r="AW575" s="1" t="s">
        <v>1507</v>
      </c>
      <c r="AX575" s="1" t="s">
        <v>1507</v>
      </c>
      <c r="AY575" s="1" t="s">
        <v>1507</v>
      </c>
      <c r="AZ575" s="1" t="s">
        <v>1507</v>
      </c>
      <c r="BA575" s="1" t="s">
        <v>1507</v>
      </c>
      <c r="BB575" s="1" t="s">
        <v>1507</v>
      </c>
      <c r="BC575" s="1" t="s">
        <v>1507</v>
      </c>
      <c r="BD575" s="1" t="s">
        <v>1507</v>
      </c>
      <c r="BE575" s="1" t="s">
        <v>1507</v>
      </c>
      <c r="BF575" s="1" t="s">
        <v>1753</v>
      </c>
      <c r="BG575" s="1" t="str">
        <f>HYPERLINK("http://dx.doi.org/10.1080/10447318.2023.2295725","http://dx.doi.org/10.1080/10447318.2023.2295725")</f>
        <v>http://dx.doi.org/10.1080/10447318.2023.2295725</v>
      </c>
      <c r="BH575" s="1" t="s">
        <v>1507</v>
      </c>
      <c r="BI575" s="1" t="s">
        <v>1652</v>
      </c>
      <c r="BJ575" s="1">
        <v>12</v>
      </c>
      <c r="BK575" s="1" t="s">
        <v>1754</v>
      </c>
      <c r="BL575" s="1" t="s">
        <v>1598</v>
      </c>
      <c r="BM575" s="1" t="s">
        <v>1578</v>
      </c>
      <c r="BN575" s="1" t="s">
        <v>1755</v>
      </c>
      <c r="BO575" s="1" t="s">
        <v>1507</v>
      </c>
      <c r="BP575" s="1" t="s">
        <v>1507</v>
      </c>
      <c r="BQ575" s="1" t="s">
        <v>1507</v>
      </c>
      <c r="BR575" s="1" t="s">
        <v>1507</v>
      </c>
      <c r="BS575" s="1" t="s">
        <v>13744</v>
      </c>
      <c r="BT575" s="1" t="s">
        <v>1756</v>
      </c>
      <c r="BU575" s="1" t="str">
        <f>HYPERLINK("https%3A%2F%2Fwww.webofscience.com%2Fwos%2Fwoscc%2Ffull-record%2FWOS:001129761000001","View Full Record in Web of Science")</f>
        <v>View Full Record in Web of Science</v>
      </c>
    </row>
    <row r="576" spans="1:73" x14ac:dyDescent="0.25">
      <c r="A576" s="1">
        <v>629</v>
      </c>
      <c r="B576" s="1" t="s">
        <v>1506</v>
      </c>
      <c r="C576" s="1" t="s">
        <v>6756</v>
      </c>
      <c r="D576" s="1" t="s">
        <v>1507</v>
      </c>
      <c r="E576" s="1" t="s">
        <v>1507</v>
      </c>
      <c r="F576" s="1" t="s">
        <v>1507</v>
      </c>
      <c r="G576" s="1" t="s">
        <v>6757</v>
      </c>
      <c r="H576" s="1" t="s">
        <v>1507</v>
      </c>
      <c r="I576" s="1" t="s">
        <v>1507</v>
      </c>
      <c r="J576" s="1" t="s">
        <v>6758</v>
      </c>
      <c r="K576" s="1" t="s">
        <v>6759</v>
      </c>
      <c r="L576" s="1" t="s">
        <v>1507</v>
      </c>
      <c r="M576" s="1" t="s">
        <v>1507</v>
      </c>
      <c r="N576" s="1" t="s">
        <v>42</v>
      </c>
      <c r="O576" s="1" t="s">
        <v>56</v>
      </c>
      <c r="P576" s="1" t="s">
        <v>1507</v>
      </c>
      <c r="Q576" s="1" t="s">
        <v>1507</v>
      </c>
      <c r="R576" s="1" t="s">
        <v>1507</v>
      </c>
      <c r="S576" s="1" t="s">
        <v>1507</v>
      </c>
      <c r="T576" s="1" t="s">
        <v>1507</v>
      </c>
      <c r="U576" s="1" t="s">
        <v>6760</v>
      </c>
      <c r="V576" s="1" t="s">
        <v>6761</v>
      </c>
      <c r="W576" s="1" t="s">
        <v>6762</v>
      </c>
      <c r="X576" s="1" t="s">
        <v>6763</v>
      </c>
      <c r="Y576" s="1" t="s">
        <v>6764</v>
      </c>
      <c r="Z576" s="1" t="s">
        <v>6765</v>
      </c>
      <c r="AA576" s="1" t="s">
        <v>6766</v>
      </c>
      <c r="AB576" s="1" t="s">
        <v>15545</v>
      </c>
      <c r="AC576" s="1" t="s">
        <v>6767</v>
      </c>
      <c r="AD576" s="1" t="s">
        <v>6768</v>
      </c>
      <c r="AE576" s="1" t="s">
        <v>6769</v>
      </c>
      <c r="AF576" s="1" t="s">
        <v>6770</v>
      </c>
      <c r="AG576" s="1" t="s">
        <v>1507</v>
      </c>
      <c r="AH576" s="1">
        <v>34</v>
      </c>
      <c r="AI576" s="1">
        <v>1</v>
      </c>
      <c r="AJ576" s="1">
        <v>2</v>
      </c>
      <c r="AK576" s="1">
        <v>1</v>
      </c>
      <c r="AL576" s="1">
        <v>6</v>
      </c>
      <c r="AM576" s="1" t="s">
        <v>1604</v>
      </c>
      <c r="AN576" s="1" t="s">
        <v>1605</v>
      </c>
      <c r="AO576" s="1" t="s">
        <v>1606</v>
      </c>
      <c r="AP576" s="1" t="s">
        <v>6771</v>
      </c>
      <c r="AQ576" s="1" t="s">
        <v>6772</v>
      </c>
      <c r="AR576" s="1" t="s">
        <v>1507</v>
      </c>
      <c r="AS576" s="1" t="s">
        <v>6773</v>
      </c>
      <c r="AT576" s="1" t="s">
        <v>6774</v>
      </c>
      <c r="AU576" s="1" t="s">
        <v>6775</v>
      </c>
      <c r="AV576" s="1">
        <v>2022</v>
      </c>
      <c r="AW576" s="1">
        <v>24</v>
      </c>
      <c r="AX576" s="1">
        <v>12</v>
      </c>
      <c r="AY576" s="1" t="s">
        <v>1507</v>
      </c>
      <c r="AZ576" s="1" t="s">
        <v>1507</v>
      </c>
      <c r="BA576" s="1" t="s">
        <v>1507</v>
      </c>
      <c r="BB576" s="1" t="s">
        <v>1507</v>
      </c>
      <c r="BC576" s="1" t="s">
        <v>1507</v>
      </c>
      <c r="BD576" s="1" t="s">
        <v>1507</v>
      </c>
      <c r="BE576" s="1">
        <v>124005</v>
      </c>
      <c r="BF576" s="1" t="s">
        <v>6776</v>
      </c>
      <c r="BG576" s="1" t="str">
        <f>HYPERLINK("http://dx.doi.org/10.1088/2058-6272/aca00a","http://dx.doi.org/10.1088/2058-6272/aca00a")</f>
        <v>http://dx.doi.org/10.1088/2058-6272/aca00a</v>
      </c>
      <c r="BH576" s="1" t="s">
        <v>1507</v>
      </c>
      <c r="BI576" s="1" t="s">
        <v>1507</v>
      </c>
      <c r="BJ576" s="1">
        <v>11</v>
      </c>
      <c r="BK576" s="1" t="s">
        <v>6777</v>
      </c>
      <c r="BL576" s="1" t="s">
        <v>1573</v>
      </c>
      <c r="BM576" s="1" t="s">
        <v>2104</v>
      </c>
      <c r="BN576" s="1" t="s">
        <v>6778</v>
      </c>
      <c r="BO576" s="1" t="s">
        <v>1507</v>
      </c>
      <c r="BP576" s="1" t="s">
        <v>1600</v>
      </c>
      <c r="BQ576" s="1" t="s">
        <v>1507</v>
      </c>
      <c r="BR576" s="1" t="s">
        <v>1507</v>
      </c>
      <c r="BS576" s="1" t="s">
        <v>13744</v>
      </c>
      <c r="BT576" s="1" t="s">
        <v>6779</v>
      </c>
      <c r="BU576" s="1" t="str">
        <f>HYPERLINK("https%3A%2F%2Fwww.webofscience.com%2Fwos%2Fwoscc%2Ffull-record%2FWOS:000891962000001","View Full Record in Web of Science")</f>
        <v>View Full Record in Web of Science</v>
      </c>
    </row>
    <row r="577" spans="1:73" x14ac:dyDescent="0.25">
      <c r="A577" s="7" t="s">
        <v>16063</v>
      </c>
      <c r="B577" s="7" t="s">
        <v>1506</v>
      </c>
      <c r="C577" s="7" t="s">
        <v>14690</v>
      </c>
      <c r="D577" s="7" t="s">
        <v>1507</v>
      </c>
      <c r="E577" s="7" t="s">
        <v>1507</v>
      </c>
      <c r="F577" s="7" t="s">
        <v>1507</v>
      </c>
      <c r="G577" s="7" t="s">
        <v>14691</v>
      </c>
      <c r="H577" s="7" t="s">
        <v>1507</v>
      </c>
      <c r="I577" s="7" t="s">
        <v>1507</v>
      </c>
      <c r="J577" s="7" t="s">
        <v>14692</v>
      </c>
      <c r="K577" s="7" t="s">
        <v>7141</v>
      </c>
      <c r="L577" s="7" t="s">
        <v>1507</v>
      </c>
      <c r="M577" s="7" t="s">
        <v>1507</v>
      </c>
      <c r="N577" s="7" t="s">
        <v>42</v>
      </c>
      <c r="O577" s="7" t="s">
        <v>13950</v>
      </c>
      <c r="P577" s="7" t="s">
        <v>1507</v>
      </c>
      <c r="Q577" s="7" t="s">
        <v>1507</v>
      </c>
      <c r="R577" s="7" t="s">
        <v>1507</v>
      </c>
      <c r="S577" s="7" t="s">
        <v>1507</v>
      </c>
      <c r="T577" s="7" t="s">
        <v>1507</v>
      </c>
      <c r="U577" s="7" t="s">
        <v>14693</v>
      </c>
      <c r="V577" s="7" t="s">
        <v>1507</v>
      </c>
      <c r="W577" s="7" t="s">
        <v>14694</v>
      </c>
      <c r="X577" s="7" t="s">
        <v>14695</v>
      </c>
      <c r="Y577" s="7" t="s">
        <v>14696</v>
      </c>
      <c r="Z577" s="7" t="s">
        <v>14697</v>
      </c>
      <c r="AA577" s="7" t="s">
        <v>14698</v>
      </c>
      <c r="AB577" s="7" t="s">
        <v>14699</v>
      </c>
      <c r="AC577" s="7" t="s">
        <v>14700</v>
      </c>
      <c r="AD577" s="7" t="s">
        <v>14701</v>
      </c>
      <c r="AE577" s="7" t="s">
        <v>14702</v>
      </c>
      <c r="AF577" s="7" t="s">
        <v>14703</v>
      </c>
      <c r="AG577" s="7" t="s">
        <v>1507</v>
      </c>
      <c r="AH577" s="7">
        <v>27</v>
      </c>
      <c r="AI577" s="7">
        <v>16</v>
      </c>
      <c r="AJ577" s="7">
        <v>16</v>
      </c>
      <c r="AK577" s="7">
        <v>46</v>
      </c>
      <c r="AL577" s="7">
        <v>105</v>
      </c>
      <c r="AM577" s="7" t="s">
        <v>1579</v>
      </c>
      <c r="AN577" s="7" t="s">
        <v>1580</v>
      </c>
      <c r="AO577" s="7" t="s">
        <v>1581</v>
      </c>
      <c r="AP577" s="7" t="s">
        <v>7151</v>
      </c>
      <c r="AQ577" s="7" t="s">
        <v>7152</v>
      </c>
      <c r="AR577" s="7" t="s">
        <v>1507</v>
      </c>
      <c r="AS577" s="7" t="s">
        <v>7153</v>
      </c>
      <c r="AT577" s="7" t="s">
        <v>7154</v>
      </c>
      <c r="AU577" s="7" t="s">
        <v>14704</v>
      </c>
      <c r="AV577" s="7">
        <v>2023</v>
      </c>
      <c r="AW577" s="7">
        <v>888</v>
      </c>
      <c r="AX577" s="7" t="s">
        <v>1507</v>
      </c>
      <c r="AY577" s="7" t="s">
        <v>1507</v>
      </c>
      <c r="AZ577" s="7" t="s">
        <v>1507</v>
      </c>
      <c r="BA577" s="7" t="s">
        <v>1507</v>
      </c>
      <c r="BB577" s="7" t="s">
        <v>1507</v>
      </c>
      <c r="BC577" s="7" t="s">
        <v>1507</v>
      </c>
      <c r="BD577" s="7" t="s">
        <v>1507</v>
      </c>
      <c r="BE577" s="7">
        <v>164154</v>
      </c>
      <c r="BF577" s="7" t="s">
        <v>14705</v>
      </c>
      <c r="BG577" s="7" t="str">
        <f>HYPERLINK("http://dx.doi.org/10.1016/j.scitotenv.2023.164154","http://dx.doi.org/10.1016/j.scitotenv.2023.164154")</f>
        <v>http://dx.doi.org/10.1016/j.scitotenv.2023.164154</v>
      </c>
      <c r="BH577" s="7" t="s">
        <v>1507</v>
      </c>
      <c r="BI577" s="7" t="s">
        <v>4832</v>
      </c>
      <c r="BJ577" s="7">
        <v>14</v>
      </c>
      <c r="BK577" s="7" t="s">
        <v>7038</v>
      </c>
      <c r="BL577" s="7" t="s">
        <v>1573</v>
      </c>
      <c r="BM577" s="7" t="s">
        <v>1839</v>
      </c>
      <c r="BN577" s="7" t="s">
        <v>14706</v>
      </c>
      <c r="BO577" s="7">
        <v>37201835</v>
      </c>
      <c r="BP577" s="7" t="s">
        <v>1507</v>
      </c>
      <c r="BQ577" s="7" t="s">
        <v>1507</v>
      </c>
      <c r="BR577" s="7" t="s">
        <v>1507</v>
      </c>
      <c r="BS577" s="7" t="s">
        <v>13744</v>
      </c>
      <c r="BT577" s="7" t="s">
        <v>14707</v>
      </c>
      <c r="BU577" s="7" t="str">
        <f>HYPERLINK("https%3A%2F%2Fwww.webofscience.com%2Fwos%2Fwoscc%2Ffull-record%2FWOS:001022301500001","View Full Record in Web of Science")</f>
        <v>View Full Record in Web of Science</v>
      </c>
    </row>
    <row r="578" spans="1:73" x14ac:dyDescent="0.25">
      <c r="A578" s="7" t="s">
        <v>16063</v>
      </c>
      <c r="B578" s="7" t="s">
        <v>1506</v>
      </c>
      <c r="C578" s="7" t="s">
        <v>14763</v>
      </c>
      <c r="D578" s="7" t="s">
        <v>1507</v>
      </c>
      <c r="E578" s="7" t="s">
        <v>1507</v>
      </c>
      <c r="F578" s="7" t="s">
        <v>1507</v>
      </c>
      <c r="G578" s="7" t="s">
        <v>14764</v>
      </c>
      <c r="H578" s="7" t="s">
        <v>1507</v>
      </c>
      <c r="I578" s="7" t="s">
        <v>1507</v>
      </c>
      <c r="J578" s="7" t="s">
        <v>14765</v>
      </c>
      <c r="K578" s="7" t="s">
        <v>14766</v>
      </c>
      <c r="L578" s="7" t="s">
        <v>1507</v>
      </c>
      <c r="M578" s="7" t="s">
        <v>1507</v>
      </c>
      <c r="N578" s="7" t="s">
        <v>42</v>
      </c>
      <c r="O578" s="7" t="s">
        <v>13950</v>
      </c>
      <c r="P578" s="7" t="s">
        <v>1507</v>
      </c>
      <c r="Q578" s="7" t="s">
        <v>1507</v>
      </c>
      <c r="R578" s="7" t="s">
        <v>1507</v>
      </c>
      <c r="S578" s="7" t="s">
        <v>1507</v>
      </c>
      <c r="T578" s="7" t="s">
        <v>1507</v>
      </c>
      <c r="U578" s="7" t="s">
        <v>1507</v>
      </c>
      <c r="V578" s="7" t="s">
        <v>1507</v>
      </c>
      <c r="W578" s="7" t="s">
        <v>14767</v>
      </c>
      <c r="X578" s="7" t="s">
        <v>14768</v>
      </c>
      <c r="Y578" s="7" t="s">
        <v>14769</v>
      </c>
      <c r="Z578" s="7" t="s">
        <v>14770</v>
      </c>
      <c r="AA578" s="7" t="s">
        <v>14771</v>
      </c>
      <c r="AB578" s="7" t="s">
        <v>1507</v>
      </c>
      <c r="AC578" s="7" t="s">
        <v>14772</v>
      </c>
      <c r="AD578" s="7" t="s">
        <v>14773</v>
      </c>
      <c r="AE578" s="7" t="s">
        <v>14774</v>
      </c>
      <c r="AF578" s="7" t="s">
        <v>14775</v>
      </c>
      <c r="AG578" s="7" t="s">
        <v>1507</v>
      </c>
      <c r="AH578" s="7">
        <v>12</v>
      </c>
      <c r="AI578" s="7">
        <v>30</v>
      </c>
      <c r="AJ578" s="7">
        <v>31</v>
      </c>
      <c r="AK578" s="7">
        <v>7</v>
      </c>
      <c r="AL578" s="7">
        <v>22</v>
      </c>
      <c r="AM578" s="7" t="s">
        <v>1591</v>
      </c>
      <c r="AN578" s="7" t="s">
        <v>1592</v>
      </c>
      <c r="AO578" s="7" t="s">
        <v>1593</v>
      </c>
      <c r="AP578" s="7" t="s">
        <v>1507</v>
      </c>
      <c r="AQ578" s="7" t="s">
        <v>14776</v>
      </c>
      <c r="AR578" s="7" t="s">
        <v>1507</v>
      </c>
      <c r="AS578" s="7" t="s">
        <v>14777</v>
      </c>
      <c r="AT578" s="7" t="s">
        <v>14778</v>
      </c>
      <c r="AU578" s="7" t="s">
        <v>5045</v>
      </c>
      <c r="AV578" s="7">
        <v>2023</v>
      </c>
      <c r="AW578" s="7">
        <v>5</v>
      </c>
      <c r="AX578" s="7">
        <v>5</v>
      </c>
      <c r="AY578" s="7" t="s">
        <v>1507</v>
      </c>
      <c r="AZ578" s="7" t="s">
        <v>1507</v>
      </c>
      <c r="BA578" s="7" t="s">
        <v>1507</v>
      </c>
      <c r="BB578" s="7" t="s">
        <v>1507</v>
      </c>
      <c r="BC578" s="7">
        <v>277</v>
      </c>
      <c r="BD578" s="7">
        <v>280</v>
      </c>
      <c r="BE578" s="7" t="s">
        <v>1507</v>
      </c>
      <c r="BF578" s="7" t="s">
        <v>14779</v>
      </c>
      <c r="BG578" s="7" t="str">
        <f>HYPERLINK("http://dx.doi.org/10.1038/s42254-023-00581-4","http://dx.doi.org/10.1038/s42254-023-00581-4")</f>
        <v>http://dx.doi.org/10.1038/s42254-023-00581-4</v>
      </c>
      <c r="BH578" s="7" t="s">
        <v>1507</v>
      </c>
      <c r="BI578" s="7" t="s">
        <v>5090</v>
      </c>
      <c r="BJ578" s="7">
        <v>4</v>
      </c>
      <c r="BK578" s="7" t="s">
        <v>14780</v>
      </c>
      <c r="BL578" s="7" t="s">
        <v>1573</v>
      </c>
      <c r="BM578" s="7" t="s">
        <v>2104</v>
      </c>
      <c r="BN578" s="7" t="s">
        <v>14781</v>
      </c>
      <c r="BO578" s="7" t="s">
        <v>1507</v>
      </c>
      <c r="BP578" s="7" t="s">
        <v>3572</v>
      </c>
      <c r="BQ578" s="7" t="s">
        <v>1507</v>
      </c>
      <c r="BR578" s="7" t="s">
        <v>1507</v>
      </c>
      <c r="BS578" s="7" t="s">
        <v>13744</v>
      </c>
      <c r="BT578" s="7" t="s">
        <v>14782</v>
      </c>
      <c r="BU578" s="7" t="str">
        <f>HYPERLINK("https%3A%2F%2Fwww.webofscience.com%2Fwos%2Fwoscc%2Ffull-record%2FWOS:000979468400002","View Full Record in Web of Science")</f>
        <v>View Full Record in Web of Science</v>
      </c>
    </row>
    <row r="579" spans="1:73" x14ac:dyDescent="0.25">
      <c r="A579" s="7" t="s">
        <v>16063</v>
      </c>
      <c r="B579" s="7" t="s">
        <v>1506</v>
      </c>
      <c r="C579" s="7" t="s">
        <v>14623</v>
      </c>
      <c r="D579" s="7" t="s">
        <v>1507</v>
      </c>
      <c r="E579" s="7" t="s">
        <v>1507</v>
      </c>
      <c r="F579" s="7" t="s">
        <v>1507</v>
      </c>
      <c r="G579" s="7" t="s">
        <v>14624</v>
      </c>
      <c r="H579" s="7" t="s">
        <v>1507</v>
      </c>
      <c r="I579" s="7" t="s">
        <v>1507</v>
      </c>
      <c r="J579" s="7" t="s">
        <v>14625</v>
      </c>
      <c r="K579" s="7" t="s">
        <v>14607</v>
      </c>
      <c r="L579" s="7" t="s">
        <v>1507</v>
      </c>
      <c r="M579" s="7" t="s">
        <v>1507</v>
      </c>
      <c r="N579" s="7" t="s">
        <v>42</v>
      </c>
      <c r="O579" s="7" t="s">
        <v>13950</v>
      </c>
      <c r="P579" s="7" t="s">
        <v>1507</v>
      </c>
      <c r="Q579" s="7" t="s">
        <v>1507</v>
      </c>
      <c r="R579" s="7" t="s">
        <v>1507</v>
      </c>
      <c r="S579" s="7" t="s">
        <v>1507</v>
      </c>
      <c r="T579" s="7" t="s">
        <v>1507</v>
      </c>
      <c r="U579" s="7" t="s">
        <v>14626</v>
      </c>
      <c r="V579" s="7" t="s">
        <v>1507</v>
      </c>
      <c r="W579" s="7" t="s">
        <v>14627</v>
      </c>
      <c r="X579" s="7" t="s">
        <v>14628</v>
      </c>
      <c r="Y579" s="7" t="s">
        <v>6670</v>
      </c>
      <c r="Z579" s="7" t="s">
        <v>14611</v>
      </c>
      <c r="AA579" s="7" t="s">
        <v>14612</v>
      </c>
      <c r="AB579" s="7" t="s">
        <v>1507</v>
      </c>
      <c r="AC579" s="7" t="s">
        <v>14613</v>
      </c>
      <c r="AD579" s="7" t="s">
        <v>1507</v>
      </c>
      <c r="AE579" s="7" t="s">
        <v>1507</v>
      </c>
      <c r="AF579" s="7" t="s">
        <v>1507</v>
      </c>
      <c r="AG579" s="7" t="s">
        <v>1507</v>
      </c>
      <c r="AH579" s="7">
        <v>31</v>
      </c>
      <c r="AI579" s="7">
        <v>6</v>
      </c>
      <c r="AJ579" s="7">
        <v>6</v>
      </c>
      <c r="AK579" s="7">
        <v>20</v>
      </c>
      <c r="AL579" s="7">
        <v>24</v>
      </c>
      <c r="AM579" s="7" t="s">
        <v>1579</v>
      </c>
      <c r="AN579" s="7" t="s">
        <v>1580</v>
      </c>
      <c r="AO579" s="7" t="s">
        <v>1581</v>
      </c>
      <c r="AP579" s="7" t="s">
        <v>14614</v>
      </c>
      <c r="AQ579" s="7" t="s">
        <v>14615</v>
      </c>
      <c r="AR579" s="7" t="s">
        <v>1507</v>
      </c>
      <c r="AS579" s="7" t="s">
        <v>14616</v>
      </c>
      <c r="AT579" s="7" t="s">
        <v>14617</v>
      </c>
      <c r="AU579" s="7" t="s">
        <v>4556</v>
      </c>
      <c r="AV579" s="7">
        <v>2023</v>
      </c>
      <c r="AW579" s="7">
        <v>181</v>
      </c>
      <c r="AX579" s="7" t="s">
        <v>1507</v>
      </c>
      <c r="AY579" s="7" t="s">
        <v>1507</v>
      </c>
      <c r="AZ579" s="7" t="s">
        <v>1507</v>
      </c>
      <c r="BA579" s="7" t="s">
        <v>1507</v>
      </c>
      <c r="BB579" s="7" t="s">
        <v>1507</v>
      </c>
      <c r="BC579" s="7" t="s">
        <v>1507</v>
      </c>
      <c r="BD579" s="7" t="s">
        <v>1507</v>
      </c>
      <c r="BE579" s="7">
        <v>108621</v>
      </c>
      <c r="BF579" s="7" t="s">
        <v>14629</v>
      </c>
      <c r="BG579" s="7" t="str">
        <f>HYPERLINK("http://dx.doi.org/10.1016/j.biopsycho.2023.108621","http://dx.doi.org/10.1016/j.biopsycho.2023.108621")</f>
        <v>http://dx.doi.org/10.1016/j.biopsycho.2023.108621</v>
      </c>
      <c r="BH579" s="7" t="s">
        <v>1507</v>
      </c>
      <c r="BI579" s="7" t="s">
        <v>4389</v>
      </c>
      <c r="BJ579" s="7">
        <v>5</v>
      </c>
      <c r="BK579" s="7" t="s">
        <v>14619</v>
      </c>
      <c r="BL579" s="7" t="s">
        <v>1598</v>
      </c>
      <c r="BM579" s="7" t="s">
        <v>14620</v>
      </c>
      <c r="BN579" s="7" t="s">
        <v>14630</v>
      </c>
      <c r="BO579" s="7">
        <v>37356702</v>
      </c>
      <c r="BP579" s="7" t="s">
        <v>1507</v>
      </c>
      <c r="BQ579" s="7" t="s">
        <v>1507</v>
      </c>
      <c r="BR579" s="7" t="s">
        <v>1507</v>
      </c>
      <c r="BS579" s="7" t="s">
        <v>13744</v>
      </c>
      <c r="BT579" s="7" t="s">
        <v>14631</v>
      </c>
      <c r="BU579" s="7" t="str">
        <f>HYPERLINK("https%3A%2F%2Fwww.webofscience.com%2Fwos%2Fwoscc%2Ffull-record%2FWOS:001147476500001","View Full Record in Web of Science")</f>
        <v>View Full Record in Web of Science</v>
      </c>
    </row>
    <row r="580" spans="1:73" x14ac:dyDescent="0.25">
      <c r="A580" s="7" t="s">
        <v>16063</v>
      </c>
      <c r="B580" s="7" t="s">
        <v>1506</v>
      </c>
      <c r="C580" s="7" t="s">
        <v>14604</v>
      </c>
      <c r="D580" s="7" t="s">
        <v>1507</v>
      </c>
      <c r="E580" s="7" t="s">
        <v>1507</v>
      </c>
      <c r="F580" s="7" t="s">
        <v>1507</v>
      </c>
      <c r="G580" s="7" t="s">
        <v>14605</v>
      </c>
      <c r="H580" s="7" t="s">
        <v>1507</v>
      </c>
      <c r="I580" s="7" t="s">
        <v>1507</v>
      </c>
      <c r="J580" s="7" t="s">
        <v>14606</v>
      </c>
      <c r="K580" s="7" t="s">
        <v>14607</v>
      </c>
      <c r="L580" s="7" t="s">
        <v>1507</v>
      </c>
      <c r="M580" s="7" t="s">
        <v>1507</v>
      </c>
      <c r="N580" s="7" t="s">
        <v>42</v>
      </c>
      <c r="O580" s="7" t="s">
        <v>13950</v>
      </c>
      <c r="P580" s="7" t="s">
        <v>1507</v>
      </c>
      <c r="Q580" s="7" t="s">
        <v>1507</v>
      </c>
      <c r="R580" s="7" t="s">
        <v>1507</v>
      </c>
      <c r="S580" s="7" t="s">
        <v>1507</v>
      </c>
      <c r="T580" s="7" t="s">
        <v>1507</v>
      </c>
      <c r="U580" s="7" t="s">
        <v>14608</v>
      </c>
      <c r="V580" s="7" t="s">
        <v>1507</v>
      </c>
      <c r="W580" s="7" t="s">
        <v>1507</v>
      </c>
      <c r="X580" s="7" t="s">
        <v>14609</v>
      </c>
      <c r="Y580" s="7" t="s">
        <v>14610</v>
      </c>
      <c r="Z580" s="7" t="s">
        <v>14611</v>
      </c>
      <c r="AA580" s="7" t="s">
        <v>14612</v>
      </c>
      <c r="AB580" s="7" t="s">
        <v>1507</v>
      </c>
      <c r="AC580" s="7" t="s">
        <v>14613</v>
      </c>
      <c r="AD580" s="7" t="s">
        <v>1507</v>
      </c>
      <c r="AE580" s="7" t="s">
        <v>1507</v>
      </c>
      <c r="AF580" s="7" t="s">
        <v>1507</v>
      </c>
      <c r="AG580" s="7" t="s">
        <v>1507</v>
      </c>
      <c r="AH580" s="7">
        <v>8</v>
      </c>
      <c r="AI580" s="7">
        <v>0</v>
      </c>
      <c r="AJ580" s="7">
        <v>0</v>
      </c>
      <c r="AK580" s="7">
        <v>39</v>
      </c>
      <c r="AL580" s="7">
        <v>44</v>
      </c>
      <c r="AM580" s="7" t="s">
        <v>1579</v>
      </c>
      <c r="AN580" s="7" t="s">
        <v>1580</v>
      </c>
      <c r="AO580" s="7" t="s">
        <v>1581</v>
      </c>
      <c r="AP580" s="7" t="s">
        <v>14614</v>
      </c>
      <c r="AQ580" s="7" t="s">
        <v>14615</v>
      </c>
      <c r="AR580" s="7" t="s">
        <v>1507</v>
      </c>
      <c r="AS580" s="7" t="s">
        <v>14616</v>
      </c>
      <c r="AT580" s="7" t="s">
        <v>14617</v>
      </c>
      <c r="AU580" s="7" t="s">
        <v>4556</v>
      </c>
      <c r="AV580" s="7">
        <v>2023</v>
      </c>
      <c r="AW580" s="7">
        <v>181</v>
      </c>
      <c r="AX580" s="7" t="s">
        <v>1507</v>
      </c>
      <c r="AY580" s="7" t="s">
        <v>1507</v>
      </c>
      <c r="AZ580" s="7" t="s">
        <v>1507</v>
      </c>
      <c r="BA580" s="7" t="s">
        <v>1507</v>
      </c>
      <c r="BB580" s="7" t="s">
        <v>1507</v>
      </c>
      <c r="BC580" s="7" t="s">
        <v>1507</v>
      </c>
      <c r="BD580" s="7" t="s">
        <v>1507</v>
      </c>
      <c r="BE580" s="7">
        <v>108595</v>
      </c>
      <c r="BF580" s="7" t="s">
        <v>14618</v>
      </c>
      <c r="BG580" s="7" t="str">
        <f>HYPERLINK("http://dx.doi.org/10.1016/j.biopsycho.2023.108595","http://dx.doi.org/10.1016/j.biopsycho.2023.108595")</f>
        <v>http://dx.doi.org/10.1016/j.biopsycho.2023.108595</v>
      </c>
      <c r="BH580" s="7" t="s">
        <v>1507</v>
      </c>
      <c r="BI580" s="7" t="s">
        <v>4389</v>
      </c>
      <c r="BJ580" s="7">
        <v>2</v>
      </c>
      <c r="BK580" s="7" t="s">
        <v>14619</v>
      </c>
      <c r="BL580" s="7" t="s">
        <v>1598</v>
      </c>
      <c r="BM580" s="7" t="s">
        <v>14620</v>
      </c>
      <c r="BN580" s="7" t="s">
        <v>14621</v>
      </c>
      <c r="BO580" s="7">
        <v>37257813</v>
      </c>
      <c r="BP580" s="7" t="s">
        <v>1507</v>
      </c>
      <c r="BQ580" s="7" t="s">
        <v>1507</v>
      </c>
      <c r="BR580" s="7" t="s">
        <v>1507</v>
      </c>
      <c r="BS580" s="7" t="s">
        <v>13744</v>
      </c>
      <c r="BT580" s="7" t="s">
        <v>14622</v>
      </c>
      <c r="BU580" s="7" t="str">
        <f>HYPERLINK("https%3A%2F%2Fwww.webofscience.com%2Fwos%2Fwoscc%2Ffull-record%2FWOS:001063553700001","View Full Record in Web of Science")</f>
        <v>View Full Record in Web of Science</v>
      </c>
    </row>
    <row r="581" spans="1:73" x14ac:dyDescent="0.25">
      <c r="A581" s="7" t="s">
        <v>16063</v>
      </c>
      <c r="B581" s="7" t="s">
        <v>1506</v>
      </c>
      <c r="C581" s="7" t="s">
        <v>9002</v>
      </c>
      <c r="D581" s="7" t="s">
        <v>1507</v>
      </c>
      <c r="E581" s="7" t="s">
        <v>1507</v>
      </c>
      <c r="F581" s="7" t="s">
        <v>1507</v>
      </c>
      <c r="G581" s="7" t="s">
        <v>9003</v>
      </c>
      <c r="H581" s="7" t="s">
        <v>1507</v>
      </c>
      <c r="I581" s="7" t="s">
        <v>1507</v>
      </c>
      <c r="J581" s="7" t="s">
        <v>15838</v>
      </c>
      <c r="K581" s="7" t="s">
        <v>5034</v>
      </c>
      <c r="L581" s="7" t="s">
        <v>1507</v>
      </c>
      <c r="M581" s="7" t="s">
        <v>1507</v>
      </c>
      <c r="N581" s="7" t="s">
        <v>42</v>
      </c>
      <c r="O581" s="7" t="s">
        <v>13950</v>
      </c>
      <c r="P581" s="7" t="s">
        <v>1507</v>
      </c>
      <c r="Q581" s="7" t="s">
        <v>1507</v>
      </c>
      <c r="R581" s="7" t="s">
        <v>1507</v>
      </c>
      <c r="S581" s="7" t="s">
        <v>1507</v>
      </c>
      <c r="T581" s="7" t="s">
        <v>1507</v>
      </c>
      <c r="U581" s="7" t="s">
        <v>1507</v>
      </c>
      <c r="V581" s="7" t="s">
        <v>15839</v>
      </c>
      <c r="W581" s="7" t="s">
        <v>1507</v>
      </c>
      <c r="X581" s="7" t="s">
        <v>15840</v>
      </c>
      <c r="Y581" s="7" t="s">
        <v>1507</v>
      </c>
      <c r="Z581" s="7" t="s">
        <v>15841</v>
      </c>
      <c r="AA581" s="7" t="s">
        <v>1507</v>
      </c>
      <c r="AB581" s="7" t="s">
        <v>1507</v>
      </c>
      <c r="AC581" s="7" t="s">
        <v>1507</v>
      </c>
      <c r="AD581" s="7" t="s">
        <v>15842</v>
      </c>
      <c r="AE581" s="7" t="s">
        <v>15842</v>
      </c>
      <c r="AF581" s="7" t="s">
        <v>15843</v>
      </c>
      <c r="AG581" s="7" t="s">
        <v>1507</v>
      </c>
      <c r="AH581" s="7">
        <v>58</v>
      </c>
      <c r="AI581" s="7">
        <v>1</v>
      </c>
      <c r="AJ581" s="7">
        <v>1</v>
      </c>
      <c r="AK581" s="7">
        <v>1</v>
      </c>
      <c r="AL581" s="7">
        <v>7</v>
      </c>
      <c r="AM581" s="7" t="s">
        <v>3500</v>
      </c>
      <c r="AN581" s="7" t="s">
        <v>3501</v>
      </c>
      <c r="AO581" s="7" t="s">
        <v>3502</v>
      </c>
      <c r="AP581" s="7" t="s">
        <v>5041</v>
      </c>
      <c r="AQ581" s="7" t="s">
        <v>5042</v>
      </c>
      <c r="AR581" s="7" t="s">
        <v>1507</v>
      </c>
      <c r="AS581" s="7" t="s">
        <v>5043</v>
      </c>
      <c r="AT581" s="7" t="s">
        <v>5044</v>
      </c>
      <c r="AU581" s="7" t="s">
        <v>1507</v>
      </c>
      <c r="AV581" s="7">
        <v>2020</v>
      </c>
      <c r="AW581" s="7">
        <v>28</v>
      </c>
      <c r="AX581" s="7" t="s">
        <v>1507</v>
      </c>
      <c r="AY581" s="7" t="s">
        <v>1507</v>
      </c>
      <c r="AZ581" s="7" t="s">
        <v>11902</v>
      </c>
      <c r="BA581" s="7" t="s">
        <v>3506</v>
      </c>
      <c r="BB581" s="7" t="s">
        <v>1507</v>
      </c>
      <c r="BC581" s="7">
        <v>1</v>
      </c>
      <c r="BD581" s="7">
        <v>9</v>
      </c>
      <c r="BE581" s="7" t="s">
        <v>1507</v>
      </c>
      <c r="BF581" s="7" t="s">
        <v>15844</v>
      </c>
      <c r="BG581" s="7" t="str">
        <f>HYPERLINK("http://dx.doi.org/10.3366/ajicl.2020.0328","http://dx.doi.org/10.3366/ajicl.2020.0328")</f>
        <v>http://dx.doi.org/10.3366/ajicl.2020.0328</v>
      </c>
      <c r="BH581" s="7" t="s">
        <v>1507</v>
      </c>
      <c r="BI581" s="7" t="s">
        <v>1507</v>
      </c>
      <c r="BJ581" s="7">
        <v>9</v>
      </c>
      <c r="BK581" s="7" t="s">
        <v>1535</v>
      </c>
      <c r="BL581" s="7" t="s">
        <v>1529</v>
      </c>
      <c r="BM581" s="7" t="s">
        <v>1536</v>
      </c>
      <c r="BN581" s="7" t="s">
        <v>15845</v>
      </c>
      <c r="BO581" s="7" t="s">
        <v>1507</v>
      </c>
      <c r="BP581" s="7" t="s">
        <v>1507</v>
      </c>
      <c r="BQ581" s="7" t="s">
        <v>1507</v>
      </c>
      <c r="BR581" s="7" t="s">
        <v>1507</v>
      </c>
      <c r="BS581" s="7" t="s">
        <v>13744</v>
      </c>
      <c r="BT581" s="7" t="s">
        <v>15846</v>
      </c>
      <c r="BU581" s="7" t="str">
        <f>HYPERLINK("https%3A%2F%2Fwww.webofscience.com%2Fwos%2Fwoscc%2Ffull-record%2FWOS:000592677800001","View Full Record in Web of Science")</f>
        <v>View Full Record in Web of Science</v>
      </c>
    </row>
    <row r="582" spans="1:73" x14ac:dyDescent="0.25">
      <c r="A582" s="7" t="s">
        <v>16063</v>
      </c>
      <c r="B582" s="7" t="s">
        <v>1506</v>
      </c>
      <c r="C582" s="7" t="s">
        <v>15765</v>
      </c>
      <c r="D582" s="7" t="s">
        <v>1507</v>
      </c>
      <c r="E582" s="7" t="s">
        <v>1507</v>
      </c>
      <c r="F582" s="7" t="s">
        <v>1507</v>
      </c>
      <c r="G582" s="7" t="s">
        <v>15766</v>
      </c>
      <c r="H582" s="7" t="s">
        <v>1507</v>
      </c>
      <c r="I582" s="7" t="s">
        <v>1507</v>
      </c>
      <c r="J582" s="7" t="s">
        <v>15767</v>
      </c>
      <c r="K582" s="7" t="s">
        <v>12101</v>
      </c>
      <c r="L582" s="7" t="s">
        <v>1507</v>
      </c>
      <c r="M582" s="7" t="s">
        <v>1507</v>
      </c>
      <c r="N582" s="7" t="s">
        <v>42</v>
      </c>
      <c r="O582" s="7" t="s">
        <v>13950</v>
      </c>
      <c r="P582" s="7" t="s">
        <v>1507</v>
      </c>
      <c r="Q582" s="7" t="s">
        <v>1507</v>
      </c>
      <c r="R582" s="7" t="s">
        <v>1507</v>
      </c>
      <c r="S582" s="7" t="s">
        <v>1507</v>
      </c>
      <c r="T582" s="7" t="s">
        <v>1507</v>
      </c>
      <c r="U582" s="7" t="s">
        <v>15768</v>
      </c>
      <c r="V582" s="7" t="s">
        <v>15769</v>
      </c>
      <c r="W582" s="7" t="s">
        <v>15770</v>
      </c>
      <c r="X582" s="7" t="s">
        <v>15771</v>
      </c>
      <c r="Y582" s="7" t="s">
        <v>15772</v>
      </c>
      <c r="Z582" s="7" t="s">
        <v>15773</v>
      </c>
      <c r="AA582" s="7" t="s">
        <v>5402</v>
      </c>
      <c r="AB582" s="7" t="s">
        <v>1507</v>
      </c>
      <c r="AC582" s="7" t="s">
        <v>15774</v>
      </c>
      <c r="AD582" s="7" t="s">
        <v>8051</v>
      </c>
      <c r="AE582" s="7" t="s">
        <v>8052</v>
      </c>
      <c r="AF582" s="7" t="s">
        <v>15775</v>
      </c>
      <c r="AG582" s="7" t="s">
        <v>1507</v>
      </c>
      <c r="AH582" s="7">
        <v>98</v>
      </c>
      <c r="AI582" s="7">
        <v>19</v>
      </c>
      <c r="AJ582" s="7">
        <v>19</v>
      </c>
      <c r="AK582" s="7">
        <v>0</v>
      </c>
      <c r="AL582" s="7">
        <v>7</v>
      </c>
      <c r="AM582" s="7" t="s">
        <v>2053</v>
      </c>
      <c r="AN582" s="7" t="s">
        <v>1556</v>
      </c>
      <c r="AO582" s="7" t="s">
        <v>2054</v>
      </c>
      <c r="AP582" s="7" t="s">
        <v>12102</v>
      </c>
      <c r="AQ582" s="7" t="s">
        <v>12103</v>
      </c>
      <c r="AR582" s="7" t="s">
        <v>1507</v>
      </c>
      <c r="AS582" s="7" t="s">
        <v>12104</v>
      </c>
      <c r="AT582" s="7" t="s">
        <v>12105</v>
      </c>
      <c r="AU582" s="7" t="s">
        <v>1607</v>
      </c>
      <c r="AV582" s="7">
        <v>2021</v>
      </c>
      <c r="AW582" s="7">
        <v>18</v>
      </c>
      <c r="AX582" s="7">
        <v>1</v>
      </c>
      <c r="AY582" s="7" t="s">
        <v>1507</v>
      </c>
      <c r="AZ582" s="7" t="s">
        <v>1507</v>
      </c>
      <c r="BA582" s="7" t="s">
        <v>1507</v>
      </c>
      <c r="BB582" s="7" t="s">
        <v>1507</v>
      </c>
      <c r="BC582" s="7">
        <v>23</v>
      </c>
      <c r="BD582" s="7">
        <v>29</v>
      </c>
      <c r="BE582" s="7" t="s">
        <v>1507</v>
      </c>
      <c r="BF582" s="7" t="s">
        <v>15776</v>
      </c>
      <c r="BG582" s="7" t="str">
        <f>HYPERLINK("http://dx.doi.org/10.1080/1547691X.2021.1875085","http://dx.doi.org/10.1080/1547691X.2021.1875085")</f>
        <v>http://dx.doi.org/10.1080/1547691X.2021.1875085</v>
      </c>
      <c r="BH582" s="7" t="s">
        <v>1507</v>
      </c>
      <c r="BI582" s="7" t="s">
        <v>1507</v>
      </c>
      <c r="BJ582" s="7">
        <v>7</v>
      </c>
      <c r="BK582" s="7" t="s">
        <v>12106</v>
      </c>
      <c r="BL582" s="7" t="s">
        <v>1573</v>
      </c>
      <c r="BM582" s="7" t="s">
        <v>12106</v>
      </c>
      <c r="BN582" s="7" t="s">
        <v>15777</v>
      </c>
      <c r="BO582" s="7">
        <v>33860730</v>
      </c>
      <c r="BP582" s="7" t="s">
        <v>1531</v>
      </c>
      <c r="BQ582" s="7" t="s">
        <v>1507</v>
      </c>
      <c r="BR582" s="7" t="s">
        <v>1507</v>
      </c>
      <c r="BS582" s="7" t="s">
        <v>13744</v>
      </c>
      <c r="BT582" s="7" t="s">
        <v>15778</v>
      </c>
      <c r="BU582" s="7" t="str">
        <f>HYPERLINK("https%3A%2F%2Fwww.webofscience.com%2Fwos%2Fwoscc%2Ffull-record%2FWOS:000641301400001","View Full Record in Web of Science")</f>
        <v>View Full Record in Web of Science</v>
      </c>
    </row>
    <row r="583" spans="1:73" x14ac:dyDescent="0.25">
      <c r="A583" s="7" t="s">
        <v>16063</v>
      </c>
      <c r="B583" s="7" t="s">
        <v>1506</v>
      </c>
      <c r="C583" s="7" t="s">
        <v>14391</v>
      </c>
      <c r="D583" s="7" t="s">
        <v>1507</v>
      </c>
      <c r="E583" s="7" t="s">
        <v>1507</v>
      </c>
      <c r="F583" s="7" t="s">
        <v>1507</v>
      </c>
      <c r="G583" s="7" t="s">
        <v>14392</v>
      </c>
      <c r="H583" s="7" t="s">
        <v>1507</v>
      </c>
      <c r="I583" s="7" t="s">
        <v>1507</v>
      </c>
      <c r="J583" s="7" t="s">
        <v>14393</v>
      </c>
      <c r="K583" s="7" t="s">
        <v>14394</v>
      </c>
      <c r="L583" s="7" t="s">
        <v>1507</v>
      </c>
      <c r="M583" s="7" t="s">
        <v>1507</v>
      </c>
      <c r="N583" s="7" t="s">
        <v>42</v>
      </c>
      <c r="O583" s="7" t="s">
        <v>13950</v>
      </c>
      <c r="P583" s="7" t="s">
        <v>1507</v>
      </c>
      <c r="Q583" s="7" t="s">
        <v>1507</v>
      </c>
      <c r="R583" s="7" t="s">
        <v>1507</v>
      </c>
      <c r="S583" s="7" t="s">
        <v>1507</v>
      </c>
      <c r="T583" s="7" t="s">
        <v>1507</v>
      </c>
      <c r="U583" s="7" t="s">
        <v>14395</v>
      </c>
      <c r="V583" s="7" t="s">
        <v>1507</v>
      </c>
      <c r="W583" s="7" t="s">
        <v>14396</v>
      </c>
      <c r="X583" s="7" t="s">
        <v>14397</v>
      </c>
      <c r="Y583" s="7" t="s">
        <v>14398</v>
      </c>
      <c r="Z583" s="7" t="s">
        <v>14399</v>
      </c>
      <c r="AA583" s="7" t="s">
        <v>14400</v>
      </c>
      <c r="AB583" s="7" t="s">
        <v>1507</v>
      </c>
      <c r="AC583" s="7" t="s">
        <v>14401</v>
      </c>
      <c r="AD583" s="7" t="s">
        <v>14402</v>
      </c>
      <c r="AE583" s="7" t="s">
        <v>14402</v>
      </c>
      <c r="AF583" s="7" t="s">
        <v>14403</v>
      </c>
      <c r="AG583" s="7" t="s">
        <v>1507</v>
      </c>
      <c r="AH583" s="7">
        <v>23</v>
      </c>
      <c r="AI583" s="7">
        <v>0</v>
      </c>
      <c r="AJ583" s="7">
        <v>0</v>
      </c>
      <c r="AK583" s="7">
        <v>12</v>
      </c>
      <c r="AL583" s="7">
        <v>12</v>
      </c>
      <c r="AM583" s="7" t="s">
        <v>1559</v>
      </c>
      <c r="AN583" s="7" t="s">
        <v>1560</v>
      </c>
      <c r="AO583" s="7" t="s">
        <v>1561</v>
      </c>
      <c r="AP583" s="7" t="s">
        <v>14404</v>
      </c>
      <c r="AQ583" s="7" t="s">
        <v>14405</v>
      </c>
      <c r="AR583" s="7" t="s">
        <v>1507</v>
      </c>
      <c r="AS583" s="7" t="s">
        <v>14406</v>
      </c>
      <c r="AT583" s="7" t="s">
        <v>14407</v>
      </c>
      <c r="AU583" s="7" t="s">
        <v>2889</v>
      </c>
      <c r="AV583" s="7">
        <v>2023</v>
      </c>
      <c r="AW583" s="7">
        <v>37</v>
      </c>
      <c r="AX583" s="7">
        <v>10</v>
      </c>
      <c r="AY583" s="7" t="s">
        <v>1507</v>
      </c>
      <c r="AZ583" s="7" t="s">
        <v>1507</v>
      </c>
      <c r="BA583" s="7" t="s">
        <v>1507</v>
      </c>
      <c r="BB583" s="7" t="s">
        <v>1507</v>
      </c>
      <c r="BC583" s="7" t="s">
        <v>1507</v>
      </c>
      <c r="BD583" s="7" t="s">
        <v>1507</v>
      </c>
      <c r="BE583" s="7" t="s">
        <v>14408</v>
      </c>
      <c r="BF583" s="7" t="s">
        <v>14409</v>
      </c>
      <c r="BG583" s="7" t="str">
        <f>HYPERLINK("http://dx.doi.org/10.1002/hyp.15015","http://dx.doi.org/10.1002/hyp.15015")</f>
        <v>http://dx.doi.org/10.1002/hyp.15015</v>
      </c>
      <c r="BH583" s="7" t="s">
        <v>1507</v>
      </c>
      <c r="BI583" s="7" t="s">
        <v>1507</v>
      </c>
      <c r="BJ583" s="7">
        <v>5</v>
      </c>
      <c r="BK583" s="7" t="s">
        <v>8404</v>
      </c>
      <c r="BL583" s="7" t="s">
        <v>1573</v>
      </c>
      <c r="BM583" s="7" t="s">
        <v>8404</v>
      </c>
      <c r="BN583" s="7" t="s">
        <v>14410</v>
      </c>
      <c r="BO583" s="7" t="s">
        <v>1507</v>
      </c>
      <c r="BP583" s="7" t="s">
        <v>1537</v>
      </c>
      <c r="BQ583" s="7" t="s">
        <v>1507</v>
      </c>
      <c r="BR583" s="7" t="s">
        <v>1507</v>
      </c>
      <c r="BS583" s="7" t="s">
        <v>13744</v>
      </c>
      <c r="BT583" s="7" t="s">
        <v>14411</v>
      </c>
      <c r="BU583" s="7" t="str">
        <f>HYPERLINK("https%3A%2F%2Fwww.webofscience.com%2Fwos%2Fwoscc%2Ffull-record%2FWOS:001149256700004","View Full Record in Web of Science")</f>
        <v>View Full Record in Web of Science</v>
      </c>
    </row>
    <row r="584" spans="1:73" x14ac:dyDescent="0.25">
      <c r="A584" s="7" t="s">
        <v>16063</v>
      </c>
      <c r="B584" s="7" t="s">
        <v>1506</v>
      </c>
      <c r="C584" s="7" t="s">
        <v>14478</v>
      </c>
      <c r="D584" s="7" t="s">
        <v>1507</v>
      </c>
      <c r="E584" s="7" t="s">
        <v>1507</v>
      </c>
      <c r="F584" s="7" t="s">
        <v>1507</v>
      </c>
      <c r="G584" s="7" t="s">
        <v>14479</v>
      </c>
      <c r="H584" s="7" t="s">
        <v>1507</v>
      </c>
      <c r="I584" s="7" t="s">
        <v>1507</v>
      </c>
      <c r="J584" s="7" t="s">
        <v>14480</v>
      </c>
      <c r="K584" s="7" t="s">
        <v>14481</v>
      </c>
      <c r="L584" s="7" t="s">
        <v>1507</v>
      </c>
      <c r="M584" s="7" t="s">
        <v>1507</v>
      </c>
      <c r="N584" s="7" t="s">
        <v>42</v>
      </c>
      <c r="O584" s="7" t="s">
        <v>13950</v>
      </c>
      <c r="P584" s="7" t="s">
        <v>1507</v>
      </c>
      <c r="Q584" s="7" t="s">
        <v>1507</v>
      </c>
      <c r="R584" s="7" t="s">
        <v>1507</v>
      </c>
      <c r="S584" s="7" t="s">
        <v>1507</v>
      </c>
      <c r="T584" s="7" t="s">
        <v>1507</v>
      </c>
      <c r="U584" s="7" t="s">
        <v>14482</v>
      </c>
      <c r="V584" s="7" t="s">
        <v>1507</v>
      </c>
      <c r="W584" s="7" t="s">
        <v>1507</v>
      </c>
      <c r="X584" s="7" t="s">
        <v>14483</v>
      </c>
      <c r="Y584" s="7" t="s">
        <v>14484</v>
      </c>
      <c r="Z584" s="7" t="s">
        <v>14485</v>
      </c>
      <c r="AA584" s="7" t="s">
        <v>14486</v>
      </c>
      <c r="AB584" s="7" t="s">
        <v>1507</v>
      </c>
      <c r="AC584" s="7" t="s">
        <v>14487</v>
      </c>
      <c r="AD584" s="7" t="s">
        <v>14488</v>
      </c>
      <c r="AE584" s="7" t="s">
        <v>14489</v>
      </c>
      <c r="AF584" s="7" t="s">
        <v>14490</v>
      </c>
      <c r="AG584" s="7" t="s">
        <v>1507</v>
      </c>
      <c r="AH584" s="7">
        <v>5</v>
      </c>
      <c r="AI584" s="7">
        <v>7</v>
      </c>
      <c r="AJ584" s="7">
        <v>7</v>
      </c>
      <c r="AK584" s="7">
        <v>11</v>
      </c>
      <c r="AL584" s="7">
        <v>18</v>
      </c>
      <c r="AM584" s="7" t="s">
        <v>14356</v>
      </c>
      <c r="AN584" s="7" t="s">
        <v>1512</v>
      </c>
      <c r="AO584" s="7" t="s">
        <v>14357</v>
      </c>
      <c r="AP584" s="7" t="s">
        <v>14491</v>
      </c>
      <c r="AQ584" s="7" t="s">
        <v>14492</v>
      </c>
      <c r="AR584" s="7" t="s">
        <v>1507</v>
      </c>
      <c r="AS584" s="7" t="s">
        <v>14493</v>
      </c>
      <c r="AT584" s="7" t="s">
        <v>14494</v>
      </c>
      <c r="AU584" s="7" t="s">
        <v>2889</v>
      </c>
      <c r="AV584" s="7">
        <v>2023</v>
      </c>
      <c r="AW584" s="7">
        <v>89</v>
      </c>
      <c r="AX584" s="7">
        <v>4</v>
      </c>
      <c r="AY584" s="7" t="s">
        <v>1507</v>
      </c>
      <c r="AZ584" s="7" t="s">
        <v>1507</v>
      </c>
      <c r="BA584" s="7" t="s">
        <v>1507</v>
      </c>
      <c r="BB584" s="7" t="s">
        <v>1507</v>
      </c>
      <c r="BC584" s="7">
        <v>870</v>
      </c>
      <c r="BD584" s="7">
        <v>871</v>
      </c>
      <c r="BE584" s="7" t="s">
        <v>1507</v>
      </c>
      <c r="BF584" s="7" t="s">
        <v>14495</v>
      </c>
      <c r="BG584" s="7" t="str">
        <f>HYPERLINK("http://dx.doi.org/10.1016/j.jaad.2023.05.081","http://dx.doi.org/10.1016/j.jaad.2023.05.081")</f>
        <v>http://dx.doi.org/10.1016/j.jaad.2023.05.081</v>
      </c>
      <c r="BH584" s="7" t="s">
        <v>1507</v>
      </c>
      <c r="BI584" s="7" t="s">
        <v>3689</v>
      </c>
      <c r="BJ584" s="7">
        <v>2</v>
      </c>
      <c r="BK584" s="7" t="s">
        <v>14496</v>
      </c>
      <c r="BL584" s="7" t="s">
        <v>1573</v>
      </c>
      <c r="BM584" s="7" t="s">
        <v>14496</v>
      </c>
      <c r="BN584" s="7" t="s">
        <v>14497</v>
      </c>
      <c r="BO584" s="7">
        <v>37315798</v>
      </c>
      <c r="BP584" s="7" t="s">
        <v>1537</v>
      </c>
      <c r="BQ584" s="7" t="s">
        <v>1507</v>
      </c>
      <c r="BR584" s="7" t="s">
        <v>1507</v>
      </c>
      <c r="BS584" s="7" t="s">
        <v>13744</v>
      </c>
      <c r="BT584" s="7" t="s">
        <v>14498</v>
      </c>
      <c r="BU584" s="7" t="str">
        <f>HYPERLINK("https%3A%2F%2Fwww.webofscience.com%2Fwos%2Fwoscc%2Ffull-record%2FWOS:001082034300001","View Full Record in Web of Science")</f>
        <v>View Full Record in Web of Science</v>
      </c>
    </row>
    <row r="585" spans="1:73" x14ac:dyDescent="0.25">
      <c r="A585" s="7" t="s">
        <v>16063</v>
      </c>
      <c r="B585" s="7" t="s">
        <v>1506</v>
      </c>
      <c r="C585" s="7" t="s">
        <v>14638</v>
      </c>
      <c r="D585" s="7" t="s">
        <v>1507</v>
      </c>
      <c r="E585" s="7" t="s">
        <v>1507</v>
      </c>
      <c r="F585" s="7" t="s">
        <v>1507</v>
      </c>
      <c r="G585" s="7" t="s">
        <v>14639</v>
      </c>
      <c r="H585" s="7" t="s">
        <v>1507</v>
      </c>
      <c r="I585" s="7" t="s">
        <v>1507</v>
      </c>
      <c r="J585" s="7" t="s">
        <v>14640</v>
      </c>
      <c r="K585" s="7" t="s">
        <v>4595</v>
      </c>
      <c r="L585" s="7" t="s">
        <v>1507</v>
      </c>
      <c r="M585" s="7" t="s">
        <v>1507</v>
      </c>
      <c r="N585" s="7" t="s">
        <v>42</v>
      </c>
      <c r="O585" s="7" t="s">
        <v>13950</v>
      </c>
      <c r="P585" s="7" t="s">
        <v>1507</v>
      </c>
      <c r="Q585" s="7" t="s">
        <v>1507</v>
      </c>
      <c r="R585" s="7" t="s">
        <v>1507</v>
      </c>
      <c r="S585" s="7" t="s">
        <v>1507</v>
      </c>
      <c r="T585" s="7" t="s">
        <v>1507</v>
      </c>
      <c r="U585" s="7" t="s">
        <v>1507</v>
      </c>
      <c r="V585" s="7" t="s">
        <v>1507</v>
      </c>
      <c r="W585" s="7" t="s">
        <v>1507</v>
      </c>
      <c r="X585" s="7" t="s">
        <v>14641</v>
      </c>
      <c r="Y585" s="7" t="s">
        <v>14642</v>
      </c>
      <c r="Z585" s="7" t="s">
        <v>14643</v>
      </c>
      <c r="AA585" s="7" t="s">
        <v>14644</v>
      </c>
      <c r="AB585" s="7" t="s">
        <v>1507</v>
      </c>
      <c r="AC585" s="7" t="s">
        <v>14645</v>
      </c>
      <c r="AD585" s="7" t="s">
        <v>14646</v>
      </c>
      <c r="AE585" s="7" t="s">
        <v>14647</v>
      </c>
      <c r="AF585" s="7" t="s">
        <v>14648</v>
      </c>
      <c r="AG585" s="7" t="s">
        <v>1507</v>
      </c>
      <c r="AH585" s="7">
        <v>7</v>
      </c>
      <c r="AI585" s="7">
        <v>10</v>
      </c>
      <c r="AJ585" s="7">
        <v>10</v>
      </c>
      <c r="AK585" s="7">
        <v>49</v>
      </c>
      <c r="AL585" s="7">
        <v>51</v>
      </c>
      <c r="AM585" s="7" t="s">
        <v>4605</v>
      </c>
      <c r="AN585" s="7" t="s">
        <v>4606</v>
      </c>
      <c r="AO585" s="7" t="s">
        <v>4607</v>
      </c>
      <c r="AP585" s="7" t="s">
        <v>4608</v>
      </c>
      <c r="AQ585" s="7" t="s">
        <v>1507</v>
      </c>
      <c r="AR585" s="7" t="s">
        <v>1507</v>
      </c>
      <c r="AS585" s="7" t="s">
        <v>4595</v>
      </c>
      <c r="AT585" s="7" t="s">
        <v>366</v>
      </c>
      <c r="AU585" s="7" t="s">
        <v>4556</v>
      </c>
      <c r="AV585" s="7">
        <v>2023</v>
      </c>
      <c r="AW585" s="7">
        <v>308</v>
      </c>
      <c r="AX585" s="7">
        <v>1</v>
      </c>
      <c r="AY585" s="7" t="s">
        <v>1507</v>
      </c>
      <c r="AZ585" s="7" t="s">
        <v>1507</v>
      </c>
      <c r="BA585" s="7" t="s">
        <v>1507</v>
      </c>
      <c r="BB585" s="7" t="s">
        <v>1507</v>
      </c>
      <c r="BC585" s="7" t="s">
        <v>1507</v>
      </c>
      <c r="BD585" s="7" t="s">
        <v>1507</v>
      </c>
      <c r="BE585" s="7" t="s">
        <v>14649</v>
      </c>
      <c r="BF585" s="7" t="s">
        <v>14650</v>
      </c>
      <c r="BG585" s="7" t="str">
        <f>HYPERLINK("http://dx.doi.org/10.1148/radiol.231167","http://dx.doi.org/10.1148/radiol.231167")</f>
        <v>http://dx.doi.org/10.1148/radiol.231167</v>
      </c>
      <c r="BH585" s="7" t="s">
        <v>1507</v>
      </c>
      <c r="BI585" s="7" t="s">
        <v>1507</v>
      </c>
      <c r="BJ585" s="7">
        <v>3</v>
      </c>
      <c r="BK585" s="7" t="s">
        <v>1653</v>
      </c>
      <c r="BL585" s="7" t="s">
        <v>1573</v>
      </c>
      <c r="BM585" s="7" t="s">
        <v>1653</v>
      </c>
      <c r="BN585" s="7" t="s">
        <v>4609</v>
      </c>
      <c r="BO585" s="7">
        <v>37404149</v>
      </c>
      <c r="BP585" s="7" t="s">
        <v>1507</v>
      </c>
      <c r="BQ585" s="7" t="s">
        <v>1507</v>
      </c>
      <c r="BR585" s="7" t="s">
        <v>1507</v>
      </c>
      <c r="BS585" s="7" t="s">
        <v>13744</v>
      </c>
      <c r="BT585" s="7" t="s">
        <v>14651</v>
      </c>
      <c r="BU585" s="7" t="str">
        <f>HYPERLINK("https%3A%2F%2Fwww.webofscience.com%2Fwos%2Fwoscc%2Ffull-record%2FWOS:001068217100033","View Full Record in Web of Science")</f>
        <v>View Full Record in Web of Science</v>
      </c>
    </row>
    <row r="586" spans="1:73" x14ac:dyDescent="0.25">
      <c r="A586" s="7" t="s">
        <v>16063</v>
      </c>
      <c r="B586" s="7" t="s">
        <v>1506</v>
      </c>
      <c r="C586" s="7" t="s">
        <v>14309</v>
      </c>
      <c r="D586" s="7" t="s">
        <v>1507</v>
      </c>
      <c r="E586" s="7" t="s">
        <v>1507</v>
      </c>
      <c r="F586" s="7" t="s">
        <v>1507</v>
      </c>
      <c r="G586" s="7" t="s">
        <v>14310</v>
      </c>
      <c r="H586" s="7" t="s">
        <v>1507</v>
      </c>
      <c r="I586" s="7" t="s">
        <v>1507</v>
      </c>
      <c r="J586" s="7" t="s">
        <v>14311</v>
      </c>
      <c r="K586" s="7" t="s">
        <v>14312</v>
      </c>
      <c r="L586" s="7" t="s">
        <v>1507</v>
      </c>
      <c r="M586" s="7" t="s">
        <v>1507</v>
      </c>
      <c r="N586" s="7" t="s">
        <v>42</v>
      </c>
      <c r="O586" s="7" t="s">
        <v>13950</v>
      </c>
      <c r="P586" s="7" t="s">
        <v>1507</v>
      </c>
      <c r="Q586" s="7" t="s">
        <v>1507</v>
      </c>
      <c r="R586" s="7" t="s">
        <v>1507</v>
      </c>
      <c r="S586" s="7" t="s">
        <v>1507</v>
      </c>
      <c r="T586" s="7" t="s">
        <v>1507</v>
      </c>
      <c r="U586" s="7" t="s">
        <v>1507</v>
      </c>
      <c r="V586" s="7" t="s">
        <v>1507</v>
      </c>
      <c r="W586" s="7" t="s">
        <v>1507</v>
      </c>
      <c r="X586" s="7" t="s">
        <v>14313</v>
      </c>
      <c r="Y586" s="7" t="s">
        <v>14314</v>
      </c>
      <c r="Z586" s="7" t="s">
        <v>14315</v>
      </c>
      <c r="AA586" s="7" t="s">
        <v>14316</v>
      </c>
      <c r="AB586" s="7" t="s">
        <v>1507</v>
      </c>
      <c r="AC586" s="7" t="s">
        <v>14317</v>
      </c>
      <c r="AD586" s="7" t="s">
        <v>14318</v>
      </c>
      <c r="AE586" s="7" t="s">
        <v>14318</v>
      </c>
      <c r="AF586" s="7" t="s">
        <v>14319</v>
      </c>
      <c r="AG586" s="7" t="s">
        <v>1507</v>
      </c>
      <c r="AH586" s="7">
        <v>6</v>
      </c>
      <c r="AI586" s="7">
        <v>1</v>
      </c>
      <c r="AJ586" s="7">
        <v>1</v>
      </c>
      <c r="AK586" s="7">
        <v>2</v>
      </c>
      <c r="AL586" s="7">
        <v>2</v>
      </c>
      <c r="AM586" s="7" t="s">
        <v>1555</v>
      </c>
      <c r="AN586" s="7" t="s">
        <v>1556</v>
      </c>
      <c r="AO586" s="7" t="s">
        <v>1557</v>
      </c>
      <c r="AP586" s="7" t="s">
        <v>14320</v>
      </c>
      <c r="AQ586" s="7" t="s">
        <v>14321</v>
      </c>
      <c r="AR586" s="7" t="s">
        <v>1507</v>
      </c>
      <c r="AS586" s="7" t="s">
        <v>14322</v>
      </c>
      <c r="AT586" s="7" t="s">
        <v>14323</v>
      </c>
      <c r="AU586" s="7" t="s">
        <v>14324</v>
      </c>
      <c r="AV586" s="7">
        <v>2023</v>
      </c>
      <c r="AW586" s="7">
        <v>23</v>
      </c>
      <c r="AX586" s="7">
        <v>10</v>
      </c>
      <c r="AY586" s="7" t="s">
        <v>1507</v>
      </c>
      <c r="AZ586" s="7" t="s">
        <v>1507</v>
      </c>
      <c r="BA586" s="7" t="s">
        <v>1507</v>
      </c>
      <c r="BB586" s="7" t="s">
        <v>1507</v>
      </c>
      <c r="BC586" s="7">
        <v>60</v>
      </c>
      <c r="BD586" s="7">
        <v>63</v>
      </c>
      <c r="BE586" s="7" t="s">
        <v>1507</v>
      </c>
      <c r="BF586" s="7" t="s">
        <v>14325</v>
      </c>
      <c r="BG586" s="7" t="str">
        <f>HYPERLINK("http://dx.doi.org/10.1080/15265161.2023.2250292","http://dx.doi.org/10.1080/15265161.2023.2250292")</f>
        <v>http://dx.doi.org/10.1080/15265161.2023.2250292</v>
      </c>
      <c r="BH586" s="7" t="s">
        <v>1507</v>
      </c>
      <c r="BI586" s="7" t="s">
        <v>1507</v>
      </c>
      <c r="BJ586" s="7">
        <v>4</v>
      </c>
      <c r="BK586" s="7" t="s">
        <v>14326</v>
      </c>
      <c r="BL586" s="7" t="s">
        <v>1598</v>
      </c>
      <c r="BM586" s="7" t="s">
        <v>14327</v>
      </c>
      <c r="BN586" s="7" t="s">
        <v>14328</v>
      </c>
      <c r="BO586" s="7">
        <v>37812095</v>
      </c>
      <c r="BP586" s="7" t="s">
        <v>1537</v>
      </c>
      <c r="BQ586" s="7" t="s">
        <v>1507</v>
      </c>
      <c r="BR586" s="7" t="s">
        <v>1507</v>
      </c>
      <c r="BS586" s="7" t="s">
        <v>13744</v>
      </c>
      <c r="BT586" s="7" t="s">
        <v>14329</v>
      </c>
      <c r="BU586" s="7" t="str">
        <f>HYPERLINK("https%3A%2F%2Fwww.webofscience.com%2Fwos%2Fwoscc%2Ffull-record%2FWOS:001083139600014","View Full Record in Web of Science")</f>
        <v>View Full Record in Web of Science</v>
      </c>
    </row>
    <row r="587" spans="1:73" x14ac:dyDescent="0.25">
      <c r="A587" s="7" t="s">
        <v>16063</v>
      </c>
      <c r="B587" s="7" t="s">
        <v>1506</v>
      </c>
      <c r="C587" s="7" t="s">
        <v>15155</v>
      </c>
      <c r="D587" s="7" t="s">
        <v>1507</v>
      </c>
      <c r="E587" s="7" t="s">
        <v>1507</v>
      </c>
      <c r="F587" s="7" t="s">
        <v>1507</v>
      </c>
      <c r="G587" s="7" t="s">
        <v>15156</v>
      </c>
      <c r="H587" s="7" t="s">
        <v>1507</v>
      </c>
      <c r="I587" s="7" t="s">
        <v>1507</v>
      </c>
      <c r="J587" s="7" t="s">
        <v>1163</v>
      </c>
      <c r="K587" s="7" t="s">
        <v>5976</v>
      </c>
      <c r="L587" s="7" t="s">
        <v>1507</v>
      </c>
      <c r="M587" s="7" t="s">
        <v>1507</v>
      </c>
      <c r="N587" s="7" t="s">
        <v>42</v>
      </c>
      <c r="O587" s="7" t="s">
        <v>13950</v>
      </c>
      <c r="P587" s="7" t="s">
        <v>1507</v>
      </c>
      <c r="Q587" s="7" t="s">
        <v>1507</v>
      </c>
      <c r="R587" s="7" t="s">
        <v>1507</v>
      </c>
      <c r="S587" s="7" t="s">
        <v>1507</v>
      </c>
      <c r="T587" s="7" t="s">
        <v>1507</v>
      </c>
      <c r="U587" s="7" t="s">
        <v>15157</v>
      </c>
      <c r="V587" s="7" t="s">
        <v>15158</v>
      </c>
      <c r="W587" s="7" t="s">
        <v>15159</v>
      </c>
      <c r="X587" s="7" t="s">
        <v>15160</v>
      </c>
      <c r="Y587" s="7" t="s">
        <v>15161</v>
      </c>
      <c r="Z587" s="7" t="s">
        <v>15162</v>
      </c>
      <c r="AA587" s="7" t="s">
        <v>15163</v>
      </c>
      <c r="AB587" s="7" t="s">
        <v>15164</v>
      </c>
      <c r="AC587" s="7" t="s">
        <v>15165</v>
      </c>
      <c r="AD587" s="7" t="s">
        <v>1507</v>
      </c>
      <c r="AE587" s="7" t="s">
        <v>1507</v>
      </c>
      <c r="AF587" s="7" t="s">
        <v>1507</v>
      </c>
      <c r="AG587" s="7" t="s">
        <v>1507</v>
      </c>
      <c r="AH587" s="7">
        <v>57</v>
      </c>
      <c r="AI587" s="7">
        <v>2</v>
      </c>
      <c r="AJ587" s="7">
        <v>2</v>
      </c>
      <c r="AK587" s="7">
        <v>3</v>
      </c>
      <c r="AL587" s="7">
        <v>3</v>
      </c>
      <c r="AM587" s="7" t="s">
        <v>1667</v>
      </c>
      <c r="AN587" s="7" t="s">
        <v>1668</v>
      </c>
      <c r="AO587" s="7" t="s">
        <v>1669</v>
      </c>
      <c r="AP587" s="7" t="s">
        <v>5983</v>
      </c>
      <c r="AQ587" s="7" t="s">
        <v>1507</v>
      </c>
      <c r="AR587" s="7" t="s">
        <v>1507</v>
      </c>
      <c r="AS587" s="7" t="s">
        <v>5984</v>
      </c>
      <c r="AT587" s="7" t="s">
        <v>1003</v>
      </c>
      <c r="AU587" s="7" t="s">
        <v>1507</v>
      </c>
      <c r="AV587" s="7">
        <v>2023</v>
      </c>
      <c r="AW587" s="7">
        <v>9</v>
      </c>
      <c r="AX587" s="7" t="s">
        <v>1507</v>
      </c>
      <c r="AY587" s="7" t="s">
        <v>1507</v>
      </c>
      <c r="AZ587" s="7" t="s">
        <v>1507</v>
      </c>
      <c r="BA587" s="7" t="s">
        <v>1507</v>
      </c>
      <c r="BB587" s="7" t="s">
        <v>1507</v>
      </c>
      <c r="BC587" s="7" t="s">
        <v>1507</v>
      </c>
      <c r="BD587" s="7" t="s">
        <v>1507</v>
      </c>
      <c r="BE587" s="7" t="s">
        <v>1164</v>
      </c>
      <c r="BF587" s="7" t="s">
        <v>1165</v>
      </c>
      <c r="BG587" s="7" t="str">
        <f>HYPERLINK("http://dx.doi.org/10.2196/51494","http://dx.doi.org/10.2196/51494")</f>
        <v>http://dx.doi.org/10.2196/51494</v>
      </c>
      <c r="BH587" s="7" t="s">
        <v>1507</v>
      </c>
      <c r="BI587" s="7" t="s">
        <v>1507</v>
      </c>
      <c r="BJ587" s="7">
        <v>7</v>
      </c>
      <c r="BK587" s="7" t="s">
        <v>2721</v>
      </c>
      <c r="BL587" s="7" t="s">
        <v>1529</v>
      </c>
      <c r="BM587" s="7" t="s">
        <v>1558</v>
      </c>
      <c r="BN587" s="7" t="s">
        <v>15166</v>
      </c>
      <c r="BO587" s="7">
        <v>37610808</v>
      </c>
      <c r="BP587" s="7" t="s">
        <v>1674</v>
      </c>
      <c r="BQ587" s="7" t="s">
        <v>1507</v>
      </c>
      <c r="BR587" s="7" t="s">
        <v>1507</v>
      </c>
      <c r="BS587" s="7" t="s">
        <v>13744</v>
      </c>
      <c r="BT587" s="7" t="s">
        <v>15167</v>
      </c>
      <c r="BU587" s="7" t="str">
        <f>HYPERLINK("https%3A%2F%2Fwww.webofscience.com%2Fwos%2Fwoscc%2Ffull-record%2FWOS:001155880300009","View Full Record in Web of Science")</f>
        <v>View Full Record in Web of Science</v>
      </c>
    </row>
    <row r="588" spans="1:73" x14ac:dyDescent="0.25">
      <c r="A588" s="7" t="s">
        <v>16063</v>
      </c>
      <c r="B588" s="7" t="s">
        <v>1506</v>
      </c>
      <c r="C588" s="7" t="s">
        <v>14252</v>
      </c>
      <c r="D588" s="7" t="s">
        <v>1507</v>
      </c>
      <c r="E588" s="7" t="s">
        <v>1507</v>
      </c>
      <c r="F588" s="7" t="s">
        <v>1507</v>
      </c>
      <c r="G588" s="7" t="s">
        <v>14253</v>
      </c>
      <c r="H588" s="7" t="s">
        <v>1507</v>
      </c>
      <c r="I588" s="7" t="s">
        <v>1507</v>
      </c>
      <c r="J588" s="7" t="s">
        <v>14254</v>
      </c>
      <c r="K588" s="7" t="s">
        <v>14255</v>
      </c>
      <c r="L588" s="7" t="s">
        <v>1507</v>
      </c>
      <c r="M588" s="7" t="s">
        <v>1507</v>
      </c>
      <c r="N588" s="7" t="s">
        <v>42</v>
      </c>
      <c r="O588" s="7" t="s">
        <v>13950</v>
      </c>
      <c r="P588" s="7" t="s">
        <v>1507</v>
      </c>
      <c r="Q588" s="7" t="s">
        <v>1507</v>
      </c>
      <c r="R588" s="7" t="s">
        <v>1507</v>
      </c>
      <c r="S588" s="7" t="s">
        <v>1507</v>
      </c>
      <c r="T588" s="7" t="s">
        <v>1507</v>
      </c>
      <c r="U588" s="7" t="s">
        <v>1507</v>
      </c>
      <c r="V588" s="7" t="s">
        <v>1507</v>
      </c>
      <c r="W588" s="7" t="s">
        <v>1507</v>
      </c>
      <c r="X588" s="7" t="s">
        <v>14256</v>
      </c>
      <c r="Y588" s="7" t="s">
        <v>14257</v>
      </c>
      <c r="Z588" s="7" t="s">
        <v>14258</v>
      </c>
      <c r="AA588" s="7" t="s">
        <v>14259</v>
      </c>
      <c r="AB588" s="7" t="s">
        <v>1507</v>
      </c>
      <c r="AC588" s="7" t="s">
        <v>1507</v>
      </c>
      <c r="AD588" s="7" t="s">
        <v>14260</v>
      </c>
      <c r="AE588" s="7" t="s">
        <v>14261</v>
      </c>
      <c r="AF588" s="7" t="s">
        <v>14262</v>
      </c>
      <c r="AG588" s="7" t="s">
        <v>1507</v>
      </c>
      <c r="AH588" s="7">
        <v>11</v>
      </c>
      <c r="AI588" s="7">
        <v>0</v>
      </c>
      <c r="AJ588" s="7">
        <v>0</v>
      </c>
      <c r="AK588" s="7">
        <v>4</v>
      </c>
      <c r="AL588" s="7">
        <v>4</v>
      </c>
      <c r="AM588" s="7" t="s">
        <v>3156</v>
      </c>
      <c r="AN588" s="7" t="s">
        <v>3157</v>
      </c>
      <c r="AO588" s="7" t="s">
        <v>3158</v>
      </c>
      <c r="AP588" s="7" t="s">
        <v>14263</v>
      </c>
      <c r="AQ588" s="7" t="s">
        <v>14264</v>
      </c>
      <c r="AR588" s="7" t="s">
        <v>1507</v>
      </c>
      <c r="AS588" s="7" t="s">
        <v>14265</v>
      </c>
      <c r="AT588" s="7" t="s">
        <v>14266</v>
      </c>
      <c r="AU588" s="7" t="s">
        <v>2771</v>
      </c>
      <c r="AV588" s="7">
        <v>2023</v>
      </c>
      <c r="AW588" s="7">
        <v>246</v>
      </c>
      <c r="AX588" s="7" t="s">
        <v>1507</v>
      </c>
      <c r="AY588" s="7" t="s">
        <v>1507</v>
      </c>
      <c r="AZ588" s="7" t="s">
        <v>1507</v>
      </c>
      <c r="BA588" s="7" t="s">
        <v>1507</v>
      </c>
      <c r="BB588" s="7" t="s">
        <v>1507</v>
      </c>
      <c r="BC588" s="7" t="s">
        <v>1507</v>
      </c>
      <c r="BD588" s="7" t="s">
        <v>1507</v>
      </c>
      <c r="BE588" s="7">
        <v>105338</v>
      </c>
      <c r="BF588" s="7" t="s">
        <v>14267</v>
      </c>
      <c r="BG588" s="7" t="str">
        <f>HYPERLINK("http://dx.doi.org/10.1016/j.bandl.2023.105338","http://dx.doi.org/10.1016/j.bandl.2023.105338")</f>
        <v>http://dx.doi.org/10.1016/j.bandl.2023.105338</v>
      </c>
      <c r="BH588" s="7" t="s">
        <v>1507</v>
      </c>
      <c r="BI588" s="7" t="s">
        <v>2891</v>
      </c>
      <c r="BJ588" s="7">
        <v>3</v>
      </c>
      <c r="BK588" s="7" t="s">
        <v>14268</v>
      </c>
      <c r="BL588" s="7" t="s">
        <v>1598</v>
      </c>
      <c r="BM588" s="7" t="s">
        <v>14269</v>
      </c>
      <c r="BN588" s="7" t="s">
        <v>14270</v>
      </c>
      <c r="BO588" s="7">
        <v>38469544</v>
      </c>
      <c r="BP588" s="7" t="s">
        <v>3572</v>
      </c>
      <c r="BQ588" s="7" t="s">
        <v>1507</v>
      </c>
      <c r="BR588" s="7" t="s">
        <v>1507</v>
      </c>
      <c r="BS588" s="7" t="s">
        <v>13744</v>
      </c>
      <c r="BT588" s="7" t="s">
        <v>14271</v>
      </c>
      <c r="BU588" s="7" t="str">
        <f>HYPERLINK("https%3A%2F%2Fwww.webofscience.com%2Fwos%2Fwoscc%2Ffull-record%2FWOS:001165077200001","View Full Record in Web of Science")</f>
        <v>View Full Record in Web of Science</v>
      </c>
    </row>
    <row r="589" spans="1:73" x14ac:dyDescent="0.25">
      <c r="A589" s="7" t="s">
        <v>16063</v>
      </c>
      <c r="B589" s="7" t="s">
        <v>1506</v>
      </c>
      <c r="C589" s="7" t="s">
        <v>14204</v>
      </c>
      <c r="D589" s="7" t="s">
        <v>1507</v>
      </c>
      <c r="E589" s="7" t="s">
        <v>1507</v>
      </c>
      <c r="F589" s="7" t="s">
        <v>1507</v>
      </c>
      <c r="G589" s="7" t="s">
        <v>14205</v>
      </c>
      <c r="H589" s="7" t="s">
        <v>1507</v>
      </c>
      <c r="I589" s="7" t="s">
        <v>1507</v>
      </c>
      <c r="J589" s="7" t="s">
        <v>14206</v>
      </c>
      <c r="K589" s="7" t="s">
        <v>14207</v>
      </c>
      <c r="L589" s="7" t="s">
        <v>1507</v>
      </c>
      <c r="M589" s="7" t="s">
        <v>1507</v>
      </c>
      <c r="N589" s="7" t="s">
        <v>42</v>
      </c>
      <c r="O589" s="7" t="s">
        <v>13950</v>
      </c>
      <c r="P589" s="7" t="s">
        <v>1507</v>
      </c>
      <c r="Q589" s="7" t="s">
        <v>1507</v>
      </c>
      <c r="R589" s="7" t="s">
        <v>1507</v>
      </c>
      <c r="S589" s="7" t="s">
        <v>1507</v>
      </c>
      <c r="T589" s="7" t="s">
        <v>1507</v>
      </c>
      <c r="U589" s="7" t="s">
        <v>14208</v>
      </c>
      <c r="V589" s="7" t="s">
        <v>1507</v>
      </c>
      <c r="W589" s="7" t="s">
        <v>1507</v>
      </c>
      <c r="X589" s="7" t="s">
        <v>14209</v>
      </c>
      <c r="Y589" s="7" t="s">
        <v>14210</v>
      </c>
      <c r="Z589" s="7" t="s">
        <v>14211</v>
      </c>
      <c r="AA589" s="7" t="s">
        <v>14212</v>
      </c>
      <c r="AB589" s="7" t="s">
        <v>1507</v>
      </c>
      <c r="AC589" s="7" t="s">
        <v>14213</v>
      </c>
      <c r="AD589" s="7" t="s">
        <v>14214</v>
      </c>
      <c r="AE589" s="7" t="s">
        <v>14215</v>
      </c>
      <c r="AF589" s="7" t="s">
        <v>14216</v>
      </c>
      <c r="AG589" s="7" t="s">
        <v>1507</v>
      </c>
      <c r="AH589" s="7">
        <v>20</v>
      </c>
      <c r="AI589" s="7">
        <v>0</v>
      </c>
      <c r="AJ589" s="7">
        <v>0</v>
      </c>
      <c r="AK589" s="7">
        <v>12</v>
      </c>
      <c r="AL589" s="7">
        <v>12</v>
      </c>
      <c r="AM589" s="7" t="s">
        <v>1564</v>
      </c>
      <c r="AN589" s="7" t="s">
        <v>1565</v>
      </c>
      <c r="AO589" s="7" t="s">
        <v>1566</v>
      </c>
      <c r="AP589" s="7" t="s">
        <v>1507</v>
      </c>
      <c r="AQ589" s="7" t="s">
        <v>14217</v>
      </c>
      <c r="AR589" s="7" t="s">
        <v>1507</v>
      </c>
      <c r="AS589" s="7" t="s">
        <v>14218</v>
      </c>
      <c r="AT589" s="7" t="s">
        <v>14219</v>
      </c>
      <c r="AU589" s="7" t="s">
        <v>14177</v>
      </c>
      <c r="AV589" s="7">
        <v>2023</v>
      </c>
      <c r="AW589" s="7">
        <v>11</v>
      </c>
      <c r="AX589" s="7" t="s">
        <v>1507</v>
      </c>
      <c r="AY589" s="7" t="s">
        <v>1507</v>
      </c>
      <c r="AZ589" s="7" t="s">
        <v>1507</v>
      </c>
      <c r="BA589" s="7" t="s">
        <v>1507</v>
      </c>
      <c r="BB589" s="7" t="s">
        <v>1507</v>
      </c>
      <c r="BC589" s="7" t="s">
        <v>1507</v>
      </c>
      <c r="BD589" s="7" t="s">
        <v>1507</v>
      </c>
      <c r="BE589" s="7">
        <v>1226776</v>
      </c>
      <c r="BF589" s="7" t="s">
        <v>14220</v>
      </c>
      <c r="BG589" s="7" t="str">
        <f>HYPERLINK("http://dx.doi.org/10.3389/fpubh.2023.1226776","http://dx.doi.org/10.3389/fpubh.2023.1226776")</f>
        <v>http://dx.doi.org/10.3389/fpubh.2023.1226776</v>
      </c>
      <c r="BH589" s="7" t="s">
        <v>1507</v>
      </c>
      <c r="BI589" s="7" t="s">
        <v>1507</v>
      </c>
      <c r="BJ589" s="7">
        <v>3</v>
      </c>
      <c r="BK589" s="7" t="s">
        <v>6841</v>
      </c>
      <c r="BL589" s="7" t="s">
        <v>1598</v>
      </c>
      <c r="BM589" s="7" t="s">
        <v>6841</v>
      </c>
      <c r="BN589" s="7" t="s">
        <v>14221</v>
      </c>
      <c r="BO589" s="7">
        <v>38026315</v>
      </c>
      <c r="BP589" s="7" t="s">
        <v>1674</v>
      </c>
      <c r="BQ589" s="7" t="s">
        <v>1507</v>
      </c>
      <c r="BR589" s="7" t="s">
        <v>1507</v>
      </c>
      <c r="BS589" s="7" t="s">
        <v>13744</v>
      </c>
      <c r="BT589" s="7" t="s">
        <v>14222</v>
      </c>
      <c r="BU589" s="7" t="str">
        <f>HYPERLINK("https%3A%2F%2Fwww.webofscience.com%2Fwos%2Fwoscc%2Ffull-record%2FWOS:001103903500001","View Full Record in Web of Science")</f>
        <v>View Full Record in Web of Science</v>
      </c>
    </row>
    <row r="590" spans="1:73" x14ac:dyDescent="0.25">
      <c r="A590" s="7" t="s">
        <v>16063</v>
      </c>
      <c r="B590" s="7" t="s">
        <v>1506</v>
      </c>
      <c r="C590" s="7" t="s">
        <v>13947</v>
      </c>
      <c r="D590" s="7" t="s">
        <v>1507</v>
      </c>
      <c r="E590" s="7" t="s">
        <v>1507</v>
      </c>
      <c r="F590" s="7" t="s">
        <v>1507</v>
      </c>
      <c r="G590" s="7" t="s">
        <v>13948</v>
      </c>
      <c r="H590" s="7" t="s">
        <v>1507</v>
      </c>
      <c r="I590" s="7" t="s">
        <v>1507</v>
      </c>
      <c r="J590" s="7" t="s">
        <v>13949</v>
      </c>
      <c r="K590" s="7" t="s">
        <v>1589</v>
      </c>
      <c r="L590" s="7" t="s">
        <v>1507</v>
      </c>
      <c r="M590" s="7" t="s">
        <v>1507</v>
      </c>
      <c r="N590" s="7" t="s">
        <v>42</v>
      </c>
      <c r="O590" s="7" t="s">
        <v>13950</v>
      </c>
      <c r="P590" s="7" t="s">
        <v>1507</v>
      </c>
      <c r="Q590" s="7" t="s">
        <v>1507</v>
      </c>
      <c r="R590" s="7" t="s">
        <v>1507</v>
      </c>
      <c r="S590" s="7" t="s">
        <v>1507</v>
      </c>
      <c r="T590" s="7" t="s">
        <v>1507</v>
      </c>
      <c r="U590" s="7" t="s">
        <v>1507</v>
      </c>
      <c r="V590" s="7" t="s">
        <v>1507</v>
      </c>
      <c r="W590" s="7" t="s">
        <v>13951</v>
      </c>
      <c r="X590" s="7" t="s">
        <v>13952</v>
      </c>
      <c r="Y590" s="7" t="s">
        <v>2407</v>
      </c>
      <c r="Z590" s="7" t="s">
        <v>13953</v>
      </c>
      <c r="AA590" s="7" t="s">
        <v>13954</v>
      </c>
      <c r="AB590" s="7" t="s">
        <v>1507</v>
      </c>
      <c r="AC590" s="7" t="s">
        <v>13955</v>
      </c>
      <c r="AD590" s="7" t="s">
        <v>13956</v>
      </c>
      <c r="AE590" s="7" t="s">
        <v>13957</v>
      </c>
      <c r="AF590" s="7" t="s">
        <v>13958</v>
      </c>
      <c r="AG590" s="7" t="s">
        <v>1507</v>
      </c>
      <c r="AH590" s="7">
        <v>15</v>
      </c>
      <c r="AI590" s="7">
        <v>1</v>
      </c>
      <c r="AJ590" s="7">
        <v>1</v>
      </c>
      <c r="AK590" s="7">
        <v>1</v>
      </c>
      <c r="AL590" s="7">
        <v>1</v>
      </c>
      <c r="AM590" s="7" t="s">
        <v>1591</v>
      </c>
      <c r="AN590" s="7" t="s">
        <v>1592</v>
      </c>
      <c r="AO590" s="7" t="s">
        <v>1593</v>
      </c>
      <c r="AP590" s="7" t="s">
        <v>1594</v>
      </c>
      <c r="AQ590" s="7" t="s">
        <v>1507</v>
      </c>
      <c r="AR590" s="7" t="s">
        <v>1507</v>
      </c>
      <c r="AS590" s="7" t="s">
        <v>1595</v>
      </c>
      <c r="AT590" s="7" t="s">
        <v>1596</v>
      </c>
      <c r="AU590" s="7" t="s">
        <v>1616</v>
      </c>
      <c r="AV590" s="7">
        <v>2024</v>
      </c>
      <c r="AW590" s="7">
        <v>8</v>
      </c>
      <c r="AX590" s="7">
        <v>1</v>
      </c>
      <c r="AY590" s="7" t="s">
        <v>1507</v>
      </c>
      <c r="AZ590" s="7" t="s">
        <v>1507</v>
      </c>
      <c r="BA590" s="7" t="s">
        <v>1507</v>
      </c>
      <c r="BB590" s="7" t="s">
        <v>1507</v>
      </c>
      <c r="BC590" s="7">
        <v>11</v>
      </c>
      <c r="BD590" s="7">
        <v>13</v>
      </c>
      <c r="BE590" s="7" t="s">
        <v>1507</v>
      </c>
      <c r="BF590" s="7" t="s">
        <v>13959</v>
      </c>
      <c r="BG590" s="7" t="str">
        <f>HYPERLINK("http://dx.doi.org/10.1038/s41562-023-01744-0","http://dx.doi.org/10.1038/s41562-023-01744-0")</f>
        <v>http://dx.doi.org/10.1038/s41562-023-01744-0</v>
      </c>
      <c r="BH590" s="7" t="s">
        <v>1507</v>
      </c>
      <c r="BI590" s="7" t="s">
        <v>2396</v>
      </c>
      <c r="BJ590" s="7">
        <v>3</v>
      </c>
      <c r="BK590" s="7" t="s">
        <v>1597</v>
      </c>
      <c r="BL590" s="7" t="s">
        <v>1598</v>
      </c>
      <c r="BM590" s="7" t="s">
        <v>1599</v>
      </c>
      <c r="BN590" s="7" t="s">
        <v>13960</v>
      </c>
      <c r="BO590" s="7">
        <v>37985912</v>
      </c>
      <c r="BP590" s="7" t="s">
        <v>1507</v>
      </c>
      <c r="BQ590" s="7" t="s">
        <v>1507</v>
      </c>
      <c r="BR590" s="7" t="s">
        <v>1507</v>
      </c>
      <c r="BS590" s="7" t="s">
        <v>13744</v>
      </c>
      <c r="BT590" s="7" t="s">
        <v>13961</v>
      </c>
      <c r="BU590" s="7" t="str">
        <f>HYPERLINK("https%3A%2F%2Fwww.webofscience.com%2Fwos%2Fwoscc%2Ffull-record%2FWOS:001107579600002","View Full Record in Web of Science")</f>
        <v>View Full Record in Web of Science</v>
      </c>
    </row>
    <row r="591" spans="1:73" x14ac:dyDescent="0.25">
      <c r="A591" s="7" t="s">
        <v>16063</v>
      </c>
      <c r="B591" s="7" t="s">
        <v>1506</v>
      </c>
      <c r="C591" s="7" t="s">
        <v>14507</v>
      </c>
      <c r="D591" s="7" t="s">
        <v>1507</v>
      </c>
      <c r="E591" s="7" t="s">
        <v>1507</v>
      </c>
      <c r="F591" s="7" t="s">
        <v>1507</v>
      </c>
      <c r="G591" s="7" t="s">
        <v>14508</v>
      </c>
      <c r="H591" s="7" t="s">
        <v>1507</v>
      </c>
      <c r="I591" s="7" t="s">
        <v>1507</v>
      </c>
      <c r="J591" s="7" t="s">
        <v>14509</v>
      </c>
      <c r="K591" s="7" t="s">
        <v>14510</v>
      </c>
      <c r="L591" s="7" t="s">
        <v>1507</v>
      </c>
      <c r="M591" s="7" t="s">
        <v>1507</v>
      </c>
      <c r="N591" s="7" t="s">
        <v>42</v>
      </c>
      <c r="O591" s="7" t="s">
        <v>13950</v>
      </c>
      <c r="P591" s="7" t="s">
        <v>1507</v>
      </c>
      <c r="Q591" s="7" t="s">
        <v>1507</v>
      </c>
      <c r="R591" s="7" t="s">
        <v>1507</v>
      </c>
      <c r="S591" s="7" t="s">
        <v>1507</v>
      </c>
      <c r="T591" s="7" t="s">
        <v>1507</v>
      </c>
      <c r="U591" s="7" t="s">
        <v>1507</v>
      </c>
      <c r="V591" s="7" t="s">
        <v>1507</v>
      </c>
      <c r="W591" s="7" t="s">
        <v>1507</v>
      </c>
      <c r="X591" s="7" t="s">
        <v>14511</v>
      </c>
      <c r="Y591" s="7" t="s">
        <v>14512</v>
      </c>
      <c r="Z591" s="7" t="s">
        <v>14513</v>
      </c>
      <c r="AA591" s="7" t="s">
        <v>1507</v>
      </c>
      <c r="AB591" s="7" t="s">
        <v>14514</v>
      </c>
      <c r="AC591" s="7" t="s">
        <v>14515</v>
      </c>
      <c r="AD591" s="7" t="s">
        <v>14516</v>
      </c>
      <c r="AE591" s="7" t="s">
        <v>14516</v>
      </c>
      <c r="AF591" s="7" t="s">
        <v>14517</v>
      </c>
      <c r="AG591" s="7" t="s">
        <v>1507</v>
      </c>
      <c r="AH591" s="7">
        <v>10</v>
      </c>
      <c r="AI591" s="7">
        <v>3</v>
      </c>
      <c r="AJ591" s="7">
        <v>3</v>
      </c>
      <c r="AK591" s="7">
        <v>6</v>
      </c>
      <c r="AL591" s="7">
        <v>8</v>
      </c>
      <c r="AM591" s="7" t="s">
        <v>2053</v>
      </c>
      <c r="AN591" s="7" t="s">
        <v>1556</v>
      </c>
      <c r="AO591" s="7" t="s">
        <v>2054</v>
      </c>
      <c r="AP591" s="7" t="s">
        <v>14518</v>
      </c>
      <c r="AQ591" s="7" t="s">
        <v>14519</v>
      </c>
      <c r="AR591" s="7" t="s">
        <v>1507</v>
      </c>
      <c r="AS591" s="7" t="s">
        <v>14520</v>
      </c>
      <c r="AT591" s="7" t="s">
        <v>14521</v>
      </c>
      <c r="AU591" s="7" t="s">
        <v>2864</v>
      </c>
      <c r="AV591" s="7">
        <v>2023</v>
      </c>
      <c r="AW591" s="7">
        <v>143</v>
      </c>
      <c r="AX591" s="7">
        <v>9</v>
      </c>
      <c r="AY591" s="7" t="s">
        <v>1507</v>
      </c>
      <c r="AZ591" s="7" t="s">
        <v>1507</v>
      </c>
      <c r="BA591" s="7" t="s">
        <v>1507</v>
      </c>
      <c r="BB591" s="7" t="s">
        <v>1507</v>
      </c>
      <c r="BC591" s="7">
        <v>779</v>
      </c>
      <c r="BD591" s="7">
        <v>782</v>
      </c>
      <c r="BE591" s="7">
        <v>2254809</v>
      </c>
      <c r="BF591" s="7" t="s">
        <v>14522</v>
      </c>
      <c r="BG591" s="7" t="str">
        <f>HYPERLINK("http://dx.doi.org/10.1080/00016489.2023.2254809","http://dx.doi.org/10.1080/00016489.2023.2254809")</f>
        <v>http://dx.doi.org/10.1080/00016489.2023.2254809</v>
      </c>
      <c r="BH591" s="7" t="s">
        <v>1507</v>
      </c>
      <c r="BI591" s="7" t="s">
        <v>3689</v>
      </c>
      <c r="BJ591" s="7">
        <v>4</v>
      </c>
      <c r="BK591" s="7" t="s">
        <v>2754</v>
      </c>
      <c r="BL591" s="7" t="s">
        <v>1573</v>
      </c>
      <c r="BM591" s="7" t="s">
        <v>2754</v>
      </c>
      <c r="BN591" s="7" t="s">
        <v>14523</v>
      </c>
      <c r="BO591" s="7">
        <v>37694729</v>
      </c>
      <c r="BP591" s="7" t="s">
        <v>3572</v>
      </c>
      <c r="BQ591" s="7" t="s">
        <v>1507</v>
      </c>
      <c r="BR591" s="7" t="s">
        <v>1507</v>
      </c>
      <c r="BS591" s="7" t="s">
        <v>13744</v>
      </c>
      <c r="BT591" s="7" t="s">
        <v>14524</v>
      </c>
      <c r="BU591" s="7" t="str">
        <f>HYPERLINK("https%3A%2F%2Fwww.webofscience.com%2Fwos%2Fwoscc%2Ffull-record%2FWOS:001066473900001","View Full Record in Web of Science")</f>
        <v>View Full Record in Web of Science</v>
      </c>
    </row>
    <row r="592" spans="1:73" x14ac:dyDescent="0.25">
      <c r="A592" s="7" t="s">
        <v>16063</v>
      </c>
      <c r="B592" s="7" t="s">
        <v>1506</v>
      </c>
      <c r="C592" s="7" t="s">
        <v>14412</v>
      </c>
      <c r="D592" s="7" t="s">
        <v>1507</v>
      </c>
      <c r="E592" s="7" t="s">
        <v>1507</v>
      </c>
      <c r="F592" s="7" t="s">
        <v>1507</v>
      </c>
      <c r="G592" s="7" t="s">
        <v>14413</v>
      </c>
      <c r="H592" s="7" t="s">
        <v>1507</v>
      </c>
      <c r="I592" s="7" t="s">
        <v>1507</v>
      </c>
      <c r="J592" s="7" t="s">
        <v>13513</v>
      </c>
      <c r="K592" s="7" t="s">
        <v>14414</v>
      </c>
      <c r="L592" s="7" t="s">
        <v>1507</v>
      </c>
      <c r="M592" s="7" t="s">
        <v>1507</v>
      </c>
      <c r="N592" s="7" t="s">
        <v>42</v>
      </c>
      <c r="O592" s="7" t="s">
        <v>13950</v>
      </c>
      <c r="P592" s="7" t="s">
        <v>1507</v>
      </c>
      <c r="Q592" s="7" t="s">
        <v>1507</v>
      </c>
      <c r="R592" s="7" t="s">
        <v>1507</v>
      </c>
      <c r="S592" s="7" t="s">
        <v>1507</v>
      </c>
      <c r="T592" s="7" t="s">
        <v>1507</v>
      </c>
      <c r="U592" s="7" t="s">
        <v>14415</v>
      </c>
      <c r="V592" s="7" t="s">
        <v>4023</v>
      </c>
      <c r="W592" s="7" t="s">
        <v>14416</v>
      </c>
      <c r="X592" s="7" t="s">
        <v>14417</v>
      </c>
      <c r="Y592" s="7" t="s">
        <v>14418</v>
      </c>
      <c r="Z592" s="7" t="s">
        <v>14419</v>
      </c>
      <c r="AA592" s="7" t="s">
        <v>14420</v>
      </c>
      <c r="AB592" s="7" t="s">
        <v>1507</v>
      </c>
      <c r="AC592" s="7" t="s">
        <v>14421</v>
      </c>
      <c r="AD592" s="7" t="s">
        <v>1507</v>
      </c>
      <c r="AE592" s="7" t="s">
        <v>1507</v>
      </c>
      <c r="AF592" s="7" t="s">
        <v>1507</v>
      </c>
      <c r="AG592" s="7" t="s">
        <v>1507</v>
      </c>
      <c r="AH592" s="7">
        <v>15</v>
      </c>
      <c r="AI592" s="7">
        <v>0</v>
      </c>
      <c r="AJ592" s="7">
        <v>0</v>
      </c>
      <c r="AK592" s="7">
        <v>8</v>
      </c>
      <c r="AL592" s="7">
        <v>8</v>
      </c>
      <c r="AM592" s="7" t="s">
        <v>1548</v>
      </c>
      <c r="AN592" s="7" t="s">
        <v>1549</v>
      </c>
      <c r="AO592" s="7" t="s">
        <v>1550</v>
      </c>
      <c r="AP592" s="7" t="s">
        <v>14422</v>
      </c>
      <c r="AQ592" s="7" t="s">
        <v>14423</v>
      </c>
      <c r="AR592" s="7" t="s">
        <v>1507</v>
      </c>
      <c r="AS592" s="7" t="s">
        <v>14424</v>
      </c>
      <c r="AT592" s="7" t="s">
        <v>14425</v>
      </c>
      <c r="AU592" s="7" t="s">
        <v>2889</v>
      </c>
      <c r="AV592" s="7">
        <v>2023</v>
      </c>
      <c r="AW592" s="7">
        <v>30</v>
      </c>
      <c r="AX592" s="7">
        <v>4</v>
      </c>
      <c r="AY592" s="7" t="s">
        <v>1507</v>
      </c>
      <c r="AZ592" s="7" t="s">
        <v>1507</v>
      </c>
      <c r="BA592" s="7" t="s">
        <v>1507</v>
      </c>
      <c r="BB592" s="7" t="s">
        <v>1507</v>
      </c>
      <c r="BC592" s="7">
        <v>228</v>
      </c>
      <c r="BD592" s="7">
        <v>234</v>
      </c>
      <c r="BE592" s="7" t="s">
        <v>1507</v>
      </c>
      <c r="BF592" s="7" t="s">
        <v>13511</v>
      </c>
      <c r="BG592" s="7" t="str">
        <f>HYPERLINK("http://dx.doi.org/10.1002/isaf.1547","http://dx.doi.org/10.1002/isaf.1547")</f>
        <v>http://dx.doi.org/10.1002/isaf.1547</v>
      </c>
      <c r="BH592" s="7" t="s">
        <v>1507</v>
      </c>
      <c r="BI592" s="7" t="s">
        <v>1507</v>
      </c>
      <c r="BJ592" s="7">
        <v>7</v>
      </c>
      <c r="BK592" s="7" t="s">
        <v>3165</v>
      </c>
      <c r="BL592" s="7" t="s">
        <v>1529</v>
      </c>
      <c r="BM592" s="7" t="s">
        <v>3118</v>
      </c>
      <c r="BN592" s="7" t="s">
        <v>14426</v>
      </c>
      <c r="BO592" s="7" t="s">
        <v>1507</v>
      </c>
      <c r="BP592" s="7" t="s">
        <v>1537</v>
      </c>
      <c r="BQ592" s="7" t="s">
        <v>1507</v>
      </c>
      <c r="BR592" s="7" t="s">
        <v>1507</v>
      </c>
      <c r="BS592" s="7" t="s">
        <v>13744</v>
      </c>
      <c r="BT592" s="7" t="s">
        <v>14427</v>
      </c>
      <c r="BU592" s="7" t="str">
        <f>HYPERLINK("https%3A%2F%2Fwww.webofscience.com%2Fwos%2Fwoscc%2Ffull-record%2FWOS:001128343000004","View Full Record in Web of Science")</f>
        <v>View Full Record in Web of Science</v>
      </c>
    </row>
    <row r="593" spans="1:73" x14ac:dyDescent="0.25">
      <c r="A593" s="7" t="s">
        <v>16063</v>
      </c>
      <c r="B593" s="7" t="s">
        <v>1506</v>
      </c>
      <c r="C593" s="7" t="s">
        <v>14711</v>
      </c>
      <c r="D593" s="7" t="s">
        <v>1507</v>
      </c>
      <c r="E593" s="7" t="s">
        <v>1507</v>
      </c>
      <c r="F593" s="7" t="s">
        <v>1507</v>
      </c>
      <c r="G593" s="7" t="s">
        <v>14712</v>
      </c>
      <c r="H593" s="7" t="s">
        <v>1507</v>
      </c>
      <c r="I593" s="7" t="s">
        <v>14713</v>
      </c>
      <c r="J593" s="7" t="s">
        <v>13604</v>
      </c>
      <c r="K593" s="7" t="s">
        <v>14714</v>
      </c>
      <c r="L593" s="7" t="s">
        <v>1507</v>
      </c>
      <c r="M593" s="7" t="s">
        <v>1507</v>
      </c>
      <c r="N593" s="7" t="s">
        <v>42</v>
      </c>
      <c r="O593" s="7" t="s">
        <v>13950</v>
      </c>
      <c r="P593" s="7" t="s">
        <v>1507</v>
      </c>
      <c r="Q593" s="7" t="s">
        <v>1507</v>
      </c>
      <c r="R593" s="7" t="s">
        <v>1507</v>
      </c>
      <c r="S593" s="7" t="s">
        <v>1507</v>
      </c>
      <c r="T593" s="7" t="s">
        <v>1507</v>
      </c>
      <c r="U593" s="7" t="s">
        <v>1507</v>
      </c>
      <c r="V593" s="7" t="s">
        <v>1507</v>
      </c>
      <c r="W593" s="7" t="s">
        <v>1507</v>
      </c>
      <c r="X593" s="7" t="s">
        <v>14715</v>
      </c>
      <c r="Y593" s="7" t="s">
        <v>14716</v>
      </c>
      <c r="Z593" s="7" t="s">
        <v>14717</v>
      </c>
      <c r="AA593" s="7" t="s">
        <v>14718</v>
      </c>
      <c r="AB593" s="7" t="s">
        <v>14719</v>
      </c>
      <c r="AC593" s="7" t="s">
        <v>14720</v>
      </c>
      <c r="AD593" s="7" t="s">
        <v>14721</v>
      </c>
      <c r="AE593" s="7" t="s">
        <v>14722</v>
      </c>
      <c r="AF593" s="7" t="s">
        <v>13596</v>
      </c>
      <c r="AG593" s="7" t="s">
        <v>1507</v>
      </c>
      <c r="AH593" s="7">
        <v>12</v>
      </c>
      <c r="AI593" s="7">
        <v>18</v>
      </c>
      <c r="AJ593" s="7">
        <v>18</v>
      </c>
      <c r="AK593" s="7">
        <v>6</v>
      </c>
      <c r="AL593" s="7">
        <v>6</v>
      </c>
      <c r="AM593" s="7" t="s">
        <v>1601</v>
      </c>
      <c r="AN593" s="7" t="s">
        <v>1551</v>
      </c>
      <c r="AO593" s="7" t="s">
        <v>1602</v>
      </c>
      <c r="AP593" s="7" t="s">
        <v>14723</v>
      </c>
      <c r="AQ593" s="7" t="s">
        <v>14724</v>
      </c>
      <c r="AR593" s="7" t="s">
        <v>1507</v>
      </c>
      <c r="AS593" s="7" t="s">
        <v>14714</v>
      </c>
      <c r="AT593" s="7" t="s">
        <v>13590</v>
      </c>
      <c r="AU593" s="7" t="s">
        <v>2191</v>
      </c>
      <c r="AV593" s="7">
        <v>2023</v>
      </c>
      <c r="AW593" s="7">
        <v>37</v>
      </c>
      <c r="AX593" s="7">
        <v>17</v>
      </c>
      <c r="AY593" s="7" t="s">
        <v>1507</v>
      </c>
      <c r="AZ593" s="7" t="s">
        <v>1507</v>
      </c>
      <c r="BA593" s="7" t="s">
        <v>1507</v>
      </c>
      <c r="BB593" s="7" t="s">
        <v>1507</v>
      </c>
      <c r="BC593" s="7">
        <v>3530</v>
      </c>
      <c r="BD593" s="7">
        <v>3533</v>
      </c>
      <c r="BE593" s="7" t="s">
        <v>1507</v>
      </c>
      <c r="BF593" s="7" t="s">
        <v>13602</v>
      </c>
      <c r="BG593" s="7" t="str">
        <f>HYPERLINK("http://dx.doi.org/10.1038/s41433-023-02563-3","http://dx.doi.org/10.1038/s41433-023-02563-3")</f>
        <v>http://dx.doi.org/10.1038/s41433-023-02563-3</v>
      </c>
      <c r="BH593" s="7" t="s">
        <v>1507</v>
      </c>
      <c r="BI593" s="7" t="s">
        <v>4832</v>
      </c>
      <c r="BJ593" s="7">
        <v>4</v>
      </c>
      <c r="BK593" s="7" t="s">
        <v>2739</v>
      </c>
      <c r="BL593" s="7" t="s">
        <v>1573</v>
      </c>
      <c r="BM593" s="7" t="s">
        <v>2739</v>
      </c>
      <c r="BN593" s="7" t="s">
        <v>14725</v>
      </c>
      <c r="BO593" s="7">
        <v>37161074</v>
      </c>
      <c r="BP593" s="7" t="s">
        <v>4214</v>
      </c>
      <c r="BQ593" s="7" t="s">
        <v>1507</v>
      </c>
      <c r="BR593" s="7" t="s">
        <v>1507</v>
      </c>
      <c r="BS593" s="7" t="s">
        <v>13744</v>
      </c>
      <c r="BT593" s="7" t="s">
        <v>14726</v>
      </c>
      <c r="BU593" s="7" t="str">
        <f>HYPERLINK("https%3A%2F%2Fwww.webofscience.com%2Fwos%2Fwoscc%2Ffull-record%2FWOS:000984757500001","View Full Record in Web of Science")</f>
        <v>View Full Record in Web of Science</v>
      </c>
    </row>
    <row r="594" spans="1:73" x14ac:dyDescent="0.25">
      <c r="A594" s="7" t="s">
        <v>16063</v>
      </c>
      <c r="B594" s="7" t="s">
        <v>1506</v>
      </c>
      <c r="C594" s="7" t="s">
        <v>16014</v>
      </c>
      <c r="D594" s="7" t="s">
        <v>1507</v>
      </c>
      <c r="E594" s="7" t="s">
        <v>1507</v>
      </c>
      <c r="F594" s="7" t="s">
        <v>1507</v>
      </c>
      <c r="G594" s="7" t="s">
        <v>16015</v>
      </c>
      <c r="H594" s="7" t="s">
        <v>1507</v>
      </c>
      <c r="I594" s="7" t="s">
        <v>1507</v>
      </c>
      <c r="J594" s="7" t="s">
        <v>16016</v>
      </c>
      <c r="K594" s="7" t="s">
        <v>16017</v>
      </c>
      <c r="L594" s="7" t="s">
        <v>1507</v>
      </c>
      <c r="M594" s="7" t="s">
        <v>1507</v>
      </c>
      <c r="N594" s="7" t="s">
        <v>42</v>
      </c>
      <c r="O594" s="7" t="s">
        <v>13950</v>
      </c>
      <c r="P594" s="7" t="s">
        <v>1507</v>
      </c>
      <c r="Q594" s="7" t="s">
        <v>1507</v>
      </c>
      <c r="R594" s="7" t="s">
        <v>1507</v>
      </c>
      <c r="S594" s="7" t="s">
        <v>1507</v>
      </c>
      <c r="T594" s="7" t="s">
        <v>1507</v>
      </c>
      <c r="U594" s="7" t="s">
        <v>16018</v>
      </c>
      <c r="V594" s="7" t="s">
        <v>16019</v>
      </c>
      <c r="W594" s="7" t="s">
        <v>1507</v>
      </c>
      <c r="X594" s="7" t="s">
        <v>16020</v>
      </c>
      <c r="Y594" s="7" t="s">
        <v>16021</v>
      </c>
      <c r="Z594" s="7" t="s">
        <v>10598</v>
      </c>
      <c r="AA594" s="7" t="s">
        <v>10599</v>
      </c>
      <c r="AB594" s="7" t="s">
        <v>1507</v>
      </c>
      <c r="AC594" s="7" t="s">
        <v>16022</v>
      </c>
      <c r="AD594" s="7" t="s">
        <v>16023</v>
      </c>
      <c r="AE594" s="7" t="s">
        <v>16024</v>
      </c>
      <c r="AF594" s="7" t="s">
        <v>16025</v>
      </c>
      <c r="AG594" s="7" t="s">
        <v>1507</v>
      </c>
      <c r="AH594" s="7">
        <v>23</v>
      </c>
      <c r="AI594" s="7">
        <v>1</v>
      </c>
      <c r="AJ594" s="7">
        <v>1</v>
      </c>
      <c r="AK594" s="7">
        <v>0</v>
      </c>
      <c r="AL594" s="7">
        <v>5</v>
      </c>
      <c r="AM594" s="7" t="s">
        <v>16026</v>
      </c>
      <c r="AN594" s="7" t="s">
        <v>16027</v>
      </c>
      <c r="AO594" s="7" t="s">
        <v>16028</v>
      </c>
      <c r="AP594" s="7" t="s">
        <v>16029</v>
      </c>
      <c r="AQ594" s="7" t="s">
        <v>1507</v>
      </c>
      <c r="AR594" s="7" t="s">
        <v>1507</v>
      </c>
      <c r="AS594" s="7" t="s">
        <v>16017</v>
      </c>
      <c r="AT594" s="7" t="s">
        <v>16030</v>
      </c>
      <c r="AU594" s="7" t="s">
        <v>5362</v>
      </c>
      <c r="AV594" s="7">
        <v>2018</v>
      </c>
      <c r="AW594" s="7">
        <v>5</v>
      </c>
      <c r="AX594" s="7" t="s">
        <v>1507</v>
      </c>
      <c r="AY594" s="7">
        <v>2</v>
      </c>
      <c r="AZ594" s="7" t="s">
        <v>1507</v>
      </c>
      <c r="BA594" s="7" t="s">
        <v>1507</v>
      </c>
      <c r="BB594" s="7" t="s">
        <v>1507</v>
      </c>
      <c r="BC594" s="7">
        <v>120</v>
      </c>
      <c r="BD594" s="7">
        <v>121</v>
      </c>
      <c r="BE594" s="7" t="s">
        <v>1507</v>
      </c>
      <c r="BF594" s="7" t="s">
        <v>16031</v>
      </c>
      <c r="BG594" s="7" t="str">
        <f>HYPERLINK("http://dx.doi.org/10.1107/S2052252518002713","http://dx.doi.org/10.1107/S2052252518002713")</f>
        <v>http://dx.doi.org/10.1107/S2052252518002713</v>
      </c>
      <c r="BH594" s="7" t="s">
        <v>1507</v>
      </c>
      <c r="BI594" s="7" t="s">
        <v>1507</v>
      </c>
      <c r="BJ594" s="7">
        <v>2</v>
      </c>
      <c r="BK594" s="7" t="s">
        <v>12109</v>
      </c>
      <c r="BL594" s="7" t="s">
        <v>1573</v>
      </c>
      <c r="BM594" s="7" t="s">
        <v>12110</v>
      </c>
      <c r="BN594" s="7" t="s">
        <v>16032</v>
      </c>
      <c r="BO594" s="7">
        <v>29765599</v>
      </c>
      <c r="BP594" s="7" t="s">
        <v>1952</v>
      </c>
      <c r="BQ594" s="7" t="s">
        <v>1507</v>
      </c>
      <c r="BR594" s="7" t="s">
        <v>1507</v>
      </c>
      <c r="BS594" s="7" t="s">
        <v>13744</v>
      </c>
      <c r="BT594" s="7" t="s">
        <v>16033</v>
      </c>
      <c r="BU594" s="7" t="str">
        <f>HYPERLINK("https%3A%2F%2Fwww.webofscience.com%2Fwos%2Fwoscc%2Ffull-record%2FWOS:000427041400002","View Full Record in Web of Science")</f>
        <v>View Full Record in Web of Science</v>
      </c>
    </row>
    <row r="595" spans="1:73" x14ac:dyDescent="0.25">
      <c r="A595" s="7" t="s">
        <v>16063</v>
      </c>
      <c r="B595" s="7" t="s">
        <v>1506</v>
      </c>
      <c r="C595" s="7" t="s">
        <v>14461</v>
      </c>
      <c r="D595" s="7" t="s">
        <v>1507</v>
      </c>
      <c r="E595" s="7" t="s">
        <v>1507</v>
      </c>
      <c r="F595" s="7" t="s">
        <v>1507</v>
      </c>
      <c r="G595" s="7" t="s">
        <v>14462</v>
      </c>
      <c r="H595" s="7" t="s">
        <v>1507</v>
      </c>
      <c r="I595" s="7" t="s">
        <v>14463</v>
      </c>
      <c r="J595" s="7" t="s">
        <v>14464</v>
      </c>
      <c r="K595" s="7" t="s">
        <v>13878</v>
      </c>
      <c r="L595" s="7" t="s">
        <v>1507</v>
      </c>
      <c r="M595" s="7" t="s">
        <v>1507</v>
      </c>
      <c r="N595" s="7" t="s">
        <v>42</v>
      </c>
      <c r="O595" s="7" t="s">
        <v>13950</v>
      </c>
      <c r="P595" s="7" t="s">
        <v>1507</v>
      </c>
      <c r="Q595" s="7" t="s">
        <v>1507</v>
      </c>
      <c r="R595" s="7" t="s">
        <v>1507</v>
      </c>
      <c r="S595" s="7" t="s">
        <v>1507</v>
      </c>
      <c r="T595" s="7" t="s">
        <v>1507</v>
      </c>
      <c r="U595" s="7" t="s">
        <v>14465</v>
      </c>
      <c r="V595" s="7" t="s">
        <v>1507</v>
      </c>
      <c r="W595" s="7" t="s">
        <v>1507</v>
      </c>
      <c r="X595" s="7" t="s">
        <v>14466</v>
      </c>
      <c r="Y595" s="7" t="s">
        <v>14467</v>
      </c>
      <c r="Z595" s="7" t="s">
        <v>14468</v>
      </c>
      <c r="AA595" s="7" t="s">
        <v>13974</v>
      </c>
      <c r="AB595" s="7" t="s">
        <v>14469</v>
      </c>
      <c r="AC595" s="7" t="s">
        <v>13976</v>
      </c>
      <c r="AD595" s="7" t="s">
        <v>4206</v>
      </c>
      <c r="AE595" s="7" t="s">
        <v>4206</v>
      </c>
      <c r="AF595" s="7" t="s">
        <v>14470</v>
      </c>
      <c r="AG595" s="7" t="s">
        <v>1507</v>
      </c>
      <c r="AH595" s="7">
        <v>18</v>
      </c>
      <c r="AI595" s="7">
        <v>0</v>
      </c>
      <c r="AJ595" s="7">
        <v>0</v>
      </c>
      <c r="AK595" s="7">
        <v>7</v>
      </c>
      <c r="AL595" s="7">
        <v>7</v>
      </c>
      <c r="AM595" s="7" t="s">
        <v>1601</v>
      </c>
      <c r="AN595" s="7" t="s">
        <v>1551</v>
      </c>
      <c r="AO595" s="7" t="s">
        <v>1602</v>
      </c>
      <c r="AP595" s="7" t="s">
        <v>1507</v>
      </c>
      <c r="AQ595" s="7" t="s">
        <v>13890</v>
      </c>
      <c r="AR595" s="7" t="s">
        <v>1507</v>
      </c>
      <c r="AS595" s="7" t="s">
        <v>13891</v>
      </c>
      <c r="AT595" s="7" t="s">
        <v>13892</v>
      </c>
      <c r="AU595" s="7" t="s">
        <v>14471</v>
      </c>
      <c r="AV595" s="7">
        <v>2023</v>
      </c>
      <c r="AW595" s="7">
        <v>10</v>
      </c>
      <c r="AX595" s="7">
        <v>1</v>
      </c>
      <c r="AY595" s="7" t="s">
        <v>1507</v>
      </c>
      <c r="AZ595" s="7" t="s">
        <v>1507</v>
      </c>
      <c r="BA595" s="7" t="s">
        <v>1507</v>
      </c>
      <c r="BB595" s="7" t="s">
        <v>1507</v>
      </c>
      <c r="BC595" s="7" t="s">
        <v>1507</v>
      </c>
      <c r="BD595" s="7" t="s">
        <v>1507</v>
      </c>
      <c r="BE595" s="7">
        <v>99</v>
      </c>
      <c r="BF595" s="7" t="s">
        <v>14472</v>
      </c>
      <c r="BG595" s="7" t="str">
        <f>HYPERLINK("http://dx.doi.org/10.1186/s40634-023-00662-4","http://dx.doi.org/10.1186/s40634-023-00662-4")</f>
        <v>http://dx.doi.org/10.1186/s40634-023-00662-4</v>
      </c>
      <c r="BH595" s="7" t="s">
        <v>1507</v>
      </c>
      <c r="BI595" s="7" t="s">
        <v>1507</v>
      </c>
      <c r="BJ595" s="7">
        <v>5</v>
      </c>
      <c r="BK595" s="7" t="s">
        <v>13894</v>
      </c>
      <c r="BL595" s="7" t="s">
        <v>1529</v>
      </c>
      <c r="BM595" s="7" t="s">
        <v>13894</v>
      </c>
      <c r="BN595" s="7" t="s">
        <v>14473</v>
      </c>
      <c r="BO595" s="7">
        <v>37768352</v>
      </c>
      <c r="BP595" s="7" t="s">
        <v>1674</v>
      </c>
      <c r="BQ595" s="7" t="s">
        <v>1507</v>
      </c>
      <c r="BR595" s="7" t="s">
        <v>1507</v>
      </c>
      <c r="BS595" s="7" t="s">
        <v>13744</v>
      </c>
      <c r="BT595" s="7" t="s">
        <v>14474</v>
      </c>
      <c r="BU595" s="7" t="str">
        <f>HYPERLINK("https%3A%2F%2Fwww.webofscience.com%2Fwos%2Fwoscc%2Ffull-record%2FWOS:001077828000002","View Full Record in Web of Science")</f>
        <v>View Full Record in Web of Science</v>
      </c>
    </row>
    <row r="596" spans="1:73" x14ac:dyDescent="0.25">
      <c r="A596" s="7" t="s">
        <v>16063</v>
      </c>
      <c r="B596" s="7" t="s">
        <v>1506</v>
      </c>
      <c r="C596" s="7" t="s">
        <v>13982</v>
      </c>
      <c r="D596" s="7" t="s">
        <v>1507</v>
      </c>
      <c r="E596" s="7" t="s">
        <v>1507</v>
      </c>
      <c r="F596" s="7" t="s">
        <v>1507</v>
      </c>
      <c r="G596" s="7" t="s">
        <v>13983</v>
      </c>
      <c r="H596" s="7" t="s">
        <v>1507</v>
      </c>
      <c r="I596" s="7" t="s">
        <v>1507</v>
      </c>
      <c r="J596" s="7" t="s">
        <v>13984</v>
      </c>
      <c r="K596" s="7" t="s">
        <v>11798</v>
      </c>
      <c r="L596" s="7" t="s">
        <v>1507</v>
      </c>
      <c r="M596" s="7" t="s">
        <v>1507</v>
      </c>
      <c r="N596" s="7" t="s">
        <v>42</v>
      </c>
      <c r="O596" s="7" t="s">
        <v>13985</v>
      </c>
      <c r="P596" s="7" t="s">
        <v>1507</v>
      </c>
      <c r="Q596" s="7" t="s">
        <v>1507</v>
      </c>
      <c r="R596" s="7" t="s">
        <v>1507</v>
      </c>
      <c r="S596" s="7" t="s">
        <v>1507</v>
      </c>
      <c r="T596" s="7" t="s">
        <v>1507</v>
      </c>
      <c r="U596" s="7" t="s">
        <v>13986</v>
      </c>
      <c r="V596" s="7" t="s">
        <v>1507</v>
      </c>
      <c r="W596" s="7" t="s">
        <v>1507</v>
      </c>
      <c r="X596" s="7" t="s">
        <v>13987</v>
      </c>
      <c r="Y596" s="7" t="s">
        <v>13988</v>
      </c>
      <c r="Z596" s="7" t="s">
        <v>13989</v>
      </c>
      <c r="AA596" s="7" t="s">
        <v>13990</v>
      </c>
      <c r="AB596" s="7" t="s">
        <v>1507</v>
      </c>
      <c r="AC596" s="7" t="s">
        <v>1507</v>
      </c>
      <c r="AD596" s="7" t="s">
        <v>13991</v>
      </c>
      <c r="AE596" s="7" t="s">
        <v>13992</v>
      </c>
      <c r="AF596" s="7" t="s">
        <v>13993</v>
      </c>
      <c r="AG596" s="7" t="s">
        <v>1507</v>
      </c>
      <c r="AH596" s="7">
        <v>23</v>
      </c>
      <c r="AI596" s="7">
        <v>0</v>
      </c>
      <c r="AJ596" s="7">
        <v>0</v>
      </c>
      <c r="AK596" s="7">
        <v>43</v>
      </c>
      <c r="AL596" s="7">
        <v>43</v>
      </c>
      <c r="AM596" s="7" t="s">
        <v>4284</v>
      </c>
      <c r="AN596" s="7" t="s">
        <v>4285</v>
      </c>
      <c r="AO596" s="7" t="s">
        <v>4286</v>
      </c>
      <c r="AP596" s="7" t="s">
        <v>11808</v>
      </c>
      <c r="AQ596" s="7" t="s">
        <v>11809</v>
      </c>
      <c r="AR596" s="7" t="s">
        <v>1507</v>
      </c>
      <c r="AS596" s="7" t="s">
        <v>11810</v>
      </c>
      <c r="AT596" s="7" t="s">
        <v>11811</v>
      </c>
      <c r="AU596" s="7" t="s">
        <v>13994</v>
      </c>
      <c r="AV596" s="7">
        <v>2023</v>
      </c>
      <c r="AW596" s="7" t="s">
        <v>1507</v>
      </c>
      <c r="AX596" s="7" t="s">
        <v>1507</v>
      </c>
      <c r="AY596" s="7" t="s">
        <v>1507</v>
      </c>
      <c r="AZ596" s="7" t="s">
        <v>1507</v>
      </c>
      <c r="BA596" s="7" t="s">
        <v>1507</v>
      </c>
      <c r="BB596" s="7" t="s">
        <v>1507</v>
      </c>
      <c r="BC596" s="7" t="s">
        <v>1507</v>
      </c>
      <c r="BD596" s="7" t="s">
        <v>1507</v>
      </c>
      <c r="BE596" s="7" t="s">
        <v>1507</v>
      </c>
      <c r="BF596" s="7" t="s">
        <v>13995</v>
      </c>
      <c r="BG596" s="7" t="str">
        <f>HYPERLINK("http://dx.doi.org/10.1093/cid/ciad635","http://dx.doi.org/10.1093/cid/ciad635")</f>
        <v>http://dx.doi.org/10.1093/cid/ciad635</v>
      </c>
      <c r="BH596" s="7" t="s">
        <v>1507</v>
      </c>
      <c r="BI596" s="7" t="s">
        <v>2396</v>
      </c>
      <c r="BJ596" s="7">
        <v>3</v>
      </c>
      <c r="BK596" s="7" t="s">
        <v>11813</v>
      </c>
      <c r="BL596" s="7" t="s">
        <v>1573</v>
      </c>
      <c r="BM596" s="7" t="s">
        <v>11813</v>
      </c>
      <c r="BN596" s="7" t="s">
        <v>13996</v>
      </c>
      <c r="BO596" s="7">
        <v>37963099</v>
      </c>
      <c r="BP596" s="7" t="s">
        <v>1507</v>
      </c>
      <c r="BQ596" s="7" t="s">
        <v>1507</v>
      </c>
      <c r="BR596" s="7" t="s">
        <v>1507</v>
      </c>
      <c r="BS596" s="7" t="s">
        <v>13744</v>
      </c>
      <c r="BT596" s="7" t="s">
        <v>13997</v>
      </c>
      <c r="BU596" s="7" t="str">
        <f>HYPERLINK("https%3A%2F%2Fwww.webofscience.com%2Fwos%2Fwoscc%2Ffull-record%2FWOS:001104478800001","View Full Record in Web of Science")</f>
        <v>View Full Record in Web of Science</v>
      </c>
    </row>
    <row r="597" spans="1:73" x14ac:dyDescent="0.25">
      <c r="A597" s="7" t="s">
        <v>16063</v>
      </c>
      <c r="B597" s="7" t="s">
        <v>1506</v>
      </c>
      <c r="C597" s="7" t="s">
        <v>14272</v>
      </c>
      <c r="D597" s="7" t="s">
        <v>1507</v>
      </c>
      <c r="E597" s="7" t="s">
        <v>1507</v>
      </c>
      <c r="F597" s="7" t="s">
        <v>1507</v>
      </c>
      <c r="G597" s="7" t="s">
        <v>14273</v>
      </c>
      <c r="H597" s="7" t="s">
        <v>1507</v>
      </c>
      <c r="I597" s="7" t="s">
        <v>1507</v>
      </c>
      <c r="J597" s="7" t="s">
        <v>14274</v>
      </c>
      <c r="K597" s="7" t="s">
        <v>14275</v>
      </c>
      <c r="L597" s="7" t="s">
        <v>1507</v>
      </c>
      <c r="M597" s="7" t="s">
        <v>1507</v>
      </c>
      <c r="N597" s="7" t="s">
        <v>42</v>
      </c>
      <c r="O597" s="7" t="s">
        <v>13985</v>
      </c>
      <c r="P597" s="7" t="s">
        <v>1507</v>
      </c>
      <c r="Q597" s="7" t="s">
        <v>1507</v>
      </c>
      <c r="R597" s="7" t="s">
        <v>1507</v>
      </c>
      <c r="S597" s="7" t="s">
        <v>1507</v>
      </c>
      <c r="T597" s="7" t="s">
        <v>1507</v>
      </c>
      <c r="U597" s="7" t="s">
        <v>1507</v>
      </c>
      <c r="V597" s="7" t="s">
        <v>1507</v>
      </c>
      <c r="W597" s="7" t="s">
        <v>14276</v>
      </c>
      <c r="X597" s="7" t="s">
        <v>14277</v>
      </c>
      <c r="Y597" s="7" t="s">
        <v>14278</v>
      </c>
      <c r="Z597" s="7" t="s">
        <v>14279</v>
      </c>
      <c r="AA597" s="7" t="s">
        <v>1507</v>
      </c>
      <c r="AB597" s="7" t="s">
        <v>14280</v>
      </c>
      <c r="AC597" s="7" t="s">
        <v>14281</v>
      </c>
      <c r="AD597" s="7" t="s">
        <v>14282</v>
      </c>
      <c r="AE597" s="7" t="s">
        <v>14282</v>
      </c>
      <c r="AF597" s="7" t="s">
        <v>14283</v>
      </c>
      <c r="AG597" s="7" t="s">
        <v>1507</v>
      </c>
      <c r="AH597" s="7">
        <v>15</v>
      </c>
      <c r="AI597" s="7">
        <v>0</v>
      </c>
      <c r="AJ597" s="7">
        <v>0</v>
      </c>
      <c r="AK597" s="7">
        <v>17</v>
      </c>
      <c r="AL597" s="7">
        <v>17</v>
      </c>
      <c r="AM597" s="7" t="s">
        <v>1582</v>
      </c>
      <c r="AN597" s="7" t="s">
        <v>1583</v>
      </c>
      <c r="AO597" s="7" t="s">
        <v>1584</v>
      </c>
      <c r="AP597" s="7" t="s">
        <v>14284</v>
      </c>
      <c r="AQ597" s="7" t="s">
        <v>14285</v>
      </c>
      <c r="AR597" s="7" t="s">
        <v>1507</v>
      </c>
      <c r="AS597" s="7" t="s">
        <v>14286</v>
      </c>
      <c r="AT597" s="7" t="s">
        <v>14287</v>
      </c>
      <c r="AU597" s="7" t="s">
        <v>14288</v>
      </c>
      <c r="AV597" s="7">
        <v>2023</v>
      </c>
      <c r="AW597" s="7" t="s">
        <v>1507</v>
      </c>
      <c r="AX597" s="7" t="s">
        <v>1507</v>
      </c>
      <c r="AY597" s="7" t="s">
        <v>1507</v>
      </c>
      <c r="AZ597" s="7" t="s">
        <v>1507</v>
      </c>
      <c r="BA597" s="7" t="s">
        <v>1507</v>
      </c>
      <c r="BB597" s="7" t="s">
        <v>1507</v>
      </c>
      <c r="BC597" s="7" t="s">
        <v>1507</v>
      </c>
      <c r="BD597" s="7" t="s">
        <v>1507</v>
      </c>
      <c r="BE597" s="7" t="s">
        <v>1507</v>
      </c>
      <c r="BF597" s="7" t="s">
        <v>14289</v>
      </c>
      <c r="BG597" s="7" t="str">
        <f>HYPERLINK("http://dx.doi.org/10.1093/milmed/usad412","http://dx.doi.org/10.1093/milmed/usad412")</f>
        <v>http://dx.doi.org/10.1093/milmed/usad412</v>
      </c>
      <c r="BH597" s="7" t="s">
        <v>1507</v>
      </c>
      <c r="BI597" s="7" t="s">
        <v>2891</v>
      </c>
      <c r="BJ597" s="7">
        <v>5</v>
      </c>
      <c r="BK597" s="7" t="s">
        <v>1949</v>
      </c>
      <c r="BL597" s="7" t="s">
        <v>1573</v>
      </c>
      <c r="BM597" s="7" t="s">
        <v>1950</v>
      </c>
      <c r="BN597" s="7" t="s">
        <v>14290</v>
      </c>
      <c r="BO597" s="7">
        <v>37864817</v>
      </c>
      <c r="BP597" s="7" t="s">
        <v>1537</v>
      </c>
      <c r="BQ597" s="7" t="s">
        <v>1507</v>
      </c>
      <c r="BR597" s="7" t="s">
        <v>1507</v>
      </c>
      <c r="BS597" s="7" t="s">
        <v>13744</v>
      </c>
      <c r="BT597" s="7" t="s">
        <v>14291</v>
      </c>
      <c r="BU597" s="7" t="str">
        <f>HYPERLINK("https%3A%2F%2Fwww.webofscience.com%2Fwos%2Fwoscc%2Ffull-record%2FWOS:001089478800001","View Full Record in Web of Science")</f>
        <v>View Full Record in Web of Science</v>
      </c>
    </row>
    <row r="598" spans="1:73" x14ac:dyDescent="0.25">
      <c r="A598" s="7" t="s">
        <v>16063</v>
      </c>
      <c r="B598" s="7" t="s">
        <v>1506</v>
      </c>
      <c r="C598" s="7" t="s">
        <v>13775</v>
      </c>
      <c r="D598" s="7" t="s">
        <v>1507</v>
      </c>
      <c r="E598" s="7" t="s">
        <v>1507</v>
      </c>
      <c r="F598" s="7" t="s">
        <v>1507</v>
      </c>
      <c r="G598" s="7" t="s">
        <v>13776</v>
      </c>
      <c r="H598" s="7" t="s">
        <v>1507</v>
      </c>
      <c r="I598" s="7" t="s">
        <v>1507</v>
      </c>
      <c r="J598" s="7" t="s">
        <v>13777</v>
      </c>
      <c r="K598" s="7" t="s">
        <v>13778</v>
      </c>
      <c r="L598" s="7" t="s">
        <v>1507</v>
      </c>
      <c r="M598" s="7" t="s">
        <v>1507</v>
      </c>
      <c r="N598" s="7" t="s">
        <v>42</v>
      </c>
      <c r="O598" s="7" t="s">
        <v>13186</v>
      </c>
      <c r="P598" s="7" t="s">
        <v>1507</v>
      </c>
      <c r="Q598" s="7" t="s">
        <v>1507</v>
      </c>
      <c r="R598" s="7" t="s">
        <v>1507</v>
      </c>
      <c r="S598" s="7" t="s">
        <v>1507</v>
      </c>
      <c r="T598" s="7" t="s">
        <v>1507</v>
      </c>
      <c r="U598" s="7" t="s">
        <v>13779</v>
      </c>
      <c r="V598" s="7" t="s">
        <v>1507</v>
      </c>
      <c r="W598" s="7" t="s">
        <v>1507</v>
      </c>
      <c r="X598" s="7" t="s">
        <v>13780</v>
      </c>
      <c r="Y598" s="7" t="s">
        <v>13781</v>
      </c>
      <c r="Z598" s="7" t="s">
        <v>13782</v>
      </c>
      <c r="AA598" s="7" t="s">
        <v>13783</v>
      </c>
      <c r="AB598" s="7" t="s">
        <v>1507</v>
      </c>
      <c r="AC598" s="7" t="s">
        <v>13784</v>
      </c>
      <c r="AD598" s="7" t="s">
        <v>1507</v>
      </c>
      <c r="AE598" s="7" t="s">
        <v>1507</v>
      </c>
      <c r="AF598" s="7" t="s">
        <v>1507</v>
      </c>
      <c r="AG598" s="7" t="s">
        <v>1507</v>
      </c>
      <c r="AH598" s="7">
        <v>10</v>
      </c>
      <c r="AI598" s="7">
        <v>1</v>
      </c>
      <c r="AJ598" s="7">
        <v>1</v>
      </c>
      <c r="AK598" s="7">
        <v>3</v>
      </c>
      <c r="AL598" s="7">
        <v>3</v>
      </c>
      <c r="AM598" s="7" t="s">
        <v>1582</v>
      </c>
      <c r="AN598" s="7" t="s">
        <v>1583</v>
      </c>
      <c r="AO598" s="7" t="s">
        <v>1584</v>
      </c>
      <c r="AP598" s="7" t="s">
        <v>13785</v>
      </c>
      <c r="AQ598" s="7" t="s">
        <v>13786</v>
      </c>
      <c r="AR598" s="7" t="s">
        <v>1507</v>
      </c>
      <c r="AS598" s="7" t="s">
        <v>13787</v>
      </c>
      <c r="AT598" s="7" t="s">
        <v>13788</v>
      </c>
      <c r="AU598" s="7" t="s">
        <v>13789</v>
      </c>
      <c r="AV598" s="7">
        <v>2024</v>
      </c>
      <c r="AW598" s="7">
        <v>100</v>
      </c>
      <c r="AX598" s="7">
        <v>1182</v>
      </c>
      <c r="AY598" s="7" t="s">
        <v>1507</v>
      </c>
      <c r="AZ598" s="7" t="s">
        <v>1507</v>
      </c>
      <c r="BA598" s="7" t="s">
        <v>1507</v>
      </c>
      <c r="BB598" s="7" t="s">
        <v>1507</v>
      </c>
      <c r="BC598" s="7">
        <v>274</v>
      </c>
      <c r="BD598" s="7">
        <v>275</v>
      </c>
      <c r="BE598" s="7" t="s">
        <v>1507</v>
      </c>
      <c r="BF598" s="7" t="s">
        <v>13790</v>
      </c>
      <c r="BG598" s="7" t="str">
        <f>HYPERLINK("http://dx.doi.org/10.1093/postmj/qgad128","http://dx.doi.org/10.1093/postmj/qgad128")</f>
        <v>http://dx.doi.org/10.1093/postmj/qgad128</v>
      </c>
      <c r="BH598" s="7" t="s">
        <v>1507</v>
      </c>
      <c r="BI598" s="7" t="s">
        <v>1652</v>
      </c>
      <c r="BJ598" s="7">
        <v>2</v>
      </c>
      <c r="BK598" s="7" t="s">
        <v>1949</v>
      </c>
      <c r="BL598" s="7" t="s">
        <v>1573</v>
      </c>
      <c r="BM598" s="7" t="s">
        <v>1950</v>
      </c>
      <c r="BN598" s="7" t="s">
        <v>13791</v>
      </c>
      <c r="BO598" s="7">
        <v>38142282</v>
      </c>
      <c r="BP598" s="7" t="s">
        <v>1507</v>
      </c>
      <c r="BQ598" s="7" t="s">
        <v>1507</v>
      </c>
      <c r="BR598" s="7" t="s">
        <v>1507</v>
      </c>
      <c r="BS598" s="7" t="s">
        <v>13744</v>
      </c>
      <c r="BT598" s="7" t="s">
        <v>13792</v>
      </c>
      <c r="BU598" s="7" t="str">
        <f>HYPERLINK("https%3A%2F%2Fwww.webofscience.com%2Fwos%2Fwoscc%2Ffull-record%2FWOS:001133640600001","View Full Record in Web of Science")</f>
        <v>View Full Record in Web of Science</v>
      </c>
    </row>
    <row r="599" spans="1:73" x14ac:dyDescent="0.25">
      <c r="A599" s="7" t="s">
        <v>16063</v>
      </c>
      <c r="B599" s="7" t="s">
        <v>1506</v>
      </c>
      <c r="C599" s="7" t="s">
        <v>14655</v>
      </c>
      <c r="D599" s="7" t="s">
        <v>1507</v>
      </c>
      <c r="E599" s="7" t="s">
        <v>1507</v>
      </c>
      <c r="F599" s="7" t="s">
        <v>1507</v>
      </c>
      <c r="G599" s="7" t="s">
        <v>14656</v>
      </c>
      <c r="H599" s="7" t="s">
        <v>1507</v>
      </c>
      <c r="I599" s="7" t="s">
        <v>14657</v>
      </c>
      <c r="J599" s="7" t="s">
        <v>14658</v>
      </c>
      <c r="K599" s="7" t="s">
        <v>14659</v>
      </c>
      <c r="L599" s="7" t="s">
        <v>1507</v>
      </c>
      <c r="M599" s="7" t="s">
        <v>1507</v>
      </c>
      <c r="N599" s="7" t="s">
        <v>42</v>
      </c>
      <c r="O599" s="7" t="s">
        <v>13186</v>
      </c>
      <c r="P599" s="7" t="s">
        <v>1507</v>
      </c>
      <c r="Q599" s="7" t="s">
        <v>1507</v>
      </c>
      <c r="R599" s="7" t="s">
        <v>1507</v>
      </c>
      <c r="S599" s="7" t="s">
        <v>1507</v>
      </c>
      <c r="T599" s="7" t="s">
        <v>1507</v>
      </c>
      <c r="U599" s="7" t="s">
        <v>1507</v>
      </c>
      <c r="V599" s="7" t="s">
        <v>1507</v>
      </c>
      <c r="W599" s="7" t="s">
        <v>1507</v>
      </c>
      <c r="X599" s="7" t="s">
        <v>14660</v>
      </c>
      <c r="Y599" s="7" t="s">
        <v>14661</v>
      </c>
      <c r="Z599" s="7" t="s">
        <v>14662</v>
      </c>
      <c r="AA599" s="7" t="s">
        <v>14663</v>
      </c>
      <c r="AB599" s="7" t="s">
        <v>14664</v>
      </c>
      <c r="AC599" s="7" t="s">
        <v>14665</v>
      </c>
      <c r="AD599" s="7" t="s">
        <v>14666</v>
      </c>
      <c r="AE599" s="7" t="s">
        <v>14667</v>
      </c>
      <c r="AF599" s="7" t="s">
        <v>14668</v>
      </c>
      <c r="AG599" s="7" t="s">
        <v>1507</v>
      </c>
      <c r="AH599" s="7">
        <v>10</v>
      </c>
      <c r="AI599" s="7">
        <v>11</v>
      </c>
      <c r="AJ599" s="7">
        <v>11</v>
      </c>
      <c r="AK599" s="7">
        <v>7</v>
      </c>
      <c r="AL599" s="7">
        <v>12</v>
      </c>
      <c r="AM599" s="7" t="s">
        <v>1586</v>
      </c>
      <c r="AN599" s="7" t="s">
        <v>1583</v>
      </c>
      <c r="AO599" s="7" t="s">
        <v>3684</v>
      </c>
      <c r="AP599" s="7" t="s">
        <v>14669</v>
      </c>
      <c r="AQ599" s="7" t="s">
        <v>14670</v>
      </c>
      <c r="AR599" s="7" t="s">
        <v>1507</v>
      </c>
      <c r="AS599" s="7" t="s">
        <v>14671</v>
      </c>
      <c r="AT599" s="7" t="s">
        <v>14672</v>
      </c>
      <c r="AU599" s="7" t="s">
        <v>4556</v>
      </c>
      <c r="AV599" s="7">
        <v>2023</v>
      </c>
      <c r="AW599" s="7">
        <v>23</v>
      </c>
      <c r="AX599" s="7">
        <v>7</v>
      </c>
      <c r="AY599" s="7" t="s">
        <v>1507</v>
      </c>
      <c r="AZ599" s="7" t="s">
        <v>1507</v>
      </c>
      <c r="BA599" s="7" t="s">
        <v>1507</v>
      </c>
      <c r="BB599" s="7" t="s">
        <v>1507</v>
      </c>
      <c r="BC599" s="7">
        <v>781</v>
      </c>
      <c r="BD599" s="7">
        <v>781</v>
      </c>
      <c r="BE599" s="7" t="s">
        <v>1507</v>
      </c>
      <c r="BF599" s="7" t="s">
        <v>14673</v>
      </c>
      <c r="BG599" s="7" t="str">
        <f>HYPERLINK("http://dx.doi.org/10.1016/S1473-3099(23)00290-6","http://dx.doi.org/10.1016/S1473-3099(23)00290-6")</f>
        <v>http://dx.doi.org/10.1016/S1473-3099(23)00290-6</v>
      </c>
      <c r="BH599" s="7" t="s">
        <v>1507</v>
      </c>
      <c r="BI599" s="7" t="s">
        <v>4630</v>
      </c>
      <c r="BJ599" s="7">
        <v>1</v>
      </c>
      <c r="BK599" s="7" t="s">
        <v>4015</v>
      </c>
      <c r="BL599" s="7" t="s">
        <v>1573</v>
      </c>
      <c r="BM599" s="7" t="s">
        <v>4015</v>
      </c>
      <c r="BN599" s="7" t="s">
        <v>14674</v>
      </c>
      <c r="BO599" s="7">
        <v>37178707</v>
      </c>
      <c r="BP599" s="7" t="s">
        <v>3572</v>
      </c>
      <c r="BQ599" s="7" t="s">
        <v>1507</v>
      </c>
      <c r="BR599" s="7" t="s">
        <v>1507</v>
      </c>
      <c r="BS599" s="7" t="s">
        <v>13744</v>
      </c>
      <c r="BT599" s="7" t="s">
        <v>14675</v>
      </c>
      <c r="BU599" s="7" t="str">
        <f>HYPERLINK("https%3A%2F%2Fwww.webofscience.com%2Fwos%2Fwoscc%2Ffull-record%2FWOS:001032512000001","View Full Record in Web of Science")</f>
        <v>View Full Record in Web of Science</v>
      </c>
    </row>
    <row r="600" spans="1:73" x14ac:dyDescent="0.25">
      <c r="A600" s="7" t="s">
        <v>16063</v>
      </c>
      <c r="B600" s="7" t="s">
        <v>1506</v>
      </c>
      <c r="C600" s="7" t="s">
        <v>14544</v>
      </c>
      <c r="D600" s="7" t="s">
        <v>1507</v>
      </c>
      <c r="E600" s="7" t="s">
        <v>1507</v>
      </c>
      <c r="F600" s="7" t="s">
        <v>1507</v>
      </c>
      <c r="G600" s="7" t="s">
        <v>14545</v>
      </c>
      <c r="H600" s="7" t="s">
        <v>1507</v>
      </c>
      <c r="I600" s="7" t="s">
        <v>1507</v>
      </c>
      <c r="J600" s="7" t="s">
        <v>14546</v>
      </c>
      <c r="K600" s="7" t="s">
        <v>13778</v>
      </c>
      <c r="L600" s="7" t="s">
        <v>1507</v>
      </c>
      <c r="M600" s="7" t="s">
        <v>1507</v>
      </c>
      <c r="N600" s="7" t="s">
        <v>42</v>
      </c>
      <c r="O600" s="7" t="s">
        <v>13186</v>
      </c>
      <c r="P600" s="7" t="s">
        <v>1507</v>
      </c>
      <c r="Q600" s="7" t="s">
        <v>1507</v>
      </c>
      <c r="R600" s="7" t="s">
        <v>1507</v>
      </c>
      <c r="S600" s="7" t="s">
        <v>1507</v>
      </c>
      <c r="T600" s="7" t="s">
        <v>1507</v>
      </c>
      <c r="U600" s="7" t="s">
        <v>1507</v>
      </c>
      <c r="V600" s="7" t="s">
        <v>1507</v>
      </c>
      <c r="W600" s="7" t="s">
        <v>1507</v>
      </c>
      <c r="X600" s="7" t="s">
        <v>14547</v>
      </c>
      <c r="Y600" s="7" t="s">
        <v>14548</v>
      </c>
      <c r="Z600" s="7" t="s">
        <v>14549</v>
      </c>
      <c r="AA600" s="7" t="s">
        <v>14550</v>
      </c>
      <c r="AB600" s="7" t="s">
        <v>14551</v>
      </c>
      <c r="AC600" s="7" t="s">
        <v>14552</v>
      </c>
      <c r="AD600" s="7" t="s">
        <v>14553</v>
      </c>
      <c r="AE600" s="7" t="s">
        <v>14553</v>
      </c>
      <c r="AF600" s="7" t="s">
        <v>14554</v>
      </c>
      <c r="AG600" s="7" t="s">
        <v>1507</v>
      </c>
      <c r="AH600" s="7">
        <v>9</v>
      </c>
      <c r="AI600" s="7">
        <v>3</v>
      </c>
      <c r="AJ600" s="7">
        <v>3</v>
      </c>
      <c r="AK600" s="7">
        <v>6</v>
      </c>
      <c r="AL600" s="7">
        <v>6</v>
      </c>
      <c r="AM600" s="7" t="s">
        <v>1582</v>
      </c>
      <c r="AN600" s="7" t="s">
        <v>1583</v>
      </c>
      <c r="AO600" s="7" t="s">
        <v>1584</v>
      </c>
      <c r="AP600" s="7" t="s">
        <v>13785</v>
      </c>
      <c r="AQ600" s="7" t="s">
        <v>13786</v>
      </c>
      <c r="AR600" s="7" t="s">
        <v>1507</v>
      </c>
      <c r="AS600" s="7" t="s">
        <v>13787</v>
      </c>
      <c r="AT600" s="7" t="s">
        <v>13788</v>
      </c>
      <c r="AU600" s="7" t="s">
        <v>2472</v>
      </c>
      <c r="AV600" s="7">
        <v>2023</v>
      </c>
      <c r="AW600" s="7">
        <v>99</v>
      </c>
      <c r="AX600" s="7">
        <v>1178</v>
      </c>
      <c r="AY600" s="7" t="s">
        <v>1507</v>
      </c>
      <c r="AZ600" s="7" t="s">
        <v>1507</v>
      </c>
      <c r="BA600" s="7" t="s">
        <v>1507</v>
      </c>
      <c r="BB600" s="7" t="s">
        <v>1507</v>
      </c>
      <c r="BC600" s="7">
        <v>1298</v>
      </c>
      <c r="BD600" s="7">
        <v>1299</v>
      </c>
      <c r="BE600" s="7" t="s">
        <v>1507</v>
      </c>
      <c r="BF600" s="7" t="s">
        <v>14555</v>
      </c>
      <c r="BG600" s="7" t="str">
        <f>HYPERLINK("http://dx.doi.org/10.1093/postmj/qgad069","http://dx.doi.org/10.1093/postmj/qgad069")</f>
        <v>http://dx.doi.org/10.1093/postmj/qgad069</v>
      </c>
      <c r="BH600" s="7" t="s">
        <v>1507</v>
      </c>
      <c r="BI600" s="7" t="s">
        <v>4056</v>
      </c>
      <c r="BJ600" s="7">
        <v>2</v>
      </c>
      <c r="BK600" s="7" t="s">
        <v>1949</v>
      </c>
      <c r="BL600" s="7" t="s">
        <v>1573</v>
      </c>
      <c r="BM600" s="7" t="s">
        <v>1950</v>
      </c>
      <c r="BN600" s="7" t="s">
        <v>14556</v>
      </c>
      <c r="BO600" s="7">
        <v>37624143</v>
      </c>
      <c r="BP600" s="7" t="s">
        <v>1507</v>
      </c>
      <c r="BQ600" s="7" t="s">
        <v>1507</v>
      </c>
      <c r="BR600" s="7" t="s">
        <v>1507</v>
      </c>
      <c r="BS600" s="7" t="s">
        <v>13744</v>
      </c>
      <c r="BT600" s="7" t="s">
        <v>14557</v>
      </c>
      <c r="BU600" s="7" t="str">
        <f>HYPERLINK("https%3A%2F%2Fwww.webofscience.com%2Fwos%2Fwoscc%2Ffull-record%2FWOS:001080172900001","View Full Record in Web of Science")</f>
        <v>View Full Record in Web of Science</v>
      </c>
    </row>
    <row r="601" spans="1:73" x14ac:dyDescent="0.25">
      <c r="A601" s="7" t="s">
        <v>16063</v>
      </c>
      <c r="B601" s="7" t="s">
        <v>1506</v>
      </c>
      <c r="C601" s="7" t="s">
        <v>14789</v>
      </c>
      <c r="D601" s="7" t="s">
        <v>1507</v>
      </c>
      <c r="E601" s="7" t="s">
        <v>1507</v>
      </c>
      <c r="F601" s="7" t="s">
        <v>1507</v>
      </c>
      <c r="G601" s="7" t="s">
        <v>14790</v>
      </c>
      <c r="H601" s="7" t="s">
        <v>1507</v>
      </c>
      <c r="I601" s="7" t="s">
        <v>1507</v>
      </c>
      <c r="J601" s="7" t="s">
        <v>13195</v>
      </c>
      <c r="K601" s="7" t="s">
        <v>3475</v>
      </c>
      <c r="L601" s="7" t="s">
        <v>1507</v>
      </c>
      <c r="M601" s="7" t="s">
        <v>1507</v>
      </c>
      <c r="N601" s="7" t="s">
        <v>42</v>
      </c>
      <c r="O601" s="7" t="s">
        <v>13186</v>
      </c>
      <c r="P601" s="7" t="s">
        <v>1507</v>
      </c>
      <c r="Q601" s="7" t="s">
        <v>1507</v>
      </c>
      <c r="R601" s="7" t="s">
        <v>1507</v>
      </c>
      <c r="S601" s="7" t="s">
        <v>1507</v>
      </c>
      <c r="T601" s="7" t="s">
        <v>1507</v>
      </c>
      <c r="U601" s="7" t="s">
        <v>1507</v>
      </c>
      <c r="V601" s="7" t="s">
        <v>1507</v>
      </c>
      <c r="W601" s="7" t="s">
        <v>1507</v>
      </c>
      <c r="X601" s="7" t="s">
        <v>14791</v>
      </c>
      <c r="Y601" s="7" t="s">
        <v>14792</v>
      </c>
      <c r="Z601" s="7" t="s">
        <v>14793</v>
      </c>
      <c r="AA601" s="7" t="s">
        <v>14794</v>
      </c>
      <c r="AB601" s="7" t="s">
        <v>1507</v>
      </c>
      <c r="AC601" s="7" t="s">
        <v>14795</v>
      </c>
      <c r="AD601" s="7" t="s">
        <v>1507</v>
      </c>
      <c r="AE601" s="7" t="s">
        <v>1507</v>
      </c>
      <c r="AF601" s="7" t="s">
        <v>1507</v>
      </c>
      <c r="AG601" s="7" t="s">
        <v>1507</v>
      </c>
      <c r="AH601" s="7">
        <v>10</v>
      </c>
      <c r="AI601" s="7">
        <v>20</v>
      </c>
      <c r="AJ601" s="7">
        <v>20</v>
      </c>
      <c r="AK601" s="7">
        <v>29</v>
      </c>
      <c r="AL601" s="7">
        <v>46</v>
      </c>
      <c r="AM601" s="7" t="s">
        <v>1591</v>
      </c>
      <c r="AN601" s="7" t="s">
        <v>1592</v>
      </c>
      <c r="AO601" s="7" t="s">
        <v>1593</v>
      </c>
      <c r="AP601" s="7" t="s">
        <v>1507</v>
      </c>
      <c r="AQ601" s="7" t="s">
        <v>3484</v>
      </c>
      <c r="AR601" s="7" t="s">
        <v>1507</v>
      </c>
      <c r="AS601" s="7" t="s">
        <v>3485</v>
      </c>
      <c r="AT601" s="7" t="s">
        <v>3486</v>
      </c>
      <c r="AU601" s="7" t="s">
        <v>5201</v>
      </c>
      <c r="AV601" s="7">
        <v>2023</v>
      </c>
      <c r="AW601" s="7">
        <v>5</v>
      </c>
      <c r="AX601" s="7">
        <v>4</v>
      </c>
      <c r="AY601" s="7" t="s">
        <v>1507</v>
      </c>
      <c r="AZ601" s="7" t="s">
        <v>1507</v>
      </c>
      <c r="BA601" s="7" t="s">
        <v>1507</v>
      </c>
      <c r="BB601" s="7" t="s">
        <v>1507</v>
      </c>
      <c r="BC601" s="7">
        <v>333</v>
      </c>
      <c r="BD601" s="7">
        <v>334</v>
      </c>
      <c r="BE601" s="7" t="s">
        <v>1507</v>
      </c>
      <c r="BF601" s="7" t="s">
        <v>13193</v>
      </c>
      <c r="BG601" s="7" t="str">
        <f>HYPERLINK("http://dx.doi.org/10.1038/s42256-023-00644-2","http://dx.doi.org/10.1038/s42256-023-00644-2")</f>
        <v>http://dx.doi.org/10.1038/s42256-023-00644-2</v>
      </c>
      <c r="BH601" s="7" t="s">
        <v>1507</v>
      </c>
      <c r="BI601" s="7" t="s">
        <v>5260</v>
      </c>
      <c r="BJ601" s="7">
        <v>2</v>
      </c>
      <c r="BK601" s="7" t="s">
        <v>3488</v>
      </c>
      <c r="BL601" s="7" t="s">
        <v>1573</v>
      </c>
      <c r="BM601" s="7" t="s">
        <v>1577</v>
      </c>
      <c r="BN601" s="7" t="s">
        <v>14796</v>
      </c>
      <c r="BO601" s="7" t="s">
        <v>1507</v>
      </c>
      <c r="BP601" s="7" t="s">
        <v>3572</v>
      </c>
      <c r="BQ601" s="7" t="s">
        <v>1507</v>
      </c>
      <c r="BR601" s="7" t="s">
        <v>1507</v>
      </c>
      <c r="BS601" s="7" t="s">
        <v>13744</v>
      </c>
      <c r="BT601" s="7" t="s">
        <v>14797</v>
      </c>
      <c r="BU601" s="7" t="str">
        <f>HYPERLINK("https%3A%2F%2Fwww.webofscience.com%2Fwos%2Fwoscc%2Ffull-record%2FWOS:000961653600002","View Full Record in Web of Science")</f>
        <v>View Full Record in Web of Science</v>
      </c>
    </row>
    <row r="602" spans="1:73" x14ac:dyDescent="0.25">
      <c r="A602" s="7" t="s">
        <v>16063</v>
      </c>
      <c r="B602" s="7" t="s">
        <v>1506</v>
      </c>
      <c r="C602" s="7" t="s">
        <v>14347</v>
      </c>
      <c r="D602" s="7" t="s">
        <v>1507</v>
      </c>
      <c r="E602" s="7" t="s">
        <v>1507</v>
      </c>
      <c r="F602" s="7" t="s">
        <v>1507</v>
      </c>
      <c r="G602" s="7" t="s">
        <v>14348</v>
      </c>
      <c r="H602" s="7" t="s">
        <v>1507</v>
      </c>
      <c r="I602" s="7" t="s">
        <v>1507</v>
      </c>
      <c r="J602" s="7" t="s">
        <v>14349</v>
      </c>
      <c r="K602" s="7" t="s">
        <v>14350</v>
      </c>
      <c r="L602" s="7" t="s">
        <v>1507</v>
      </c>
      <c r="M602" s="7" t="s">
        <v>1507</v>
      </c>
      <c r="N602" s="7" t="s">
        <v>42</v>
      </c>
      <c r="O602" s="7" t="s">
        <v>1487</v>
      </c>
      <c r="P602" s="7" t="s">
        <v>14351</v>
      </c>
      <c r="Q602" s="7" t="s">
        <v>14352</v>
      </c>
      <c r="R602" s="7" t="s">
        <v>14353</v>
      </c>
      <c r="S602" s="7" t="s">
        <v>1507</v>
      </c>
      <c r="T602" s="7" t="s">
        <v>1507</v>
      </c>
      <c r="U602" s="7" t="s">
        <v>1507</v>
      </c>
      <c r="V602" s="7" t="s">
        <v>1507</v>
      </c>
      <c r="W602" s="7" t="s">
        <v>1507</v>
      </c>
      <c r="X602" s="7" t="s">
        <v>14354</v>
      </c>
      <c r="Y602" s="7" t="s">
        <v>4160</v>
      </c>
      <c r="Z602" s="7" t="s">
        <v>1507</v>
      </c>
      <c r="AA602" s="7" t="s">
        <v>1507</v>
      </c>
      <c r="AB602" s="7" t="s">
        <v>1507</v>
      </c>
      <c r="AC602" s="7" t="s">
        <v>14355</v>
      </c>
      <c r="AD602" s="7" t="s">
        <v>1507</v>
      </c>
      <c r="AE602" s="7" t="s">
        <v>1507</v>
      </c>
      <c r="AF602" s="7" t="s">
        <v>1507</v>
      </c>
      <c r="AG602" s="7" t="s">
        <v>1507</v>
      </c>
      <c r="AH602" s="7">
        <v>0</v>
      </c>
      <c r="AI602" s="7">
        <v>0</v>
      </c>
      <c r="AJ602" s="7">
        <v>0</v>
      </c>
      <c r="AK602" s="7">
        <v>1</v>
      </c>
      <c r="AL602" s="7">
        <v>1</v>
      </c>
      <c r="AM602" s="7" t="s">
        <v>14356</v>
      </c>
      <c r="AN602" s="7" t="s">
        <v>1512</v>
      </c>
      <c r="AO602" s="7" t="s">
        <v>14357</v>
      </c>
      <c r="AP602" s="7" t="s">
        <v>14358</v>
      </c>
      <c r="AQ602" s="7" t="s">
        <v>14359</v>
      </c>
      <c r="AR602" s="7" t="s">
        <v>1507</v>
      </c>
      <c r="AS602" s="7" t="s">
        <v>14360</v>
      </c>
      <c r="AT602" s="7" t="s">
        <v>14361</v>
      </c>
      <c r="AU602" s="7" t="s">
        <v>2889</v>
      </c>
      <c r="AV602" s="7">
        <v>2023</v>
      </c>
      <c r="AW602" s="7">
        <v>82</v>
      </c>
      <c r="AX602" s="7">
        <v>4</v>
      </c>
      <c r="AY602" s="7" t="s">
        <v>1507</v>
      </c>
      <c r="AZ602" s="7" t="s">
        <v>11902</v>
      </c>
      <c r="BA602" s="7" t="s">
        <v>1507</v>
      </c>
      <c r="BB602" s="7">
        <v>312</v>
      </c>
      <c r="BC602" s="7" t="s">
        <v>14362</v>
      </c>
      <c r="BD602" s="7" t="s">
        <v>14362</v>
      </c>
      <c r="BE602" s="7" t="s">
        <v>1507</v>
      </c>
      <c r="BF602" s="7" t="s">
        <v>1507</v>
      </c>
      <c r="BG602" s="7" t="s">
        <v>1507</v>
      </c>
      <c r="BH602" s="7" t="s">
        <v>1507</v>
      </c>
      <c r="BI602" s="7" t="s">
        <v>1507</v>
      </c>
      <c r="BJ602" s="7">
        <v>1</v>
      </c>
      <c r="BK602" s="7" t="s">
        <v>1932</v>
      </c>
      <c r="BL602" s="7" t="s">
        <v>11691</v>
      </c>
      <c r="BM602" s="7" t="s">
        <v>1932</v>
      </c>
      <c r="BN602" s="7" t="s">
        <v>14363</v>
      </c>
      <c r="BO602" s="7" t="s">
        <v>1507</v>
      </c>
      <c r="BP602" s="7" t="s">
        <v>1507</v>
      </c>
      <c r="BQ602" s="7" t="s">
        <v>1507</v>
      </c>
      <c r="BR602" s="7" t="s">
        <v>1507</v>
      </c>
      <c r="BS602" s="7" t="s">
        <v>13744</v>
      </c>
      <c r="BT602" s="7" t="s">
        <v>14364</v>
      </c>
      <c r="BU602" s="7" t="str">
        <f>HYPERLINK("https%3A%2F%2Fwww.webofscience.com%2Fwos%2Fwoscc%2Ffull-record%2FWOS:001080998600309","View Full Record in Web of Science")</f>
        <v>View Full Record in Web of Science</v>
      </c>
    </row>
    <row r="603" spans="1:73" x14ac:dyDescent="0.25">
      <c r="A603" s="7" t="s">
        <v>16063</v>
      </c>
      <c r="B603" s="7" t="s">
        <v>1506</v>
      </c>
      <c r="C603" s="7" t="s">
        <v>15550</v>
      </c>
      <c r="D603" s="7" t="s">
        <v>1507</v>
      </c>
      <c r="E603" s="7" t="s">
        <v>1507</v>
      </c>
      <c r="F603" s="7" t="s">
        <v>1507</v>
      </c>
      <c r="G603" s="7" t="s">
        <v>15551</v>
      </c>
      <c r="H603" s="7" t="s">
        <v>1507</v>
      </c>
      <c r="I603" s="7" t="s">
        <v>1507</v>
      </c>
      <c r="J603" s="7" t="s">
        <v>15552</v>
      </c>
      <c r="K603" s="7" t="s">
        <v>14333</v>
      </c>
      <c r="L603" s="7" t="s">
        <v>1507</v>
      </c>
      <c r="M603" s="7" t="s">
        <v>1507</v>
      </c>
      <c r="N603" s="7" t="s">
        <v>42</v>
      </c>
      <c r="O603" s="7" t="s">
        <v>1487</v>
      </c>
      <c r="P603" s="7" t="s">
        <v>14334</v>
      </c>
      <c r="Q603" s="7" t="s">
        <v>15553</v>
      </c>
      <c r="R603" s="7" t="s">
        <v>15554</v>
      </c>
      <c r="S603" s="7" t="s">
        <v>15555</v>
      </c>
      <c r="T603" s="7" t="s">
        <v>1507</v>
      </c>
      <c r="U603" s="7" t="s">
        <v>1507</v>
      </c>
      <c r="V603" s="7" t="s">
        <v>1507</v>
      </c>
      <c r="W603" s="7" t="s">
        <v>1507</v>
      </c>
      <c r="X603" s="7" t="s">
        <v>1507</v>
      </c>
      <c r="Y603" s="7" t="s">
        <v>1507</v>
      </c>
      <c r="Z603" s="7" t="s">
        <v>1507</v>
      </c>
      <c r="AA603" s="7" t="s">
        <v>1507</v>
      </c>
      <c r="AB603" s="7" t="s">
        <v>1507</v>
      </c>
      <c r="AC603" s="7" t="s">
        <v>1507</v>
      </c>
      <c r="AD603" s="7" t="s">
        <v>1507</v>
      </c>
      <c r="AE603" s="7" t="s">
        <v>1507</v>
      </c>
      <c r="AF603" s="7" t="s">
        <v>1507</v>
      </c>
      <c r="AG603" s="7" t="s">
        <v>1507</v>
      </c>
      <c r="AH603" s="7">
        <v>0</v>
      </c>
      <c r="AI603" s="7">
        <v>0</v>
      </c>
      <c r="AJ603" s="7">
        <v>0</v>
      </c>
      <c r="AK603" s="7">
        <v>0</v>
      </c>
      <c r="AL603" s="7">
        <v>0</v>
      </c>
      <c r="AM603" s="7" t="s">
        <v>1579</v>
      </c>
      <c r="AN603" s="7" t="s">
        <v>1580</v>
      </c>
      <c r="AO603" s="7" t="s">
        <v>1581</v>
      </c>
      <c r="AP603" s="7" t="s">
        <v>14338</v>
      </c>
      <c r="AQ603" s="7" t="s">
        <v>14339</v>
      </c>
      <c r="AR603" s="7" t="s">
        <v>1507</v>
      </c>
      <c r="AS603" s="7" t="s">
        <v>14333</v>
      </c>
      <c r="AT603" s="7" t="s">
        <v>14340</v>
      </c>
      <c r="AU603" s="7" t="s">
        <v>2889</v>
      </c>
      <c r="AV603" s="7">
        <v>2022</v>
      </c>
      <c r="AW603" s="7">
        <v>162</v>
      </c>
      <c r="AX603" s="7">
        <v>4</v>
      </c>
      <c r="AY603" s="7" t="s">
        <v>1507</v>
      </c>
      <c r="AZ603" s="7" t="s">
        <v>11902</v>
      </c>
      <c r="BA603" s="7" t="s">
        <v>1507</v>
      </c>
      <c r="BB603" s="7" t="s">
        <v>1507</v>
      </c>
      <c r="BC603" s="7" t="s">
        <v>15556</v>
      </c>
      <c r="BD603" s="7" t="s">
        <v>15557</v>
      </c>
      <c r="BE603" s="7" t="s">
        <v>1507</v>
      </c>
      <c r="BF603" s="7" t="s">
        <v>15558</v>
      </c>
      <c r="BG603" s="7" t="str">
        <f>HYPERLINK("http://dx.doi.org/10.1016/j.chest.2022.08.2182","http://dx.doi.org/10.1016/j.chest.2022.08.2182")</f>
        <v>http://dx.doi.org/10.1016/j.chest.2022.08.2182</v>
      </c>
      <c r="BH603" s="7" t="s">
        <v>1507</v>
      </c>
      <c r="BI603" s="7" t="s">
        <v>6861</v>
      </c>
      <c r="BJ603" s="7">
        <v>3</v>
      </c>
      <c r="BK603" s="7" t="s">
        <v>9710</v>
      </c>
      <c r="BL603" s="7" t="s">
        <v>11691</v>
      </c>
      <c r="BM603" s="7" t="s">
        <v>9711</v>
      </c>
      <c r="BN603" s="7" t="s">
        <v>15559</v>
      </c>
      <c r="BO603" s="7" t="s">
        <v>1507</v>
      </c>
      <c r="BP603" s="7" t="s">
        <v>1507</v>
      </c>
      <c r="BQ603" s="7" t="s">
        <v>1507</v>
      </c>
      <c r="BR603" s="7" t="s">
        <v>1507</v>
      </c>
      <c r="BS603" s="7" t="s">
        <v>13744</v>
      </c>
      <c r="BT603" s="7" t="s">
        <v>15560</v>
      </c>
      <c r="BU603" s="7" t="str">
        <f>HYPERLINK("https%3A%2F%2Fwww.webofscience.com%2Fwos%2Fwoscc%2Ffull-record%2FWOS:000895468902477","View Full Record in Web of Science")</f>
        <v>View Full Record in Web of Science</v>
      </c>
    </row>
    <row r="604" spans="1:73" x14ac:dyDescent="0.25">
      <c r="A604" s="7" t="s">
        <v>16063</v>
      </c>
      <c r="B604" s="7" t="s">
        <v>1506</v>
      </c>
      <c r="C604" s="7" t="s">
        <v>14330</v>
      </c>
      <c r="D604" s="7" t="s">
        <v>1507</v>
      </c>
      <c r="E604" s="7" t="s">
        <v>1507</v>
      </c>
      <c r="F604" s="7" t="s">
        <v>1507</v>
      </c>
      <c r="G604" s="7" t="s">
        <v>14331</v>
      </c>
      <c r="H604" s="7" t="s">
        <v>1507</v>
      </c>
      <c r="I604" s="7" t="s">
        <v>1507</v>
      </c>
      <c r="J604" s="7" t="s">
        <v>14332</v>
      </c>
      <c r="K604" s="7" t="s">
        <v>14333</v>
      </c>
      <c r="L604" s="7" t="s">
        <v>1507</v>
      </c>
      <c r="M604" s="7" t="s">
        <v>1507</v>
      </c>
      <c r="N604" s="7" t="s">
        <v>42</v>
      </c>
      <c r="O604" s="7" t="s">
        <v>1487</v>
      </c>
      <c r="P604" s="7" t="s">
        <v>14334</v>
      </c>
      <c r="Q604" s="7" t="s">
        <v>14335</v>
      </c>
      <c r="R604" s="7" t="s">
        <v>14336</v>
      </c>
      <c r="S604" s="7" t="s">
        <v>14337</v>
      </c>
      <c r="T604" s="7" t="s">
        <v>1507</v>
      </c>
      <c r="U604" s="7" t="s">
        <v>1507</v>
      </c>
      <c r="V604" s="7" t="s">
        <v>1507</v>
      </c>
      <c r="W604" s="7" t="s">
        <v>1507</v>
      </c>
      <c r="X604" s="7" t="s">
        <v>1507</v>
      </c>
      <c r="Y604" s="7" t="s">
        <v>1507</v>
      </c>
      <c r="Z604" s="7" t="s">
        <v>1507</v>
      </c>
      <c r="AA604" s="7" t="s">
        <v>1507</v>
      </c>
      <c r="AB604" s="7" t="s">
        <v>1507</v>
      </c>
      <c r="AC604" s="7" t="s">
        <v>1507</v>
      </c>
      <c r="AD604" s="7" t="s">
        <v>1507</v>
      </c>
      <c r="AE604" s="7" t="s">
        <v>1507</v>
      </c>
      <c r="AF604" s="7" t="s">
        <v>1507</v>
      </c>
      <c r="AG604" s="7" t="s">
        <v>1507</v>
      </c>
      <c r="AH604" s="7">
        <v>0</v>
      </c>
      <c r="AI604" s="7">
        <v>0</v>
      </c>
      <c r="AJ604" s="7">
        <v>0</v>
      </c>
      <c r="AK604" s="7">
        <v>0</v>
      </c>
      <c r="AL604" s="7">
        <v>0</v>
      </c>
      <c r="AM604" s="7" t="s">
        <v>1579</v>
      </c>
      <c r="AN604" s="7" t="s">
        <v>1580</v>
      </c>
      <c r="AO604" s="7" t="s">
        <v>1581</v>
      </c>
      <c r="AP604" s="7" t="s">
        <v>14338</v>
      </c>
      <c r="AQ604" s="7" t="s">
        <v>14339</v>
      </c>
      <c r="AR604" s="7" t="s">
        <v>1507</v>
      </c>
      <c r="AS604" s="7" t="s">
        <v>14333</v>
      </c>
      <c r="AT604" s="7" t="s">
        <v>14340</v>
      </c>
      <c r="AU604" s="7" t="s">
        <v>2889</v>
      </c>
      <c r="AV604" s="7">
        <v>2023</v>
      </c>
      <c r="AW604" s="7">
        <v>164</v>
      </c>
      <c r="AX604" s="7">
        <v>4</v>
      </c>
      <c r="AY604" s="7" t="s">
        <v>1507</v>
      </c>
      <c r="AZ604" s="7" t="s">
        <v>11902</v>
      </c>
      <c r="BA604" s="7" t="s">
        <v>1507</v>
      </c>
      <c r="BB604" s="7" t="s">
        <v>1507</v>
      </c>
      <c r="BC604" s="7" t="s">
        <v>14341</v>
      </c>
      <c r="BD604" s="7" t="s">
        <v>14342</v>
      </c>
      <c r="BE604" s="7" t="s">
        <v>1507</v>
      </c>
      <c r="BF604" s="7" t="s">
        <v>14343</v>
      </c>
      <c r="BG604" s="7" t="str">
        <f>HYPERLINK("http://dx.doi.org/10.1016/j.chest.2023.07.4211","http://dx.doi.org/10.1016/j.chest.2023.07.4211")</f>
        <v>http://dx.doi.org/10.1016/j.chest.2023.07.4211</v>
      </c>
      <c r="BH604" s="7" t="s">
        <v>1507</v>
      </c>
      <c r="BI604" s="7" t="s">
        <v>2891</v>
      </c>
      <c r="BJ604" s="7">
        <v>4</v>
      </c>
      <c r="BK604" s="7" t="s">
        <v>9710</v>
      </c>
      <c r="BL604" s="7" t="s">
        <v>11691</v>
      </c>
      <c r="BM604" s="7" t="s">
        <v>9711</v>
      </c>
      <c r="BN604" s="7" t="s">
        <v>14344</v>
      </c>
      <c r="BO604" s="7" t="s">
        <v>1507</v>
      </c>
      <c r="BP604" s="7" t="s">
        <v>3572</v>
      </c>
      <c r="BQ604" s="7" t="s">
        <v>1507</v>
      </c>
      <c r="BR604" s="7" t="s">
        <v>1507</v>
      </c>
      <c r="BS604" s="7" t="s">
        <v>13744</v>
      </c>
      <c r="BT604" s="7" t="s">
        <v>14345</v>
      </c>
      <c r="BU604" s="7" t="str">
        <f>HYPERLINK("https%3A%2F%2Fwww.webofscience.com%2Fwos%2Fwoscc%2Ffull-record%2FWOS:001085062006207","View Full Record in Web of Science")</f>
        <v>View Full Record in Web of Science</v>
      </c>
    </row>
    <row r="605" spans="1:73" x14ac:dyDescent="0.25">
      <c r="A605" s="7" t="s">
        <v>16063</v>
      </c>
      <c r="B605" s="7" t="s">
        <v>1506</v>
      </c>
      <c r="C605" s="7" t="s">
        <v>14365</v>
      </c>
      <c r="D605" s="7" t="s">
        <v>1507</v>
      </c>
      <c r="E605" s="7" t="s">
        <v>1507</v>
      </c>
      <c r="F605" s="7" t="s">
        <v>1507</v>
      </c>
      <c r="G605" s="7" t="s">
        <v>14366</v>
      </c>
      <c r="H605" s="7" t="s">
        <v>1507</v>
      </c>
      <c r="I605" s="7" t="s">
        <v>1507</v>
      </c>
      <c r="J605" s="7" t="s">
        <v>14367</v>
      </c>
      <c r="K605" s="7" t="s">
        <v>14368</v>
      </c>
      <c r="L605" s="7" t="s">
        <v>1507</v>
      </c>
      <c r="M605" s="7" t="s">
        <v>1507</v>
      </c>
      <c r="N605" s="7" t="s">
        <v>42</v>
      </c>
      <c r="O605" s="7" t="s">
        <v>1487</v>
      </c>
      <c r="P605" s="7" t="s">
        <v>14369</v>
      </c>
      <c r="Q605" s="7" t="s">
        <v>14370</v>
      </c>
      <c r="R605" s="7" t="s">
        <v>5909</v>
      </c>
      <c r="S605" s="7" t="s">
        <v>1507</v>
      </c>
      <c r="T605" s="7" t="s">
        <v>1507</v>
      </c>
      <c r="U605" s="7" t="s">
        <v>1507</v>
      </c>
      <c r="V605" s="7" t="s">
        <v>1507</v>
      </c>
      <c r="W605" s="7" t="s">
        <v>1507</v>
      </c>
      <c r="X605" s="7" t="s">
        <v>14371</v>
      </c>
      <c r="Y605" s="7" t="s">
        <v>1507</v>
      </c>
      <c r="Z605" s="7" t="s">
        <v>1507</v>
      </c>
      <c r="AA605" s="7" t="s">
        <v>1507</v>
      </c>
      <c r="AB605" s="7" t="s">
        <v>1507</v>
      </c>
      <c r="AC605" s="7" t="s">
        <v>1507</v>
      </c>
      <c r="AD605" s="7" t="s">
        <v>1507</v>
      </c>
      <c r="AE605" s="7" t="s">
        <v>1507</v>
      </c>
      <c r="AF605" s="7" t="s">
        <v>1507</v>
      </c>
      <c r="AG605" s="7" t="s">
        <v>1507</v>
      </c>
      <c r="AH605" s="7">
        <v>0</v>
      </c>
      <c r="AI605" s="7">
        <v>0</v>
      </c>
      <c r="AJ605" s="7">
        <v>0</v>
      </c>
      <c r="AK605" s="7">
        <v>3</v>
      </c>
      <c r="AL605" s="7">
        <v>3</v>
      </c>
      <c r="AM605" s="7" t="s">
        <v>4330</v>
      </c>
      <c r="AN605" s="7" t="s">
        <v>1746</v>
      </c>
      <c r="AO605" s="7" t="s">
        <v>4331</v>
      </c>
      <c r="AP605" s="7" t="s">
        <v>14372</v>
      </c>
      <c r="AQ605" s="7" t="s">
        <v>14373</v>
      </c>
      <c r="AR605" s="7" t="s">
        <v>1507</v>
      </c>
      <c r="AS605" s="7" t="s">
        <v>14374</v>
      </c>
      <c r="AT605" s="7" t="s">
        <v>14375</v>
      </c>
      <c r="AU605" s="7" t="s">
        <v>2889</v>
      </c>
      <c r="AV605" s="7">
        <v>2023</v>
      </c>
      <c r="AW605" s="7">
        <v>118</v>
      </c>
      <c r="AX605" s="7">
        <v>10</v>
      </c>
      <c r="AY605" s="7" t="s">
        <v>1507</v>
      </c>
      <c r="AZ605" s="7" t="s">
        <v>11902</v>
      </c>
      <c r="BA605" s="7" t="s">
        <v>1507</v>
      </c>
      <c r="BB605" s="7" t="s">
        <v>14376</v>
      </c>
      <c r="BC605" s="7" t="s">
        <v>14377</v>
      </c>
      <c r="BD605" s="7" t="s">
        <v>14377</v>
      </c>
      <c r="BE605" s="7" t="s">
        <v>1507</v>
      </c>
      <c r="BF605" s="7" t="s">
        <v>1507</v>
      </c>
      <c r="BG605" s="7" t="s">
        <v>1507</v>
      </c>
      <c r="BH605" s="7" t="s">
        <v>1507</v>
      </c>
      <c r="BI605" s="7" t="s">
        <v>1507</v>
      </c>
      <c r="BJ605" s="7">
        <v>1</v>
      </c>
      <c r="BK605" s="7" t="s">
        <v>9749</v>
      </c>
      <c r="BL605" s="7" t="s">
        <v>11691</v>
      </c>
      <c r="BM605" s="7" t="s">
        <v>9749</v>
      </c>
      <c r="BN605" s="7" t="s">
        <v>14378</v>
      </c>
      <c r="BO605" s="7" t="s">
        <v>1507</v>
      </c>
      <c r="BP605" s="7" t="s">
        <v>1507</v>
      </c>
      <c r="BQ605" s="7" t="s">
        <v>1507</v>
      </c>
      <c r="BR605" s="7" t="s">
        <v>1507</v>
      </c>
      <c r="BS605" s="7" t="s">
        <v>13744</v>
      </c>
      <c r="BT605" s="7" t="s">
        <v>14379</v>
      </c>
      <c r="BU605" s="7" t="str">
        <f>HYPERLINK("https%3A%2F%2Fwww.webofscience.com%2Fwos%2Fwoscc%2Ffull-record%2FWOS:001091849303399","View Full Record in Web of Science")</f>
        <v>View Full Record in Web of Science</v>
      </c>
    </row>
    <row r="606" spans="1:73" x14ac:dyDescent="0.25">
      <c r="A606" s="7" t="s">
        <v>16063</v>
      </c>
      <c r="B606" s="7" t="s">
        <v>1506</v>
      </c>
      <c r="C606" s="7" t="s">
        <v>15887</v>
      </c>
      <c r="D606" s="7" t="s">
        <v>1507</v>
      </c>
      <c r="E606" s="7" t="s">
        <v>1507</v>
      </c>
      <c r="F606" s="7" t="s">
        <v>1507</v>
      </c>
      <c r="G606" s="7" t="s">
        <v>15888</v>
      </c>
      <c r="H606" s="7" t="s">
        <v>1507</v>
      </c>
      <c r="I606" s="7" t="s">
        <v>1507</v>
      </c>
      <c r="J606" s="7" t="s">
        <v>15889</v>
      </c>
      <c r="K606" s="7" t="s">
        <v>15876</v>
      </c>
      <c r="L606" s="7" t="s">
        <v>1507</v>
      </c>
      <c r="M606" s="7" t="s">
        <v>1507</v>
      </c>
      <c r="N606" s="7" t="s">
        <v>42</v>
      </c>
      <c r="O606" s="7" t="s">
        <v>1487</v>
      </c>
      <c r="P606" s="7" t="s">
        <v>15877</v>
      </c>
      <c r="Q606" s="7" t="s">
        <v>15878</v>
      </c>
      <c r="R606" s="7" t="s">
        <v>15267</v>
      </c>
      <c r="S606" s="7" t="s">
        <v>15879</v>
      </c>
      <c r="T606" s="7" t="s">
        <v>1507</v>
      </c>
      <c r="U606" s="7" t="s">
        <v>1507</v>
      </c>
      <c r="V606" s="7" t="s">
        <v>1507</v>
      </c>
      <c r="W606" s="7" t="s">
        <v>1507</v>
      </c>
      <c r="X606" s="7" t="s">
        <v>15890</v>
      </c>
      <c r="Y606" s="7" t="s">
        <v>1507</v>
      </c>
      <c r="Z606" s="7" t="s">
        <v>1507</v>
      </c>
      <c r="AA606" s="7" t="s">
        <v>1507</v>
      </c>
      <c r="AB606" s="7" t="s">
        <v>1507</v>
      </c>
      <c r="AC606" s="7" t="s">
        <v>1507</v>
      </c>
      <c r="AD606" s="7" t="s">
        <v>1507</v>
      </c>
      <c r="AE606" s="7" t="s">
        <v>1507</v>
      </c>
      <c r="AF606" s="7" t="s">
        <v>1507</v>
      </c>
      <c r="AG606" s="7" t="s">
        <v>1507</v>
      </c>
      <c r="AH606" s="7">
        <v>0</v>
      </c>
      <c r="AI606" s="7">
        <v>0</v>
      </c>
      <c r="AJ606" s="7">
        <v>0</v>
      </c>
      <c r="AK606" s="7">
        <v>0</v>
      </c>
      <c r="AL606" s="7">
        <v>0</v>
      </c>
      <c r="AM606" s="7" t="s">
        <v>1559</v>
      </c>
      <c r="AN606" s="7" t="s">
        <v>1560</v>
      </c>
      <c r="AO606" s="7" t="s">
        <v>1561</v>
      </c>
      <c r="AP606" s="7" t="s">
        <v>15881</v>
      </c>
      <c r="AQ606" s="7" t="s">
        <v>15882</v>
      </c>
      <c r="AR606" s="7" t="s">
        <v>1507</v>
      </c>
      <c r="AS606" s="7" t="s">
        <v>15883</v>
      </c>
      <c r="AT606" s="7" t="s">
        <v>15884</v>
      </c>
      <c r="AU606" s="7" t="s">
        <v>2889</v>
      </c>
      <c r="AV606" s="7">
        <v>2019</v>
      </c>
      <c r="AW606" s="7">
        <v>71</v>
      </c>
      <c r="AX606" s="7" t="s">
        <v>1507</v>
      </c>
      <c r="AY606" s="7" t="s">
        <v>1507</v>
      </c>
      <c r="AZ606" s="7">
        <v>10</v>
      </c>
      <c r="BA606" s="7" t="s">
        <v>1507</v>
      </c>
      <c r="BB606" s="7">
        <v>2266</v>
      </c>
      <c r="BC606" s="7" t="s">
        <v>1507</v>
      </c>
      <c r="BD606" s="7" t="s">
        <v>1507</v>
      </c>
      <c r="BE606" s="7" t="s">
        <v>1507</v>
      </c>
      <c r="BF606" s="7" t="s">
        <v>1507</v>
      </c>
      <c r="BG606" s="7" t="s">
        <v>1507</v>
      </c>
      <c r="BH606" s="7" t="s">
        <v>1507</v>
      </c>
      <c r="BI606" s="7" t="s">
        <v>1507</v>
      </c>
      <c r="BJ606" s="7">
        <v>2</v>
      </c>
      <c r="BK606" s="7" t="s">
        <v>4937</v>
      </c>
      <c r="BL606" s="7" t="s">
        <v>11691</v>
      </c>
      <c r="BM606" s="7" t="s">
        <v>4937</v>
      </c>
      <c r="BN606" s="7" t="s">
        <v>15885</v>
      </c>
      <c r="BO606" s="7" t="s">
        <v>1507</v>
      </c>
      <c r="BP606" s="7" t="s">
        <v>1507</v>
      </c>
      <c r="BQ606" s="7" t="s">
        <v>1507</v>
      </c>
      <c r="BR606" s="7" t="s">
        <v>1507</v>
      </c>
      <c r="BS606" s="7" t="s">
        <v>13744</v>
      </c>
      <c r="BT606" s="7" t="s">
        <v>15891</v>
      </c>
      <c r="BU606" s="7" t="str">
        <f>HYPERLINK("https%3A%2F%2Fwww.webofscience.com%2Fwos%2Fwoscc%2Ffull-record%2FWOS:000507466904030","View Full Record in Web of Science")</f>
        <v>View Full Record in Web of Science</v>
      </c>
    </row>
    <row r="607" spans="1:73" x14ac:dyDescent="0.25">
      <c r="A607" s="7" t="s">
        <v>16063</v>
      </c>
      <c r="B607" s="7" t="s">
        <v>1506</v>
      </c>
      <c r="C607" s="7" t="s">
        <v>14746</v>
      </c>
      <c r="D607" s="7" t="s">
        <v>1507</v>
      </c>
      <c r="E607" s="7" t="s">
        <v>1507</v>
      </c>
      <c r="F607" s="7" t="s">
        <v>1507</v>
      </c>
      <c r="G607" s="7" t="s">
        <v>14747</v>
      </c>
      <c r="H607" s="7" t="s">
        <v>1507</v>
      </c>
      <c r="I607" s="7" t="s">
        <v>1507</v>
      </c>
      <c r="J607" s="7" t="s">
        <v>14748</v>
      </c>
      <c r="K607" s="7" t="s">
        <v>14749</v>
      </c>
      <c r="L607" s="7" t="s">
        <v>1507</v>
      </c>
      <c r="M607" s="7" t="s">
        <v>1507</v>
      </c>
      <c r="N607" s="7" t="s">
        <v>42</v>
      </c>
      <c r="O607" s="7" t="s">
        <v>1487</v>
      </c>
      <c r="P607" s="7" t="s">
        <v>1507</v>
      </c>
      <c r="Q607" s="7" t="s">
        <v>1507</v>
      </c>
      <c r="R607" s="7" t="s">
        <v>1507</v>
      </c>
      <c r="S607" s="7" t="s">
        <v>1507</v>
      </c>
      <c r="T607" s="7" t="s">
        <v>1507</v>
      </c>
      <c r="U607" s="7" t="s">
        <v>1507</v>
      </c>
      <c r="V607" s="7" t="s">
        <v>1507</v>
      </c>
      <c r="W607" s="7" t="s">
        <v>1507</v>
      </c>
      <c r="X607" s="7" t="s">
        <v>14750</v>
      </c>
      <c r="Y607" s="7" t="s">
        <v>4861</v>
      </c>
      <c r="Z607" s="7" t="s">
        <v>1507</v>
      </c>
      <c r="AA607" s="7" t="s">
        <v>1507</v>
      </c>
      <c r="AB607" s="7" t="s">
        <v>1507</v>
      </c>
      <c r="AC607" s="7" t="s">
        <v>1507</v>
      </c>
      <c r="AD607" s="7" t="s">
        <v>4861</v>
      </c>
      <c r="AE607" s="7" t="s">
        <v>4861</v>
      </c>
      <c r="AF607" s="7" t="s">
        <v>14751</v>
      </c>
      <c r="AG607" s="7" t="s">
        <v>1507</v>
      </c>
      <c r="AH607" s="7">
        <v>0</v>
      </c>
      <c r="AI607" s="7">
        <v>0</v>
      </c>
      <c r="AJ607" s="7">
        <v>0</v>
      </c>
      <c r="AK607" s="7">
        <v>0</v>
      </c>
      <c r="AL607" s="7">
        <v>0</v>
      </c>
      <c r="AM607" s="7" t="s">
        <v>4267</v>
      </c>
      <c r="AN607" s="7" t="s">
        <v>4268</v>
      </c>
      <c r="AO607" s="7" t="s">
        <v>4269</v>
      </c>
      <c r="AP607" s="7" t="s">
        <v>14752</v>
      </c>
      <c r="AQ607" s="7" t="s">
        <v>14753</v>
      </c>
      <c r="AR607" s="7" t="s">
        <v>1507</v>
      </c>
      <c r="AS607" s="7" t="s">
        <v>14754</v>
      </c>
      <c r="AT607" s="7" t="s">
        <v>14755</v>
      </c>
      <c r="AU607" s="7" t="s">
        <v>5045</v>
      </c>
      <c r="AV607" s="7">
        <v>2023</v>
      </c>
      <c r="AW607" s="7">
        <v>45</v>
      </c>
      <c r="AX607" s="7" t="s">
        <v>1507</v>
      </c>
      <c r="AY607" s="7" t="s">
        <v>1507</v>
      </c>
      <c r="AZ607" s="7">
        <v>1</v>
      </c>
      <c r="BA607" s="7" t="s">
        <v>1507</v>
      </c>
      <c r="BB607" s="7" t="s">
        <v>1507</v>
      </c>
      <c r="BC607" s="7" t="s">
        <v>14756</v>
      </c>
      <c r="BD607" s="7" t="s">
        <v>14757</v>
      </c>
      <c r="BE607" s="7" t="s">
        <v>1507</v>
      </c>
      <c r="BF607" s="7" t="s">
        <v>1507</v>
      </c>
      <c r="BG607" s="7" t="s">
        <v>1507</v>
      </c>
      <c r="BH607" s="7" t="s">
        <v>1507</v>
      </c>
      <c r="BI607" s="7" t="s">
        <v>1507</v>
      </c>
      <c r="BJ607" s="7">
        <v>2</v>
      </c>
      <c r="BK607" s="7" t="s">
        <v>14758</v>
      </c>
      <c r="BL607" s="7" t="s">
        <v>1598</v>
      </c>
      <c r="BM607" s="7" t="s">
        <v>14759</v>
      </c>
      <c r="BN607" s="7" t="s">
        <v>14760</v>
      </c>
      <c r="BO607" s="7" t="s">
        <v>1507</v>
      </c>
      <c r="BP607" s="7" t="s">
        <v>1507</v>
      </c>
      <c r="BQ607" s="7" t="s">
        <v>1507</v>
      </c>
      <c r="BR607" s="7" t="s">
        <v>1507</v>
      </c>
      <c r="BS607" s="7" t="s">
        <v>13744</v>
      </c>
      <c r="BT607" s="7" t="s">
        <v>14761</v>
      </c>
      <c r="BU607" s="7" t="str">
        <f>HYPERLINK("https%3A%2F%2Fwww.webofscience.com%2Fwos%2Fwoscc%2Ffull-record%2FWOS:000993921600220","View Full Record in Web of Science")</f>
        <v>View Full Record in Web of Science</v>
      </c>
    </row>
    <row r="608" spans="1:73" x14ac:dyDescent="0.25">
      <c r="A608" s="7" t="s">
        <v>16063</v>
      </c>
      <c r="B608" s="7" t="s">
        <v>1506</v>
      </c>
      <c r="C608" s="7" t="s">
        <v>14380</v>
      </c>
      <c r="D608" s="7" t="s">
        <v>1507</v>
      </c>
      <c r="E608" s="7" t="s">
        <v>1507</v>
      </c>
      <c r="F608" s="7" t="s">
        <v>1507</v>
      </c>
      <c r="G608" s="7" t="s">
        <v>14381</v>
      </c>
      <c r="H608" s="7" t="s">
        <v>1507</v>
      </c>
      <c r="I608" s="7" t="s">
        <v>1507</v>
      </c>
      <c r="J608" s="7" t="s">
        <v>14382</v>
      </c>
      <c r="K608" s="7" t="s">
        <v>14368</v>
      </c>
      <c r="L608" s="7" t="s">
        <v>1507</v>
      </c>
      <c r="M608" s="7" t="s">
        <v>1507</v>
      </c>
      <c r="N608" s="7" t="s">
        <v>42</v>
      </c>
      <c r="O608" s="7" t="s">
        <v>1487</v>
      </c>
      <c r="P608" s="7" t="s">
        <v>14369</v>
      </c>
      <c r="Q608" s="7" t="s">
        <v>14370</v>
      </c>
      <c r="R608" s="7" t="s">
        <v>5909</v>
      </c>
      <c r="S608" s="7" t="s">
        <v>1507</v>
      </c>
      <c r="T608" s="7" t="s">
        <v>1507</v>
      </c>
      <c r="U608" s="7" t="s">
        <v>1507</v>
      </c>
      <c r="V608" s="7" t="s">
        <v>1507</v>
      </c>
      <c r="W608" s="7" t="s">
        <v>1507</v>
      </c>
      <c r="X608" s="7" t="s">
        <v>14383</v>
      </c>
      <c r="Y608" s="7" t="s">
        <v>14384</v>
      </c>
      <c r="Z608" s="7" t="s">
        <v>1507</v>
      </c>
      <c r="AA608" s="7" t="s">
        <v>1507</v>
      </c>
      <c r="AB608" s="7" t="s">
        <v>1507</v>
      </c>
      <c r="AC608" s="7" t="s">
        <v>1507</v>
      </c>
      <c r="AD608" s="7" t="s">
        <v>1507</v>
      </c>
      <c r="AE608" s="7" t="s">
        <v>1507</v>
      </c>
      <c r="AF608" s="7" t="s">
        <v>1507</v>
      </c>
      <c r="AG608" s="7" t="s">
        <v>1507</v>
      </c>
      <c r="AH608" s="7">
        <v>0</v>
      </c>
      <c r="AI608" s="7">
        <v>0</v>
      </c>
      <c r="AJ608" s="7">
        <v>0</v>
      </c>
      <c r="AK608" s="7">
        <v>5</v>
      </c>
      <c r="AL608" s="7">
        <v>5</v>
      </c>
      <c r="AM608" s="7" t="s">
        <v>4330</v>
      </c>
      <c r="AN608" s="7" t="s">
        <v>1746</v>
      </c>
      <c r="AO608" s="7" t="s">
        <v>4331</v>
      </c>
      <c r="AP608" s="7" t="s">
        <v>14372</v>
      </c>
      <c r="AQ608" s="7" t="s">
        <v>14373</v>
      </c>
      <c r="AR608" s="7" t="s">
        <v>1507</v>
      </c>
      <c r="AS608" s="7" t="s">
        <v>14374</v>
      </c>
      <c r="AT608" s="7" t="s">
        <v>14375</v>
      </c>
      <c r="AU608" s="7" t="s">
        <v>2889</v>
      </c>
      <c r="AV608" s="7">
        <v>2023</v>
      </c>
      <c r="AW608" s="7">
        <v>118</v>
      </c>
      <c r="AX608" s="7">
        <v>10</v>
      </c>
      <c r="AY608" s="7" t="s">
        <v>1507</v>
      </c>
      <c r="AZ608" s="7" t="s">
        <v>11902</v>
      </c>
      <c r="BA608" s="7" t="s">
        <v>1507</v>
      </c>
      <c r="BB608" s="7" t="s">
        <v>14385</v>
      </c>
      <c r="BC608" s="7" t="s">
        <v>14386</v>
      </c>
      <c r="BD608" s="7" t="s">
        <v>14386</v>
      </c>
      <c r="BE608" s="7" t="s">
        <v>1507</v>
      </c>
      <c r="BF608" s="7" t="s">
        <v>1507</v>
      </c>
      <c r="BG608" s="7" t="s">
        <v>1507</v>
      </c>
      <c r="BH608" s="7" t="s">
        <v>1507</v>
      </c>
      <c r="BI608" s="7" t="s">
        <v>1507</v>
      </c>
      <c r="BJ608" s="7">
        <v>1</v>
      </c>
      <c r="BK608" s="7" t="s">
        <v>9749</v>
      </c>
      <c r="BL608" s="7" t="s">
        <v>11691</v>
      </c>
      <c r="BM608" s="7" t="s">
        <v>9749</v>
      </c>
      <c r="BN608" s="7" t="s">
        <v>14378</v>
      </c>
      <c r="BO608" s="7" t="s">
        <v>1507</v>
      </c>
      <c r="BP608" s="7" t="s">
        <v>1507</v>
      </c>
      <c r="BQ608" s="7" t="s">
        <v>1507</v>
      </c>
      <c r="BR608" s="7" t="s">
        <v>1507</v>
      </c>
      <c r="BS608" s="7" t="s">
        <v>13744</v>
      </c>
      <c r="BT608" s="7" t="s">
        <v>14387</v>
      </c>
      <c r="BU608" s="7" t="str">
        <f>HYPERLINK("https%3A%2F%2Fwww.webofscience.com%2Fwos%2Fwoscc%2Ffull-record%2FWOS:001091849300301","View Full Record in Web of Science")</f>
        <v>View Full Record in Web of Science</v>
      </c>
    </row>
    <row r="609" spans="1:73" x14ac:dyDescent="0.25">
      <c r="A609" s="7" t="s">
        <v>16063</v>
      </c>
      <c r="B609" s="7" t="s">
        <v>1506</v>
      </c>
      <c r="C609" s="7" t="s">
        <v>15873</v>
      </c>
      <c r="D609" s="7" t="s">
        <v>1507</v>
      </c>
      <c r="E609" s="7" t="s">
        <v>1507</v>
      </c>
      <c r="F609" s="7" t="s">
        <v>1507</v>
      </c>
      <c r="G609" s="7" t="s">
        <v>15874</v>
      </c>
      <c r="H609" s="7" t="s">
        <v>1507</v>
      </c>
      <c r="I609" s="7" t="s">
        <v>1507</v>
      </c>
      <c r="J609" s="7" t="s">
        <v>15875</v>
      </c>
      <c r="K609" s="7" t="s">
        <v>15876</v>
      </c>
      <c r="L609" s="7" t="s">
        <v>1507</v>
      </c>
      <c r="M609" s="7" t="s">
        <v>1507</v>
      </c>
      <c r="N609" s="7" t="s">
        <v>42</v>
      </c>
      <c r="O609" s="7" t="s">
        <v>1487</v>
      </c>
      <c r="P609" s="7" t="s">
        <v>15877</v>
      </c>
      <c r="Q609" s="7" t="s">
        <v>15878</v>
      </c>
      <c r="R609" s="7" t="s">
        <v>15267</v>
      </c>
      <c r="S609" s="7" t="s">
        <v>15879</v>
      </c>
      <c r="T609" s="7" t="s">
        <v>1507</v>
      </c>
      <c r="U609" s="7" t="s">
        <v>1507</v>
      </c>
      <c r="V609" s="7" t="s">
        <v>1507</v>
      </c>
      <c r="W609" s="7" t="s">
        <v>1507</v>
      </c>
      <c r="X609" s="7" t="s">
        <v>15880</v>
      </c>
      <c r="Y609" s="7" t="s">
        <v>1507</v>
      </c>
      <c r="Z609" s="7" t="s">
        <v>1507</v>
      </c>
      <c r="AA609" s="7" t="s">
        <v>1507</v>
      </c>
      <c r="AB609" s="7" t="s">
        <v>1507</v>
      </c>
      <c r="AC609" s="7" t="s">
        <v>1507</v>
      </c>
      <c r="AD609" s="7" t="s">
        <v>1507</v>
      </c>
      <c r="AE609" s="7" t="s">
        <v>1507</v>
      </c>
      <c r="AF609" s="7" t="s">
        <v>1507</v>
      </c>
      <c r="AG609" s="7" t="s">
        <v>1507</v>
      </c>
      <c r="AH609" s="7">
        <v>0</v>
      </c>
      <c r="AI609" s="7">
        <v>0</v>
      </c>
      <c r="AJ609" s="7">
        <v>0</v>
      </c>
      <c r="AK609" s="7">
        <v>0</v>
      </c>
      <c r="AL609" s="7">
        <v>0</v>
      </c>
      <c r="AM609" s="7" t="s">
        <v>1559</v>
      </c>
      <c r="AN609" s="7" t="s">
        <v>1560</v>
      </c>
      <c r="AO609" s="7" t="s">
        <v>1561</v>
      </c>
      <c r="AP609" s="7" t="s">
        <v>15881</v>
      </c>
      <c r="AQ609" s="7" t="s">
        <v>15882</v>
      </c>
      <c r="AR609" s="7" t="s">
        <v>1507</v>
      </c>
      <c r="AS609" s="7" t="s">
        <v>15883</v>
      </c>
      <c r="AT609" s="7" t="s">
        <v>15884</v>
      </c>
      <c r="AU609" s="7" t="s">
        <v>2889</v>
      </c>
      <c r="AV609" s="7">
        <v>2019</v>
      </c>
      <c r="AW609" s="7">
        <v>71</v>
      </c>
      <c r="AX609" s="7" t="s">
        <v>1507</v>
      </c>
      <c r="AY609" s="7" t="s">
        <v>1507</v>
      </c>
      <c r="AZ609" s="7">
        <v>10</v>
      </c>
      <c r="BA609" s="7" t="s">
        <v>1507</v>
      </c>
      <c r="BB609" s="7">
        <v>1372</v>
      </c>
      <c r="BC609" s="7" t="s">
        <v>1507</v>
      </c>
      <c r="BD609" s="7" t="s">
        <v>1507</v>
      </c>
      <c r="BE609" s="7" t="s">
        <v>1507</v>
      </c>
      <c r="BF609" s="7" t="s">
        <v>1507</v>
      </c>
      <c r="BG609" s="7" t="s">
        <v>1507</v>
      </c>
      <c r="BH609" s="7" t="s">
        <v>1507</v>
      </c>
      <c r="BI609" s="7" t="s">
        <v>1507</v>
      </c>
      <c r="BJ609" s="7">
        <v>2</v>
      </c>
      <c r="BK609" s="7" t="s">
        <v>4937</v>
      </c>
      <c r="BL609" s="7" t="s">
        <v>11691</v>
      </c>
      <c r="BM609" s="7" t="s">
        <v>4937</v>
      </c>
      <c r="BN609" s="7" t="s">
        <v>15885</v>
      </c>
      <c r="BO609" s="7" t="s">
        <v>1507</v>
      </c>
      <c r="BP609" s="7" t="s">
        <v>1507</v>
      </c>
      <c r="BQ609" s="7" t="s">
        <v>1507</v>
      </c>
      <c r="BR609" s="7" t="s">
        <v>1507</v>
      </c>
      <c r="BS609" s="7" t="s">
        <v>13744</v>
      </c>
      <c r="BT609" s="7" t="s">
        <v>15886</v>
      </c>
      <c r="BU609" s="7" t="str">
        <f>HYPERLINK("https%3A%2F%2Fwww.webofscience.com%2Fwos%2Fwoscc%2Ffull-record%2FWOS:000507466902230","View Full Record in Web of Science")</f>
        <v>View Full Record in Web of Science</v>
      </c>
    </row>
    <row r="610" spans="1:73" x14ac:dyDescent="0.25">
      <c r="A610" s="7" t="s">
        <v>16063</v>
      </c>
      <c r="B610" s="7" t="s">
        <v>1506</v>
      </c>
      <c r="C610" s="7" t="s">
        <v>14433</v>
      </c>
      <c r="D610" s="7" t="s">
        <v>1507</v>
      </c>
      <c r="E610" s="7" t="s">
        <v>1507</v>
      </c>
      <c r="F610" s="7" t="s">
        <v>1507</v>
      </c>
      <c r="G610" s="7" t="s">
        <v>14434</v>
      </c>
      <c r="H610" s="7" t="s">
        <v>1507</v>
      </c>
      <c r="I610" s="7" t="s">
        <v>1507</v>
      </c>
      <c r="J610" s="7" t="s">
        <v>14435</v>
      </c>
      <c r="K610" s="7" t="s">
        <v>14368</v>
      </c>
      <c r="L610" s="7" t="s">
        <v>1507</v>
      </c>
      <c r="M610" s="7" t="s">
        <v>1507</v>
      </c>
      <c r="N610" s="7" t="s">
        <v>42</v>
      </c>
      <c r="O610" s="7" t="s">
        <v>1487</v>
      </c>
      <c r="P610" s="7" t="s">
        <v>14369</v>
      </c>
      <c r="Q610" s="7" t="s">
        <v>14370</v>
      </c>
      <c r="R610" s="7" t="s">
        <v>5909</v>
      </c>
      <c r="S610" s="7" t="s">
        <v>1507</v>
      </c>
      <c r="T610" s="7" t="s">
        <v>1507</v>
      </c>
      <c r="U610" s="7" t="s">
        <v>1507</v>
      </c>
      <c r="V610" s="7" t="s">
        <v>1507</v>
      </c>
      <c r="W610" s="7" t="s">
        <v>1507</v>
      </c>
      <c r="X610" s="7" t="s">
        <v>14436</v>
      </c>
      <c r="Y610" s="7" t="s">
        <v>14437</v>
      </c>
      <c r="Z610" s="7" t="s">
        <v>1507</v>
      </c>
      <c r="AA610" s="7" t="s">
        <v>1507</v>
      </c>
      <c r="AB610" s="7" t="s">
        <v>14438</v>
      </c>
      <c r="AC610" s="7" t="s">
        <v>14439</v>
      </c>
      <c r="AD610" s="7" t="s">
        <v>1507</v>
      </c>
      <c r="AE610" s="7" t="s">
        <v>1507</v>
      </c>
      <c r="AF610" s="7" t="s">
        <v>1507</v>
      </c>
      <c r="AG610" s="7" t="s">
        <v>1507</v>
      </c>
      <c r="AH610" s="7">
        <v>0</v>
      </c>
      <c r="AI610" s="7">
        <v>0</v>
      </c>
      <c r="AJ610" s="7">
        <v>0</v>
      </c>
      <c r="AK610" s="7">
        <v>1</v>
      </c>
      <c r="AL610" s="7">
        <v>1</v>
      </c>
      <c r="AM610" s="7" t="s">
        <v>4330</v>
      </c>
      <c r="AN610" s="7" t="s">
        <v>1746</v>
      </c>
      <c r="AO610" s="7" t="s">
        <v>4331</v>
      </c>
      <c r="AP610" s="7" t="s">
        <v>14372</v>
      </c>
      <c r="AQ610" s="7" t="s">
        <v>14373</v>
      </c>
      <c r="AR610" s="7" t="s">
        <v>1507</v>
      </c>
      <c r="AS610" s="7" t="s">
        <v>14374</v>
      </c>
      <c r="AT610" s="7" t="s">
        <v>14375</v>
      </c>
      <c r="AU610" s="7" t="s">
        <v>2889</v>
      </c>
      <c r="AV610" s="7">
        <v>2023</v>
      </c>
      <c r="AW610" s="7">
        <v>118</v>
      </c>
      <c r="AX610" s="7">
        <v>10</v>
      </c>
      <c r="AY610" s="7" t="s">
        <v>1507</v>
      </c>
      <c r="AZ610" s="7" t="s">
        <v>11902</v>
      </c>
      <c r="BA610" s="7" t="s">
        <v>1507</v>
      </c>
      <c r="BB610" s="7" t="s">
        <v>14440</v>
      </c>
      <c r="BC610" s="7" t="s">
        <v>14441</v>
      </c>
      <c r="BD610" s="7" t="s">
        <v>14441</v>
      </c>
      <c r="BE610" s="7" t="s">
        <v>1507</v>
      </c>
      <c r="BF610" s="7" t="s">
        <v>1507</v>
      </c>
      <c r="BG610" s="7" t="s">
        <v>1507</v>
      </c>
      <c r="BH610" s="7" t="s">
        <v>1507</v>
      </c>
      <c r="BI610" s="7" t="s">
        <v>1507</v>
      </c>
      <c r="BJ610" s="7">
        <v>1</v>
      </c>
      <c r="BK610" s="7" t="s">
        <v>9749</v>
      </c>
      <c r="BL610" s="7" t="s">
        <v>11691</v>
      </c>
      <c r="BM610" s="7" t="s">
        <v>9749</v>
      </c>
      <c r="BN610" s="7" t="s">
        <v>14378</v>
      </c>
      <c r="BO610" s="7" t="s">
        <v>1507</v>
      </c>
      <c r="BP610" s="7" t="s">
        <v>1507</v>
      </c>
      <c r="BQ610" s="7" t="s">
        <v>1507</v>
      </c>
      <c r="BR610" s="7" t="s">
        <v>1507</v>
      </c>
      <c r="BS610" s="7" t="s">
        <v>13744</v>
      </c>
      <c r="BT610" s="7" t="s">
        <v>14442</v>
      </c>
      <c r="BU610" s="7" t="str">
        <f>HYPERLINK("https%3A%2F%2Fwww.webofscience.com%2Fwos%2Fwoscc%2Ffull-record%2FWOS:001091849302129","View Full Record in Web of Science")</f>
        <v>View Full Record in Web of Science</v>
      </c>
    </row>
    <row r="611" spans="1:73" s="7" customFormat="1" x14ac:dyDescent="0.25">
      <c r="A611" s="7" t="s">
        <v>16063</v>
      </c>
      <c r="B611" s="7" t="s">
        <v>1506</v>
      </c>
      <c r="C611" s="7" t="s">
        <v>15954</v>
      </c>
      <c r="D611" s="7" t="s">
        <v>1507</v>
      </c>
      <c r="E611" s="7" t="s">
        <v>1507</v>
      </c>
      <c r="F611" s="7" t="s">
        <v>1507</v>
      </c>
      <c r="G611" s="7" t="s">
        <v>15955</v>
      </c>
      <c r="H611" s="7" t="s">
        <v>1507</v>
      </c>
      <c r="I611" s="7" t="s">
        <v>1507</v>
      </c>
      <c r="J611" s="7" t="s">
        <v>15956</v>
      </c>
      <c r="K611" s="7" t="s">
        <v>15957</v>
      </c>
      <c r="L611" s="7" t="s">
        <v>1507</v>
      </c>
      <c r="M611" s="7" t="s">
        <v>1507</v>
      </c>
      <c r="N611" s="7" t="s">
        <v>42</v>
      </c>
      <c r="O611" s="7" t="s">
        <v>12366</v>
      </c>
      <c r="P611" s="7" t="s">
        <v>1507</v>
      </c>
      <c r="Q611" s="7" t="s">
        <v>1507</v>
      </c>
      <c r="R611" s="7" t="s">
        <v>1507</v>
      </c>
      <c r="S611" s="7" t="s">
        <v>1507</v>
      </c>
      <c r="T611" s="7" t="s">
        <v>1507</v>
      </c>
      <c r="U611" s="7" t="s">
        <v>15958</v>
      </c>
      <c r="V611" s="7" t="s">
        <v>15959</v>
      </c>
      <c r="W611" s="7" t="s">
        <v>15960</v>
      </c>
      <c r="X611" s="7" t="s">
        <v>15961</v>
      </c>
      <c r="Y611" s="7" t="s">
        <v>15962</v>
      </c>
      <c r="Z611" s="7" t="s">
        <v>15963</v>
      </c>
      <c r="AA611" s="7" t="s">
        <v>15964</v>
      </c>
      <c r="AB611" s="7" t="s">
        <v>15965</v>
      </c>
      <c r="AC611" s="7" t="s">
        <v>15966</v>
      </c>
      <c r="AD611" s="7" t="s">
        <v>15967</v>
      </c>
      <c r="AE611" s="7" t="s">
        <v>15968</v>
      </c>
      <c r="AF611" s="7" t="s">
        <v>15969</v>
      </c>
      <c r="AG611" s="7" t="s">
        <v>1507</v>
      </c>
      <c r="AH611" s="7">
        <v>136</v>
      </c>
      <c r="AI611" s="7">
        <v>13</v>
      </c>
      <c r="AJ611" s="7">
        <v>14</v>
      </c>
      <c r="AK611" s="7">
        <v>3</v>
      </c>
      <c r="AL611" s="7">
        <v>75</v>
      </c>
      <c r="AM611" s="7" t="s">
        <v>1532</v>
      </c>
      <c r="AN611" s="7" t="s">
        <v>1533</v>
      </c>
      <c r="AO611" s="7" t="s">
        <v>1534</v>
      </c>
      <c r="AP611" s="7" t="s">
        <v>15970</v>
      </c>
      <c r="AQ611" s="7" t="s">
        <v>15971</v>
      </c>
      <c r="AR611" s="7" t="s">
        <v>1507</v>
      </c>
      <c r="AS611" s="7" t="s">
        <v>15972</v>
      </c>
      <c r="AT611" s="7" t="s">
        <v>15973</v>
      </c>
      <c r="AU611" s="7" t="s">
        <v>3992</v>
      </c>
      <c r="AV611" s="7">
        <v>2018</v>
      </c>
      <c r="AW611" s="7">
        <v>91</v>
      </c>
      <c r="AX611" s="7">
        <v>4</v>
      </c>
      <c r="AY611" s="7" t="s">
        <v>1507</v>
      </c>
      <c r="AZ611" s="7" t="s">
        <v>1507</v>
      </c>
      <c r="BA611" s="7" t="s">
        <v>1507</v>
      </c>
      <c r="BB611" s="7" t="s">
        <v>1507</v>
      </c>
      <c r="BC611" s="7">
        <v>1165</v>
      </c>
      <c r="BD611" s="7">
        <v>1179</v>
      </c>
      <c r="BE611" s="7" t="s">
        <v>1507</v>
      </c>
      <c r="BF611" s="7" t="s">
        <v>15974</v>
      </c>
      <c r="BG611" s="7" t="str">
        <f>HYPERLINK("http://dx.doi.org/10.1007/s10340-018-0974-0","http://dx.doi.org/10.1007/s10340-018-0974-0")</f>
        <v>http://dx.doi.org/10.1007/s10340-018-0974-0</v>
      </c>
      <c r="BH611" s="7" t="s">
        <v>1507</v>
      </c>
      <c r="BI611" s="7" t="s">
        <v>1507</v>
      </c>
      <c r="BJ611" s="7">
        <v>15</v>
      </c>
      <c r="BK611" s="7" t="s">
        <v>12099</v>
      </c>
      <c r="BL611" s="7" t="s">
        <v>1573</v>
      </c>
      <c r="BM611" s="7" t="s">
        <v>12099</v>
      </c>
      <c r="BN611" s="7" t="s">
        <v>15975</v>
      </c>
      <c r="BO611" s="7" t="s">
        <v>1507</v>
      </c>
      <c r="BP611" s="7" t="s">
        <v>5957</v>
      </c>
      <c r="BQ611" s="7" t="s">
        <v>1507</v>
      </c>
      <c r="BR611" s="7" t="s">
        <v>1507</v>
      </c>
      <c r="BS611" s="7" t="s">
        <v>13744</v>
      </c>
      <c r="BT611" s="7" t="s">
        <v>15976</v>
      </c>
      <c r="BU611" s="7" t="str">
        <f>HYPERLINK("https%3A%2F%2Fwww.webofscience.com%2Fwos%2Fwoscc%2Ffull-record%2FWOS:000440114600001","View Full Record in Web of Science")</f>
        <v>View Full Record in Web of Science</v>
      </c>
    </row>
    <row r="612" spans="1:73" s="7" customFormat="1" x14ac:dyDescent="0.25">
      <c r="A612" s="7" t="s">
        <v>16063</v>
      </c>
      <c r="B612" s="7" t="s">
        <v>1506</v>
      </c>
      <c r="C612" s="7" t="s">
        <v>14847</v>
      </c>
      <c r="D612" s="7" t="s">
        <v>1507</v>
      </c>
      <c r="E612" s="7" t="s">
        <v>1507</v>
      </c>
      <c r="F612" s="7" t="s">
        <v>1507</v>
      </c>
      <c r="G612" s="7" t="s">
        <v>14848</v>
      </c>
      <c r="H612" s="7" t="s">
        <v>1507</v>
      </c>
      <c r="I612" s="7" t="s">
        <v>1507</v>
      </c>
      <c r="J612" s="7" t="s">
        <v>13052</v>
      </c>
      <c r="K612" s="7" t="s">
        <v>14849</v>
      </c>
      <c r="L612" s="7" t="s">
        <v>1507</v>
      </c>
      <c r="M612" s="7" t="s">
        <v>1507</v>
      </c>
      <c r="N612" s="7" t="s">
        <v>42</v>
      </c>
      <c r="O612" s="7" t="s">
        <v>12366</v>
      </c>
      <c r="P612" s="7" t="s">
        <v>1507</v>
      </c>
      <c r="Q612" s="7" t="s">
        <v>1507</v>
      </c>
      <c r="R612" s="7" t="s">
        <v>1507</v>
      </c>
      <c r="S612" s="7" t="s">
        <v>1507</v>
      </c>
      <c r="T612" s="7" t="s">
        <v>1507</v>
      </c>
      <c r="U612" s="7" t="s">
        <v>14850</v>
      </c>
      <c r="V612" s="7" t="s">
        <v>4023</v>
      </c>
      <c r="W612" s="7" t="s">
        <v>14851</v>
      </c>
      <c r="X612" s="7" t="s">
        <v>14852</v>
      </c>
      <c r="Y612" s="7" t="s">
        <v>14853</v>
      </c>
      <c r="Z612" s="7" t="s">
        <v>14854</v>
      </c>
      <c r="AA612" s="7" t="s">
        <v>14855</v>
      </c>
      <c r="AB612" s="7" t="s">
        <v>14856</v>
      </c>
      <c r="AC612" s="7" t="s">
        <v>14857</v>
      </c>
      <c r="AD612" s="7" t="s">
        <v>14858</v>
      </c>
      <c r="AE612" s="7" t="s">
        <v>14859</v>
      </c>
      <c r="AF612" s="7" t="s">
        <v>13043</v>
      </c>
      <c r="AG612" s="7" t="s">
        <v>1507</v>
      </c>
      <c r="AH612" s="7">
        <v>28</v>
      </c>
      <c r="AI612" s="7">
        <v>0</v>
      </c>
      <c r="AJ612" s="7">
        <v>0</v>
      </c>
      <c r="AK612" s="7">
        <v>120</v>
      </c>
      <c r="AL612" s="7">
        <v>120</v>
      </c>
      <c r="AM612" s="7" t="s">
        <v>14860</v>
      </c>
      <c r="AN612" s="7" t="s">
        <v>14861</v>
      </c>
      <c r="AO612" s="7" t="s">
        <v>14862</v>
      </c>
      <c r="AP612" s="7" t="s">
        <v>14863</v>
      </c>
      <c r="AQ612" s="7" t="s">
        <v>1507</v>
      </c>
      <c r="AR612" s="7" t="s">
        <v>1507</v>
      </c>
      <c r="AS612" s="7" t="s">
        <v>14864</v>
      </c>
      <c r="AT612" s="7" t="s">
        <v>14865</v>
      </c>
      <c r="AU612" s="7" t="s">
        <v>1507</v>
      </c>
      <c r="AV612" s="7">
        <v>2023</v>
      </c>
      <c r="AW612" s="7">
        <v>15</v>
      </c>
      <c r="AX612" s="7">
        <v>4</v>
      </c>
      <c r="AY612" s="7" t="s">
        <v>1507</v>
      </c>
      <c r="AZ612" s="7" t="s">
        <v>1507</v>
      </c>
      <c r="BA612" s="7" t="s">
        <v>1507</v>
      </c>
      <c r="BB612" s="7" t="s">
        <v>1507</v>
      </c>
      <c r="BC612" s="7">
        <v>261</v>
      </c>
      <c r="BD612" s="7">
        <v>270</v>
      </c>
      <c r="BE612" s="7" t="s">
        <v>1507</v>
      </c>
      <c r="BF612" s="7" t="s">
        <v>13050</v>
      </c>
      <c r="BG612" s="7" t="str">
        <f>HYPERLINK("http://dx.doi.org/10.55982/openpraxis.15.4.609","http://dx.doi.org/10.55982/openpraxis.15.4.609")</f>
        <v>http://dx.doi.org/10.55982/openpraxis.15.4.609</v>
      </c>
      <c r="BH612" s="7" t="s">
        <v>1507</v>
      </c>
      <c r="BI612" s="7" t="s">
        <v>1507</v>
      </c>
      <c r="BJ612" s="7">
        <v>10</v>
      </c>
      <c r="BK612" s="7" t="s">
        <v>1558</v>
      </c>
      <c r="BL612" s="7" t="s">
        <v>1529</v>
      </c>
      <c r="BM612" s="7" t="s">
        <v>1558</v>
      </c>
      <c r="BN612" s="7" t="s">
        <v>14866</v>
      </c>
      <c r="BO612" s="7" t="s">
        <v>1507</v>
      </c>
      <c r="BP612" s="7" t="s">
        <v>1531</v>
      </c>
      <c r="BQ612" s="7" t="s">
        <v>1507</v>
      </c>
      <c r="BR612" s="7" t="s">
        <v>1507</v>
      </c>
      <c r="BS612" s="7" t="s">
        <v>13744</v>
      </c>
      <c r="BT612" s="7" t="s">
        <v>14867</v>
      </c>
      <c r="BU612" s="7" t="str">
        <f>HYPERLINK("https%3A%2F%2Fwww.webofscience.com%2Fwos%2Fwoscc%2Ffull-record%2FWOS:001112866700002","View Full Record in Web of Science")</f>
        <v>View Full Record in Web of Science</v>
      </c>
    </row>
    <row r="613" spans="1:73" s="7" customFormat="1" x14ac:dyDescent="0.25">
      <c r="A613" s="7" t="s">
        <v>16063</v>
      </c>
      <c r="B613" s="7" t="s">
        <v>1506</v>
      </c>
      <c r="C613" s="7" t="s">
        <v>15979</v>
      </c>
      <c r="D613" s="7" t="s">
        <v>1507</v>
      </c>
      <c r="E613" s="7" t="s">
        <v>1507</v>
      </c>
      <c r="F613" s="7" t="s">
        <v>1507</v>
      </c>
      <c r="G613" s="7" t="s">
        <v>15980</v>
      </c>
      <c r="H613" s="7" t="s">
        <v>1507</v>
      </c>
      <c r="I613" s="7" t="s">
        <v>1507</v>
      </c>
      <c r="J613" s="7" t="s">
        <v>15981</v>
      </c>
      <c r="K613" s="7" t="s">
        <v>15982</v>
      </c>
      <c r="L613" s="7" t="s">
        <v>1507</v>
      </c>
      <c r="M613" s="7" t="s">
        <v>1507</v>
      </c>
      <c r="N613" s="7" t="s">
        <v>42</v>
      </c>
      <c r="O613" s="7" t="s">
        <v>12366</v>
      </c>
      <c r="P613" s="7" t="s">
        <v>1507</v>
      </c>
      <c r="Q613" s="7" t="s">
        <v>1507</v>
      </c>
      <c r="R613" s="7" t="s">
        <v>1507</v>
      </c>
      <c r="S613" s="7" t="s">
        <v>1507</v>
      </c>
      <c r="T613" s="7" t="s">
        <v>1507</v>
      </c>
      <c r="U613" s="7" t="s">
        <v>15983</v>
      </c>
      <c r="V613" s="7" t="s">
        <v>15984</v>
      </c>
      <c r="W613" s="7" t="s">
        <v>15985</v>
      </c>
      <c r="X613" s="7" t="s">
        <v>15986</v>
      </c>
      <c r="Y613" s="7" t="s">
        <v>15987</v>
      </c>
      <c r="Z613" s="7" t="s">
        <v>15988</v>
      </c>
      <c r="AA613" s="7" t="s">
        <v>15989</v>
      </c>
      <c r="AB613" s="7" t="s">
        <v>15990</v>
      </c>
      <c r="AC613" s="7" t="s">
        <v>15991</v>
      </c>
      <c r="AD613" s="7" t="s">
        <v>15992</v>
      </c>
      <c r="AE613" s="7" t="s">
        <v>15993</v>
      </c>
      <c r="AF613" s="7" t="s">
        <v>15994</v>
      </c>
      <c r="AG613" s="7" t="s">
        <v>1507</v>
      </c>
      <c r="AH613" s="7">
        <v>93</v>
      </c>
      <c r="AI613" s="7">
        <v>95</v>
      </c>
      <c r="AJ613" s="7">
        <v>109</v>
      </c>
      <c r="AK613" s="7">
        <v>8</v>
      </c>
      <c r="AL613" s="7">
        <v>46</v>
      </c>
      <c r="AM613" s="7" t="s">
        <v>1564</v>
      </c>
      <c r="AN613" s="7" t="s">
        <v>1565</v>
      </c>
      <c r="AO613" s="7" t="s">
        <v>1566</v>
      </c>
      <c r="AP613" s="7" t="s">
        <v>15995</v>
      </c>
      <c r="AQ613" s="7" t="s">
        <v>1507</v>
      </c>
      <c r="AR613" s="7" t="s">
        <v>1507</v>
      </c>
      <c r="AS613" s="7" t="s">
        <v>15996</v>
      </c>
      <c r="AT613" s="7" t="s">
        <v>15997</v>
      </c>
      <c r="AU613" s="7" t="s">
        <v>15998</v>
      </c>
      <c r="AV613" s="7">
        <v>2018</v>
      </c>
      <c r="AW613" s="7">
        <v>9</v>
      </c>
      <c r="AX613" s="7" t="s">
        <v>1507</v>
      </c>
      <c r="AY613" s="7" t="s">
        <v>1507</v>
      </c>
      <c r="AZ613" s="7" t="s">
        <v>1507</v>
      </c>
      <c r="BA613" s="7" t="s">
        <v>1507</v>
      </c>
      <c r="BB613" s="7" t="s">
        <v>1507</v>
      </c>
      <c r="BC613" s="7" t="s">
        <v>1507</v>
      </c>
      <c r="BD613" s="7" t="s">
        <v>1507</v>
      </c>
      <c r="BE613" s="7">
        <v>329</v>
      </c>
      <c r="BF613" s="7" t="s">
        <v>15999</v>
      </c>
      <c r="BG613" s="7" t="str">
        <f>HYPERLINK("http://dx.doi.org/10.3389/fpsyt.2018.00329","http://dx.doi.org/10.3389/fpsyt.2018.00329")</f>
        <v>http://dx.doi.org/10.3389/fpsyt.2018.00329</v>
      </c>
      <c r="BH613" s="7" t="s">
        <v>1507</v>
      </c>
      <c r="BI613" s="7" t="s">
        <v>1507</v>
      </c>
      <c r="BJ613" s="7">
        <v>17</v>
      </c>
      <c r="BK613" s="7" t="s">
        <v>2977</v>
      </c>
      <c r="BL613" s="7" t="s">
        <v>1598</v>
      </c>
      <c r="BM613" s="7" t="s">
        <v>2977</v>
      </c>
      <c r="BN613" s="7" t="s">
        <v>16000</v>
      </c>
      <c r="BO613" s="7">
        <v>30123142</v>
      </c>
      <c r="BP613" s="7" t="s">
        <v>1674</v>
      </c>
      <c r="BQ613" s="7" t="s">
        <v>1507</v>
      </c>
      <c r="BR613" s="7" t="s">
        <v>1507</v>
      </c>
      <c r="BS613" s="7" t="s">
        <v>13744</v>
      </c>
      <c r="BT613" s="7" t="s">
        <v>16001</v>
      </c>
      <c r="BU613" s="7" t="str">
        <f>HYPERLINK("https%3A%2F%2Fwww.webofscience.com%2Fwos%2Fwoscc%2Ffull-record%2FWOS:000440708900001","View Full Record in Web of Science")</f>
        <v>View Full Record in Web of Science</v>
      </c>
    </row>
    <row r="614" spans="1:73" s="7" customFormat="1" x14ac:dyDescent="0.25">
      <c r="A614" s="7" t="s">
        <v>16063</v>
      </c>
      <c r="B614" s="7" t="s">
        <v>1506</v>
      </c>
      <c r="C614" s="7" t="s">
        <v>15692</v>
      </c>
      <c r="D614" s="7" t="s">
        <v>1507</v>
      </c>
      <c r="E614" s="7" t="s">
        <v>1507</v>
      </c>
      <c r="F614" s="7" t="s">
        <v>1507</v>
      </c>
      <c r="G614" s="7" t="s">
        <v>15693</v>
      </c>
      <c r="H614" s="7" t="s">
        <v>1507</v>
      </c>
      <c r="I614" s="7" t="s">
        <v>1507</v>
      </c>
      <c r="J614" s="7" t="s">
        <v>15694</v>
      </c>
      <c r="K614" s="7" t="s">
        <v>5244</v>
      </c>
      <c r="L614" s="7" t="s">
        <v>1507</v>
      </c>
      <c r="M614" s="7" t="s">
        <v>1507</v>
      </c>
      <c r="N614" s="7" t="s">
        <v>42</v>
      </c>
      <c r="O614" s="7" t="s">
        <v>12366</v>
      </c>
      <c r="P614" s="7" t="s">
        <v>1507</v>
      </c>
      <c r="Q614" s="7" t="s">
        <v>1507</v>
      </c>
      <c r="R614" s="7" t="s">
        <v>1507</v>
      </c>
      <c r="S614" s="7" t="s">
        <v>1507</v>
      </c>
      <c r="T614" s="7" t="s">
        <v>1507</v>
      </c>
      <c r="U614" s="7" t="s">
        <v>1507</v>
      </c>
      <c r="V614" s="7" t="s">
        <v>15695</v>
      </c>
      <c r="W614" s="7" t="s">
        <v>15696</v>
      </c>
      <c r="X614" s="7" t="s">
        <v>15697</v>
      </c>
      <c r="Y614" s="7" t="s">
        <v>15698</v>
      </c>
      <c r="Z614" s="7" t="s">
        <v>15699</v>
      </c>
      <c r="AA614" s="7" t="s">
        <v>15700</v>
      </c>
      <c r="AB614" s="7" t="s">
        <v>15701</v>
      </c>
      <c r="AC614" s="7" t="s">
        <v>15702</v>
      </c>
      <c r="AD614" s="7" t="s">
        <v>15703</v>
      </c>
      <c r="AE614" s="7" t="s">
        <v>15704</v>
      </c>
      <c r="AF614" s="7" t="s">
        <v>15705</v>
      </c>
      <c r="AG614" s="7" t="s">
        <v>1507</v>
      </c>
      <c r="AH614" s="7">
        <v>262</v>
      </c>
      <c r="AI614" s="7">
        <v>21</v>
      </c>
      <c r="AJ614" s="7">
        <v>22</v>
      </c>
      <c r="AK614" s="7">
        <v>3</v>
      </c>
      <c r="AL614" s="7">
        <v>27</v>
      </c>
      <c r="AM614" s="7" t="s">
        <v>2372</v>
      </c>
      <c r="AN614" s="7" t="s">
        <v>2300</v>
      </c>
      <c r="AO614" s="7" t="s">
        <v>2373</v>
      </c>
      <c r="AP614" s="7" t="s">
        <v>5255</v>
      </c>
      <c r="AQ614" s="7" t="s">
        <v>5256</v>
      </c>
      <c r="AR614" s="7" t="s">
        <v>1507</v>
      </c>
      <c r="AS614" s="7" t="s">
        <v>5257</v>
      </c>
      <c r="AT614" s="7" t="s">
        <v>5258</v>
      </c>
      <c r="AU614" s="7" t="s">
        <v>15706</v>
      </c>
      <c r="AV614" s="7">
        <v>2021</v>
      </c>
      <c r="AW614" s="7">
        <v>35</v>
      </c>
      <c r="AX614" s="7">
        <v>20</v>
      </c>
      <c r="AY614" s="7" t="s">
        <v>1507</v>
      </c>
      <c r="AZ614" s="7" t="s">
        <v>1507</v>
      </c>
      <c r="BA614" s="7" t="s">
        <v>1507</v>
      </c>
      <c r="BB614" s="7" t="s">
        <v>1507</v>
      </c>
      <c r="BC614" s="7">
        <v>16335</v>
      </c>
      <c r="BD614" s="7">
        <v>16376</v>
      </c>
      <c r="BE614" s="7" t="s">
        <v>1507</v>
      </c>
      <c r="BF614" s="7" t="s">
        <v>15707</v>
      </c>
      <c r="BG614" s="7" t="str">
        <f>HYPERLINK("http://dx.doi.org/10.1021/acs.energyfuels.1c02107","http://dx.doi.org/10.1021/acs.energyfuels.1c02107")</f>
        <v>http://dx.doi.org/10.1021/acs.energyfuels.1c02107</v>
      </c>
      <c r="BH614" s="7" t="s">
        <v>1507</v>
      </c>
      <c r="BI614" s="7" t="s">
        <v>8149</v>
      </c>
      <c r="BJ614" s="7">
        <v>42</v>
      </c>
      <c r="BK614" s="7" t="s">
        <v>5261</v>
      </c>
      <c r="BL614" s="7" t="s">
        <v>1573</v>
      </c>
      <c r="BM614" s="7" t="s">
        <v>5262</v>
      </c>
      <c r="BN614" s="7" t="s">
        <v>15708</v>
      </c>
      <c r="BO614" s="7" t="s">
        <v>1507</v>
      </c>
      <c r="BP614" s="7" t="s">
        <v>1507</v>
      </c>
      <c r="BQ614" s="7" t="s">
        <v>1507</v>
      </c>
      <c r="BR614" s="7" t="s">
        <v>1507</v>
      </c>
      <c r="BS614" s="7" t="s">
        <v>13744</v>
      </c>
      <c r="BT614" s="7" t="s">
        <v>15709</v>
      </c>
      <c r="BU614" s="7" t="str">
        <f>HYPERLINK("https%3A%2F%2Fwww.webofscience.com%2Fwos%2Fwoscc%2Ffull-record%2FWOS:000711024500003","View Full Record in Web of Science")</f>
        <v>View Full Record in Web of Science</v>
      </c>
    </row>
    <row r="615" spans="1:73" s="7" customFormat="1" x14ac:dyDescent="0.25">
      <c r="A615" s="7" t="s">
        <v>16063</v>
      </c>
      <c r="B615" s="7" t="s">
        <v>1506</v>
      </c>
      <c r="C615" s="7" t="s">
        <v>14182</v>
      </c>
      <c r="D615" s="7" t="s">
        <v>1507</v>
      </c>
      <c r="E615" s="7" t="s">
        <v>1507</v>
      </c>
      <c r="F615" s="7" t="s">
        <v>1507</v>
      </c>
      <c r="G615" s="7" t="s">
        <v>14183</v>
      </c>
      <c r="H615" s="7" t="s">
        <v>1507</v>
      </c>
      <c r="I615" s="7" t="s">
        <v>1507</v>
      </c>
      <c r="J615" s="7" t="s">
        <v>14184</v>
      </c>
      <c r="K615" s="7" t="s">
        <v>14185</v>
      </c>
      <c r="L615" s="7" t="s">
        <v>1507</v>
      </c>
      <c r="M615" s="7" t="s">
        <v>1507</v>
      </c>
      <c r="N615" s="7" t="s">
        <v>42</v>
      </c>
      <c r="O615" s="7" t="s">
        <v>12366</v>
      </c>
      <c r="P615" s="7" t="s">
        <v>1507</v>
      </c>
      <c r="Q615" s="7" t="s">
        <v>1507</v>
      </c>
      <c r="R615" s="7" t="s">
        <v>1507</v>
      </c>
      <c r="S615" s="7" t="s">
        <v>1507</v>
      </c>
      <c r="T615" s="7" t="s">
        <v>1507</v>
      </c>
      <c r="U615" s="7" t="s">
        <v>14186</v>
      </c>
      <c r="V615" s="7" t="s">
        <v>14187</v>
      </c>
      <c r="W615" s="7" t="s">
        <v>14188</v>
      </c>
      <c r="X615" s="7" t="s">
        <v>14189</v>
      </c>
      <c r="Y615" s="7" t="s">
        <v>14190</v>
      </c>
      <c r="Z615" s="7" t="s">
        <v>14191</v>
      </c>
      <c r="AA615" s="7" t="s">
        <v>14192</v>
      </c>
      <c r="AB615" s="7" t="s">
        <v>14193</v>
      </c>
      <c r="AC615" s="7" t="s">
        <v>14194</v>
      </c>
      <c r="AD615" s="7" t="s">
        <v>14195</v>
      </c>
      <c r="AE615" s="7" t="s">
        <v>14196</v>
      </c>
      <c r="AF615" s="7" t="s">
        <v>14197</v>
      </c>
      <c r="AG615" s="7" t="s">
        <v>1507</v>
      </c>
      <c r="AH615" s="7">
        <v>145</v>
      </c>
      <c r="AI615" s="7">
        <v>3</v>
      </c>
      <c r="AJ615" s="7">
        <v>3</v>
      </c>
      <c r="AK615" s="7">
        <v>24</v>
      </c>
      <c r="AL615" s="7">
        <v>24</v>
      </c>
      <c r="AM615" s="7" t="s">
        <v>1564</v>
      </c>
      <c r="AN615" s="7" t="s">
        <v>1565</v>
      </c>
      <c r="AO615" s="7" t="s">
        <v>1566</v>
      </c>
      <c r="AP615" s="7" t="s">
        <v>1507</v>
      </c>
      <c r="AQ615" s="7" t="s">
        <v>14198</v>
      </c>
      <c r="AR615" s="7" t="s">
        <v>1507</v>
      </c>
      <c r="AS615" s="7" t="s">
        <v>14199</v>
      </c>
      <c r="AT615" s="7" t="s">
        <v>14200</v>
      </c>
      <c r="AU615" s="7" t="s">
        <v>14177</v>
      </c>
      <c r="AV615" s="7">
        <v>2023</v>
      </c>
      <c r="AW615" s="7">
        <v>6</v>
      </c>
      <c r="AX615" s="7" t="s">
        <v>1507</v>
      </c>
      <c r="AY615" s="7" t="s">
        <v>1507</v>
      </c>
      <c r="AZ615" s="7" t="s">
        <v>1507</v>
      </c>
      <c r="BA615" s="7" t="s">
        <v>1507</v>
      </c>
      <c r="BB615" s="7" t="s">
        <v>1507</v>
      </c>
      <c r="BC615" s="7" t="s">
        <v>1507</v>
      </c>
      <c r="BD615" s="7" t="s">
        <v>1507</v>
      </c>
      <c r="BE615" s="7">
        <v>1237704</v>
      </c>
      <c r="BF615" s="7" t="s">
        <v>14201</v>
      </c>
      <c r="BG615" s="7" t="str">
        <f>HYPERLINK("http://dx.doi.org/10.3389/frai.2023.1237704","http://dx.doi.org/10.3389/frai.2023.1237704")</f>
        <v>http://dx.doi.org/10.3389/frai.2023.1237704</v>
      </c>
      <c r="BH615" s="7" t="s">
        <v>1507</v>
      </c>
      <c r="BI615" s="7" t="s">
        <v>1507</v>
      </c>
      <c r="BJ615" s="7">
        <v>17</v>
      </c>
      <c r="BK615" s="7" t="s">
        <v>5650</v>
      </c>
      <c r="BL615" s="7" t="s">
        <v>1529</v>
      </c>
      <c r="BM615" s="7" t="s">
        <v>1577</v>
      </c>
      <c r="BN615" s="7" t="s">
        <v>14202</v>
      </c>
      <c r="BO615" s="7">
        <v>38028668</v>
      </c>
      <c r="BP615" s="7" t="s">
        <v>1952</v>
      </c>
      <c r="BQ615" s="7" t="s">
        <v>1507</v>
      </c>
      <c r="BR615" s="7" t="s">
        <v>1507</v>
      </c>
      <c r="BS615" s="7" t="s">
        <v>13744</v>
      </c>
      <c r="BT615" s="7" t="s">
        <v>14203</v>
      </c>
      <c r="BU615" s="7" t="str">
        <f>HYPERLINK("https%3A%2F%2Fwww.webofscience.com%2Fwos%2Fwoscc%2Ffull-record%2FWOS:001101628500001","View Full Record in Web of Science")</f>
        <v>View Full Record in Web of Science</v>
      </c>
    </row>
    <row r="616" spans="1:73" s="7" customFormat="1" x14ac:dyDescent="0.25">
      <c r="A616" s="7" t="s">
        <v>16063</v>
      </c>
      <c r="B616" s="7" t="s">
        <v>1506</v>
      </c>
      <c r="C616" s="7" t="s">
        <v>13875</v>
      </c>
      <c r="D616" s="7" t="s">
        <v>1507</v>
      </c>
      <c r="E616" s="7" t="s">
        <v>1507</v>
      </c>
      <c r="F616" s="7" t="s">
        <v>1507</v>
      </c>
      <c r="G616" s="7" t="s">
        <v>13876</v>
      </c>
      <c r="H616" s="7" t="s">
        <v>1507</v>
      </c>
      <c r="I616" s="7" t="s">
        <v>1507</v>
      </c>
      <c r="J616" s="7" t="s">
        <v>13877</v>
      </c>
      <c r="K616" s="7" t="s">
        <v>13878</v>
      </c>
      <c r="L616" s="7" t="s">
        <v>1507</v>
      </c>
      <c r="M616" s="7" t="s">
        <v>1507</v>
      </c>
      <c r="N616" s="7" t="s">
        <v>42</v>
      </c>
      <c r="O616" s="7" t="s">
        <v>12366</v>
      </c>
      <c r="P616" s="7" t="s">
        <v>1507</v>
      </c>
      <c r="Q616" s="7" t="s">
        <v>1507</v>
      </c>
      <c r="R616" s="7" t="s">
        <v>1507</v>
      </c>
      <c r="S616" s="7" t="s">
        <v>1507</v>
      </c>
      <c r="T616" s="7" t="s">
        <v>1507</v>
      </c>
      <c r="U616" s="7" t="s">
        <v>13879</v>
      </c>
      <c r="V616" s="7" t="s">
        <v>4023</v>
      </c>
      <c r="W616" s="7" t="s">
        <v>13880</v>
      </c>
      <c r="X616" s="7" t="s">
        <v>13881</v>
      </c>
      <c r="Y616" s="7" t="s">
        <v>13882</v>
      </c>
      <c r="Z616" s="7" t="s">
        <v>13883</v>
      </c>
      <c r="AA616" s="7" t="s">
        <v>13884</v>
      </c>
      <c r="AB616" s="7" t="s">
        <v>13885</v>
      </c>
      <c r="AC616" s="7" t="s">
        <v>13886</v>
      </c>
      <c r="AD616" s="7" t="s">
        <v>13887</v>
      </c>
      <c r="AE616" s="7" t="s">
        <v>13888</v>
      </c>
      <c r="AF616" s="7" t="s">
        <v>13889</v>
      </c>
      <c r="AG616" s="7" t="s">
        <v>1507</v>
      </c>
      <c r="AH616" s="7">
        <v>70</v>
      </c>
      <c r="AI616" s="7">
        <v>2</v>
      </c>
      <c r="AJ616" s="7">
        <v>2</v>
      </c>
      <c r="AK616" s="7">
        <v>21</v>
      </c>
      <c r="AL616" s="7">
        <v>21</v>
      </c>
      <c r="AM616" s="7" t="s">
        <v>1559</v>
      </c>
      <c r="AN616" s="7" t="s">
        <v>1560</v>
      </c>
      <c r="AO616" s="7" t="s">
        <v>1561</v>
      </c>
      <c r="AP616" s="7" t="s">
        <v>1507</v>
      </c>
      <c r="AQ616" s="7" t="s">
        <v>13890</v>
      </c>
      <c r="AR616" s="7" t="s">
        <v>1507</v>
      </c>
      <c r="AS616" s="7" t="s">
        <v>13891</v>
      </c>
      <c r="AT616" s="7" t="s">
        <v>13892</v>
      </c>
      <c r="AU616" s="7" t="s">
        <v>6775</v>
      </c>
      <c r="AV616" s="7">
        <v>2023</v>
      </c>
      <c r="AW616" s="7">
        <v>10</v>
      </c>
      <c r="AX616" s="7">
        <v>1</v>
      </c>
      <c r="AY616" s="7" t="s">
        <v>1507</v>
      </c>
      <c r="AZ616" s="7" t="s">
        <v>1507</v>
      </c>
      <c r="BA616" s="7" t="s">
        <v>1507</v>
      </c>
      <c r="BB616" s="7" t="s">
        <v>1507</v>
      </c>
      <c r="BC616" s="7" t="s">
        <v>1507</v>
      </c>
      <c r="BD616" s="7" t="s">
        <v>1507</v>
      </c>
      <c r="BE616" s="7">
        <v>128</v>
      </c>
      <c r="BF616" s="7" t="s">
        <v>13893</v>
      </c>
      <c r="BG616" s="7" t="str">
        <f>HYPERLINK("http://dx.doi.org/10.1186/s40634-023-00700-1","http://dx.doi.org/10.1186/s40634-023-00700-1")</f>
        <v>http://dx.doi.org/10.1186/s40634-023-00700-1</v>
      </c>
      <c r="BH616" s="7" t="s">
        <v>1507</v>
      </c>
      <c r="BI616" s="7" t="s">
        <v>1507</v>
      </c>
      <c r="BJ616" s="7">
        <v>10</v>
      </c>
      <c r="BK616" s="7" t="s">
        <v>13894</v>
      </c>
      <c r="BL616" s="7" t="s">
        <v>1529</v>
      </c>
      <c r="BM616" s="7" t="s">
        <v>13894</v>
      </c>
      <c r="BN616" s="7" t="s">
        <v>13895</v>
      </c>
      <c r="BO616" s="7">
        <v>38038796</v>
      </c>
      <c r="BP616" s="7" t="s">
        <v>1531</v>
      </c>
      <c r="BQ616" s="7" t="s">
        <v>1507</v>
      </c>
      <c r="BR616" s="7" t="s">
        <v>1507</v>
      </c>
      <c r="BS616" s="7" t="s">
        <v>13744</v>
      </c>
      <c r="BT616" s="7" t="s">
        <v>13896</v>
      </c>
      <c r="BU616" s="7" t="str">
        <f>HYPERLINK("https%3A%2F%2Fwww.webofscience.com%2Fwos%2Fwoscc%2Ffull-record%2FWOS:001112035900001","View Full Record in Web of Science")</f>
        <v>View Full Record in Web of Science</v>
      </c>
    </row>
    <row r="617" spans="1:73" s="7" customFormat="1" x14ac:dyDescent="0.25">
      <c r="A617" s="7" t="s">
        <v>16063</v>
      </c>
      <c r="B617" s="7" t="s">
        <v>1506</v>
      </c>
      <c r="C617" s="7" t="s">
        <v>14047</v>
      </c>
      <c r="D617" s="7" t="s">
        <v>1507</v>
      </c>
      <c r="E617" s="7" t="s">
        <v>1507</v>
      </c>
      <c r="F617" s="7" t="s">
        <v>1507</v>
      </c>
      <c r="G617" s="7" t="s">
        <v>14048</v>
      </c>
      <c r="H617" s="7" t="s">
        <v>1507</v>
      </c>
      <c r="I617" s="7" t="s">
        <v>1507</v>
      </c>
      <c r="J617" s="7" t="s">
        <v>14049</v>
      </c>
      <c r="K617" s="7" t="s">
        <v>14050</v>
      </c>
      <c r="L617" s="7" t="s">
        <v>1507</v>
      </c>
      <c r="M617" s="7" t="s">
        <v>1507</v>
      </c>
      <c r="N617" s="7" t="s">
        <v>42</v>
      </c>
      <c r="O617" s="7" t="s">
        <v>12366</v>
      </c>
      <c r="P617" s="7" t="s">
        <v>1507</v>
      </c>
      <c r="Q617" s="7" t="s">
        <v>1507</v>
      </c>
      <c r="R617" s="7" t="s">
        <v>1507</v>
      </c>
      <c r="S617" s="7" t="s">
        <v>1507</v>
      </c>
      <c r="T617" s="7" t="s">
        <v>1507</v>
      </c>
      <c r="U617" s="7" t="s">
        <v>14051</v>
      </c>
      <c r="V617" s="7" t="s">
        <v>14052</v>
      </c>
      <c r="W617" s="7" t="s">
        <v>14053</v>
      </c>
      <c r="X617" s="7" t="s">
        <v>14054</v>
      </c>
      <c r="Y617" s="7" t="s">
        <v>14055</v>
      </c>
      <c r="Z617" s="7" t="s">
        <v>14056</v>
      </c>
      <c r="AA617" s="7" t="s">
        <v>14057</v>
      </c>
      <c r="AB617" s="7" t="s">
        <v>1507</v>
      </c>
      <c r="AC617" s="7" t="s">
        <v>14058</v>
      </c>
      <c r="AD617" s="7" t="s">
        <v>14059</v>
      </c>
      <c r="AE617" s="7" t="s">
        <v>14059</v>
      </c>
      <c r="AF617" s="7" t="s">
        <v>14060</v>
      </c>
      <c r="AG617" s="7" t="s">
        <v>1507</v>
      </c>
      <c r="AH617" s="7">
        <v>39</v>
      </c>
      <c r="AI617" s="7">
        <v>2</v>
      </c>
      <c r="AJ617" s="7">
        <v>2</v>
      </c>
      <c r="AK617" s="7">
        <v>0</v>
      </c>
      <c r="AL617" s="7">
        <v>0</v>
      </c>
      <c r="AM617" s="7" t="s">
        <v>14061</v>
      </c>
      <c r="AN617" s="7" t="s">
        <v>14062</v>
      </c>
      <c r="AO617" s="7" t="s">
        <v>14063</v>
      </c>
      <c r="AP617" s="7" t="s">
        <v>14064</v>
      </c>
      <c r="AQ617" s="7" t="s">
        <v>14065</v>
      </c>
      <c r="AR617" s="7" t="s">
        <v>1507</v>
      </c>
      <c r="AS617" s="7" t="s">
        <v>14066</v>
      </c>
      <c r="AT617" s="7" t="s">
        <v>14067</v>
      </c>
      <c r="AU617" s="7" t="s">
        <v>2771</v>
      </c>
      <c r="AV617" s="7">
        <v>2023</v>
      </c>
      <c r="AW617" s="7">
        <v>27</v>
      </c>
      <c r="AX617" s="7" t="s">
        <v>1507</v>
      </c>
      <c r="AY617" s="7" t="s">
        <v>1507</v>
      </c>
      <c r="AZ617" s="7">
        <v>2</v>
      </c>
      <c r="BA617" s="7" t="s">
        <v>1507</v>
      </c>
      <c r="BB617" s="7" t="s">
        <v>1507</v>
      </c>
      <c r="BC617" s="7" t="s">
        <v>14068</v>
      </c>
      <c r="BD617" s="7" t="s">
        <v>14069</v>
      </c>
      <c r="BE617" s="7" t="s">
        <v>1507</v>
      </c>
      <c r="BF617" s="7" t="s">
        <v>14070</v>
      </c>
      <c r="BG617" s="7" t="str">
        <f>HYPERLINK("http://dx.doi.org/10.5213/inj.2346294.147","http://dx.doi.org/10.5213/inj.2346294.147")</f>
        <v>http://dx.doi.org/10.5213/inj.2346294.147</v>
      </c>
      <c r="BH617" s="7" t="s">
        <v>1507</v>
      </c>
      <c r="BI617" s="7" t="s">
        <v>1507</v>
      </c>
      <c r="BJ617" s="7">
        <v>9</v>
      </c>
      <c r="BK617" s="7" t="s">
        <v>9833</v>
      </c>
      <c r="BL617" s="7" t="s">
        <v>1573</v>
      </c>
      <c r="BM617" s="7" t="s">
        <v>9833</v>
      </c>
      <c r="BN617" s="7" t="s">
        <v>14071</v>
      </c>
      <c r="BO617" s="7">
        <v>38048820</v>
      </c>
      <c r="BP617" s="7" t="s">
        <v>1537</v>
      </c>
      <c r="BQ617" s="7" t="s">
        <v>1507</v>
      </c>
      <c r="BR617" s="7" t="s">
        <v>1507</v>
      </c>
      <c r="BS617" s="7" t="s">
        <v>13744</v>
      </c>
      <c r="BT617" s="7" t="s">
        <v>14072</v>
      </c>
      <c r="BU617" s="7" t="str">
        <f>HYPERLINK("https%3A%2F%2Fwww.webofscience.com%2Fwos%2Fwoscc%2Ffull-record%2FWOS:001111259500003","View Full Record in Web of Science")</f>
        <v>View Full Record in Web of Science</v>
      </c>
    </row>
    <row r="618" spans="1:73" s="7" customFormat="1" x14ac:dyDescent="0.25">
      <c r="A618" s="7" t="s">
        <v>16063</v>
      </c>
      <c r="B618" s="7" t="s">
        <v>1506</v>
      </c>
      <c r="C618" s="7" t="s">
        <v>15634</v>
      </c>
      <c r="D618" s="7" t="s">
        <v>1507</v>
      </c>
      <c r="E618" s="7" t="s">
        <v>1507</v>
      </c>
      <c r="F618" s="7" t="s">
        <v>1507</v>
      </c>
      <c r="G618" s="7" t="s">
        <v>15635</v>
      </c>
      <c r="H618" s="7" t="s">
        <v>1507</v>
      </c>
      <c r="I618" s="7" t="s">
        <v>1507</v>
      </c>
      <c r="J618" s="7" t="s">
        <v>15636</v>
      </c>
      <c r="K618" s="7" t="s">
        <v>15637</v>
      </c>
      <c r="L618" s="7" t="s">
        <v>1507</v>
      </c>
      <c r="M618" s="7" t="s">
        <v>1507</v>
      </c>
      <c r="N618" s="7" t="s">
        <v>42</v>
      </c>
      <c r="O618" s="7" t="s">
        <v>12366</v>
      </c>
      <c r="P618" s="7" t="s">
        <v>1507</v>
      </c>
      <c r="Q618" s="7" t="s">
        <v>1507</v>
      </c>
      <c r="R618" s="7" t="s">
        <v>1507</v>
      </c>
      <c r="S618" s="7" t="s">
        <v>1507</v>
      </c>
      <c r="T618" s="7" t="s">
        <v>1507</v>
      </c>
      <c r="U618" s="7" t="s">
        <v>15638</v>
      </c>
      <c r="V618" s="7" t="s">
        <v>15639</v>
      </c>
      <c r="W618" s="7" t="s">
        <v>15640</v>
      </c>
      <c r="X618" s="7" t="s">
        <v>15641</v>
      </c>
      <c r="Y618" s="7" t="s">
        <v>15642</v>
      </c>
      <c r="Z618" s="7" t="s">
        <v>15643</v>
      </c>
      <c r="AA618" s="7" t="s">
        <v>15644</v>
      </c>
      <c r="AB618" s="7" t="s">
        <v>15645</v>
      </c>
      <c r="AC618" s="7" t="s">
        <v>15646</v>
      </c>
      <c r="AD618" s="7" t="s">
        <v>15647</v>
      </c>
      <c r="AE618" s="7" t="s">
        <v>15648</v>
      </c>
      <c r="AF618" s="7" t="s">
        <v>15649</v>
      </c>
      <c r="AG618" s="7" t="s">
        <v>1507</v>
      </c>
      <c r="AH618" s="7">
        <v>45</v>
      </c>
      <c r="AI618" s="7">
        <v>10</v>
      </c>
      <c r="AJ618" s="7">
        <v>10</v>
      </c>
      <c r="AK618" s="7">
        <v>25</v>
      </c>
      <c r="AL618" s="7">
        <v>70</v>
      </c>
      <c r="AM618" s="7" t="s">
        <v>1579</v>
      </c>
      <c r="AN618" s="7" t="s">
        <v>1580</v>
      </c>
      <c r="AO618" s="7" t="s">
        <v>1581</v>
      </c>
      <c r="AP618" s="7" t="s">
        <v>15650</v>
      </c>
      <c r="AQ618" s="7" t="s">
        <v>15651</v>
      </c>
      <c r="AR618" s="7" t="s">
        <v>1507</v>
      </c>
      <c r="AS618" s="7" t="s">
        <v>15652</v>
      </c>
      <c r="AT618" s="7" t="s">
        <v>15653</v>
      </c>
      <c r="AU618" s="7" t="s">
        <v>5362</v>
      </c>
      <c r="AV618" s="7">
        <v>2022</v>
      </c>
      <c r="AW618" s="7">
        <v>68</v>
      </c>
      <c r="AX618" s="7" t="s">
        <v>1507</v>
      </c>
      <c r="AY618" s="7" t="s">
        <v>1507</v>
      </c>
      <c r="AZ618" s="7" t="s">
        <v>1507</v>
      </c>
      <c r="BA618" s="7" t="s">
        <v>1507</v>
      </c>
      <c r="BB618" s="7" t="s">
        <v>1507</v>
      </c>
      <c r="BC618" s="7" t="s">
        <v>1507</v>
      </c>
      <c r="BD618" s="7" t="s">
        <v>1507</v>
      </c>
      <c r="BE618" s="7">
        <v>102097</v>
      </c>
      <c r="BF618" s="7" t="s">
        <v>15654</v>
      </c>
      <c r="BG618" s="7" t="str">
        <f>HYPERLINK("http://dx.doi.org/10.1016/j.wpi.2022.102097","http://dx.doi.org/10.1016/j.wpi.2022.102097")</f>
        <v>http://dx.doi.org/10.1016/j.wpi.2022.102097</v>
      </c>
      <c r="BH618" s="7" t="s">
        <v>1507</v>
      </c>
      <c r="BI618" s="7" t="s">
        <v>7483</v>
      </c>
      <c r="BJ618" s="7">
        <v>17</v>
      </c>
      <c r="BK618" s="7" t="s">
        <v>3916</v>
      </c>
      <c r="BL618" s="7" t="s">
        <v>1529</v>
      </c>
      <c r="BM618" s="7" t="s">
        <v>3916</v>
      </c>
      <c r="BN618" s="7" t="s">
        <v>15655</v>
      </c>
      <c r="BO618" s="7" t="s">
        <v>1507</v>
      </c>
      <c r="BP618" s="7" t="s">
        <v>1507</v>
      </c>
      <c r="BQ618" s="7" t="s">
        <v>1507</v>
      </c>
      <c r="BR618" s="7" t="s">
        <v>1507</v>
      </c>
      <c r="BS618" s="7" t="s">
        <v>13744</v>
      </c>
      <c r="BT618" s="7" t="s">
        <v>15656</v>
      </c>
      <c r="BU618" s="7" t="str">
        <f>HYPERLINK("https%3A%2F%2Fwww.webofscience.com%2Fwos%2Fwoscc%2Ffull-record%2FWOS:000772615800008","View Full Record in Web of Science")</f>
        <v>View Full Record in Web of Science</v>
      </c>
    </row>
    <row r="619" spans="1:73" s="7" customFormat="1" x14ac:dyDescent="0.25">
      <c r="A619" s="7" t="s">
        <v>16063</v>
      </c>
      <c r="B619" s="7" t="s">
        <v>1506</v>
      </c>
      <c r="C619" s="7" t="s">
        <v>14575</v>
      </c>
      <c r="D619" s="7" t="s">
        <v>1507</v>
      </c>
      <c r="E619" s="7" t="s">
        <v>1507</v>
      </c>
      <c r="F619" s="7" t="s">
        <v>1507</v>
      </c>
      <c r="G619" s="7" t="s">
        <v>14576</v>
      </c>
      <c r="H619" s="7" t="s">
        <v>1507</v>
      </c>
      <c r="I619" s="7" t="s">
        <v>1507</v>
      </c>
      <c r="J619" s="7" t="s">
        <v>14577</v>
      </c>
      <c r="K619" s="7" t="s">
        <v>14578</v>
      </c>
      <c r="L619" s="7" t="s">
        <v>1507</v>
      </c>
      <c r="M619" s="7" t="s">
        <v>1507</v>
      </c>
      <c r="N619" s="7" t="s">
        <v>42</v>
      </c>
      <c r="O619" s="7" t="s">
        <v>12366</v>
      </c>
      <c r="P619" s="7" t="s">
        <v>1507</v>
      </c>
      <c r="Q619" s="7" t="s">
        <v>1507</v>
      </c>
      <c r="R619" s="7" t="s">
        <v>1507</v>
      </c>
      <c r="S619" s="7" t="s">
        <v>1507</v>
      </c>
      <c r="T619" s="7" t="s">
        <v>1507</v>
      </c>
      <c r="U619" s="7" t="s">
        <v>1507</v>
      </c>
      <c r="V619" s="7" t="s">
        <v>14579</v>
      </c>
      <c r="W619" s="7" t="s">
        <v>14580</v>
      </c>
      <c r="X619" s="7" t="s">
        <v>14581</v>
      </c>
      <c r="Y619" s="7" t="s">
        <v>14582</v>
      </c>
      <c r="Z619" s="7" t="s">
        <v>14583</v>
      </c>
      <c r="AA619" s="7" t="s">
        <v>14584</v>
      </c>
      <c r="AB619" s="7" t="s">
        <v>14585</v>
      </c>
      <c r="AC619" s="7" t="s">
        <v>14586</v>
      </c>
      <c r="AD619" s="7" t="s">
        <v>14587</v>
      </c>
      <c r="AE619" s="7" t="s">
        <v>14588</v>
      </c>
      <c r="AF619" s="7" t="s">
        <v>14589</v>
      </c>
      <c r="AG619" s="7" t="s">
        <v>1507</v>
      </c>
      <c r="AH619" s="7">
        <v>108</v>
      </c>
      <c r="AI619" s="7">
        <v>13</v>
      </c>
      <c r="AJ619" s="7">
        <v>13</v>
      </c>
      <c r="AK619" s="7">
        <v>51</v>
      </c>
      <c r="AL619" s="7">
        <v>71</v>
      </c>
      <c r="AM619" s="7" t="s">
        <v>1601</v>
      </c>
      <c r="AN619" s="7" t="s">
        <v>1551</v>
      </c>
      <c r="AO619" s="7" t="s">
        <v>1602</v>
      </c>
      <c r="AP619" s="7" t="s">
        <v>14590</v>
      </c>
      <c r="AQ619" s="7" t="s">
        <v>14591</v>
      </c>
      <c r="AR619" s="7" t="s">
        <v>1507</v>
      </c>
      <c r="AS619" s="7" t="s">
        <v>14592</v>
      </c>
      <c r="AT619" s="7" t="s">
        <v>14593</v>
      </c>
      <c r="AU619" s="7" t="s">
        <v>14594</v>
      </c>
      <c r="AV619" s="7">
        <v>2023</v>
      </c>
      <c r="AW619" s="7">
        <v>15</v>
      </c>
      <c r="AX619" s="7">
        <v>1</v>
      </c>
      <c r="AY619" s="7" t="s">
        <v>1507</v>
      </c>
      <c r="AZ619" s="7" t="s">
        <v>1507</v>
      </c>
      <c r="BA619" s="7" t="s">
        <v>1507</v>
      </c>
      <c r="BB619" s="7" t="s">
        <v>1507</v>
      </c>
      <c r="BC619" s="7" t="s">
        <v>1507</v>
      </c>
      <c r="BD619" s="7" t="s">
        <v>1507</v>
      </c>
      <c r="BE619" s="7">
        <v>29</v>
      </c>
      <c r="BF619" s="7" t="s">
        <v>14595</v>
      </c>
      <c r="BG619" s="7" t="str">
        <f>HYPERLINK("http://dx.doi.org/10.1038/s41368-023-00239-y","http://dx.doi.org/10.1038/s41368-023-00239-y")</f>
        <v>http://dx.doi.org/10.1038/s41368-023-00239-y</v>
      </c>
      <c r="BH619" s="7" t="s">
        <v>1507</v>
      </c>
      <c r="BI619" s="7" t="s">
        <v>1507</v>
      </c>
      <c r="BJ619" s="7">
        <v>13</v>
      </c>
      <c r="BK619" s="7" t="s">
        <v>6941</v>
      </c>
      <c r="BL619" s="7" t="s">
        <v>1573</v>
      </c>
      <c r="BM619" s="7" t="s">
        <v>6941</v>
      </c>
      <c r="BN619" s="7" t="s">
        <v>14596</v>
      </c>
      <c r="BO619" s="7">
        <v>37507396</v>
      </c>
      <c r="BP619" s="7" t="s">
        <v>4312</v>
      </c>
      <c r="BQ619" s="7" t="s">
        <v>1507</v>
      </c>
      <c r="BR619" s="7" t="s">
        <v>1507</v>
      </c>
      <c r="BS619" s="7" t="s">
        <v>13744</v>
      </c>
      <c r="BT619" s="7" t="s">
        <v>14597</v>
      </c>
      <c r="BU619" s="7" t="str">
        <f>HYPERLINK("https%3A%2F%2Fwww.webofscience.com%2Fwos%2Fwoscc%2Ffull-record%2FWOS:001039606900001","View Full Record in Web of Science")</f>
        <v>View Full Record in Web of Science</v>
      </c>
    </row>
    <row r="620" spans="1:73" s="7" customFormat="1" x14ac:dyDescent="0.25">
      <c r="A620" s="7" t="s">
        <v>16063</v>
      </c>
      <c r="B620" s="7" t="s">
        <v>1506</v>
      </c>
      <c r="C620" s="7" t="s">
        <v>14122</v>
      </c>
      <c r="D620" s="7" t="s">
        <v>1507</v>
      </c>
      <c r="E620" s="7" t="s">
        <v>1507</v>
      </c>
      <c r="F620" s="7" t="s">
        <v>1507</v>
      </c>
      <c r="G620" s="7" t="s">
        <v>14123</v>
      </c>
      <c r="H620" s="7" t="s">
        <v>1507</v>
      </c>
      <c r="I620" s="7" t="s">
        <v>1507</v>
      </c>
      <c r="J620" s="7" t="s">
        <v>14124</v>
      </c>
      <c r="K620" s="7" t="s">
        <v>14125</v>
      </c>
      <c r="L620" s="7" t="s">
        <v>1507</v>
      </c>
      <c r="M620" s="7" t="s">
        <v>1507</v>
      </c>
      <c r="N620" s="7" t="s">
        <v>42</v>
      </c>
      <c r="O620" s="7" t="s">
        <v>12366</v>
      </c>
      <c r="P620" s="7" t="s">
        <v>1507</v>
      </c>
      <c r="Q620" s="7" t="s">
        <v>1507</v>
      </c>
      <c r="R620" s="7" t="s">
        <v>1507</v>
      </c>
      <c r="S620" s="7" t="s">
        <v>1507</v>
      </c>
      <c r="T620" s="7" t="s">
        <v>1507</v>
      </c>
      <c r="U620" s="7" t="s">
        <v>14126</v>
      </c>
      <c r="V620" s="7" t="s">
        <v>14127</v>
      </c>
      <c r="W620" s="7" t="s">
        <v>14128</v>
      </c>
      <c r="X620" s="7" t="s">
        <v>14129</v>
      </c>
      <c r="Y620" s="7" t="s">
        <v>14130</v>
      </c>
      <c r="Z620" s="7" t="s">
        <v>14131</v>
      </c>
      <c r="AA620" s="7" t="s">
        <v>14132</v>
      </c>
      <c r="AB620" s="7" t="s">
        <v>1507</v>
      </c>
      <c r="AC620" s="7" t="s">
        <v>14133</v>
      </c>
      <c r="AD620" s="7" t="s">
        <v>14134</v>
      </c>
      <c r="AE620" s="7" t="s">
        <v>14134</v>
      </c>
      <c r="AF620" s="7" t="s">
        <v>1510</v>
      </c>
      <c r="AG620" s="7" t="s">
        <v>1507</v>
      </c>
      <c r="AH620" s="7">
        <v>59</v>
      </c>
      <c r="AI620" s="7">
        <v>1</v>
      </c>
      <c r="AJ620" s="7">
        <v>1</v>
      </c>
      <c r="AK620" s="7">
        <v>7</v>
      </c>
      <c r="AL620" s="7">
        <v>7</v>
      </c>
      <c r="AM620" s="7" t="s">
        <v>1610</v>
      </c>
      <c r="AN620" s="7" t="s">
        <v>1611</v>
      </c>
      <c r="AO620" s="7" t="s">
        <v>1612</v>
      </c>
      <c r="AP620" s="7" t="s">
        <v>1507</v>
      </c>
      <c r="AQ620" s="7" t="s">
        <v>14135</v>
      </c>
      <c r="AR620" s="7" t="s">
        <v>1507</v>
      </c>
      <c r="AS620" s="7" t="s">
        <v>14136</v>
      </c>
      <c r="AT620" s="7" t="s">
        <v>14137</v>
      </c>
      <c r="AU620" s="7" t="s">
        <v>2771</v>
      </c>
      <c r="AV620" s="7">
        <v>2023</v>
      </c>
      <c r="AW620" s="7">
        <v>8</v>
      </c>
      <c r="AX620" s="7">
        <v>7</v>
      </c>
      <c r="AY620" s="7" t="s">
        <v>1507</v>
      </c>
      <c r="AZ620" s="7" t="s">
        <v>1507</v>
      </c>
      <c r="BA620" s="7" t="s">
        <v>1507</v>
      </c>
      <c r="BB620" s="7" t="s">
        <v>1507</v>
      </c>
      <c r="BC620" s="7" t="s">
        <v>1507</v>
      </c>
      <c r="BD620" s="7" t="s">
        <v>1507</v>
      </c>
      <c r="BE620" s="7">
        <v>512</v>
      </c>
      <c r="BF620" s="7" t="s">
        <v>14138</v>
      </c>
      <c r="BG620" s="7" t="str">
        <f>HYPERLINK("http://dx.doi.org/10.3390/biomimetics8070512","http://dx.doi.org/10.3390/biomimetics8070512")</f>
        <v>http://dx.doi.org/10.3390/biomimetics8070512</v>
      </c>
      <c r="BH620" s="7" t="s">
        <v>1507</v>
      </c>
      <c r="BI620" s="7" t="s">
        <v>1507</v>
      </c>
      <c r="BJ620" s="7">
        <v>16</v>
      </c>
      <c r="BK620" s="7" t="s">
        <v>14139</v>
      </c>
      <c r="BL620" s="7" t="s">
        <v>1573</v>
      </c>
      <c r="BM620" s="7" t="s">
        <v>14140</v>
      </c>
      <c r="BN620" s="7" t="s">
        <v>14141</v>
      </c>
      <c r="BO620" s="7">
        <v>37999153</v>
      </c>
      <c r="BP620" s="7" t="s">
        <v>1952</v>
      </c>
      <c r="BQ620" s="7" t="s">
        <v>1507</v>
      </c>
      <c r="BR620" s="7" t="s">
        <v>1507</v>
      </c>
      <c r="BS620" s="7" t="s">
        <v>13744</v>
      </c>
      <c r="BT620" s="7" t="s">
        <v>14142</v>
      </c>
      <c r="BU620" s="7" t="str">
        <f>HYPERLINK("https%3A%2F%2Fwww.webofscience.com%2Fwos%2Fwoscc%2Ffull-record%2FWOS:001118122400001","View Full Record in Web of Science")</f>
        <v>View Full Record in Web of Science</v>
      </c>
    </row>
    <row r="621" spans="1:73" s="7" customFormat="1" x14ac:dyDescent="0.25">
      <c r="A621" s="7" t="s">
        <v>16063</v>
      </c>
      <c r="B621" s="7" t="s">
        <v>1506</v>
      </c>
      <c r="C621" s="7" t="s">
        <v>13824</v>
      </c>
      <c r="D621" s="7" t="s">
        <v>1507</v>
      </c>
      <c r="E621" s="7" t="s">
        <v>1507</v>
      </c>
      <c r="F621" s="7" t="s">
        <v>1507</v>
      </c>
      <c r="G621" s="7" t="s">
        <v>13825</v>
      </c>
      <c r="H621" s="7" t="s">
        <v>1507</v>
      </c>
      <c r="I621" s="7" t="s">
        <v>1507</v>
      </c>
      <c r="J621" s="7" t="s">
        <v>13826</v>
      </c>
      <c r="K621" s="7" t="s">
        <v>2159</v>
      </c>
      <c r="L621" s="7" t="s">
        <v>1507</v>
      </c>
      <c r="M621" s="7" t="s">
        <v>1507</v>
      </c>
      <c r="N621" s="7" t="s">
        <v>42</v>
      </c>
      <c r="O621" s="7" t="s">
        <v>12366</v>
      </c>
      <c r="P621" s="7" t="s">
        <v>1507</v>
      </c>
      <c r="Q621" s="7" t="s">
        <v>1507</v>
      </c>
      <c r="R621" s="7" t="s">
        <v>1507</v>
      </c>
      <c r="S621" s="7" t="s">
        <v>1507</v>
      </c>
      <c r="T621" s="7" t="s">
        <v>1507</v>
      </c>
      <c r="U621" s="7" t="s">
        <v>1507</v>
      </c>
      <c r="V621" s="7" t="s">
        <v>13827</v>
      </c>
      <c r="W621" s="7" t="s">
        <v>13828</v>
      </c>
      <c r="X621" s="7" t="s">
        <v>13829</v>
      </c>
      <c r="Y621" s="7" t="s">
        <v>13830</v>
      </c>
      <c r="Z621" s="7" t="s">
        <v>13831</v>
      </c>
      <c r="AA621" s="7" t="s">
        <v>13832</v>
      </c>
      <c r="AB621" s="7" t="s">
        <v>1507</v>
      </c>
      <c r="AC621" s="7" t="s">
        <v>13833</v>
      </c>
      <c r="AD621" s="7" t="s">
        <v>13834</v>
      </c>
      <c r="AE621" s="7" t="s">
        <v>13835</v>
      </c>
      <c r="AF621" s="7" t="s">
        <v>13836</v>
      </c>
      <c r="AG621" s="7" t="s">
        <v>1507</v>
      </c>
      <c r="AH621" s="7">
        <v>75</v>
      </c>
      <c r="AI621" s="7">
        <v>1</v>
      </c>
      <c r="AJ621" s="7">
        <v>1</v>
      </c>
      <c r="AK621" s="7">
        <v>54</v>
      </c>
      <c r="AL621" s="7">
        <v>54</v>
      </c>
      <c r="AM621" s="7" t="s">
        <v>1591</v>
      </c>
      <c r="AN621" s="7" t="s">
        <v>1592</v>
      </c>
      <c r="AO621" s="7" t="s">
        <v>1593</v>
      </c>
      <c r="AP621" s="7" t="s">
        <v>2169</v>
      </c>
      <c r="AQ621" s="7" t="s">
        <v>1507</v>
      </c>
      <c r="AR621" s="7" t="s">
        <v>1507</v>
      </c>
      <c r="AS621" s="7" t="s">
        <v>2170</v>
      </c>
      <c r="AT621" s="7" t="s">
        <v>439</v>
      </c>
      <c r="AU621" s="7" t="s">
        <v>13820</v>
      </c>
      <c r="AV621" s="7">
        <v>2023</v>
      </c>
      <c r="AW621" s="7">
        <v>6</v>
      </c>
      <c r="AX621" s="7">
        <v>1</v>
      </c>
      <c r="AY621" s="7" t="s">
        <v>1507</v>
      </c>
      <c r="AZ621" s="7" t="s">
        <v>1507</v>
      </c>
      <c r="BA621" s="7" t="s">
        <v>1507</v>
      </c>
      <c r="BB621" s="7" t="s">
        <v>1507</v>
      </c>
      <c r="BC621" s="7" t="s">
        <v>1507</v>
      </c>
      <c r="BD621" s="7" t="s">
        <v>1507</v>
      </c>
      <c r="BE621" s="7">
        <v>236</v>
      </c>
      <c r="BF621" s="7" t="s">
        <v>13837</v>
      </c>
      <c r="BG621" s="7" t="str">
        <f>HYPERLINK("http://dx.doi.org/10.1038/s41746-023-00979-5","http://dx.doi.org/10.1038/s41746-023-00979-5")</f>
        <v>http://dx.doi.org/10.1038/s41746-023-00979-5</v>
      </c>
      <c r="BH621" s="7" t="s">
        <v>1507</v>
      </c>
      <c r="BI621" s="7" t="s">
        <v>1507</v>
      </c>
      <c r="BJ621" s="7">
        <v>14</v>
      </c>
      <c r="BK621" s="7" t="s">
        <v>1585</v>
      </c>
      <c r="BL621" s="7" t="s">
        <v>1573</v>
      </c>
      <c r="BM621" s="7" t="s">
        <v>1585</v>
      </c>
      <c r="BN621" s="7" t="s">
        <v>13838</v>
      </c>
      <c r="BO621" s="7">
        <v>38114588</v>
      </c>
      <c r="BP621" s="7" t="s">
        <v>1531</v>
      </c>
      <c r="BQ621" s="7" t="s">
        <v>1507</v>
      </c>
      <c r="BR621" s="7" t="s">
        <v>1507</v>
      </c>
      <c r="BS621" s="7" t="s">
        <v>13744</v>
      </c>
      <c r="BT621" s="7" t="s">
        <v>13839</v>
      </c>
      <c r="BU621" s="7" t="str">
        <f>HYPERLINK("https%3A%2F%2Fwww.webofscience.com%2Fwos%2Fwoscc%2Ffull-record%2FWOS:001129970300001","View Full Record in Web of Science")</f>
        <v>View Full Record in Web of Science</v>
      </c>
    </row>
    <row r="622" spans="1:73" s="7" customFormat="1" x14ac:dyDescent="0.25">
      <c r="A622" s="7" t="s">
        <v>16063</v>
      </c>
      <c r="B622" s="7" t="s">
        <v>1506</v>
      </c>
      <c r="C622" s="7" t="s">
        <v>14022</v>
      </c>
      <c r="D622" s="7" t="s">
        <v>1507</v>
      </c>
      <c r="E622" s="7" t="s">
        <v>1507</v>
      </c>
      <c r="F622" s="7" t="s">
        <v>1507</v>
      </c>
      <c r="G622" s="7" t="s">
        <v>14023</v>
      </c>
      <c r="H622" s="7" t="s">
        <v>1507</v>
      </c>
      <c r="I622" s="7" t="s">
        <v>1507</v>
      </c>
      <c r="J622" s="7" t="s">
        <v>14024</v>
      </c>
      <c r="K622" s="7" t="s">
        <v>14025</v>
      </c>
      <c r="L622" s="7" t="s">
        <v>1507</v>
      </c>
      <c r="M622" s="7" t="s">
        <v>1507</v>
      </c>
      <c r="N622" s="7" t="s">
        <v>42</v>
      </c>
      <c r="O622" s="7" t="s">
        <v>12366</v>
      </c>
      <c r="P622" s="7" t="s">
        <v>1507</v>
      </c>
      <c r="Q622" s="7" t="s">
        <v>1507</v>
      </c>
      <c r="R622" s="7" t="s">
        <v>1507</v>
      </c>
      <c r="S622" s="7" t="s">
        <v>1507</v>
      </c>
      <c r="T622" s="7" t="s">
        <v>1507</v>
      </c>
      <c r="U622" s="7" t="s">
        <v>14026</v>
      </c>
      <c r="V622" s="7" t="s">
        <v>14027</v>
      </c>
      <c r="W622" s="7" t="s">
        <v>14028</v>
      </c>
      <c r="X622" s="7" t="s">
        <v>14029</v>
      </c>
      <c r="Y622" s="7" t="s">
        <v>14030</v>
      </c>
      <c r="Z622" s="7" t="s">
        <v>14031</v>
      </c>
      <c r="AA622" s="7" t="s">
        <v>14032</v>
      </c>
      <c r="AB622" s="7" t="s">
        <v>1507</v>
      </c>
      <c r="AC622" s="7" t="s">
        <v>14033</v>
      </c>
      <c r="AD622" s="7" t="s">
        <v>14034</v>
      </c>
      <c r="AE622" s="7" t="s">
        <v>14035</v>
      </c>
      <c r="AF622" s="7" t="s">
        <v>14036</v>
      </c>
      <c r="AG622" s="7" t="s">
        <v>1507</v>
      </c>
      <c r="AH622" s="7">
        <v>118</v>
      </c>
      <c r="AI622" s="7">
        <v>2</v>
      </c>
      <c r="AJ622" s="7">
        <v>2</v>
      </c>
      <c r="AK622" s="7">
        <v>36</v>
      </c>
      <c r="AL622" s="7">
        <v>36</v>
      </c>
      <c r="AM622" s="7" t="s">
        <v>1900</v>
      </c>
      <c r="AN622" s="7" t="s">
        <v>1583</v>
      </c>
      <c r="AO622" s="7" t="s">
        <v>1901</v>
      </c>
      <c r="AP622" s="7" t="s">
        <v>14037</v>
      </c>
      <c r="AQ622" s="7" t="s">
        <v>14038</v>
      </c>
      <c r="AR622" s="7" t="s">
        <v>1507</v>
      </c>
      <c r="AS622" s="7" t="s">
        <v>14039</v>
      </c>
      <c r="AT622" s="7" t="s">
        <v>14040</v>
      </c>
      <c r="AU622" s="7" t="s">
        <v>6775</v>
      </c>
      <c r="AV622" s="7">
        <v>2023</v>
      </c>
      <c r="AW622" s="7">
        <v>246</v>
      </c>
      <c r="AX622" s="7" t="s">
        <v>1507</v>
      </c>
      <c r="AY622" s="7" t="s">
        <v>1507</v>
      </c>
      <c r="AZ622" s="7" t="s">
        <v>1507</v>
      </c>
      <c r="BA622" s="7" t="s">
        <v>1507</v>
      </c>
      <c r="BB622" s="7" t="s">
        <v>1507</v>
      </c>
      <c r="BC622" s="7" t="s">
        <v>1507</v>
      </c>
      <c r="BD622" s="7" t="s">
        <v>1507</v>
      </c>
      <c r="BE622" s="7">
        <v>110960</v>
      </c>
      <c r="BF622" s="7" t="s">
        <v>14041</v>
      </c>
      <c r="BG622" s="7" t="str">
        <f>HYPERLINK("http://dx.doi.org/10.1016/j.buildenv.2023.110960","http://dx.doi.org/10.1016/j.buildenv.2023.110960")</f>
        <v>http://dx.doi.org/10.1016/j.buildenv.2023.110960</v>
      </c>
      <c r="BH622" s="7" t="s">
        <v>1507</v>
      </c>
      <c r="BI622" s="7" t="s">
        <v>2396</v>
      </c>
      <c r="BJ622" s="7">
        <v>16</v>
      </c>
      <c r="BK622" s="7" t="s">
        <v>14042</v>
      </c>
      <c r="BL622" s="7" t="s">
        <v>1573</v>
      </c>
      <c r="BM622" s="7" t="s">
        <v>1816</v>
      </c>
      <c r="BN622" s="7" t="s">
        <v>14043</v>
      </c>
      <c r="BO622" s="7" t="s">
        <v>1507</v>
      </c>
      <c r="BP622" s="7" t="s">
        <v>1507</v>
      </c>
      <c r="BQ622" s="7" t="s">
        <v>1507</v>
      </c>
      <c r="BR622" s="7" t="s">
        <v>1507</v>
      </c>
      <c r="BS622" s="7" t="s">
        <v>13744</v>
      </c>
      <c r="BT622" s="7" t="s">
        <v>14044</v>
      </c>
      <c r="BU622" s="7" t="str">
        <f>HYPERLINK("https%3A%2F%2Fwww.webofscience.com%2Fwos%2Fwoscc%2Ffull-record%2FWOS:001107666000001","View Full Record in Web of Science")</f>
        <v>View Full Record in Web of Science</v>
      </c>
    </row>
    <row r="623" spans="1:73" s="7" customFormat="1" x14ac:dyDescent="0.25">
      <c r="A623" s="7" t="s">
        <v>16063</v>
      </c>
      <c r="B623" s="7" t="s">
        <v>1506</v>
      </c>
      <c r="C623" s="7" t="s">
        <v>13901</v>
      </c>
      <c r="D623" s="7" t="s">
        <v>1507</v>
      </c>
      <c r="E623" s="7" t="s">
        <v>1507</v>
      </c>
      <c r="F623" s="7" t="s">
        <v>1507</v>
      </c>
      <c r="G623" s="7" t="s">
        <v>13902</v>
      </c>
      <c r="H623" s="7" t="s">
        <v>1507</v>
      </c>
      <c r="I623" s="7" t="s">
        <v>1507</v>
      </c>
      <c r="J623" s="7" t="s">
        <v>13903</v>
      </c>
      <c r="K623" s="7" t="s">
        <v>1617</v>
      </c>
      <c r="L623" s="7" t="s">
        <v>1507</v>
      </c>
      <c r="M623" s="7" t="s">
        <v>1507</v>
      </c>
      <c r="N623" s="7" t="s">
        <v>42</v>
      </c>
      <c r="O623" s="7" t="s">
        <v>12366</v>
      </c>
      <c r="P623" s="7" t="s">
        <v>1507</v>
      </c>
      <c r="Q623" s="7" t="s">
        <v>1507</v>
      </c>
      <c r="R623" s="7" t="s">
        <v>1507</v>
      </c>
      <c r="S623" s="7" t="s">
        <v>1507</v>
      </c>
      <c r="T623" s="7" t="s">
        <v>1507</v>
      </c>
      <c r="U623" s="7" t="s">
        <v>13904</v>
      </c>
      <c r="V623" s="7" t="s">
        <v>13905</v>
      </c>
      <c r="W623" s="7" t="s">
        <v>13906</v>
      </c>
      <c r="X623" s="7" t="s">
        <v>13907</v>
      </c>
      <c r="Y623" s="7" t="s">
        <v>1507</v>
      </c>
      <c r="Z623" s="7" t="s">
        <v>13908</v>
      </c>
      <c r="AA623" s="7" t="s">
        <v>13909</v>
      </c>
      <c r="AB623" s="7" t="s">
        <v>13910</v>
      </c>
      <c r="AC623" s="7" t="s">
        <v>13911</v>
      </c>
      <c r="AD623" s="7" t="s">
        <v>13912</v>
      </c>
      <c r="AE623" s="7" t="s">
        <v>13912</v>
      </c>
      <c r="AF623" s="7" t="s">
        <v>13913</v>
      </c>
      <c r="AG623" s="7" t="s">
        <v>1507</v>
      </c>
      <c r="AH623" s="7">
        <v>60</v>
      </c>
      <c r="AI623" s="7">
        <v>0</v>
      </c>
      <c r="AJ623" s="7">
        <v>0</v>
      </c>
      <c r="AK623" s="7">
        <v>12</v>
      </c>
      <c r="AL623" s="7">
        <v>12</v>
      </c>
      <c r="AM623" s="7" t="s">
        <v>1610</v>
      </c>
      <c r="AN623" s="7" t="s">
        <v>1611</v>
      </c>
      <c r="AO623" s="7" t="s">
        <v>1612</v>
      </c>
      <c r="AP623" s="7" t="s">
        <v>1507</v>
      </c>
      <c r="AQ623" s="7" t="s">
        <v>1620</v>
      </c>
      <c r="AR623" s="7" t="s">
        <v>1507</v>
      </c>
      <c r="AS623" s="7" t="s">
        <v>1621</v>
      </c>
      <c r="AT623" s="7" t="s">
        <v>1622</v>
      </c>
      <c r="AU623" s="7" t="s">
        <v>2191</v>
      </c>
      <c r="AV623" s="7">
        <v>2023</v>
      </c>
      <c r="AW623" s="7">
        <v>12</v>
      </c>
      <c r="AX623" s="7">
        <v>24</v>
      </c>
      <c r="AY623" s="7" t="s">
        <v>1507</v>
      </c>
      <c r="AZ623" s="7" t="s">
        <v>1507</v>
      </c>
      <c r="BA623" s="7" t="s">
        <v>1507</v>
      </c>
      <c r="BB623" s="7" t="s">
        <v>1507</v>
      </c>
      <c r="BC623" s="7" t="s">
        <v>1507</v>
      </c>
      <c r="BD623" s="7" t="s">
        <v>1507</v>
      </c>
      <c r="BE623" s="7">
        <v>4957</v>
      </c>
      <c r="BF623" s="7" t="s">
        <v>13914</v>
      </c>
      <c r="BG623" s="7" t="str">
        <f>HYPERLINK("http://dx.doi.org/10.3390/electronics12244957","http://dx.doi.org/10.3390/electronics12244957")</f>
        <v>http://dx.doi.org/10.3390/electronics12244957</v>
      </c>
      <c r="BH623" s="7" t="s">
        <v>1507</v>
      </c>
      <c r="BI623" s="7" t="s">
        <v>1507</v>
      </c>
      <c r="BJ623" s="7">
        <v>30</v>
      </c>
      <c r="BK623" s="7" t="s">
        <v>1623</v>
      </c>
      <c r="BL623" s="7" t="s">
        <v>1573</v>
      </c>
      <c r="BM623" s="7" t="s">
        <v>1624</v>
      </c>
      <c r="BN623" s="7" t="s">
        <v>13915</v>
      </c>
      <c r="BO623" s="7" t="s">
        <v>1507</v>
      </c>
      <c r="BP623" s="7" t="s">
        <v>1531</v>
      </c>
      <c r="BQ623" s="7" t="s">
        <v>1507</v>
      </c>
      <c r="BR623" s="7" t="s">
        <v>1507</v>
      </c>
      <c r="BS623" s="7" t="s">
        <v>13744</v>
      </c>
      <c r="BT623" s="7" t="s">
        <v>13916</v>
      </c>
      <c r="BU623" s="7" t="str">
        <f>HYPERLINK("https%3A%2F%2Fwww.webofscience.com%2Fwos%2Fwoscc%2Ffull-record%2FWOS:001131443900001","View Full Record in Web of Science")</f>
        <v>View Full Record in Web of Science</v>
      </c>
    </row>
    <row r="624" spans="1:73" s="7" customFormat="1" x14ac:dyDescent="0.25">
      <c r="A624" s="7" t="s">
        <v>16063</v>
      </c>
      <c r="B624" s="7" t="s">
        <v>1506</v>
      </c>
      <c r="C624" s="7" t="s">
        <v>13841</v>
      </c>
      <c r="D624" s="7" t="s">
        <v>1507</v>
      </c>
      <c r="E624" s="7" t="s">
        <v>1507</v>
      </c>
      <c r="F624" s="7" t="s">
        <v>1507</v>
      </c>
      <c r="G624" s="7" t="s">
        <v>13842</v>
      </c>
      <c r="H624" s="7" t="s">
        <v>1507</v>
      </c>
      <c r="I624" s="7" t="s">
        <v>1507</v>
      </c>
      <c r="J624" s="7" t="s">
        <v>13843</v>
      </c>
      <c r="K624" s="7" t="s">
        <v>13844</v>
      </c>
      <c r="L624" s="7" t="s">
        <v>1507</v>
      </c>
      <c r="M624" s="7" t="s">
        <v>1507</v>
      </c>
      <c r="N624" s="7" t="s">
        <v>42</v>
      </c>
      <c r="O624" s="7" t="s">
        <v>12366</v>
      </c>
      <c r="P624" s="7" t="s">
        <v>1507</v>
      </c>
      <c r="Q624" s="7" t="s">
        <v>1507</v>
      </c>
      <c r="R624" s="7" t="s">
        <v>1507</v>
      </c>
      <c r="S624" s="7" t="s">
        <v>1507</v>
      </c>
      <c r="T624" s="7" t="s">
        <v>1507</v>
      </c>
      <c r="U624" s="7" t="s">
        <v>13845</v>
      </c>
      <c r="V624" s="7" t="s">
        <v>1507</v>
      </c>
      <c r="W624" s="7" t="s">
        <v>13846</v>
      </c>
      <c r="X624" s="7" t="s">
        <v>13847</v>
      </c>
      <c r="Y624" s="7" t="s">
        <v>13848</v>
      </c>
      <c r="Z624" s="7" t="s">
        <v>13849</v>
      </c>
      <c r="AA624" s="7" t="s">
        <v>13850</v>
      </c>
      <c r="AB624" s="7" t="s">
        <v>13851</v>
      </c>
      <c r="AC624" s="7" t="s">
        <v>13852</v>
      </c>
      <c r="AD624" s="7" t="s">
        <v>13853</v>
      </c>
      <c r="AE624" s="7" t="s">
        <v>13854</v>
      </c>
      <c r="AF624" s="7" t="s">
        <v>13855</v>
      </c>
      <c r="AG624" s="7" t="s">
        <v>1507</v>
      </c>
      <c r="AH624" s="7">
        <v>68</v>
      </c>
      <c r="AI624" s="7">
        <v>7</v>
      </c>
      <c r="AJ624" s="7">
        <v>7</v>
      </c>
      <c r="AK624" s="7">
        <v>10</v>
      </c>
      <c r="AL624" s="7">
        <v>10</v>
      </c>
      <c r="AM624" s="7" t="s">
        <v>9670</v>
      </c>
      <c r="AN624" s="7" t="s">
        <v>3501</v>
      </c>
      <c r="AO624" s="7" t="s">
        <v>9671</v>
      </c>
      <c r="AP624" s="7" t="s">
        <v>13856</v>
      </c>
      <c r="AQ624" s="7" t="s">
        <v>13857</v>
      </c>
      <c r="AR624" s="7" t="s">
        <v>1507</v>
      </c>
      <c r="AS624" s="7" t="s">
        <v>13858</v>
      </c>
      <c r="AT624" s="7" t="s">
        <v>13859</v>
      </c>
      <c r="AU624" s="7" t="s">
        <v>1616</v>
      </c>
      <c r="AV624" s="7">
        <v>2024</v>
      </c>
      <c r="AW624" s="7">
        <v>53</v>
      </c>
      <c r="AX624" s="7">
        <v>1</v>
      </c>
      <c r="AY624" s="7" t="s">
        <v>1507</v>
      </c>
      <c r="AZ624" s="7" t="s">
        <v>1507</v>
      </c>
      <c r="BA624" s="7" t="s">
        <v>1507</v>
      </c>
      <c r="BB624" s="7" t="s">
        <v>1507</v>
      </c>
      <c r="BC624" s="7">
        <v>78</v>
      </c>
      <c r="BD624" s="7">
        <v>88</v>
      </c>
      <c r="BE624" s="7" t="s">
        <v>1507</v>
      </c>
      <c r="BF624" s="7" t="s">
        <v>13860</v>
      </c>
      <c r="BG624" s="7" t="str">
        <f>HYPERLINK("http://dx.doi.org/10.1016/j.ijom.2023.09.005","http://dx.doi.org/10.1016/j.ijom.2023.09.005")</f>
        <v>http://dx.doi.org/10.1016/j.ijom.2023.09.005</v>
      </c>
      <c r="BH624" s="7" t="s">
        <v>1507</v>
      </c>
      <c r="BI624" s="7" t="s">
        <v>1652</v>
      </c>
      <c r="BJ624" s="7">
        <v>11</v>
      </c>
      <c r="BK624" s="7" t="s">
        <v>13861</v>
      </c>
      <c r="BL624" s="7" t="s">
        <v>1573</v>
      </c>
      <c r="BM624" s="7" t="s">
        <v>13861</v>
      </c>
      <c r="BN624" s="7" t="s">
        <v>13862</v>
      </c>
      <c r="BO624" s="7">
        <v>37798200</v>
      </c>
      <c r="BP624" s="7" t="s">
        <v>1537</v>
      </c>
      <c r="BQ624" s="7" t="s">
        <v>1507</v>
      </c>
      <c r="BR624" s="7" t="s">
        <v>1507</v>
      </c>
      <c r="BS624" s="7" t="s">
        <v>13744</v>
      </c>
      <c r="BT624" s="7" t="s">
        <v>13863</v>
      </c>
      <c r="BU624" s="7" t="str">
        <f>HYPERLINK("https%3A%2F%2Fwww.webofscience.com%2Fwos%2Fwoscc%2Ffull-record%2FWOS:001138044500001","View Full Record in Web of Science")</f>
        <v>View Full Record in Web of Science</v>
      </c>
    </row>
    <row r="625" spans="1:73" s="7" customFormat="1" x14ac:dyDescent="0.25">
      <c r="A625" s="7" t="s">
        <v>16063</v>
      </c>
      <c r="B625" s="7" t="s">
        <v>1506</v>
      </c>
      <c r="C625" s="7" t="s">
        <v>15307</v>
      </c>
      <c r="D625" s="7" t="s">
        <v>1507</v>
      </c>
      <c r="E625" s="7" t="s">
        <v>1507</v>
      </c>
      <c r="F625" s="7" t="s">
        <v>1507</v>
      </c>
      <c r="G625" s="7" t="s">
        <v>15308</v>
      </c>
      <c r="H625" s="7" t="s">
        <v>1507</v>
      </c>
      <c r="I625" s="7" t="s">
        <v>1507</v>
      </c>
      <c r="J625" s="7" t="s">
        <v>15309</v>
      </c>
      <c r="K625" s="7" t="s">
        <v>1625</v>
      </c>
      <c r="L625" s="7" t="s">
        <v>1507</v>
      </c>
      <c r="M625" s="7" t="s">
        <v>1507</v>
      </c>
      <c r="N625" s="7" t="s">
        <v>42</v>
      </c>
      <c r="O625" s="7" t="s">
        <v>12366</v>
      </c>
      <c r="P625" s="7" t="s">
        <v>1507</v>
      </c>
      <c r="Q625" s="7" t="s">
        <v>1507</v>
      </c>
      <c r="R625" s="7" t="s">
        <v>1507</v>
      </c>
      <c r="S625" s="7" t="s">
        <v>1507</v>
      </c>
      <c r="T625" s="7" t="s">
        <v>1507</v>
      </c>
      <c r="U625" s="7" t="s">
        <v>15310</v>
      </c>
      <c r="V625" s="7" t="s">
        <v>15311</v>
      </c>
      <c r="W625" s="7" t="s">
        <v>15312</v>
      </c>
      <c r="X625" s="7" t="s">
        <v>15313</v>
      </c>
      <c r="Y625" s="7" t="s">
        <v>15314</v>
      </c>
      <c r="Z625" s="7" t="s">
        <v>15315</v>
      </c>
      <c r="AA625" s="7" t="s">
        <v>15316</v>
      </c>
      <c r="AB625" s="7" t="s">
        <v>15317</v>
      </c>
      <c r="AC625" s="7" t="s">
        <v>15318</v>
      </c>
      <c r="AD625" s="7" t="s">
        <v>15319</v>
      </c>
      <c r="AE625" s="7" t="s">
        <v>15320</v>
      </c>
      <c r="AF625" s="7" t="s">
        <v>15321</v>
      </c>
      <c r="AG625" s="7" t="s">
        <v>1507</v>
      </c>
      <c r="AH625" s="7">
        <v>156</v>
      </c>
      <c r="AI625" s="7">
        <v>7</v>
      </c>
      <c r="AJ625" s="7">
        <v>7</v>
      </c>
      <c r="AK625" s="7">
        <v>22</v>
      </c>
      <c r="AL625" s="7">
        <v>27</v>
      </c>
      <c r="AM625" s="7" t="s">
        <v>1626</v>
      </c>
      <c r="AN625" s="7" t="s">
        <v>1627</v>
      </c>
      <c r="AO625" s="7" t="s">
        <v>1628</v>
      </c>
      <c r="AP625" s="7" t="s">
        <v>1629</v>
      </c>
      <c r="AQ625" s="7" t="s">
        <v>1507</v>
      </c>
      <c r="AR625" s="7" t="s">
        <v>1507</v>
      </c>
      <c r="AS625" s="7" t="s">
        <v>1625</v>
      </c>
      <c r="AT625" s="7" t="s">
        <v>1630</v>
      </c>
      <c r="AU625" s="7" t="s">
        <v>1507</v>
      </c>
      <c r="AV625" s="7">
        <v>2023</v>
      </c>
      <c r="AW625" s="7">
        <v>11</v>
      </c>
      <c r="AX625" s="7" t="s">
        <v>1507</v>
      </c>
      <c r="AY625" s="7" t="s">
        <v>1507</v>
      </c>
      <c r="AZ625" s="7" t="s">
        <v>1507</v>
      </c>
      <c r="BA625" s="7" t="s">
        <v>1507</v>
      </c>
      <c r="BB625" s="7" t="s">
        <v>1507</v>
      </c>
      <c r="BC625" s="7">
        <v>61600</v>
      </c>
      <c r="BD625" s="7">
        <v>61620</v>
      </c>
      <c r="BE625" s="7" t="s">
        <v>1507</v>
      </c>
      <c r="BF625" s="7" t="s">
        <v>15322</v>
      </c>
      <c r="BG625" s="7" t="str">
        <f>HYPERLINK("http://dx.doi.org/10.1109/ACCESS.2023.3285596","http://dx.doi.org/10.1109/ACCESS.2023.3285596")</f>
        <v>http://dx.doi.org/10.1109/ACCESS.2023.3285596</v>
      </c>
      <c r="BH625" s="7" t="s">
        <v>1507</v>
      </c>
      <c r="BI625" s="7" t="s">
        <v>1507</v>
      </c>
      <c r="BJ625" s="7">
        <v>21</v>
      </c>
      <c r="BK625" s="7" t="s">
        <v>1631</v>
      </c>
      <c r="BL625" s="7" t="s">
        <v>1573</v>
      </c>
      <c r="BM625" s="7" t="s">
        <v>1632</v>
      </c>
      <c r="BN625" s="7" t="s">
        <v>15323</v>
      </c>
      <c r="BO625" s="7" t="s">
        <v>1507</v>
      </c>
      <c r="BP625" s="7" t="s">
        <v>1553</v>
      </c>
      <c r="BQ625" s="7" t="s">
        <v>1507</v>
      </c>
      <c r="BR625" s="7" t="s">
        <v>1507</v>
      </c>
      <c r="BS625" s="7" t="s">
        <v>13744</v>
      </c>
      <c r="BT625" s="7" t="s">
        <v>15324</v>
      </c>
      <c r="BU625" s="7" t="str">
        <f>HYPERLINK("https%3A%2F%2Fwww.webofscience.com%2Fwos%2Fwoscc%2Ffull-record%2FWOS:001020255700001","View Full Record in Web of Science")</f>
        <v>View Full Record in Web of Science</v>
      </c>
    </row>
    <row r="626" spans="1:73" s="7" customFormat="1" x14ac:dyDescent="0.25">
      <c r="A626" s="7" t="s">
        <v>16063</v>
      </c>
      <c r="B626" s="7" t="s">
        <v>1506</v>
      </c>
      <c r="C626" s="7" t="s">
        <v>15897</v>
      </c>
      <c r="D626" s="7" t="s">
        <v>1507</v>
      </c>
      <c r="E626" s="7" t="s">
        <v>1507</v>
      </c>
      <c r="F626" s="7" t="s">
        <v>1507</v>
      </c>
      <c r="G626" s="7" t="s">
        <v>15898</v>
      </c>
      <c r="H626" s="7" t="s">
        <v>1507</v>
      </c>
      <c r="I626" s="7" t="s">
        <v>1507</v>
      </c>
      <c r="J626" s="7" t="s">
        <v>15899</v>
      </c>
      <c r="K626" s="7" t="s">
        <v>15900</v>
      </c>
      <c r="L626" s="7" t="s">
        <v>1507</v>
      </c>
      <c r="M626" s="7" t="s">
        <v>1507</v>
      </c>
      <c r="N626" s="7" t="s">
        <v>42</v>
      </c>
      <c r="O626" s="7" t="s">
        <v>12366</v>
      </c>
      <c r="P626" s="7" t="s">
        <v>1507</v>
      </c>
      <c r="Q626" s="7" t="s">
        <v>1507</v>
      </c>
      <c r="R626" s="7" t="s">
        <v>1507</v>
      </c>
      <c r="S626" s="7" t="s">
        <v>1507</v>
      </c>
      <c r="T626" s="7" t="s">
        <v>1507</v>
      </c>
      <c r="U626" s="7" t="s">
        <v>1507</v>
      </c>
      <c r="V626" s="7" t="s">
        <v>1507</v>
      </c>
      <c r="W626" s="7" t="s">
        <v>1507</v>
      </c>
      <c r="X626" s="7" t="s">
        <v>15901</v>
      </c>
      <c r="Y626" s="7" t="s">
        <v>15902</v>
      </c>
      <c r="Z626" s="7" t="s">
        <v>15903</v>
      </c>
      <c r="AA626" s="7" t="s">
        <v>1507</v>
      </c>
      <c r="AB626" s="7" t="s">
        <v>1507</v>
      </c>
      <c r="AC626" s="7" t="s">
        <v>1507</v>
      </c>
      <c r="AD626" s="7" t="s">
        <v>15904</v>
      </c>
      <c r="AE626" s="7" t="s">
        <v>15904</v>
      </c>
      <c r="AF626" s="7" t="s">
        <v>15905</v>
      </c>
      <c r="AG626" s="7" t="s">
        <v>1507</v>
      </c>
      <c r="AH626" s="7">
        <v>16</v>
      </c>
      <c r="AI626" s="7">
        <v>0</v>
      </c>
      <c r="AJ626" s="7">
        <v>0</v>
      </c>
      <c r="AK626" s="7">
        <v>0</v>
      </c>
      <c r="AL626" s="7">
        <v>4</v>
      </c>
      <c r="AM626" s="7" t="s">
        <v>1559</v>
      </c>
      <c r="AN626" s="7" t="s">
        <v>1560</v>
      </c>
      <c r="AO626" s="7" t="s">
        <v>1561</v>
      </c>
      <c r="AP626" s="7" t="s">
        <v>15906</v>
      </c>
      <c r="AQ626" s="7" t="s">
        <v>15907</v>
      </c>
      <c r="AR626" s="7" t="s">
        <v>1507</v>
      </c>
      <c r="AS626" s="7" t="s">
        <v>15908</v>
      </c>
      <c r="AT626" s="7" t="s">
        <v>15909</v>
      </c>
      <c r="AU626" s="7" t="s">
        <v>3992</v>
      </c>
      <c r="AV626" s="7">
        <v>2019</v>
      </c>
      <c r="AW626" s="7">
        <v>10</v>
      </c>
      <c r="AX626" s="7">
        <v>3</v>
      </c>
      <c r="AY626" s="7" t="s">
        <v>1507</v>
      </c>
      <c r="AZ626" s="7" t="s">
        <v>1507</v>
      </c>
      <c r="BA626" s="7" t="s">
        <v>1507</v>
      </c>
      <c r="BB626" s="7" t="s">
        <v>1507</v>
      </c>
      <c r="BC626" s="7">
        <v>445</v>
      </c>
      <c r="BD626" s="7">
        <v>448</v>
      </c>
      <c r="BE626" s="7" t="s">
        <v>1507</v>
      </c>
      <c r="BF626" s="7" t="s">
        <v>15910</v>
      </c>
      <c r="BG626" s="7" t="str">
        <f>HYPERLINK("http://dx.doi.org/10.1111/1758-5899.12727","http://dx.doi.org/10.1111/1758-5899.12727")</f>
        <v>http://dx.doi.org/10.1111/1758-5899.12727</v>
      </c>
      <c r="BH626" s="7" t="s">
        <v>1507</v>
      </c>
      <c r="BI626" s="7" t="s">
        <v>10724</v>
      </c>
      <c r="BJ626" s="7">
        <v>4</v>
      </c>
      <c r="BK626" s="7" t="s">
        <v>15911</v>
      </c>
      <c r="BL626" s="7" t="s">
        <v>1518</v>
      </c>
      <c r="BM626" s="7" t="s">
        <v>9964</v>
      </c>
      <c r="BN626" s="7" t="s">
        <v>15912</v>
      </c>
      <c r="BO626" s="7" t="s">
        <v>1507</v>
      </c>
      <c r="BP626" s="7" t="s">
        <v>1507</v>
      </c>
      <c r="BQ626" s="7" t="s">
        <v>1507</v>
      </c>
      <c r="BR626" s="7" t="s">
        <v>1507</v>
      </c>
      <c r="BS626" s="7" t="s">
        <v>13744</v>
      </c>
      <c r="BT626" s="7" t="s">
        <v>15913</v>
      </c>
      <c r="BU626" s="7" t="str">
        <f>HYPERLINK("https%3A%2F%2Fwww.webofscience.com%2Fwos%2Fwoscc%2Ffull-record%2FWOS:000482859900001","View Full Record in Web of Science")</f>
        <v>View Full Record in Web of Science</v>
      </c>
    </row>
    <row r="627" spans="1:73" s="7" customFormat="1" x14ac:dyDescent="0.25">
      <c r="A627" s="7" t="s">
        <v>16063</v>
      </c>
      <c r="B627" s="7" t="s">
        <v>1506</v>
      </c>
      <c r="C627" s="7" t="s">
        <v>16040</v>
      </c>
      <c r="D627" s="7" t="s">
        <v>1507</v>
      </c>
      <c r="E627" s="7" t="s">
        <v>1507</v>
      </c>
      <c r="F627" s="7" t="s">
        <v>1507</v>
      </c>
      <c r="G627" s="7" t="s">
        <v>16041</v>
      </c>
      <c r="H627" s="7" t="s">
        <v>1507</v>
      </c>
      <c r="I627" s="7" t="s">
        <v>1507</v>
      </c>
      <c r="J627" s="7" t="s">
        <v>16042</v>
      </c>
      <c r="K627" s="7" t="s">
        <v>16043</v>
      </c>
      <c r="L627" s="7" t="s">
        <v>1507</v>
      </c>
      <c r="M627" s="7" t="s">
        <v>1507</v>
      </c>
      <c r="N627" s="7" t="s">
        <v>42</v>
      </c>
      <c r="O627" s="7" t="s">
        <v>12366</v>
      </c>
      <c r="P627" s="7" t="s">
        <v>1507</v>
      </c>
      <c r="Q627" s="7" t="s">
        <v>1507</v>
      </c>
      <c r="R627" s="7" t="s">
        <v>1507</v>
      </c>
      <c r="S627" s="7" t="s">
        <v>1507</v>
      </c>
      <c r="T627" s="7" t="s">
        <v>1507</v>
      </c>
      <c r="U627" s="7" t="s">
        <v>16044</v>
      </c>
      <c r="V627" s="7" t="s">
        <v>16045</v>
      </c>
      <c r="W627" s="7" t="s">
        <v>16046</v>
      </c>
      <c r="X627" s="7" t="s">
        <v>16047</v>
      </c>
      <c r="Y627" s="7" t="s">
        <v>16048</v>
      </c>
      <c r="Z627" s="7" t="s">
        <v>16049</v>
      </c>
      <c r="AA627" s="7" t="s">
        <v>16050</v>
      </c>
      <c r="AB627" s="7" t="s">
        <v>16051</v>
      </c>
      <c r="AC627" s="7" t="s">
        <v>16052</v>
      </c>
      <c r="AD627" s="7" t="s">
        <v>16053</v>
      </c>
      <c r="AE627" s="7" t="s">
        <v>16054</v>
      </c>
      <c r="AF627" s="7" t="s">
        <v>16055</v>
      </c>
      <c r="AG627" s="7" t="s">
        <v>1507</v>
      </c>
      <c r="AH627" s="7">
        <v>67</v>
      </c>
      <c r="AI627" s="7">
        <v>58</v>
      </c>
      <c r="AJ627" s="7">
        <v>60</v>
      </c>
      <c r="AK627" s="7">
        <v>9</v>
      </c>
      <c r="AL627" s="7">
        <v>26</v>
      </c>
      <c r="AM627" s="7" t="s">
        <v>9284</v>
      </c>
      <c r="AN627" s="7" t="s">
        <v>1580</v>
      </c>
      <c r="AO627" s="7" t="s">
        <v>9285</v>
      </c>
      <c r="AP627" s="7" t="s">
        <v>16056</v>
      </c>
      <c r="AQ627" s="7" t="s">
        <v>16057</v>
      </c>
      <c r="AR627" s="7" t="s">
        <v>1507</v>
      </c>
      <c r="AS627" s="7" t="s">
        <v>16058</v>
      </c>
      <c r="AT627" s="7" t="s">
        <v>16059</v>
      </c>
      <c r="AU627" s="7" t="s">
        <v>1507</v>
      </c>
      <c r="AV627" s="7">
        <v>2018</v>
      </c>
      <c r="AW627" s="7">
        <v>63</v>
      </c>
      <c r="AX627" s="7">
        <v>2</v>
      </c>
      <c r="AY627" s="7" t="s">
        <v>1507</v>
      </c>
      <c r="AZ627" s="7" t="s">
        <v>1507</v>
      </c>
      <c r="BA627" s="7" t="s">
        <v>1507</v>
      </c>
      <c r="BB627" s="7" t="s">
        <v>1507</v>
      </c>
      <c r="BC627" s="7">
        <v>741</v>
      </c>
      <c r="BD627" s="7">
        <v>760</v>
      </c>
      <c r="BE627" s="7" t="s">
        <v>1507</v>
      </c>
      <c r="BF627" s="7" t="s">
        <v>16060</v>
      </c>
      <c r="BG627" s="7" t="str">
        <f>HYPERLINK("http://dx.doi.org/10.3233/JAD-170667","http://dx.doi.org/10.3233/JAD-170667")</f>
        <v>http://dx.doi.org/10.3233/JAD-170667</v>
      </c>
      <c r="BH627" s="7" t="s">
        <v>1507</v>
      </c>
      <c r="BI627" s="7" t="s">
        <v>1507</v>
      </c>
      <c r="BJ627" s="7">
        <v>20</v>
      </c>
      <c r="BK627" s="7" t="s">
        <v>10644</v>
      </c>
      <c r="BL627" s="7" t="s">
        <v>1598</v>
      </c>
      <c r="BM627" s="7" t="s">
        <v>2868</v>
      </c>
      <c r="BN627" s="7" t="s">
        <v>16061</v>
      </c>
      <c r="BO627" s="7">
        <v>29689716</v>
      </c>
      <c r="BP627" s="7" t="s">
        <v>15727</v>
      </c>
      <c r="BQ627" s="7" t="s">
        <v>1507</v>
      </c>
      <c r="BR627" s="7" t="s">
        <v>1507</v>
      </c>
      <c r="BS627" s="7" t="s">
        <v>13744</v>
      </c>
      <c r="BT627" s="7" t="s">
        <v>16062</v>
      </c>
      <c r="BU627" s="7" t="str">
        <f>HYPERLINK("https%3A%2F%2Fwww.webofscience.com%2Fwos%2Fwoscc%2Ffull-record%2FWOS:000430831000027","View Full Record in Web of Science")</f>
        <v>View Full Record in Web of Science</v>
      </c>
    </row>
    <row r="628" spans="1:73" s="7" customFormat="1" x14ac:dyDescent="0.25">
      <c r="A628" s="7" t="s">
        <v>16063</v>
      </c>
      <c r="B628" s="7" t="s">
        <v>1506</v>
      </c>
      <c r="C628" s="7" t="s">
        <v>14443</v>
      </c>
      <c r="D628" s="7" t="s">
        <v>1507</v>
      </c>
      <c r="E628" s="7" t="s">
        <v>1507</v>
      </c>
      <c r="F628" s="7" t="s">
        <v>1507</v>
      </c>
      <c r="G628" s="7" t="s">
        <v>14444</v>
      </c>
      <c r="H628" s="7" t="s">
        <v>1507</v>
      </c>
      <c r="I628" s="7" t="s">
        <v>1507</v>
      </c>
      <c r="J628" s="7" t="s">
        <v>14445</v>
      </c>
      <c r="K628" s="7" t="s">
        <v>3982</v>
      </c>
      <c r="L628" s="7" t="s">
        <v>1507</v>
      </c>
      <c r="M628" s="7" t="s">
        <v>1507</v>
      </c>
      <c r="N628" s="7" t="s">
        <v>42</v>
      </c>
      <c r="O628" s="7" t="s">
        <v>12366</v>
      </c>
      <c r="P628" s="7" t="s">
        <v>1507</v>
      </c>
      <c r="Q628" s="7" t="s">
        <v>1507</v>
      </c>
      <c r="R628" s="7" t="s">
        <v>1507</v>
      </c>
      <c r="S628" s="7" t="s">
        <v>1507</v>
      </c>
      <c r="T628" s="7" t="s">
        <v>1507</v>
      </c>
      <c r="U628" s="7" t="s">
        <v>14446</v>
      </c>
      <c r="V628" s="7" t="s">
        <v>14447</v>
      </c>
      <c r="W628" s="7" t="s">
        <v>14448</v>
      </c>
      <c r="X628" s="7" t="s">
        <v>14449</v>
      </c>
      <c r="Y628" s="7" t="s">
        <v>9760</v>
      </c>
      <c r="Z628" s="7" t="s">
        <v>14450</v>
      </c>
      <c r="AA628" s="7" t="s">
        <v>14451</v>
      </c>
      <c r="AB628" s="7" t="s">
        <v>14452</v>
      </c>
      <c r="AC628" s="7" t="s">
        <v>14453</v>
      </c>
      <c r="AD628" s="7" t="s">
        <v>14454</v>
      </c>
      <c r="AE628" s="7" t="s">
        <v>14455</v>
      </c>
      <c r="AF628" s="7" t="s">
        <v>14456</v>
      </c>
      <c r="AG628" s="7" t="s">
        <v>1507</v>
      </c>
      <c r="AH628" s="7">
        <v>40</v>
      </c>
      <c r="AI628" s="7">
        <v>0</v>
      </c>
      <c r="AJ628" s="7">
        <v>0</v>
      </c>
      <c r="AK628" s="7">
        <v>9</v>
      </c>
      <c r="AL628" s="7">
        <v>9</v>
      </c>
      <c r="AM628" s="7" t="s">
        <v>1610</v>
      </c>
      <c r="AN628" s="7" t="s">
        <v>1611</v>
      </c>
      <c r="AO628" s="7" t="s">
        <v>1612</v>
      </c>
      <c r="AP628" s="7" t="s">
        <v>1507</v>
      </c>
      <c r="AQ628" s="7" t="s">
        <v>3990</v>
      </c>
      <c r="AR628" s="7" t="s">
        <v>1507</v>
      </c>
      <c r="AS628" s="7" t="s">
        <v>3991</v>
      </c>
      <c r="AT628" s="7" t="s">
        <v>421</v>
      </c>
      <c r="AU628" s="7" t="s">
        <v>2889</v>
      </c>
      <c r="AV628" s="7">
        <v>2023</v>
      </c>
      <c r="AW628" s="7">
        <v>13</v>
      </c>
      <c r="AX628" s="7">
        <v>10</v>
      </c>
      <c r="AY628" s="7" t="s">
        <v>1507</v>
      </c>
      <c r="AZ628" s="7" t="s">
        <v>1507</v>
      </c>
      <c r="BA628" s="7" t="s">
        <v>1507</v>
      </c>
      <c r="BB628" s="7" t="s">
        <v>1507</v>
      </c>
      <c r="BC628" s="7" t="s">
        <v>1507</v>
      </c>
      <c r="BD628" s="7" t="s">
        <v>1507</v>
      </c>
      <c r="BE628" s="7">
        <v>987</v>
      </c>
      <c r="BF628" s="7" t="s">
        <v>14457</v>
      </c>
      <c r="BG628" s="7" t="str">
        <f>HYPERLINK("http://dx.doi.org/10.3390/educsci13100987","http://dx.doi.org/10.3390/educsci13100987")</f>
        <v>http://dx.doi.org/10.3390/educsci13100987</v>
      </c>
      <c r="BH628" s="7" t="s">
        <v>1507</v>
      </c>
      <c r="BI628" s="7" t="s">
        <v>1507</v>
      </c>
      <c r="BJ628" s="7">
        <v>19</v>
      </c>
      <c r="BK628" s="7" t="s">
        <v>1558</v>
      </c>
      <c r="BL628" s="7" t="s">
        <v>1529</v>
      </c>
      <c r="BM628" s="7" t="s">
        <v>1558</v>
      </c>
      <c r="BN628" s="7" t="s">
        <v>14458</v>
      </c>
      <c r="BO628" s="7" t="s">
        <v>1507</v>
      </c>
      <c r="BP628" s="7" t="s">
        <v>1531</v>
      </c>
      <c r="BQ628" s="7" t="s">
        <v>1507</v>
      </c>
      <c r="BR628" s="7" t="s">
        <v>1507</v>
      </c>
      <c r="BS628" s="7" t="s">
        <v>13744</v>
      </c>
      <c r="BT628" s="7" t="s">
        <v>14459</v>
      </c>
      <c r="BU628" s="7" t="str">
        <f>HYPERLINK("https%3A%2F%2Fwww.webofscience.com%2Fwos%2Fwoscc%2Ffull-record%2FWOS:001094219600001","View Full Record in Web of Science")</f>
        <v>View Full Record in Web of Science</v>
      </c>
    </row>
    <row r="629" spans="1:73" s="7" customFormat="1" x14ac:dyDescent="0.25">
      <c r="A629" s="7" t="s">
        <v>16063</v>
      </c>
      <c r="B629" s="7" t="s">
        <v>1506</v>
      </c>
      <c r="C629" s="7" t="s">
        <v>14529</v>
      </c>
      <c r="D629" s="7" t="s">
        <v>1507</v>
      </c>
      <c r="E629" s="7" t="s">
        <v>1507</v>
      </c>
      <c r="F629" s="7" t="s">
        <v>1507</v>
      </c>
      <c r="G629" s="7" t="s">
        <v>14530</v>
      </c>
      <c r="H629" s="7" t="s">
        <v>1507</v>
      </c>
      <c r="I629" s="7" t="s">
        <v>1507</v>
      </c>
      <c r="J629" s="7" t="s">
        <v>14531</v>
      </c>
      <c r="K629" s="7" t="s">
        <v>12111</v>
      </c>
      <c r="L629" s="7" t="s">
        <v>1507</v>
      </c>
      <c r="M629" s="7" t="s">
        <v>1507</v>
      </c>
      <c r="N629" s="7" t="s">
        <v>42</v>
      </c>
      <c r="O629" s="7" t="s">
        <v>12366</v>
      </c>
      <c r="P629" s="7" t="s">
        <v>1507</v>
      </c>
      <c r="Q629" s="7" t="s">
        <v>1507</v>
      </c>
      <c r="R629" s="7" t="s">
        <v>1507</v>
      </c>
      <c r="S629" s="7" t="s">
        <v>1507</v>
      </c>
      <c r="T629" s="7" t="s">
        <v>1507</v>
      </c>
      <c r="U629" s="7" t="s">
        <v>1507</v>
      </c>
      <c r="V629" s="7" t="s">
        <v>14532</v>
      </c>
      <c r="W629" s="7" t="s">
        <v>14533</v>
      </c>
      <c r="X629" s="7" t="s">
        <v>14534</v>
      </c>
      <c r="Y629" s="7" t="s">
        <v>14535</v>
      </c>
      <c r="Z629" s="7" t="s">
        <v>14536</v>
      </c>
      <c r="AA629" s="7" t="s">
        <v>14537</v>
      </c>
      <c r="AB629" s="7" t="s">
        <v>1507</v>
      </c>
      <c r="AC629" s="7" t="s">
        <v>1507</v>
      </c>
      <c r="AD629" s="7" t="s">
        <v>14538</v>
      </c>
      <c r="AE629" s="7" t="s">
        <v>14538</v>
      </c>
      <c r="AF629" s="7" t="s">
        <v>14538</v>
      </c>
      <c r="AG629" s="7" t="s">
        <v>1507</v>
      </c>
      <c r="AH629" s="7">
        <v>39</v>
      </c>
      <c r="AI629" s="7">
        <v>1</v>
      </c>
      <c r="AJ629" s="7">
        <v>1</v>
      </c>
      <c r="AK629" s="7">
        <v>37</v>
      </c>
      <c r="AL629" s="7">
        <v>43</v>
      </c>
      <c r="AM629" s="7" t="s">
        <v>4284</v>
      </c>
      <c r="AN629" s="7" t="s">
        <v>4285</v>
      </c>
      <c r="AO629" s="7" t="s">
        <v>4286</v>
      </c>
      <c r="AP629" s="7" t="s">
        <v>12112</v>
      </c>
      <c r="AQ629" s="7" t="s">
        <v>12113</v>
      </c>
      <c r="AR629" s="7" t="s">
        <v>1507</v>
      </c>
      <c r="AS629" s="7" t="s">
        <v>12114</v>
      </c>
      <c r="AT629" s="7" t="s">
        <v>12115</v>
      </c>
      <c r="AU629" s="7" t="s">
        <v>12089</v>
      </c>
      <c r="AV629" s="7">
        <v>2023</v>
      </c>
      <c r="AW629" s="7">
        <v>69</v>
      </c>
      <c r="AX629" s="7">
        <v>11</v>
      </c>
      <c r="AY629" s="7" t="s">
        <v>1507</v>
      </c>
      <c r="AZ629" s="7" t="s">
        <v>1507</v>
      </c>
      <c r="BA629" s="7" t="s">
        <v>1507</v>
      </c>
      <c r="BB629" s="7" t="s">
        <v>1507</v>
      </c>
      <c r="BC629" s="7">
        <v>1238</v>
      </c>
      <c r="BD629" s="7">
        <v>1246</v>
      </c>
      <c r="BE629" s="7" t="s">
        <v>1507</v>
      </c>
      <c r="BF629" s="7" t="s">
        <v>14539</v>
      </c>
      <c r="BG629" s="7" t="str">
        <f>HYPERLINK("http://dx.doi.org/10.1093/clinchem/hvad106","http://dx.doi.org/10.1093/clinchem/hvad106")</f>
        <v>http://dx.doi.org/10.1093/clinchem/hvad106</v>
      </c>
      <c r="BH629" s="7" t="s">
        <v>1507</v>
      </c>
      <c r="BI629" s="7" t="s">
        <v>3689</v>
      </c>
      <c r="BJ629" s="7">
        <v>9</v>
      </c>
      <c r="BK629" s="7" t="s">
        <v>12116</v>
      </c>
      <c r="BL629" s="7" t="s">
        <v>1573</v>
      </c>
      <c r="BM629" s="7" t="s">
        <v>12116</v>
      </c>
      <c r="BN629" s="7" t="s">
        <v>14540</v>
      </c>
      <c r="BO629" s="7">
        <v>37664912</v>
      </c>
      <c r="BP629" s="7" t="s">
        <v>1507</v>
      </c>
      <c r="BQ629" s="7" t="s">
        <v>1507</v>
      </c>
      <c r="BR629" s="7" t="s">
        <v>1507</v>
      </c>
      <c r="BS629" s="7" t="s">
        <v>13744</v>
      </c>
      <c r="BT629" s="7" t="s">
        <v>14541</v>
      </c>
      <c r="BU629" s="7" t="str">
        <f>HYPERLINK("https%3A%2F%2Fwww.webofscience.com%2Fwos%2Fwoscc%2Ffull-record%2FWOS:001057767600001","View Full Record in Web of Science")</f>
        <v>View Full Record in Web of Science</v>
      </c>
    </row>
    <row r="630" spans="1:73" s="7" customFormat="1" x14ac:dyDescent="0.25">
      <c r="A630" s="7" t="s">
        <v>16063</v>
      </c>
      <c r="B630" s="7" t="s">
        <v>1506</v>
      </c>
      <c r="C630" s="7" t="s">
        <v>15564</v>
      </c>
      <c r="D630" s="7" t="s">
        <v>1507</v>
      </c>
      <c r="E630" s="7" t="s">
        <v>1507</v>
      </c>
      <c r="F630" s="7" t="s">
        <v>1507</v>
      </c>
      <c r="G630" s="7" t="s">
        <v>15565</v>
      </c>
      <c r="H630" s="7" t="s">
        <v>1507</v>
      </c>
      <c r="I630" s="7" t="s">
        <v>1507</v>
      </c>
      <c r="J630" s="7" t="s">
        <v>15566</v>
      </c>
      <c r="K630" s="7" t="s">
        <v>15567</v>
      </c>
      <c r="L630" s="7" t="s">
        <v>1507</v>
      </c>
      <c r="M630" s="7" t="s">
        <v>1507</v>
      </c>
      <c r="N630" s="7" t="s">
        <v>42</v>
      </c>
      <c r="O630" s="7" t="s">
        <v>12366</v>
      </c>
      <c r="P630" s="7" t="s">
        <v>1507</v>
      </c>
      <c r="Q630" s="7" t="s">
        <v>1507</v>
      </c>
      <c r="R630" s="7" t="s">
        <v>1507</v>
      </c>
      <c r="S630" s="7" t="s">
        <v>1507</v>
      </c>
      <c r="T630" s="7" t="s">
        <v>1507</v>
      </c>
      <c r="U630" s="7" t="s">
        <v>15568</v>
      </c>
      <c r="V630" s="7" t="s">
        <v>15569</v>
      </c>
      <c r="W630" s="7" t="s">
        <v>15570</v>
      </c>
      <c r="X630" s="7" t="s">
        <v>15571</v>
      </c>
      <c r="Y630" s="7" t="s">
        <v>15572</v>
      </c>
      <c r="Z630" s="7" t="s">
        <v>15573</v>
      </c>
      <c r="AA630" s="7" t="s">
        <v>15574</v>
      </c>
      <c r="AB630" s="7" t="s">
        <v>15575</v>
      </c>
      <c r="AC630" s="7" t="s">
        <v>15576</v>
      </c>
      <c r="AD630" s="7" t="s">
        <v>15577</v>
      </c>
      <c r="AE630" s="7" t="s">
        <v>15578</v>
      </c>
      <c r="AF630" s="7" t="s">
        <v>15579</v>
      </c>
      <c r="AG630" s="7" t="s">
        <v>1507</v>
      </c>
      <c r="AH630" s="7">
        <v>104</v>
      </c>
      <c r="AI630" s="7">
        <v>15</v>
      </c>
      <c r="AJ630" s="7">
        <v>15</v>
      </c>
      <c r="AK630" s="7">
        <v>11</v>
      </c>
      <c r="AL630" s="7">
        <v>49</v>
      </c>
      <c r="AM630" s="7" t="s">
        <v>1559</v>
      </c>
      <c r="AN630" s="7" t="s">
        <v>1560</v>
      </c>
      <c r="AO630" s="7" t="s">
        <v>1561</v>
      </c>
      <c r="AP630" s="7" t="s">
        <v>1507</v>
      </c>
      <c r="AQ630" s="7" t="s">
        <v>15580</v>
      </c>
      <c r="AR630" s="7" t="s">
        <v>1507</v>
      </c>
      <c r="AS630" s="7" t="s">
        <v>15567</v>
      </c>
      <c r="AT630" s="7" t="s">
        <v>15581</v>
      </c>
      <c r="AU630" s="7" t="s">
        <v>9054</v>
      </c>
      <c r="AV630" s="7">
        <v>2023</v>
      </c>
      <c r="AW630" s="7">
        <v>4</v>
      </c>
      <c r="AX630" s="7">
        <v>1</v>
      </c>
      <c r="AY630" s="7" t="s">
        <v>1507</v>
      </c>
      <c r="AZ630" s="7" t="s">
        <v>1507</v>
      </c>
      <c r="BA630" s="7" t="s">
        <v>1507</v>
      </c>
      <c r="BB630" s="7" t="s">
        <v>1507</v>
      </c>
      <c r="BC630" s="7" t="s">
        <v>1507</v>
      </c>
      <c r="BD630" s="7" t="s">
        <v>1507</v>
      </c>
      <c r="BE630" s="7" t="s">
        <v>15582</v>
      </c>
      <c r="BF630" s="7" t="s">
        <v>15583</v>
      </c>
      <c r="BG630" s="7" t="str">
        <f>HYPERLINK("http://dx.doi.org/10.1002/agt2.266","http://dx.doi.org/10.1002/agt2.266")</f>
        <v>http://dx.doi.org/10.1002/agt2.266</v>
      </c>
      <c r="BH630" s="7" t="s">
        <v>1507</v>
      </c>
      <c r="BI630" s="7" t="s">
        <v>6910</v>
      </c>
      <c r="BJ630" s="7">
        <v>26</v>
      </c>
      <c r="BK630" s="7" t="s">
        <v>15584</v>
      </c>
      <c r="BL630" s="7" t="s">
        <v>1529</v>
      </c>
      <c r="BM630" s="7" t="s">
        <v>15585</v>
      </c>
      <c r="BN630" s="7" t="s">
        <v>15586</v>
      </c>
      <c r="BO630" s="7" t="s">
        <v>1507</v>
      </c>
      <c r="BP630" s="7" t="s">
        <v>1507</v>
      </c>
      <c r="BQ630" s="7" t="s">
        <v>1507</v>
      </c>
      <c r="BR630" s="7" t="s">
        <v>1507</v>
      </c>
      <c r="BS630" s="7" t="s">
        <v>13744</v>
      </c>
      <c r="BT630" s="7" t="s">
        <v>15587</v>
      </c>
      <c r="BU630" s="7" t="str">
        <f>HYPERLINK("https%3A%2F%2Fwww.webofscience.com%2Fwos%2Fwoscc%2Ffull-record%2FWOS:000853126100001","View Full Record in Web of Science")</f>
        <v>View Full Record in Web of Science</v>
      </c>
    </row>
    <row r="631" spans="1:73" s="7" customFormat="1" x14ac:dyDescent="0.25">
      <c r="A631" s="7" t="s">
        <v>16063</v>
      </c>
      <c r="B631" s="7" t="s">
        <v>1506</v>
      </c>
      <c r="C631" s="7" t="s">
        <v>13964</v>
      </c>
      <c r="D631" s="7" t="s">
        <v>1507</v>
      </c>
      <c r="E631" s="7" t="s">
        <v>1507</v>
      </c>
      <c r="F631" s="7" t="s">
        <v>1507</v>
      </c>
      <c r="G631" s="7" t="s">
        <v>13965</v>
      </c>
      <c r="H631" s="7" t="s">
        <v>1507</v>
      </c>
      <c r="I631" s="7" t="s">
        <v>13966</v>
      </c>
      <c r="J631" s="7" t="s">
        <v>13967</v>
      </c>
      <c r="K631" s="7" t="s">
        <v>13878</v>
      </c>
      <c r="L631" s="7" t="s">
        <v>1507</v>
      </c>
      <c r="M631" s="7" t="s">
        <v>1507</v>
      </c>
      <c r="N631" s="7" t="s">
        <v>42</v>
      </c>
      <c r="O631" s="7" t="s">
        <v>12366</v>
      </c>
      <c r="P631" s="7" t="s">
        <v>1507</v>
      </c>
      <c r="Q631" s="7" t="s">
        <v>1507</v>
      </c>
      <c r="R631" s="7" t="s">
        <v>1507</v>
      </c>
      <c r="S631" s="7" t="s">
        <v>1507</v>
      </c>
      <c r="T631" s="7" t="s">
        <v>1507</v>
      </c>
      <c r="U631" s="7" t="s">
        <v>13968</v>
      </c>
      <c r="V631" s="7" t="s">
        <v>13969</v>
      </c>
      <c r="W631" s="7" t="s">
        <v>13970</v>
      </c>
      <c r="X631" s="7" t="s">
        <v>13971</v>
      </c>
      <c r="Y631" s="7" t="s">
        <v>13972</v>
      </c>
      <c r="Z631" s="7" t="s">
        <v>13973</v>
      </c>
      <c r="AA631" s="7" t="s">
        <v>13974</v>
      </c>
      <c r="AB631" s="7" t="s">
        <v>13975</v>
      </c>
      <c r="AC631" s="7" t="s">
        <v>13976</v>
      </c>
      <c r="AD631" s="7" t="s">
        <v>4206</v>
      </c>
      <c r="AE631" s="7" t="s">
        <v>4206</v>
      </c>
      <c r="AF631" s="7" t="s">
        <v>13977</v>
      </c>
      <c r="AG631" s="7" t="s">
        <v>1507</v>
      </c>
      <c r="AH631" s="7">
        <v>48</v>
      </c>
      <c r="AI631" s="7">
        <v>1</v>
      </c>
      <c r="AJ631" s="7">
        <v>1</v>
      </c>
      <c r="AK631" s="7">
        <v>4</v>
      </c>
      <c r="AL631" s="7">
        <v>4</v>
      </c>
      <c r="AM631" s="7" t="s">
        <v>1601</v>
      </c>
      <c r="AN631" s="7" t="s">
        <v>1551</v>
      </c>
      <c r="AO631" s="7" t="s">
        <v>1602</v>
      </c>
      <c r="AP631" s="7" t="s">
        <v>1507</v>
      </c>
      <c r="AQ631" s="7" t="s">
        <v>13890</v>
      </c>
      <c r="AR631" s="7" t="s">
        <v>1507</v>
      </c>
      <c r="AS631" s="7" t="s">
        <v>13891</v>
      </c>
      <c r="AT631" s="7" t="s">
        <v>13892</v>
      </c>
      <c r="AU631" s="7" t="s">
        <v>13978</v>
      </c>
      <c r="AV631" s="7">
        <v>2023</v>
      </c>
      <c r="AW631" s="7">
        <v>10</v>
      </c>
      <c r="AX631" s="7">
        <v>1</v>
      </c>
      <c r="AY631" s="7" t="s">
        <v>1507</v>
      </c>
      <c r="AZ631" s="7" t="s">
        <v>1507</v>
      </c>
      <c r="BA631" s="7" t="s">
        <v>1507</v>
      </c>
      <c r="BB631" s="7" t="s">
        <v>1507</v>
      </c>
      <c r="BC631" s="7" t="s">
        <v>1507</v>
      </c>
      <c r="BD631" s="7" t="s">
        <v>1507</v>
      </c>
      <c r="BE631" s="7">
        <v>117</v>
      </c>
      <c r="BF631" s="7" t="s">
        <v>13979</v>
      </c>
      <c r="BG631" s="7" t="str">
        <f>HYPERLINK("http://dx.doi.org/10.1186/s40634-023-00683-z","http://dx.doi.org/10.1186/s40634-023-00683-z")</f>
        <v>http://dx.doi.org/10.1186/s40634-023-00683-z</v>
      </c>
      <c r="BH631" s="7" t="s">
        <v>1507</v>
      </c>
      <c r="BI631" s="7" t="s">
        <v>1507</v>
      </c>
      <c r="BJ631" s="7">
        <v>9</v>
      </c>
      <c r="BK631" s="7" t="s">
        <v>13894</v>
      </c>
      <c r="BL631" s="7" t="s">
        <v>1529</v>
      </c>
      <c r="BM631" s="7" t="s">
        <v>13894</v>
      </c>
      <c r="BN631" s="7" t="s">
        <v>13980</v>
      </c>
      <c r="BO631" s="7">
        <v>37968370</v>
      </c>
      <c r="BP631" s="7" t="s">
        <v>1674</v>
      </c>
      <c r="BQ631" s="7" t="s">
        <v>1507</v>
      </c>
      <c r="BR631" s="7" t="s">
        <v>1507</v>
      </c>
      <c r="BS631" s="7" t="s">
        <v>13744</v>
      </c>
      <c r="BT631" s="7" t="s">
        <v>13981</v>
      </c>
      <c r="BU631" s="7" t="str">
        <f>HYPERLINK("https%3A%2F%2Fwww.webofscience.com%2Fwos%2Fwoscc%2Ffull-record%2FWOS:001104884500002","View Full Record in Web of Science")</f>
        <v>View Full Record in Web of Science</v>
      </c>
    </row>
    <row r="632" spans="1:73" s="7" customFormat="1" x14ac:dyDescent="0.25">
      <c r="A632" s="7" t="s">
        <v>16063</v>
      </c>
      <c r="B632" s="7" t="s">
        <v>1506</v>
      </c>
      <c r="C632" s="7" t="s">
        <v>14727</v>
      </c>
      <c r="D632" s="7" t="s">
        <v>1507</v>
      </c>
      <c r="E632" s="7" t="s">
        <v>1507</v>
      </c>
      <c r="F632" s="7" t="s">
        <v>1507</v>
      </c>
      <c r="G632" s="7" t="s">
        <v>14728</v>
      </c>
      <c r="H632" s="7" t="s">
        <v>1507</v>
      </c>
      <c r="I632" s="7" t="s">
        <v>1507</v>
      </c>
      <c r="J632" s="7" t="s">
        <v>12377</v>
      </c>
      <c r="K632" s="7" t="s">
        <v>14729</v>
      </c>
      <c r="L632" s="7" t="s">
        <v>1507</v>
      </c>
      <c r="M632" s="7" t="s">
        <v>1507</v>
      </c>
      <c r="N632" s="7" t="s">
        <v>42</v>
      </c>
      <c r="O632" s="7" t="s">
        <v>14730</v>
      </c>
      <c r="P632" s="7" t="s">
        <v>1507</v>
      </c>
      <c r="Q632" s="7" t="s">
        <v>1507</v>
      </c>
      <c r="R632" s="7" t="s">
        <v>1507</v>
      </c>
      <c r="S632" s="7" t="s">
        <v>1507</v>
      </c>
      <c r="T632" s="7" t="s">
        <v>1507</v>
      </c>
      <c r="U632" s="7" t="s">
        <v>14731</v>
      </c>
      <c r="V632" s="7" t="s">
        <v>14732</v>
      </c>
      <c r="W632" s="7" t="s">
        <v>14733</v>
      </c>
      <c r="X632" s="7" t="s">
        <v>14734</v>
      </c>
      <c r="Y632" s="7" t="s">
        <v>14735</v>
      </c>
      <c r="Z632" s="7" t="s">
        <v>14736</v>
      </c>
      <c r="AA632" s="7" t="s">
        <v>14737</v>
      </c>
      <c r="AB632" s="7" t="s">
        <v>14738</v>
      </c>
      <c r="AC632" s="7" t="s">
        <v>14739</v>
      </c>
      <c r="AD632" s="7" t="s">
        <v>1507</v>
      </c>
      <c r="AE632" s="7" t="s">
        <v>1507</v>
      </c>
      <c r="AF632" s="7" t="s">
        <v>1507</v>
      </c>
      <c r="AG632" s="7" t="s">
        <v>1507</v>
      </c>
      <c r="AH632" s="7">
        <v>62</v>
      </c>
      <c r="AI632" s="7">
        <v>14</v>
      </c>
      <c r="AJ632" s="7">
        <v>14</v>
      </c>
      <c r="AK632" s="7">
        <v>131</v>
      </c>
      <c r="AL632" s="7">
        <v>286</v>
      </c>
      <c r="AM632" s="7" t="s">
        <v>1555</v>
      </c>
      <c r="AN632" s="7" t="s">
        <v>1556</v>
      </c>
      <c r="AO632" s="7" t="s">
        <v>1557</v>
      </c>
      <c r="AP632" s="7" t="s">
        <v>14740</v>
      </c>
      <c r="AQ632" s="7" t="s">
        <v>14741</v>
      </c>
      <c r="AR632" s="7" t="s">
        <v>1507</v>
      </c>
      <c r="AS632" s="7" t="s">
        <v>14742</v>
      </c>
      <c r="AT632" s="7" t="s">
        <v>12367</v>
      </c>
      <c r="AU632" s="7" t="s">
        <v>14743</v>
      </c>
      <c r="AV632" s="7">
        <v>2023</v>
      </c>
      <c r="AW632" s="7" t="s">
        <v>1507</v>
      </c>
      <c r="AX632" s="7" t="s">
        <v>1507</v>
      </c>
      <c r="AY632" s="7" t="s">
        <v>1507</v>
      </c>
      <c r="AZ632" s="7" t="s">
        <v>1507</v>
      </c>
      <c r="BA632" s="7" t="s">
        <v>1507</v>
      </c>
      <c r="BB632" s="7" t="s">
        <v>1507</v>
      </c>
      <c r="BC632" s="7" t="s">
        <v>1507</v>
      </c>
      <c r="BD632" s="7" t="s">
        <v>1507</v>
      </c>
      <c r="BE632" s="7" t="s">
        <v>1507</v>
      </c>
      <c r="BF632" s="7" t="s">
        <v>12375</v>
      </c>
      <c r="BG632" s="7" t="str">
        <f>HYPERLINK("http://dx.doi.org/10.1080/10494820.2023.2204343","http://dx.doi.org/10.1080/10494820.2023.2204343")</f>
        <v>http://dx.doi.org/10.1080/10494820.2023.2204343</v>
      </c>
      <c r="BH632" s="7" t="s">
        <v>1507</v>
      </c>
      <c r="BI632" s="7" t="s">
        <v>4832</v>
      </c>
      <c r="BJ632" s="7">
        <v>19</v>
      </c>
      <c r="BK632" s="7" t="s">
        <v>1558</v>
      </c>
      <c r="BL632" s="7" t="s">
        <v>1518</v>
      </c>
      <c r="BM632" s="7" t="s">
        <v>1558</v>
      </c>
      <c r="BN632" s="7" t="s">
        <v>14744</v>
      </c>
      <c r="BO632" s="7" t="s">
        <v>1507</v>
      </c>
      <c r="BP632" s="7" t="s">
        <v>1507</v>
      </c>
      <c r="BQ632" s="7" t="s">
        <v>1507</v>
      </c>
      <c r="BR632" s="7" t="s">
        <v>1507</v>
      </c>
      <c r="BS632" s="7" t="s">
        <v>13744</v>
      </c>
      <c r="BT632" s="7" t="s">
        <v>14745</v>
      </c>
      <c r="BU632" s="7" t="str">
        <f>HYPERLINK("https%3A%2F%2Fwww.webofscience.com%2Fwos%2Fwoscc%2Ffull-record%2FWOS:000982315200001","View Full Record in Web of Science")</f>
        <v>View Full Record in Web of Science</v>
      </c>
    </row>
  </sheetData>
  <autoFilter ref="A1:BU1" xr:uid="{AD023E8B-FAA9-47FF-BDA1-9D70E2FD2E8D}">
    <sortState xmlns:xlrd2="http://schemas.microsoft.com/office/spreadsheetml/2017/richdata2" ref="A2:BU632">
      <sortCondition ref="A1"/>
    </sortState>
  </autoFilter>
  <pageMargins left="0.75" right="0.75" top="1" bottom="1" header="0.5" footer="0.5"/>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A229E-6420-4C83-8656-A648C636E8B3}">
  <dimension ref="A1:CA150"/>
  <sheetViews>
    <sheetView topLeftCell="A141" workbookViewId="0">
      <selection sqref="A1:XFD1048576"/>
    </sheetView>
  </sheetViews>
  <sheetFormatPr baseColWidth="10" defaultRowHeight="14.4" x14ac:dyDescent="0.3"/>
  <cols>
    <col min="13" max="13" width="30.109375" customWidth="1"/>
    <col min="17" max="17" width="22.21875" customWidth="1"/>
  </cols>
  <sheetData>
    <row r="1" spans="1:79" s="6" customFormat="1" x14ac:dyDescent="0.3">
      <c r="A1" t="s">
        <v>13738</v>
      </c>
      <c r="B1" t="s">
        <v>0</v>
      </c>
      <c r="C1" t="s">
        <v>1</v>
      </c>
      <c r="D1" t="s">
        <v>2</v>
      </c>
      <c r="E1" t="s">
        <v>3</v>
      </c>
      <c r="F1" t="s">
        <v>4</v>
      </c>
      <c r="G1" t="s">
        <v>12</v>
      </c>
      <c r="H1" t="s">
        <v>13</v>
      </c>
      <c r="I1" t="s">
        <v>16</v>
      </c>
      <c r="J1" t="s">
        <v>17</v>
      </c>
      <c r="K1" t="s">
        <v>13722</v>
      </c>
      <c r="L1" t="s">
        <v>26</v>
      </c>
      <c r="M1" t="s">
        <v>28</v>
      </c>
      <c r="N1" t="s">
        <v>31</v>
      </c>
      <c r="O1" t="s">
        <v>32</v>
      </c>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row>
    <row r="2" spans="1:79" x14ac:dyDescent="0.3">
      <c r="A2">
        <v>10</v>
      </c>
      <c r="B2" t="s">
        <v>12897</v>
      </c>
      <c r="C2" t="s">
        <v>12896</v>
      </c>
      <c r="D2" t="s">
        <v>382</v>
      </c>
      <c r="E2">
        <v>2023</v>
      </c>
      <c r="F2" t="s">
        <v>383</v>
      </c>
      <c r="H2" t="s">
        <v>384</v>
      </c>
      <c r="I2" t="s">
        <v>386</v>
      </c>
      <c r="J2" t="s">
        <v>387</v>
      </c>
      <c r="K2" t="s">
        <v>12894</v>
      </c>
      <c r="L2" t="s">
        <v>42</v>
      </c>
      <c r="M2" t="s">
        <v>12252</v>
      </c>
      <c r="N2" t="s">
        <v>46</v>
      </c>
      <c r="O2" t="s">
        <v>391</v>
      </c>
    </row>
    <row r="3" spans="1:79" x14ac:dyDescent="0.3">
      <c r="A3">
        <v>11</v>
      </c>
      <c r="B3" t="s">
        <v>13462</v>
      </c>
      <c r="C3" t="s">
        <v>13461</v>
      </c>
      <c r="D3" t="s">
        <v>415</v>
      </c>
      <c r="E3">
        <v>2023</v>
      </c>
      <c r="F3" t="s">
        <v>416</v>
      </c>
      <c r="G3" t="s">
        <v>417</v>
      </c>
      <c r="H3" t="s">
        <v>418</v>
      </c>
      <c r="I3" t="s">
        <v>419</v>
      </c>
      <c r="J3" t="s">
        <v>420</v>
      </c>
      <c r="K3" t="s">
        <v>13456</v>
      </c>
      <c r="L3" t="s">
        <v>42</v>
      </c>
      <c r="M3" t="s">
        <v>56</v>
      </c>
      <c r="N3" t="s">
        <v>46</v>
      </c>
      <c r="O3" t="s">
        <v>422</v>
      </c>
    </row>
    <row r="4" spans="1:79" x14ac:dyDescent="0.3">
      <c r="A4">
        <v>12</v>
      </c>
      <c r="B4" t="s">
        <v>12635</v>
      </c>
      <c r="C4" t="s">
        <v>12634</v>
      </c>
      <c r="D4" t="s">
        <v>1134</v>
      </c>
      <c r="E4">
        <v>2023</v>
      </c>
      <c r="F4" t="s">
        <v>383</v>
      </c>
      <c r="H4" t="s">
        <v>1135</v>
      </c>
      <c r="I4" t="s">
        <v>1137</v>
      </c>
      <c r="J4" t="s">
        <v>1138</v>
      </c>
      <c r="L4" t="s">
        <v>42</v>
      </c>
      <c r="M4" t="s">
        <v>12252</v>
      </c>
      <c r="N4" t="s">
        <v>46</v>
      </c>
      <c r="O4" t="s">
        <v>1140</v>
      </c>
    </row>
    <row r="5" spans="1:79" x14ac:dyDescent="0.3">
      <c r="A5">
        <v>14</v>
      </c>
      <c r="B5" t="s">
        <v>12546</v>
      </c>
      <c r="C5" t="s">
        <v>12545</v>
      </c>
      <c r="D5" t="s">
        <v>1005</v>
      </c>
      <c r="E5">
        <v>2023</v>
      </c>
      <c r="F5" t="s">
        <v>1006</v>
      </c>
      <c r="G5" t="s">
        <v>1007</v>
      </c>
      <c r="H5" t="s">
        <v>1008</v>
      </c>
      <c r="I5" t="s">
        <v>1010</v>
      </c>
      <c r="J5" t="s">
        <v>1011</v>
      </c>
      <c r="L5" t="s">
        <v>42</v>
      </c>
      <c r="M5" t="s">
        <v>56</v>
      </c>
      <c r="N5" t="s">
        <v>46</v>
      </c>
      <c r="O5" t="s">
        <v>1014</v>
      </c>
    </row>
    <row r="6" spans="1:79" x14ac:dyDescent="0.3">
      <c r="A6">
        <v>15</v>
      </c>
      <c r="B6" t="s">
        <v>12964</v>
      </c>
      <c r="C6" t="s">
        <v>12963</v>
      </c>
      <c r="D6" t="s">
        <v>12962</v>
      </c>
      <c r="E6">
        <v>2023</v>
      </c>
      <c r="F6" t="s">
        <v>12961</v>
      </c>
      <c r="G6" t="s">
        <v>12959</v>
      </c>
      <c r="H6" t="s">
        <v>12958</v>
      </c>
      <c r="I6" t="s">
        <v>12955</v>
      </c>
      <c r="J6" t="s">
        <v>12954</v>
      </c>
      <c r="K6" t="s">
        <v>12952</v>
      </c>
      <c r="L6" t="s">
        <v>42</v>
      </c>
      <c r="M6" t="s">
        <v>12252</v>
      </c>
      <c r="N6" t="s">
        <v>46</v>
      </c>
      <c r="O6" t="s">
        <v>12947</v>
      </c>
    </row>
    <row r="7" spans="1:79" x14ac:dyDescent="0.3">
      <c r="A7">
        <v>16</v>
      </c>
      <c r="B7" t="s">
        <v>12913</v>
      </c>
      <c r="C7" t="s">
        <v>12912</v>
      </c>
      <c r="D7" t="s">
        <v>266</v>
      </c>
      <c r="E7">
        <v>2023</v>
      </c>
      <c r="F7" t="s">
        <v>267</v>
      </c>
      <c r="G7" t="s">
        <v>268</v>
      </c>
      <c r="H7" t="s">
        <v>269</v>
      </c>
      <c r="I7" t="s">
        <v>271</v>
      </c>
      <c r="J7" t="s">
        <v>272</v>
      </c>
      <c r="K7" t="s">
        <v>12908</v>
      </c>
      <c r="L7" t="s">
        <v>42</v>
      </c>
      <c r="M7" t="s">
        <v>56</v>
      </c>
      <c r="N7" t="s">
        <v>46</v>
      </c>
      <c r="O7" t="s">
        <v>275</v>
      </c>
    </row>
    <row r="8" spans="1:79" x14ac:dyDescent="0.3">
      <c r="A8">
        <v>18</v>
      </c>
      <c r="B8" t="s">
        <v>12232</v>
      </c>
      <c r="C8" t="s">
        <v>12231</v>
      </c>
      <c r="D8" t="s">
        <v>1427</v>
      </c>
      <c r="E8">
        <v>2018</v>
      </c>
      <c r="F8" t="s">
        <v>1428</v>
      </c>
      <c r="G8" t="s">
        <v>1429</v>
      </c>
      <c r="H8" t="s">
        <v>1430</v>
      </c>
      <c r="I8" t="s">
        <v>1431</v>
      </c>
      <c r="J8" t="s">
        <v>1432</v>
      </c>
      <c r="K8" t="s">
        <v>12226</v>
      </c>
      <c r="L8" t="s">
        <v>42</v>
      </c>
      <c r="M8" t="s">
        <v>56</v>
      </c>
      <c r="N8" t="s">
        <v>46</v>
      </c>
      <c r="O8" t="s">
        <v>1435</v>
      </c>
    </row>
    <row r="9" spans="1:79" x14ac:dyDescent="0.3">
      <c r="A9">
        <v>19</v>
      </c>
      <c r="B9" t="s">
        <v>13627</v>
      </c>
      <c r="C9" t="s">
        <v>13626</v>
      </c>
      <c r="D9" t="s">
        <v>104</v>
      </c>
      <c r="E9">
        <v>2023</v>
      </c>
      <c r="F9" t="s">
        <v>105</v>
      </c>
      <c r="G9" t="s">
        <v>106</v>
      </c>
      <c r="H9" t="s">
        <v>107</v>
      </c>
      <c r="I9" t="s">
        <v>108</v>
      </c>
      <c r="J9" t="s">
        <v>109</v>
      </c>
      <c r="K9" t="s">
        <v>13623</v>
      </c>
      <c r="L9" t="s">
        <v>42</v>
      </c>
      <c r="M9" t="s">
        <v>56</v>
      </c>
      <c r="N9" t="s">
        <v>46</v>
      </c>
      <c r="O9" t="s">
        <v>111</v>
      </c>
    </row>
    <row r="10" spans="1:79" x14ac:dyDescent="0.3">
      <c r="A10">
        <v>21</v>
      </c>
      <c r="B10" t="s">
        <v>183</v>
      </c>
      <c r="C10" t="s">
        <v>12880</v>
      </c>
      <c r="D10" t="s">
        <v>184</v>
      </c>
      <c r="E10">
        <v>2023</v>
      </c>
      <c r="F10" t="s">
        <v>185</v>
      </c>
      <c r="G10" t="s">
        <v>186</v>
      </c>
      <c r="H10" t="s">
        <v>187</v>
      </c>
      <c r="I10" t="s">
        <v>189</v>
      </c>
      <c r="J10" t="s">
        <v>190</v>
      </c>
      <c r="L10" t="s">
        <v>42</v>
      </c>
      <c r="M10" t="s">
        <v>12252</v>
      </c>
      <c r="N10" t="s">
        <v>46</v>
      </c>
      <c r="O10" t="s">
        <v>193</v>
      </c>
      <c r="CA10" s="6"/>
    </row>
    <row r="11" spans="1:79" x14ac:dyDescent="0.3">
      <c r="A11">
        <v>22</v>
      </c>
      <c r="B11" t="s">
        <v>12535</v>
      </c>
      <c r="C11" t="s">
        <v>12534</v>
      </c>
      <c r="D11" t="s">
        <v>1048</v>
      </c>
      <c r="E11">
        <v>2023</v>
      </c>
      <c r="F11" t="s">
        <v>252</v>
      </c>
      <c r="G11" t="s">
        <v>1049</v>
      </c>
      <c r="H11" t="s">
        <v>1050</v>
      </c>
      <c r="I11" t="s">
        <v>1052</v>
      </c>
      <c r="J11" t="s">
        <v>1053</v>
      </c>
      <c r="L11" t="s">
        <v>42</v>
      </c>
      <c r="M11" t="s">
        <v>56</v>
      </c>
      <c r="N11" t="s">
        <v>46</v>
      </c>
      <c r="O11" t="s">
        <v>1055</v>
      </c>
      <c r="BC11" s="6"/>
      <c r="BD11" s="6"/>
      <c r="BE11" s="6"/>
      <c r="BF11" s="6"/>
      <c r="BG11" s="6"/>
      <c r="BH11" s="6"/>
      <c r="BI11" s="6"/>
      <c r="BJ11" s="6"/>
      <c r="BK11" s="6"/>
      <c r="BL11" s="6"/>
      <c r="BM11" s="6"/>
      <c r="BN11" s="6"/>
      <c r="BO11" s="6"/>
      <c r="BP11" s="6"/>
      <c r="BQ11" s="6"/>
      <c r="BR11" s="6"/>
      <c r="BS11" s="6"/>
      <c r="BT11" s="6"/>
      <c r="BU11" s="6"/>
    </row>
    <row r="12" spans="1:79" x14ac:dyDescent="0.3">
      <c r="A12">
        <v>23</v>
      </c>
      <c r="B12" t="s">
        <v>13255</v>
      </c>
      <c r="C12" t="s">
        <v>13254</v>
      </c>
      <c r="D12" t="s">
        <v>723</v>
      </c>
      <c r="E12">
        <v>2023</v>
      </c>
      <c r="F12" t="s">
        <v>366</v>
      </c>
      <c r="G12" t="s">
        <v>725</v>
      </c>
      <c r="H12" t="s">
        <v>726</v>
      </c>
      <c r="I12" t="s">
        <v>727</v>
      </c>
      <c r="K12" t="s">
        <v>13250</v>
      </c>
      <c r="L12" t="s">
        <v>42</v>
      </c>
      <c r="M12" t="s">
        <v>56</v>
      </c>
      <c r="N12" t="s">
        <v>46</v>
      </c>
      <c r="O12" t="s">
        <v>728</v>
      </c>
    </row>
    <row r="13" spans="1:79" x14ac:dyDescent="0.3">
      <c r="A13">
        <v>24</v>
      </c>
      <c r="B13" t="s">
        <v>12274</v>
      </c>
      <c r="C13" t="s">
        <v>12273</v>
      </c>
      <c r="D13" t="s">
        <v>954</v>
      </c>
      <c r="E13">
        <v>2019</v>
      </c>
      <c r="F13" t="s">
        <v>955</v>
      </c>
      <c r="G13" t="s">
        <v>956</v>
      </c>
      <c r="H13" t="s">
        <v>957</v>
      </c>
      <c r="I13" t="s">
        <v>959</v>
      </c>
      <c r="K13" t="s">
        <v>12269</v>
      </c>
      <c r="L13" t="s">
        <v>42</v>
      </c>
      <c r="M13" t="s">
        <v>56</v>
      </c>
      <c r="N13" t="s">
        <v>46</v>
      </c>
      <c r="O13" t="s">
        <v>964</v>
      </c>
    </row>
    <row r="14" spans="1:79" x14ac:dyDescent="0.3">
      <c r="A14">
        <v>25</v>
      </c>
      <c r="B14" t="s">
        <v>12794</v>
      </c>
      <c r="C14" t="s">
        <v>12793</v>
      </c>
      <c r="D14" t="s">
        <v>639</v>
      </c>
      <c r="E14">
        <v>2023</v>
      </c>
      <c r="F14" t="s">
        <v>383</v>
      </c>
      <c r="H14" t="s">
        <v>640</v>
      </c>
      <c r="I14" t="s">
        <v>642</v>
      </c>
      <c r="J14" t="s">
        <v>643</v>
      </c>
      <c r="L14" t="s">
        <v>42</v>
      </c>
      <c r="M14" t="s">
        <v>12252</v>
      </c>
      <c r="N14" t="s">
        <v>46</v>
      </c>
      <c r="O14" t="s">
        <v>645</v>
      </c>
    </row>
    <row r="15" spans="1:79" x14ac:dyDescent="0.3">
      <c r="A15">
        <v>26</v>
      </c>
      <c r="B15" t="s">
        <v>13054</v>
      </c>
      <c r="C15" t="s">
        <v>13053</v>
      </c>
      <c r="D15" t="s">
        <v>13052</v>
      </c>
      <c r="E15">
        <v>2023</v>
      </c>
      <c r="F15" t="s">
        <v>13051</v>
      </c>
      <c r="G15" t="s">
        <v>13050</v>
      </c>
      <c r="H15" t="s">
        <v>13049</v>
      </c>
      <c r="I15" t="s">
        <v>13046</v>
      </c>
      <c r="J15" t="s">
        <v>13045</v>
      </c>
      <c r="K15" t="s">
        <v>13042</v>
      </c>
      <c r="L15" t="s">
        <v>42</v>
      </c>
      <c r="M15" t="s">
        <v>56</v>
      </c>
      <c r="N15" t="s">
        <v>46</v>
      </c>
      <c r="O15" t="s">
        <v>13038</v>
      </c>
    </row>
    <row r="16" spans="1:79" x14ac:dyDescent="0.3">
      <c r="A16">
        <v>27</v>
      </c>
      <c r="B16" t="s">
        <v>12250</v>
      </c>
      <c r="C16" t="s">
        <v>12249</v>
      </c>
      <c r="D16" t="s">
        <v>868</v>
      </c>
      <c r="E16">
        <v>2019</v>
      </c>
      <c r="F16" t="s">
        <v>831</v>
      </c>
      <c r="G16" t="s">
        <v>869</v>
      </c>
      <c r="H16" t="s">
        <v>870</v>
      </c>
      <c r="I16" t="s">
        <v>872</v>
      </c>
      <c r="J16" t="s">
        <v>873</v>
      </c>
      <c r="K16" t="s">
        <v>12247</v>
      </c>
      <c r="L16" t="s">
        <v>42</v>
      </c>
      <c r="M16" t="s">
        <v>56</v>
      </c>
      <c r="N16" t="s">
        <v>46</v>
      </c>
      <c r="O16" t="s">
        <v>874</v>
      </c>
    </row>
    <row r="17" spans="1:79" x14ac:dyDescent="0.3">
      <c r="A17">
        <v>28</v>
      </c>
      <c r="B17" t="s">
        <v>404</v>
      </c>
      <c r="C17" t="s">
        <v>12314</v>
      </c>
      <c r="D17" t="s">
        <v>405</v>
      </c>
      <c r="E17">
        <v>2023</v>
      </c>
      <c r="F17" t="s">
        <v>406</v>
      </c>
      <c r="G17" t="s">
        <v>407</v>
      </c>
      <c r="H17" t="s">
        <v>408</v>
      </c>
      <c r="I17" t="s">
        <v>410</v>
      </c>
      <c r="J17" t="s">
        <v>411</v>
      </c>
      <c r="K17" t="s">
        <v>13608</v>
      </c>
      <c r="L17" t="s">
        <v>42</v>
      </c>
      <c r="M17" t="s">
        <v>56</v>
      </c>
      <c r="N17" t="s">
        <v>46</v>
      </c>
      <c r="O17" t="s">
        <v>414</v>
      </c>
    </row>
    <row r="18" spans="1:79" x14ac:dyDescent="0.3">
      <c r="A18">
        <v>29</v>
      </c>
      <c r="B18" t="s">
        <v>404</v>
      </c>
      <c r="C18" t="s">
        <v>12314</v>
      </c>
      <c r="D18" t="s">
        <v>1015</v>
      </c>
      <c r="E18">
        <v>2021</v>
      </c>
      <c r="F18" t="s">
        <v>1016</v>
      </c>
      <c r="G18" t="s">
        <v>1017</v>
      </c>
      <c r="H18" t="s">
        <v>1018</v>
      </c>
      <c r="I18" t="s">
        <v>1020</v>
      </c>
      <c r="J18" t="s">
        <v>1021</v>
      </c>
      <c r="K18" t="s">
        <v>12311</v>
      </c>
      <c r="L18" t="s">
        <v>42</v>
      </c>
      <c r="M18" t="s">
        <v>56</v>
      </c>
      <c r="N18" t="s">
        <v>46</v>
      </c>
      <c r="O18" t="s">
        <v>1024</v>
      </c>
    </row>
    <row r="19" spans="1:79" x14ac:dyDescent="0.3">
      <c r="A19">
        <v>30</v>
      </c>
      <c r="B19" t="s">
        <v>13288</v>
      </c>
      <c r="C19" t="s">
        <v>13287</v>
      </c>
      <c r="D19" t="s">
        <v>467</v>
      </c>
      <c r="E19">
        <v>2023</v>
      </c>
      <c r="F19" t="s">
        <v>305</v>
      </c>
      <c r="G19" t="s">
        <v>468</v>
      </c>
      <c r="H19" t="s">
        <v>469</v>
      </c>
      <c r="I19" t="s">
        <v>471</v>
      </c>
      <c r="J19" t="s">
        <v>472</v>
      </c>
      <c r="K19" t="s">
        <v>13285</v>
      </c>
      <c r="L19" t="s">
        <v>42</v>
      </c>
      <c r="M19" t="s">
        <v>56</v>
      </c>
      <c r="N19" t="s">
        <v>46</v>
      </c>
      <c r="O19" t="s">
        <v>473</v>
      </c>
    </row>
    <row r="20" spans="1:79" x14ac:dyDescent="0.3">
      <c r="A20">
        <v>31</v>
      </c>
      <c r="B20" t="s">
        <v>13233</v>
      </c>
      <c r="C20" t="s">
        <v>13232</v>
      </c>
      <c r="D20" t="s">
        <v>693</v>
      </c>
      <c r="E20">
        <v>2023</v>
      </c>
      <c r="F20" t="s">
        <v>694</v>
      </c>
      <c r="G20" t="s">
        <v>695</v>
      </c>
      <c r="H20" t="s">
        <v>696</v>
      </c>
      <c r="I20" t="s">
        <v>698</v>
      </c>
      <c r="J20" t="s">
        <v>699</v>
      </c>
      <c r="K20" t="s">
        <v>13226</v>
      </c>
      <c r="L20" t="s">
        <v>42</v>
      </c>
      <c r="M20" t="s">
        <v>56</v>
      </c>
      <c r="N20" t="s">
        <v>46</v>
      </c>
      <c r="O20" t="s">
        <v>703</v>
      </c>
    </row>
    <row r="21" spans="1:79" x14ac:dyDescent="0.3">
      <c r="A21">
        <v>32</v>
      </c>
      <c r="B21" t="s">
        <v>13438</v>
      </c>
      <c r="C21" t="s">
        <v>13437</v>
      </c>
      <c r="D21" t="s">
        <v>646</v>
      </c>
      <c r="E21">
        <v>2023</v>
      </c>
      <c r="F21" t="s">
        <v>647</v>
      </c>
      <c r="G21" t="s">
        <v>648</v>
      </c>
      <c r="H21" t="s">
        <v>649</v>
      </c>
      <c r="I21" t="s">
        <v>651</v>
      </c>
      <c r="J21" t="s">
        <v>652</v>
      </c>
      <c r="K21" t="s">
        <v>13434</v>
      </c>
      <c r="L21" t="s">
        <v>42</v>
      </c>
      <c r="M21" t="s">
        <v>56</v>
      </c>
      <c r="N21" t="s">
        <v>46</v>
      </c>
      <c r="O21" t="s">
        <v>655</v>
      </c>
    </row>
    <row r="22" spans="1:79" x14ac:dyDescent="0.3">
      <c r="A22">
        <v>33</v>
      </c>
      <c r="B22" t="s">
        <v>13344</v>
      </c>
      <c r="C22" t="s">
        <v>13343</v>
      </c>
      <c r="D22" t="s">
        <v>581</v>
      </c>
      <c r="E22">
        <v>2023</v>
      </c>
      <c r="F22" t="s">
        <v>486</v>
      </c>
      <c r="G22" t="s">
        <v>584</v>
      </c>
      <c r="H22" t="s">
        <v>585</v>
      </c>
      <c r="I22" t="s">
        <v>587</v>
      </c>
      <c r="K22" t="s">
        <v>13340</v>
      </c>
      <c r="L22" t="s">
        <v>42</v>
      </c>
      <c r="M22" t="s">
        <v>56</v>
      </c>
      <c r="N22" t="s">
        <v>46</v>
      </c>
      <c r="O22" t="s">
        <v>588</v>
      </c>
    </row>
    <row r="23" spans="1:79" x14ac:dyDescent="0.3">
      <c r="A23">
        <v>34</v>
      </c>
      <c r="B23" t="s">
        <v>12244</v>
      </c>
      <c r="C23" t="s">
        <v>12243</v>
      </c>
      <c r="D23" t="s">
        <v>839</v>
      </c>
      <c r="E23">
        <v>2019</v>
      </c>
      <c r="F23" t="s">
        <v>840</v>
      </c>
      <c r="H23" t="s">
        <v>842</v>
      </c>
      <c r="I23" t="s">
        <v>844</v>
      </c>
      <c r="J23" t="s">
        <v>845</v>
      </c>
      <c r="K23" t="s">
        <v>12241</v>
      </c>
      <c r="L23" t="s">
        <v>42</v>
      </c>
      <c r="M23" t="s">
        <v>56</v>
      </c>
      <c r="N23" t="s">
        <v>46</v>
      </c>
      <c r="O23" t="s">
        <v>848</v>
      </c>
    </row>
    <row r="24" spans="1:79" x14ac:dyDescent="0.3">
      <c r="A24">
        <v>35</v>
      </c>
      <c r="B24" t="s">
        <v>12946</v>
      </c>
      <c r="C24" t="s">
        <v>12945</v>
      </c>
      <c r="D24" t="s">
        <v>195</v>
      </c>
      <c r="E24">
        <v>2023</v>
      </c>
      <c r="F24" t="s">
        <v>196</v>
      </c>
      <c r="G24" t="s">
        <v>197</v>
      </c>
      <c r="H24" t="s">
        <v>198</v>
      </c>
      <c r="I24" t="s">
        <v>12943</v>
      </c>
      <c r="J24" t="s">
        <v>201</v>
      </c>
      <c r="K24" t="s">
        <v>12941</v>
      </c>
      <c r="L24" t="s">
        <v>42</v>
      </c>
      <c r="M24" t="s">
        <v>12252</v>
      </c>
      <c r="N24" t="s">
        <v>46</v>
      </c>
      <c r="O24" t="s">
        <v>203</v>
      </c>
    </row>
    <row r="25" spans="1:79" x14ac:dyDescent="0.3">
      <c r="A25">
        <v>36</v>
      </c>
      <c r="B25" t="s">
        <v>13494</v>
      </c>
      <c r="C25" t="s">
        <v>13493</v>
      </c>
      <c r="D25" t="s">
        <v>714</v>
      </c>
      <c r="E25">
        <v>2023</v>
      </c>
      <c r="F25" t="s">
        <v>715</v>
      </c>
      <c r="G25" t="s">
        <v>716</v>
      </c>
      <c r="H25" t="s">
        <v>717</v>
      </c>
      <c r="I25" t="s">
        <v>718</v>
      </c>
      <c r="J25" t="s">
        <v>719</v>
      </c>
      <c r="K25" t="s">
        <v>13491</v>
      </c>
      <c r="L25" t="s">
        <v>42</v>
      </c>
      <c r="M25" t="s">
        <v>56</v>
      </c>
      <c r="N25" t="s">
        <v>46</v>
      </c>
      <c r="O25" t="s">
        <v>722</v>
      </c>
    </row>
    <row r="26" spans="1:79" x14ac:dyDescent="0.3">
      <c r="A26">
        <v>37</v>
      </c>
      <c r="B26" t="s">
        <v>13284</v>
      </c>
      <c r="C26" t="s">
        <v>13283</v>
      </c>
      <c r="D26" t="s">
        <v>58</v>
      </c>
      <c r="E26">
        <v>2023</v>
      </c>
      <c r="F26" t="s">
        <v>59</v>
      </c>
      <c r="G26" t="s">
        <v>60</v>
      </c>
      <c r="H26" t="s">
        <v>61</v>
      </c>
      <c r="I26" t="s">
        <v>13281</v>
      </c>
      <c r="J26" t="s">
        <v>63</v>
      </c>
      <c r="K26" t="s">
        <v>13278</v>
      </c>
      <c r="L26" t="s">
        <v>42</v>
      </c>
      <c r="M26" t="s">
        <v>12252</v>
      </c>
      <c r="N26" t="s">
        <v>46</v>
      </c>
      <c r="O26" t="s">
        <v>68</v>
      </c>
    </row>
    <row r="27" spans="1:79" x14ac:dyDescent="0.3">
      <c r="A27">
        <v>38</v>
      </c>
      <c r="B27" t="s">
        <v>12703</v>
      </c>
      <c r="C27" t="s">
        <v>12702</v>
      </c>
      <c r="D27" t="s">
        <v>933</v>
      </c>
      <c r="E27">
        <v>2023</v>
      </c>
      <c r="F27" t="s">
        <v>934</v>
      </c>
      <c r="G27" t="s">
        <v>935</v>
      </c>
      <c r="H27" t="s">
        <v>936</v>
      </c>
      <c r="I27" t="s">
        <v>938</v>
      </c>
      <c r="J27" t="s">
        <v>939</v>
      </c>
      <c r="L27" t="s">
        <v>42</v>
      </c>
      <c r="M27" t="s">
        <v>56</v>
      </c>
      <c r="N27" t="s">
        <v>46</v>
      </c>
      <c r="O27" t="s">
        <v>942</v>
      </c>
    </row>
    <row r="28" spans="1:79" s="6" customFormat="1" x14ac:dyDescent="0.3">
      <c r="A28">
        <v>39</v>
      </c>
      <c r="B28" t="s">
        <v>12357</v>
      </c>
      <c r="C28" t="s">
        <v>12356</v>
      </c>
      <c r="D28" t="s">
        <v>1221</v>
      </c>
      <c r="E28">
        <v>2023</v>
      </c>
      <c r="F28" t="s">
        <v>797</v>
      </c>
      <c r="G28" t="s">
        <v>1222</v>
      </c>
      <c r="H28" t="s">
        <v>1223</v>
      </c>
      <c r="I28" t="s">
        <v>1225</v>
      </c>
      <c r="J28" t="s">
        <v>1226</v>
      </c>
      <c r="K28"/>
      <c r="L28" t="s">
        <v>42</v>
      </c>
      <c r="M28" t="s">
        <v>56</v>
      </c>
      <c r="N28" t="s">
        <v>46</v>
      </c>
      <c r="O28" t="s">
        <v>1227</v>
      </c>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row>
    <row r="29" spans="1:79" s="6" customFormat="1" x14ac:dyDescent="0.3">
      <c r="A29">
        <v>40</v>
      </c>
      <c r="B29" t="s">
        <v>12403</v>
      </c>
      <c r="C29" t="s">
        <v>12402</v>
      </c>
      <c r="D29" t="s">
        <v>1285</v>
      </c>
      <c r="E29">
        <v>2023</v>
      </c>
      <c r="F29" t="s">
        <v>797</v>
      </c>
      <c r="G29" t="s">
        <v>1286</v>
      </c>
      <c r="H29" t="s">
        <v>1287</v>
      </c>
      <c r="I29" t="s">
        <v>1289</v>
      </c>
      <c r="J29" t="s">
        <v>1290</v>
      </c>
      <c r="K29"/>
      <c r="L29" t="s">
        <v>42</v>
      </c>
      <c r="M29" t="s">
        <v>56</v>
      </c>
      <c r="N29" t="s">
        <v>46</v>
      </c>
      <c r="O29" t="s">
        <v>1291</v>
      </c>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row>
    <row r="30" spans="1:79" x14ac:dyDescent="0.3">
      <c r="A30">
        <v>42</v>
      </c>
      <c r="B30" t="s">
        <v>12815</v>
      </c>
      <c r="C30" t="s">
        <v>12814</v>
      </c>
      <c r="D30" t="s">
        <v>233</v>
      </c>
      <c r="E30">
        <v>2023</v>
      </c>
      <c r="F30" t="s">
        <v>234</v>
      </c>
      <c r="G30" t="s">
        <v>235</v>
      </c>
      <c r="H30" t="s">
        <v>236</v>
      </c>
      <c r="I30" t="s">
        <v>238</v>
      </c>
      <c r="J30" t="s">
        <v>239</v>
      </c>
      <c r="L30" t="s">
        <v>42</v>
      </c>
      <c r="M30" t="s">
        <v>56</v>
      </c>
      <c r="N30" t="s">
        <v>46</v>
      </c>
      <c r="O30" t="s">
        <v>242</v>
      </c>
      <c r="BC30" s="6"/>
      <c r="BD30" s="6"/>
      <c r="BE30" s="6"/>
      <c r="BF30" s="6"/>
      <c r="BG30" s="6"/>
      <c r="BH30" s="6"/>
      <c r="BI30" s="6"/>
      <c r="BJ30" s="6"/>
      <c r="BK30" s="6"/>
      <c r="BL30" s="6"/>
      <c r="BM30" s="6"/>
      <c r="BN30" s="6"/>
      <c r="BO30" s="6"/>
      <c r="BP30" s="6"/>
      <c r="BQ30" s="6"/>
      <c r="BR30" s="6"/>
      <c r="BS30" s="6"/>
      <c r="BT30" s="6"/>
      <c r="BU30" s="6"/>
    </row>
    <row r="31" spans="1:79" x14ac:dyDescent="0.3">
      <c r="A31">
        <v>43</v>
      </c>
      <c r="B31" t="s">
        <v>664</v>
      </c>
      <c r="C31" t="s">
        <v>12753</v>
      </c>
      <c r="D31" t="s">
        <v>665</v>
      </c>
      <c r="E31">
        <v>2023</v>
      </c>
      <c r="F31" t="s">
        <v>666</v>
      </c>
      <c r="G31" t="s">
        <v>667</v>
      </c>
      <c r="H31" t="s">
        <v>668</v>
      </c>
      <c r="I31" t="s">
        <v>670</v>
      </c>
      <c r="J31" t="s">
        <v>671</v>
      </c>
      <c r="L31" t="s">
        <v>42</v>
      </c>
      <c r="M31" t="s">
        <v>56</v>
      </c>
      <c r="N31" t="s">
        <v>46</v>
      </c>
      <c r="O31" t="s">
        <v>674</v>
      </c>
      <c r="CA31" s="6"/>
    </row>
    <row r="32" spans="1:79" x14ac:dyDescent="0.3">
      <c r="A32">
        <v>44</v>
      </c>
      <c r="B32" t="s">
        <v>13501</v>
      </c>
      <c r="C32" t="s">
        <v>13500</v>
      </c>
      <c r="D32" t="s">
        <v>13499</v>
      </c>
      <c r="E32">
        <v>2023</v>
      </c>
      <c r="F32" t="s">
        <v>48</v>
      </c>
      <c r="G32" t="s">
        <v>49</v>
      </c>
      <c r="H32" t="s">
        <v>50</v>
      </c>
      <c r="I32" t="s">
        <v>52</v>
      </c>
      <c r="J32" t="s">
        <v>53</v>
      </c>
      <c r="K32" t="s">
        <v>13495</v>
      </c>
      <c r="L32" t="s">
        <v>55</v>
      </c>
      <c r="M32" t="s">
        <v>56</v>
      </c>
      <c r="N32" t="s">
        <v>46</v>
      </c>
      <c r="O32" t="s">
        <v>57</v>
      </c>
    </row>
    <row r="33" spans="1:73" x14ac:dyDescent="0.3">
      <c r="A33">
        <v>45</v>
      </c>
      <c r="B33" t="s">
        <v>12510</v>
      </c>
      <c r="C33" t="s">
        <v>12509</v>
      </c>
      <c r="D33" t="s">
        <v>1398</v>
      </c>
      <c r="E33">
        <v>2023</v>
      </c>
      <c r="F33" t="s">
        <v>1399</v>
      </c>
      <c r="G33" t="s">
        <v>1401</v>
      </c>
      <c r="H33" t="s">
        <v>1402</v>
      </c>
      <c r="I33" t="s">
        <v>1404</v>
      </c>
      <c r="L33" t="s">
        <v>42</v>
      </c>
      <c r="M33" t="s">
        <v>56</v>
      </c>
      <c r="N33" t="s">
        <v>46</v>
      </c>
      <c r="O33" t="s">
        <v>1407</v>
      </c>
      <c r="BC33" s="6"/>
      <c r="BD33" s="6"/>
      <c r="BE33" s="6"/>
      <c r="BF33" s="6"/>
      <c r="BG33" s="6"/>
      <c r="BH33" s="6"/>
      <c r="BI33" s="6"/>
      <c r="BJ33" s="6"/>
      <c r="BK33" s="6"/>
      <c r="BL33" s="6"/>
      <c r="BM33" s="6"/>
      <c r="BN33" s="6"/>
      <c r="BO33" s="6"/>
      <c r="BP33" s="6"/>
      <c r="BQ33" s="6"/>
      <c r="BR33" s="6"/>
      <c r="BS33" s="6"/>
      <c r="BT33" s="6"/>
      <c r="BU33" s="6"/>
    </row>
    <row r="34" spans="1:73" x14ac:dyDescent="0.3">
      <c r="A34">
        <v>46</v>
      </c>
      <c r="B34" t="s">
        <v>12363</v>
      </c>
      <c r="C34" t="s">
        <v>12362</v>
      </c>
      <c r="D34" t="s">
        <v>984</v>
      </c>
      <c r="E34">
        <v>2023</v>
      </c>
      <c r="F34" t="s">
        <v>985</v>
      </c>
      <c r="G34" t="s">
        <v>986</v>
      </c>
      <c r="H34" t="s">
        <v>987</v>
      </c>
      <c r="I34" t="s">
        <v>989</v>
      </c>
      <c r="J34" t="s">
        <v>990</v>
      </c>
      <c r="L34" t="s">
        <v>42</v>
      </c>
      <c r="M34" t="s">
        <v>56</v>
      </c>
      <c r="N34" t="s">
        <v>46</v>
      </c>
      <c r="O34" t="s">
        <v>994</v>
      </c>
      <c r="BC34" s="6"/>
      <c r="BD34" s="6"/>
      <c r="BE34" s="6"/>
      <c r="BF34" s="6"/>
      <c r="BG34" s="6"/>
      <c r="BH34" s="6"/>
      <c r="BI34" s="6"/>
      <c r="BJ34" s="6"/>
      <c r="BK34" s="6"/>
      <c r="BL34" s="6"/>
      <c r="BM34" s="6"/>
      <c r="BN34" s="6"/>
      <c r="BO34" s="6"/>
      <c r="BP34" s="6"/>
      <c r="BQ34" s="6"/>
      <c r="BR34" s="6"/>
      <c r="BS34" s="6"/>
      <c r="BT34" s="6"/>
      <c r="BU34" s="6"/>
    </row>
    <row r="35" spans="1:73" x14ac:dyDescent="0.3">
      <c r="A35">
        <v>47</v>
      </c>
      <c r="B35" t="s">
        <v>13364</v>
      </c>
      <c r="C35" t="s">
        <v>13363</v>
      </c>
      <c r="D35" t="s">
        <v>776</v>
      </c>
      <c r="E35">
        <v>2023</v>
      </c>
      <c r="F35" t="s">
        <v>777</v>
      </c>
      <c r="G35" t="s">
        <v>778</v>
      </c>
      <c r="H35" t="s">
        <v>779</v>
      </c>
      <c r="I35" t="s">
        <v>13361</v>
      </c>
      <c r="J35" t="s">
        <v>782</v>
      </c>
      <c r="K35" t="s">
        <v>13360</v>
      </c>
      <c r="L35" t="s">
        <v>42</v>
      </c>
      <c r="M35" t="s">
        <v>12252</v>
      </c>
      <c r="N35" t="s">
        <v>46</v>
      </c>
      <c r="O35" t="s">
        <v>785</v>
      </c>
    </row>
    <row r="36" spans="1:73" x14ac:dyDescent="0.3">
      <c r="A36">
        <v>48</v>
      </c>
      <c r="B36" t="s">
        <v>12399</v>
      </c>
      <c r="C36" t="s">
        <v>12398</v>
      </c>
      <c r="D36" t="s">
        <v>1319</v>
      </c>
      <c r="E36">
        <v>2023</v>
      </c>
      <c r="F36" t="s">
        <v>797</v>
      </c>
      <c r="G36" t="s">
        <v>1320</v>
      </c>
      <c r="H36" t="s">
        <v>1321</v>
      </c>
      <c r="I36" t="s">
        <v>1323</v>
      </c>
      <c r="J36" t="s">
        <v>1324</v>
      </c>
      <c r="L36" t="s">
        <v>42</v>
      </c>
      <c r="M36" t="s">
        <v>56</v>
      </c>
      <c r="N36" t="s">
        <v>46</v>
      </c>
      <c r="O36" t="s">
        <v>1325</v>
      </c>
    </row>
    <row r="37" spans="1:73" x14ac:dyDescent="0.3">
      <c r="A37">
        <v>49</v>
      </c>
      <c r="B37" t="s">
        <v>1356</v>
      </c>
      <c r="C37" t="s">
        <v>12281</v>
      </c>
      <c r="D37" t="s">
        <v>1357</v>
      </c>
      <c r="E37">
        <v>2019</v>
      </c>
      <c r="F37" t="s">
        <v>1358</v>
      </c>
      <c r="G37" t="s">
        <v>1359</v>
      </c>
      <c r="H37" t="s">
        <v>1360</v>
      </c>
      <c r="I37" t="s">
        <v>1362</v>
      </c>
      <c r="J37" t="s">
        <v>1363</v>
      </c>
      <c r="K37" t="s">
        <v>12277</v>
      </c>
      <c r="L37" t="s">
        <v>42</v>
      </c>
      <c r="M37" t="s">
        <v>56</v>
      </c>
      <c r="N37" t="s">
        <v>46</v>
      </c>
      <c r="O37" t="s">
        <v>1366</v>
      </c>
    </row>
    <row r="38" spans="1:73" x14ac:dyDescent="0.3">
      <c r="A38">
        <v>50</v>
      </c>
      <c r="B38" t="s">
        <v>13621</v>
      </c>
      <c r="C38" t="s">
        <v>13620</v>
      </c>
      <c r="D38" t="s">
        <v>515</v>
      </c>
      <c r="E38">
        <v>2023</v>
      </c>
      <c r="F38" t="s">
        <v>105</v>
      </c>
      <c r="G38" t="s">
        <v>516</v>
      </c>
      <c r="H38" t="s">
        <v>517</v>
      </c>
      <c r="I38" t="s">
        <v>518</v>
      </c>
      <c r="J38" t="s">
        <v>519</v>
      </c>
      <c r="K38" t="s">
        <v>13617</v>
      </c>
      <c r="L38" t="s">
        <v>42</v>
      </c>
      <c r="M38" t="s">
        <v>56</v>
      </c>
      <c r="N38" t="s">
        <v>46</v>
      </c>
      <c r="O38" t="s">
        <v>520</v>
      </c>
    </row>
    <row r="39" spans="1:73" x14ac:dyDescent="0.3">
      <c r="A39">
        <v>51</v>
      </c>
      <c r="B39" t="s">
        <v>13490</v>
      </c>
      <c r="C39" t="s">
        <v>13489</v>
      </c>
      <c r="D39" t="s">
        <v>628</v>
      </c>
      <c r="E39">
        <v>2023</v>
      </c>
      <c r="F39" t="s">
        <v>629</v>
      </c>
      <c r="G39" t="s">
        <v>630</v>
      </c>
      <c r="H39" t="s">
        <v>631</v>
      </c>
      <c r="I39" t="s">
        <v>13487</v>
      </c>
      <c r="J39" t="s">
        <v>633</v>
      </c>
      <c r="K39" t="s">
        <v>13484</v>
      </c>
      <c r="L39" t="s">
        <v>42</v>
      </c>
      <c r="M39" t="s">
        <v>56</v>
      </c>
      <c r="N39" t="s">
        <v>46</v>
      </c>
      <c r="O39" t="s">
        <v>635</v>
      </c>
    </row>
    <row r="40" spans="1:73" x14ac:dyDescent="0.3">
      <c r="A40">
        <v>52</v>
      </c>
      <c r="B40" t="s">
        <v>12605</v>
      </c>
      <c r="C40" t="s">
        <v>12604</v>
      </c>
      <c r="D40" t="s">
        <v>1337</v>
      </c>
      <c r="E40">
        <v>2023</v>
      </c>
      <c r="F40" t="s">
        <v>127</v>
      </c>
      <c r="G40" t="s">
        <v>1339</v>
      </c>
      <c r="H40" t="s">
        <v>1340</v>
      </c>
      <c r="I40" t="s">
        <v>1342</v>
      </c>
      <c r="J40" t="s">
        <v>1343</v>
      </c>
      <c r="K40" t="s">
        <v>12591</v>
      </c>
      <c r="L40" t="s">
        <v>42</v>
      </c>
      <c r="M40" t="s">
        <v>12252</v>
      </c>
      <c r="N40" t="s">
        <v>46</v>
      </c>
      <c r="O40" t="s">
        <v>1345</v>
      </c>
    </row>
    <row r="41" spans="1:73" x14ac:dyDescent="0.3">
      <c r="A41">
        <v>53</v>
      </c>
      <c r="B41" t="s">
        <v>12730</v>
      </c>
      <c r="C41" t="s">
        <v>12729</v>
      </c>
      <c r="D41" t="s">
        <v>1437</v>
      </c>
      <c r="E41">
        <v>2023</v>
      </c>
      <c r="F41" t="s">
        <v>127</v>
      </c>
      <c r="G41" t="s">
        <v>1438</v>
      </c>
      <c r="H41" t="s">
        <v>1439</v>
      </c>
      <c r="I41" t="s">
        <v>1441</v>
      </c>
      <c r="J41" t="s">
        <v>1442</v>
      </c>
      <c r="L41" t="s">
        <v>42</v>
      </c>
      <c r="M41" t="s">
        <v>12252</v>
      </c>
      <c r="N41" t="s">
        <v>46</v>
      </c>
      <c r="O41" t="s">
        <v>1444</v>
      </c>
    </row>
    <row r="42" spans="1:73" x14ac:dyDescent="0.3">
      <c r="A42">
        <v>54</v>
      </c>
      <c r="B42" t="s">
        <v>12621</v>
      </c>
      <c r="C42" t="s">
        <v>12620</v>
      </c>
      <c r="D42" t="s">
        <v>1177</v>
      </c>
      <c r="E42">
        <v>2023</v>
      </c>
      <c r="F42" t="s">
        <v>1178</v>
      </c>
      <c r="G42" t="s">
        <v>1179</v>
      </c>
      <c r="H42" t="s">
        <v>1180</v>
      </c>
      <c r="I42" t="s">
        <v>1182</v>
      </c>
      <c r="J42" t="s">
        <v>1183</v>
      </c>
      <c r="L42" t="s">
        <v>42</v>
      </c>
      <c r="M42" t="s">
        <v>56</v>
      </c>
      <c r="N42" t="s">
        <v>46</v>
      </c>
      <c r="O42" t="s">
        <v>1186</v>
      </c>
    </row>
    <row r="43" spans="1:73" x14ac:dyDescent="0.3">
      <c r="A43">
        <v>55</v>
      </c>
      <c r="B43" t="s">
        <v>829</v>
      </c>
      <c r="C43" t="s">
        <v>12213</v>
      </c>
      <c r="D43" t="s">
        <v>830</v>
      </c>
      <c r="E43">
        <v>2018</v>
      </c>
      <c r="F43" t="s">
        <v>831</v>
      </c>
      <c r="G43" t="s">
        <v>832</v>
      </c>
      <c r="H43" t="s">
        <v>833</v>
      </c>
      <c r="I43" t="s">
        <v>835</v>
      </c>
      <c r="J43" t="s">
        <v>836</v>
      </c>
      <c r="K43" t="s">
        <v>12211</v>
      </c>
      <c r="L43" t="s">
        <v>42</v>
      </c>
      <c r="M43" t="s">
        <v>56</v>
      </c>
      <c r="N43" t="s">
        <v>46</v>
      </c>
      <c r="O43" t="s">
        <v>838</v>
      </c>
    </row>
    <row r="44" spans="1:73" x14ac:dyDescent="0.3">
      <c r="A44">
        <v>56</v>
      </c>
      <c r="B44" t="s">
        <v>12718</v>
      </c>
      <c r="C44" t="s">
        <v>12717</v>
      </c>
      <c r="D44" t="s">
        <v>12716</v>
      </c>
      <c r="E44">
        <v>2023</v>
      </c>
      <c r="F44" t="s">
        <v>923</v>
      </c>
      <c r="G44" t="s">
        <v>924</v>
      </c>
      <c r="H44" t="s">
        <v>925</v>
      </c>
      <c r="I44" t="s">
        <v>927</v>
      </c>
      <c r="J44" t="s">
        <v>928</v>
      </c>
      <c r="L44" t="s">
        <v>12712</v>
      </c>
      <c r="M44" t="s">
        <v>56</v>
      </c>
      <c r="N44" t="s">
        <v>46</v>
      </c>
      <c r="O44" t="s">
        <v>932</v>
      </c>
    </row>
    <row r="45" spans="1:73" x14ac:dyDescent="0.3">
      <c r="A45">
        <v>57</v>
      </c>
      <c r="B45" t="s">
        <v>12683</v>
      </c>
      <c r="C45" t="s">
        <v>12682</v>
      </c>
      <c r="D45" t="s">
        <v>1298</v>
      </c>
      <c r="E45">
        <v>2023</v>
      </c>
      <c r="F45" t="s">
        <v>1299</v>
      </c>
      <c r="G45" t="s">
        <v>1301</v>
      </c>
      <c r="H45" t="s">
        <v>1302</v>
      </c>
      <c r="I45" t="s">
        <v>1304</v>
      </c>
      <c r="J45" t="s">
        <v>1305</v>
      </c>
      <c r="L45" t="s">
        <v>42</v>
      </c>
      <c r="M45" t="s">
        <v>56</v>
      </c>
      <c r="N45" t="s">
        <v>46</v>
      </c>
      <c r="O45" t="s">
        <v>1308</v>
      </c>
    </row>
    <row r="46" spans="1:73" x14ac:dyDescent="0.3">
      <c r="A46">
        <v>58</v>
      </c>
      <c r="B46" t="s">
        <v>13349</v>
      </c>
      <c r="C46" t="s">
        <v>13348</v>
      </c>
      <c r="D46" t="s">
        <v>173</v>
      </c>
      <c r="E46">
        <v>2023</v>
      </c>
      <c r="F46" t="s">
        <v>174</v>
      </c>
      <c r="G46" t="s">
        <v>175</v>
      </c>
      <c r="H46" t="s">
        <v>176</v>
      </c>
      <c r="I46" t="s">
        <v>178</v>
      </c>
      <c r="J46" t="s">
        <v>179</v>
      </c>
      <c r="K46" t="s">
        <v>13346</v>
      </c>
      <c r="L46" t="s">
        <v>42</v>
      </c>
      <c r="M46" t="s">
        <v>56</v>
      </c>
      <c r="N46" t="s">
        <v>46</v>
      </c>
      <c r="O46" t="s">
        <v>182</v>
      </c>
    </row>
    <row r="47" spans="1:73" x14ac:dyDescent="0.3">
      <c r="A47">
        <v>60</v>
      </c>
      <c r="B47" t="s">
        <v>12628</v>
      </c>
      <c r="C47" t="s">
        <v>12627</v>
      </c>
      <c r="D47" t="s">
        <v>1111</v>
      </c>
      <c r="E47">
        <v>2023</v>
      </c>
      <c r="F47" t="s">
        <v>383</v>
      </c>
      <c r="H47" t="s">
        <v>1112</v>
      </c>
      <c r="I47" t="s">
        <v>1114</v>
      </c>
      <c r="J47" t="s">
        <v>1115</v>
      </c>
      <c r="L47" t="s">
        <v>42</v>
      </c>
      <c r="M47" t="s">
        <v>12252</v>
      </c>
      <c r="N47" t="s">
        <v>46</v>
      </c>
      <c r="O47" t="s">
        <v>1117</v>
      </c>
    </row>
    <row r="48" spans="1:73" x14ac:dyDescent="0.3">
      <c r="A48">
        <v>61</v>
      </c>
      <c r="B48" t="s">
        <v>12653</v>
      </c>
      <c r="C48" t="s">
        <v>12652</v>
      </c>
      <c r="D48" t="s">
        <v>1385</v>
      </c>
      <c r="E48">
        <v>2023</v>
      </c>
      <c r="F48" t="s">
        <v>383</v>
      </c>
      <c r="H48" t="s">
        <v>1386</v>
      </c>
      <c r="I48" t="s">
        <v>12649</v>
      </c>
      <c r="J48" t="s">
        <v>1387</v>
      </c>
      <c r="L48" t="s">
        <v>42</v>
      </c>
      <c r="M48" t="s">
        <v>12252</v>
      </c>
      <c r="N48" t="s">
        <v>46</v>
      </c>
      <c r="O48" t="s">
        <v>1389</v>
      </c>
    </row>
    <row r="49" spans="1:79" x14ac:dyDescent="0.3">
      <c r="A49">
        <v>62</v>
      </c>
      <c r="B49" t="s">
        <v>12504</v>
      </c>
      <c r="C49" t="s">
        <v>12503</v>
      </c>
      <c r="D49" t="s">
        <v>1267</v>
      </c>
      <c r="E49">
        <v>2023</v>
      </c>
      <c r="F49" t="s">
        <v>127</v>
      </c>
      <c r="G49" t="s">
        <v>1269</v>
      </c>
      <c r="H49" t="s">
        <v>1270</v>
      </c>
      <c r="I49" t="s">
        <v>1271</v>
      </c>
      <c r="J49" t="s">
        <v>1272</v>
      </c>
      <c r="L49" t="s">
        <v>42</v>
      </c>
      <c r="M49" t="s">
        <v>12252</v>
      </c>
      <c r="N49" t="s">
        <v>46</v>
      </c>
      <c r="O49" t="s">
        <v>1274</v>
      </c>
    </row>
    <row r="50" spans="1:79" x14ac:dyDescent="0.3">
      <c r="A50">
        <v>63</v>
      </c>
      <c r="B50" t="s">
        <v>12804</v>
      </c>
      <c r="C50" t="s">
        <v>12803</v>
      </c>
      <c r="D50" t="s">
        <v>508</v>
      </c>
      <c r="E50">
        <v>2023</v>
      </c>
      <c r="F50" t="s">
        <v>383</v>
      </c>
      <c r="H50" t="s">
        <v>509</v>
      </c>
      <c r="I50" t="s">
        <v>511</v>
      </c>
      <c r="J50" t="s">
        <v>512</v>
      </c>
      <c r="L50" t="s">
        <v>42</v>
      </c>
      <c r="M50" t="s">
        <v>12252</v>
      </c>
      <c r="N50" t="s">
        <v>46</v>
      </c>
      <c r="O50" t="s">
        <v>514</v>
      </c>
    </row>
    <row r="51" spans="1:79" x14ac:dyDescent="0.3">
      <c r="A51">
        <v>64</v>
      </c>
      <c r="B51" t="s">
        <v>12810</v>
      </c>
      <c r="C51" t="s">
        <v>12809</v>
      </c>
      <c r="D51" t="s">
        <v>559</v>
      </c>
      <c r="E51">
        <v>2023</v>
      </c>
      <c r="F51" t="s">
        <v>560</v>
      </c>
      <c r="G51" t="s">
        <v>562</v>
      </c>
      <c r="H51" t="s">
        <v>563</v>
      </c>
      <c r="I51" t="s">
        <v>565</v>
      </c>
      <c r="J51" t="s">
        <v>566</v>
      </c>
      <c r="L51" t="s">
        <v>42</v>
      </c>
      <c r="M51" t="s">
        <v>56</v>
      </c>
      <c r="N51" t="s">
        <v>46</v>
      </c>
      <c r="O51" t="s">
        <v>568</v>
      </c>
    </row>
    <row r="52" spans="1:79" x14ac:dyDescent="0.3">
      <c r="A52">
        <v>65</v>
      </c>
      <c r="B52" t="s">
        <v>12395</v>
      </c>
      <c r="C52" t="s">
        <v>12394</v>
      </c>
      <c r="D52" t="s">
        <v>1065</v>
      </c>
      <c r="E52">
        <v>2023</v>
      </c>
      <c r="F52" t="s">
        <v>996</v>
      </c>
      <c r="G52" t="s">
        <v>1067</v>
      </c>
      <c r="H52" t="s">
        <v>1068</v>
      </c>
      <c r="I52" t="s">
        <v>1070</v>
      </c>
      <c r="J52" t="s">
        <v>1071</v>
      </c>
      <c r="L52" t="s">
        <v>42</v>
      </c>
      <c r="M52" t="s">
        <v>56</v>
      </c>
      <c r="N52" t="s">
        <v>46</v>
      </c>
      <c r="O52" t="s">
        <v>1072</v>
      </c>
    </row>
    <row r="53" spans="1:79" x14ac:dyDescent="0.3">
      <c r="A53">
        <v>67</v>
      </c>
      <c r="B53" t="s">
        <v>13701</v>
      </c>
      <c r="C53" t="s">
        <v>13700</v>
      </c>
      <c r="D53" t="s">
        <v>293</v>
      </c>
      <c r="E53">
        <v>2023</v>
      </c>
      <c r="F53" t="s">
        <v>294</v>
      </c>
      <c r="G53" t="s">
        <v>295</v>
      </c>
      <c r="H53" t="s">
        <v>296</v>
      </c>
      <c r="I53" t="s">
        <v>297</v>
      </c>
      <c r="J53" t="s">
        <v>298</v>
      </c>
      <c r="K53" t="s">
        <v>13697</v>
      </c>
      <c r="L53" t="s">
        <v>42</v>
      </c>
      <c r="M53" t="s">
        <v>56</v>
      </c>
      <c r="N53" t="s">
        <v>46</v>
      </c>
      <c r="O53" t="s">
        <v>302</v>
      </c>
    </row>
    <row r="54" spans="1:79" x14ac:dyDescent="0.3">
      <c r="A54">
        <v>68</v>
      </c>
      <c r="B54" t="s">
        <v>12775</v>
      </c>
      <c r="C54" t="s">
        <v>12774</v>
      </c>
      <c r="D54" t="s">
        <v>531</v>
      </c>
      <c r="E54">
        <v>2023</v>
      </c>
      <c r="F54" t="s">
        <v>335</v>
      </c>
      <c r="G54" t="s">
        <v>532</v>
      </c>
      <c r="H54" t="s">
        <v>533</v>
      </c>
      <c r="I54" t="s">
        <v>535</v>
      </c>
      <c r="J54" t="s">
        <v>536</v>
      </c>
      <c r="L54" t="s">
        <v>42</v>
      </c>
      <c r="M54" t="s">
        <v>56</v>
      </c>
      <c r="N54" t="s">
        <v>46</v>
      </c>
      <c r="O54" t="s">
        <v>537</v>
      </c>
      <c r="BC54" s="6"/>
      <c r="BD54" s="6"/>
      <c r="BE54" s="6"/>
      <c r="BF54" s="6"/>
      <c r="BG54" s="6"/>
      <c r="BH54" s="6"/>
      <c r="BI54" s="6"/>
      <c r="BJ54" s="6"/>
      <c r="BK54" s="6"/>
      <c r="BL54" s="6"/>
      <c r="BM54" s="6"/>
      <c r="BN54" s="6"/>
      <c r="BO54" s="6"/>
      <c r="BP54" s="6"/>
      <c r="BQ54" s="6"/>
      <c r="BR54" s="6"/>
      <c r="BS54" s="6"/>
      <c r="BT54" s="6"/>
      <c r="BU54" s="6"/>
    </row>
    <row r="55" spans="1:79" x14ac:dyDescent="0.3">
      <c r="A55">
        <v>69</v>
      </c>
      <c r="B55" t="s">
        <v>12662</v>
      </c>
      <c r="C55" t="s">
        <v>12661</v>
      </c>
      <c r="D55" t="s">
        <v>1170</v>
      </c>
      <c r="E55">
        <v>2023</v>
      </c>
      <c r="F55" t="s">
        <v>797</v>
      </c>
      <c r="G55" t="s">
        <v>1171</v>
      </c>
      <c r="H55" t="s">
        <v>1172</v>
      </c>
      <c r="I55" t="s">
        <v>1174</v>
      </c>
      <c r="J55" t="s">
        <v>1175</v>
      </c>
      <c r="L55" t="s">
        <v>42</v>
      </c>
      <c r="M55" t="s">
        <v>56</v>
      </c>
      <c r="N55" t="s">
        <v>46</v>
      </c>
      <c r="O55" t="s">
        <v>1176</v>
      </c>
      <c r="CA55" s="6"/>
    </row>
    <row r="56" spans="1:79" x14ac:dyDescent="0.3">
      <c r="A56">
        <v>71</v>
      </c>
      <c r="B56" t="s">
        <v>12658</v>
      </c>
      <c r="C56" t="s">
        <v>12657</v>
      </c>
      <c r="D56" t="s">
        <v>1275</v>
      </c>
      <c r="E56">
        <v>2023</v>
      </c>
      <c r="F56" t="s">
        <v>1276</v>
      </c>
      <c r="G56" t="s">
        <v>1278</v>
      </c>
      <c r="H56" t="s">
        <v>1279</v>
      </c>
      <c r="I56" t="s">
        <v>1281</v>
      </c>
      <c r="J56" t="s">
        <v>1282</v>
      </c>
      <c r="L56" t="s">
        <v>42</v>
      </c>
      <c r="M56" t="s">
        <v>56</v>
      </c>
      <c r="N56" t="s">
        <v>46</v>
      </c>
      <c r="O56" t="s">
        <v>1284</v>
      </c>
    </row>
    <row r="57" spans="1:79" x14ac:dyDescent="0.3">
      <c r="A57">
        <v>72</v>
      </c>
      <c r="B57" t="s">
        <v>1213</v>
      </c>
      <c r="C57" t="s">
        <v>12427</v>
      </c>
      <c r="D57" t="s">
        <v>1214</v>
      </c>
      <c r="E57">
        <v>2023</v>
      </c>
      <c r="F57" t="s">
        <v>1215</v>
      </c>
      <c r="G57" t="s">
        <v>1216</v>
      </c>
      <c r="H57" t="s">
        <v>1217</v>
      </c>
      <c r="I57" t="s">
        <v>1218</v>
      </c>
      <c r="L57" t="s">
        <v>42</v>
      </c>
      <c r="M57" t="s">
        <v>12262</v>
      </c>
      <c r="N57" t="s">
        <v>46</v>
      </c>
      <c r="O57" t="s">
        <v>1220</v>
      </c>
    </row>
    <row r="58" spans="1:79" x14ac:dyDescent="0.3">
      <c r="A58">
        <v>73</v>
      </c>
      <c r="B58" t="s">
        <v>13482</v>
      </c>
      <c r="C58" t="s">
        <v>13481</v>
      </c>
      <c r="D58" t="s">
        <v>485</v>
      </c>
      <c r="E58">
        <v>2023</v>
      </c>
      <c r="F58" t="s">
        <v>486</v>
      </c>
      <c r="G58" t="s">
        <v>489</v>
      </c>
      <c r="H58" t="s">
        <v>490</v>
      </c>
      <c r="I58" t="s">
        <v>492</v>
      </c>
      <c r="K58" t="s">
        <v>13478</v>
      </c>
      <c r="L58" t="s">
        <v>42</v>
      </c>
      <c r="M58" t="s">
        <v>56</v>
      </c>
      <c r="N58" t="s">
        <v>46</v>
      </c>
      <c r="O58" t="s">
        <v>495</v>
      </c>
    </row>
    <row r="59" spans="1:79" x14ac:dyDescent="0.3">
      <c r="A59">
        <v>74</v>
      </c>
      <c r="B59" t="s">
        <v>13017</v>
      </c>
      <c r="C59" t="s">
        <v>13016</v>
      </c>
      <c r="D59" t="s">
        <v>13015</v>
      </c>
      <c r="E59">
        <v>2023</v>
      </c>
      <c r="F59" t="s">
        <v>13014</v>
      </c>
      <c r="G59" t="s">
        <v>13013</v>
      </c>
      <c r="H59" t="s">
        <v>13012</v>
      </c>
      <c r="I59" t="s">
        <v>13009</v>
      </c>
      <c r="J59" t="s">
        <v>13008</v>
      </c>
      <c r="K59" t="s">
        <v>13004</v>
      </c>
      <c r="L59" t="s">
        <v>42</v>
      </c>
      <c r="M59" t="s">
        <v>12252</v>
      </c>
      <c r="N59" t="s">
        <v>46</v>
      </c>
      <c r="O59" t="s">
        <v>12997</v>
      </c>
    </row>
    <row r="60" spans="1:79" x14ac:dyDescent="0.3">
      <c r="A60">
        <v>75</v>
      </c>
      <c r="B60" t="s">
        <v>12667</v>
      </c>
      <c r="C60" t="s">
        <v>12666</v>
      </c>
      <c r="D60" t="s">
        <v>995</v>
      </c>
      <c r="E60">
        <v>2023</v>
      </c>
      <c r="F60" t="s">
        <v>996</v>
      </c>
      <c r="G60" t="s">
        <v>998</v>
      </c>
      <c r="H60" t="s">
        <v>999</v>
      </c>
      <c r="I60" t="s">
        <v>1001</v>
      </c>
      <c r="J60" t="s">
        <v>1002</v>
      </c>
      <c r="L60" t="s">
        <v>42</v>
      </c>
      <c r="M60" t="s">
        <v>56</v>
      </c>
      <c r="N60" t="s">
        <v>46</v>
      </c>
      <c r="O60" t="s">
        <v>1004</v>
      </c>
    </row>
    <row r="61" spans="1:79" x14ac:dyDescent="0.3">
      <c r="A61">
        <v>76</v>
      </c>
      <c r="B61" t="s">
        <v>12495</v>
      </c>
      <c r="C61" t="s">
        <v>12494</v>
      </c>
      <c r="D61" t="s">
        <v>966</v>
      </c>
      <c r="E61">
        <v>2023</v>
      </c>
      <c r="F61" t="s">
        <v>967</v>
      </c>
      <c r="G61" t="s">
        <v>968</v>
      </c>
      <c r="H61" t="s">
        <v>969</v>
      </c>
      <c r="I61" t="s">
        <v>971</v>
      </c>
      <c r="J61" t="s">
        <v>972</v>
      </c>
      <c r="L61" t="s">
        <v>42</v>
      </c>
      <c r="M61" t="s">
        <v>56</v>
      </c>
      <c r="N61" t="s">
        <v>46</v>
      </c>
      <c r="O61" t="s">
        <v>976</v>
      </c>
      <c r="BC61" s="6"/>
      <c r="BD61" s="6"/>
      <c r="BE61" s="6"/>
      <c r="BF61" s="6"/>
      <c r="BG61" s="6"/>
      <c r="BH61" s="6"/>
      <c r="BI61" s="6"/>
      <c r="BJ61" s="6"/>
      <c r="BK61" s="6"/>
      <c r="BL61" s="6"/>
      <c r="BM61" s="6"/>
      <c r="BN61" s="6"/>
      <c r="BO61" s="6"/>
      <c r="BP61" s="6"/>
      <c r="BQ61" s="6"/>
      <c r="BR61" s="6"/>
      <c r="BS61" s="6"/>
      <c r="BT61" s="6"/>
      <c r="BU61" s="6"/>
    </row>
    <row r="62" spans="1:79" x14ac:dyDescent="0.3">
      <c r="A62">
        <v>77</v>
      </c>
      <c r="B62" t="s">
        <v>13581</v>
      </c>
      <c r="C62" t="s">
        <v>13580</v>
      </c>
      <c r="D62" t="s">
        <v>600</v>
      </c>
      <c r="E62">
        <v>2023</v>
      </c>
      <c r="F62" t="s">
        <v>601</v>
      </c>
      <c r="G62" t="s">
        <v>603</v>
      </c>
      <c r="H62" t="s">
        <v>604</v>
      </c>
      <c r="I62" t="s">
        <v>605</v>
      </c>
      <c r="J62" t="s">
        <v>606</v>
      </c>
      <c r="K62" t="s">
        <v>13574</v>
      </c>
      <c r="L62" t="s">
        <v>42</v>
      </c>
      <c r="M62" t="s">
        <v>56</v>
      </c>
      <c r="N62" t="s">
        <v>46</v>
      </c>
      <c r="O62" t="s">
        <v>609</v>
      </c>
    </row>
    <row r="63" spans="1:79" x14ac:dyDescent="0.3">
      <c r="A63">
        <v>78</v>
      </c>
      <c r="B63" t="s">
        <v>13615</v>
      </c>
      <c r="C63" t="s">
        <v>13614</v>
      </c>
      <c r="D63" t="s">
        <v>553</v>
      </c>
      <c r="E63">
        <v>2023</v>
      </c>
      <c r="F63" t="s">
        <v>124</v>
      </c>
      <c r="G63" t="s">
        <v>554</v>
      </c>
      <c r="H63" t="s">
        <v>555</v>
      </c>
      <c r="I63" t="s">
        <v>557</v>
      </c>
      <c r="K63" t="s">
        <v>13611</v>
      </c>
      <c r="L63" t="s">
        <v>42</v>
      </c>
      <c r="M63" t="s">
        <v>56</v>
      </c>
      <c r="N63" t="s">
        <v>46</v>
      </c>
      <c r="O63" t="s">
        <v>558</v>
      </c>
    </row>
    <row r="64" spans="1:79" x14ac:dyDescent="0.3">
      <c r="A64">
        <v>79</v>
      </c>
      <c r="B64" t="s">
        <v>13681</v>
      </c>
      <c r="C64" t="s">
        <v>13680</v>
      </c>
      <c r="D64" t="s">
        <v>737</v>
      </c>
      <c r="E64">
        <v>2023</v>
      </c>
      <c r="F64" t="s">
        <v>738</v>
      </c>
      <c r="G64" t="s">
        <v>739</v>
      </c>
      <c r="H64" t="s">
        <v>740</v>
      </c>
      <c r="I64" t="s">
        <v>742</v>
      </c>
      <c r="J64" t="s">
        <v>743</v>
      </c>
      <c r="K64" t="s">
        <v>13677</v>
      </c>
      <c r="L64" t="s">
        <v>42</v>
      </c>
      <c r="M64" t="s">
        <v>56</v>
      </c>
      <c r="N64" t="s">
        <v>46</v>
      </c>
      <c r="O64" t="s">
        <v>746</v>
      </c>
    </row>
    <row r="65" spans="1:79" x14ac:dyDescent="0.3">
      <c r="A65">
        <v>80</v>
      </c>
      <c r="B65" t="s">
        <v>13293</v>
      </c>
      <c r="C65" t="s">
        <v>13292</v>
      </c>
      <c r="D65" t="s">
        <v>610</v>
      </c>
      <c r="E65">
        <v>2023</v>
      </c>
      <c r="F65" t="s">
        <v>305</v>
      </c>
      <c r="G65" t="s">
        <v>611</v>
      </c>
      <c r="H65" t="s">
        <v>612</v>
      </c>
      <c r="I65" t="s">
        <v>614</v>
      </c>
      <c r="J65" t="s">
        <v>615</v>
      </c>
      <c r="K65" t="s">
        <v>13290</v>
      </c>
      <c r="L65" t="s">
        <v>42</v>
      </c>
      <c r="M65" t="s">
        <v>56</v>
      </c>
      <c r="N65" t="s">
        <v>46</v>
      </c>
      <c r="O65" t="s">
        <v>616</v>
      </c>
    </row>
    <row r="66" spans="1:79" x14ac:dyDescent="0.3">
      <c r="A66">
        <v>81</v>
      </c>
      <c r="B66" t="s">
        <v>13224</v>
      </c>
      <c r="C66" t="s">
        <v>13223</v>
      </c>
      <c r="D66" t="s">
        <v>152</v>
      </c>
      <c r="E66">
        <v>2023</v>
      </c>
      <c r="F66" t="s">
        <v>153</v>
      </c>
      <c r="G66" t="s">
        <v>154</v>
      </c>
      <c r="H66" t="s">
        <v>155</v>
      </c>
      <c r="I66" t="s">
        <v>157</v>
      </c>
      <c r="J66" t="s">
        <v>158</v>
      </c>
      <c r="K66" t="s">
        <v>13221</v>
      </c>
      <c r="L66" t="s">
        <v>42</v>
      </c>
      <c r="M66" t="s">
        <v>56</v>
      </c>
      <c r="N66" t="s">
        <v>46</v>
      </c>
      <c r="O66" t="s">
        <v>161</v>
      </c>
    </row>
    <row r="67" spans="1:79" x14ac:dyDescent="0.3">
      <c r="A67">
        <v>83</v>
      </c>
      <c r="B67" t="s">
        <v>12762</v>
      </c>
      <c r="C67" t="s">
        <v>12761</v>
      </c>
      <c r="D67" t="s">
        <v>1327</v>
      </c>
      <c r="E67">
        <v>2023</v>
      </c>
      <c r="F67" t="s">
        <v>1328</v>
      </c>
      <c r="G67" t="s">
        <v>1329</v>
      </c>
      <c r="H67" t="s">
        <v>1330</v>
      </c>
      <c r="I67" t="s">
        <v>1332</v>
      </c>
      <c r="J67" t="s">
        <v>1333</v>
      </c>
      <c r="L67" t="s">
        <v>42</v>
      </c>
      <c r="M67" t="s">
        <v>12252</v>
      </c>
      <c r="N67" t="s">
        <v>46</v>
      </c>
      <c r="O67" t="s">
        <v>1336</v>
      </c>
    </row>
    <row r="68" spans="1:79" x14ac:dyDescent="0.3">
      <c r="A68">
        <v>85</v>
      </c>
      <c r="B68" t="s">
        <v>12522</v>
      </c>
      <c r="C68" t="s">
        <v>12521</v>
      </c>
      <c r="D68" t="s">
        <v>12520</v>
      </c>
      <c r="E68">
        <v>2023</v>
      </c>
      <c r="F68" t="s">
        <v>12520</v>
      </c>
      <c r="G68" t="s">
        <v>12519</v>
      </c>
      <c r="H68" t="s">
        <v>12518</v>
      </c>
      <c r="I68" t="s">
        <v>12516</v>
      </c>
      <c r="L68" t="s">
        <v>42</v>
      </c>
      <c r="M68" t="s">
        <v>12512</v>
      </c>
      <c r="N68" t="s">
        <v>46</v>
      </c>
      <c r="O68" t="s">
        <v>12511</v>
      </c>
      <c r="BC68" s="6"/>
      <c r="BD68" s="6"/>
      <c r="BE68" s="6"/>
      <c r="BF68" s="6"/>
      <c r="BG68" s="6"/>
      <c r="BH68" s="6"/>
      <c r="BI68" s="6"/>
      <c r="BJ68" s="6"/>
      <c r="BK68" s="6"/>
      <c r="BL68" s="6"/>
      <c r="BM68" s="6"/>
      <c r="BN68" s="6"/>
      <c r="BO68" s="6"/>
      <c r="BP68" s="6"/>
      <c r="BQ68" s="6"/>
      <c r="BR68" s="6"/>
      <c r="BS68" s="6"/>
      <c r="BT68" s="6"/>
      <c r="BU68" s="6"/>
      <c r="CA68" s="6"/>
    </row>
    <row r="69" spans="1:79" x14ac:dyDescent="0.3">
      <c r="A69">
        <v>86</v>
      </c>
      <c r="B69" t="s">
        <v>12462</v>
      </c>
      <c r="C69" t="s">
        <v>12461</v>
      </c>
      <c r="D69" t="s">
        <v>1238</v>
      </c>
      <c r="E69">
        <v>2023</v>
      </c>
      <c r="F69" t="s">
        <v>91</v>
      </c>
      <c r="G69" t="s">
        <v>1240</v>
      </c>
      <c r="H69" t="s">
        <v>1241</v>
      </c>
      <c r="I69" t="s">
        <v>1243</v>
      </c>
      <c r="J69" t="s">
        <v>1244</v>
      </c>
      <c r="L69" t="s">
        <v>42</v>
      </c>
      <c r="M69" t="s">
        <v>12252</v>
      </c>
      <c r="N69" t="s">
        <v>46</v>
      </c>
      <c r="O69" t="s">
        <v>1246</v>
      </c>
    </row>
    <row r="70" spans="1:79" x14ac:dyDescent="0.3">
      <c r="A70">
        <v>87</v>
      </c>
      <c r="B70" t="s">
        <v>12749</v>
      </c>
      <c r="C70" t="s">
        <v>12748</v>
      </c>
      <c r="D70" t="s">
        <v>497</v>
      </c>
      <c r="E70">
        <v>2023</v>
      </c>
      <c r="F70" t="s">
        <v>498</v>
      </c>
      <c r="H70" t="s">
        <v>500</v>
      </c>
      <c r="I70" t="s">
        <v>502</v>
      </c>
      <c r="J70" t="s">
        <v>503</v>
      </c>
      <c r="L70" t="s">
        <v>42</v>
      </c>
      <c r="M70" t="s">
        <v>12252</v>
      </c>
      <c r="N70" t="s">
        <v>46</v>
      </c>
      <c r="O70" t="s">
        <v>507</v>
      </c>
      <c r="CA70" s="6"/>
    </row>
    <row r="71" spans="1:79" x14ac:dyDescent="0.3">
      <c r="A71">
        <v>88</v>
      </c>
      <c r="B71" t="s">
        <v>12239</v>
      </c>
      <c r="C71" t="s">
        <v>12238</v>
      </c>
      <c r="D71" t="s">
        <v>895</v>
      </c>
      <c r="E71">
        <v>2018</v>
      </c>
      <c r="F71" t="s">
        <v>896</v>
      </c>
      <c r="G71" t="s">
        <v>897</v>
      </c>
      <c r="H71" t="s">
        <v>898</v>
      </c>
      <c r="I71" t="s">
        <v>899</v>
      </c>
      <c r="J71" t="s">
        <v>900</v>
      </c>
      <c r="K71" t="s">
        <v>12234</v>
      </c>
      <c r="L71" t="s">
        <v>42</v>
      </c>
      <c r="M71" t="s">
        <v>56</v>
      </c>
      <c r="N71" t="s">
        <v>46</v>
      </c>
      <c r="O71" t="s">
        <v>902</v>
      </c>
    </row>
    <row r="72" spans="1:79" x14ac:dyDescent="0.3">
      <c r="A72">
        <v>89</v>
      </c>
      <c r="B72" t="s">
        <v>12348</v>
      </c>
      <c r="C72" t="s">
        <v>12347</v>
      </c>
      <c r="D72" t="s">
        <v>943</v>
      </c>
      <c r="E72">
        <v>2023</v>
      </c>
      <c r="F72" t="s">
        <v>944</v>
      </c>
      <c r="G72" t="s">
        <v>945</v>
      </c>
      <c r="H72" t="s">
        <v>946</v>
      </c>
      <c r="I72" t="s">
        <v>948</v>
      </c>
      <c r="J72" t="s">
        <v>949</v>
      </c>
      <c r="L72" t="s">
        <v>42</v>
      </c>
      <c r="M72" t="s">
        <v>56</v>
      </c>
      <c r="N72" t="s">
        <v>46</v>
      </c>
      <c r="O72" t="s">
        <v>953</v>
      </c>
      <c r="CA72" s="6"/>
    </row>
    <row r="73" spans="1:79" x14ac:dyDescent="0.3">
      <c r="A73">
        <v>90</v>
      </c>
      <c r="B73" t="s">
        <v>1126</v>
      </c>
      <c r="C73" t="s">
        <v>12300</v>
      </c>
      <c r="D73" t="s">
        <v>1127</v>
      </c>
      <c r="E73">
        <v>2021</v>
      </c>
      <c r="F73" t="s">
        <v>1016</v>
      </c>
      <c r="G73" t="s">
        <v>1128</v>
      </c>
      <c r="H73" t="s">
        <v>1129</v>
      </c>
      <c r="I73" t="s">
        <v>1131</v>
      </c>
      <c r="J73" t="s">
        <v>1132</v>
      </c>
      <c r="K73" t="s">
        <v>12297</v>
      </c>
      <c r="L73" t="s">
        <v>42</v>
      </c>
      <c r="M73" t="s">
        <v>56</v>
      </c>
      <c r="N73" t="s">
        <v>46</v>
      </c>
      <c r="O73" t="s">
        <v>1133</v>
      </c>
    </row>
    <row r="74" spans="1:79" x14ac:dyDescent="0.3">
      <c r="A74">
        <v>91</v>
      </c>
      <c r="B74" t="s">
        <v>12343</v>
      </c>
      <c r="C74" t="s">
        <v>12342</v>
      </c>
      <c r="D74" t="s">
        <v>1292</v>
      </c>
      <c r="E74">
        <v>2022</v>
      </c>
      <c r="F74" t="s">
        <v>896</v>
      </c>
      <c r="G74" t="s">
        <v>1293</v>
      </c>
      <c r="H74" t="s">
        <v>1294</v>
      </c>
      <c r="I74" t="s">
        <v>1295</v>
      </c>
      <c r="J74" t="s">
        <v>1296</v>
      </c>
      <c r="L74" t="s">
        <v>42</v>
      </c>
      <c r="M74" t="s">
        <v>56</v>
      </c>
      <c r="N74" t="s">
        <v>46</v>
      </c>
      <c r="O74" t="s">
        <v>1297</v>
      </c>
    </row>
    <row r="75" spans="1:79" x14ac:dyDescent="0.3">
      <c r="A75">
        <v>92</v>
      </c>
      <c r="B75" t="s">
        <v>13318</v>
      </c>
      <c r="C75" t="s">
        <v>13317</v>
      </c>
      <c r="D75" t="s">
        <v>456</v>
      </c>
      <c r="E75">
        <v>2023</v>
      </c>
      <c r="F75" t="s">
        <v>457</v>
      </c>
      <c r="G75" t="s">
        <v>458</v>
      </c>
      <c r="H75" t="s">
        <v>459</v>
      </c>
      <c r="I75" t="s">
        <v>461</v>
      </c>
      <c r="J75" t="s">
        <v>462</v>
      </c>
      <c r="K75" t="s">
        <v>13315</v>
      </c>
      <c r="L75" t="s">
        <v>42</v>
      </c>
      <c r="M75" t="s">
        <v>56</v>
      </c>
      <c r="N75" t="s">
        <v>46</v>
      </c>
      <c r="O75" t="s">
        <v>465</v>
      </c>
    </row>
    <row r="76" spans="1:79" x14ac:dyDescent="0.3">
      <c r="A76">
        <v>93</v>
      </c>
      <c r="B76" t="s">
        <v>1346</v>
      </c>
      <c r="C76" t="s">
        <v>12687</v>
      </c>
      <c r="D76" t="s">
        <v>1347</v>
      </c>
      <c r="E76">
        <v>2023</v>
      </c>
      <c r="F76" t="s">
        <v>1348</v>
      </c>
      <c r="G76" t="s">
        <v>1349</v>
      </c>
      <c r="H76" t="s">
        <v>1350</v>
      </c>
      <c r="I76" t="s">
        <v>1352</v>
      </c>
      <c r="J76" t="s">
        <v>1353</v>
      </c>
      <c r="L76" t="s">
        <v>42</v>
      </c>
      <c r="M76" t="s">
        <v>56</v>
      </c>
      <c r="N76" t="s">
        <v>46</v>
      </c>
      <c r="O76" t="s">
        <v>1355</v>
      </c>
      <c r="CA76" s="6"/>
    </row>
    <row r="77" spans="1:79" x14ac:dyDescent="0.3">
      <c r="A77">
        <v>94</v>
      </c>
      <c r="B77" t="s">
        <v>13274</v>
      </c>
      <c r="C77" t="s">
        <v>13273</v>
      </c>
      <c r="D77" t="s">
        <v>276</v>
      </c>
      <c r="E77">
        <v>2023</v>
      </c>
      <c r="F77" t="s">
        <v>277</v>
      </c>
      <c r="H77" t="s">
        <v>278</v>
      </c>
      <c r="I77" t="s">
        <v>280</v>
      </c>
      <c r="K77" t="s">
        <v>13271</v>
      </c>
      <c r="L77" t="s">
        <v>42</v>
      </c>
      <c r="M77" t="s">
        <v>12252</v>
      </c>
      <c r="N77" t="s">
        <v>46</v>
      </c>
      <c r="O77" t="s">
        <v>284</v>
      </c>
    </row>
    <row r="78" spans="1:79" x14ac:dyDescent="0.3">
      <c r="A78">
        <v>95</v>
      </c>
      <c r="B78" t="s">
        <v>13572</v>
      </c>
      <c r="C78" t="s">
        <v>13571</v>
      </c>
      <c r="D78" t="s">
        <v>748</v>
      </c>
      <c r="E78">
        <v>2023</v>
      </c>
      <c r="F78" t="s">
        <v>749</v>
      </c>
      <c r="G78" t="s">
        <v>750</v>
      </c>
      <c r="H78" t="s">
        <v>751</v>
      </c>
      <c r="I78" t="s">
        <v>753</v>
      </c>
      <c r="J78" t="s">
        <v>754</v>
      </c>
      <c r="K78" t="s">
        <v>13569</v>
      </c>
      <c r="L78" t="s">
        <v>42</v>
      </c>
      <c r="M78" t="s">
        <v>56</v>
      </c>
      <c r="N78" t="s">
        <v>46</v>
      </c>
      <c r="O78" t="s">
        <v>756</v>
      </c>
    </row>
    <row r="79" spans="1:79" x14ac:dyDescent="0.3">
      <c r="A79">
        <v>96</v>
      </c>
      <c r="B79" t="s">
        <v>12935</v>
      </c>
      <c r="C79" t="s">
        <v>12934</v>
      </c>
      <c r="D79" t="s">
        <v>767</v>
      </c>
      <c r="E79">
        <v>2023</v>
      </c>
      <c r="F79" t="s">
        <v>768</v>
      </c>
      <c r="H79" t="s">
        <v>769</v>
      </c>
      <c r="I79" t="s">
        <v>771</v>
      </c>
      <c r="K79" t="s">
        <v>12932</v>
      </c>
      <c r="L79" t="s">
        <v>42</v>
      </c>
      <c r="M79" t="s">
        <v>12252</v>
      </c>
      <c r="N79" t="s">
        <v>46</v>
      </c>
      <c r="O79" t="s">
        <v>774</v>
      </c>
    </row>
    <row r="80" spans="1:79" x14ac:dyDescent="0.3">
      <c r="A80">
        <v>97</v>
      </c>
      <c r="B80" t="s">
        <v>13184</v>
      </c>
      <c r="C80" t="s">
        <v>13183</v>
      </c>
      <c r="D80" t="s">
        <v>355</v>
      </c>
      <c r="E80">
        <v>2023</v>
      </c>
      <c r="F80" t="s">
        <v>356</v>
      </c>
      <c r="G80" t="s">
        <v>357</v>
      </c>
      <c r="H80" t="s">
        <v>358</v>
      </c>
      <c r="I80" t="s">
        <v>360</v>
      </c>
      <c r="J80" t="s">
        <v>361</v>
      </c>
      <c r="K80" t="s">
        <v>13181</v>
      </c>
      <c r="L80" t="s">
        <v>42</v>
      </c>
      <c r="M80" t="s">
        <v>12252</v>
      </c>
      <c r="N80" t="s">
        <v>46</v>
      </c>
      <c r="O80" t="s">
        <v>364</v>
      </c>
    </row>
    <row r="81" spans="1:79" x14ac:dyDescent="0.3">
      <c r="A81">
        <v>98</v>
      </c>
      <c r="B81" t="s">
        <v>13546</v>
      </c>
      <c r="C81" t="s">
        <v>13545</v>
      </c>
      <c r="D81" t="s">
        <v>131</v>
      </c>
      <c r="E81">
        <v>2023</v>
      </c>
      <c r="F81" t="s">
        <v>132</v>
      </c>
      <c r="G81" t="s">
        <v>133</v>
      </c>
      <c r="H81" t="s">
        <v>134</v>
      </c>
      <c r="I81" t="s">
        <v>136</v>
      </c>
      <c r="J81" t="s">
        <v>137</v>
      </c>
      <c r="K81" t="s">
        <v>13541</v>
      </c>
      <c r="L81" t="s">
        <v>42</v>
      </c>
      <c r="M81" t="s">
        <v>12252</v>
      </c>
      <c r="N81" t="s">
        <v>46</v>
      </c>
      <c r="O81" t="s">
        <v>140</v>
      </c>
    </row>
    <row r="82" spans="1:79" x14ac:dyDescent="0.3">
      <c r="A82">
        <v>99</v>
      </c>
      <c r="B82" t="s">
        <v>12565</v>
      </c>
      <c r="C82" t="s">
        <v>12564</v>
      </c>
      <c r="D82" t="s">
        <v>1257</v>
      </c>
      <c r="E82">
        <v>2023</v>
      </c>
      <c r="F82" t="s">
        <v>1258</v>
      </c>
      <c r="G82" t="s">
        <v>1259</v>
      </c>
      <c r="H82" t="s">
        <v>1260</v>
      </c>
      <c r="I82" t="s">
        <v>12562</v>
      </c>
      <c r="J82" t="s">
        <v>1263</v>
      </c>
      <c r="L82" t="s">
        <v>42</v>
      </c>
      <c r="M82" t="s">
        <v>12252</v>
      </c>
      <c r="N82" t="s">
        <v>46</v>
      </c>
      <c r="O82" t="s">
        <v>1266</v>
      </c>
    </row>
    <row r="83" spans="1:79" s="6" customFormat="1" x14ac:dyDescent="0.3">
      <c r="A83">
        <v>100</v>
      </c>
      <c r="B83" t="s">
        <v>13325</v>
      </c>
      <c r="C83" t="s">
        <v>13324</v>
      </c>
      <c r="D83" t="s">
        <v>685</v>
      </c>
      <c r="E83">
        <v>2023</v>
      </c>
      <c r="F83" t="s">
        <v>686</v>
      </c>
      <c r="G83" t="s">
        <v>687</v>
      </c>
      <c r="H83" t="s">
        <v>688</v>
      </c>
      <c r="I83" t="s">
        <v>13322</v>
      </c>
      <c r="J83"/>
      <c r="K83" t="s">
        <v>13321</v>
      </c>
      <c r="L83" t="s">
        <v>42</v>
      </c>
      <c r="M83" t="s">
        <v>56</v>
      </c>
      <c r="N83" t="s">
        <v>46</v>
      </c>
      <c r="O83" t="s">
        <v>692</v>
      </c>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row>
    <row r="84" spans="1:79" x14ac:dyDescent="0.3">
      <c r="A84">
        <v>101</v>
      </c>
      <c r="B84" t="s">
        <v>13377</v>
      </c>
      <c r="C84" t="s">
        <v>13376</v>
      </c>
      <c r="D84" t="s">
        <v>449</v>
      </c>
      <c r="E84">
        <v>2023</v>
      </c>
      <c r="F84" t="s">
        <v>34</v>
      </c>
      <c r="G84" t="s">
        <v>450</v>
      </c>
      <c r="H84" t="s">
        <v>451</v>
      </c>
      <c r="I84" t="s">
        <v>452</v>
      </c>
      <c r="J84" t="s">
        <v>453</v>
      </c>
      <c r="K84" t="s">
        <v>13372</v>
      </c>
      <c r="L84" t="s">
        <v>42</v>
      </c>
      <c r="M84" t="s">
        <v>12252</v>
      </c>
      <c r="N84" t="s">
        <v>46</v>
      </c>
      <c r="O84" t="s">
        <v>455</v>
      </c>
    </row>
    <row r="85" spans="1:79" x14ac:dyDescent="0.3">
      <c r="A85">
        <v>102</v>
      </c>
      <c r="B85" t="s">
        <v>13668</v>
      </c>
      <c r="C85" t="s">
        <v>13667</v>
      </c>
      <c r="D85" t="s">
        <v>344</v>
      </c>
      <c r="E85">
        <v>2023</v>
      </c>
      <c r="F85" t="s">
        <v>345</v>
      </c>
      <c r="G85" t="s">
        <v>346</v>
      </c>
      <c r="H85" t="s">
        <v>347</v>
      </c>
      <c r="I85" t="s">
        <v>349</v>
      </c>
      <c r="J85" t="s">
        <v>350</v>
      </c>
      <c r="K85" t="s">
        <v>13662</v>
      </c>
      <c r="L85" t="s">
        <v>42</v>
      </c>
      <c r="M85" t="s">
        <v>56</v>
      </c>
      <c r="N85" t="s">
        <v>46</v>
      </c>
      <c r="O85" t="s">
        <v>353</v>
      </c>
    </row>
    <row r="86" spans="1:79" x14ac:dyDescent="0.3">
      <c r="A86">
        <v>103</v>
      </c>
      <c r="B86" t="s">
        <v>13081</v>
      </c>
      <c r="C86" t="s">
        <v>13080</v>
      </c>
      <c r="D86" t="s">
        <v>13079</v>
      </c>
      <c r="E86">
        <v>2023</v>
      </c>
      <c r="F86" t="s">
        <v>13078</v>
      </c>
      <c r="G86" t="s">
        <v>13077</v>
      </c>
      <c r="H86" t="s">
        <v>13076</v>
      </c>
      <c r="I86" t="s">
        <v>13073</v>
      </c>
      <c r="J86" t="s">
        <v>13072</v>
      </c>
      <c r="K86" t="s">
        <v>13070</v>
      </c>
      <c r="L86" t="s">
        <v>55</v>
      </c>
      <c r="M86" t="s">
        <v>12252</v>
      </c>
      <c r="N86" t="s">
        <v>46</v>
      </c>
      <c r="O86" t="s">
        <v>13065</v>
      </c>
    </row>
    <row r="87" spans="1:79" x14ac:dyDescent="0.3">
      <c r="A87">
        <v>104</v>
      </c>
      <c r="B87" t="s">
        <v>12745</v>
      </c>
      <c r="C87" t="s">
        <v>12744</v>
      </c>
      <c r="D87" t="s">
        <v>1104</v>
      </c>
      <c r="E87">
        <v>2023</v>
      </c>
      <c r="F87" t="s">
        <v>498</v>
      </c>
      <c r="H87" t="s">
        <v>1105</v>
      </c>
      <c r="I87" t="s">
        <v>1107</v>
      </c>
      <c r="J87" t="s">
        <v>1108</v>
      </c>
      <c r="L87" t="s">
        <v>42</v>
      </c>
      <c r="M87" t="s">
        <v>12252</v>
      </c>
      <c r="N87" t="s">
        <v>46</v>
      </c>
      <c r="O87" t="s">
        <v>1110</v>
      </c>
      <c r="CA87" s="6"/>
    </row>
    <row r="88" spans="1:79" x14ac:dyDescent="0.3">
      <c r="A88">
        <v>105</v>
      </c>
      <c r="B88" t="s">
        <v>12480</v>
      </c>
      <c r="C88" t="s">
        <v>12479</v>
      </c>
      <c r="D88" t="s">
        <v>1163</v>
      </c>
      <c r="E88">
        <v>2023</v>
      </c>
      <c r="F88" t="s">
        <v>996</v>
      </c>
      <c r="G88" t="s">
        <v>1165</v>
      </c>
      <c r="H88" t="s">
        <v>1166</v>
      </c>
      <c r="I88" t="s">
        <v>1167</v>
      </c>
      <c r="J88" t="s">
        <v>1168</v>
      </c>
      <c r="L88" t="s">
        <v>42</v>
      </c>
      <c r="M88" t="s">
        <v>56</v>
      </c>
      <c r="N88" t="s">
        <v>46</v>
      </c>
      <c r="O88" t="s">
        <v>1169</v>
      </c>
      <c r="BV88" s="6"/>
      <c r="BW88" s="6"/>
      <c r="BX88" s="6"/>
      <c r="BY88" s="6"/>
      <c r="BZ88" s="6"/>
    </row>
    <row r="89" spans="1:79" x14ac:dyDescent="0.3">
      <c r="A89">
        <v>106</v>
      </c>
      <c r="B89" t="s">
        <v>12327</v>
      </c>
      <c r="C89" t="s">
        <v>12326</v>
      </c>
      <c r="D89" t="s">
        <v>1035</v>
      </c>
      <c r="E89">
        <v>2022</v>
      </c>
      <c r="F89" t="s">
        <v>1036</v>
      </c>
      <c r="H89" t="s">
        <v>1037</v>
      </c>
      <c r="I89" t="s">
        <v>1039</v>
      </c>
      <c r="L89" t="s">
        <v>42</v>
      </c>
      <c r="M89" t="s">
        <v>12252</v>
      </c>
      <c r="N89" t="s">
        <v>46</v>
      </c>
      <c r="O89" t="s">
        <v>1043</v>
      </c>
    </row>
    <row r="90" spans="1:79" s="6" customFormat="1" x14ac:dyDescent="0.3">
      <c r="A90">
        <v>107</v>
      </c>
      <c r="B90" t="s">
        <v>12739</v>
      </c>
      <c r="C90" t="s">
        <v>12738</v>
      </c>
      <c r="D90" t="s">
        <v>876</v>
      </c>
      <c r="E90">
        <v>2023</v>
      </c>
      <c r="F90" t="s">
        <v>877</v>
      </c>
      <c r="G90" t="s">
        <v>878</v>
      </c>
      <c r="H90" t="s">
        <v>879</v>
      </c>
      <c r="I90" t="s">
        <v>12736</v>
      </c>
      <c r="J90" t="s">
        <v>882</v>
      </c>
      <c r="K90"/>
      <c r="L90" t="s">
        <v>42</v>
      </c>
      <c r="M90" t="s">
        <v>12252</v>
      </c>
      <c r="N90" t="s">
        <v>46</v>
      </c>
      <c r="O90" t="s">
        <v>886</v>
      </c>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CA90"/>
    </row>
    <row r="91" spans="1:79" x14ac:dyDescent="0.3">
      <c r="A91">
        <v>108</v>
      </c>
      <c r="B91" t="s">
        <v>12384</v>
      </c>
      <c r="C91" t="s">
        <v>12383</v>
      </c>
      <c r="D91" t="s">
        <v>888</v>
      </c>
      <c r="E91">
        <v>2023</v>
      </c>
      <c r="F91" t="s">
        <v>252</v>
      </c>
      <c r="G91" t="s">
        <v>889</v>
      </c>
      <c r="H91" t="s">
        <v>890</v>
      </c>
      <c r="I91" t="s">
        <v>892</v>
      </c>
      <c r="J91" t="s">
        <v>893</v>
      </c>
      <c r="L91" t="s">
        <v>42</v>
      </c>
      <c r="M91" t="s">
        <v>56</v>
      </c>
      <c r="N91" t="s">
        <v>46</v>
      </c>
      <c r="O91" t="s">
        <v>894</v>
      </c>
      <c r="BC91" s="6"/>
      <c r="BD91" s="6"/>
      <c r="BE91" s="6"/>
      <c r="BF91" s="6"/>
      <c r="BG91" s="6"/>
      <c r="BH91" s="6"/>
      <c r="BI91" s="6"/>
      <c r="BJ91" s="6"/>
      <c r="BK91" s="6"/>
      <c r="BL91" s="6"/>
      <c r="BM91" s="6"/>
      <c r="BN91" s="6"/>
      <c r="BO91" s="6"/>
      <c r="BP91" s="6"/>
      <c r="BQ91" s="6"/>
      <c r="BR91" s="6"/>
      <c r="BS91" s="6"/>
      <c r="BT91" s="6"/>
      <c r="BU91" s="6"/>
    </row>
    <row r="92" spans="1:79" x14ac:dyDescent="0.3">
      <c r="A92">
        <v>109</v>
      </c>
      <c r="B92" t="s">
        <v>12408</v>
      </c>
      <c r="C92" t="s">
        <v>12407</v>
      </c>
      <c r="D92" t="s">
        <v>1187</v>
      </c>
      <c r="E92">
        <v>2023</v>
      </c>
      <c r="F92" t="s">
        <v>1188</v>
      </c>
      <c r="G92" t="s">
        <v>1189</v>
      </c>
      <c r="H92" t="s">
        <v>1190</v>
      </c>
      <c r="I92" t="s">
        <v>1192</v>
      </c>
      <c r="J92" t="s">
        <v>1193</v>
      </c>
      <c r="L92" t="s">
        <v>42</v>
      </c>
      <c r="M92" t="s">
        <v>56</v>
      </c>
      <c r="N92" t="s">
        <v>46</v>
      </c>
      <c r="O92" t="s">
        <v>1197</v>
      </c>
      <c r="BC92" s="6"/>
      <c r="BD92" s="6"/>
      <c r="BE92" s="6"/>
      <c r="BF92" s="6"/>
      <c r="BG92" s="6"/>
      <c r="BH92" s="6"/>
      <c r="BI92" s="6"/>
      <c r="BJ92" s="6"/>
      <c r="BK92" s="6"/>
      <c r="BL92" s="6"/>
      <c r="BM92" s="6"/>
      <c r="BN92" s="6"/>
      <c r="BO92" s="6"/>
      <c r="BP92" s="6"/>
      <c r="BQ92" s="6"/>
      <c r="BR92" s="6"/>
      <c r="BS92" s="6"/>
      <c r="BT92" s="6"/>
      <c r="BU92" s="6"/>
    </row>
    <row r="93" spans="1:79" s="6" customFormat="1" x14ac:dyDescent="0.3">
      <c r="A93">
        <v>110</v>
      </c>
      <c r="B93" t="s">
        <v>12725</v>
      </c>
      <c r="C93" t="s">
        <v>12724</v>
      </c>
      <c r="D93" t="s">
        <v>806</v>
      </c>
      <c r="E93">
        <v>2023</v>
      </c>
      <c r="F93" t="s">
        <v>807</v>
      </c>
      <c r="G93" t="s">
        <v>809</v>
      </c>
      <c r="H93" t="s">
        <v>810</v>
      </c>
      <c r="I93" t="s">
        <v>812</v>
      </c>
      <c r="J93" t="s">
        <v>813</v>
      </c>
      <c r="K93"/>
      <c r="L93" t="s">
        <v>42</v>
      </c>
      <c r="M93" t="s">
        <v>12252</v>
      </c>
      <c r="N93" t="s">
        <v>46</v>
      </c>
      <c r="O93" t="s">
        <v>817</v>
      </c>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row>
    <row r="94" spans="1:79" x14ac:dyDescent="0.3">
      <c r="A94">
        <v>111</v>
      </c>
      <c r="B94" t="s">
        <v>12530</v>
      </c>
      <c r="C94" t="s">
        <v>12529</v>
      </c>
      <c r="D94" t="s">
        <v>1025</v>
      </c>
      <c r="E94">
        <v>2023</v>
      </c>
      <c r="F94" t="s">
        <v>1026</v>
      </c>
      <c r="G94" t="s">
        <v>1027</v>
      </c>
      <c r="H94" t="s">
        <v>1028</v>
      </c>
      <c r="I94" t="s">
        <v>12527</v>
      </c>
      <c r="J94" t="s">
        <v>1030</v>
      </c>
      <c r="L94" t="s">
        <v>42</v>
      </c>
      <c r="M94" t="s">
        <v>12252</v>
      </c>
      <c r="N94" t="s">
        <v>46</v>
      </c>
      <c r="O94" t="s">
        <v>1033</v>
      </c>
    </row>
    <row r="95" spans="1:79" s="6" customFormat="1" x14ac:dyDescent="0.3">
      <c r="A95">
        <v>112</v>
      </c>
      <c r="B95" t="s">
        <v>12709</v>
      </c>
      <c r="C95" t="s">
        <v>12708</v>
      </c>
      <c r="D95" t="s">
        <v>849</v>
      </c>
      <c r="E95">
        <v>2023</v>
      </c>
      <c r="F95" t="s">
        <v>127</v>
      </c>
      <c r="G95" t="s">
        <v>851</v>
      </c>
      <c r="H95" t="s">
        <v>852</v>
      </c>
      <c r="I95" t="s">
        <v>854</v>
      </c>
      <c r="J95" t="s">
        <v>855</v>
      </c>
      <c r="K95"/>
      <c r="L95" t="s">
        <v>42</v>
      </c>
      <c r="M95" t="s">
        <v>12252</v>
      </c>
      <c r="N95" t="s">
        <v>46</v>
      </c>
      <c r="O95" t="s">
        <v>857</v>
      </c>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row>
    <row r="96" spans="1:79" x14ac:dyDescent="0.3">
      <c r="A96">
        <v>116</v>
      </c>
      <c r="B96" t="s">
        <v>13476</v>
      </c>
      <c r="C96" t="s">
        <v>13475</v>
      </c>
      <c r="D96" t="s">
        <v>571</v>
      </c>
      <c r="E96">
        <v>2023</v>
      </c>
      <c r="F96" t="s">
        <v>572</v>
      </c>
      <c r="G96" t="s">
        <v>573</v>
      </c>
      <c r="H96" t="s">
        <v>574</v>
      </c>
      <c r="I96" t="s">
        <v>576</v>
      </c>
      <c r="J96" t="s">
        <v>577</v>
      </c>
      <c r="K96" t="s">
        <v>13472</v>
      </c>
      <c r="L96" t="s">
        <v>42</v>
      </c>
      <c r="M96" t="s">
        <v>56</v>
      </c>
      <c r="N96" t="s">
        <v>46</v>
      </c>
      <c r="O96" t="s">
        <v>579</v>
      </c>
    </row>
    <row r="97" spans="1:79" x14ac:dyDescent="0.3">
      <c r="A97">
        <v>118</v>
      </c>
      <c r="B97" t="s">
        <v>13177</v>
      </c>
      <c r="C97" t="s">
        <v>13176</v>
      </c>
      <c r="D97" t="s">
        <v>304</v>
      </c>
      <c r="E97">
        <v>2023</v>
      </c>
      <c r="F97" t="s">
        <v>305</v>
      </c>
      <c r="G97" t="s">
        <v>306</v>
      </c>
      <c r="H97" t="s">
        <v>307</v>
      </c>
      <c r="I97" t="s">
        <v>309</v>
      </c>
      <c r="J97" t="s">
        <v>310</v>
      </c>
      <c r="K97" t="s">
        <v>13174</v>
      </c>
      <c r="L97" t="s">
        <v>42</v>
      </c>
      <c r="M97" t="s">
        <v>56</v>
      </c>
      <c r="N97" t="s">
        <v>46</v>
      </c>
      <c r="O97" t="s">
        <v>314</v>
      </c>
    </row>
    <row r="98" spans="1:79" x14ac:dyDescent="0.3">
      <c r="A98">
        <v>119</v>
      </c>
      <c r="B98" t="s">
        <v>12467</v>
      </c>
      <c r="C98" t="s">
        <v>12466</v>
      </c>
      <c r="D98" t="s">
        <v>977</v>
      </c>
      <c r="E98">
        <v>2023</v>
      </c>
      <c r="F98" t="s">
        <v>335</v>
      </c>
      <c r="G98" t="s">
        <v>978</v>
      </c>
      <c r="H98" t="s">
        <v>979</v>
      </c>
      <c r="I98" t="s">
        <v>981</v>
      </c>
      <c r="J98" t="s">
        <v>982</v>
      </c>
      <c r="L98" t="s">
        <v>42</v>
      </c>
      <c r="M98" t="s">
        <v>56</v>
      </c>
      <c r="N98" t="s">
        <v>46</v>
      </c>
      <c r="O98" t="s">
        <v>983</v>
      </c>
      <c r="BC98" s="6"/>
      <c r="BD98" s="6"/>
      <c r="BE98" s="6"/>
      <c r="BF98" s="6"/>
      <c r="BG98" s="6"/>
      <c r="BH98" s="6"/>
      <c r="BI98" s="6"/>
      <c r="BJ98" s="6"/>
      <c r="BK98" s="6"/>
      <c r="BL98" s="6"/>
      <c r="BM98" s="6"/>
      <c r="BN98" s="6"/>
      <c r="BO98" s="6"/>
      <c r="BP98" s="6"/>
      <c r="BQ98" s="6"/>
      <c r="BR98" s="6"/>
      <c r="BS98" s="6"/>
      <c r="BT98" s="6"/>
      <c r="BU98" s="6"/>
    </row>
    <row r="99" spans="1:79" x14ac:dyDescent="0.3">
      <c r="A99">
        <v>120</v>
      </c>
      <c r="B99" t="s">
        <v>12889</v>
      </c>
      <c r="C99" t="s">
        <v>12888</v>
      </c>
      <c r="D99" t="s">
        <v>12887</v>
      </c>
      <c r="E99">
        <v>2023</v>
      </c>
      <c r="F99" t="s">
        <v>475</v>
      </c>
      <c r="G99" t="s">
        <v>477</v>
      </c>
      <c r="H99" t="s">
        <v>478</v>
      </c>
      <c r="I99" t="s">
        <v>480</v>
      </c>
      <c r="J99" t="s">
        <v>481</v>
      </c>
      <c r="K99" t="s">
        <v>12883</v>
      </c>
      <c r="L99" t="s">
        <v>12881</v>
      </c>
      <c r="M99" t="s">
        <v>56</v>
      </c>
      <c r="N99" t="s">
        <v>46</v>
      </c>
      <c r="O99" t="s">
        <v>484</v>
      </c>
    </row>
    <row r="100" spans="1:79" x14ac:dyDescent="0.3">
      <c r="A100">
        <v>121</v>
      </c>
      <c r="B100" t="s">
        <v>112</v>
      </c>
      <c r="C100" t="s">
        <v>12852</v>
      </c>
      <c r="D100" t="s">
        <v>114</v>
      </c>
      <c r="E100">
        <v>2023</v>
      </c>
      <c r="F100" t="s">
        <v>115</v>
      </c>
      <c r="G100" t="s">
        <v>116</v>
      </c>
      <c r="H100" t="s">
        <v>117</v>
      </c>
      <c r="I100" t="s">
        <v>12850</v>
      </c>
      <c r="J100" t="s">
        <v>120</v>
      </c>
      <c r="L100" t="s">
        <v>42</v>
      </c>
      <c r="M100" t="s">
        <v>12252</v>
      </c>
      <c r="N100" t="s">
        <v>46</v>
      </c>
      <c r="O100" t="s">
        <v>123</v>
      </c>
      <c r="CA100" s="6"/>
    </row>
    <row r="101" spans="1:79" x14ac:dyDescent="0.3">
      <c r="A101">
        <v>122</v>
      </c>
      <c r="B101" t="s">
        <v>12444</v>
      </c>
      <c r="C101" t="s">
        <v>12443</v>
      </c>
      <c r="D101" t="s">
        <v>1418</v>
      </c>
      <c r="E101">
        <v>2023</v>
      </c>
      <c r="F101" t="s">
        <v>1419</v>
      </c>
      <c r="G101" t="s">
        <v>1420</v>
      </c>
      <c r="H101" t="s">
        <v>1421</v>
      </c>
      <c r="I101" t="s">
        <v>12441</v>
      </c>
      <c r="J101" t="s">
        <v>1423</v>
      </c>
      <c r="L101" t="s">
        <v>42</v>
      </c>
      <c r="M101" t="s">
        <v>12252</v>
      </c>
      <c r="N101" t="s">
        <v>46</v>
      </c>
      <c r="O101" t="s">
        <v>1426</v>
      </c>
    </row>
    <row r="102" spans="1:79" x14ac:dyDescent="0.3">
      <c r="A102">
        <v>123</v>
      </c>
      <c r="B102" t="s">
        <v>12780</v>
      </c>
      <c r="C102" t="s">
        <v>12779</v>
      </c>
      <c r="D102" t="s">
        <v>223</v>
      </c>
      <c r="E102">
        <v>2023</v>
      </c>
      <c r="F102" t="s">
        <v>224</v>
      </c>
      <c r="G102" t="s">
        <v>225</v>
      </c>
      <c r="H102" t="s">
        <v>226</v>
      </c>
      <c r="I102" t="s">
        <v>228</v>
      </c>
      <c r="L102" t="s">
        <v>42</v>
      </c>
      <c r="M102" t="s">
        <v>56</v>
      </c>
      <c r="N102" t="s">
        <v>46</v>
      </c>
      <c r="O102" t="s">
        <v>232</v>
      </c>
    </row>
    <row r="103" spans="1:79" x14ac:dyDescent="0.3">
      <c r="A103">
        <v>125</v>
      </c>
      <c r="B103" t="s">
        <v>12980</v>
      </c>
      <c r="C103" t="s">
        <v>12979</v>
      </c>
      <c r="D103" t="s">
        <v>12978</v>
      </c>
      <c r="E103">
        <v>2023</v>
      </c>
      <c r="F103" t="s">
        <v>12977</v>
      </c>
      <c r="G103" t="s">
        <v>12976</v>
      </c>
      <c r="H103" t="s">
        <v>12975</v>
      </c>
      <c r="I103" t="s">
        <v>12972</v>
      </c>
      <c r="J103" t="s">
        <v>12971</v>
      </c>
      <c r="K103" t="s">
        <v>12968</v>
      </c>
      <c r="L103" t="s">
        <v>42</v>
      </c>
      <c r="M103" t="s">
        <v>56</v>
      </c>
      <c r="N103" t="s">
        <v>46</v>
      </c>
      <c r="O103" t="s">
        <v>12965</v>
      </c>
    </row>
    <row r="104" spans="1:79" x14ac:dyDescent="0.3">
      <c r="A104">
        <v>126</v>
      </c>
      <c r="B104" t="s">
        <v>786</v>
      </c>
      <c r="C104" t="s">
        <v>12553</v>
      </c>
      <c r="D104" t="s">
        <v>788</v>
      </c>
      <c r="E104">
        <v>2023</v>
      </c>
      <c r="F104" t="s">
        <v>383</v>
      </c>
      <c r="H104" t="s">
        <v>789</v>
      </c>
      <c r="I104" t="s">
        <v>790</v>
      </c>
      <c r="J104" t="s">
        <v>791</v>
      </c>
      <c r="L104" t="s">
        <v>42</v>
      </c>
      <c r="M104" t="s">
        <v>12252</v>
      </c>
      <c r="N104" t="s">
        <v>46</v>
      </c>
      <c r="O104" t="s">
        <v>793</v>
      </c>
    </row>
    <row r="105" spans="1:79" x14ac:dyDescent="0.3">
      <c r="A105">
        <v>127</v>
      </c>
      <c r="B105" t="s">
        <v>13568</v>
      </c>
      <c r="C105" t="s">
        <v>13567</v>
      </c>
      <c r="D105" t="s">
        <v>704</v>
      </c>
      <c r="E105">
        <v>2023</v>
      </c>
      <c r="F105" t="s">
        <v>705</v>
      </c>
      <c r="G105" t="s">
        <v>706</v>
      </c>
      <c r="H105" t="s">
        <v>707</v>
      </c>
      <c r="I105" t="s">
        <v>709</v>
      </c>
      <c r="J105" t="s">
        <v>710</v>
      </c>
      <c r="K105" t="s">
        <v>13562</v>
      </c>
      <c r="L105" t="s">
        <v>42</v>
      </c>
      <c r="M105" t="s">
        <v>56</v>
      </c>
      <c r="N105" t="s">
        <v>46</v>
      </c>
      <c r="O105" t="s">
        <v>713</v>
      </c>
    </row>
    <row r="106" spans="1:79" x14ac:dyDescent="0.3">
      <c r="A106">
        <v>128</v>
      </c>
      <c r="B106" t="s">
        <v>13660</v>
      </c>
      <c r="C106" t="s">
        <v>13659</v>
      </c>
      <c r="D106" t="s">
        <v>423</v>
      </c>
      <c r="E106">
        <v>2023</v>
      </c>
      <c r="F106" t="s">
        <v>424</v>
      </c>
      <c r="G106" t="s">
        <v>425</v>
      </c>
      <c r="H106" t="s">
        <v>426</v>
      </c>
      <c r="I106" t="s">
        <v>428</v>
      </c>
      <c r="J106" t="s">
        <v>429</v>
      </c>
      <c r="K106" t="s">
        <v>13655</v>
      </c>
      <c r="L106" t="s">
        <v>42</v>
      </c>
      <c r="M106" t="s">
        <v>56</v>
      </c>
      <c r="N106" t="s">
        <v>46</v>
      </c>
      <c r="O106" t="s">
        <v>432</v>
      </c>
    </row>
    <row r="107" spans="1:79" x14ac:dyDescent="0.3">
      <c r="A107">
        <v>129</v>
      </c>
      <c r="B107" t="s">
        <v>13716</v>
      </c>
      <c r="C107" t="s">
        <v>13715</v>
      </c>
      <c r="D107" t="s">
        <v>13714</v>
      </c>
      <c r="E107">
        <v>2023</v>
      </c>
      <c r="F107" t="s">
        <v>636</v>
      </c>
      <c r="G107" t="s">
        <v>13713</v>
      </c>
      <c r="H107" t="s">
        <v>13712</v>
      </c>
      <c r="I107" t="s">
        <v>13709</v>
      </c>
      <c r="J107" t="s">
        <v>13708</v>
      </c>
      <c r="K107" t="s">
        <v>13706</v>
      </c>
      <c r="L107" t="s">
        <v>42</v>
      </c>
      <c r="M107" t="s">
        <v>12252</v>
      </c>
      <c r="N107" t="s">
        <v>46</v>
      </c>
      <c r="O107" t="s">
        <v>13702</v>
      </c>
    </row>
    <row r="108" spans="1:79" x14ac:dyDescent="0.3">
      <c r="A108">
        <v>130</v>
      </c>
      <c r="B108" t="s">
        <v>13635</v>
      </c>
      <c r="C108" t="s">
        <v>13634</v>
      </c>
      <c r="D108" t="s">
        <v>433</v>
      </c>
      <c r="E108">
        <v>2023</v>
      </c>
      <c r="F108" t="s">
        <v>434</v>
      </c>
      <c r="G108" t="s">
        <v>435</v>
      </c>
      <c r="H108" t="s">
        <v>436</v>
      </c>
      <c r="I108" t="s">
        <v>438</v>
      </c>
      <c r="K108" t="s">
        <v>13629</v>
      </c>
      <c r="L108" t="s">
        <v>42</v>
      </c>
      <c r="M108" t="s">
        <v>56</v>
      </c>
      <c r="N108" t="s">
        <v>46</v>
      </c>
      <c r="O108" t="s">
        <v>440</v>
      </c>
      <c r="BI108" s="6"/>
      <c r="BJ108" s="6"/>
      <c r="BK108" s="6"/>
      <c r="BL108" s="6" t="s">
        <v>311</v>
      </c>
      <c r="BM108" s="6"/>
      <c r="BN108" s="6"/>
      <c r="BO108" s="6"/>
      <c r="BP108" s="6"/>
      <c r="BQ108" s="6" t="s">
        <v>312</v>
      </c>
      <c r="BR108" s="6"/>
      <c r="BS108" s="6"/>
      <c r="BT108" s="6"/>
      <c r="BU108" s="6" t="s">
        <v>42</v>
      </c>
      <c r="BV108" s="6" t="s">
        <v>313</v>
      </c>
      <c r="BW108" s="6" t="s">
        <v>56</v>
      </c>
      <c r="BX108" s="6" t="s">
        <v>45</v>
      </c>
      <c r="BY108" s="6" t="s">
        <v>12349</v>
      </c>
      <c r="BZ108" s="6" t="s">
        <v>46</v>
      </c>
      <c r="CA108" s="6" t="s">
        <v>333</v>
      </c>
    </row>
    <row r="109" spans="1:79" x14ac:dyDescent="0.3">
      <c r="A109">
        <v>131</v>
      </c>
      <c r="B109" t="s">
        <v>794</v>
      </c>
      <c r="C109" t="s">
        <v>12353</v>
      </c>
      <c r="D109" t="s">
        <v>796</v>
      </c>
      <c r="E109">
        <v>2023</v>
      </c>
      <c r="F109" t="s">
        <v>797</v>
      </c>
      <c r="G109" t="s">
        <v>798</v>
      </c>
      <c r="H109" t="s">
        <v>799</v>
      </c>
      <c r="I109" t="s">
        <v>801</v>
      </c>
      <c r="J109" t="s">
        <v>802</v>
      </c>
      <c r="L109" t="s">
        <v>42</v>
      </c>
      <c r="M109" t="s">
        <v>56</v>
      </c>
      <c r="N109" t="s">
        <v>46</v>
      </c>
      <c r="O109" t="s">
        <v>805</v>
      </c>
    </row>
    <row r="110" spans="1:79" x14ac:dyDescent="0.3">
      <c r="A110">
        <v>132</v>
      </c>
      <c r="B110" t="s">
        <v>12413</v>
      </c>
      <c r="C110" t="s">
        <v>12412</v>
      </c>
      <c r="D110" t="s">
        <v>1309</v>
      </c>
      <c r="E110">
        <v>2023</v>
      </c>
      <c r="F110" t="s">
        <v>1310</v>
      </c>
      <c r="G110" t="s">
        <v>1312</v>
      </c>
      <c r="H110" t="s">
        <v>1313</v>
      </c>
      <c r="I110" t="s">
        <v>1315</v>
      </c>
      <c r="J110" t="s">
        <v>1316</v>
      </c>
      <c r="L110" t="s">
        <v>42</v>
      </c>
      <c r="M110" t="s">
        <v>12262</v>
      </c>
      <c r="N110" t="s">
        <v>46</v>
      </c>
      <c r="O110" t="s">
        <v>1318</v>
      </c>
      <c r="BV110" s="6"/>
      <c r="BW110" s="6"/>
      <c r="BX110" s="6"/>
      <c r="BY110" s="6"/>
      <c r="BZ110" s="6"/>
    </row>
    <row r="111" spans="1:79" x14ac:dyDescent="0.3">
      <c r="A111">
        <v>133</v>
      </c>
      <c r="B111" t="s">
        <v>12223</v>
      </c>
      <c r="C111" t="s">
        <v>12222</v>
      </c>
      <c r="D111" t="s">
        <v>1073</v>
      </c>
      <c r="E111">
        <v>2018</v>
      </c>
      <c r="F111" t="s">
        <v>1074</v>
      </c>
      <c r="G111" t="s">
        <v>1075</v>
      </c>
      <c r="H111" t="s">
        <v>1076</v>
      </c>
      <c r="I111" t="s">
        <v>1078</v>
      </c>
      <c r="J111" t="s">
        <v>1079</v>
      </c>
      <c r="K111" t="s">
        <v>12216</v>
      </c>
      <c r="L111" t="s">
        <v>42</v>
      </c>
      <c r="M111" t="s">
        <v>56</v>
      </c>
      <c r="N111" t="s">
        <v>46</v>
      </c>
      <c r="O111" t="s">
        <v>1082</v>
      </c>
    </row>
    <row r="112" spans="1:79" x14ac:dyDescent="0.3">
      <c r="A112">
        <v>134</v>
      </c>
      <c r="B112" t="s">
        <v>12827</v>
      </c>
      <c r="C112" t="s">
        <v>12826</v>
      </c>
      <c r="D112" t="s">
        <v>539</v>
      </c>
      <c r="E112">
        <v>2023</v>
      </c>
      <c r="F112" t="s">
        <v>540</v>
      </c>
      <c r="G112" t="s">
        <v>541</v>
      </c>
      <c r="H112" t="s">
        <v>542</v>
      </c>
      <c r="I112" t="s">
        <v>544</v>
      </c>
      <c r="J112" t="s">
        <v>545</v>
      </c>
      <c r="L112" t="s">
        <v>42</v>
      </c>
      <c r="M112" t="s">
        <v>12252</v>
      </c>
      <c r="N112" t="s">
        <v>46</v>
      </c>
      <c r="O112" t="s">
        <v>548</v>
      </c>
      <c r="BV112" s="6"/>
      <c r="BW112" s="6"/>
      <c r="BX112" s="6"/>
      <c r="BY112" s="6"/>
      <c r="BZ112" s="6"/>
    </row>
    <row r="113" spans="1:79" x14ac:dyDescent="0.3">
      <c r="A113">
        <v>135</v>
      </c>
      <c r="B113" t="s">
        <v>13263</v>
      </c>
      <c r="C113" t="s">
        <v>13262</v>
      </c>
      <c r="D113" t="s">
        <v>757</v>
      </c>
      <c r="E113">
        <v>2023</v>
      </c>
      <c r="F113" t="s">
        <v>366</v>
      </c>
      <c r="G113" t="s">
        <v>759</v>
      </c>
      <c r="H113" t="s">
        <v>760</v>
      </c>
      <c r="I113" t="s">
        <v>761</v>
      </c>
      <c r="K113" t="s">
        <v>13257</v>
      </c>
      <c r="L113" t="s">
        <v>42</v>
      </c>
      <c r="M113" t="s">
        <v>56</v>
      </c>
      <c r="N113" t="s">
        <v>46</v>
      </c>
      <c r="O113" t="s">
        <v>762</v>
      </c>
    </row>
    <row r="114" spans="1:79" x14ac:dyDescent="0.3">
      <c r="A114">
        <v>137</v>
      </c>
      <c r="B114" t="s">
        <v>13173</v>
      </c>
      <c r="C114" t="s">
        <v>13172</v>
      </c>
      <c r="D114" t="s">
        <v>442</v>
      </c>
      <c r="E114">
        <v>2023</v>
      </c>
      <c r="F114" t="s">
        <v>305</v>
      </c>
      <c r="G114" t="s">
        <v>443</v>
      </c>
      <c r="H114" t="s">
        <v>444</v>
      </c>
      <c r="I114" t="s">
        <v>446</v>
      </c>
      <c r="J114" t="s">
        <v>447</v>
      </c>
      <c r="K114" t="s">
        <v>13170</v>
      </c>
      <c r="L114" t="s">
        <v>42</v>
      </c>
      <c r="M114" t="s">
        <v>56</v>
      </c>
      <c r="N114" t="s">
        <v>46</v>
      </c>
      <c r="O114" t="s">
        <v>448</v>
      </c>
    </row>
    <row r="115" spans="1:79" x14ac:dyDescent="0.3">
      <c r="A115">
        <v>138</v>
      </c>
      <c r="B115" t="s">
        <v>13313</v>
      </c>
      <c r="C115" t="s">
        <v>13312</v>
      </c>
      <c r="D115" t="s">
        <v>365</v>
      </c>
      <c r="E115">
        <v>2023</v>
      </c>
      <c r="F115" t="s">
        <v>366</v>
      </c>
      <c r="G115" t="s">
        <v>368</v>
      </c>
      <c r="H115" t="s">
        <v>369</v>
      </c>
      <c r="I115" t="s">
        <v>371</v>
      </c>
      <c r="K115" t="s">
        <v>13308</v>
      </c>
      <c r="L115" t="s">
        <v>42</v>
      </c>
      <c r="M115" t="s">
        <v>56</v>
      </c>
      <c r="N115" t="s">
        <v>46</v>
      </c>
      <c r="O115" t="s">
        <v>374</v>
      </c>
    </row>
    <row r="116" spans="1:79" s="6" customFormat="1" x14ac:dyDescent="0.3">
      <c r="A116">
        <v>139</v>
      </c>
      <c r="B116" t="s">
        <v>13525</v>
      </c>
      <c r="C116" t="s">
        <v>13524</v>
      </c>
      <c r="D116" t="s">
        <v>590</v>
      </c>
      <c r="E116">
        <v>2023</v>
      </c>
      <c r="F116" t="s">
        <v>591</v>
      </c>
      <c r="G116" t="s">
        <v>592</v>
      </c>
      <c r="H116" t="s">
        <v>593</v>
      </c>
      <c r="I116" t="s">
        <v>595</v>
      </c>
      <c r="J116" t="s">
        <v>596</v>
      </c>
      <c r="K116" t="s">
        <v>13520</v>
      </c>
      <c r="L116" t="s">
        <v>42</v>
      </c>
      <c r="M116" t="s">
        <v>12252</v>
      </c>
      <c r="N116" t="s">
        <v>46</v>
      </c>
      <c r="O116" t="s">
        <v>599</v>
      </c>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row>
    <row r="117" spans="1:79" x14ac:dyDescent="0.3">
      <c r="A117">
        <v>140</v>
      </c>
      <c r="B117" t="s">
        <v>12786</v>
      </c>
      <c r="C117" t="s">
        <v>12785</v>
      </c>
      <c r="D117" t="s">
        <v>617</v>
      </c>
      <c r="E117">
        <v>2023</v>
      </c>
      <c r="F117" t="s">
        <v>618</v>
      </c>
      <c r="G117" t="s">
        <v>619</v>
      </c>
      <c r="H117" t="s">
        <v>620</v>
      </c>
      <c r="I117" t="s">
        <v>622</v>
      </c>
      <c r="J117" t="s">
        <v>623</v>
      </c>
      <c r="L117" t="s">
        <v>42</v>
      </c>
      <c r="M117" t="s">
        <v>56</v>
      </c>
      <c r="N117" t="s">
        <v>46</v>
      </c>
      <c r="O117" t="s">
        <v>627</v>
      </c>
      <c r="BC117" s="6"/>
      <c r="BD117" s="6"/>
      <c r="BE117" s="6"/>
      <c r="BF117" s="6"/>
      <c r="BG117" s="6"/>
      <c r="BH117" s="6"/>
      <c r="BI117" s="6"/>
      <c r="BJ117" s="6"/>
      <c r="BK117" s="6"/>
      <c r="BL117" s="6"/>
      <c r="BM117" s="6"/>
      <c r="BN117" s="6"/>
      <c r="BO117" s="6"/>
      <c r="BP117" s="6"/>
      <c r="BQ117" s="6"/>
      <c r="BR117" s="6"/>
      <c r="BS117" s="6"/>
      <c r="BT117" s="6"/>
      <c r="BU117" s="6"/>
    </row>
    <row r="118" spans="1:79" s="6" customFormat="1" x14ac:dyDescent="0.3">
      <c r="A118">
        <v>143</v>
      </c>
      <c r="B118" t="s">
        <v>12541</v>
      </c>
      <c r="C118" t="s">
        <v>12540</v>
      </c>
      <c r="D118" t="s">
        <v>1057</v>
      </c>
      <c r="E118">
        <v>2023</v>
      </c>
      <c r="F118" t="s">
        <v>996</v>
      </c>
      <c r="G118" t="s">
        <v>1059</v>
      </c>
      <c r="H118" t="s">
        <v>1060</v>
      </c>
      <c r="I118" t="s">
        <v>1062</v>
      </c>
      <c r="J118" t="s">
        <v>1063</v>
      </c>
      <c r="K118"/>
      <c r="L118" t="s">
        <v>42</v>
      </c>
      <c r="M118" t="s">
        <v>56</v>
      </c>
      <c r="N118" t="s">
        <v>46</v>
      </c>
      <c r="O118" t="s">
        <v>1064</v>
      </c>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row>
    <row r="119" spans="1:79" x14ac:dyDescent="0.3">
      <c r="A119">
        <v>144</v>
      </c>
      <c r="B119" t="s">
        <v>13371</v>
      </c>
      <c r="C119" t="s">
        <v>13370</v>
      </c>
      <c r="D119" t="s">
        <v>33</v>
      </c>
      <c r="E119">
        <v>2023</v>
      </c>
      <c r="F119" t="s">
        <v>34</v>
      </c>
      <c r="G119" t="s">
        <v>35</v>
      </c>
      <c r="H119" t="s">
        <v>36</v>
      </c>
      <c r="I119" t="s">
        <v>38</v>
      </c>
      <c r="J119" t="s">
        <v>39</v>
      </c>
      <c r="K119" t="s">
        <v>13368</v>
      </c>
      <c r="L119" t="s">
        <v>42</v>
      </c>
      <c r="M119" t="s">
        <v>12252</v>
      </c>
      <c r="N119" t="s">
        <v>46</v>
      </c>
      <c r="O119" t="s">
        <v>47</v>
      </c>
    </row>
    <row r="120" spans="1:79" x14ac:dyDescent="0.3">
      <c r="A120">
        <v>145</v>
      </c>
      <c r="B120" t="s">
        <v>13588</v>
      </c>
      <c r="C120" t="s">
        <v>13587</v>
      </c>
      <c r="D120" t="s">
        <v>729</v>
      </c>
      <c r="E120">
        <v>2023</v>
      </c>
      <c r="F120" t="s">
        <v>636</v>
      </c>
      <c r="G120" t="s">
        <v>730</v>
      </c>
      <c r="H120" t="s">
        <v>731</v>
      </c>
      <c r="I120" t="s">
        <v>733</v>
      </c>
      <c r="J120" t="s">
        <v>734</v>
      </c>
      <c r="K120" t="s">
        <v>13585</v>
      </c>
      <c r="L120" t="s">
        <v>42</v>
      </c>
      <c r="M120" t="s">
        <v>12252</v>
      </c>
      <c r="N120" t="s">
        <v>46</v>
      </c>
      <c r="O120" t="s">
        <v>736</v>
      </c>
    </row>
    <row r="121" spans="1:79" x14ac:dyDescent="0.3">
      <c r="A121">
        <v>146</v>
      </c>
      <c r="B121" t="s">
        <v>12697</v>
      </c>
      <c r="C121" t="s">
        <v>12696</v>
      </c>
      <c r="D121" t="s">
        <v>1119</v>
      </c>
      <c r="E121">
        <v>2023</v>
      </c>
      <c r="F121" t="s">
        <v>383</v>
      </c>
      <c r="H121" t="s">
        <v>1120</v>
      </c>
      <c r="I121" t="s">
        <v>12694</v>
      </c>
      <c r="J121" t="s">
        <v>1123</v>
      </c>
      <c r="L121" t="s">
        <v>42</v>
      </c>
      <c r="M121" t="s">
        <v>12252</v>
      </c>
      <c r="N121" t="s">
        <v>46</v>
      </c>
      <c r="O121" t="s">
        <v>1125</v>
      </c>
    </row>
    <row r="122" spans="1:79" x14ac:dyDescent="0.3">
      <c r="A122">
        <v>148</v>
      </c>
      <c r="B122" t="s">
        <v>521</v>
      </c>
      <c r="C122" t="s">
        <v>13266</v>
      </c>
      <c r="D122" t="s">
        <v>522</v>
      </c>
      <c r="E122">
        <v>2023</v>
      </c>
      <c r="F122" t="s">
        <v>523</v>
      </c>
      <c r="G122" t="s">
        <v>524</v>
      </c>
      <c r="H122" t="s">
        <v>525</v>
      </c>
      <c r="I122" t="s">
        <v>526</v>
      </c>
      <c r="J122" t="s">
        <v>527</v>
      </c>
      <c r="K122" t="s">
        <v>13264</v>
      </c>
      <c r="L122" t="s">
        <v>42</v>
      </c>
      <c r="M122" t="s">
        <v>56</v>
      </c>
      <c r="N122" t="s">
        <v>46</v>
      </c>
      <c r="O122" t="s">
        <v>530</v>
      </c>
    </row>
    <row r="123" spans="1:79" x14ac:dyDescent="0.3">
      <c r="A123">
        <v>149</v>
      </c>
      <c r="B123" t="s">
        <v>12580</v>
      </c>
      <c r="C123" t="s">
        <v>12579</v>
      </c>
      <c r="D123" t="s">
        <v>1247</v>
      </c>
      <c r="E123">
        <v>2023</v>
      </c>
      <c r="F123" t="s">
        <v>127</v>
      </c>
      <c r="G123" t="s">
        <v>1249</v>
      </c>
      <c r="H123" t="s">
        <v>1250</v>
      </c>
      <c r="I123" t="s">
        <v>1252</v>
      </c>
      <c r="J123" t="s">
        <v>1253</v>
      </c>
      <c r="L123" t="s">
        <v>42</v>
      </c>
      <c r="M123" t="s">
        <v>12252</v>
      </c>
      <c r="N123" t="s">
        <v>46</v>
      </c>
      <c r="O123" t="s">
        <v>1255</v>
      </c>
    </row>
    <row r="124" spans="1:79" x14ac:dyDescent="0.3">
      <c r="A124">
        <v>150</v>
      </c>
      <c r="B124" t="s">
        <v>12906</v>
      </c>
      <c r="C124" t="s">
        <v>12905</v>
      </c>
      <c r="D124" t="s">
        <v>95</v>
      </c>
      <c r="E124">
        <v>2023</v>
      </c>
      <c r="F124" t="s">
        <v>96</v>
      </c>
      <c r="H124" t="s">
        <v>97</v>
      </c>
      <c r="I124" t="s">
        <v>99</v>
      </c>
      <c r="K124" t="s">
        <v>12901</v>
      </c>
      <c r="L124" t="s">
        <v>42</v>
      </c>
      <c r="M124" t="s">
        <v>12252</v>
      </c>
      <c r="N124" t="s">
        <v>46</v>
      </c>
      <c r="O124" t="s">
        <v>103</v>
      </c>
    </row>
    <row r="125" spans="1:79" x14ac:dyDescent="0.3">
      <c r="A125">
        <v>151</v>
      </c>
      <c r="B125" t="s">
        <v>12423</v>
      </c>
      <c r="C125" t="s">
        <v>12422</v>
      </c>
      <c r="D125" t="s">
        <v>1391</v>
      </c>
      <c r="E125">
        <v>2023</v>
      </c>
      <c r="F125" t="s">
        <v>383</v>
      </c>
      <c r="H125" t="s">
        <v>1392</v>
      </c>
      <c r="I125" t="s">
        <v>1394</v>
      </c>
      <c r="J125" t="s">
        <v>1395</v>
      </c>
      <c r="L125" t="s">
        <v>42</v>
      </c>
      <c r="M125" t="s">
        <v>12252</v>
      </c>
      <c r="N125" t="s">
        <v>46</v>
      </c>
      <c r="O125" t="s">
        <v>1397</v>
      </c>
    </row>
    <row r="126" spans="1:79" s="6" customFormat="1" x14ac:dyDescent="0.3">
      <c r="A126">
        <v>152</v>
      </c>
      <c r="B126" t="s">
        <v>12921</v>
      </c>
      <c r="C126" t="s">
        <v>12920</v>
      </c>
      <c r="D126" t="s">
        <v>256</v>
      </c>
      <c r="E126">
        <v>2023</v>
      </c>
      <c r="F126" t="s">
        <v>257</v>
      </c>
      <c r="G126" t="s">
        <v>258</v>
      </c>
      <c r="H126" t="s">
        <v>259</v>
      </c>
      <c r="I126" t="s">
        <v>261</v>
      </c>
      <c r="J126" t="s">
        <v>262</v>
      </c>
      <c r="K126" t="s">
        <v>12918</v>
      </c>
      <c r="L126" t="s">
        <v>42</v>
      </c>
      <c r="M126" t="s">
        <v>12252</v>
      </c>
      <c r="N126" t="s">
        <v>46</v>
      </c>
      <c r="O126" t="s">
        <v>264</v>
      </c>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row>
    <row r="127" spans="1:79" x14ac:dyDescent="0.3">
      <c r="A127">
        <v>153</v>
      </c>
      <c r="B127" t="s">
        <v>912</v>
      </c>
      <c r="C127" t="s">
        <v>12261</v>
      </c>
      <c r="D127" t="s">
        <v>913</v>
      </c>
      <c r="E127">
        <v>2019</v>
      </c>
      <c r="F127" t="s">
        <v>914</v>
      </c>
      <c r="G127" t="s">
        <v>915</v>
      </c>
      <c r="H127" t="s">
        <v>916</v>
      </c>
      <c r="I127" t="s">
        <v>918</v>
      </c>
      <c r="K127" t="s">
        <v>12257</v>
      </c>
      <c r="L127" t="s">
        <v>42</v>
      </c>
      <c r="M127" t="s">
        <v>12252</v>
      </c>
      <c r="N127" t="s">
        <v>46</v>
      </c>
      <c r="O127" t="s">
        <v>922</v>
      </c>
    </row>
    <row r="128" spans="1:79" x14ac:dyDescent="0.3">
      <c r="A128">
        <v>154</v>
      </c>
      <c r="B128" t="s">
        <v>12844</v>
      </c>
      <c r="C128" t="s">
        <v>12843</v>
      </c>
      <c r="D128" t="s">
        <v>163</v>
      </c>
      <c r="E128">
        <v>2023</v>
      </c>
      <c r="F128" t="s">
        <v>164</v>
      </c>
      <c r="G128" t="s">
        <v>165</v>
      </c>
      <c r="H128" t="s">
        <v>166</v>
      </c>
      <c r="I128" t="s">
        <v>12841</v>
      </c>
      <c r="J128" t="s">
        <v>169</v>
      </c>
      <c r="L128" t="s">
        <v>42</v>
      </c>
      <c r="M128" t="s">
        <v>12252</v>
      </c>
      <c r="N128" t="s">
        <v>46</v>
      </c>
      <c r="O128" t="s">
        <v>172</v>
      </c>
    </row>
    <row r="129" spans="1:79" x14ac:dyDescent="0.3">
      <c r="A129">
        <v>155</v>
      </c>
      <c r="B129" t="s">
        <v>12768</v>
      </c>
      <c r="C129" t="s">
        <v>12767</v>
      </c>
      <c r="D129" t="s">
        <v>81</v>
      </c>
      <c r="E129">
        <v>2023</v>
      </c>
      <c r="F129" t="s">
        <v>82</v>
      </c>
      <c r="G129" t="s">
        <v>83</v>
      </c>
      <c r="H129" t="s">
        <v>84</v>
      </c>
      <c r="I129" t="s">
        <v>86</v>
      </c>
      <c r="L129" t="s">
        <v>42</v>
      </c>
      <c r="M129" t="s">
        <v>12252</v>
      </c>
      <c r="N129" t="s">
        <v>46</v>
      </c>
      <c r="O129" t="s">
        <v>90</v>
      </c>
    </row>
    <row r="130" spans="1:79" x14ac:dyDescent="0.3">
      <c r="A130">
        <v>156</v>
      </c>
      <c r="B130" t="s">
        <v>13675</v>
      </c>
      <c r="C130" t="s">
        <v>13674</v>
      </c>
      <c r="D130" t="s">
        <v>243</v>
      </c>
      <c r="E130">
        <v>2023</v>
      </c>
      <c r="F130" t="s">
        <v>244</v>
      </c>
      <c r="G130" t="s">
        <v>245</v>
      </c>
      <c r="H130" t="s">
        <v>246</v>
      </c>
      <c r="I130" t="s">
        <v>248</v>
      </c>
      <c r="J130" t="s">
        <v>249</v>
      </c>
      <c r="K130" t="s">
        <v>13670</v>
      </c>
      <c r="L130" t="s">
        <v>42</v>
      </c>
      <c r="M130" t="s">
        <v>56</v>
      </c>
      <c r="N130" t="s">
        <v>46</v>
      </c>
      <c r="O130" t="s">
        <v>250</v>
      </c>
    </row>
    <row r="131" spans="1:79" x14ac:dyDescent="0.3">
      <c r="A131">
        <v>157</v>
      </c>
      <c r="B131" t="s">
        <v>903</v>
      </c>
      <c r="C131" t="s">
        <v>12472</v>
      </c>
      <c r="D131" t="s">
        <v>904</v>
      </c>
      <c r="E131">
        <v>2023</v>
      </c>
      <c r="F131" t="s">
        <v>287</v>
      </c>
      <c r="G131" t="s">
        <v>905</v>
      </c>
      <c r="H131" t="s">
        <v>906</v>
      </c>
      <c r="I131" t="s">
        <v>908</v>
      </c>
      <c r="J131" t="s">
        <v>909</v>
      </c>
      <c r="L131" t="s">
        <v>42</v>
      </c>
      <c r="M131" t="s">
        <v>56</v>
      </c>
      <c r="N131" t="s">
        <v>46</v>
      </c>
      <c r="O131" t="s">
        <v>911</v>
      </c>
      <c r="BC131" s="6"/>
      <c r="BD131" s="6"/>
      <c r="BE131" s="6"/>
      <c r="BF131" s="6"/>
      <c r="BG131" s="6"/>
      <c r="BH131" s="6"/>
      <c r="BI131" s="6"/>
      <c r="BJ131" s="6"/>
      <c r="BK131" s="6"/>
      <c r="BL131" s="6"/>
      <c r="BM131" s="6"/>
      <c r="BN131" s="6"/>
      <c r="BO131" s="6"/>
      <c r="BP131" s="6"/>
      <c r="BQ131" s="6"/>
      <c r="BR131" s="6"/>
      <c r="BS131" s="6"/>
      <c r="BT131" s="6"/>
      <c r="BU131" s="6"/>
    </row>
    <row r="132" spans="1:79" x14ac:dyDescent="0.3">
      <c r="A132">
        <v>158</v>
      </c>
      <c r="B132" t="s">
        <v>12390</v>
      </c>
      <c r="C132" t="s">
        <v>12389</v>
      </c>
      <c r="D132" t="s">
        <v>1377</v>
      </c>
      <c r="E132">
        <v>2023</v>
      </c>
      <c r="F132" t="s">
        <v>996</v>
      </c>
      <c r="G132" t="s">
        <v>1379</v>
      </c>
      <c r="H132" t="s">
        <v>1380</v>
      </c>
      <c r="I132" t="s">
        <v>1382</v>
      </c>
      <c r="J132" t="s">
        <v>1383</v>
      </c>
      <c r="L132" t="s">
        <v>42</v>
      </c>
      <c r="M132" t="s">
        <v>56</v>
      </c>
      <c r="N132" t="s">
        <v>46</v>
      </c>
      <c r="O132" t="s">
        <v>1384</v>
      </c>
      <c r="BC132" s="6"/>
      <c r="BD132" s="6"/>
      <c r="BE132" s="6"/>
      <c r="BF132" s="6"/>
      <c r="BG132" s="6"/>
      <c r="BH132" s="6"/>
      <c r="BI132" s="6"/>
      <c r="BJ132" s="6"/>
      <c r="BK132" s="6"/>
      <c r="BL132" s="6"/>
      <c r="BM132" s="6"/>
      <c r="BN132" s="6"/>
      <c r="BO132" s="6"/>
      <c r="BP132" s="6"/>
      <c r="BQ132" s="6"/>
      <c r="BR132" s="6"/>
      <c r="BS132" s="6"/>
      <c r="BT132" s="6"/>
      <c r="BU132" s="6"/>
    </row>
    <row r="133" spans="1:79" x14ac:dyDescent="0.3">
      <c r="A133">
        <v>159</v>
      </c>
      <c r="B133" t="s">
        <v>13306</v>
      </c>
      <c r="C133" t="s">
        <v>13305</v>
      </c>
      <c r="D133" t="s">
        <v>316</v>
      </c>
      <c r="E133">
        <v>2023</v>
      </c>
      <c r="F133" t="s">
        <v>317</v>
      </c>
      <c r="G133" t="s">
        <v>318</v>
      </c>
      <c r="H133" t="s">
        <v>319</v>
      </c>
      <c r="I133" t="s">
        <v>321</v>
      </c>
      <c r="J133" t="s">
        <v>322</v>
      </c>
      <c r="K133" t="s">
        <v>13301</v>
      </c>
      <c r="L133" t="s">
        <v>42</v>
      </c>
      <c r="M133" t="s">
        <v>56</v>
      </c>
      <c r="N133" t="s">
        <v>46</v>
      </c>
      <c r="O133" t="s">
        <v>325</v>
      </c>
    </row>
    <row r="134" spans="1:79" x14ac:dyDescent="0.3">
      <c r="A134">
        <v>160</v>
      </c>
      <c r="B134" t="s">
        <v>12437</v>
      </c>
      <c r="C134" t="s">
        <v>12436</v>
      </c>
      <c r="D134" t="s">
        <v>1228</v>
      </c>
      <c r="E134">
        <v>2023</v>
      </c>
      <c r="F134" t="s">
        <v>1229</v>
      </c>
      <c r="G134" t="s">
        <v>1230</v>
      </c>
      <c r="H134" t="s">
        <v>1231</v>
      </c>
      <c r="I134" t="s">
        <v>1233</v>
      </c>
      <c r="J134" t="s">
        <v>1234</v>
      </c>
      <c r="L134" t="s">
        <v>42</v>
      </c>
      <c r="M134" t="s">
        <v>12262</v>
      </c>
      <c r="N134" t="s">
        <v>46</v>
      </c>
      <c r="O134" t="s">
        <v>1237</v>
      </c>
    </row>
    <row r="135" spans="1:79" x14ac:dyDescent="0.3">
      <c r="A135">
        <v>161</v>
      </c>
      <c r="B135" t="s">
        <v>13560</v>
      </c>
      <c r="C135" t="s">
        <v>13559</v>
      </c>
      <c r="D135" t="s">
        <v>13558</v>
      </c>
      <c r="E135">
        <v>2023</v>
      </c>
      <c r="F135" t="s">
        <v>13557</v>
      </c>
      <c r="G135" t="s">
        <v>6482</v>
      </c>
      <c r="H135" t="s">
        <v>13556</v>
      </c>
      <c r="I135" t="s">
        <v>13553</v>
      </c>
      <c r="J135" t="s">
        <v>13552</v>
      </c>
      <c r="K135" t="s">
        <v>13551</v>
      </c>
      <c r="L135" t="s">
        <v>42</v>
      </c>
      <c r="M135" t="s">
        <v>56</v>
      </c>
      <c r="N135" t="s">
        <v>46</v>
      </c>
      <c r="O135" t="s">
        <v>13547</v>
      </c>
    </row>
    <row r="136" spans="1:79" x14ac:dyDescent="0.3">
      <c r="A136">
        <v>162</v>
      </c>
      <c r="B136" t="s">
        <v>13299</v>
      </c>
      <c r="C136" t="s">
        <v>13298</v>
      </c>
      <c r="D136" t="s">
        <v>214</v>
      </c>
      <c r="E136">
        <v>2023</v>
      </c>
      <c r="F136" t="s">
        <v>215</v>
      </c>
      <c r="G136" t="s">
        <v>216</v>
      </c>
      <c r="H136" t="s">
        <v>217</v>
      </c>
      <c r="I136" t="s">
        <v>219</v>
      </c>
      <c r="J136" t="s">
        <v>220</v>
      </c>
      <c r="K136" t="s">
        <v>13295</v>
      </c>
      <c r="L136" t="s">
        <v>42</v>
      </c>
      <c r="M136" t="s">
        <v>56</v>
      </c>
      <c r="N136" t="s">
        <v>46</v>
      </c>
      <c r="O136" t="s">
        <v>222</v>
      </c>
    </row>
    <row r="137" spans="1:79" x14ac:dyDescent="0.3">
      <c r="A137">
        <v>163</v>
      </c>
      <c r="B137" t="s">
        <v>12484</v>
      </c>
      <c r="C137" t="s">
        <v>12483</v>
      </c>
      <c r="D137" t="s">
        <v>1408</v>
      </c>
      <c r="E137">
        <v>2023</v>
      </c>
      <c r="F137" t="s">
        <v>1409</v>
      </c>
      <c r="G137" t="s">
        <v>1410</v>
      </c>
      <c r="H137" t="s">
        <v>1411</v>
      </c>
      <c r="I137" t="s">
        <v>1413</v>
      </c>
      <c r="J137" t="s">
        <v>1414</v>
      </c>
      <c r="L137" t="s">
        <v>42</v>
      </c>
      <c r="M137" t="s">
        <v>56</v>
      </c>
      <c r="N137" t="s">
        <v>46</v>
      </c>
      <c r="O137" t="s">
        <v>1417</v>
      </c>
      <c r="CA137" s="6"/>
    </row>
    <row r="138" spans="1:79" x14ac:dyDescent="0.3">
      <c r="A138">
        <v>164</v>
      </c>
      <c r="B138" t="s">
        <v>12336</v>
      </c>
      <c r="C138" t="s">
        <v>12335</v>
      </c>
      <c r="D138" t="s">
        <v>1203</v>
      </c>
      <c r="E138">
        <v>2022</v>
      </c>
      <c r="F138" t="s">
        <v>1204</v>
      </c>
      <c r="G138" t="s">
        <v>1206</v>
      </c>
      <c r="H138" t="s">
        <v>1207</v>
      </c>
      <c r="I138" t="s">
        <v>12333</v>
      </c>
      <c r="J138" t="s">
        <v>1209</v>
      </c>
      <c r="L138" t="s">
        <v>42</v>
      </c>
      <c r="M138" t="s">
        <v>56</v>
      </c>
      <c r="N138" t="s">
        <v>46</v>
      </c>
      <c r="O138" t="s">
        <v>1212</v>
      </c>
    </row>
    <row r="139" spans="1:79" x14ac:dyDescent="0.3">
      <c r="A139">
        <v>165</v>
      </c>
      <c r="B139" t="s">
        <v>12822</v>
      </c>
      <c r="C139" t="s">
        <v>12821</v>
      </c>
      <c r="D139" t="s">
        <v>656</v>
      </c>
      <c r="E139">
        <v>2023</v>
      </c>
      <c r="F139" t="s">
        <v>540</v>
      </c>
      <c r="G139" t="s">
        <v>657</v>
      </c>
      <c r="H139" t="s">
        <v>658</v>
      </c>
      <c r="I139" t="s">
        <v>660</v>
      </c>
      <c r="J139" t="s">
        <v>661</v>
      </c>
      <c r="L139" t="s">
        <v>42</v>
      </c>
      <c r="M139" t="s">
        <v>12252</v>
      </c>
      <c r="N139" t="s">
        <v>46</v>
      </c>
      <c r="O139" t="s">
        <v>663</v>
      </c>
    </row>
    <row r="140" spans="1:79" x14ac:dyDescent="0.3">
      <c r="A140">
        <v>167</v>
      </c>
      <c r="B140" t="s">
        <v>12928</v>
      </c>
      <c r="C140" t="s">
        <v>12927</v>
      </c>
      <c r="D140" t="s">
        <v>334</v>
      </c>
      <c r="E140">
        <v>2023</v>
      </c>
      <c r="F140" t="s">
        <v>335</v>
      </c>
      <c r="G140" t="s">
        <v>336</v>
      </c>
      <c r="H140" t="s">
        <v>337</v>
      </c>
      <c r="I140" t="s">
        <v>338</v>
      </c>
      <c r="J140" t="s">
        <v>339</v>
      </c>
      <c r="K140" t="s">
        <v>12923</v>
      </c>
      <c r="L140" t="s">
        <v>42</v>
      </c>
      <c r="M140" t="s">
        <v>56</v>
      </c>
      <c r="N140" t="s">
        <v>46</v>
      </c>
      <c r="O140" t="s">
        <v>343</v>
      </c>
    </row>
    <row r="141" spans="1:79" x14ac:dyDescent="0.3">
      <c r="A141">
        <v>168</v>
      </c>
      <c r="B141" t="s">
        <v>12615</v>
      </c>
      <c r="C141" t="s">
        <v>12614</v>
      </c>
      <c r="D141" t="s">
        <v>1084</v>
      </c>
      <c r="E141">
        <v>2023</v>
      </c>
      <c r="F141" t="s">
        <v>1085</v>
      </c>
      <c r="H141" t="s">
        <v>1086</v>
      </c>
      <c r="I141" t="s">
        <v>1088</v>
      </c>
      <c r="L141" t="s">
        <v>42</v>
      </c>
      <c r="M141" t="s">
        <v>12252</v>
      </c>
      <c r="N141" t="s">
        <v>46</v>
      </c>
      <c r="O141" t="s">
        <v>1092</v>
      </c>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row>
    <row r="142" spans="1:79" x14ac:dyDescent="0.3">
      <c r="A142">
        <v>169</v>
      </c>
      <c r="B142" t="s">
        <v>12640</v>
      </c>
      <c r="C142" t="s">
        <v>12639</v>
      </c>
      <c r="D142" t="s">
        <v>818</v>
      </c>
      <c r="E142">
        <v>2023</v>
      </c>
      <c r="F142" t="s">
        <v>819</v>
      </c>
      <c r="G142" t="s">
        <v>820</v>
      </c>
      <c r="H142" t="s">
        <v>821</v>
      </c>
      <c r="I142" t="s">
        <v>823</v>
      </c>
      <c r="J142" t="s">
        <v>824</v>
      </c>
      <c r="L142" t="s">
        <v>42</v>
      </c>
      <c r="M142" t="s">
        <v>56</v>
      </c>
      <c r="N142" t="s">
        <v>46</v>
      </c>
      <c r="O142" t="s">
        <v>828</v>
      </c>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row>
    <row r="143" spans="1:79" x14ac:dyDescent="0.3">
      <c r="A143">
        <v>170</v>
      </c>
      <c r="B143" t="s">
        <v>12489</v>
      </c>
      <c r="C143" t="s">
        <v>12488</v>
      </c>
      <c r="D143" t="s">
        <v>1153</v>
      </c>
      <c r="E143">
        <v>2023</v>
      </c>
      <c r="F143" t="s">
        <v>1154</v>
      </c>
      <c r="G143" t="s">
        <v>1155</v>
      </c>
      <c r="H143" t="s">
        <v>1156</v>
      </c>
      <c r="I143" t="s">
        <v>1158</v>
      </c>
      <c r="J143" t="s">
        <v>1159</v>
      </c>
      <c r="L143" t="s">
        <v>42</v>
      </c>
      <c r="M143" t="s">
        <v>56</v>
      </c>
      <c r="N143" t="s">
        <v>46</v>
      </c>
      <c r="O143" t="s">
        <v>1161</v>
      </c>
      <c r="BV143" s="6"/>
      <c r="BW143" s="6"/>
      <c r="BX143" s="6"/>
      <c r="BY143" s="6"/>
      <c r="BZ143" s="6"/>
      <c r="CA143" s="6"/>
    </row>
    <row r="144" spans="1:79" x14ac:dyDescent="0.3">
      <c r="A144">
        <v>171</v>
      </c>
      <c r="B144" t="s">
        <v>12557</v>
      </c>
      <c r="C144" t="s">
        <v>12556</v>
      </c>
      <c r="D144" t="s">
        <v>1142</v>
      </c>
      <c r="E144">
        <v>2023</v>
      </c>
      <c r="F144" t="s">
        <v>1143</v>
      </c>
      <c r="G144" t="s">
        <v>1144</v>
      </c>
      <c r="H144" t="s">
        <v>1145</v>
      </c>
      <c r="I144" t="s">
        <v>1147</v>
      </c>
      <c r="J144" t="s">
        <v>1148</v>
      </c>
      <c r="L144" t="s">
        <v>42</v>
      </c>
      <c r="M144" t="s">
        <v>56</v>
      </c>
      <c r="N144" t="s">
        <v>46</v>
      </c>
      <c r="O144" t="s">
        <v>1151</v>
      </c>
      <c r="BV144" s="6"/>
      <c r="BW144" s="6"/>
      <c r="BX144" s="6"/>
      <c r="BY144" s="6"/>
      <c r="BZ144" s="6"/>
    </row>
    <row r="145" spans="1:79" x14ac:dyDescent="0.3">
      <c r="A145">
        <v>172</v>
      </c>
      <c r="B145" t="s">
        <v>13356</v>
      </c>
      <c r="C145" t="s">
        <v>13355</v>
      </c>
      <c r="D145" t="s">
        <v>204</v>
      </c>
      <c r="E145">
        <v>2023</v>
      </c>
      <c r="F145" t="s">
        <v>205</v>
      </c>
      <c r="G145" t="s">
        <v>206</v>
      </c>
      <c r="H145" t="s">
        <v>207</v>
      </c>
      <c r="I145" t="s">
        <v>209</v>
      </c>
      <c r="J145" t="s">
        <v>210</v>
      </c>
      <c r="K145" t="s">
        <v>13351</v>
      </c>
      <c r="L145" t="s">
        <v>42</v>
      </c>
      <c r="M145" t="s">
        <v>56</v>
      </c>
      <c r="N145" t="s">
        <v>46</v>
      </c>
      <c r="O145" t="s">
        <v>213</v>
      </c>
    </row>
    <row r="146" spans="1:79" x14ac:dyDescent="0.3">
      <c r="A146">
        <v>173</v>
      </c>
      <c r="B146" t="s">
        <v>13034</v>
      </c>
      <c r="C146" t="s">
        <v>13033</v>
      </c>
      <c r="D146" t="s">
        <v>13032</v>
      </c>
      <c r="E146">
        <v>2023</v>
      </c>
      <c r="F146" t="s">
        <v>13031</v>
      </c>
      <c r="G146" t="s">
        <v>13030</v>
      </c>
      <c r="H146" t="s">
        <v>13029</v>
      </c>
      <c r="I146" t="s">
        <v>13026</v>
      </c>
      <c r="J146" t="s">
        <v>13025</v>
      </c>
      <c r="K146" t="s">
        <v>13023</v>
      </c>
      <c r="L146" t="s">
        <v>42</v>
      </c>
      <c r="M146" t="s">
        <v>12252</v>
      </c>
      <c r="N146" t="s">
        <v>46</v>
      </c>
      <c r="O146" t="s">
        <v>13018</v>
      </c>
    </row>
    <row r="147" spans="1:79" s="6" customFormat="1" x14ac:dyDescent="0.3">
      <c r="A147">
        <v>174</v>
      </c>
      <c r="B147" t="s">
        <v>12858</v>
      </c>
      <c r="C147" t="s">
        <v>12857</v>
      </c>
      <c r="D147" t="s">
        <v>675</v>
      </c>
      <c r="E147">
        <v>2023</v>
      </c>
      <c r="F147" t="s">
        <v>676</v>
      </c>
      <c r="G147" t="s">
        <v>677</v>
      </c>
      <c r="H147" t="s">
        <v>678</v>
      </c>
      <c r="I147" t="s">
        <v>680</v>
      </c>
      <c r="J147" t="s">
        <v>681</v>
      </c>
      <c r="K147"/>
      <c r="L147" t="s">
        <v>42</v>
      </c>
      <c r="M147" t="s">
        <v>12252</v>
      </c>
      <c r="N147" t="s">
        <v>46</v>
      </c>
      <c r="O147" t="s">
        <v>684</v>
      </c>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row>
    <row r="148" spans="1:79" s="6" customFormat="1" x14ac:dyDescent="0.3">
      <c r="A148">
        <v>175</v>
      </c>
      <c r="B148" t="s">
        <v>12309</v>
      </c>
      <c r="C148" t="s">
        <v>12308</v>
      </c>
      <c r="D148" t="s">
        <v>1093</v>
      </c>
      <c r="E148">
        <v>2021</v>
      </c>
      <c r="F148" t="s">
        <v>1094</v>
      </c>
      <c r="G148" t="s">
        <v>1095</v>
      </c>
      <c r="H148" t="s">
        <v>1096</v>
      </c>
      <c r="I148" t="s">
        <v>1098</v>
      </c>
      <c r="J148" t="s">
        <v>1099</v>
      </c>
      <c r="K148" t="s">
        <v>12302</v>
      </c>
      <c r="L148" t="s">
        <v>42</v>
      </c>
      <c r="M148" t="s">
        <v>56</v>
      </c>
      <c r="N148" t="s">
        <v>46</v>
      </c>
      <c r="O148" t="s">
        <v>1102</v>
      </c>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row>
    <row r="149" spans="1:79" s="6" customFormat="1" x14ac:dyDescent="0.3">
      <c r="A149">
        <v>176</v>
      </c>
      <c r="B149" t="s">
        <v>12996</v>
      </c>
      <c r="C149" t="s">
        <v>12995</v>
      </c>
      <c r="D149" t="s">
        <v>12994</v>
      </c>
      <c r="E149">
        <v>2023</v>
      </c>
      <c r="F149" t="s">
        <v>12984</v>
      </c>
      <c r="G149" t="s">
        <v>12993</v>
      </c>
      <c r="H149" t="s">
        <v>12992</v>
      </c>
      <c r="I149" t="s">
        <v>12989</v>
      </c>
      <c r="J149" t="s">
        <v>12988</v>
      </c>
      <c r="K149" t="s">
        <v>12986</v>
      </c>
      <c r="L149" t="s">
        <v>42</v>
      </c>
      <c r="M149" t="s">
        <v>12252</v>
      </c>
      <c r="N149" t="s">
        <v>46</v>
      </c>
      <c r="O149" t="s">
        <v>12981</v>
      </c>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row>
    <row r="150" spans="1:79" s="6" customFormat="1" x14ac:dyDescent="0.3">
      <c r="A150">
        <v>177</v>
      </c>
      <c r="B150" t="s">
        <v>12835</v>
      </c>
      <c r="C150" t="s">
        <v>12834</v>
      </c>
      <c r="D150" t="s">
        <v>141</v>
      </c>
      <c r="E150">
        <v>2023</v>
      </c>
      <c r="F150" t="s">
        <v>142</v>
      </c>
      <c r="G150" t="s">
        <v>143</v>
      </c>
      <c r="H150" t="s">
        <v>144</v>
      </c>
      <c r="I150" t="s">
        <v>146</v>
      </c>
      <c r="J150" t="s">
        <v>147</v>
      </c>
      <c r="K150"/>
      <c r="L150" t="s">
        <v>42</v>
      </c>
      <c r="M150" t="s">
        <v>12252</v>
      </c>
      <c r="N150" t="s">
        <v>46</v>
      </c>
      <c r="O150" t="s">
        <v>150</v>
      </c>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CA150"/>
    </row>
  </sheetData>
  <autoFilter ref="A1:CA1" xr:uid="{F03A5794-9ED6-4767-B885-ED2BC3414C2F}">
    <sortState xmlns:xlrd2="http://schemas.microsoft.com/office/spreadsheetml/2017/richdata2" ref="A2:CA150">
      <sortCondition ref="A1"/>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E3285-F16B-4687-A7D4-63530B428879}">
  <dimension ref="A1:M550"/>
  <sheetViews>
    <sheetView topLeftCell="A141" zoomScale="84" zoomScaleNormal="84" workbookViewId="0">
      <selection activeCell="G2" sqref="G2:G550"/>
    </sheetView>
  </sheetViews>
  <sheetFormatPr baseColWidth="10" defaultColWidth="8.88671875" defaultRowHeight="13.2" x14ac:dyDescent="0.25"/>
  <cols>
    <col min="1" max="1" width="11.5546875" style="1" customWidth="1"/>
    <col min="2" max="6" width="8.88671875" style="1" customWidth="1"/>
    <col min="7" max="7" width="32.5546875" style="1" customWidth="1"/>
    <col min="8" max="8" width="8.88671875" style="1" customWidth="1"/>
    <col min="9" max="16384" width="8.88671875" style="1"/>
  </cols>
  <sheetData>
    <row r="1" spans="1:13" x14ac:dyDescent="0.25">
      <c r="A1" s="1" t="s">
        <v>13738</v>
      </c>
      <c r="B1" s="1" t="s">
        <v>0</v>
      </c>
      <c r="C1" s="1" t="s">
        <v>1450</v>
      </c>
      <c r="D1" s="1" t="s">
        <v>1453</v>
      </c>
      <c r="E1" s="1" t="s">
        <v>1454</v>
      </c>
      <c r="F1" s="1" t="s">
        <v>1457</v>
      </c>
      <c r="G1" s="1" t="s">
        <v>28</v>
      </c>
      <c r="H1" s="1" t="s">
        <v>17</v>
      </c>
      <c r="I1" s="1" t="s">
        <v>1463</v>
      </c>
      <c r="J1" s="1" t="s">
        <v>16</v>
      </c>
      <c r="K1" s="1" t="s">
        <v>1484</v>
      </c>
      <c r="L1" s="1" t="s">
        <v>12</v>
      </c>
      <c r="M1" s="1" t="s">
        <v>1491</v>
      </c>
    </row>
    <row r="2" spans="1:13" x14ac:dyDescent="0.25">
      <c r="A2" s="1">
        <v>1</v>
      </c>
      <c r="B2" s="1" t="s">
        <v>5519</v>
      </c>
      <c r="C2" s="1" t="s">
        <v>5520</v>
      </c>
      <c r="D2" s="1" t="s">
        <v>5521</v>
      </c>
      <c r="E2" s="1" t="s">
        <v>5522</v>
      </c>
      <c r="F2" s="1" t="s">
        <v>42</v>
      </c>
      <c r="G2" s="1" t="s">
        <v>56</v>
      </c>
      <c r="H2" s="1" t="s">
        <v>5523</v>
      </c>
      <c r="I2" s="1" t="s">
        <v>5524</v>
      </c>
      <c r="J2" s="1" t="s">
        <v>5525</v>
      </c>
      <c r="K2" s="1">
        <v>2023</v>
      </c>
      <c r="L2" s="1" t="s">
        <v>5542</v>
      </c>
      <c r="M2" s="1" t="str">
        <f>HYPERLINK("http://dx.doi.org/10.1590/0034-7167-2022-0366","http://dx.doi.org/10.1590/0034-7167-2022-0366")</f>
        <v>http://dx.doi.org/10.1590/0034-7167-2022-0366</v>
      </c>
    </row>
    <row r="3" spans="1:13" x14ac:dyDescent="0.25">
      <c r="A3" s="1">
        <v>2</v>
      </c>
      <c r="B3" s="1" t="s">
        <v>14164</v>
      </c>
      <c r="C3" s="1" t="s">
        <v>14165</v>
      </c>
      <c r="D3" s="1" t="s">
        <v>14166</v>
      </c>
      <c r="E3" s="1" t="s">
        <v>3251</v>
      </c>
      <c r="F3" s="1" t="s">
        <v>42</v>
      </c>
      <c r="G3" s="1" t="s">
        <v>56</v>
      </c>
      <c r="H3" s="1" t="s">
        <v>14167</v>
      </c>
      <c r="I3" s="1" t="s">
        <v>14168</v>
      </c>
      <c r="J3" s="1" t="s">
        <v>14169</v>
      </c>
      <c r="K3" s="1">
        <v>2023</v>
      </c>
      <c r="L3" s="1" t="s">
        <v>14179</v>
      </c>
      <c r="M3" s="1" t="str">
        <f>HYPERLINK("http://dx.doi.org/10.1073/pnas.2313790120","http://dx.doi.org/10.1073/pnas.2313790120")</f>
        <v>http://dx.doi.org/10.1073/pnas.2313790120</v>
      </c>
    </row>
    <row r="4" spans="1:13" x14ac:dyDescent="0.25">
      <c r="A4" s="1">
        <v>3</v>
      </c>
      <c r="B4" s="1" t="s">
        <v>11225</v>
      </c>
      <c r="C4" s="1" t="s">
        <v>11226</v>
      </c>
      <c r="D4" s="1" t="s">
        <v>11227</v>
      </c>
      <c r="E4" s="1" t="s">
        <v>11228</v>
      </c>
      <c r="F4" s="1" t="s">
        <v>42</v>
      </c>
      <c r="G4" s="1" t="s">
        <v>56</v>
      </c>
      <c r="H4" s="1" t="s">
        <v>1507</v>
      </c>
      <c r="I4" s="1" t="s">
        <v>1507</v>
      </c>
      <c r="J4" s="1" t="s">
        <v>11229</v>
      </c>
      <c r="K4" s="1">
        <v>2019</v>
      </c>
      <c r="L4" s="1" t="s">
        <v>1507</v>
      </c>
      <c r="M4" s="1" t="s">
        <v>1507</v>
      </c>
    </row>
    <row r="5" spans="1:13" x14ac:dyDescent="0.25">
      <c r="A5" s="1">
        <v>4</v>
      </c>
      <c r="B5" s="1" t="s">
        <v>1866</v>
      </c>
      <c r="C5" s="1" t="s">
        <v>1867</v>
      </c>
      <c r="D5" s="1" t="s">
        <v>1868</v>
      </c>
      <c r="E5" s="1" t="s">
        <v>1869</v>
      </c>
      <c r="F5" s="1" t="s">
        <v>42</v>
      </c>
      <c r="G5" s="1" t="s">
        <v>56</v>
      </c>
      <c r="H5" s="1" t="s">
        <v>1507</v>
      </c>
      <c r="I5" s="1" t="s">
        <v>1507</v>
      </c>
      <c r="J5" s="1" t="s">
        <v>1870</v>
      </c>
      <c r="K5" s="1">
        <v>2023</v>
      </c>
      <c r="L5" s="1" t="s">
        <v>1883</v>
      </c>
      <c r="M5" s="1" t="str">
        <f>HYPERLINK("http://dx.doi.org/10.1038/s41540-023-00324-2","http://dx.doi.org/10.1038/s41540-023-00324-2")</f>
        <v>http://dx.doi.org/10.1038/s41540-023-00324-2</v>
      </c>
    </row>
    <row r="6" spans="1:13" x14ac:dyDescent="0.25">
      <c r="A6" s="1">
        <v>5</v>
      </c>
      <c r="B6" s="1" t="s">
        <v>5031</v>
      </c>
      <c r="C6" s="1" t="s">
        <v>5032</v>
      </c>
      <c r="D6" s="1" t="s">
        <v>5033</v>
      </c>
      <c r="E6" s="1" t="s">
        <v>5034</v>
      </c>
      <c r="F6" s="1" t="s">
        <v>42</v>
      </c>
      <c r="G6" s="1" t="s">
        <v>56</v>
      </c>
      <c r="H6" s="1" t="s">
        <v>1507</v>
      </c>
      <c r="I6" s="1" t="s">
        <v>5035</v>
      </c>
      <c r="J6" s="1" t="s">
        <v>1507</v>
      </c>
      <c r="K6" s="1">
        <v>2023</v>
      </c>
      <c r="L6" s="1" t="s">
        <v>5046</v>
      </c>
      <c r="M6" s="1" t="str">
        <f>HYPERLINK("http://dx.doi.org/10.3366/ajicl.2023.0441","http://dx.doi.org/10.3366/ajicl.2023.0441")</f>
        <v>http://dx.doi.org/10.3366/ajicl.2023.0441</v>
      </c>
    </row>
    <row r="7" spans="1:13" x14ac:dyDescent="0.25">
      <c r="A7" s="1">
        <v>7</v>
      </c>
      <c r="B7" s="1" t="s">
        <v>4611</v>
      </c>
      <c r="C7" s="1" t="s">
        <v>4612</v>
      </c>
      <c r="D7" s="1" t="s">
        <v>4613</v>
      </c>
      <c r="E7" s="1" t="s">
        <v>4614</v>
      </c>
      <c r="F7" s="1" t="s">
        <v>42</v>
      </c>
      <c r="G7" s="1" t="s">
        <v>56</v>
      </c>
      <c r="H7" s="1" t="s">
        <v>4615</v>
      </c>
      <c r="I7" s="1" t="s">
        <v>4616</v>
      </c>
      <c r="J7" s="1" t="s">
        <v>4617</v>
      </c>
      <c r="K7" s="1">
        <v>2023</v>
      </c>
      <c r="L7" s="1" t="s">
        <v>4629</v>
      </c>
      <c r="M7" s="1" t="str">
        <f>HYPERLINK("http://dx.doi.org/10.1007/s12559-023-10165-0","http://dx.doi.org/10.1007/s12559-023-10165-0")</f>
        <v>http://dx.doi.org/10.1007/s12559-023-10165-0</v>
      </c>
    </row>
    <row r="8" spans="1:13" x14ac:dyDescent="0.25">
      <c r="A8" s="1">
        <v>8</v>
      </c>
      <c r="B8" s="1" t="s">
        <v>5547</v>
      </c>
      <c r="C8" s="1" t="s">
        <v>5549</v>
      </c>
      <c r="D8" s="1" t="s">
        <v>5550</v>
      </c>
      <c r="E8" s="1" t="s">
        <v>5551</v>
      </c>
      <c r="F8" s="1" t="s">
        <v>42</v>
      </c>
      <c r="G8" s="1" t="s">
        <v>5552</v>
      </c>
      <c r="H8" s="1" t="s">
        <v>5556</v>
      </c>
      <c r="I8" s="1" t="s">
        <v>1507</v>
      </c>
      <c r="J8" s="1" t="s">
        <v>5557</v>
      </c>
      <c r="K8" s="1">
        <v>2023</v>
      </c>
      <c r="L8" s="1" t="s">
        <v>5568</v>
      </c>
      <c r="M8" s="1" t="str">
        <f>HYPERLINK("http://dx.doi.org/10.1145/3593434.3593468","http://dx.doi.org/10.1145/3593434.3593468")</f>
        <v>http://dx.doi.org/10.1145/3593434.3593468</v>
      </c>
    </row>
    <row r="9" spans="1:13" x14ac:dyDescent="0.25">
      <c r="A9" s="1">
        <v>9</v>
      </c>
      <c r="B9" s="1" t="s">
        <v>7626</v>
      </c>
      <c r="C9" s="1" t="s">
        <v>7627</v>
      </c>
      <c r="D9" s="1" t="s">
        <v>7628</v>
      </c>
      <c r="E9" s="1" t="s">
        <v>7629</v>
      </c>
      <c r="F9" s="1" t="s">
        <v>42</v>
      </c>
      <c r="G9" s="1" t="s">
        <v>56</v>
      </c>
      <c r="H9" s="1" t="s">
        <v>7630</v>
      </c>
      <c r="I9" s="1" t="s">
        <v>7631</v>
      </c>
      <c r="J9" s="1" t="s">
        <v>7632</v>
      </c>
      <c r="K9" s="1">
        <v>2022</v>
      </c>
      <c r="L9" s="1" t="s">
        <v>7643</v>
      </c>
      <c r="M9" s="1" t="str">
        <f>HYPERLINK("http://dx.doi.org/10.1007/s40808-021-01292-4","http://dx.doi.org/10.1007/s40808-021-01292-4")</f>
        <v>http://dx.doi.org/10.1007/s40808-021-01292-4</v>
      </c>
    </row>
    <row r="10" spans="1:13" x14ac:dyDescent="0.25">
      <c r="A10" s="1">
        <v>10</v>
      </c>
      <c r="B10" s="1" t="s">
        <v>7510</v>
      </c>
      <c r="C10" s="1" t="s">
        <v>7511</v>
      </c>
      <c r="D10" s="1" t="s">
        <v>7512</v>
      </c>
      <c r="E10" s="1" t="s">
        <v>7513</v>
      </c>
      <c r="F10" s="1" t="s">
        <v>42</v>
      </c>
      <c r="G10" s="1" t="s">
        <v>56</v>
      </c>
      <c r="H10" s="1" t="s">
        <v>1507</v>
      </c>
      <c r="I10" s="1" t="s">
        <v>1507</v>
      </c>
      <c r="J10" s="1" t="s">
        <v>7514</v>
      </c>
      <c r="K10" s="1">
        <v>2022</v>
      </c>
      <c r="L10" s="1" t="s">
        <v>7531</v>
      </c>
      <c r="M10" s="1" t="str">
        <f>HYPERLINK("http://dx.doi.org/10.1063/5.0082085","http://dx.doi.org/10.1063/5.0082085")</f>
        <v>http://dx.doi.org/10.1063/5.0082085</v>
      </c>
    </row>
    <row r="11" spans="1:13" x14ac:dyDescent="0.25">
      <c r="A11" s="1">
        <v>11</v>
      </c>
      <c r="B11" s="1" t="s">
        <v>3979</v>
      </c>
      <c r="C11" s="1" t="s">
        <v>3980</v>
      </c>
      <c r="D11" s="1" t="s">
        <v>3981</v>
      </c>
      <c r="E11" s="1" t="s">
        <v>3982</v>
      </c>
      <c r="F11" s="1" t="s">
        <v>42</v>
      </c>
      <c r="G11" s="1" t="s">
        <v>56</v>
      </c>
      <c r="H11" s="1" t="s">
        <v>420</v>
      </c>
      <c r="I11" s="1" t="s">
        <v>1507</v>
      </c>
      <c r="J11" s="1" t="s">
        <v>3983</v>
      </c>
      <c r="K11" s="1">
        <v>2023</v>
      </c>
      <c r="L11" s="1" t="s">
        <v>417</v>
      </c>
      <c r="M11" s="1" t="str">
        <f>HYPERLINK("http://dx.doi.org/10.3390/educsci13090885","http://dx.doi.org/10.3390/educsci13090885")</f>
        <v>http://dx.doi.org/10.3390/educsci13090885</v>
      </c>
    </row>
    <row r="12" spans="1:13" x14ac:dyDescent="0.25">
      <c r="A12" s="1">
        <v>12</v>
      </c>
      <c r="B12" s="1" t="s">
        <v>5573</v>
      </c>
      <c r="C12" s="1" t="s">
        <v>5574</v>
      </c>
      <c r="D12" s="1" t="s">
        <v>5575</v>
      </c>
      <c r="E12" s="1" t="s">
        <v>5576</v>
      </c>
      <c r="F12" s="1" t="s">
        <v>42</v>
      </c>
      <c r="G12" s="1" t="s">
        <v>5552</v>
      </c>
      <c r="H12" s="1" t="s">
        <v>5581</v>
      </c>
      <c r="I12" s="1" t="s">
        <v>1507</v>
      </c>
      <c r="J12" s="1" t="s">
        <v>5582</v>
      </c>
      <c r="K12" s="1">
        <v>2023</v>
      </c>
      <c r="L12" s="1" t="s">
        <v>5591</v>
      </c>
      <c r="M12" s="1" t="str">
        <f>HYPERLINK("http://dx.doi.org/10.1145/3539618.3591960","http://dx.doi.org/10.1145/3539618.3591960")</f>
        <v>http://dx.doi.org/10.1145/3539618.3591960</v>
      </c>
    </row>
    <row r="13" spans="1:13" x14ac:dyDescent="0.25">
      <c r="A13" s="1">
        <v>13</v>
      </c>
      <c r="B13" s="1" t="s">
        <v>5594</v>
      </c>
      <c r="C13" s="1" t="s">
        <v>5595</v>
      </c>
      <c r="D13" s="1" t="s">
        <v>5596</v>
      </c>
      <c r="E13" s="1" t="s">
        <v>5576</v>
      </c>
      <c r="F13" s="1" t="s">
        <v>42</v>
      </c>
      <c r="G13" s="1" t="s">
        <v>5552</v>
      </c>
      <c r="H13" s="1" t="s">
        <v>5597</v>
      </c>
      <c r="I13" s="1" t="s">
        <v>1507</v>
      </c>
      <c r="J13" s="1" t="s">
        <v>5598</v>
      </c>
      <c r="K13" s="1">
        <v>2023</v>
      </c>
      <c r="L13" s="1" t="s">
        <v>5605</v>
      </c>
      <c r="M13" s="1" t="str">
        <f>HYPERLINK("http://dx.doi.org/10.1145/3539618.3591913","http://dx.doi.org/10.1145/3539618.3591913")</f>
        <v>http://dx.doi.org/10.1145/3539618.3591913</v>
      </c>
    </row>
    <row r="14" spans="1:13" x14ac:dyDescent="0.25">
      <c r="A14" s="1">
        <v>14</v>
      </c>
      <c r="B14" s="1" t="s">
        <v>7646</v>
      </c>
      <c r="C14" s="1" t="s">
        <v>7648</v>
      </c>
      <c r="D14" s="1" t="s">
        <v>7649</v>
      </c>
      <c r="E14" s="1" t="s">
        <v>7650</v>
      </c>
      <c r="F14" s="1" t="s">
        <v>42</v>
      </c>
      <c r="G14" s="1" t="s">
        <v>5552</v>
      </c>
      <c r="H14" s="1" t="s">
        <v>1507</v>
      </c>
      <c r="I14" s="1" t="s">
        <v>1507</v>
      </c>
      <c r="J14" s="1" t="s">
        <v>7655</v>
      </c>
      <c r="K14" s="1">
        <v>2022</v>
      </c>
      <c r="L14" s="1" t="s">
        <v>1507</v>
      </c>
      <c r="M14" s="1" t="s">
        <v>1507</v>
      </c>
    </row>
    <row r="15" spans="1:13" x14ac:dyDescent="0.25">
      <c r="A15" s="1">
        <v>15</v>
      </c>
      <c r="B15" s="1" t="s">
        <v>11869</v>
      </c>
      <c r="C15" s="1" t="s">
        <v>11871</v>
      </c>
      <c r="D15" s="1" t="s">
        <v>11872</v>
      </c>
      <c r="E15" s="1" t="s">
        <v>11873</v>
      </c>
      <c r="F15" s="1" t="s">
        <v>42</v>
      </c>
      <c r="G15" s="1" t="s">
        <v>5888</v>
      </c>
      <c r="H15" s="1" t="s">
        <v>1507</v>
      </c>
      <c r="I15" s="1" t="s">
        <v>1507</v>
      </c>
      <c r="J15" s="1" t="s">
        <v>1507</v>
      </c>
      <c r="K15" s="1">
        <v>2018</v>
      </c>
      <c r="L15" s="1" t="s">
        <v>1507</v>
      </c>
      <c r="M15" s="1" t="s">
        <v>1507</v>
      </c>
    </row>
    <row r="16" spans="1:13" x14ac:dyDescent="0.25">
      <c r="A16" s="1">
        <v>16</v>
      </c>
      <c r="B16" s="1" t="s">
        <v>9613</v>
      </c>
      <c r="C16" s="1" t="s">
        <v>9614</v>
      </c>
      <c r="D16" s="1" t="s">
        <v>9615</v>
      </c>
      <c r="E16" s="1" t="s">
        <v>9616</v>
      </c>
      <c r="F16" s="1" t="s">
        <v>42</v>
      </c>
      <c r="G16" s="1" t="s">
        <v>56</v>
      </c>
      <c r="H16" s="1" t="s">
        <v>9617</v>
      </c>
      <c r="I16" s="1" t="s">
        <v>9618</v>
      </c>
      <c r="J16" s="1" t="s">
        <v>9619</v>
      </c>
      <c r="K16" s="1">
        <v>2022</v>
      </c>
      <c r="L16" s="1" t="s">
        <v>9632</v>
      </c>
      <c r="M16" s="1" t="str">
        <f>HYPERLINK("http://dx.doi.org/10.1080/03610926.2020.1811870","http://dx.doi.org/10.1080/03610926.2020.1811870")</f>
        <v>http://dx.doi.org/10.1080/03610926.2020.1811870</v>
      </c>
    </row>
    <row r="17" spans="1:13" x14ac:dyDescent="0.25">
      <c r="A17" s="1">
        <v>17</v>
      </c>
      <c r="B17" s="1" t="s">
        <v>11025</v>
      </c>
      <c r="C17" s="1" t="s">
        <v>11026</v>
      </c>
      <c r="D17" s="1" t="s">
        <v>11027</v>
      </c>
      <c r="E17" s="1" t="s">
        <v>9616</v>
      </c>
      <c r="F17" s="1" t="s">
        <v>42</v>
      </c>
      <c r="G17" s="1" t="s">
        <v>56</v>
      </c>
      <c r="H17" s="1" t="s">
        <v>9617</v>
      </c>
      <c r="I17" s="1" t="s">
        <v>11028</v>
      </c>
      <c r="J17" s="1" t="s">
        <v>11029</v>
      </c>
      <c r="K17" s="1">
        <v>2020</v>
      </c>
      <c r="L17" s="1" t="s">
        <v>11038</v>
      </c>
      <c r="M17" s="1" t="str">
        <f>HYPERLINK("http://dx.doi.org/10.1080/03610926.2019.1620781","http://dx.doi.org/10.1080/03610926.2019.1620781")</f>
        <v>http://dx.doi.org/10.1080/03610926.2019.1620781</v>
      </c>
    </row>
    <row r="18" spans="1:13" x14ac:dyDescent="0.25">
      <c r="A18" s="1">
        <v>18</v>
      </c>
      <c r="B18" s="1" t="s">
        <v>8685</v>
      </c>
      <c r="C18" s="1" t="s">
        <v>8686</v>
      </c>
      <c r="D18" s="1" t="s">
        <v>8687</v>
      </c>
      <c r="E18" s="1" t="s">
        <v>1609</v>
      </c>
      <c r="F18" s="1" t="s">
        <v>42</v>
      </c>
      <c r="G18" s="1" t="s">
        <v>56</v>
      </c>
      <c r="H18" s="1" t="s">
        <v>8688</v>
      </c>
      <c r="I18" s="1" t="s">
        <v>8689</v>
      </c>
      <c r="J18" s="1" t="s">
        <v>8690</v>
      </c>
      <c r="K18" s="1">
        <v>2021</v>
      </c>
      <c r="L18" s="1" t="s">
        <v>8699</v>
      </c>
      <c r="M18" s="1" t="str">
        <f>HYPERLINK("http://dx.doi.org/10.3390/math9101102","http://dx.doi.org/10.3390/math9101102")</f>
        <v>http://dx.doi.org/10.3390/math9101102</v>
      </c>
    </row>
    <row r="19" spans="1:13" x14ac:dyDescent="0.25">
      <c r="A19" s="1">
        <v>19</v>
      </c>
      <c r="B19" s="1" t="s">
        <v>4393</v>
      </c>
      <c r="C19" s="1" t="s">
        <v>4394</v>
      </c>
      <c r="D19" s="1" t="s">
        <v>4395</v>
      </c>
      <c r="E19" s="1" t="s">
        <v>4396</v>
      </c>
      <c r="F19" s="1" t="s">
        <v>42</v>
      </c>
      <c r="G19" s="1" t="s">
        <v>56</v>
      </c>
      <c r="H19" s="1" t="s">
        <v>4397</v>
      </c>
      <c r="I19" s="1" t="s">
        <v>4398</v>
      </c>
      <c r="J19" s="1" t="s">
        <v>4399</v>
      </c>
      <c r="K19" s="1">
        <v>2023</v>
      </c>
      <c r="L19" s="1" t="s">
        <v>4407</v>
      </c>
      <c r="M19" s="1" t="str">
        <f>HYPERLINK("http://dx.doi.org/10.1016/j.sapharm.2023.05.016","http://dx.doi.org/10.1016/j.sapharm.2023.05.016")</f>
        <v>http://dx.doi.org/10.1016/j.sapharm.2023.05.016</v>
      </c>
    </row>
    <row r="20" spans="1:13" x14ac:dyDescent="0.25">
      <c r="A20" s="1">
        <v>20</v>
      </c>
      <c r="B20" s="1" t="s">
        <v>4692</v>
      </c>
      <c r="C20" s="1" t="s">
        <v>4693</v>
      </c>
      <c r="D20" s="1" t="s">
        <v>4694</v>
      </c>
      <c r="E20" s="1" t="s">
        <v>4695</v>
      </c>
      <c r="F20" s="1" t="s">
        <v>42</v>
      </c>
      <c r="G20" s="1" t="s">
        <v>1509</v>
      </c>
      <c r="H20" s="1" t="s">
        <v>1507</v>
      </c>
      <c r="I20" s="1" t="s">
        <v>4696</v>
      </c>
      <c r="J20" s="1" t="s">
        <v>4697</v>
      </c>
      <c r="K20" s="1">
        <v>2023</v>
      </c>
      <c r="L20" s="1" t="s">
        <v>4710</v>
      </c>
      <c r="M20" s="1" t="str">
        <f>HYPERLINK("http://dx.doi.org/10.1002/naaq.10290","http://dx.doi.org/10.1002/naaq.10290")</f>
        <v>http://dx.doi.org/10.1002/naaq.10290</v>
      </c>
    </row>
    <row r="21" spans="1:13" x14ac:dyDescent="0.25">
      <c r="A21" s="1">
        <v>21</v>
      </c>
      <c r="B21" s="1" t="s">
        <v>11244</v>
      </c>
      <c r="C21" s="1" t="s">
        <v>11245</v>
      </c>
      <c r="D21" s="1" t="s">
        <v>11246</v>
      </c>
      <c r="E21" s="1" t="s">
        <v>11247</v>
      </c>
      <c r="F21" s="1" t="s">
        <v>42</v>
      </c>
      <c r="G21" s="1" t="s">
        <v>56</v>
      </c>
      <c r="H21" s="1" t="s">
        <v>11248</v>
      </c>
      <c r="I21" s="1" t="s">
        <v>1507</v>
      </c>
      <c r="J21" s="1" t="s">
        <v>11249</v>
      </c>
      <c r="K21" s="1">
        <v>2019</v>
      </c>
      <c r="L21" s="1" t="s">
        <v>11261</v>
      </c>
      <c r="M21" s="1" t="str">
        <f>HYPERLINK("http://dx.doi.org/10.1017/S0020589318000398","http://dx.doi.org/10.1017/S0020589318000398")</f>
        <v>http://dx.doi.org/10.1017/S0020589318000398</v>
      </c>
    </row>
    <row r="22" spans="1:13" x14ac:dyDescent="0.25">
      <c r="A22" s="1">
        <v>22</v>
      </c>
      <c r="B22" s="1" t="s">
        <v>11264</v>
      </c>
      <c r="C22" s="1" t="s">
        <v>11265</v>
      </c>
      <c r="D22" s="1" t="s">
        <v>11266</v>
      </c>
      <c r="E22" s="1" t="s">
        <v>11267</v>
      </c>
      <c r="F22" s="1" t="s">
        <v>42</v>
      </c>
      <c r="G22" s="1" t="s">
        <v>56</v>
      </c>
      <c r="H22" s="1" t="s">
        <v>1507</v>
      </c>
      <c r="I22" s="1" t="s">
        <v>11268</v>
      </c>
      <c r="J22" s="1" t="s">
        <v>11269</v>
      </c>
      <c r="K22" s="1">
        <v>2019</v>
      </c>
      <c r="L22" s="1" t="s">
        <v>1507</v>
      </c>
      <c r="M22" s="1" t="s">
        <v>1507</v>
      </c>
    </row>
    <row r="23" spans="1:13" x14ac:dyDescent="0.25">
      <c r="A23" s="1">
        <v>23</v>
      </c>
      <c r="B23" s="1" t="s">
        <v>9345</v>
      </c>
      <c r="C23" s="1" t="s">
        <v>9346</v>
      </c>
      <c r="D23" s="1" t="s">
        <v>9347</v>
      </c>
      <c r="E23" s="1" t="s">
        <v>9348</v>
      </c>
      <c r="F23" s="1" t="s">
        <v>42</v>
      </c>
      <c r="G23" s="1" t="s">
        <v>56</v>
      </c>
      <c r="H23" s="1" t="s">
        <v>9349</v>
      </c>
      <c r="I23" s="1" t="s">
        <v>9350</v>
      </c>
      <c r="J23" s="1" t="s">
        <v>9351</v>
      </c>
      <c r="K23" s="1">
        <v>2021</v>
      </c>
      <c r="L23" s="1" t="s">
        <v>9362</v>
      </c>
      <c r="M23" s="1" t="str">
        <f>HYPERLINK("http://dx.doi.org/10.1007/s10980-020-01161-y","http://dx.doi.org/10.1007/s10980-020-01161-y")</f>
        <v>http://dx.doi.org/10.1007/s10980-020-01161-y</v>
      </c>
    </row>
    <row r="24" spans="1:13" x14ac:dyDescent="0.25">
      <c r="A24" s="1">
        <v>24</v>
      </c>
      <c r="B24" s="1" t="s">
        <v>3248</v>
      </c>
      <c r="C24" s="1" t="s">
        <v>3249</v>
      </c>
      <c r="D24" s="1" t="s">
        <v>3250</v>
      </c>
      <c r="E24" s="1" t="s">
        <v>3251</v>
      </c>
      <c r="F24" s="1" t="s">
        <v>42</v>
      </c>
      <c r="G24" s="1" t="s">
        <v>56</v>
      </c>
      <c r="H24" s="1" t="s">
        <v>3252</v>
      </c>
      <c r="I24" s="1" t="s">
        <v>3253</v>
      </c>
      <c r="J24" s="1" t="s">
        <v>3254</v>
      </c>
      <c r="K24" s="1">
        <v>2023</v>
      </c>
      <c r="L24" s="1" t="s">
        <v>3271</v>
      </c>
      <c r="M24" s="1" t="str">
        <f>HYPERLINK("http://dx.doi.org/10.1073/pnas.2311627120","http://dx.doi.org/10.1073/pnas.2311627120")</f>
        <v>http://dx.doi.org/10.1073/pnas.2311627120</v>
      </c>
    </row>
    <row r="25" spans="1:13" x14ac:dyDescent="0.25">
      <c r="A25" s="1">
        <v>26</v>
      </c>
      <c r="B25" s="1" t="s">
        <v>9871</v>
      </c>
      <c r="C25" s="1" t="s">
        <v>9872</v>
      </c>
      <c r="D25" s="1" t="s">
        <v>9873</v>
      </c>
      <c r="E25" s="1" t="s">
        <v>9874</v>
      </c>
      <c r="F25" s="1" t="s">
        <v>42</v>
      </c>
      <c r="G25" s="1" t="s">
        <v>56</v>
      </c>
      <c r="H25" s="1" t="s">
        <v>9875</v>
      </c>
      <c r="I25" s="1" t="s">
        <v>9876</v>
      </c>
      <c r="J25" s="1" t="s">
        <v>9877</v>
      </c>
      <c r="K25" s="1">
        <v>2021</v>
      </c>
      <c r="L25" s="1" t="s">
        <v>9889</v>
      </c>
      <c r="M25" s="1" t="str">
        <f>HYPERLINK("http://dx.doi.org/10.1007/s12237-020-00765-6","http://dx.doi.org/10.1007/s12237-020-00765-6")</f>
        <v>http://dx.doi.org/10.1007/s12237-020-00765-6</v>
      </c>
    </row>
    <row r="26" spans="1:13" x14ac:dyDescent="0.25">
      <c r="A26" s="1">
        <v>28</v>
      </c>
      <c r="B26" s="1" t="s">
        <v>10964</v>
      </c>
      <c r="C26" s="1" t="s">
        <v>10965</v>
      </c>
      <c r="D26" s="1" t="s">
        <v>10966</v>
      </c>
      <c r="E26" s="1" t="s">
        <v>3555</v>
      </c>
      <c r="F26" s="1" t="s">
        <v>42</v>
      </c>
      <c r="G26" s="1" t="s">
        <v>56</v>
      </c>
      <c r="H26" s="1" t="s">
        <v>10967</v>
      </c>
      <c r="I26" s="1" t="s">
        <v>1507</v>
      </c>
      <c r="J26" s="1" t="s">
        <v>10968</v>
      </c>
      <c r="K26" s="1">
        <v>2019</v>
      </c>
      <c r="L26" s="1" t="s">
        <v>10976</v>
      </c>
      <c r="M26" s="1" t="str">
        <f>HYPERLINK("http://dx.doi.org/10.1017/S0021855319000196","http://dx.doi.org/10.1017/S0021855319000196")</f>
        <v>http://dx.doi.org/10.1017/S0021855319000196</v>
      </c>
    </row>
    <row r="27" spans="1:13" x14ac:dyDescent="0.25">
      <c r="A27" s="1">
        <v>29</v>
      </c>
      <c r="B27" s="1" t="s">
        <v>10964</v>
      </c>
      <c r="C27" s="1" t="s">
        <v>10965</v>
      </c>
      <c r="D27" s="1" t="s">
        <v>11041</v>
      </c>
      <c r="E27" s="1" t="s">
        <v>5034</v>
      </c>
      <c r="F27" s="1" t="s">
        <v>42</v>
      </c>
      <c r="G27" s="1" t="s">
        <v>56</v>
      </c>
      <c r="H27" s="1" t="s">
        <v>1507</v>
      </c>
      <c r="I27" s="1" t="s">
        <v>1507</v>
      </c>
      <c r="J27" s="1" t="s">
        <v>1507</v>
      </c>
      <c r="K27" s="1">
        <v>2019</v>
      </c>
      <c r="L27" s="1" t="s">
        <v>11043</v>
      </c>
      <c r="M27" s="1" t="str">
        <f>HYPERLINK("http://dx.doi.org/10.3366/ajicl.2019.0272","http://dx.doi.org/10.3366/ajicl.2019.0272")</f>
        <v>http://dx.doi.org/10.3366/ajicl.2019.0272</v>
      </c>
    </row>
    <row r="28" spans="1:13" x14ac:dyDescent="0.25">
      <c r="A28" s="1">
        <v>30</v>
      </c>
      <c r="B28" s="1" t="s">
        <v>10964</v>
      </c>
      <c r="C28" s="1" t="s">
        <v>10965</v>
      </c>
      <c r="D28" s="1" t="s">
        <v>11109</v>
      </c>
      <c r="E28" s="1" t="s">
        <v>11110</v>
      </c>
      <c r="F28" s="1" t="s">
        <v>42</v>
      </c>
      <c r="G28" s="1" t="s">
        <v>56</v>
      </c>
      <c r="H28" s="1" t="s">
        <v>1507</v>
      </c>
      <c r="I28" s="1" t="s">
        <v>1507</v>
      </c>
      <c r="J28" s="1" t="s">
        <v>11111</v>
      </c>
      <c r="K28" s="1">
        <v>2019</v>
      </c>
      <c r="L28" s="1" t="s">
        <v>1507</v>
      </c>
      <c r="M28" s="1" t="s">
        <v>1507</v>
      </c>
    </row>
    <row r="29" spans="1:13" x14ac:dyDescent="0.25">
      <c r="A29" s="1">
        <v>31</v>
      </c>
      <c r="B29" s="1" t="s">
        <v>5607</v>
      </c>
      <c r="C29" s="1" t="s">
        <v>5608</v>
      </c>
      <c r="D29" s="1" t="s">
        <v>266</v>
      </c>
      <c r="E29" s="1" t="s">
        <v>5609</v>
      </c>
      <c r="F29" s="1" t="s">
        <v>42</v>
      </c>
      <c r="G29" s="1" t="s">
        <v>56</v>
      </c>
      <c r="H29" s="1" t="s">
        <v>5610</v>
      </c>
      <c r="I29" s="1" t="s">
        <v>1507</v>
      </c>
      <c r="J29" s="1" t="s">
        <v>5611</v>
      </c>
      <c r="K29" s="1">
        <v>2023</v>
      </c>
      <c r="L29" s="1" t="s">
        <v>268</v>
      </c>
      <c r="M29" s="1" t="str">
        <f>HYPERLINK("http://dx.doi.org/10.3991/ijep.v13i8.45621","http://dx.doi.org/10.3991/ijep.v13i8.45621")</f>
        <v>http://dx.doi.org/10.3991/ijep.v13i8.45621</v>
      </c>
    </row>
    <row r="30" spans="1:13" x14ac:dyDescent="0.25">
      <c r="A30" s="1">
        <v>32</v>
      </c>
      <c r="B30" s="1" t="s">
        <v>8513</v>
      </c>
      <c r="C30" s="1" t="s">
        <v>8514</v>
      </c>
      <c r="D30" s="1" t="s">
        <v>8515</v>
      </c>
      <c r="E30" s="1" t="s">
        <v>8516</v>
      </c>
      <c r="F30" s="1" t="s">
        <v>42</v>
      </c>
      <c r="G30" s="1" t="s">
        <v>56</v>
      </c>
      <c r="H30" s="1" t="s">
        <v>8517</v>
      </c>
      <c r="I30" s="1" t="s">
        <v>8518</v>
      </c>
      <c r="J30" s="1" t="s">
        <v>8519</v>
      </c>
      <c r="K30" s="1">
        <v>2021</v>
      </c>
      <c r="L30" s="1" t="s">
        <v>8532</v>
      </c>
      <c r="M30" s="1" t="str">
        <f>HYPERLINK("http://dx.doi.org/10.14202/vetworld.2021.1638-1643","http://dx.doi.org/10.14202/vetworld.2021.1638-1643")</f>
        <v>http://dx.doi.org/10.14202/vetworld.2021.1638-1643</v>
      </c>
    </row>
    <row r="31" spans="1:13" x14ac:dyDescent="0.25">
      <c r="A31" s="1">
        <v>36</v>
      </c>
      <c r="B31" s="1" t="s">
        <v>7579</v>
      </c>
      <c r="C31" s="1" t="s">
        <v>7580</v>
      </c>
      <c r="D31" s="1" t="s">
        <v>7581</v>
      </c>
      <c r="E31" s="1" t="s">
        <v>6825</v>
      </c>
      <c r="F31" s="1" t="s">
        <v>42</v>
      </c>
      <c r="G31" s="1" t="s">
        <v>56</v>
      </c>
      <c r="H31" s="1" t="s">
        <v>7582</v>
      </c>
      <c r="I31" s="1" t="s">
        <v>7583</v>
      </c>
      <c r="J31" s="1" t="s">
        <v>7584</v>
      </c>
      <c r="K31" s="1">
        <v>2022</v>
      </c>
      <c r="L31" s="1" t="s">
        <v>7593</v>
      </c>
      <c r="M31" s="1" t="str">
        <f>HYPERLINK("http://dx.doi.org/10.1186/s12889-022-12595-1","http://dx.doi.org/10.1186/s12889-022-12595-1")</f>
        <v>http://dx.doi.org/10.1186/s12889-022-12595-1</v>
      </c>
    </row>
    <row r="32" spans="1:13" x14ac:dyDescent="0.25">
      <c r="A32" s="1">
        <v>37</v>
      </c>
      <c r="B32" s="1" t="s">
        <v>9138</v>
      </c>
      <c r="C32" s="1" t="s">
        <v>9139</v>
      </c>
      <c r="D32" s="1" t="s">
        <v>9140</v>
      </c>
      <c r="E32" s="1" t="s">
        <v>9141</v>
      </c>
      <c r="F32" s="1" t="s">
        <v>42</v>
      </c>
      <c r="G32" s="1" t="s">
        <v>5552</v>
      </c>
      <c r="H32" s="1" t="s">
        <v>1507</v>
      </c>
      <c r="I32" s="1" t="s">
        <v>1507</v>
      </c>
      <c r="J32" s="1" t="s">
        <v>9145</v>
      </c>
      <c r="K32" s="1">
        <v>2021</v>
      </c>
      <c r="L32" s="1" t="s">
        <v>1507</v>
      </c>
      <c r="M32" s="1" t="s">
        <v>1507</v>
      </c>
    </row>
    <row r="33" spans="1:13" x14ac:dyDescent="0.25">
      <c r="A33" s="1">
        <v>38</v>
      </c>
      <c r="B33" s="1" t="s">
        <v>4101</v>
      </c>
      <c r="C33" s="1" t="s">
        <v>4102</v>
      </c>
      <c r="D33" s="1" t="s">
        <v>4103</v>
      </c>
      <c r="E33" s="1" t="s">
        <v>4104</v>
      </c>
      <c r="F33" s="1" t="s">
        <v>42</v>
      </c>
      <c r="G33" s="1" t="s">
        <v>1509</v>
      </c>
      <c r="H33" s="1" t="s">
        <v>4105</v>
      </c>
      <c r="I33" s="1" t="s">
        <v>4106</v>
      </c>
      <c r="J33" s="1" t="s">
        <v>4107</v>
      </c>
      <c r="K33" s="1">
        <v>2023</v>
      </c>
      <c r="L33" s="1" t="s">
        <v>4119</v>
      </c>
      <c r="M33" s="1" t="str">
        <f>HYPERLINK("http://dx.doi.org/10.1017/S1351324923000438","http://dx.doi.org/10.1017/S1351324923000438")</f>
        <v>http://dx.doi.org/10.1017/S1351324923000438</v>
      </c>
    </row>
    <row r="34" spans="1:13" x14ac:dyDescent="0.25">
      <c r="A34" s="1">
        <v>39</v>
      </c>
      <c r="B34" s="1" t="s">
        <v>10748</v>
      </c>
      <c r="C34" s="1" t="s">
        <v>10749</v>
      </c>
      <c r="D34" s="1" t="s">
        <v>10750</v>
      </c>
      <c r="E34" s="1" t="s">
        <v>10751</v>
      </c>
      <c r="F34" s="1" t="s">
        <v>42</v>
      </c>
      <c r="G34" s="1" t="s">
        <v>56</v>
      </c>
      <c r="H34" s="1" t="s">
        <v>1507</v>
      </c>
      <c r="I34" s="1" t="s">
        <v>10752</v>
      </c>
      <c r="J34" s="1" t="s">
        <v>10753</v>
      </c>
      <c r="K34" s="1">
        <v>2019</v>
      </c>
      <c r="L34" s="1" t="s">
        <v>10766</v>
      </c>
      <c r="M34" s="1" t="str">
        <f>HYPERLINK("http://dx.doi.org/10.1017/lsi.2018.12","http://dx.doi.org/10.1017/lsi.2018.12")</f>
        <v>http://dx.doi.org/10.1017/lsi.2018.12</v>
      </c>
    </row>
    <row r="35" spans="1:13" x14ac:dyDescent="0.25">
      <c r="A35" s="1">
        <v>40</v>
      </c>
      <c r="B35" s="1" t="s">
        <v>5627</v>
      </c>
      <c r="C35" s="1" t="s">
        <v>5629</v>
      </c>
      <c r="D35" s="1" t="s">
        <v>5630</v>
      </c>
      <c r="E35" s="1" t="s">
        <v>5631</v>
      </c>
      <c r="F35" s="1" t="s">
        <v>42</v>
      </c>
      <c r="G35" s="1" t="s">
        <v>5552</v>
      </c>
      <c r="H35" s="1" t="s">
        <v>5636</v>
      </c>
      <c r="I35" s="1" t="s">
        <v>1507</v>
      </c>
      <c r="J35" s="1" t="s">
        <v>5637</v>
      </c>
      <c r="K35" s="1">
        <v>2023</v>
      </c>
      <c r="L35" s="1" t="s">
        <v>5649</v>
      </c>
      <c r="M35" s="1" t="str">
        <f>HYPERLINK("http://dx.doi.org/10.1109/CAI54212.2023.00118","http://dx.doi.org/10.1109/CAI54212.2023.00118")</f>
        <v>http://dx.doi.org/10.1109/CAI54212.2023.00118</v>
      </c>
    </row>
    <row r="36" spans="1:13" x14ac:dyDescent="0.25">
      <c r="A36" s="1">
        <v>41</v>
      </c>
      <c r="B36" s="1" t="s">
        <v>2871</v>
      </c>
      <c r="C36" s="1" t="s">
        <v>2872</v>
      </c>
      <c r="D36" s="1" t="s">
        <v>2873</v>
      </c>
      <c r="E36" s="1" t="s">
        <v>2874</v>
      </c>
      <c r="F36" s="1" t="s">
        <v>42</v>
      </c>
      <c r="G36" s="1" t="s">
        <v>56</v>
      </c>
      <c r="H36" s="1" t="s">
        <v>2875</v>
      </c>
      <c r="I36" s="1" t="s">
        <v>2876</v>
      </c>
      <c r="J36" s="1" t="s">
        <v>2877</v>
      </c>
      <c r="K36" s="1">
        <v>2023</v>
      </c>
      <c r="L36" s="1" t="s">
        <v>2890</v>
      </c>
      <c r="M36" s="1" t="str">
        <f>HYPERLINK("http://dx.doi.org/10.1016/j.jacr.2023.06.009","http://dx.doi.org/10.1016/j.jacr.2023.06.009")</f>
        <v>http://dx.doi.org/10.1016/j.jacr.2023.06.009</v>
      </c>
    </row>
    <row r="37" spans="1:13" x14ac:dyDescent="0.25">
      <c r="A37" s="1">
        <v>42</v>
      </c>
      <c r="B37" s="1" t="s">
        <v>2576</v>
      </c>
      <c r="C37" s="1" t="s">
        <v>2577</v>
      </c>
      <c r="D37" s="1" t="s">
        <v>2578</v>
      </c>
      <c r="E37" s="1" t="s">
        <v>2579</v>
      </c>
      <c r="F37" s="1" t="s">
        <v>42</v>
      </c>
      <c r="G37" s="1" t="s">
        <v>56</v>
      </c>
      <c r="H37" s="1" t="s">
        <v>2580</v>
      </c>
      <c r="I37" s="1" t="s">
        <v>2581</v>
      </c>
      <c r="J37" s="1" t="s">
        <v>2582</v>
      </c>
      <c r="K37" s="1">
        <v>2023</v>
      </c>
      <c r="L37" s="1" t="s">
        <v>106</v>
      </c>
      <c r="M37" s="1" t="str">
        <f>HYPERLINK("http://dx.doi.org/10.1186/s41239-023-00427-0","http://dx.doi.org/10.1186/s41239-023-00427-0")</f>
        <v>http://dx.doi.org/10.1186/s41239-023-00427-0</v>
      </c>
    </row>
    <row r="38" spans="1:13" x14ac:dyDescent="0.25">
      <c r="A38" s="1">
        <v>43</v>
      </c>
      <c r="B38" s="1" t="s">
        <v>11816</v>
      </c>
      <c r="C38" s="1" t="s">
        <v>11817</v>
      </c>
      <c r="D38" s="1" t="s">
        <v>11818</v>
      </c>
      <c r="E38" s="1" t="s">
        <v>11819</v>
      </c>
      <c r="F38" s="1" t="s">
        <v>42</v>
      </c>
      <c r="G38" s="1" t="s">
        <v>56</v>
      </c>
      <c r="H38" s="1" t="s">
        <v>1507</v>
      </c>
      <c r="I38" s="1" t="s">
        <v>11820</v>
      </c>
      <c r="J38" s="1" t="s">
        <v>1507</v>
      </c>
      <c r="K38" s="1">
        <v>2018</v>
      </c>
      <c r="L38" s="1" t="s">
        <v>11836</v>
      </c>
      <c r="M38" s="1" t="str">
        <f>HYPERLINK("http://dx.doi.org/10.1105/tpc.17.00947","http://dx.doi.org/10.1105/tpc.17.00947")</f>
        <v>http://dx.doi.org/10.1105/tpc.17.00947</v>
      </c>
    </row>
    <row r="39" spans="1:13" x14ac:dyDescent="0.25">
      <c r="A39" s="1">
        <v>44</v>
      </c>
      <c r="B39" s="1" t="s">
        <v>9656</v>
      </c>
      <c r="C39" s="1" t="s">
        <v>9657</v>
      </c>
      <c r="D39" s="1" t="s">
        <v>9658</v>
      </c>
      <c r="E39" s="1" t="s">
        <v>9659</v>
      </c>
      <c r="F39" s="1" t="s">
        <v>42</v>
      </c>
      <c r="G39" s="1" t="s">
        <v>56</v>
      </c>
      <c r="H39" s="1" t="s">
        <v>9660</v>
      </c>
      <c r="I39" s="1" t="s">
        <v>9661</v>
      </c>
      <c r="J39" s="1" t="s">
        <v>9662</v>
      </c>
      <c r="K39" s="1">
        <v>2020</v>
      </c>
      <c r="L39" s="1" t="s">
        <v>9676</v>
      </c>
      <c r="M39" s="1" t="str">
        <f>HYPERLINK("http://dx.doi.org/10.1016/j.clnu.2019.10.032","http://dx.doi.org/10.1016/j.clnu.2019.10.032")</f>
        <v>http://dx.doi.org/10.1016/j.clnu.2019.10.032</v>
      </c>
    </row>
    <row r="40" spans="1:13" x14ac:dyDescent="0.25">
      <c r="A40" s="1">
        <v>45</v>
      </c>
      <c r="B40" s="1" t="s">
        <v>4965</v>
      </c>
      <c r="C40" s="1" t="s">
        <v>4966</v>
      </c>
      <c r="D40" s="1" t="s">
        <v>69</v>
      </c>
      <c r="E40" s="1" t="s">
        <v>4967</v>
      </c>
      <c r="F40" s="1" t="s">
        <v>42</v>
      </c>
      <c r="G40" s="1" t="s">
        <v>1509</v>
      </c>
      <c r="H40" s="1" t="s">
        <v>75</v>
      </c>
      <c r="I40" s="1" t="s">
        <v>4968</v>
      </c>
      <c r="J40" s="1" t="s">
        <v>4969</v>
      </c>
      <c r="K40" s="1">
        <v>2023</v>
      </c>
      <c r="L40" s="1" t="s">
        <v>71</v>
      </c>
      <c r="M40" s="1" t="str">
        <f>HYPERLINK("http://dx.doi.org/10.1111/bjet.13336","http://dx.doi.org/10.1111/bjet.13336")</f>
        <v>http://dx.doi.org/10.1111/bjet.13336</v>
      </c>
    </row>
    <row r="41" spans="1:13" x14ac:dyDescent="0.25">
      <c r="A41" s="1">
        <v>46</v>
      </c>
      <c r="B41" s="1" t="s">
        <v>10769</v>
      </c>
      <c r="C41" s="1" t="s">
        <v>10770</v>
      </c>
      <c r="D41" s="1" t="s">
        <v>10771</v>
      </c>
      <c r="E41" s="1" t="s">
        <v>10772</v>
      </c>
      <c r="F41" s="1" t="s">
        <v>42</v>
      </c>
      <c r="G41" s="1" t="s">
        <v>56</v>
      </c>
      <c r="H41" s="1" t="s">
        <v>1507</v>
      </c>
      <c r="I41" s="1" t="s">
        <v>10773</v>
      </c>
      <c r="J41" s="1" t="s">
        <v>10774</v>
      </c>
      <c r="K41" s="1">
        <v>2019</v>
      </c>
      <c r="L41" s="1" t="s">
        <v>10786</v>
      </c>
      <c r="M41" s="1" t="str">
        <f>HYPERLINK("http://dx.doi.org/10.1038/s41567-019-0505-9","http://dx.doi.org/10.1038/s41567-019-0505-9")</f>
        <v>http://dx.doi.org/10.1038/s41567-019-0505-9</v>
      </c>
    </row>
    <row r="42" spans="1:13" x14ac:dyDescent="0.25">
      <c r="A42" s="1">
        <v>47</v>
      </c>
      <c r="B42" s="1" t="s">
        <v>8749</v>
      </c>
      <c r="C42" s="1" t="s">
        <v>8750</v>
      </c>
      <c r="D42" s="1" t="s">
        <v>8751</v>
      </c>
      <c r="E42" s="1" t="s">
        <v>8752</v>
      </c>
      <c r="F42" s="1" t="s">
        <v>42</v>
      </c>
      <c r="G42" s="1" t="s">
        <v>56</v>
      </c>
      <c r="H42" s="1" t="s">
        <v>8753</v>
      </c>
      <c r="I42" s="1" t="s">
        <v>8754</v>
      </c>
      <c r="J42" s="1" t="s">
        <v>8755</v>
      </c>
      <c r="K42" s="1">
        <v>2021</v>
      </c>
      <c r="L42" s="1" t="s">
        <v>8767</v>
      </c>
      <c r="M42" s="1" t="str">
        <f>HYPERLINK("http://dx.doi.org/10.3389/fphar.2021.651497","http://dx.doi.org/10.3389/fphar.2021.651497")</f>
        <v>http://dx.doi.org/10.3389/fphar.2021.651497</v>
      </c>
    </row>
    <row r="43" spans="1:13" x14ac:dyDescent="0.25">
      <c r="A43" s="1">
        <v>48</v>
      </c>
      <c r="B43" s="1" t="s">
        <v>3036</v>
      </c>
      <c r="C43" s="1" t="s">
        <v>3037</v>
      </c>
      <c r="D43" s="1" t="s">
        <v>3038</v>
      </c>
      <c r="E43" s="1" t="s">
        <v>3039</v>
      </c>
      <c r="F43" s="1" t="s">
        <v>42</v>
      </c>
      <c r="G43" s="1" t="s">
        <v>1509</v>
      </c>
      <c r="H43" s="1" t="s">
        <v>3040</v>
      </c>
      <c r="I43" s="1" t="s">
        <v>3041</v>
      </c>
      <c r="J43" s="1" t="s">
        <v>3042</v>
      </c>
      <c r="K43" s="1">
        <v>2023</v>
      </c>
      <c r="L43" s="1" t="s">
        <v>3055</v>
      </c>
      <c r="M43" s="1" t="str">
        <f>HYPERLINK("http://dx.doi.org/10.1177/10597123231206604","http://dx.doi.org/10.1177/10597123231206604")</f>
        <v>http://dx.doi.org/10.1177/10597123231206604</v>
      </c>
    </row>
    <row r="44" spans="1:13" x14ac:dyDescent="0.25">
      <c r="A44" s="1">
        <v>49</v>
      </c>
      <c r="B44" s="1" t="s">
        <v>4122</v>
      </c>
      <c r="C44" s="1" t="s">
        <v>4123</v>
      </c>
      <c r="D44" s="1" t="s">
        <v>4124</v>
      </c>
      <c r="E44" s="1" t="s">
        <v>3315</v>
      </c>
      <c r="F44" s="1" t="s">
        <v>42</v>
      </c>
      <c r="G44" s="1" t="s">
        <v>56</v>
      </c>
      <c r="H44" s="1" t="s">
        <v>1507</v>
      </c>
      <c r="I44" s="1" t="s">
        <v>1507</v>
      </c>
      <c r="J44" s="1" t="s">
        <v>4125</v>
      </c>
      <c r="K44" s="1">
        <v>2023</v>
      </c>
      <c r="L44" s="1" t="s">
        <v>4135</v>
      </c>
      <c r="M44" s="1" t="str">
        <f>HYPERLINK("http://dx.doi.org/10.1001/jamanetworkopen.2023.30320","http://dx.doi.org/10.1001/jamanetworkopen.2023.30320")</f>
        <v>http://dx.doi.org/10.1001/jamanetworkopen.2023.30320</v>
      </c>
    </row>
    <row r="45" spans="1:13" x14ac:dyDescent="0.25">
      <c r="A45" s="1">
        <v>50</v>
      </c>
      <c r="B45" s="1" t="s">
        <v>10245</v>
      </c>
      <c r="C45" s="1" t="s">
        <v>10246</v>
      </c>
      <c r="D45" s="1" t="s">
        <v>10247</v>
      </c>
      <c r="E45" s="1" t="s">
        <v>10248</v>
      </c>
      <c r="F45" s="1" t="s">
        <v>42</v>
      </c>
      <c r="G45" s="1" t="s">
        <v>56</v>
      </c>
      <c r="H45" s="1" t="s">
        <v>10249</v>
      </c>
      <c r="I45" s="1" t="s">
        <v>1507</v>
      </c>
      <c r="J45" s="1" t="s">
        <v>10250</v>
      </c>
      <c r="K45" s="1">
        <v>2020</v>
      </c>
      <c r="L45" s="1" t="s">
        <v>1507</v>
      </c>
      <c r="M45" s="1" t="s">
        <v>1507</v>
      </c>
    </row>
    <row r="46" spans="1:13" x14ac:dyDescent="0.25">
      <c r="A46" s="1">
        <v>51</v>
      </c>
      <c r="B46" s="1" t="s">
        <v>14823</v>
      </c>
      <c r="C46" s="1" t="s">
        <v>14825</v>
      </c>
      <c r="D46" s="1" t="s">
        <v>14826</v>
      </c>
      <c r="E46" s="1" t="s">
        <v>14827</v>
      </c>
      <c r="F46" s="1" t="s">
        <v>42</v>
      </c>
      <c r="G46" s="1" t="s">
        <v>5552</v>
      </c>
      <c r="H46" s="1" t="s">
        <v>14831</v>
      </c>
      <c r="I46" s="1" t="s">
        <v>1507</v>
      </c>
      <c r="J46" s="1" t="s">
        <v>14832</v>
      </c>
      <c r="K46" s="1">
        <v>2023</v>
      </c>
      <c r="L46" s="1" t="s">
        <v>14842</v>
      </c>
      <c r="M46" s="1" t="str">
        <f>HYPERLINK("http://dx.doi.org/10.1145/3589132.3625625","http://dx.doi.org/10.1145/3589132.3625625")</f>
        <v>http://dx.doi.org/10.1145/3589132.3625625</v>
      </c>
    </row>
    <row r="47" spans="1:13" x14ac:dyDescent="0.25">
      <c r="A47" s="1">
        <v>53</v>
      </c>
      <c r="B47" s="1" t="s">
        <v>4714</v>
      </c>
      <c r="C47" s="1" t="s">
        <v>4715</v>
      </c>
      <c r="D47" s="1" t="s">
        <v>723</v>
      </c>
      <c r="E47" s="1" t="s">
        <v>4595</v>
      </c>
      <c r="F47" s="1" t="s">
        <v>42</v>
      </c>
      <c r="G47" s="1" t="s">
        <v>56</v>
      </c>
      <c r="H47" s="1" t="s">
        <v>1507</v>
      </c>
      <c r="I47" s="1" t="s">
        <v>1507</v>
      </c>
      <c r="J47" s="1" t="s">
        <v>4716</v>
      </c>
      <c r="K47" s="1">
        <v>2023</v>
      </c>
      <c r="L47" s="1" t="s">
        <v>725</v>
      </c>
      <c r="M47" s="1" t="str">
        <f>HYPERLINK("http://dx.doi.org/10.1148/radiol.230582","http://dx.doi.org/10.1148/radiol.230582")</f>
        <v>http://dx.doi.org/10.1148/radiol.230582</v>
      </c>
    </row>
    <row r="48" spans="1:13" x14ac:dyDescent="0.25">
      <c r="A48" s="1">
        <v>54</v>
      </c>
      <c r="B48" s="1" t="s">
        <v>10728</v>
      </c>
      <c r="C48" s="1" t="s">
        <v>10729</v>
      </c>
      <c r="D48" s="1" t="s">
        <v>10730</v>
      </c>
      <c r="E48" s="1" t="s">
        <v>10731</v>
      </c>
      <c r="F48" s="1" t="s">
        <v>42</v>
      </c>
      <c r="G48" s="1" t="s">
        <v>56</v>
      </c>
      <c r="H48" s="1" t="s">
        <v>1507</v>
      </c>
      <c r="I48" s="1" t="s">
        <v>10732</v>
      </c>
      <c r="J48" s="1" t="s">
        <v>10733</v>
      </c>
      <c r="K48" s="1">
        <v>2019</v>
      </c>
      <c r="L48" s="1" t="s">
        <v>956</v>
      </c>
      <c r="M48" s="1" t="str">
        <f>HYPERLINK("http://dx.doi.org/10.1002/xrs.3110","http://dx.doi.org/10.1002/xrs.3110")</f>
        <v>http://dx.doi.org/10.1002/xrs.3110</v>
      </c>
    </row>
    <row r="49" spans="1:13" x14ac:dyDescent="0.25">
      <c r="A49" s="1">
        <v>56</v>
      </c>
      <c r="B49" s="1" t="s">
        <v>3080</v>
      </c>
      <c r="C49" s="1" t="s">
        <v>3081</v>
      </c>
      <c r="D49" s="1" t="s">
        <v>3082</v>
      </c>
      <c r="E49" s="1" t="s">
        <v>3083</v>
      </c>
      <c r="F49" s="1" t="s">
        <v>42</v>
      </c>
      <c r="G49" s="1" t="s">
        <v>56</v>
      </c>
      <c r="H49" s="1" t="s">
        <v>3084</v>
      </c>
      <c r="I49" s="1" t="s">
        <v>1507</v>
      </c>
      <c r="J49" s="1" t="s">
        <v>3085</v>
      </c>
      <c r="K49" s="1">
        <v>2023</v>
      </c>
      <c r="L49" s="1" t="s">
        <v>3096</v>
      </c>
      <c r="M49" s="1" t="str">
        <f>HYPERLINK("http://dx.doi.org/10.7759/cureus.47468","http://dx.doi.org/10.7759/cureus.47468")</f>
        <v>http://dx.doi.org/10.7759/cureus.47468</v>
      </c>
    </row>
    <row r="50" spans="1:13" x14ac:dyDescent="0.25">
      <c r="A50" s="1">
        <v>57</v>
      </c>
      <c r="B50" s="1" t="s">
        <v>11885</v>
      </c>
      <c r="C50" s="1" t="s">
        <v>11886</v>
      </c>
      <c r="D50" s="1" t="s">
        <v>11887</v>
      </c>
      <c r="E50" s="1" t="s">
        <v>11888</v>
      </c>
      <c r="F50" s="1" t="s">
        <v>42</v>
      </c>
      <c r="G50" s="1" t="s">
        <v>56</v>
      </c>
      <c r="H50" s="1" t="s">
        <v>1507</v>
      </c>
      <c r="I50" s="1" t="s">
        <v>11889</v>
      </c>
      <c r="J50" s="1" t="s">
        <v>11890</v>
      </c>
      <c r="K50" s="1">
        <v>2018</v>
      </c>
      <c r="L50" s="1" t="s">
        <v>1507</v>
      </c>
      <c r="M50" s="1" t="s">
        <v>1507</v>
      </c>
    </row>
    <row r="51" spans="1:13" x14ac:dyDescent="0.25">
      <c r="A51" s="1">
        <v>58</v>
      </c>
      <c r="B51" s="1" t="s">
        <v>1996</v>
      </c>
      <c r="C51" s="1" t="s">
        <v>1997</v>
      </c>
      <c r="D51" s="1" t="s">
        <v>1998</v>
      </c>
      <c r="E51" s="1" t="s">
        <v>1999</v>
      </c>
      <c r="F51" s="1" t="s">
        <v>42</v>
      </c>
      <c r="G51" s="1" t="s">
        <v>56</v>
      </c>
      <c r="H51" s="1" t="s">
        <v>1507</v>
      </c>
      <c r="I51" s="1" t="s">
        <v>2000</v>
      </c>
      <c r="J51" s="1" t="s">
        <v>2001</v>
      </c>
      <c r="K51" s="1">
        <v>2023</v>
      </c>
      <c r="L51" s="1" t="s">
        <v>2016</v>
      </c>
      <c r="M51" s="1" t="str">
        <f>HYPERLINK("http://dx.doi.org/10.1371/journal.pone.0295383","http://dx.doi.org/10.1371/journal.pone.0295383")</f>
        <v>http://dx.doi.org/10.1371/journal.pone.0295383</v>
      </c>
    </row>
    <row r="52" spans="1:13" x14ac:dyDescent="0.25">
      <c r="A52" s="1">
        <v>59</v>
      </c>
      <c r="B52" s="1" t="s">
        <v>9982</v>
      </c>
      <c r="C52" s="1" t="s">
        <v>9983</v>
      </c>
      <c r="D52" s="1" t="s">
        <v>9984</v>
      </c>
      <c r="E52" s="1" t="s">
        <v>9985</v>
      </c>
      <c r="F52" s="1" t="s">
        <v>42</v>
      </c>
      <c r="G52" s="1" t="s">
        <v>56</v>
      </c>
      <c r="H52" s="1" t="s">
        <v>9986</v>
      </c>
      <c r="I52" s="1" t="s">
        <v>9987</v>
      </c>
      <c r="J52" s="1" t="s">
        <v>9988</v>
      </c>
      <c r="K52" s="1">
        <v>2020</v>
      </c>
      <c r="L52" s="1" t="s">
        <v>10000</v>
      </c>
      <c r="M52" s="1" t="str">
        <f>HYPERLINK("http://dx.doi.org/10.1016/j.jad.2020.01.078","http://dx.doi.org/10.1016/j.jad.2020.01.078")</f>
        <v>http://dx.doi.org/10.1016/j.jad.2020.01.078</v>
      </c>
    </row>
    <row r="53" spans="1:13" x14ac:dyDescent="0.25">
      <c r="A53" s="1">
        <v>60</v>
      </c>
      <c r="B53" s="1" t="s">
        <v>7402</v>
      </c>
      <c r="C53" s="1" t="s">
        <v>7403</v>
      </c>
      <c r="D53" s="1" t="s">
        <v>7404</v>
      </c>
      <c r="E53" s="1" t="s">
        <v>7405</v>
      </c>
      <c r="F53" s="1" t="s">
        <v>42</v>
      </c>
      <c r="G53" s="1" t="s">
        <v>56</v>
      </c>
      <c r="H53" s="1" t="s">
        <v>7406</v>
      </c>
      <c r="I53" s="1" t="s">
        <v>7407</v>
      </c>
      <c r="J53" s="1" t="s">
        <v>7408</v>
      </c>
      <c r="K53" s="1">
        <v>2022</v>
      </c>
      <c r="L53" s="1" t="s">
        <v>7422</v>
      </c>
      <c r="M53" s="1" t="str">
        <f>HYPERLINK("http://dx.doi.org/10.1016/j.diagmicrobio.2021.115597","http://dx.doi.org/10.1016/j.diagmicrobio.2021.115597")</f>
        <v>http://dx.doi.org/10.1016/j.diagmicrobio.2021.115597</v>
      </c>
    </row>
    <row r="54" spans="1:13" x14ac:dyDescent="0.25">
      <c r="A54" s="1">
        <v>61</v>
      </c>
      <c r="B54" s="1" t="s">
        <v>10450</v>
      </c>
      <c r="C54" s="1" t="s">
        <v>10451</v>
      </c>
      <c r="D54" s="1" t="s">
        <v>10452</v>
      </c>
      <c r="E54" s="1" t="s">
        <v>2159</v>
      </c>
      <c r="F54" s="1" t="s">
        <v>42</v>
      </c>
      <c r="G54" s="1" t="s">
        <v>56</v>
      </c>
      <c r="H54" s="1" t="s">
        <v>1507</v>
      </c>
      <c r="I54" s="1" t="s">
        <v>10453</v>
      </c>
      <c r="J54" s="1" t="s">
        <v>10454</v>
      </c>
      <c r="K54" s="1">
        <v>2019</v>
      </c>
      <c r="L54" s="1" t="s">
        <v>10463</v>
      </c>
      <c r="M54" s="1" t="str">
        <f>HYPERLINK("http://dx.doi.org/10.1038/s41746-019-0210-1","http://dx.doi.org/10.1038/s41746-019-0210-1")</f>
        <v>http://dx.doi.org/10.1038/s41746-019-0210-1</v>
      </c>
    </row>
    <row r="55" spans="1:13" x14ac:dyDescent="0.25">
      <c r="A55" s="1">
        <v>62</v>
      </c>
      <c r="B55" s="1" t="s">
        <v>1757</v>
      </c>
      <c r="C55" s="1" t="s">
        <v>1758</v>
      </c>
      <c r="D55" s="1" t="s">
        <v>1759</v>
      </c>
      <c r="E55" s="1" t="s">
        <v>1760</v>
      </c>
      <c r="F55" s="1" t="s">
        <v>42</v>
      </c>
      <c r="G55" s="1" t="s">
        <v>56</v>
      </c>
      <c r="H55" s="1" t="s">
        <v>1507</v>
      </c>
      <c r="I55" s="1" t="s">
        <v>13794</v>
      </c>
      <c r="J55" s="1" t="s">
        <v>1761</v>
      </c>
      <c r="K55" s="1">
        <v>2023</v>
      </c>
      <c r="L55" s="1" t="s">
        <v>1775</v>
      </c>
      <c r="M55" s="1" t="str">
        <f>HYPERLINK("http://dx.doi.org/10.1038/s41586-023-06792-0","http://dx.doi.org/10.1038/s41586-023-06792-0")</f>
        <v>http://dx.doi.org/10.1038/s41586-023-06792-0</v>
      </c>
    </row>
    <row r="56" spans="1:13" x14ac:dyDescent="0.25">
      <c r="A56" s="1">
        <v>63</v>
      </c>
      <c r="B56" s="1" t="s">
        <v>7671</v>
      </c>
      <c r="C56" s="1" t="s">
        <v>7672</v>
      </c>
      <c r="D56" s="1" t="s">
        <v>7673</v>
      </c>
      <c r="E56" s="1" t="s">
        <v>7674</v>
      </c>
      <c r="F56" s="1" t="s">
        <v>42</v>
      </c>
      <c r="G56" s="1" t="s">
        <v>56</v>
      </c>
      <c r="H56" s="1" t="s">
        <v>1507</v>
      </c>
      <c r="I56" s="1" t="s">
        <v>7675</v>
      </c>
      <c r="J56" s="1" t="s">
        <v>7676</v>
      </c>
      <c r="K56" s="1">
        <v>2022</v>
      </c>
      <c r="L56" s="1" t="s">
        <v>7689</v>
      </c>
      <c r="M56" s="1" t="str">
        <f>HYPERLINK("http://dx.doi.org/10.1371/journal.pbio.3001527","http://dx.doi.org/10.1371/journal.pbio.3001527")</f>
        <v>http://dx.doi.org/10.1371/journal.pbio.3001527</v>
      </c>
    </row>
    <row r="57" spans="1:13" x14ac:dyDescent="0.25">
      <c r="A57" s="1">
        <v>64</v>
      </c>
      <c r="B57" s="1" t="s">
        <v>7426</v>
      </c>
      <c r="C57" s="1" t="s">
        <v>7427</v>
      </c>
      <c r="D57" s="1" t="s">
        <v>7428</v>
      </c>
      <c r="E57" s="1" t="s">
        <v>7429</v>
      </c>
      <c r="F57" s="1" t="s">
        <v>42</v>
      </c>
      <c r="G57" s="1" t="s">
        <v>56</v>
      </c>
      <c r="H57" s="1" t="s">
        <v>7430</v>
      </c>
      <c r="I57" s="1" t="s">
        <v>1507</v>
      </c>
      <c r="J57" s="1" t="s">
        <v>7431</v>
      </c>
      <c r="K57" s="1">
        <v>2022</v>
      </c>
      <c r="L57" s="1" t="s">
        <v>7441</v>
      </c>
      <c r="M57" s="1" t="str">
        <f>HYPERLINK("http://dx.doi.org/10.1002/cplu.202200049","http://dx.doi.org/10.1002/cplu.202200049")</f>
        <v>http://dx.doi.org/10.1002/cplu.202200049</v>
      </c>
    </row>
    <row r="58" spans="1:13" x14ac:dyDescent="0.25">
      <c r="A58" s="1">
        <v>65</v>
      </c>
      <c r="B58" s="1" t="s">
        <v>5496</v>
      </c>
      <c r="C58" s="1" t="s">
        <v>5497</v>
      </c>
      <c r="D58" s="1" t="s">
        <v>5498</v>
      </c>
      <c r="E58" s="1" t="s">
        <v>5499</v>
      </c>
      <c r="F58" s="1" t="s">
        <v>42</v>
      </c>
      <c r="G58" s="1" t="s">
        <v>56</v>
      </c>
      <c r="H58" s="1" t="s">
        <v>5500</v>
      </c>
      <c r="I58" s="1" t="s">
        <v>5501</v>
      </c>
      <c r="J58" s="1" t="s">
        <v>5502</v>
      </c>
      <c r="K58" s="1">
        <v>2023</v>
      </c>
      <c r="L58" s="1" t="s">
        <v>5515</v>
      </c>
      <c r="M58" s="1" t="str">
        <f>HYPERLINK("http://dx.doi.org/10.1016/j.idm.2022.12.005","http://dx.doi.org/10.1016/j.idm.2022.12.005")</f>
        <v>http://dx.doi.org/10.1016/j.idm.2022.12.005</v>
      </c>
    </row>
    <row r="59" spans="1:13" x14ac:dyDescent="0.25">
      <c r="A59" s="1">
        <v>66</v>
      </c>
      <c r="B59" s="1" t="s">
        <v>2175</v>
      </c>
      <c r="C59" s="1" t="s">
        <v>2176</v>
      </c>
      <c r="D59" s="1" t="s">
        <v>2177</v>
      </c>
      <c r="E59" s="1" t="s">
        <v>2178</v>
      </c>
      <c r="F59" s="1" t="s">
        <v>42</v>
      </c>
      <c r="G59" s="1" t="s">
        <v>56</v>
      </c>
      <c r="H59" s="1" t="s">
        <v>2179</v>
      </c>
      <c r="I59" s="1" t="s">
        <v>2461</v>
      </c>
      <c r="J59" s="1" t="s">
        <v>2180</v>
      </c>
      <c r="K59" s="1">
        <v>2023</v>
      </c>
      <c r="L59" s="1" t="s">
        <v>2192</v>
      </c>
      <c r="M59" s="1" t="str">
        <f>HYPERLINK("http://dx.doi.org/10.1007/s10846-023-01991-3","http://dx.doi.org/10.1007/s10846-023-01991-3")</f>
        <v>http://dx.doi.org/10.1007/s10846-023-01991-3</v>
      </c>
    </row>
    <row r="60" spans="1:13" x14ac:dyDescent="0.25">
      <c r="A60" s="1">
        <v>67</v>
      </c>
      <c r="B60" s="1" t="s">
        <v>11283</v>
      </c>
      <c r="C60" s="1" t="s">
        <v>11284</v>
      </c>
      <c r="D60" s="1" t="s">
        <v>11285</v>
      </c>
      <c r="E60" s="1" t="s">
        <v>11228</v>
      </c>
      <c r="F60" s="1" t="s">
        <v>42</v>
      </c>
      <c r="G60" s="1" t="s">
        <v>56</v>
      </c>
      <c r="H60" s="1" t="s">
        <v>1507</v>
      </c>
      <c r="I60" s="1" t="s">
        <v>1507</v>
      </c>
      <c r="J60" s="1" t="s">
        <v>1507</v>
      </c>
      <c r="K60" s="1">
        <v>2019</v>
      </c>
      <c r="L60" s="1" t="s">
        <v>1507</v>
      </c>
      <c r="M60" s="1" t="s">
        <v>1507</v>
      </c>
    </row>
    <row r="61" spans="1:13" x14ac:dyDescent="0.25">
      <c r="A61" s="1">
        <v>69</v>
      </c>
      <c r="B61" s="1" t="s">
        <v>11293</v>
      </c>
      <c r="C61" s="1" t="s">
        <v>11294</v>
      </c>
      <c r="D61" s="1" t="s">
        <v>11295</v>
      </c>
      <c r="E61" s="1" t="s">
        <v>11296</v>
      </c>
      <c r="F61" s="1" t="s">
        <v>42</v>
      </c>
      <c r="G61" s="1" t="s">
        <v>56</v>
      </c>
      <c r="H61" s="1" t="s">
        <v>11297</v>
      </c>
      <c r="I61" s="1" t="s">
        <v>11298</v>
      </c>
      <c r="J61" s="1" t="s">
        <v>11299</v>
      </c>
      <c r="K61" s="1">
        <v>2019</v>
      </c>
      <c r="L61" s="1" t="s">
        <v>869</v>
      </c>
      <c r="M61" s="1" t="str">
        <f>HYPERLINK("http://dx.doi.org/10.1080/03069400.2018.1489995","http://dx.doi.org/10.1080/03069400.2018.1489995")</f>
        <v>http://dx.doi.org/10.1080/03069400.2018.1489995</v>
      </c>
    </row>
    <row r="62" spans="1:13" x14ac:dyDescent="0.25">
      <c r="A62" s="1">
        <v>71</v>
      </c>
      <c r="B62" s="1" t="s">
        <v>11046</v>
      </c>
      <c r="C62" s="1" t="s">
        <v>11047</v>
      </c>
      <c r="D62" s="1" t="s">
        <v>11048</v>
      </c>
      <c r="E62" s="1" t="s">
        <v>11049</v>
      </c>
      <c r="F62" s="1" t="s">
        <v>42</v>
      </c>
      <c r="G62" s="1" t="s">
        <v>56</v>
      </c>
      <c r="H62" s="1" t="s">
        <v>11050</v>
      </c>
      <c r="I62" s="1" t="s">
        <v>11051</v>
      </c>
      <c r="J62" s="1" t="s">
        <v>11052</v>
      </c>
      <c r="K62" s="1">
        <v>2019</v>
      </c>
      <c r="L62" s="1" t="s">
        <v>11063</v>
      </c>
      <c r="M62" s="1" t="str">
        <f>HYPERLINK("http://dx.doi.org/10.1002/ece3.5192","http://dx.doi.org/10.1002/ece3.5192")</f>
        <v>http://dx.doi.org/10.1002/ece3.5192</v>
      </c>
    </row>
    <row r="63" spans="1:13" x14ac:dyDescent="0.25">
      <c r="A63" s="1">
        <v>72</v>
      </c>
      <c r="B63" s="1" t="s">
        <v>3274</v>
      </c>
      <c r="C63" s="1" t="s">
        <v>3275</v>
      </c>
      <c r="D63" s="1" t="s">
        <v>3276</v>
      </c>
      <c r="E63" s="1" t="s">
        <v>3277</v>
      </c>
      <c r="F63" s="1" t="s">
        <v>42</v>
      </c>
      <c r="G63" s="1" t="s">
        <v>1509</v>
      </c>
      <c r="H63" s="1" t="s">
        <v>3278</v>
      </c>
      <c r="I63" s="1" t="s">
        <v>1507</v>
      </c>
      <c r="J63" s="1" t="s">
        <v>3279</v>
      </c>
      <c r="K63" s="1">
        <v>2023</v>
      </c>
      <c r="L63" s="1" t="s">
        <v>3290</v>
      </c>
      <c r="M63" s="1" t="str">
        <f>HYPERLINK("http://dx.doi.org/10.1007/s10472-023-09894-7","http://dx.doi.org/10.1007/s10472-023-09894-7")</f>
        <v>http://dx.doi.org/10.1007/s10472-023-09894-7</v>
      </c>
    </row>
    <row r="64" spans="1:13" x14ac:dyDescent="0.25">
      <c r="A64" s="1">
        <v>73</v>
      </c>
      <c r="B64" s="1" t="s">
        <v>7321</v>
      </c>
      <c r="C64" s="1" t="s">
        <v>7322</v>
      </c>
      <c r="D64" s="1" t="s">
        <v>7323</v>
      </c>
      <c r="E64" s="1" t="s">
        <v>3922</v>
      </c>
      <c r="F64" s="1" t="s">
        <v>42</v>
      </c>
      <c r="G64" s="1" t="s">
        <v>56</v>
      </c>
      <c r="H64" s="1" t="s">
        <v>1507</v>
      </c>
      <c r="I64" s="1" t="s">
        <v>7324</v>
      </c>
      <c r="J64" s="1" t="s">
        <v>7325</v>
      </c>
      <c r="K64" s="1">
        <v>2022</v>
      </c>
      <c r="L64" s="1" t="s">
        <v>7335</v>
      </c>
      <c r="M64" s="1" t="str">
        <f>HYPERLINK("http://dx.doi.org/10.1126/sciadv.abl5209","http://dx.doi.org/10.1126/sciadv.abl5209")</f>
        <v>http://dx.doi.org/10.1126/sciadv.abl5209</v>
      </c>
    </row>
    <row r="65" spans="1:13" x14ac:dyDescent="0.25">
      <c r="A65" s="1">
        <v>74</v>
      </c>
      <c r="B65" s="1" t="s">
        <v>4510</v>
      </c>
      <c r="C65" s="1" t="s">
        <v>4511</v>
      </c>
      <c r="D65" s="1" t="s">
        <v>405</v>
      </c>
      <c r="E65" s="1" t="s">
        <v>4512</v>
      </c>
      <c r="F65" s="1" t="s">
        <v>42</v>
      </c>
      <c r="G65" s="1" t="s">
        <v>56</v>
      </c>
      <c r="H65" s="1" t="s">
        <v>4513</v>
      </c>
      <c r="I65" s="1" t="s">
        <v>4514</v>
      </c>
      <c r="J65" s="1" t="s">
        <v>4515</v>
      </c>
      <c r="K65" s="1">
        <v>2023</v>
      </c>
      <c r="L65" s="1" t="s">
        <v>407</v>
      </c>
      <c r="M65" s="1" t="str">
        <f>HYPERLINK("http://dx.doi.org/10.1186/s40862-023-00194-5","http://dx.doi.org/10.1186/s40862-023-00194-5")</f>
        <v>http://dx.doi.org/10.1186/s40862-023-00194-5</v>
      </c>
    </row>
    <row r="66" spans="1:13" x14ac:dyDescent="0.25">
      <c r="A66" s="1">
        <v>75</v>
      </c>
      <c r="B66" s="1" t="s">
        <v>4510</v>
      </c>
      <c r="C66" s="1" t="s">
        <v>4511</v>
      </c>
      <c r="D66" s="1" t="s">
        <v>8176</v>
      </c>
      <c r="E66" s="1" t="s">
        <v>5077</v>
      </c>
      <c r="F66" s="1" t="s">
        <v>42</v>
      </c>
      <c r="G66" s="1" t="s">
        <v>56</v>
      </c>
      <c r="H66" s="1" t="s">
        <v>8177</v>
      </c>
      <c r="I66" s="1" t="s">
        <v>8178</v>
      </c>
      <c r="J66" s="1" t="s">
        <v>8179</v>
      </c>
      <c r="K66" s="1">
        <v>2021</v>
      </c>
      <c r="L66" s="1" t="s">
        <v>1017</v>
      </c>
      <c r="M66" s="1" t="str">
        <f>HYPERLINK("http://dx.doi.org/10.1016/j.system.2021.102645","http://dx.doi.org/10.1016/j.system.2021.102645")</f>
        <v>http://dx.doi.org/10.1016/j.system.2021.102645</v>
      </c>
    </row>
    <row r="67" spans="1:13" x14ac:dyDescent="0.25">
      <c r="A67" s="1">
        <v>76</v>
      </c>
      <c r="B67" s="1" t="s">
        <v>11903</v>
      </c>
      <c r="C67" s="1" t="s">
        <v>11905</v>
      </c>
      <c r="D67" s="1" t="s">
        <v>11906</v>
      </c>
      <c r="E67" s="1" t="s">
        <v>11907</v>
      </c>
      <c r="F67" s="1" t="s">
        <v>42</v>
      </c>
      <c r="G67" s="1" t="s">
        <v>5888</v>
      </c>
      <c r="H67" s="1" t="s">
        <v>1507</v>
      </c>
      <c r="I67" s="1" t="s">
        <v>1507</v>
      </c>
      <c r="J67" s="1" t="s">
        <v>1507</v>
      </c>
      <c r="K67" s="1">
        <v>2018</v>
      </c>
      <c r="L67" s="1" t="s">
        <v>11920</v>
      </c>
      <c r="M67" s="1" t="str">
        <f>HYPERLINK("http://dx.doi.org/10.1007/978-3-319-70479-1_15","http://dx.doi.org/10.1007/978-3-319-70479-1_15")</f>
        <v>http://dx.doi.org/10.1007/978-3-319-70479-1_15</v>
      </c>
    </row>
    <row r="68" spans="1:13" x14ac:dyDescent="0.25">
      <c r="A68" s="1">
        <v>77</v>
      </c>
      <c r="B68" s="1" t="s">
        <v>6695</v>
      </c>
      <c r="C68" s="1" t="s">
        <v>6696</v>
      </c>
      <c r="D68" s="1" t="s">
        <v>6697</v>
      </c>
      <c r="E68" s="1" t="s">
        <v>6698</v>
      </c>
      <c r="F68" s="1" t="s">
        <v>42</v>
      </c>
      <c r="G68" s="1" t="s">
        <v>56</v>
      </c>
      <c r="H68" s="1" t="s">
        <v>6699</v>
      </c>
      <c r="I68" s="1" t="s">
        <v>6700</v>
      </c>
      <c r="J68" s="1" t="s">
        <v>6701</v>
      </c>
      <c r="K68" s="1">
        <v>2022</v>
      </c>
      <c r="L68" s="1" t="s">
        <v>6715</v>
      </c>
      <c r="M68" s="1" t="str">
        <f>HYPERLINK("http://dx.doi.org/10.1080/09712119.2022.2147184","http://dx.doi.org/10.1080/09712119.2022.2147184")</f>
        <v>http://dx.doi.org/10.1080/09712119.2022.2147184</v>
      </c>
    </row>
    <row r="69" spans="1:13" x14ac:dyDescent="0.25">
      <c r="A69" s="1">
        <v>80</v>
      </c>
      <c r="B69" s="1" t="s">
        <v>4449</v>
      </c>
      <c r="C69" s="1" t="s">
        <v>4450</v>
      </c>
      <c r="D69" s="1" t="s">
        <v>4451</v>
      </c>
      <c r="E69" s="1" t="s">
        <v>4452</v>
      </c>
      <c r="F69" s="1" t="s">
        <v>42</v>
      </c>
      <c r="G69" s="1" t="s">
        <v>1509</v>
      </c>
      <c r="H69" s="1" t="s">
        <v>4453</v>
      </c>
      <c r="I69" s="1" t="s">
        <v>4454</v>
      </c>
      <c r="J69" s="1" t="s">
        <v>4455</v>
      </c>
      <c r="K69" s="1">
        <v>2023</v>
      </c>
      <c r="L69" s="1" t="s">
        <v>4467</v>
      </c>
      <c r="M69" s="1" t="str">
        <f>HYPERLINK("http://dx.doi.org/10.1007/s40858-023-00594-5","http://dx.doi.org/10.1007/s40858-023-00594-5")</f>
        <v>http://dx.doi.org/10.1007/s40858-023-00594-5</v>
      </c>
    </row>
    <row r="70" spans="1:13" x14ac:dyDescent="0.25">
      <c r="A70" s="1">
        <v>83</v>
      </c>
      <c r="B70" s="1" t="s">
        <v>8771</v>
      </c>
      <c r="C70" s="1" t="s">
        <v>8772</v>
      </c>
      <c r="D70" s="1" t="s">
        <v>8773</v>
      </c>
      <c r="E70" s="1" t="s">
        <v>8774</v>
      </c>
      <c r="F70" s="1" t="s">
        <v>42</v>
      </c>
      <c r="G70" s="1" t="s">
        <v>56</v>
      </c>
      <c r="H70" s="1" t="s">
        <v>1507</v>
      </c>
      <c r="I70" s="1" t="s">
        <v>8775</v>
      </c>
      <c r="J70" s="1" t="s">
        <v>8776</v>
      </c>
      <c r="K70" s="1">
        <v>2021</v>
      </c>
      <c r="L70" s="1" t="s">
        <v>1507</v>
      </c>
      <c r="M70" s="1" t="s">
        <v>1507</v>
      </c>
    </row>
    <row r="71" spans="1:13" x14ac:dyDescent="0.25">
      <c r="A71" s="1">
        <v>84</v>
      </c>
      <c r="B71" s="1" t="s">
        <v>14868</v>
      </c>
      <c r="C71" s="1" t="s">
        <v>14869</v>
      </c>
      <c r="D71" s="1" t="s">
        <v>14870</v>
      </c>
      <c r="E71" s="1" t="s">
        <v>14871</v>
      </c>
      <c r="F71" s="1" t="s">
        <v>42</v>
      </c>
      <c r="G71" s="1" t="s">
        <v>5552</v>
      </c>
      <c r="H71" s="1" t="s">
        <v>1507</v>
      </c>
      <c r="I71" s="1" t="s">
        <v>1507</v>
      </c>
      <c r="J71" s="1" t="s">
        <v>14875</v>
      </c>
      <c r="K71" s="1">
        <v>2023</v>
      </c>
      <c r="L71" s="1" t="s">
        <v>14883</v>
      </c>
      <c r="M71" s="1" t="str">
        <f>HYPERLINK("http://dx.doi.org/10.1109/ICDL55364.2023.10364374","http://dx.doi.org/10.1109/ICDL55364.2023.10364374")</f>
        <v>http://dx.doi.org/10.1109/ICDL55364.2023.10364374</v>
      </c>
    </row>
    <row r="72" spans="1:13" x14ac:dyDescent="0.25">
      <c r="A72" s="1">
        <v>85</v>
      </c>
      <c r="B72" s="1" t="s">
        <v>11591</v>
      </c>
      <c r="C72" s="1" t="s">
        <v>11592</v>
      </c>
      <c r="D72" s="1" t="s">
        <v>11593</v>
      </c>
      <c r="E72" s="1" t="s">
        <v>7674</v>
      </c>
      <c r="F72" s="1" t="s">
        <v>42</v>
      </c>
      <c r="G72" s="1" t="s">
        <v>56</v>
      </c>
      <c r="H72" s="1" t="s">
        <v>1507</v>
      </c>
      <c r="I72" s="1" t="s">
        <v>11594</v>
      </c>
      <c r="J72" s="1" t="s">
        <v>11595</v>
      </c>
      <c r="K72" s="1">
        <v>2018</v>
      </c>
      <c r="L72" s="1" t="s">
        <v>11604</v>
      </c>
      <c r="M72" s="1" t="str">
        <f>HYPERLINK("http://dx.doi.org/10.1371/journal.pbio.2005513","http://dx.doi.org/10.1371/journal.pbio.2005513")</f>
        <v>http://dx.doi.org/10.1371/journal.pbio.2005513</v>
      </c>
    </row>
    <row r="73" spans="1:13" x14ac:dyDescent="0.25">
      <c r="A73" s="1">
        <v>87</v>
      </c>
      <c r="B73" s="1" t="s">
        <v>5241</v>
      </c>
      <c r="C73" s="1" t="s">
        <v>5242</v>
      </c>
      <c r="D73" s="1" t="s">
        <v>5243</v>
      </c>
      <c r="E73" s="1" t="s">
        <v>5244</v>
      </c>
      <c r="F73" s="1" t="s">
        <v>42</v>
      </c>
      <c r="G73" s="1" t="s">
        <v>56</v>
      </c>
      <c r="H73" s="1" t="s">
        <v>1507</v>
      </c>
      <c r="I73" s="1" t="s">
        <v>5245</v>
      </c>
      <c r="J73" s="1" t="s">
        <v>5246</v>
      </c>
      <c r="K73" s="1">
        <v>2023</v>
      </c>
      <c r="L73" s="1" t="s">
        <v>5259</v>
      </c>
      <c r="M73" s="1" t="str">
        <f>HYPERLINK("http://dx.doi.org/10.1021/acs.energyfuels.2c04274","http://dx.doi.org/10.1021/acs.energyfuels.2c04274")</f>
        <v>http://dx.doi.org/10.1021/acs.energyfuels.2c04274</v>
      </c>
    </row>
    <row r="74" spans="1:13" x14ac:dyDescent="0.25">
      <c r="A74" s="1">
        <v>90</v>
      </c>
      <c r="B74" s="1" t="s">
        <v>11656</v>
      </c>
      <c r="C74" s="1" t="s">
        <v>11657</v>
      </c>
      <c r="D74" s="1" t="s">
        <v>11658</v>
      </c>
      <c r="E74" s="1" t="s">
        <v>11659</v>
      </c>
      <c r="F74" s="1" t="s">
        <v>42</v>
      </c>
      <c r="G74" s="1" t="s">
        <v>56</v>
      </c>
      <c r="H74" s="1" t="s">
        <v>1507</v>
      </c>
      <c r="I74" s="1" t="s">
        <v>11660</v>
      </c>
      <c r="J74" s="1" t="s">
        <v>11661</v>
      </c>
      <c r="K74" s="1">
        <v>2018</v>
      </c>
      <c r="L74" s="1" t="s">
        <v>1507</v>
      </c>
      <c r="M74" s="1" t="s">
        <v>1507</v>
      </c>
    </row>
    <row r="75" spans="1:13" x14ac:dyDescent="0.25">
      <c r="A75" s="1">
        <v>91</v>
      </c>
      <c r="B75" s="1" t="s">
        <v>8727</v>
      </c>
      <c r="C75" s="1" t="s">
        <v>8728</v>
      </c>
      <c r="D75" s="1" t="s">
        <v>8729</v>
      </c>
      <c r="E75" s="1" t="s">
        <v>8730</v>
      </c>
      <c r="F75" s="1" t="s">
        <v>42</v>
      </c>
      <c r="G75" s="1" t="s">
        <v>56</v>
      </c>
      <c r="H75" s="1" t="s">
        <v>1507</v>
      </c>
      <c r="I75" s="1" t="s">
        <v>8731</v>
      </c>
      <c r="J75" s="1" t="s">
        <v>8732</v>
      </c>
      <c r="K75" s="1">
        <v>2021</v>
      </c>
      <c r="L75" s="1" t="s">
        <v>8745</v>
      </c>
      <c r="M75" s="1" t="str">
        <f>HYPERLINK("http://dx.doi.org/10.1093/jla/laaa004","http://dx.doi.org/10.1093/jla/laaa004")</f>
        <v>http://dx.doi.org/10.1093/jla/laaa004</v>
      </c>
    </row>
    <row r="76" spans="1:13" x14ac:dyDescent="0.25">
      <c r="A76" s="1">
        <v>93</v>
      </c>
      <c r="B76" s="1" t="s">
        <v>9033</v>
      </c>
      <c r="C76" s="1" t="s">
        <v>9034</v>
      </c>
      <c r="D76" s="1" t="s">
        <v>9035</v>
      </c>
      <c r="E76" s="1" t="s">
        <v>9036</v>
      </c>
      <c r="F76" s="1" t="s">
        <v>42</v>
      </c>
      <c r="G76" s="1" t="s">
        <v>56</v>
      </c>
      <c r="H76" s="1" t="s">
        <v>9037</v>
      </c>
      <c r="I76" s="1" t="s">
        <v>1507</v>
      </c>
      <c r="J76" s="1" t="s">
        <v>9038</v>
      </c>
      <c r="K76" s="1">
        <v>2021</v>
      </c>
      <c r="L76" s="1" t="s">
        <v>1507</v>
      </c>
      <c r="M76" s="1" t="s">
        <v>1507</v>
      </c>
    </row>
    <row r="77" spans="1:13" x14ac:dyDescent="0.25">
      <c r="A77" s="1">
        <v>94</v>
      </c>
      <c r="B77" s="1" t="s">
        <v>5073</v>
      </c>
      <c r="C77" s="1" t="s">
        <v>5074</v>
      </c>
      <c r="D77" s="1" t="s">
        <v>693</v>
      </c>
      <c r="E77" s="1" t="s">
        <v>5075</v>
      </c>
      <c r="F77" s="1" t="s">
        <v>42</v>
      </c>
      <c r="G77" s="1" t="s">
        <v>56</v>
      </c>
      <c r="H77" s="1" t="s">
        <v>5076</v>
      </c>
      <c r="I77" s="1" t="s">
        <v>5077</v>
      </c>
      <c r="J77" s="1" t="s">
        <v>5078</v>
      </c>
      <c r="K77" s="1">
        <v>2023</v>
      </c>
      <c r="L77" s="1" t="s">
        <v>695</v>
      </c>
      <c r="M77" s="1" t="str">
        <f>HYPERLINK("http://dx.doi.org/10.1016/j.jbi.2023.104370","http://dx.doi.org/10.1016/j.jbi.2023.104370")</f>
        <v>http://dx.doi.org/10.1016/j.jbi.2023.104370</v>
      </c>
    </row>
    <row r="78" spans="1:13" x14ac:dyDescent="0.25">
      <c r="A78" s="1">
        <v>95</v>
      </c>
      <c r="B78" s="1" t="s">
        <v>11926</v>
      </c>
      <c r="C78" s="1" t="s">
        <v>11927</v>
      </c>
      <c r="D78" s="1" t="s">
        <v>11928</v>
      </c>
      <c r="E78" s="1" t="s">
        <v>11929</v>
      </c>
      <c r="F78" s="1" t="s">
        <v>42</v>
      </c>
      <c r="G78" s="1" t="s">
        <v>56</v>
      </c>
      <c r="H78" s="1" t="s">
        <v>11930</v>
      </c>
      <c r="I78" s="1" t="s">
        <v>11931</v>
      </c>
      <c r="J78" s="1" t="s">
        <v>11932</v>
      </c>
      <c r="K78" s="1">
        <v>2018</v>
      </c>
      <c r="L78" s="1" t="s">
        <v>1507</v>
      </c>
      <c r="M78" s="1" t="s">
        <v>1507</v>
      </c>
    </row>
    <row r="79" spans="1:13" x14ac:dyDescent="0.25">
      <c r="A79" s="1">
        <v>96</v>
      </c>
      <c r="B79" s="1" t="s">
        <v>5653</v>
      </c>
      <c r="C79" s="1" t="s">
        <v>5654</v>
      </c>
      <c r="D79" s="1" t="s">
        <v>5655</v>
      </c>
      <c r="E79" s="1" t="s">
        <v>5656</v>
      </c>
      <c r="F79" s="1" t="s">
        <v>42</v>
      </c>
      <c r="G79" s="1" t="s">
        <v>5552</v>
      </c>
      <c r="H79" s="1" t="s">
        <v>5661</v>
      </c>
      <c r="I79" s="1" t="s">
        <v>1507</v>
      </c>
      <c r="J79" s="1" t="s">
        <v>5662</v>
      </c>
      <c r="K79" s="1">
        <v>2023</v>
      </c>
      <c r="L79" s="1" t="s">
        <v>5669</v>
      </c>
      <c r="M79" s="1" t="str">
        <f>HYPERLINK("http://dx.doi.org/10.1145/3627106.3627196","http://dx.doi.org/10.1145/3627106.3627196")</f>
        <v>http://dx.doi.org/10.1145/3627106.3627196</v>
      </c>
    </row>
    <row r="80" spans="1:13" x14ac:dyDescent="0.25">
      <c r="A80" s="1">
        <v>97</v>
      </c>
      <c r="B80" s="1" t="s">
        <v>13807</v>
      </c>
      <c r="C80" s="1" t="s">
        <v>13808</v>
      </c>
      <c r="D80" s="1" t="s">
        <v>13809</v>
      </c>
      <c r="E80" s="1" t="s">
        <v>3251</v>
      </c>
      <c r="F80" s="1" t="s">
        <v>42</v>
      </c>
      <c r="G80" s="1" t="s">
        <v>56</v>
      </c>
      <c r="H80" s="1" t="s">
        <v>13810</v>
      </c>
      <c r="I80" s="1" t="s">
        <v>13811</v>
      </c>
      <c r="J80" s="1" t="s">
        <v>13812</v>
      </c>
      <c r="K80" s="1">
        <v>2023</v>
      </c>
      <c r="L80" s="1" t="s">
        <v>13821</v>
      </c>
      <c r="M80" s="1" t="str">
        <f>HYPERLINK("http://dx.doi.org/10.1073/pnas.2316205120","http://dx.doi.org/10.1073/pnas.2316205120")</f>
        <v>http://dx.doi.org/10.1073/pnas.2316205120</v>
      </c>
    </row>
    <row r="81" spans="1:13" x14ac:dyDescent="0.25">
      <c r="A81" s="1">
        <v>98</v>
      </c>
      <c r="B81" s="1" t="s">
        <v>9156</v>
      </c>
      <c r="C81" s="1" t="s">
        <v>9157</v>
      </c>
      <c r="D81" s="1" t="s">
        <v>9158</v>
      </c>
      <c r="E81" s="1" t="s">
        <v>1625</v>
      </c>
      <c r="F81" s="1" t="s">
        <v>42</v>
      </c>
      <c r="G81" s="1" t="s">
        <v>56</v>
      </c>
      <c r="H81" s="1" t="s">
        <v>9159</v>
      </c>
      <c r="I81" s="1" t="s">
        <v>1507</v>
      </c>
      <c r="J81" s="1" t="s">
        <v>9160</v>
      </c>
      <c r="K81" s="1">
        <v>2021</v>
      </c>
      <c r="L81" s="1" t="s">
        <v>9169</v>
      </c>
      <c r="M81" s="1" t="str">
        <f>HYPERLINK("http://dx.doi.org/10.1109/ACCESS.2021.3100299","http://dx.doi.org/10.1109/ACCESS.2021.3100299")</f>
        <v>http://dx.doi.org/10.1109/ACCESS.2021.3100299</v>
      </c>
    </row>
    <row r="82" spans="1:13" x14ac:dyDescent="0.25">
      <c r="A82" s="1">
        <v>99</v>
      </c>
      <c r="B82" s="1" t="s">
        <v>11309</v>
      </c>
      <c r="C82" s="1" t="s">
        <v>11310</v>
      </c>
      <c r="D82" s="1" t="s">
        <v>11311</v>
      </c>
      <c r="E82" s="1" t="s">
        <v>7697</v>
      </c>
      <c r="F82" s="1" t="s">
        <v>42</v>
      </c>
      <c r="G82" s="1" t="s">
        <v>56</v>
      </c>
      <c r="H82" s="1" t="s">
        <v>1507</v>
      </c>
      <c r="I82" s="1" t="s">
        <v>1507</v>
      </c>
      <c r="J82" s="1" t="s">
        <v>11312</v>
      </c>
      <c r="K82" s="1">
        <v>2019</v>
      </c>
      <c r="L82" s="1" t="s">
        <v>1507</v>
      </c>
      <c r="M82" s="1" t="s">
        <v>1507</v>
      </c>
    </row>
    <row r="83" spans="1:13" x14ac:dyDescent="0.25">
      <c r="A83" s="1">
        <v>100</v>
      </c>
      <c r="B83" s="1" t="s">
        <v>7694</v>
      </c>
      <c r="C83" s="1" t="s">
        <v>7695</v>
      </c>
      <c r="D83" s="1" t="s">
        <v>7696</v>
      </c>
      <c r="E83" s="1" t="s">
        <v>7697</v>
      </c>
      <c r="F83" s="1" t="s">
        <v>42</v>
      </c>
      <c r="G83" s="1" t="s">
        <v>56</v>
      </c>
      <c r="H83" s="1" t="s">
        <v>1507</v>
      </c>
      <c r="I83" s="1" t="s">
        <v>7698</v>
      </c>
      <c r="J83" s="1" t="s">
        <v>7699</v>
      </c>
      <c r="K83" s="1">
        <v>2022</v>
      </c>
      <c r="L83" s="1" t="s">
        <v>1507</v>
      </c>
      <c r="M83" s="1" t="s">
        <v>1507</v>
      </c>
    </row>
    <row r="84" spans="1:13" x14ac:dyDescent="0.25">
      <c r="A84" s="1">
        <v>101</v>
      </c>
      <c r="B84" s="1" t="s">
        <v>1697</v>
      </c>
      <c r="C84" s="1" t="s">
        <v>1698</v>
      </c>
      <c r="D84" s="1" t="s">
        <v>1699</v>
      </c>
      <c r="E84" s="1" t="s">
        <v>1657</v>
      </c>
      <c r="F84" s="1" t="s">
        <v>42</v>
      </c>
      <c r="G84" s="1" t="s">
        <v>56</v>
      </c>
      <c r="H84" s="1" t="s">
        <v>1700</v>
      </c>
      <c r="I84" s="1" t="s">
        <v>1507</v>
      </c>
      <c r="J84" s="1" t="s">
        <v>1701</v>
      </c>
      <c r="K84" s="1">
        <v>2023</v>
      </c>
      <c r="L84" s="1" t="s">
        <v>1710</v>
      </c>
      <c r="M84" s="1" t="str">
        <f>HYPERLINK("http://dx.doi.org/10.2196/51229","http://dx.doi.org/10.2196/51229")</f>
        <v>http://dx.doi.org/10.2196/51229</v>
      </c>
    </row>
    <row r="85" spans="1:13" x14ac:dyDescent="0.25">
      <c r="A85" s="1">
        <v>102</v>
      </c>
      <c r="B85" s="1" t="s">
        <v>7214</v>
      </c>
      <c r="C85" s="1" t="s">
        <v>7215</v>
      </c>
      <c r="D85" s="1" t="s">
        <v>7216</v>
      </c>
      <c r="E85" s="1" t="s">
        <v>7217</v>
      </c>
      <c r="F85" s="1" t="s">
        <v>42</v>
      </c>
      <c r="G85" s="1" t="s">
        <v>56</v>
      </c>
      <c r="H85" s="1" t="s">
        <v>1507</v>
      </c>
      <c r="I85" s="1" t="s">
        <v>1507</v>
      </c>
      <c r="J85" s="1" t="s">
        <v>7218</v>
      </c>
      <c r="K85" s="1">
        <v>2022</v>
      </c>
      <c r="L85" s="1" t="s">
        <v>7233</v>
      </c>
      <c r="M85" s="1" t="str">
        <f>HYPERLINK("http://dx.doi.org/10.2807/1560-7917.ES.2022.27.18.2200178","http://dx.doi.org/10.2807/1560-7917.ES.2022.27.18.2200178")</f>
        <v>http://dx.doi.org/10.2807/1560-7917.ES.2022.27.18.2200178</v>
      </c>
    </row>
    <row r="86" spans="1:13" x14ac:dyDescent="0.25">
      <c r="A86" s="1">
        <v>104</v>
      </c>
      <c r="B86" s="1" t="s">
        <v>5674</v>
      </c>
      <c r="C86" s="1" t="s">
        <v>5675</v>
      </c>
      <c r="D86" s="1" t="s">
        <v>5676</v>
      </c>
      <c r="E86" s="1" t="s">
        <v>5677</v>
      </c>
      <c r="F86" s="1" t="s">
        <v>42</v>
      </c>
      <c r="G86" s="1" t="s">
        <v>5552</v>
      </c>
      <c r="H86" s="1" t="s">
        <v>5683</v>
      </c>
      <c r="I86" s="1" t="s">
        <v>1507</v>
      </c>
      <c r="J86" s="1" t="s">
        <v>5684</v>
      </c>
      <c r="K86" s="1">
        <v>2023</v>
      </c>
      <c r="L86" s="1" t="s">
        <v>5693</v>
      </c>
      <c r="M86" s="1" t="str">
        <f>HYPERLINK("http://dx.doi.org/10.1145/3604930.3605705","http://dx.doi.org/10.1145/3604930.3605705")</f>
        <v>http://dx.doi.org/10.1145/3604930.3605705</v>
      </c>
    </row>
    <row r="87" spans="1:13" x14ac:dyDescent="0.25">
      <c r="A87" s="1">
        <v>105</v>
      </c>
      <c r="B87" s="1" t="s">
        <v>10979</v>
      </c>
      <c r="C87" s="1" t="s">
        <v>10980</v>
      </c>
      <c r="D87" s="1" t="s">
        <v>10981</v>
      </c>
      <c r="E87" s="1" t="s">
        <v>10982</v>
      </c>
      <c r="F87" s="1" t="s">
        <v>42</v>
      </c>
      <c r="G87" s="1" t="s">
        <v>56</v>
      </c>
      <c r="H87" s="1" t="s">
        <v>10983</v>
      </c>
      <c r="I87" s="1" t="s">
        <v>1507</v>
      </c>
      <c r="J87" s="1" t="s">
        <v>10984</v>
      </c>
      <c r="K87" s="1">
        <v>2019</v>
      </c>
      <c r="L87" s="1" t="s">
        <v>10996</v>
      </c>
      <c r="M87" s="1" t="str">
        <f>HYPERLINK("http://dx.doi.org/10.22055/RALS.2019.14672","http://dx.doi.org/10.22055/RALS.2019.14672")</f>
        <v>http://dx.doi.org/10.22055/RALS.2019.14672</v>
      </c>
    </row>
    <row r="88" spans="1:13" x14ac:dyDescent="0.25">
      <c r="A88" s="1">
        <v>106</v>
      </c>
      <c r="B88" s="1" t="s">
        <v>9020</v>
      </c>
      <c r="C88" s="1" t="s">
        <v>9021</v>
      </c>
      <c r="D88" s="1" t="s">
        <v>9022</v>
      </c>
      <c r="E88" s="1" t="s">
        <v>5166</v>
      </c>
      <c r="F88" s="1" t="s">
        <v>42</v>
      </c>
      <c r="G88" s="1" t="s">
        <v>56</v>
      </c>
      <c r="H88" s="1" t="s">
        <v>9023</v>
      </c>
      <c r="I88" s="1" t="s">
        <v>1507</v>
      </c>
      <c r="J88" s="1" t="s">
        <v>9024</v>
      </c>
      <c r="K88" s="1">
        <v>2021</v>
      </c>
      <c r="L88" s="1" t="s">
        <v>9030</v>
      </c>
      <c r="M88" s="1" t="str">
        <f>HYPERLINK("http://dx.doi.org/10.1108/JMLC-10-2020-0120","http://dx.doi.org/10.1108/JMLC-10-2020-0120")</f>
        <v>http://dx.doi.org/10.1108/JMLC-10-2020-0120</v>
      </c>
    </row>
    <row r="89" spans="1:13" x14ac:dyDescent="0.25">
      <c r="A89" s="1">
        <v>107</v>
      </c>
      <c r="B89" s="1" t="s">
        <v>5163</v>
      </c>
      <c r="C89" s="1" t="s">
        <v>5164</v>
      </c>
      <c r="D89" s="1" t="s">
        <v>5165</v>
      </c>
      <c r="E89" s="1" t="s">
        <v>5166</v>
      </c>
      <c r="F89" s="1" t="s">
        <v>42</v>
      </c>
      <c r="G89" s="1" t="s">
        <v>56</v>
      </c>
      <c r="H89" s="1" t="s">
        <v>5167</v>
      </c>
      <c r="I89" s="1" t="s">
        <v>1507</v>
      </c>
      <c r="J89" s="1" t="s">
        <v>5168</v>
      </c>
      <c r="K89" s="1">
        <v>2023</v>
      </c>
      <c r="L89" s="1" t="s">
        <v>5186</v>
      </c>
      <c r="M89" s="1" t="str">
        <f>HYPERLINK("http://dx.doi.org/10.1108/JMLC-01-2023-0016","http://dx.doi.org/10.1108/JMLC-01-2023-0016")</f>
        <v>http://dx.doi.org/10.1108/JMLC-01-2023-0016</v>
      </c>
    </row>
    <row r="90" spans="1:13" x14ac:dyDescent="0.25">
      <c r="A90" s="1">
        <v>108</v>
      </c>
      <c r="B90" s="1" t="s">
        <v>5163</v>
      </c>
      <c r="C90" s="1" t="s">
        <v>5164</v>
      </c>
      <c r="D90" s="1" t="s">
        <v>5306</v>
      </c>
      <c r="E90" s="1" t="s">
        <v>5166</v>
      </c>
      <c r="F90" s="1" t="s">
        <v>42</v>
      </c>
      <c r="G90" s="1" t="s">
        <v>56</v>
      </c>
      <c r="H90" s="1" t="s">
        <v>5307</v>
      </c>
      <c r="I90" s="1" t="s">
        <v>1507</v>
      </c>
      <c r="J90" s="1" t="s">
        <v>5308</v>
      </c>
      <c r="K90" s="1">
        <v>2023</v>
      </c>
      <c r="L90" s="1" t="s">
        <v>5310</v>
      </c>
      <c r="M90" s="1" t="str">
        <f>HYPERLINK("http://dx.doi.org/10.1108/JMLC-01-2023-0004","http://dx.doi.org/10.1108/JMLC-01-2023-0004")</f>
        <v>http://dx.doi.org/10.1108/JMLC-01-2023-0004</v>
      </c>
    </row>
    <row r="91" spans="1:13" x14ac:dyDescent="0.25">
      <c r="A91" s="1">
        <v>109</v>
      </c>
      <c r="B91" s="1" t="s">
        <v>5163</v>
      </c>
      <c r="C91" s="1" t="s">
        <v>5164</v>
      </c>
      <c r="D91" s="1" t="s">
        <v>6913</v>
      </c>
      <c r="E91" s="1" t="s">
        <v>5166</v>
      </c>
      <c r="F91" s="1" t="s">
        <v>42</v>
      </c>
      <c r="G91" s="1" t="s">
        <v>56</v>
      </c>
      <c r="H91" s="1" t="s">
        <v>6914</v>
      </c>
      <c r="I91" s="1" t="s">
        <v>1507</v>
      </c>
      <c r="J91" s="1" t="s">
        <v>6915</v>
      </c>
      <c r="K91" s="1">
        <v>2022</v>
      </c>
      <c r="L91" s="1" t="s">
        <v>6918</v>
      </c>
      <c r="M91" s="1" t="str">
        <f>HYPERLINK("http://dx.doi.org/10.1108/JMLC-07-2022-0102","http://dx.doi.org/10.1108/JMLC-07-2022-0102")</f>
        <v>http://dx.doi.org/10.1108/JMLC-07-2022-0102</v>
      </c>
    </row>
    <row r="92" spans="1:13" x14ac:dyDescent="0.25">
      <c r="A92" s="1">
        <v>111</v>
      </c>
      <c r="B92" s="1" t="s">
        <v>2499</v>
      </c>
      <c r="C92" s="1" t="s">
        <v>2500</v>
      </c>
      <c r="D92" s="1" t="s">
        <v>2501</v>
      </c>
      <c r="E92" s="1" t="s">
        <v>2502</v>
      </c>
      <c r="F92" s="1" t="s">
        <v>42</v>
      </c>
      <c r="G92" s="1" t="s">
        <v>56</v>
      </c>
      <c r="H92" s="1" t="s">
        <v>2503</v>
      </c>
      <c r="I92" s="1" t="s">
        <v>11396</v>
      </c>
      <c r="J92" s="1" t="s">
        <v>2504</v>
      </c>
      <c r="K92" s="1">
        <v>2023</v>
      </c>
      <c r="L92" s="1" t="s">
        <v>2515</v>
      </c>
      <c r="M92" s="1" t="str">
        <f>HYPERLINK("http://dx.doi.org/10.1186/s12909-023-04832-x","http://dx.doi.org/10.1186/s12909-023-04832-x")</f>
        <v>http://dx.doi.org/10.1186/s12909-023-04832-x</v>
      </c>
    </row>
    <row r="93" spans="1:13" x14ac:dyDescent="0.25">
      <c r="A93" s="1">
        <v>112</v>
      </c>
      <c r="B93" s="1" t="s">
        <v>6739</v>
      </c>
      <c r="C93" s="1" t="s">
        <v>6740</v>
      </c>
      <c r="D93" s="1" t="s">
        <v>6741</v>
      </c>
      <c r="E93" s="1" t="s">
        <v>4943</v>
      </c>
      <c r="F93" s="1" t="s">
        <v>42</v>
      </c>
      <c r="G93" s="1" t="s">
        <v>56</v>
      </c>
      <c r="H93" s="1" t="s">
        <v>6742</v>
      </c>
      <c r="I93" s="1" t="s">
        <v>6743</v>
      </c>
      <c r="J93" s="1" t="s">
        <v>6744</v>
      </c>
      <c r="K93" s="1">
        <v>2023</v>
      </c>
      <c r="L93" s="1" t="s">
        <v>6753</v>
      </c>
      <c r="M93" s="1" t="str">
        <f>HYPERLINK("http://dx.doi.org/10.5551/jat.63389","http://dx.doi.org/10.5551/jat.63389")</f>
        <v>http://dx.doi.org/10.5551/jat.63389</v>
      </c>
    </row>
    <row r="94" spans="1:13" x14ac:dyDescent="0.25">
      <c r="A94" s="1">
        <v>113</v>
      </c>
      <c r="B94" s="1" t="s">
        <v>3491</v>
      </c>
      <c r="C94" s="1" t="s">
        <v>3492</v>
      </c>
      <c r="D94" s="1" t="s">
        <v>714</v>
      </c>
      <c r="E94" s="1" t="s">
        <v>3493</v>
      </c>
      <c r="F94" s="1" t="s">
        <v>42</v>
      </c>
      <c r="G94" s="1" t="s">
        <v>56</v>
      </c>
      <c r="H94" s="1" t="s">
        <v>3494</v>
      </c>
      <c r="I94" s="1" t="s">
        <v>1507</v>
      </c>
      <c r="J94" s="1" t="s">
        <v>3495</v>
      </c>
      <c r="K94" s="1">
        <v>2023</v>
      </c>
      <c r="L94" s="1" t="s">
        <v>716</v>
      </c>
      <c r="M94" s="1" t="str">
        <f>HYPERLINK("http://dx.doi.org/10.3366/ijhac.2023.0310","http://dx.doi.org/10.3366/ijhac.2023.0310")</f>
        <v>http://dx.doi.org/10.3366/ijhac.2023.0310</v>
      </c>
    </row>
    <row r="95" spans="1:13" x14ac:dyDescent="0.25">
      <c r="A95" s="1">
        <v>114</v>
      </c>
      <c r="B95" s="1" t="s">
        <v>5698</v>
      </c>
      <c r="C95" s="1" t="s">
        <v>5699</v>
      </c>
      <c r="D95" s="1" t="s">
        <v>58</v>
      </c>
      <c r="E95" s="1" t="s">
        <v>5700</v>
      </c>
      <c r="F95" s="1" t="s">
        <v>42</v>
      </c>
      <c r="G95" s="1" t="s">
        <v>5552</v>
      </c>
      <c r="H95" s="1" t="s">
        <v>5706</v>
      </c>
      <c r="I95" s="1" t="s">
        <v>1507</v>
      </c>
      <c r="J95" s="1" t="s">
        <v>5707</v>
      </c>
      <c r="K95" s="1">
        <v>2023</v>
      </c>
      <c r="L95" s="1" t="s">
        <v>60</v>
      </c>
      <c r="M95" s="1" t="str">
        <f>HYPERLINK("http://dx.doi.org/10.1145/3587102.3588814","http://dx.doi.org/10.1145/3587102.3588814")</f>
        <v>http://dx.doi.org/10.1145/3587102.3588814</v>
      </c>
    </row>
    <row r="96" spans="1:13" x14ac:dyDescent="0.25">
      <c r="A96" s="1">
        <v>115</v>
      </c>
      <c r="B96" s="1" t="s">
        <v>4813</v>
      </c>
      <c r="C96" s="1" t="s">
        <v>4814</v>
      </c>
      <c r="D96" s="1" t="s">
        <v>4815</v>
      </c>
      <c r="E96" s="1" t="s">
        <v>4816</v>
      </c>
      <c r="F96" s="1" t="s">
        <v>42</v>
      </c>
      <c r="G96" s="1" t="s">
        <v>56</v>
      </c>
      <c r="H96" s="1" t="s">
        <v>4817</v>
      </c>
      <c r="I96" s="1" t="s">
        <v>4818</v>
      </c>
      <c r="J96" s="1" t="s">
        <v>4819</v>
      </c>
      <c r="K96" s="1">
        <v>2023</v>
      </c>
      <c r="L96" s="1" t="s">
        <v>4831</v>
      </c>
      <c r="M96" s="1" t="str">
        <f>HYPERLINK("http://dx.doi.org/10.1002/ps.7557","http://dx.doi.org/10.1002/ps.7557")</f>
        <v>http://dx.doi.org/10.1002/ps.7557</v>
      </c>
    </row>
    <row r="97" spans="1:13" x14ac:dyDescent="0.25">
      <c r="A97" s="1">
        <v>116</v>
      </c>
      <c r="B97" s="1" t="s">
        <v>4635</v>
      </c>
      <c r="C97" s="1" t="s">
        <v>4636</v>
      </c>
      <c r="D97" s="1" t="s">
        <v>4637</v>
      </c>
      <c r="E97" s="1" t="s">
        <v>2982</v>
      </c>
      <c r="F97" s="1" t="s">
        <v>42</v>
      </c>
      <c r="G97" s="1" t="s">
        <v>1509</v>
      </c>
      <c r="H97" s="1" t="s">
        <v>4638</v>
      </c>
      <c r="I97" s="1" t="s">
        <v>1507</v>
      </c>
      <c r="J97" s="1" t="s">
        <v>4639</v>
      </c>
      <c r="K97" s="1">
        <v>2023</v>
      </c>
      <c r="L97" s="1" t="s">
        <v>4648</v>
      </c>
      <c r="M97" s="1" t="str">
        <f>HYPERLINK("http://dx.doi.org/10.1007/s00146-023-01710-4","http://dx.doi.org/10.1007/s00146-023-01710-4")</f>
        <v>http://dx.doi.org/10.1007/s00146-023-01710-4</v>
      </c>
    </row>
    <row r="98" spans="1:13" x14ac:dyDescent="0.25">
      <c r="A98" s="1">
        <v>117</v>
      </c>
      <c r="B98" s="1" t="s">
        <v>4293</v>
      </c>
      <c r="C98" s="1" t="s">
        <v>4294</v>
      </c>
      <c r="D98" s="1" t="s">
        <v>4295</v>
      </c>
      <c r="E98" s="1" t="s">
        <v>4296</v>
      </c>
      <c r="F98" s="1" t="s">
        <v>42</v>
      </c>
      <c r="G98" s="1" t="s">
        <v>56</v>
      </c>
      <c r="H98" s="1" t="s">
        <v>1507</v>
      </c>
      <c r="I98" s="1" t="s">
        <v>4297</v>
      </c>
      <c r="J98" s="1" t="s">
        <v>4298</v>
      </c>
      <c r="K98" s="1">
        <v>2023</v>
      </c>
      <c r="L98" s="1" t="s">
        <v>4310</v>
      </c>
      <c r="M98" s="1" t="str">
        <f>HYPERLINK("http://dx.doi.org/10.3847/1538-4365/acdee1","http://dx.doi.org/10.3847/1538-4365/acdee1")</f>
        <v>http://dx.doi.org/10.3847/1538-4365/acdee1</v>
      </c>
    </row>
    <row r="99" spans="1:13" x14ac:dyDescent="0.25">
      <c r="A99" s="1">
        <v>118</v>
      </c>
      <c r="B99" s="1" t="s">
        <v>7117</v>
      </c>
      <c r="C99" s="1" t="s">
        <v>7118</v>
      </c>
      <c r="D99" s="1" t="s">
        <v>7119</v>
      </c>
      <c r="E99" s="1" t="s">
        <v>7120</v>
      </c>
      <c r="F99" s="1" t="s">
        <v>42</v>
      </c>
      <c r="G99" s="1" t="s">
        <v>56</v>
      </c>
      <c r="H99" s="1" t="s">
        <v>7121</v>
      </c>
      <c r="I99" s="1" t="s">
        <v>7122</v>
      </c>
      <c r="J99" s="1" t="s">
        <v>7123</v>
      </c>
      <c r="K99" s="1">
        <v>2022</v>
      </c>
      <c r="L99" s="1" t="s">
        <v>7134</v>
      </c>
      <c r="M99" s="1" t="str">
        <f>HYPERLINK("http://dx.doi.org/10.1016/j.vaccine.2022.05.033","http://dx.doi.org/10.1016/j.vaccine.2022.05.033")</f>
        <v>http://dx.doi.org/10.1016/j.vaccine.2022.05.033</v>
      </c>
    </row>
    <row r="100" spans="1:13" x14ac:dyDescent="0.25">
      <c r="A100" s="1">
        <v>119</v>
      </c>
      <c r="B100" s="1" t="s">
        <v>5719</v>
      </c>
      <c r="C100" s="1" t="s">
        <v>5720</v>
      </c>
      <c r="D100" s="1" t="s">
        <v>933</v>
      </c>
      <c r="E100" s="1" t="s">
        <v>5721</v>
      </c>
      <c r="F100" s="1" t="s">
        <v>42</v>
      </c>
      <c r="G100" s="1" t="s">
        <v>56</v>
      </c>
      <c r="H100" s="1" t="s">
        <v>5722</v>
      </c>
      <c r="I100" s="1" t="s">
        <v>5723</v>
      </c>
      <c r="J100" s="1" t="s">
        <v>5724</v>
      </c>
      <c r="K100" s="1">
        <v>2023</v>
      </c>
      <c r="L100" s="1" t="s">
        <v>935</v>
      </c>
      <c r="M100" s="1" t="str">
        <f>HYPERLINK("http://dx.doi.org/10.14742/ajet.8598","http://dx.doi.org/10.14742/ajet.8598")</f>
        <v>http://dx.doi.org/10.14742/ajet.8598</v>
      </c>
    </row>
    <row r="101" spans="1:13" x14ac:dyDescent="0.25">
      <c r="A101" s="1">
        <v>120</v>
      </c>
      <c r="B101" s="1" t="s">
        <v>5763</v>
      </c>
      <c r="C101" s="1" t="s">
        <v>5764</v>
      </c>
      <c r="D101" s="1" t="s">
        <v>5765</v>
      </c>
      <c r="E101" s="1" t="s">
        <v>5740</v>
      </c>
      <c r="F101" s="1" t="s">
        <v>42</v>
      </c>
      <c r="G101" s="1" t="s">
        <v>56</v>
      </c>
      <c r="H101" s="1" t="s">
        <v>5766</v>
      </c>
      <c r="I101" s="1" t="s">
        <v>5767</v>
      </c>
      <c r="J101" s="1" t="s">
        <v>5768</v>
      </c>
      <c r="K101" s="1">
        <v>2023</v>
      </c>
      <c r="L101" s="1" t="s">
        <v>1222</v>
      </c>
      <c r="M101" s="1" t="str">
        <f>HYPERLINK("http://dx.doi.org/10.53761/1.20.3.02","http://dx.doi.org/10.53761/1.20.3.02")</f>
        <v>http://dx.doi.org/10.53761/1.20.3.02</v>
      </c>
    </row>
    <row r="102" spans="1:13" x14ac:dyDescent="0.25">
      <c r="A102" s="1">
        <v>121</v>
      </c>
      <c r="B102" s="1" t="s">
        <v>5756</v>
      </c>
      <c r="C102" s="1" t="s">
        <v>5757</v>
      </c>
      <c r="D102" s="1" t="s">
        <v>1285</v>
      </c>
      <c r="E102" s="1" t="s">
        <v>5740</v>
      </c>
      <c r="F102" s="1" t="s">
        <v>42</v>
      </c>
      <c r="G102" s="1" t="s">
        <v>56</v>
      </c>
      <c r="H102" s="1" t="s">
        <v>5758</v>
      </c>
      <c r="I102" s="1" t="s">
        <v>1507</v>
      </c>
      <c r="J102" s="1" t="s">
        <v>5759</v>
      </c>
      <c r="K102" s="1">
        <v>2023</v>
      </c>
      <c r="L102" s="1" t="s">
        <v>1507</v>
      </c>
      <c r="M102" s="1" t="s">
        <v>1507</v>
      </c>
    </row>
    <row r="103" spans="1:13" x14ac:dyDescent="0.25">
      <c r="A103" s="1">
        <v>122</v>
      </c>
      <c r="B103" s="1" t="s">
        <v>5737</v>
      </c>
      <c r="C103" s="1" t="s">
        <v>5738</v>
      </c>
      <c r="D103" s="1" t="s">
        <v>5739</v>
      </c>
      <c r="E103" s="1" t="s">
        <v>5740</v>
      </c>
      <c r="F103" s="1" t="s">
        <v>42</v>
      </c>
      <c r="G103" s="1" t="s">
        <v>56</v>
      </c>
      <c r="H103" s="1" t="s">
        <v>5741</v>
      </c>
      <c r="I103" s="1" t="s">
        <v>5742</v>
      </c>
      <c r="J103" s="1" t="s">
        <v>5743</v>
      </c>
      <c r="K103" s="1">
        <v>2023</v>
      </c>
      <c r="L103" s="1" t="s">
        <v>5753</v>
      </c>
      <c r="M103" s="1" t="str">
        <f>HYPERLINK("http://dx.doi.org/10.53761/1.20.7.01","http://dx.doi.org/10.53761/1.20.7.01")</f>
        <v>http://dx.doi.org/10.53761/1.20.7.01</v>
      </c>
    </row>
    <row r="104" spans="1:13" x14ac:dyDescent="0.25">
      <c r="A104" s="1">
        <v>123</v>
      </c>
      <c r="B104" s="1" t="s">
        <v>5774</v>
      </c>
      <c r="C104" s="1" t="s">
        <v>5775</v>
      </c>
      <c r="D104" s="1" t="s">
        <v>233</v>
      </c>
      <c r="E104" s="1" t="s">
        <v>5776</v>
      </c>
      <c r="F104" s="1" t="s">
        <v>42</v>
      </c>
      <c r="G104" s="1" t="s">
        <v>56</v>
      </c>
      <c r="H104" s="1" t="s">
        <v>5777</v>
      </c>
      <c r="I104" s="1" t="s">
        <v>5778</v>
      </c>
      <c r="J104" s="1" t="s">
        <v>5779</v>
      </c>
      <c r="K104" s="1">
        <v>2023</v>
      </c>
      <c r="L104" s="1" t="s">
        <v>235</v>
      </c>
      <c r="M104" s="1" t="str">
        <f>HYPERLINK("http://dx.doi.org/10.17323/jle.2023.17379","http://dx.doi.org/10.17323/jle.2023.17379")</f>
        <v>http://dx.doi.org/10.17323/jle.2023.17379</v>
      </c>
    </row>
    <row r="105" spans="1:13" x14ac:dyDescent="0.25">
      <c r="A105" s="1">
        <v>124</v>
      </c>
      <c r="B105" s="1" t="s">
        <v>4529</v>
      </c>
      <c r="C105" s="1" t="s">
        <v>4530</v>
      </c>
      <c r="D105" s="1" t="s">
        <v>4531</v>
      </c>
      <c r="E105" s="1" t="s">
        <v>3083</v>
      </c>
      <c r="F105" s="1" t="s">
        <v>42</v>
      </c>
      <c r="G105" s="1" t="s">
        <v>56</v>
      </c>
      <c r="H105" s="1" t="s">
        <v>4532</v>
      </c>
      <c r="I105" s="1" t="s">
        <v>1507</v>
      </c>
      <c r="J105" s="1" t="s">
        <v>4533</v>
      </c>
      <c r="K105" s="1">
        <v>2023</v>
      </c>
      <c r="L105" s="1" t="s">
        <v>4541</v>
      </c>
      <c r="M105" s="1" t="str">
        <f>HYPERLINK("http://dx.doi.org/10.7759/cureus.41399","http://dx.doi.org/10.7759/cureus.41399")</f>
        <v>http://dx.doi.org/10.7759/cureus.41399</v>
      </c>
    </row>
    <row r="106" spans="1:13" x14ac:dyDescent="0.25">
      <c r="A106" s="1">
        <v>125</v>
      </c>
      <c r="B106" s="1" t="s">
        <v>2703</v>
      </c>
      <c r="C106" s="1" t="s">
        <v>2704</v>
      </c>
      <c r="D106" s="1" t="s">
        <v>2705</v>
      </c>
      <c r="E106" s="1" t="s">
        <v>2706</v>
      </c>
      <c r="F106" s="1" t="s">
        <v>42</v>
      </c>
      <c r="G106" s="1" t="s">
        <v>56</v>
      </c>
      <c r="H106" s="1" t="s">
        <v>2707</v>
      </c>
      <c r="I106" s="1" t="s">
        <v>2708</v>
      </c>
      <c r="J106" s="1" t="s">
        <v>2709</v>
      </c>
      <c r="K106" s="1">
        <v>2023</v>
      </c>
      <c r="L106" s="1" t="s">
        <v>2720</v>
      </c>
      <c r="M106" s="1" t="str">
        <f>HYPERLINK("http://dx.doi.org/10.1128/jmbe.00153-23","http://dx.doi.org/10.1128/jmbe.00153-23")</f>
        <v>http://dx.doi.org/10.1128/jmbe.00153-23</v>
      </c>
    </row>
    <row r="107" spans="1:13" x14ac:dyDescent="0.25">
      <c r="A107" s="1">
        <v>126</v>
      </c>
      <c r="B107" s="1" t="s">
        <v>10865</v>
      </c>
      <c r="C107" s="1" t="s">
        <v>10866</v>
      </c>
      <c r="D107" s="1" t="s">
        <v>10867</v>
      </c>
      <c r="E107" s="1" t="s">
        <v>10868</v>
      </c>
      <c r="F107" s="1" t="s">
        <v>42</v>
      </c>
      <c r="G107" s="1" t="s">
        <v>56</v>
      </c>
      <c r="H107" s="1" t="s">
        <v>10869</v>
      </c>
      <c r="I107" s="1" t="s">
        <v>10870</v>
      </c>
      <c r="J107" s="1" t="s">
        <v>10871</v>
      </c>
      <c r="K107" s="1">
        <v>2019</v>
      </c>
      <c r="L107" s="1" t="s">
        <v>10884</v>
      </c>
      <c r="M107" s="1" t="str">
        <f>HYPERLINK("http://dx.doi.org/10.1186/s13054-019-2505-7","http://dx.doi.org/10.1186/s13054-019-2505-7")</f>
        <v>http://dx.doi.org/10.1186/s13054-019-2505-7</v>
      </c>
    </row>
    <row r="108" spans="1:13" x14ac:dyDescent="0.25">
      <c r="A108" s="1">
        <v>128</v>
      </c>
      <c r="B108" s="1" t="s">
        <v>14896</v>
      </c>
      <c r="C108" s="1" t="s">
        <v>14897</v>
      </c>
      <c r="D108" s="1" t="s">
        <v>14898</v>
      </c>
      <c r="E108" s="1" t="s">
        <v>14899</v>
      </c>
      <c r="F108" s="1" t="s">
        <v>42</v>
      </c>
      <c r="G108" s="1" t="s">
        <v>5552</v>
      </c>
      <c r="H108" s="1" t="s">
        <v>14902</v>
      </c>
      <c r="I108" s="1" t="s">
        <v>1507</v>
      </c>
      <c r="J108" s="1" t="s">
        <v>14903</v>
      </c>
      <c r="K108" s="1">
        <v>2023</v>
      </c>
      <c r="L108" s="1" t="s">
        <v>14914</v>
      </c>
      <c r="M108" s="1" t="str">
        <f>HYPERLINK("http://dx.doi.org/10.1145/3604915.3610646","http://dx.doi.org/10.1145/3604915.3610646")</f>
        <v>http://dx.doi.org/10.1145/3604915.3610646</v>
      </c>
    </row>
    <row r="109" spans="1:13" x14ac:dyDescent="0.25">
      <c r="A109" s="1">
        <v>129</v>
      </c>
      <c r="B109" s="1" t="s">
        <v>7716</v>
      </c>
      <c r="C109" s="1" t="s">
        <v>7717</v>
      </c>
      <c r="D109" s="1" t="s">
        <v>7718</v>
      </c>
      <c r="E109" s="1" t="s">
        <v>7719</v>
      </c>
      <c r="F109" s="1" t="s">
        <v>42</v>
      </c>
      <c r="G109" s="1" t="s">
        <v>5552</v>
      </c>
      <c r="H109" s="1" t="s">
        <v>1507</v>
      </c>
      <c r="I109" s="1" t="s">
        <v>7722</v>
      </c>
      <c r="J109" s="1" t="s">
        <v>7723</v>
      </c>
      <c r="K109" s="1">
        <v>2022</v>
      </c>
      <c r="L109" s="1" t="s">
        <v>7732</v>
      </c>
      <c r="M109" s="1" t="str">
        <f>HYPERLINK("http://dx.doi.org/10.1109/HST56032.2022.10025459","http://dx.doi.org/10.1109/HST56032.2022.10025459")</f>
        <v>http://dx.doi.org/10.1109/HST56032.2022.10025459</v>
      </c>
    </row>
    <row r="110" spans="1:13" x14ac:dyDescent="0.25">
      <c r="A110" s="1">
        <v>130</v>
      </c>
      <c r="B110" s="1" t="s">
        <v>5791</v>
      </c>
      <c r="C110" s="1" t="s">
        <v>5792</v>
      </c>
      <c r="D110" s="1" t="s">
        <v>5793</v>
      </c>
      <c r="E110" s="1" t="s">
        <v>5794</v>
      </c>
      <c r="F110" s="1" t="s">
        <v>42</v>
      </c>
      <c r="G110" s="1" t="s">
        <v>5552</v>
      </c>
      <c r="H110" s="1" t="s">
        <v>5798</v>
      </c>
      <c r="I110" s="1" t="s">
        <v>1507</v>
      </c>
      <c r="J110" s="1" t="s">
        <v>5799</v>
      </c>
      <c r="K110" s="1">
        <v>2023</v>
      </c>
      <c r="L110" s="1" t="s">
        <v>5808</v>
      </c>
      <c r="M110" s="1" t="str">
        <f>HYPERLINK("http://dx.doi.org/10.1145/3628356.3630117","http://dx.doi.org/10.1145/3628356.3630117")</f>
        <v>http://dx.doi.org/10.1145/3628356.3630117</v>
      </c>
    </row>
    <row r="111" spans="1:13" x14ac:dyDescent="0.25">
      <c r="A111" s="1">
        <v>131</v>
      </c>
      <c r="B111" s="1" t="s">
        <v>11320</v>
      </c>
      <c r="C111" s="1" t="s">
        <v>11321</v>
      </c>
      <c r="D111" s="1" t="s">
        <v>11322</v>
      </c>
      <c r="E111" s="1" t="s">
        <v>11323</v>
      </c>
      <c r="F111" s="1" t="s">
        <v>11324</v>
      </c>
      <c r="G111" s="1" t="s">
        <v>56</v>
      </c>
      <c r="H111" s="1" t="s">
        <v>11325</v>
      </c>
      <c r="I111" s="1" t="s">
        <v>1507</v>
      </c>
      <c r="J111" s="1" t="s">
        <v>11326</v>
      </c>
      <c r="K111" s="1">
        <v>2019</v>
      </c>
      <c r="L111" s="1" t="s">
        <v>11339</v>
      </c>
      <c r="M111" s="1" t="str">
        <f>HYPERLINK("http://dx.doi.org/10.22481/praxis.v15i31.4681","http://dx.doi.org/10.22481/praxis.v15i31.4681")</f>
        <v>http://dx.doi.org/10.22481/praxis.v15i31.4681</v>
      </c>
    </row>
    <row r="112" spans="1:13" x14ac:dyDescent="0.25">
      <c r="A112" s="1">
        <v>132</v>
      </c>
      <c r="B112" s="1" t="s">
        <v>5190</v>
      </c>
      <c r="C112" s="1" t="s">
        <v>5191</v>
      </c>
      <c r="D112" s="1" t="s">
        <v>5192</v>
      </c>
      <c r="E112" s="1" t="s">
        <v>1617</v>
      </c>
      <c r="F112" s="1" t="s">
        <v>42</v>
      </c>
      <c r="G112" s="1" t="s">
        <v>56</v>
      </c>
      <c r="H112" s="1" t="s">
        <v>5193</v>
      </c>
      <c r="I112" s="1" t="s">
        <v>1507</v>
      </c>
      <c r="J112" s="1" t="s">
        <v>5194</v>
      </c>
      <c r="K112" s="1">
        <v>2023</v>
      </c>
      <c r="L112" s="1" t="s">
        <v>5202</v>
      </c>
      <c r="M112" s="1" t="str">
        <f>HYPERLINK("http://dx.doi.org/10.3390/electronics12071735","http://dx.doi.org/10.3390/electronics12071735")</f>
        <v>http://dx.doi.org/10.3390/electronics12071735</v>
      </c>
    </row>
    <row r="113" spans="1:13" x14ac:dyDescent="0.25">
      <c r="A113" s="1">
        <v>133</v>
      </c>
      <c r="B113" s="1" t="s">
        <v>4544</v>
      </c>
      <c r="C113" s="1" t="s">
        <v>4545</v>
      </c>
      <c r="D113" s="1" t="s">
        <v>4546</v>
      </c>
      <c r="E113" s="1" t="s">
        <v>1617</v>
      </c>
      <c r="F113" s="1" t="s">
        <v>42</v>
      </c>
      <c r="G113" s="1" t="s">
        <v>56</v>
      </c>
      <c r="H113" s="1" t="s">
        <v>4547</v>
      </c>
      <c r="I113" s="1" t="s">
        <v>1507</v>
      </c>
      <c r="J113" s="1" t="s">
        <v>4548</v>
      </c>
      <c r="K113" s="1">
        <v>2023</v>
      </c>
      <c r="L113" s="1" t="s">
        <v>4557</v>
      </c>
      <c r="M113" s="1" t="str">
        <f>HYPERLINK("http://dx.doi.org/10.3390/electronics12132814","http://dx.doi.org/10.3390/electronics12132814")</f>
        <v>http://dx.doi.org/10.3390/electronics12132814</v>
      </c>
    </row>
    <row r="114" spans="1:13" x14ac:dyDescent="0.25">
      <c r="A114" s="1">
        <v>134</v>
      </c>
      <c r="B114" s="1" t="s">
        <v>7158</v>
      </c>
      <c r="C114" s="1" t="s">
        <v>7159</v>
      </c>
      <c r="D114" s="1" t="s">
        <v>7160</v>
      </c>
      <c r="E114" s="1" t="s">
        <v>2324</v>
      </c>
      <c r="F114" s="1" t="s">
        <v>42</v>
      </c>
      <c r="G114" s="1" t="s">
        <v>56</v>
      </c>
      <c r="H114" s="1" t="s">
        <v>1507</v>
      </c>
      <c r="I114" s="1" t="s">
        <v>7161</v>
      </c>
      <c r="J114" s="1" t="s">
        <v>7162</v>
      </c>
      <c r="K114" s="1">
        <v>2022</v>
      </c>
      <c r="L114" s="1" t="s">
        <v>1507</v>
      </c>
      <c r="M114" s="1" t="s">
        <v>1507</v>
      </c>
    </row>
    <row r="115" spans="1:13" x14ac:dyDescent="0.25">
      <c r="A115" s="1">
        <v>135</v>
      </c>
      <c r="B115" s="1" t="s">
        <v>2064</v>
      </c>
      <c r="C115" s="1" t="s">
        <v>2065</v>
      </c>
      <c r="D115" s="1" t="s">
        <v>665</v>
      </c>
      <c r="E115" s="1" t="s">
        <v>2066</v>
      </c>
      <c r="F115" s="1" t="s">
        <v>42</v>
      </c>
      <c r="G115" s="1" t="s">
        <v>1509</v>
      </c>
      <c r="H115" s="1" t="s">
        <v>2067</v>
      </c>
      <c r="I115" s="1" t="s">
        <v>1507</v>
      </c>
      <c r="J115" s="1" t="s">
        <v>2068</v>
      </c>
      <c r="K115" s="1">
        <v>2023</v>
      </c>
      <c r="L115" s="1" t="s">
        <v>667</v>
      </c>
      <c r="M115" s="1" t="str">
        <f>HYPERLINK("http://dx.doi.org/10.1177/08944393231220483","http://dx.doi.org/10.1177/08944393231220483")</f>
        <v>http://dx.doi.org/10.1177/08944393231220483</v>
      </c>
    </row>
    <row r="116" spans="1:13" x14ac:dyDescent="0.25">
      <c r="A116" s="1">
        <v>136</v>
      </c>
      <c r="B116" s="1" t="s">
        <v>3511</v>
      </c>
      <c r="C116" s="1" t="s">
        <v>3512</v>
      </c>
      <c r="D116" s="1" t="s">
        <v>3513</v>
      </c>
      <c r="E116" s="1" t="s">
        <v>3514</v>
      </c>
      <c r="F116" s="1" t="s">
        <v>55</v>
      </c>
      <c r="G116" s="1" t="s">
        <v>56</v>
      </c>
      <c r="H116" s="1" t="s">
        <v>3515</v>
      </c>
      <c r="I116" s="1" t="s">
        <v>1507</v>
      </c>
      <c r="J116" s="1" t="s">
        <v>3516</v>
      </c>
      <c r="K116" s="1">
        <v>2023</v>
      </c>
      <c r="L116" s="1" t="s">
        <v>49</v>
      </c>
      <c r="M116" s="1" t="str">
        <f>HYPERLINK("http://dx.doi.org/10.3916/C77-2023-04","http://dx.doi.org/10.3916/C77-2023-04")</f>
        <v>http://dx.doi.org/10.3916/C77-2023-04</v>
      </c>
    </row>
    <row r="117" spans="1:13" x14ac:dyDescent="0.25">
      <c r="A117" s="1">
        <v>137</v>
      </c>
      <c r="B117" s="1" t="s">
        <v>2757</v>
      </c>
      <c r="C117" s="1" t="s">
        <v>2758</v>
      </c>
      <c r="D117" s="1" t="s">
        <v>2759</v>
      </c>
      <c r="E117" s="1" t="s">
        <v>2760</v>
      </c>
      <c r="F117" s="1" t="s">
        <v>42</v>
      </c>
      <c r="G117" s="1" t="s">
        <v>56</v>
      </c>
      <c r="H117" s="1" t="s">
        <v>2761</v>
      </c>
      <c r="I117" s="1" t="s">
        <v>1507</v>
      </c>
      <c r="J117" s="1" t="s">
        <v>2762</v>
      </c>
      <c r="K117" s="1">
        <v>2023</v>
      </c>
      <c r="L117" s="1" t="s">
        <v>2772</v>
      </c>
      <c r="M117" s="1" t="str">
        <f>HYPERLINK("http://dx.doi.org/10.3390/s23229225","http://dx.doi.org/10.3390/s23229225")</f>
        <v>http://dx.doi.org/10.3390/s23229225</v>
      </c>
    </row>
    <row r="118" spans="1:13" x14ac:dyDescent="0.25">
      <c r="A118" s="1">
        <v>138</v>
      </c>
      <c r="B118" s="1" t="s">
        <v>2757</v>
      </c>
      <c r="C118" s="1" t="s">
        <v>2758</v>
      </c>
      <c r="D118" s="1" t="s">
        <v>4560</v>
      </c>
      <c r="E118" s="1" t="s">
        <v>2760</v>
      </c>
      <c r="F118" s="1" t="s">
        <v>42</v>
      </c>
      <c r="G118" s="1" t="s">
        <v>56</v>
      </c>
      <c r="H118" s="1" t="s">
        <v>4561</v>
      </c>
      <c r="I118" s="1" t="s">
        <v>4562</v>
      </c>
      <c r="J118" s="1" t="s">
        <v>4563</v>
      </c>
      <c r="K118" s="1">
        <v>2023</v>
      </c>
      <c r="L118" s="1" t="s">
        <v>4569</v>
      </c>
      <c r="M118" s="1" t="str">
        <f>HYPERLINK("http://dx.doi.org/10.3390/s23135899","http://dx.doi.org/10.3390/s23135899")</f>
        <v>http://dx.doi.org/10.3390/s23135899</v>
      </c>
    </row>
    <row r="119" spans="1:13" x14ac:dyDescent="0.25">
      <c r="A119" s="1">
        <v>139</v>
      </c>
      <c r="B119" s="1" t="s">
        <v>4724</v>
      </c>
      <c r="C119" s="1" t="s">
        <v>4725</v>
      </c>
      <c r="D119" s="1" t="s">
        <v>4726</v>
      </c>
      <c r="E119" s="1" t="s">
        <v>1617</v>
      </c>
      <c r="F119" s="1" t="s">
        <v>42</v>
      </c>
      <c r="G119" s="1" t="s">
        <v>56</v>
      </c>
      <c r="H119" s="1" t="s">
        <v>4727</v>
      </c>
      <c r="I119" s="1" t="s">
        <v>4728</v>
      </c>
      <c r="J119" s="1" t="s">
        <v>4729</v>
      </c>
      <c r="K119" s="1">
        <v>2023</v>
      </c>
      <c r="L119" s="1" t="s">
        <v>4736</v>
      </c>
      <c r="M119" s="1" t="str">
        <f>HYPERLINK("http://dx.doi.org/10.3390/electronics12122722","http://dx.doi.org/10.3390/electronics12122722")</f>
        <v>http://dx.doi.org/10.3390/electronics12122722</v>
      </c>
    </row>
    <row r="120" spans="1:13" x14ac:dyDescent="0.25">
      <c r="A120" s="1">
        <v>140</v>
      </c>
      <c r="B120" s="1" t="s">
        <v>3312</v>
      </c>
      <c r="C120" s="1" t="s">
        <v>3313</v>
      </c>
      <c r="D120" s="1" t="s">
        <v>3314</v>
      </c>
      <c r="E120" s="1" t="s">
        <v>3315</v>
      </c>
      <c r="F120" s="1" t="s">
        <v>42</v>
      </c>
      <c r="G120" s="1" t="s">
        <v>56</v>
      </c>
      <c r="H120" s="1" t="s">
        <v>1507</v>
      </c>
      <c r="I120" s="1" t="s">
        <v>3316</v>
      </c>
      <c r="J120" s="1" t="s">
        <v>3317</v>
      </c>
      <c r="K120" s="1">
        <v>2023</v>
      </c>
      <c r="L120" s="1" t="s">
        <v>1401</v>
      </c>
      <c r="M120" s="1" t="str">
        <f>HYPERLINK("http://dx.doi.org/10.1001/jamanetworkopen.2023.36997","http://dx.doi.org/10.1001/jamanetworkopen.2023.36997")</f>
        <v>http://dx.doi.org/10.1001/jamanetworkopen.2023.36997</v>
      </c>
    </row>
    <row r="121" spans="1:13" x14ac:dyDescent="0.25">
      <c r="A121" s="1">
        <v>141</v>
      </c>
      <c r="B121" s="1" t="s">
        <v>10267</v>
      </c>
      <c r="C121" s="1" t="s">
        <v>10268</v>
      </c>
      <c r="D121" s="1" t="s">
        <v>10269</v>
      </c>
      <c r="E121" s="1" t="s">
        <v>10270</v>
      </c>
      <c r="F121" s="1" t="s">
        <v>42</v>
      </c>
      <c r="G121" s="1" t="s">
        <v>56</v>
      </c>
      <c r="H121" s="1" t="s">
        <v>1507</v>
      </c>
      <c r="I121" s="1" t="s">
        <v>10271</v>
      </c>
      <c r="J121" s="1" t="s">
        <v>10272</v>
      </c>
      <c r="K121" s="1">
        <v>2020</v>
      </c>
      <c r="L121" s="1" t="s">
        <v>1507</v>
      </c>
      <c r="M121" s="1" t="s">
        <v>1507</v>
      </c>
    </row>
    <row r="122" spans="1:13" x14ac:dyDescent="0.25">
      <c r="A122" s="1">
        <v>142</v>
      </c>
      <c r="B122" s="1" t="s">
        <v>2777</v>
      </c>
      <c r="C122" s="1" t="s">
        <v>2778</v>
      </c>
      <c r="D122" s="1" t="s">
        <v>2779</v>
      </c>
      <c r="E122" s="1" t="s">
        <v>2780</v>
      </c>
      <c r="F122" s="1" t="s">
        <v>42</v>
      </c>
      <c r="G122" s="1" t="s">
        <v>56</v>
      </c>
      <c r="H122" s="1" t="s">
        <v>1507</v>
      </c>
      <c r="I122" s="1" t="s">
        <v>2781</v>
      </c>
      <c r="J122" s="1" t="s">
        <v>2782</v>
      </c>
      <c r="K122" s="1">
        <v>2023</v>
      </c>
      <c r="L122" s="1" t="s">
        <v>2791</v>
      </c>
      <c r="M122" s="1" t="str">
        <f>HYPERLINK("http://dx.doi.org/10.1038/s44159-023-00241-5","http://dx.doi.org/10.1038/s44159-023-00241-5")</f>
        <v>http://dx.doi.org/10.1038/s44159-023-00241-5</v>
      </c>
    </row>
    <row r="123" spans="1:13" x14ac:dyDescent="0.25">
      <c r="A123" s="1">
        <v>143</v>
      </c>
      <c r="B123" s="1" t="s">
        <v>3754</v>
      </c>
      <c r="C123" s="1" t="s">
        <v>3755</v>
      </c>
      <c r="D123" s="1" t="s">
        <v>3756</v>
      </c>
      <c r="E123" s="1" t="s">
        <v>3757</v>
      </c>
      <c r="F123" s="1" t="s">
        <v>42</v>
      </c>
      <c r="G123" s="1" t="s">
        <v>56</v>
      </c>
      <c r="H123" s="1" t="s">
        <v>1507</v>
      </c>
      <c r="I123" s="1" t="s">
        <v>1507</v>
      </c>
      <c r="J123" s="1" t="s">
        <v>3758</v>
      </c>
      <c r="K123" s="1">
        <v>2023</v>
      </c>
      <c r="L123" s="1" t="s">
        <v>3773</v>
      </c>
      <c r="M123" s="1" t="str">
        <f>HYPERLINK("http://dx.doi.org/10.34133/research.0189","http://dx.doi.org/10.34133/research.0189")</f>
        <v>http://dx.doi.org/10.34133/research.0189</v>
      </c>
    </row>
    <row r="124" spans="1:13" x14ac:dyDescent="0.25">
      <c r="A124" s="1">
        <v>145</v>
      </c>
      <c r="B124" s="1" t="s">
        <v>7611</v>
      </c>
      <c r="C124" s="1" t="s">
        <v>7612</v>
      </c>
      <c r="D124" s="1" t="s">
        <v>7613</v>
      </c>
      <c r="E124" s="1" t="s">
        <v>7141</v>
      </c>
      <c r="F124" s="1" t="s">
        <v>42</v>
      </c>
      <c r="G124" s="1" t="s">
        <v>56</v>
      </c>
      <c r="H124" s="1" t="s">
        <v>7614</v>
      </c>
      <c r="I124" s="1" t="s">
        <v>7615</v>
      </c>
      <c r="J124" s="1" t="s">
        <v>7616</v>
      </c>
      <c r="K124" s="1">
        <v>2022</v>
      </c>
      <c r="L124" s="1" t="s">
        <v>7622</v>
      </c>
      <c r="M124" s="1" t="str">
        <f>HYPERLINK("http://dx.doi.org/10.1016/j.scitotenv.2022.153250","http://dx.doi.org/10.1016/j.scitotenv.2022.153250")</f>
        <v>http://dx.doi.org/10.1016/j.scitotenv.2022.153250</v>
      </c>
    </row>
    <row r="125" spans="1:13" x14ac:dyDescent="0.25">
      <c r="A125" s="1">
        <v>146</v>
      </c>
      <c r="B125" s="1" t="s">
        <v>5811</v>
      </c>
      <c r="C125" s="1" t="s">
        <v>5812</v>
      </c>
      <c r="D125" s="1" t="s">
        <v>984</v>
      </c>
      <c r="E125" s="1" t="s">
        <v>5813</v>
      </c>
      <c r="F125" s="1" t="s">
        <v>42</v>
      </c>
      <c r="G125" s="1" t="s">
        <v>56</v>
      </c>
      <c r="H125" s="1" t="s">
        <v>5814</v>
      </c>
      <c r="I125" s="1" t="s">
        <v>1507</v>
      </c>
      <c r="J125" s="1" t="s">
        <v>5815</v>
      </c>
      <c r="K125" s="1">
        <v>2023</v>
      </c>
      <c r="L125" s="1" t="s">
        <v>5826</v>
      </c>
      <c r="M125" s="1" t="str">
        <f>HYPERLINK("http://dx.doi.org/10.5114/biolsport.2023.125623","http://dx.doi.org/10.5114/biolsport.2023.125623")</f>
        <v>http://dx.doi.org/10.5114/biolsport.2023.125623</v>
      </c>
    </row>
    <row r="126" spans="1:13" x14ac:dyDescent="0.25">
      <c r="A126" s="1">
        <v>147</v>
      </c>
      <c r="B126" s="1" t="s">
        <v>3190</v>
      </c>
      <c r="C126" s="1" t="s">
        <v>3191</v>
      </c>
      <c r="D126" s="1" t="s">
        <v>3193</v>
      </c>
      <c r="E126" s="1" t="s">
        <v>3194</v>
      </c>
      <c r="F126" s="1" t="s">
        <v>42</v>
      </c>
      <c r="G126" s="1" t="s">
        <v>56</v>
      </c>
      <c r="H126" s="1" t="s">
        <v>3195</v>
      </c>
      <c r="I126" s="1" t="s">
        <v>3196</v>
      </c>
      <c r="J126" s="1" t="s">
        <v>3197</v>
      </c>
      <c r="K126" s="1">
        <v>2023</v>
      </c>
      <c r="L126" s="1" t="s">
        <v>3209</v>
      </c>
      <c r="M126" s="1" t="str">
        <f>HYPERLINK("http://dx.doi.org/10.1186/s12887-023-04262-0","http://dx.doi.org/10.1186/s12887-023-04262-0")</f>
        <v>http://dx.doi.org/10.1186/s12887-023-04262-0</v>
      </c>
    </row>
    <row r="127" spans="1:13" x14ac:dyDescent="0.25">
      <c r="A127" s="1">
        <v>148</v>
      </c>
      <c r="B127" s="1" t="s">
        <v>10529</v>
      </c>
      <c r="C127" s="1" t="s">
        <v>10530</v>
      </c>
      <c r="D127" s="1" t="s">
        <v>10531</v>
      </c>
      <c r="E127" s="1" t="s">
        <v>10532</v>
      </c>
      <c r="F127" s="1" t="s">
        <v>42</v>
      </c>
      <c r="G127" s="1" t="s">
        <v>56</v>
      </c>
      <c r="H127" s="1" t="s">
        <v>1507</v>
      </c>
      <c r="I127" s="1" t="s">
        <v>10533</v>
      </c>
      <c r="J127" s="1" t="s">
        <v>10534</v>
      </c>
      <c r="K127" s="1">
        <v>2019</v>
      </c>
      <c r="L127" s="1" t="s">
        <v>10543</v>
      </c>
      <c r="M127" s="1" t="str">
        <f>HYPERLINK("http://dx.doi.org/10.1016/j.ajhg.2019.09.025","http://dx.doi.org/10.1016/j.ajhg.2019.09.025")</f>
        <v>http://dx.doi.org/10.1016/j.ajhg.2019.09.025</v>
      </c>
    </row>
    <row r="128" spans="1:13" x14ac:dyDescent="0.25">
      <c r="A128" s="1">
        <v>151</v>
      </c>
      <c r="B128" s="1" t="s">
        <v>14920</v>
      </c>
      <c r="C128" s="1" t="s">
        <v>14921</v>
      </c>
      <c r="D128" s="1" t="s">
        <v>14922</v>
      </c>
      <c r="E128" s="1" t="s">
        <v>14923</v>
      </c>
      <c r="F128" s="1" t="s">
        <v>42</v>
      </c>
      <c r="G128" s="1" t="s">
        <v>5552</v>
      </c>
      <c r="H128" s="1" t="s">
        <v>14927</v>
      </c>
      <c r="I128" s="1" t="s">
        <v>14928</v>
      </c>
      <c r="J128" s="1" t="s">
        <v>14929</v>
      </c>
      <c r="K128" s="1">
        <v>2023</v>
      </c>
      <c r="L128" s="1" t="s">
        <v>14939</v>
      </c>
      <c r="M128" s="1" t="str">
        <f>HYPERLINK("http://dx.doi.org/10.1145/3591196.3593516","http://dx.doi.org/10.1145/3591196.3593516")</f>
        <v>http://dx.doi.org/10.1145/3591196.3593516</v>
      </c>
    </row>
    <row r="129" spans="1:13" x14ac:dyDescent="0.25">
      <c r="A129" s="1">
        <v>152</v>
      </c>
      <c r="B129" s="1" t="s">
        <v>11947</v>
      </c>
      <c r="C129" s="1" t="s">
        <v>11948</v>
      </c>
      <c r="D129" s="1" t="s">
        <v>11949</v>
      </c>
      <c r="E129" s="1" t="s">
        <v>11950</v>
      </c>
      <c r="F129" s="1" t="s">
        <v>42</v>
      </c>
      <c r="G129" s="1" t="s">
        <v>56</v>
      </c>
      <c r="H129" s="1" t="s">
        <v>11951</v>
      </c>
      <c r="I129" s="1" t="s">
        <v>11952</v>
      </c>
      <c r="J129" s="1" t="s">
        <v>11953</v>
      </c>
      <c r="K129" s="1">
        <v>2018</v>
      </c>
      <c r="L129" s="1" t="s">
        <v>11968</v>
      </c>
      <c r="M129" s="1" t="str">
        <f>HYPERLINK("http://dx.doi.org/10.1590/1678-4499.2016307","http://dx.doi.org/10.1590/1678-4499.2016307")</f>
        <v>http://dx.doi.org/10.1590/1678-4499.2016307</v>
      </c>
    </row>
    <row r="130" spans="1:13" x14ac:dyDescent="0.25">
      <c r="A130" s="1">
        <v>153</v>
      </c>
      <c r="B130" s="1" t="s">
        <v>9059</v>
      </c>
      <c r="C130" s="1" t="s">
        <v>9060</v>
      </c>
      <c r="D130" s="1" t="s">
        <v>9061</v>
      </c>
      <c r="E130" s="1" t="s">
        <v>5034</v>
      </c>
      <c r="F130" s="1" t="s">
        <v>42</v>
      </c>
      <c r="G130" s="1" t="s">
        <v>56</v>
      </c>
      <c r="H130" s="1" t="s">
        <v>1507</v>
      </c>
      <c r="I130" s="1" t="s">
        <v>9062</v>
      </c>
      <c r="J130" s="1" t="s">
        <v>1507</v>
      </c>
      <c r="K130" s="1">
        <v>2021</v>
      </c>
      <c r="L130" s="1" t="s">
        <v>9067</v>
      </c>
      <c r="M130" s="1" t="str">
        <f>HYPERLINK("http://dx.doi.org/10.3366/ajicl.2021.0348","http://dx.doi.org/10.3366/ajicl.2021.0348")</f>
        <v>http://dx.doi.org/10.3366/ajicl.2021.0348</v>
      </c>
    </row>
    <row r="131" spans="1:13" x14ac:dyDescent="0.25">
      <c r="A131" s="1">
        <v>154</v>
      </c>
      <c r="B131" s="1" t="s">
        <v>10664</v>
      </c>
      <c r="C131" s="1" t="s">
        <v>10665</v>
      </c>
      <c r="D131" s="1" t="s">
        <v>10666</v>
      </c>
      <c r="E131" s="1" t="s">
        <v>10667</v>
      </c>
      <c r="F131" s="1" t="s">
        <v>42</v>
      </c>
      <c r="G131" s="1" t="s">
        <v>56</v>
      </c>
      <c r="H131" s="1" t="s">
        <v>1507</v>
      </c>
      <c r="I131" s="1" t="s">
        <v>1507</v>
      </c>
      <c r="J131" s="1" t="s">
        <v>10668</v>
      </c>
      <c r="K131" s="1">
        <v>2019</v>
      </c>
      <c r="L131" s="1" t="s">
        <v>10679</v>
      </c>
      <c r="M131" s="1" t="str">
        <f>HYPERLINK("http://dx.doi.org/10.1111/1468-2230.12438","http://dx.doi.org/10.1111/1468-2230.12438")</f>
        <v>http://dx.doi.org/10.1111/1468-2230.12438</v>
      </c>
    </row>
    <row r="132" spans="1:13" x14ac:dyDescent="0.25">
      <c r="A132" s="1">
        <v>155</v>
      </c>
      <c r="B132" s="1" t="s">
        <v>3357</v>
      </c>
      <c r="C132" s="1" t="s">
        <v>3358</v>
      </c>
      <c r="D132" s="1" t="s">
        <v>3359</v>
      </c>
      <c r="E132" s="1" t="s">
        <v>2874</v>
      </c>
      <c r="F132" s="1" t="s">
        <v>42</v>
      </c>
      <c r="G132" s="1" t="s">
        <v>56</v>
      </c>
      <c r="H132" s="1" t="s">
        <v>3360</v>
      </c>
      <c r="I132" s="1" t="s">
        <v>3361</v>
      </c>
      <c r="J132" s="1" t="s">
        <v>3362</v>
      </c>
      <c r="K132" s="1">
        <v>2023</v>
      </c>
      <c r="L132" s="1" t="s">
        <v>3370</v>
      </c>
      <c r="M132" s="1" t="str">
        <f>HYPERLINK("http://dx.doi.org/10.1016/j.jacr.2023.07.007","http://dx.doi.org/10.1016/j.jacr.2023.07.007")</f>
        <v>http://dx.doi.org/10.1016/j.jacr.2023.07.007</v>
      </c>
    </row>
    <row r="133" spans="1:13" x14ac:dyDescent="0.25">
      <c r="A133" s="1">
        <v>156</v>
      </c>
      <c r="B133" s="1" t="s">
        <v>8642</v>
      </c>
      <c r="C133" s="1" t="s">
        <v>8643</v>
      </c>
      <c r="D133" s="1" t="s">
        <v>8644</v>
      </c>
      <c r="E133" s="1" t="s">
        <v>8645</v>
      </c>
      <c r="F133" s="1" t="s">
        <v>42</v>
      </c>
      <c r="G133" s="1" t="s">
        <v>56</v>
      </c>
      <c r="H133" s="1" t="s">
        <v>1507</v>
      </c>
      <c r="I133" s="1" t="s">
        <v>8646</v>
      </c>
      <c r="J133" s="1" t="s">
        <v>8647</v>
      </c>
      <c r="K133" s="1">
        <v>2021</v>
      </c>
      <c r="L133" s="1" t="s">
        <v>8660</v>
      </c>
      <c r="M133" s="1" t="str">
        <f>HYPERLINK("http://dx.doi.org/10.1093/jicj/mqab019","http://dx.doi.org/10.1093/jicj/mqab019")</f>
        <v>http://dx.doi.org/10.1093/jicj/mqab019</v>
      </c>
    </row>
    <row r="134" spans="1:13" x14ac:dyDescent="0.25">
      <c r="A134" s="1">
        <v>157</v>
      </c>
      <c r="B134" s="1" t="s">
        <v>8944</v>
      </c>
      <c r="C134" s="1" t="s">
        <v>8945</v>
      </c>
      <c r="D134" s="1" t="s">
        <v>8946</v>
      </c>
      <c r="E134" s="1" t="s">
        <v>8947</v>
      </c>
      <c r="F134" s="1" t="s">
        <v>42</v>
      </c>
      <c r="G134" s="1" t="s">
        <v>56</v>
      </c>
      <c r="H134" s="1" t="s">
        <v>8948</v>
      </c>
      <c r="I134" s="1" t="s">
        <v>8949</v>
      </c>
      <c r="J134" s="1" t="s">
        <v>8950</v>
      </c>
      <c r="K134" s="1">
        <v>2021</v>
      </c>
      <c r="L134" s="1" t="s">
        <v>8966</v>
      </c>
      <c r="M134" s="1" t="str">
        <f>HYPERLINK("http://dx.doi.org/10.1094/PHYTO-07-20-0268-R","http://dx.doi.org/10.1094/PHYTO-07-20-0268-R")</f>
        <v>http://dx.doi.org/10.1094/PHYTO-07-20-0268-R</v>
      </c>
    </row>
    <row r="135" spans="1:13" x14ac:dyDescent="0.25">
      <c r="A135" s="1">
        <v>158</v>
      </c>
      <c r="B135" s="1" t="s">
        <v>14944</v>
      </c>
      <c r="C135" s="1" t="s">
        <v>14945</v>
      </c>
      <c r="D135" s="1" t="s">
        <v>776</v>
      </c>
      <c r="E135" s="1" t="s">
        <v>14946</v>
      </c>
      <c r="F135" s="1" t="s">
        <v>42</v>
      </c>
      <c r="G135" s="1" t="s">
        <v>5552</v>
      </c>
      <c r="H135" s="1" t="s">
        <v>14950</v>
      </c>
      <c r="I135" s="1" t="s">
        <v>1507</v>
      </c>
      <c r="J135" s="1" t="s">
        <v>14951</v>
      </c>
      <c r="K135" s="1">
        <v>2023</v>
      </c>
      <c r="L135" s="1" t="s">
        <v>778</v>
      </c>
      <c r="M135" s="1" t="str">
        <f>HYPERLINK("http://dx.doi.org/10.1145/3580305.3599827","http://dx.doi.org/10.1145/3580305.3599827")</f>
        <v>http://dx.doi.org/10.1145/3580305.3599827</v>
      </c>
    </row>
    <row r="136" spans="1:13" x14ac:dyDescent="0.25">
      <c r="A136" s="1">
        <v>159</v>
      </c>
      <c r="B136" s="1" t="s">
        <v>8621</v>
      </c>
      <c r="C136" s="1" t="s">
        <v>8622</v>
      </c>
      <c r="D136" s="1" t="s">
        <v>8623</v>
      </c>
      <c r="E136" s="1" t="s">
        <v>8624</v>
      </c>
      <c r="F136" s="1" t="s">
        <v>42</v>
      </c>
      <c r="G136" s="1" t="s">
        <v>56</v>
      </c>
      <c r="H136" s="1" t="s">
        <v>8625</v>
      </c>
      <c r="I136" s="1" t="s">
        <v>8626</v>
      </c>
      <c r="J136" s="1" t="s">
        <v>8627</v>
      </c>
      <c r="K136" s="1">
        <v>2021</v>
      </c>
      <c r="L136" s="1" t="s">
        <v>8639</v>
      </c>
      <c r="M136" s="1" t="str">
        <f>HYPERLINK("http://dx.doi.org/10.1007/s11356-021-14351-1","http://dx.doi.org/10.1007/s11356-021-14351-1")</f>
        <v>http://dx.doi.org/10.1007/s11356-021-14351-1</v>
      </c>
    </row>
    <row r="137" spans="1:13" x14ac:dyDescent="0.25">
      <c r="A137" s="1">
        <v>160</v>
      </c>
      <c r="B137" s="1" t="s">
        <v>9454</v>
      </c>
      <c r="C137" s="1" t="s">
        <v>9455</v>
      </c>
      <c r="D137" s="1" t="s">
        <v>9456</v>
      </c>
      <c r="E137" s="1" t="s">
        <v>9457</v>
      </c>
      <c r="F137" s="1" t="s">
        <v>42</v>
      </c>
      <c r="G137" s="1" t="s">
        <v>56</v>
      </c>
      <c r="H137" s="1" t="s">
        <v>9458</v>
      </c>
      <c r="I137" s="1" t="s">
        <v>9459</v>
      </c>
      <c r="J137" s="1" t="s">
        <v>9460</v>
      </c>
      <c r="K137" s="1">
        <v>2020</v>
      </c>
      <c r="L137" s="1" t="s">
        <v>9471</v>
      </c>
      <c r="M137" s="1" t="str">
        <f>HYPERLINK("http://dx.doi.org/10.1094/PDIS-04-20-0714-RE","http://dx.doi.org/10.1094/PDIS-04-20-0714-RE")</f>
        <v>http://dx.doi.org/10.1094/PDIS-04-20-0714-RE</v>
      </c>
    </row>
    <row r="138" spans="1:13" x14ac:dyDescent="0.25">
      <c r="A138" s="1">
        <v>161</v>
      </c>
      <c r="B138" s="1" t="s">
        <v>5289</v>
      </c>
      <c r="C138" s="1" t="s">
        <v>5290</v>
      </c>
      <c r="D138" s="1" t="s">
        <v>14801</v>
      </c>
      <c r="E138" s="1" t="s">
        <v>5291</v>
      </c>
      <c r="F138" s="1" t="s">
        <v>42</v>
      </c>
      <c r="G138" s="1" t="s">
        <v>56</v>
      </c>
      <c r="H138" s="1" t="s">
        <v>5292</v>
      </c>
      <c r="I138" s="1" t="s">
        <v>5293</v>
      </c>
      <c r="J138" s="1" t="s">
        <v>5294</v>
      </c>
      <c r="K138" s="1">
        <v>2023</v>
      </c>
      <c r="L138" s="1" t="s">
        <v>5303</v>
      </c>
      <c r="M138" s="1" t="str">
        <f>HYPERLINK("http://dx.doi.org/10.1016/j.ijinfomgt.2023.102642","http://dx.doi.org/10.1016/j.ijinfomgt.2023.102642")</f>
        <v>http://dx.doi.org/10.1016/j.ijinfomgt.2023.102642</v>
      </c>
    </row>
    <row r="139" spans="1:13" x14ac:dyDescent="0.25">
      <c r="A139" s="1">
        <v>162</v>
      </c>
      <c r="B139" s="1" t="s">
        <v>10286</v>
      </c>
      <c r="C139" s="1" t="s">
        <v>10288</v>
      </c>
      <c r="D139" s="1" t="s">
        <v>10289</v>
      </c>
      <c r="E139" s="1" t="s">
        <v>10290</v>
      </c>
      <c r="F139" s="1" t="s">
        <v>42</v>
      </c>
      <c r="G139" s="1" t="s">
        <v>5888</v>
      </c>
      <c r="H139" s="1" t="s">
        <v>1507</v>
      </c>
      <c r="I139" s="1" t="s">
        <v>10291</v>
      </c>
      <c r="J139" s="1" t="s">
        <v>1507</v>
      </c>
      <c r="K139" s="1">
        <v>2020</v>
      </c>
      <c r="L139" s="1" t="s">
        <v>10302</v>
      </c>
      <c r="M139" s="1" t="str">
        <f>HYPERLINK("http://dx.doi.org/10.1007/978-3-030-27049-0_6","http://dx.doi.org/10.1007/978-3-030-27049-0_6")</f>
        <v>http://dx.doi.org/10.1007/978-3-030-27049-0_6</v>
      </c>
    </row>
    <row r="140" spans="1:13" x14ac:dyDescent="0.25">
      <c r="A140" s="1">
        <v>163</v>
      </c>
      <c r="B140" s="1" t="s">
        <v>5830</v>
      </c>
      <c r="C140" s="1" t="s">
        <v>5831</v>
      </c>
      <c r="D140" s="1" t="s">
        <v>1319</v>
      </c>
      <c r="E140" s="1" t="s">
        <v>5740</v>
      </c>
      <c r="F140" s="1" t="s">
        <v>42</v>
      </c>
      <c r="G140" s="1" t="s">
        <v>56</v>
      </c>
      <c r="H140" s="1" t="s">
        <v>5832</v>
      </c>
      <c r="I140" s="1" t="s">
        <v>1507</v>
      </c>
      <c r="J140" s="1" t="s">
        <v>5833</v>
      </c>
      <c r="K140" s="1">
        <v>2023</v>
      </c>
      <c r="L140" s="1" t="s">
        <v>1507</v>
      </c>
      <c r="M140" s="1" t="s">
        <v>1507</v>
      </c>
    </row>
    <row r="141" spans="1:13" x14ac:dyDescent="0.25">
      <c r="A141" s="1">
        <v>164</v>
      </c>
      <c r="B141" s="1" t="s">
        <v>9947</v>
      </c>
      <c r="C141" s="1" t="s">
        <v>9948</v>
      </c>
      <c r="D141" s="1" t="s">
        <v>9949</v>
      </c>
      <c r="E141" s="1" t="s">
        <v>9950</v>
      </c>
      <c r="F141" s="1" t="s">
        <v>42</v>
      </c>
      <c r="G141" s="1" t="s">
        <v>56</v>
      </c>
      <c r="H141" s="1" t="s">
        <v>1507</v>
      </c>
      <c r="I141" s="1" t="s">
        <v>1507</v>
      </c>
      <c r="J141" s="1" t="s">
        <v>9951</v>
      </c>
      <c r="K141" s="1">
        <v>2020</v>
      </c>
      <c r="L141" s="1" t="s">
        <v>1507</v>
      </c>
      <c r="M141" s="1" t="s">
        <v>1507</v>
      </c>
    </row>
    <row r="142" spans="1:13" x14ac:dyDescent="0.25">
      <c r="A142" s="1">
        <v>165</v>
      </c>
      <c r="B142" s="1" t="s">
        <v>10466</v>
      </c>
      <c r="C142" s="1" t="s">
        <v>10467</v>
      </c>
      <c r="D142" s="1" t="s">
        <v>10468</v>
      </c>
      <c r="E142" s="1" t="s">
        <v>4793</v>
      </c>
      <c r="F142" s="1" t="s">
        <v>42</v>
      </c>
      <c r="G142" s="1" t="s">
        <v>56</v>
      </c>
      <c r="H142" s="1" t="s">
        <v>10469</v>
      </c>
      <c r="I142" s="1" t="s">
        <v>10470</v>
      </c>
      <c r="J142" s="1" t="s">
        <v>10471</v>
      </c>
      <c r="K142" s="1">
        <v>2019</v>
      </c>
      <c r="L142" s="1" t="s">
        <v>10474</v>
      </c>
      <c r="M142" s="1" t="str">
        <f>HYPERLINK("http://dx.doi.org/10.4337/qmjip.2019.04.05","http://dx.doi.org/10.4337/qmjip.2019.04.05")</f>
        <v>http://dx.doi.org/10.4337/qmjip.2019.04.05</v>
      </c>
    </row>
    <row r="143" spans="1:13" x14ac:dyDescent="0.25">
      <c r="A143" s="1">
        <v>166</v>
      </c>
      <c r="B143" s="1" t="s">
        <v>3060</v>
      </c>
      <c r="C143" s="1" t="s">
        <v>3061</v>
      </c>
      <c r="D143" s="1" t="s">
        <v>3062</v>
      </c>
      <c r="E143" s="1" t="s">
        <v>3063</v>
      </c>
      <c r="F143" s="1" t="s">
        <v>42</v>
      </c>
      <c r="G143" s="1" t="s">
        <v>56</v>
      </c>
      <c r="H143" s="1" t="s">
        <v>3064</v>
      </c>
      <c r="I143" s="1" t="s">
        <v>1507</v>
      </c>
      <c r="J143" s="1" t="s">
        <v>3065</v>
      </c>
      <c r="K143" s="1">
        <v>2023</v>
      </c>
      <c r="L143" s="1" t="s">
        <v>3078</v>
      </c>
      <c r="M143" s="1" t="str">
        <f>HYPERLINK("http://dx.doi.org/10.1007/s10514-023-10132-6","http://dx.doi.org/10.1007/s10514-023-10132-6")</f>
        <v>http://dx.doi.org/10.1007/s10514-023-10132-6</v>
      </c>
    </row>
    <row r="144" spans="1:13" x14ac:dyDescent="0.25">
      <c r="A144" s="1">
        <v>167</v>
      </c>
      <c r="B144" s="1" t="s">
        <v>9412</v>
      </c>
      <c r="C144" s="1" t="s">
        <v>9413</v>
      </c>
      <c r="D144" s="1" t="s">
        <v>9414</v>
      </c>
      <c r="E144" s="1" t="s">
        <v>9415</v>
      </c>
      <c r="F144" s="1" t="s">
        <v>42</v>
      </c>
      <c r="G144" s="1" t="s">
        <v>56</v>
      </c>
      <c r="H144" s="1" t="s">
        <v>9416</v>
      </c>
      <c r="I144" s="1" t="s">
        <v>9417</v>
      </c>
      <c r="J144" s="1" t="s">
        <v>9418</v>
      </c>
      <c r="K144" s="1">
        <v>2020</v>
      </c>
      <c r="L144" s="1" t="s">
        <v>9428</v>
      </c>
      <c r="M144" s="1" t="str">
        <f>HYPERLINK("http://dx.doi.org/10.3390/microorganisms8111698","http://dx.doi.org/10.3390/microorganisms8111698")</f>
        <v>http://dx.doi.org/10.3390/microorganisms8111698</v>
      </c>
    </row>
    <row r="145" spans="1:13" x14ac:dyDescent="0.25">
      <c r="A145" s="1">
        <v>168</v>
      </c>
      <c r="B145" s="1" t="s">
        <v>2946</v>
      </c>
      <c r="C145" s="1" t="s">
        <v>2947</v>
      </c>
      <c r="D145" s="1" t="s">
        <v>515</v>
      </c>
      <c r="E145" s="1" t="s">
        <v>2579</v>
      </c>
      <c r="F145" s="1" t="s">
        <v>42</v>
      </c>
      <c r="G145" s="1" t="s">
        <v>56</v>
      </c>
      <c r="H145" s="1" t="s">
        <v>2948</v>
      </c>
      <c r="I145" s="1" t="s">
        <v>1507</v>
      </c>
      <c r="J145" s="1" t="s">
        <v>2949</v>
      </c>
      <c r="K145" s="1">
        <v>2023</v>
      </c>
      <c r="L145" s="1" t="s">
        <v>516</v>
      </c>
      <c r="M145" s="1" t="str">
        <f>HYPERLINK("http://dx.doi.org/10.1186/s41239-023-00425-2","http://dx.doi.org/10.1186/s41239-023-00425-2")</f>
        <v>http://dx.doi.org/10.1186/s41239-023-00425-2</v>
      </c>
    </row>
    <row r="146" spans="1:13" x14ac:dyDescent="0.25">
      <c r="A146" s="1">
        <v>169</v>
      </c>
      <c r="B146" s="1" t="s">
        <v>9002</v>
      </c>
      <c r="C146" s="1" t="s">
        <v>9003</v>
      </c>
      <c r="D146" s="1" t="s">
        <v>9004</v>
      </c>
      <c r="E146" s="1" t="s">
        <v>9005</v>
      </c>
      <c r="F146" s="1" t="s">
        <v>42</v>
      </c>
      <c r="G146" s="1" t="s">
        <v>56</v>
      </c>
      <c r="H146" s="1" t="s">
        <v>1507</v>
      </c>
      <c r="I146" s="1" t="s">
        <v>9006</v>
      </c>
      <c r="J146" s="1" t="s">
        <v>9007</v>
      </c>
      <c r="K146" s="1">
        <v>2021</v>
      </c>
      <c r="L146" s="1" t="s">
        <v>9017</v>
      </c>
      <c r="M146" s="1" t="str">
        <f>HYPERLINK("http://dx.doi.org/10.1093/jiel/jgab004","http://dx.doi.org/10.1093/jiel/jgab004")</f>
        <v>http://dx.doi.org/10.1093/jiel/jgab004</v>
      </c>
    </row>
    <row r="147" spans="1:13" x14ac:dyDescent="0.25">
      <c r="A147" s="1">
        <v>171</v>
      </c>
      <c r="B147" s="1" t="s">
        <v>10682</v>
      </c>
      <c r="C147" s="1" t="s">
        <v>10683</v>
      </c>
      <c r="D147" s="1" t="s">
        <v>10684</v>
      </c>
      <c r="E147" s="1" t="s">
        <v>2324</v>
      </c>
      <c r="F147" s="1" t="s">
        <v>42</v>
      </c>
      <c r="G147" s="1" t="s">
        <v>56</v>
      </c>
      <c r="H147" s="1" t="s">
        <v>1507</v>
      </c>
      <c r="I147" s="1" t="s">
        <v>1507</v>
      </c>
      <c r="J147" s="1" t="s">
        <v>10685</v>
      </c>
      <c r="K147" s="1">
        <v>2019</v>
      </c>
      <c r="L147" s="1" t="s">
        <v>1507</v>
      </c>
      <c r="M147" s="1" t="s">
        <v>1507</v>
      </c>
    </row>
    <row r="148" spans="1:13" x14ac:dyDescent="0.25">
      <c r="A148" s="1">
        <v>172</v>
      </c>
      <c r="B148" s="1" t="s">
        <v>9390</v>
      </c>
      <c r="C148" s="1" t="s">
        <v>9391</v>
      </c>
      <c r="D148" s="1" t="s">
        <v>9392</v>
      </c>
      <c r="E148" s="1" t="s">
        <v>9393</v>
      </c>
      <c r="F148" s="1" t="s">
        <v>42</v>
      </c>
      <c r="G148" s="1" t="s">
        <v>56</v>
      </c>
      <c r="H148" s="1" t="s">
        <v>9394</v>
      </c>
      <c r="I148" s="1" t="s">
        <v>9395</v>
      </c>
      <c r="J148" s="1" t="s">
        <v>9396</v>
      </c>
      <c r="K148" s="1">
        <v>2020</v>
      </c>
      <c r="L148" s="1" t="s">
        <v>9407</v>
      </c>
      <c r="M148" s="1" t="str">
        <f>HYPERLINK("http://dx.doi.org/10.1021/acssensors.0c01908","http://dx.doi.org/10.1021/acssensors.0c01908")</f>
        <v>http://dx.doi.org/10.1021/acssensors.0c01908</v>
      </c>
    </row>
    <row r="149" spans="1:13" x14ac:dyDescent="0.25">
      <c r="A149" s="1">
        <v>173</v>
      </c>
      <c r="B149" s="1" t="s">
        <v>7444</v>
      </c>
      <c r="C149" s="1" t="s">
        <v>7445</v>
      </c>
      <c r="D149" s="1" t="s">
        <v>7446</v>
      </c>
      <c r="E149" s="1" t="s">
        <v>6997</v>
      </c>
      <c r="F149" s="1" t="s">
        <v>42</v>
      </c>
      <c r="G149" s="1" t="s">
        <v>56</v>
      </c>
      <c r="H149" s="1" t="s">
        <v>7447</v>
      </c>
      <c r="I149" s="1" t="s">
        <v>7448</v>
      </c>
      <c r="J149" s="1" t="s">
        <v>7449</v>
      </c>
      <c r="K149" s="1">
        <v>2022</v>
      </c>
      <c r="L149" s="1" t="s">
        <v>1507</v>
      </c>
      <c r="M149" s="1" t="s">
        <v>1507</v>
      </c>
    </row>
    <row r="150" spans="1:13" x14ac:dyDescent="0.25">
      <c r="A150" s="1">
        <v>174</v>
      </c>
      <c r="B150" s="1" t="s">
        <v>14961</v>
      </c>
      <c r="C150" s="1" t="s">
        <v>14963</v>
      </c>
      <c r="D150" s="1" t="s">
        <v>14964</v>
      </c>
      <c r="E150" s="1" t="s">
        <v>14965</v>
      </c>
      <c r="F150" s="1" t="s">
        <v>42</v>
      </c>
      <c r="G150" s="1" t="s">
        <v>5552</v>
      </c>
      <c r="H150" s="1" t="s">
        <v>14970</v>
      </c>
      <c r="I150" s="1" t="s">
        <v>1507</v>
      </c>
      <c r="J150" s="1" t="s">
        <v>14971</v>
      </c>
      <c r="K150" s="1">
        <v>2023</v>
      </c>
      <c r="L150" s="1" t="s">
        <v>1438</v>
      </c>
      <c r="M150" s="1" t="str">
        <f>HYPERLINK("http://dx.doi.org/10.1007/978-981-99-8385-8_14","http://dx.doi.org/10.1007/978-981-99-8385-8_14")</f>
        <v>http://dx.doi.org/10.1007/978-981-99-8385-8_14</v>
      </c>
    </row>
    <row r="151" spans="1:13" x14ac:dyDescent="0.25">
      <c r="A151" s="1">
        <v>175</v>
      </c>
      <c r="B151" s="1" t="s">
        <v>7736</v>
      </c>
      <c r="C151" s="1" t="s">
        <v>7738</v>
      </c>
      <c r="D151" s="1" t="s">
        <v>7739</v>
      </c>
      <c r="E151" s="1" t="s">
        <v>7740</v>
      </c>
      <c r="F151" s="1" t="s">
        <v>42</v>
      </c>
      <c r="G151" s="1" t="s">
        <v>5552</v>
      </c>
      <c r="H151" s="1" t="s">
        <v>1507</v>
      </c>
      <c r="I151" s="1" t="s">
        <v>7743</v>
      </c>
      <c r="J151" s="1" t="s">
        <v>7744</v>
      </c>
      <c r="K151" s="1">
        <v>2022</v>
      </c>
      <c r="L151" s="1" t="s">
        <v>7754</v>
      </c>
      <c r="M151" s="1" t="str">
        <f>HYPERLINK("http://dx.doi.org/10.1007/978-3-031-07312-0_3","http://dx.doi.org/10.1007/978-3-031-07312-0_3")</f>
        <v>http://dx.doi.org/10.1007/978-3-031-07312-0_3</v>
      </c>
    </row>
    <row r="152" spans="1:13" x14ac:dyDescent="0.25">
      <c r="A152" s="1">
        <v>177</v>
      </c>
      <c r="B152" s="1" t="s">
        <v>2980</v>
      </c>
      <c r="C152" s="1" t="s">
        <v>2981</v>
      </c>
      <c r="D152" s="1" t="s">
        <v>1177</v>
      </c>
      <c r="E152" s="1" t="s">
        <v>2982</v>
      </c>
      <c r="F152" s="1" t="s">
        <v>42</v>
      </c>
      <c r="G152" s="1" t="s">
        <v>1509</v>
      </c>
      <c r="H152" s="1" t="s">
        <v>2983</v>
      </c>
      <c r="I152" s="1" t="s">
        <v>1507</v>
      </c>
      <c r="J152" s="1" t="s">
        <v>2984</v>
      </c>
      <c r="K152" s="1">
        <v>2023</v>
      </c>
      <c r="L152" s="1" t="s">
        <v>1179</v>
      </c>
      <c r="M152" s="1" t="str">
        <f>HYPERLINK("http://dx.doi.org/10.1007/s00146-023-01791-1","http://dx.doi.org/10.1007/s00146-023-01791-1")</f>
        <v>http://dx.doi.org/10.1007/s00146-023-01791-1</v>
      </c>
    </row>
    <row r="153" spans="1:13" x14ac:dyDescent="0.25">
      <c r="A153" s="1">
        <v>178</v>
      </c>
      <c r="B153" s="1" t="s">
        <v>3840</v>
      </c>
      <c r="C153" s="1" t="s">
        <v>3841</v>
      </c>
      <c r="D153" s="1" t="s">
        <v>3843</v>
      </c>
      <c r="E153" s="1" t="s">
        <v>3844</v>
      </c>
      <c r="F153" s="1" t="s">
        <v>42</v>
      </c>
      <c r="G153" s="1" t="s">
        <v>56</v>
      </c>
      <c r="H153" s="1" t="s">
        <v>3845</v>
      </c>
      <c r="I153" s="1" t="s">
        <v>1507</v>
      </c>
      <c r="J153" s="1" t="s">
        <v>3846</v>
      </c>
      <c r="K153" s="1">
        <v>2023</v>
      </c>
      <c r="L153" s="1" t="s">
        <v>3857</v>
      </c>
      <c r="M153" s="1" t="str">
        <f>HYPERLINK("http://dx.doi.org/10.1017/cts.2023.619","http://dx.doi.org/10.1017/cts.2023.619")</f>
        <v>http://dx.doi.org/10.1017/cts.2023.619</v>
      </c>
    </row>
    <row r="154" spans="1:13" x14ac:dyDescent="0.25">
      <c r="A154" s="1">
        <v>179</v>
      </c>
      <c r="B154" s="1" t="s">
        <v>8321</v>
      </c>
      <c r="C154" s="1" t="s">
        <v>8322</v>
      </c>
      <c r="D154" s="1" t="s">
        <v>8323</v>
      </c>
      <c r="E154" s="1" t="s">
        <v>4793</v>
      </c>
      <c r="F154" s="1" t="s">
        <v>42</v>
      </c>
      <c r="G154" s="1" t="s">
        <v>56</v>
      </c>
      <c r="H154" s="1" t="s">
        <v>8324</v>
      </c>
      <c r="I154" s="1" t="s">
        <v>1507</v>
      </c>
      <c r="J154" s="1" t="s">
        <v>8325</v>
      </c>
      <c r="K154" s="1">
        <v>2021</v>
      </c>
      <c r="L154" s="1" t="s">
        <v>8330</v>
      </c>
      <c r="M154" s="1" t="str">
        <f>HYPERLINK("http://dx.doi.org/10.4337/qmjip.2021.03.03","http://dx.doi.org/10.4337/qmjip.2021.03.03")</f>
        <v>http://dx.doi.org/10.4337/qmjip.2021.03.03</v>
      </c>
    </row>
    <row r="155" spans="1:13" x14ac:dyDescent="0.25">
      <c r="A155" s="1">
        <v>180</v>
      </c>
      <c r="B155" s="1" t="s">
        <v>3333</v>
      </c>
      <c r="C155" s="1" t="s">
        <v>3334</v>
      </c>
      <c r="D155" s="1" t="s">
        <v>3335</v>
      </c>
      <c r="E155" s="1" t="s">
        <v>3336</v>
      </c>
      <c r="F155" s="1" t="s">
        <v>42</v>
      </c>
      <c r="G155" s="1" t="s">
        <v>56</v>
      </c>
      <c r="H155" s="1" t="s">
        <v>3337</v>
      </c>
      <c r="I155" s="1" t="s">
        <v>3338</v>
      </c>
      <c r="J155" s="1" t="s">
        <v>3339</v>
      </c>
      <c r="K155" s="1">
        <v>2023</v>
      </c>
      <c r="L155" s="1" t="s">
        <v>3352</v>
      </c>
      <c r="M155" s="1" t="str">
        <f>HYPERLINK("http://dx.doi.org/10.1016/j.isatra.2023.04.025","http://dx.doi.org/10.1016/j.isatra.2023.04.025")</f>
        <v>http://dx.doi.org/10.1016/j.isatra.2023.04.025</v>
      </c>
    </row>
    <row r="156" spans="1:13" x14ac:dyDescent="0.25">
      <c r="A156" s="1">
        <v>181</v>
      </c>
      <c r="B156" s="1" t="s">
        <v>9172</v>
      </c>
      <c r="C156" s="1" t="s">
        <v>9173</v>
      </c>
      <c r="D156" s="1" t="s">
        <v>9174</v>
      </c>
      <c r="E156" s="1" t="s">
        <v>9175</v>
      </c>
      <c r="F156" s="1" t="s">
        <v>42</v>
      </c>
      <c r="G156" s="1" t="s">
        <v>56</v>
      </c>
      <c r="H156" s="1" t="s">
        <v>9176</v>
      </c>
      <c r="I156" s="1" t="s">
        <v>1507</v>
      </c>
      <c r="J156" s="1" t="s">
        <v>9177</v>
      </c>
      <c r="K156" s="1">
        <v>2021</v>
      </c>
      <c r="L156" s="1" t="s">
        <v>9189</v>
      </c>
      <c r="M156" s="1" t="str">
        <f>HYPERLINK("http://dx.doi.org/10.1109/LSP.2021.3107209","http://dx.doi.org/10.1109/LSP.2021.3107209")</f>
        <v>http://dx.doi.org/10.1109/LSP.2021.3107209</v>
      </c>
    </row>
    <row r="157" spans="1:13" x14ac:dyDescent="0.25">
      <c r="A157" s="1">
        <v>182</v>
      </c>
      <c r="B157" s="1" t="s">
        <v>4893</v>
      </c>
      <c r="C157" s="1" t="s">
        <v>4894</v>
      </c>
      <c r="D157" s="1" t="s">
        <v>4895</v>
      </c>
      <c r="E157" s="1" t="s">
        <v>3297</v>
      </c>
      <c r="F157" s="1" t="s">
        <v>42</v>
      </c>
      <c r="G157" s="1" t="s">
        <v>56</v>
      </c>
      <c r="H157" s="1" t="s">
        <v>1507</v>
      </c>
      <c r="I157" s="1" t="s">
        <v>1507</v>
      </c>
      <c r="J157" s="1" t="s">
        <v>4896</v>
      </c>
      <c r="K157" s="1">
        <v>2023</v>
      </c>
      <c r="L157" s="1" t="s">
        <v>4905</v>
      </c>
      <c r="M157" s="1" t="str">
        <f>HYPERLINK("http://dx.doi.org/10.1038/s41598-023-34375-6","http://dx.doi.org/10.1038/s41598-023-34375-6")</f>
        <v>http://dx.doi.org/10.1038/s41598-023-34375-6</v>
      </c>
    </row>
    <row r="158" spans="1:13" x14ac:dyDescent="0.25">
      <c r="A158" s="1">
        <v>183</v>
      </c>
      <c r="B158" s="1" t="s">
        <v>6864</v>
      </c>
      <c r="C158" s="1" t="s">
        <v>6865</v>
      </c>
      <c r="D158" s="1" t="s">
        <v>6866</v>
      </c>
      <c r="E158" s="1" t="s">
        <v>6867</v>
      </c>
      <c r="F158" s="1" t="s">
        <v>42</v>
      </c>
      <c r="G158" s="1" t="s">
        <v>56</v>
      </c>
      <c r="H158" s="1" t="s">
        <v>6868</v>
      </c>
      <c r="I158" s="1" t="s">
        <v>1507</v>
      </c>
      <c r="J158" s="1" t="s">
        <v>6869</v>
      </c>
      <c r="K158" s="1">
        <v>2022</v>
      </c>
      <c r="L158" s="1" t="s">
        <v>6885</v>
      </c>
      <c r="M158" s="1" t="str">
        <f>HYPERLINK("http://dx.doi.org/10.1590/s0102-0536-20220405","http://dx.doi.org/10.1590/s0102-0536-20220405")</f>
        <v>http://dx.doi.org/10.1590/s0102-0536-20220405</v>
      </c>
    </row>
    <row r="159" spans="1:13" x14ac:dyDescent="0.25">
      <c r="A159" s="1">
        <v>184</v>
      </c>
      <c r="B159" s="1" t="s">
        <v>4036</v>
      </c>
      <c r="C159" s="1" t="s">
        <v>4037</v>
      </c>
      <c r="D159" s="1" t="s">
        <v>4038</v>
      </c>
      <c r="E159" s="1" t="s">
        <v>4039</v>
      </c>
      <c r="F159" s="1" t="s">
        <v>42</v>
      </c>
      <c r="G159" s="1" t="s">
        <v>56</v>
      </c>
      <c r="H159" s="1" t="s">
        <v>4040</v>
      </c>
      <c r="I159" s="1" t="s">
        <v>4041</v>
      </c>
      <c r="J159" s="1" t="s">
        <v>4042</v>
      </c>
      <c r="K159" s="1">
        <v>2023</v>
      </c>
      <c r="L159" s="1" t="s">
        <v>4055</v>
      </c>
      <c r="M159" s="1" t="str">
        <f>HYPERLINK("http://dx.doi.org/10.1016/j.scs.2023.104876","http://dx.doi.org/10.1016/j.scs.2023.104876")</f>
        <v>http://dx.doi.org/10.1016/j.scs.2023.104876</v>
      </c>
    </row>
    <row r="160" spans="1:13" x14ac:dyDescent="0.25">
      <c r="A160" s="1">
        <v>185</v>
      </c>
      <c r="B160" s="1" t="s">
        <v>5450</v>
      </c>
      <c r="C160" s="1" t="s">
        <v>5451</v>
      </c>
      <c r="D160" s="1" t="s">
        <v>5452</v>
      </c>
      <c r="E160" s="1" t="s">
        <v>5453</v>
      </c>
      <c r="F160" s="1" t="s">
        <v>42</v>
      </c>
      <c r="G160" s="1" t="s">
        <v>56</v>
      </c>
      <c r="H160" s="1" t="s">
        <v>5454</v>
      </c>
      <c r="I160" s="1" t="s">
        <v>5455</v>
      </c>
      <c r="J160" s="1" t="s">
        <v>5456</v>
      </c>
      <c r="K160" s="1">
        <v>2023</v>
      </c>
      <c r="L160" s="1" t="s">
        <v>5470</v>
      </c>
      <c r="M160" s="1" t="str">
        <f>HYPERLINK("http://dx.doi.org/10.1029/2022GL100005","http://dx.doi.org/10.1029/2022GL100005")</f>
        <v>http://dx.doi.org/10.1029/2022GL100005</v>
      </c>
    </row>
    <row r="161" spans="1:13" x14ac:dyDescent="0.25">
      <c r="A161" s="1">
        <v>187</v>
      </c>
      <c r="B161" s="1" t="s">
        <v>10694</v>
      </c>
      <c r="C161" s="1" t="s">
        <v>10695</v>
      </c>
      <c r="D161" s="1" t="s">
        <v>10696</v>
      </c>
      <c r="E161" s="1" t="s">
        <v>2324</v>
      </c>
      <c r="F161" s="1" t="s">
        <v>42</v>
      </c>
      <c r="G161" s="1" t="s">
        <v>56</v>
      </c>
      <c r="H161" s="1" t="s">
        <v>1507</v>
      </c>
      <c r="I161" s="1" t="s">
        <v>10697</v>
      </c>
      <c r="J161" s="1" t="s">
        <v>10698</v>
      </c>
      <c r="K161" s="1">
        <v>2019</v>
      </c>
      <c r="L161" s="1" t="s">
        <v>1507</v>
      </c>
      <c r="M161" s="1" t="s">
        <v>1507</v>
      </c>
    </row>
    <row r="162" spans="1:13" x14ac:dyDescent="0.25">
      <c r="A162" s="1">
        <v>188</v>
      </c>
      <c r="B162" s="1" t="s">
        <v>2724</v>
      </c>
      <c r="C162" s="1" t="s">
        <v>2725</v>
      </c>
      <c r="D162" s="1" t="s">
        <v>1298</v>
      </c>
      <c r="E162" s="1" t="s">
        <v>2726</v>
      </c>
      <c r="F162" s="1" t="s">
        <v>42</v>
      </c>
      <c r="G162" s="1" t="s">
        <v>1509</v>
      </c>
      <c r="H162" s="1" t="s">
        <v>1305</v>
      </c>
      <c r="I162" s="1" t="s">
        <v>1507</v>
      </c>
      <c r="J162" s="1" t="s">
        <v>2727</v>
      </c>
      <c r="K162" s="1">
        <v>2023</v>
      </c>
      <c r="L162" s="1" t="s">
        <v>1301</v>
      </c>
      <c r="M162" s="1" t="str">
        <f>HYPERLINK("http://dx.doi.org/10.1136/bjo-2023-324091","http://dx.doi.org/10.1136/bjo-2023-324091")</f>
        <v>http://dx.doi.org/10.1136/bjo-2023-324091</v>
      </c>
    </row>
    <row r="163" spans="1:13" x14ac:dyDescent="0.25">
      <c r="A163" s="1">
        <v>189</v>
      </c>
      <c r="B163" s="1" t="s">
        <v>5841</v>
      </c>
      <c r="C163" s="1" t="s">
        <v>5842</v>
      </c>
      <c r="D163" s="1" t="s">
        <v>5843</v>
      </c>
      <c r="E163" s="1" t="s">
        <v>5844</v>
      </c>
      <c r="F163" s="1" t="s">
        <v>42</v>
      </c>
      <c r="G163" s="1" t="s">
        <v>5552</v>
      </c>
      <c r="H163" s="1" t="s">
        <v>5848</v>
      </c>
      <c r="I163" s="1" t="s">
        <v>1507</v>
      </c>
      <c r="J163" s="1" t="s">
        <v>5849</v>
      </c>
      <c r="K163" s="1">
        <v>2023</v>
      </c>
      <c r="L163" s="1" t="s">
        <v>5859</v>
      </c>
      <c r="M163" s="1" t="str">
        <f>HYPERLINK("http://dx.doi.org/10.1145/3599696.3612895","http://dx.doi.org/10.1145/3599696.3612895")</f>
        <v>http://dx.doi.org/10.1145/3599696.3612895</v>
      </c>
    </row>
    <row r="164" spans="1:13" x14ac:dyDescent="0.25">
      <c r="A164" s="1">
        <v>190</v>
      </c>
      <c r="B164" s="1" t="s">
        <v>4314</v>
      </c>
      <c r="C164" s="1" t="s">
        <v>4315</v>
      </c>
      <c r="D164" s="1" t="s">
        <v>4316</v>
      </c>
      <c r="E164" s="1" t="s">
        <v>4317</v>
      </c>
      <c r="F164" s="1" t="s">
        <v>42</v>
      </c>
      <c r="G164" s="1" t="s">
        <v>56</v>
      </c>
      <c r="H164" s="1" t="s">
        <v>4318</v>
      </c>
      <c r="I164" s="1" t="s">
        <v>4319</v>
      </c>
      <c r="J164" s="1" t="s">
        <v>4320</v>
      </c>
      <c r="K164" s="1">
        <v>2023</v>
      </c>
      <c r="L164" s="1" t="s">
        <v>4337</v>
      </c>
      <c r="M164" s="1" t="str">
        <f>HYPERLINK("http://dx.doi.org/10.1097/YPG.0000000000000339","http://dx.doi.org/10.1097/YPG.0000000000000339")</f>
        <v>http://dx.doi.org/10.1097/YPG.0000000000000339</v>
      </c>
    </row>
    <row r="165" spans="1:13" x14ac:dyDescent="0.25">
      <c r="A165" s="1">
        <v>191</v>
      </c>
      <c r="B165" s="1" t="s">
        <v>5862</v>
      </c>
      <c r="C165" s="1" t="s">
        <v>5863</v>
      </c>
      <c r="D165" s="1" t="s">
        <v>5864</v>
      </c>
      <c r="E165" s="1" t="s">
        <v>5865</v>
      </c>
      <c r="F165" s="1" t="s">
        <v>42</v>
      </c>
      <c r="G165" s="1" t="s">
        <v>56</v>
      </c>
      <c r="H165" s="1" t="s">
        <v>5866</v>
      </c>
      <c r="I165" s="1" t="s">
        <v>1507</v>
      </c>
      <c r="J165" s="1" t="s">
        <v>5867</v>
      </c>
      <c r="K165" s="1">
        <v>2023</v>
      </c>
      <c r="L165" s="1" t="s">
        <v>5879</v>
      </c>
      <c r="M165" s="1" t="str">
        <f>HYPERLINK("http://dx.doi.org/10.2196/49995","http://dx.doi.org/10.2196/49995")</f>
        <v>http://dx.doi.org/10.2196/49995</v>
      </c>
    </row>
    <row r="166" spans="1:13" x14ac:dyDescent="0.25">
      <c r="A166" s="1">
        <v>192</v>
      </c>
      <c r="B166" s="1" t="s">
        <v>4342</v>
      </c>
      <c r="C166" s="1" t="s">
        <v>4343</v>
      </c>
      <c r="D166" s="1" t="s">
        <v>173</v>
      </c>
      <c r="E166" s="1" t="s">
        <v>4344</v>
      </c>
      <c r="F166" s="1" t="s">
        <v>42</v>
      </c>
      <c r="G166" s="1" t="s">
        <v>56</v>
      </c>
      <c r="H166" s="1" t="s">
        <v>4345</v>
      </c>
      <c r="I166" s="1" t="s">
        <v>1507</v>
      </c>
      <c r="J166" s="1" t="s">
        <v>4346</v>
      </c>
      <c r="K166" s="1">
        <v>2023</v>
      </c>
      <c r="L166" s="1" t="s">
        <v>175</v>
      </c>
      <c r="M166" s="1" t="str">
        <f>HYPERLINK("http://dx.doi.org/10.3390/mti7080081","http://dx.doi.org/10.3390/mti7080081")</f>
        <v>http://dx.doi.org/10.3390/mti7080081</v>
      </c>
    </row>
    <row r="167" spans="1:13" x14ac:dyDescent="0.25">
      <c r="A167" s="1">
        <v>193</v>
      </c>
      <c r="B167" s="1" t="s">
        <v>10067</v>
      </c>
      <c r="C167" s="1" t="s">
        <v>10068</v>
      </c>
      <c r="D167" s="1" t="s">
        <v>10069</v>
      </c>
      <c r="E167" s="1" t="s">
        <v>10070</v>
      </c>
      <c r="F167" s="1" t="s">
        <v>42</v>
      </c>
      <c r="G167" s="1" t="s">
        <v>56</v>
      </c>
      <c r="H167" s="1" t="s">
        <v>10071</v>
      </c>
      <c r="I167" s="1" t="s">
        <v>10072</v>
      </c>
      <c r="J167" s="1" t="s">
        <v>10073</v>
      </c>
      <c r="K167" s="1">
        <v>2020</v>
      </c>
      <c r="L167" s="1" t="s">
        <v>10087</v>
      </c>
      <c r="M167" s="1" t="str">
        <f>HYPERLINK("http://dx.doi.org/10.1017/S0021223719000220","http://dx.doi.org/10.1017/S0021223719000220")</f>
        <v>http://dx.doi.org/10.1017/S0021223719000220</v>
      </c>
    </row>
    <row r="168" spans="1:13" x14ac:dyDescent="0.25">
      <c r="A168" s="1">
        <v>195</v>
      </c>
      <c r="B168" s="1" t="s">
        <v>8900</v>
      </c>
      <c r="C168" s="1" t="s">
        <v>8901</v>
      </c>
      <c r="D168" s="1" t="s">
        <v>8902</v>
      </c>
      <c r="E168" s="1" t="s">
        <v>8903</v>
      </c>
      <c r="F168" s="1" t="s">
        <v>42</v>
      </c>
      <c r="G168" s="1" t="s">
        <v>56</v>
      </c>
      <c r="H168" s="1" t="s">
        <v>8904</v>
      </c>
      <c r="I168" s="1" t="s">
        <v>8905</v>
      </c>
      <c r="J168" s="1" t="s">
        <v>8906</v>
      </c>
      <c r="K168" s="1">
        <v>2021</v>
      </c>
      <c r="L168" s="1" t="s">
        <v>8917</v>
      </c>
      <c r="M168" s="1" t="str">
        <f>HYPERLINK("http://dx.doi.org/10.1021/acsnano.0c10897","http://dx.doi.org/10.1021/acsnano.0c10897")</f>
        <v>http://dx.doi.org/10.1021/acsnano.0c10897</v>
      </c>
    </row>
    <row r="169" spans="1:13" x14ac:dyDescent="0.25">
      <c r="A169" s="1">
        <v>196</v>
      </c>
      <c r="B169" s="1" t="s">
        <v>2794</v>
      </c>
      <c r="C169" s="1" t="s">
        <v>2795</v>
      </c>
      <c r="D169" s="1" t="s">
        <v>2796</v>
      </c>
      <c r="E169" s="1" t="s">
        <v>1617</v>
      </c>
      <c r="F169" s="1" t="s">
        <v>42</v>
      </c>
      <c r="G169" s="1" t="s">
        <v>56</v>
      </c>
      <c r="H169" s="1" t="s">
        <v>2797</v>
      </c>
      <c r="I169" s="1" t="s">
        <v>1507</v>
      </c>
      <c r="J169" s="1" t="s">
        <v>2798</v>
      </c>
      <c r="K169" s="1">
        <v>2023</v>
      </c>
      <c r="L169" s="1" t="s">
        <v>2805</v>
      </c>
      <c r="M169" s="1" t="str">
        <f>HYPERLINK("http://dx.doi.org/10.3390/electronics12224694","http://dx.doi.org/10.3390/electronics12224694")</f>
        <v>http://dx.doi.org/10.3390/electronics12224694</v>
      </c>
    </row>
    <row r="170" spans="1:13" x14ac:dyDescent="0.25">
      <c r="A170" s="1">
        <v>197</v>
      </c>
      <c r="B170" s="1" t="s">
        <v>14078</v>
      </c>
      <c r="C170" s="1" t="s">
        <v>14079</v>
      </c>
      <c r="D170" s="1" t="s">
        <v>14080</v>
      </c>
      <c r="E170" s="1" t="s">
        <v>14081</v>
      </c>
      <c r="F170" s="1" t="s">
        <v>42</v>
      </c>
      <c r="G170" s="1" t="s">
        <v>56</v>
      </c>
      <c r="H170" s="1" t="s">
        <v>14082</v>
      </c>
      <c r="I170" s="1" t="s">
        <v>14083</v>
      </c>
      <c r="J170" s="1" t="s">
        <v>14084</v>
      </c>
      <c r="K170" s="1">
        <v>2023</v>
      </c>
      <c r="L170" s="1" t="s">
        <v>14098</v>
      </c>
      <c r="M170" s="1" t="str">
        <f>HYPERLINK("http://dx.doi.org/10.1016/j.freeradbiomed.2023.10.393","http://dx.doi.org/10.1016/j.freeradbiomed.2023.10.393")</f>
        <v>http://dx.doi.org/10.1016/j.freeradbiomed.2023.10.393</v>
      </c>
    </row>
    <row r="171" spans="1:13" x14ac:dyDescent="0.25">
      <c r="A171" s="1">
        <v>198</v>
      </c>
      <c r="B171" s="1" t="s">
        <v>6944</v>
      </c>
      <c r="C171" s="1" t="s">
        <v>6945</v>
      </c>
      <c r="D171" s="1" t="s">
        <v>6946</v>
      </c>
      <c r="E171" s="1" t="s">
        <v>6947</v>
      </c>
      <c r="F171" s="1" t="s">
        <v>42</v>
      </c>
      <c r="G171" s="1" t="s">
        <v>56</v>
      </c>
      <c r="H171" s="1" t="s">
        <v>6948</v>
      </c>
      <c r="I171" s="1" t="s">
        <v>1507</v>
      </c>
      <c r="J171" s="1" t="s">
        <v>6949</v>
      </c>
      <c r="K171" s="1">
        <v>2022</v>
      </c>
      <c r="L171" s="1" t="s">
        <v>6965</v>
      </c>
      <c r="M171" s="1" t="str">
        <f>HYPERLINK("http://dx.doi.org/10.26342/2022-69-13","http://dx.doi.org/10.26342/2022-69-13")</f>
        <v>http://dx.doi.org/10.26342/2022-69-13</v>
      </c>
    </row>
    <row r="172" spans="1:13" x14ac:dyDescent="0.25">
      <c r="A172" s="1">
        <v>199</v>
      </c>
      <c r="B172" s="1" t="s">
        <v>4940</v>
      </c>
      <c r="C172" s="1" t="s">
        <v>4941</v>
      </c>
      <c r="D172" s="1" t="s">
        <v>4942</v>
      </c>
      <c r="E172" s="1" t="s">
        <v>4943</v>
      </c>
      <c r="F172" s="1" t="s">
        <v>42</v>
      </c>
      <c r="G172" s="1" t="s">
        <v>56</v>
      </c>
      <c r="H172" s="1" t="s">
        <v>4944</v>
      </c>
      <c r="I172" s="1" t="s">
        <v>4945</v>
      </c>
      <c r="J172" s="1" t="s">
        <v>4946</v>
      </c>
      <c r="K172" s="1">
        <v>2023</v>
      </c>
      <c r="L172" s="1" t="s">
        <v>4960</v>
      </c>
      <c r="M172" s="1" t="str">
        <f>HYPERLINK("http://dx.doi.org/10.5551/jat.64081","http://dx.doi.org/10.5551/jat.64081")</f>
        <v>http://dx.doi.org/10.5551/jat.64081</v>
      </c>
    </row>
    <row r="173" spans="1:13" x14ac:dyDescent="0.25">
      <c r="A173" s="1">
        <v>200</v>
      </c>
      <c r="B173" s="1" t="s">
        <v>10492</v>
      </c>
      <c r="C173" s="1" t="s">
        <v>10493</v>
      </c>
      <c r="D173" s="1" t="s">
        <v>10494</v>
      </c>
      <c r="E173" s="1" t="s">
        <v>7943</v>
      </c>
      <c r="F173" s="1" t="s">
        <v>42</v>
      </c>
      <c r="G173" s="1" t="s">
        <v>56</v>
      </c>
      <c r="H173" s="1" t="s">
        <v>1507</v>
      </c>
      <c r="I173" s="1" t="s">
        <v>10495</v>
      </c>
      <c r="J173" s="1" t="s">
        <v>10496</v>
      </c>
      <c r="K173" s="1">
        <v>2019</v>
      </c>
      <c r="L173" s="1" t="s">
        <v>10505</v>
      </c>
      <c r="M173" s="1" t="str">
        <f>HYPERLINK("http://dx.doi.org/10.1039/c9cp04032c","http://dx.doi.org/10.1039/c9cp04032c")</f>
        <v>http://dx.doi.org/10.1039/c9cp04032c</v>
      </c>
    </row>
    <row r="174" spans="1:13" x14ac:dyDescent="0.25">
      <c r="A174" s="1">
        <v>201</v>
      </c>
      <c r="B174" s="1" t="s">
        <v>8969</v>
      </c>
      <c r="C174" s="1" t="s">
        <v>8970</v>
      </c>
      <c r="D174" s="1" t="s">
        <v>8971</v>
      </c>
      <c r="E174" s="1" t="s">
        <v>8972</v>
      </c>
      <c r="F174" s="1" t="s">
        <v>42</v>
      </c>
      <c r="G174" s="1" t="s">
        <v>56</v>
      </c>
      <c r="H174" s="1" t="s">
        <v>8973</v>
      </c>
      <c r="I174" s="1" t="s">
        <v>8974</v>
      </c>
      <c r="J174" s="1" t="s">
        <v>8975</v>
      </c>
      <c r="K174" s="1">
        <v>2021</v>
      </c>
      <c r="L174" s="1" t="s">
        <v>8986</v>
      </c>
      <c r="M174" s="1" t="str">
        <f>HYPERLINK("http://dx.doi.org/10.3390/min11030323","http://dx.doi.org/10.3390/min11030323")</f>
        <v>http://dx.doi.org/10.3390/min11030323</v>
      </c>
    </row>
    <row r="175" spans="1:13" x14ac:dyDescent="0.25">
      <c r="A175" s="1">
        <v>202</v>
      </c>
      <c r="B175" s="1" t="s">
        <v>14983</v>
      </c>
      <c r="C175" s="1" t="s">
        <v>14985</v>
      </c>
      <c r="D175" s="1" t="s">
        <v>14986</v>
      </c>
      <c r="E175" s="1" t="s">
        <v>14987</v>
      </c>
      <c r="F175" s="1" t="s">
        <v>42</v>
      </c>
      <c r="G175" s="1" t="s">
        <v>5552</v>
      </c>
      <c r="H175" s="1" t="s">
        <v>14993</v>
      </c>
      <c r="I175" s="1" t="s">
        <v>1507</v>
      </c>
      <c r="J175" s="1" t="s">
        <v>14994</v>
      </c>
      <c r="K175" s="1">
        <v>2023</v>
      </c>
      <c r="L175" s="1" t="s">
        <v>15005</v>
      </c>
      <c r="M175" s="1" t="str">
        <f>HYPERLINK("http://dx.doi.org/10.1109/ICDMW60847.2023.00035","http://dx.doi.org/10.1109/ICDMW60847.2023.00035")</f>
        <v>http://dx.doi.org/10.1109/ICDMW60847.2023.00035</v>
      </c>
    </row>
    <row r="176" spans="1:13" x14ac:dyDescent="0.25">
      <c r="A176" s="1">
        <v>204</v>
      </c>
      <c r="B176" s="1" t="s">
        <v>5392</v>
      </c>
      <c r="C176" s="1" t="s">
        <v>5393</v>
      </c>
      <c r="D176" s="1" t="s">
        <v>5394</v>
      </c>
      <c r="E176" s="1" t="s">
        <v>5395</v>
      </c>
      <c r="F176" s="1" t="s">
        <v>42</v>
      </c>
      <c r="G176" s="1" t="s">
        <v>56</v>
      </c>
      <c r="H176" s="1" t="s">
        <v>5396</v>
      </c>
      <c r="I176" s="1" t="s">
        <v>5397</v>
      </c>
      <c r="J176" s="1" t="s">
        <v>5398</v>
      </c>
      <c r="K176" s="1">
        <v>2023</v>
      </c>
      <c r="L176" s="1" t="s">
        <v>5409</v>
      </c>
      <c r="M176" s="1" t="str">
        <f>HYPERLINK("http://dx.doi.org/10.1016/j.redox.2023.102614","http://dx.doi.org/10.1016/j.redox.2023.102614")</f>
        <v>http://dx.doi.org/10.1016/j.redox.2023.102614</v>
      </c>
    </row>
    <row r="177" spans="1:13" x14ac:dyDescent="0.25">
      <c r="A177" s="1">
        <v>205</v>
      </c>
      <c r="B177" s="1" t="s">
        <v>15764</v>
      </c>
      <c r="C177" s="1" t="s">
        <v>9193</v>
      </c>
      <c r="D177" s="1" t="s">
        <v>9194</v>
      </c>
      <c r="E177" s="1" t="s">
        <v>9195</v>
      </c>
      <c r="F177" s="1" t="s">
        <v>42</v>
      </c>
      <c r="G177" s="1" t="s">
        <v>56</v>
      </c>
      <c r="H177" s="1" t="s">
        <v>9196</v>
      </c>
      <c r="I177" s="1" t="s">
        <v>9197</v>
      </c>
      <c r="J177" s="1" t="s">
        <v>9198</v>
      </c>
      <c r="K177" s="1">
        <v>2021</v>
      </c>
      <c r="L177" s="1" t="s">
        <v>9210</v>
      </c>
      <c r="M177" s="1" t="str">
        <f>HYPERLINK("http://dx.doi.org/10.3390/antiox10010135","http://dx.doi.org/10.3390/antiox10010135")</f>
        <v>http://dx.doi.org/10.3390/antiox10010135</v>
      </c>
    </row>
    <row r="178" spans="1:13" x14ac:dyDescent="0.25">
      <c r="A178" s="1">
        <v>206</v>
      </c>
      <c r="B178" s="1" t="s">
        <v>8858</v>
      </c>
      <c r="C178" s="1" t="s">
        <v>8859</v>
      </c>
      <c r="D178" s="1" t="s">
        <v>8860</v>
      </c>
      <c r="E178" s="1" t="s">
        <v>8861</v>
      </c>
      <c r="F178" s="1" t="s">
        <v>42</v>
      </c>
      <c r="G178" s="1" t="s">
        <v>56</v>
      </c>
      <c r="H178" s="1" t="s">
        <v>8862</v>
      </c>
      <c r="I178" s="1" t="s">
        <v>1507</v>
      </c>
      <c r="J178" s="1" t="s">
        <v>8863</v>
      </c>
      <c r="K178" s="1">
        <v>2021</v>
      </c>
      <c r="L178" s="1" t="s">
        <v>8875</v>
      </c>
      <c r="M178" s="1" t="str">
        <f>HYPERLINK("http://dx.doi.org/10.1007/s40520-021-01835-w","http://dx.doi.org/10.1007/s40520-021-01835-w")</f>
        <v>http://dx.doi.org/10.1007/s40520-021-01835-w</v>
      </c>
    </row>
    <row r="179" spans="1:13" x14ac:dyDescent="0.25">
      <c r="A179" s="1">
        <v>207</v>
      </c>
      <c r="B179" s="1" t="s">
        <v>5883</v>
      </c>
      <c r="C179" s="1" t="s">
        <v>5885</v>
      </c>
      <c r="D179" s="1" t="s">
        <v>5886</v>
      </c>
      <c r="E179" s="1" t="s">
        <v>5887</v>
      </c>
      <c r="F179" s="1" t="s">
        <v>42</v>
      </c>
      <c r="G179" s="1" t="s">
        <v>5888</v>
      </c>
      <c r="H179" s="1" t="s">
        <v>1507</v>
      </c>
      <c r="I179" s="1" t="s">
        <v>1507</v>
      </c>
      <c r="J179" s="1" t="s">
        <v>1507</v>
      </c>
      <c r="K179" s="1">
        <v>2023</v>
      </c>
      <c r="L179" s="1" t="s">
        <v>1507</v>
      </c>
      <c r="M179" s="1" t="s">
        <v>1507</v>
      </c>
    </row>
    <row r="180" spans="1:13" x14ac:dyDescent="0.25">
      <c r="A180" s="1">
        <v>208</v>
      </c>
      <c r="B180" s="1" t="s">
        <v>1655</v>
      </c>
      <c r="C180" s="1" t="s">
        <v>1656</v>
      </c>
      <c r="D180" s="1" t="s">
        <v>559</v>
      </c>
      <c r="E180" s="1" t="s">
        <v>1657</v>
      </c>
      <c r="F180" s="1" t="s">
        <v>42</v>
      </c>
      <c r="G180" s="1" t="s">
        <v>56</v>
      </c>
      <c r="H180" s="1" t="s">
        <v>1658</v>
      </c>
      <c r="I180" s="1" t="s">
        <v>1659</v>
      </c>
      <c r="J180" s="1" t="s">
        <v>1660</v>
      </c>
      <c r="K180" s="1">
        <v>2023</v>
      </c>
      <c r="L180" s="1" t="s">
        <v>562</v>
      </c>
      <c r="M180" s="1" t="str">
        <f>HYPERLINK("http://dx.doi.org/10.2196/51580","http://dx.doi.org/10.2196/51580")</f>
        <v>http://dx.doi.org/10.2196/51580</v>
      </c>
    </row>
    <row r="181" spans="1:13" x14ac:dyDescent="0.25">
      <c r="A181" s="1">
        <v>209</v>
      </c>
      <c r="B181" s="1" t="s">
        <v>11342</v>
      </c>
      <c r="C181" s="1" t="s">
        <v>11343</v>
      </c>
      <c r="D181" s="1" t="s">
        <v>11344</v>
      </c>
      <c r="E181" s="1" t="s">
        <v>11345</v>
      </c>
      <c r="F181" s="1" t="s">
        <v>42</v>
      </c>
      <c r="G181" s="1" t="s">
        <v>56</v>
      </c>
      <c r="H181" s="1" t="s">
        <v>11346</v>
      </c>
      <c r="I181" s="1" t="s">
        <v>1507</v>
      </c>
      <c r="J181" s="1" t="s">
        <v>11347</v>
      </c>
      <c r="K181" s="1">
        <v>2019</v>
      </c>
      <c r="L181" s="1" t="s">
        <v>11360</v>
      </c>
      <c r="M181" s="1" t="str">
        <f>HYPERLINK("http://dx.doi.org/10.5334/tilr.135","http://dx.doi.org/10.5334/tilr.135")</f>
        <v>http://dx.doi.org/10.5334/tilr.135</v>
      </c>
    </row>
    <row r="182" spans="1:13" x14ac:dyDescent="0.25">
      <c r="A182" s="1">
        <v>210</v>
      </c>
      <c r="B182" s="1" t="s">
        <v>2197</v>
      </c>
      <c r="C182" s="1" t="s">
        <v>2198</v>
      </c>
      <c r="D182" s="1" t="s">
        <v>2199</v>
      </c>
      <c r="E182" s="1" t="s">
        <v>2200</v>
      </c>
      <c r="F182" s="1" t="s">
        <v>42</v>
      </c>
      <c r="G182" s="1" t="s">
        <v>56</v>
      </c>
      <c r="H182" s="1" t="s">
        <v>2201</v>
      </c>
      <c r="I182" s="1" t="s">
        <v>2202</v>
      </c>
      <c r="J182" s="1" t="s">
        <v>2203</v>
      </c>
      <c r="K182" s="1">
        <v>2023</v>
      </c>
      <c r="L182" s="1" t="s">
        <v>2213</v>
      </c>
      <c r="M182" s="1" t="str">
        <f>HYPERLINK("http://dx.doi.org/10.3390/informatics10040089","http://dx.doi.org/10.3390/informatics10040089")</f>
        <v>http://dx.doi.org/10.3390/informatics10040089</v>
      </c>
    </row>
    <row r="183" spans="1:13" x14ac:dyDescent="0.25">
      <c r="A183" s="1">
        <v>212</v>
      </c>
      <c r="B183" s="1" t="s">
        <v>7757</v>
      </c>
      <c r="C183" s="1" t="s">
        <v>7758</v>
      </c>
      <c r="D183" s="1" t="s">
        <v>7759</v>
      </c>
      <c r="E183" s="1" t="s">
        <v>7760</v>
      </c>
      <c r="F183" s="1" t="s">
        <v>42</v>
      </c>
      <c r="G183" s="1" t="s">
        <v>5552</v>
      </c>
      <c r="H183" s="1" t="s">
        <v>7765</v>
      </c>
      <c r="I183" s="1" t="s">
        <v>7766</v>
      </c>
      <c r="J183" s="1" t="s">
        <v>7767</v>
      </c>
      <c r="K183" s="1">
        <v>2022</v>
      </c>
      <c r="L183" s="1" t="s">
        <v>7773</v>
      </c>
      <c r="M183" s="1" t="str">
        <f>HYPERLINK("http://dx.doi.org/10.1145/3517428.3544819","http://dx.doi.org/10.1145/3517428.3544819")</f>
        <v>http://dx.doi.org/10.1145/3517428.3544819</v>
      </c>
    </row>
    <row r="184" spans="1:13" x14ac:dyDescent="0.25">
      <c r="A184" s="1">
        <v>213</v>
      </c>
      <c r="B184" s="1" t="s">
        <v>15008</v>
      </c>
      <c r="C184" s="1" t="s">
        <v>15010</v>
      </c>
      <c r="D184" s="1" t="s">
        <v>15011</v>
      </c>
      <c r="E184" s="1" t="s">
        <v>15012</v>
      </c>
      <c r="F184" s="1" t="s">
        <v>42</v>
      </c>
      <c r="G184" s="1" t="s">
        <v>5552</v>
      </c>
      <c r="H184" s="1" t="s">
        <v>15018</v>
      </c>
      <c r="I184" s="1" t="s">
        <v>1507</v>
      </c>
      <c r="J184" s="1" t="s">
        <v>15019</v>
      </c>
      <c r="K184" s="1">
        <v>2023</v>
      </c>
      <c r="L184" s="1" t="s">
        <v>15028</v>
      </c>
      <c r="M184" s="1" t="str">
        <f>HYPERLINK("http://dx.doi.org/10.3233/FAIA230974","http://dx.doi.org/10.3233/FAIA230974")</f>
        <v>http://dx.doi.org/10.3233/FAIA230974</v>
      </c>
    </row>
    <row r="185" spans="1:13" x14ac:dyDescent="0.25">
      <c r="A185" s="1">
        <v>214</v>
      </c>
      <c r="B185" s="1" t="s">
        <v>10831</v>
      </c>
      <c r="C185" s="1" t="s">
        <v>10832</v>
      </c>
      <c r="D185" s="1" t="s">
        <v>10833</v>
      </c>
      <c r="E185" s="1" t="s">
        <v>10834</v>
      </c>
      <c r="F185" s="1" t="s">
        <v>42</v>
      </c>
      <c r="G185" s="1" t="s">
        <v>56</v>
      </c>
      <c r="H185" s="1" t="s">
        <v>1507</v>
      </c>
      <c r="I185" s="1" t="s">
        <v>10835</v>
      </c>
      <c r="J185" s="1" t="s">
        <v>10836</v>
      </c>
      <c r="K185" s="1">
        <v>2019</v>
      </c>
      <c r="L185" s="1" t="s">
        <v>10848</v>
      </c>
      <c r="M185" s="1" t="str">
        <f>HYPERLINK("http://dx.doi.org/10.1007/s00439-019-02024-6","http://dx.doi.org/10.1007/s00439-019-02024-6")</f>
        <v>http://dx.doi.org/10.1007/s00439-019-02024-6</v>
      </c>
    </row>
    <row r="186" spans="1:13" x14ac:dyDescent="0.25">
      <c r="A186" s="1">
        <v>215</v>
      </c>
      <c r="B186" s="1" t="s">
        <v>3530</v>
      </c>
      <c r="C186" s="1" t="s">
        <v>3531</v>
      </c>
      <c r="D186" s="1" t="s">
        <v>3532</v>
      </c>
      <c r="E186" s="1" t="s">
        <v>3533</v>
      </c>
      <c r="F186" s="1" t="s">
        <v>42</v>
      </c>
      <c r="G186" s="1" t="s">
        <v>56</v>
      </c>
      <c r="H186" s="1" t="s">
        <v>3534</v>
      </c>
      <c r="I186" s="1" t="s">
        <v>3535</v>
      </c>
      <c r="J186" s="1" t="s">
        <v>3536</v>
      </c>
      <c r="K186" s="1">
        <v>2023</v>
      </c>
      <c r="L186" s="1" t="s">
        <v>3547</v>
      </c>
      <c r="M186" s="1" t="str">
        <f>HYPERLINK("http://dx.doi.org/10.3390/jpm13101502","http://dx.doi.org/10.3390/jpm13101502")</f>
        <v>http://dx.doi.org/10.3390/jpm13101502</v>
      </c>
    </row>
    <row r="187" spans="1:13" x14ac:dyDescent="0.25">
      <c r="A187" s="1">
        <v>216</v>
      </c>
      <c r="B187" s="1" t="s">
        <v>7560</v>
      </c>
      <c r="C187" s="1" t="s">
        <v>7561</v>
      </c>
      <c r="D187" s="1" t="s">
        <v>7562</v>
      </c>
      <c r="E187" s="1" t="s">
        <v>7563</v>
      </c>
      <c r="F187" s="1" t="s">
        <v>42</v>
      </c>
      <c r="G187" s="1" t="s">
        <v>56</v>
      </c>
      <c r="H187" s="1" t="s">
        <v>1507</v>
      </c>
      <c r="I187" s="1" t="s">
        <v>7564</v>
      </c>
      <c r="J187" s="1" t="s">
        <v>7565</v>
      </c>
      <c r="K187" s="1">
        <v>2022</v>
      </c>
      <c r="L187" s="1" t="s">
        <v>7576</v>
      </c>
      <c r="M187" s="1" t="str">
        <f>HYPERLINK("http://dx.doi.org/10.1038/s41467-022-28420-7","http://dx.doi.org/10.1038/s41467-022-28420-7")</f>
        <v>http://dx.doi.org/10.1038/s41467-022-28420-7</v>
      </c>
    </row>
    <row r="188" spans="1:13" x14ac:dyDescent="0.25">
      <c r="A188" s="1">
        <v>217</v>
      </c>
      <c r="B188" s="1" t="s">
        <v>3995</v>
      </c>
      <c r="C188" s="1" t="s">
        <v>3996</v>
      </c>
      <c r="D188" s="1" t="s">
        <v>3997</v>
      </c>
      <c r="E188" s="1" t="s">
        <v>3998</v>
      </c>
      <c r="F188" s="1" t="s">
        <v>42</v>
      </c>
      <c r="G188" s="1" t="s">
        <v>56</v>
      </c>
      <c r="H188" s="1" t="s">
        <v>3999</v>
      </c>
      <c r="I188" s="1" t="s">
        <v>1507</v>
      </c>
      <c r="J188" s="1" t="s">
        <v>4000</v>
      </c>
      <c r="K188" s="1">
        <v>2023</v>
      </c>
      <c r="L188" s="1" t="s">
        <v>4014</v>
      </c>
      <c r="M188" s="1" t="str">
        <f>HYPERLINK("http://dx.doi.org/10.3855/jidc.18738","http://dx.doi.org/10.3855/jidc.18738")</f>
        <v>http://dx.doi.org/10.3855/jidc.18738</v>
      </c>
    </row>
    <row r="189" spans="1:13" x14ac:dyDescent="0.25">
      <c r="A189" s="1">
        <v>218</v>
      </c>
      <c r="B189" s="1" t="s">
        <v>2520</v>
      </c>
      <c r="C189" s="1" t="s">
        <v>2521</v>
      </c>
      <c r="D189" s="1" t="s">
        <v>2522</v>
      </c>
      <c r="E189" s="1" t="s">
        <v>2523</v>
      </c>
      <c r="F189" s="1" t="s">
        <v>42</v>
      </c>
      <c r="G189" s="1" t="s">
        <v>56</v>
      </c>
      <c r="H189" s="1" t="s">
        <v>1507</v>
      </c>
      <c r="I189" s="1" t="s">
        <v>2524</v>
      </c>
      <c r="J189" s="1" t="s">
        <v>2525</v>
      </c>
      <c r="K189" s="1">
        <v>2023</v>
      </c>
      <c r="L189" s="1" t="s">
        <v>2534</v>
      </c>
      <c r="M189" s="1" t="str">
        <f>HYPERLINK("http://dx.doi.org/10.1021/acs.jpclett.3c02398","http://dx.doi.org/10.1021/acs.jpclett.3c02398")</f>
        <v>http://dx.doi.org/10.1021/acs.jpclett.3c02398</v>
      </c>
    </row>
    <row r="190" spans="1:13" x14ac:dyDescent="0.25">
      <c r="A190" s="1">
        <v>219</v>
      </c>
      <c r="B190" s="1" t="s">
        <v>5902</v>
      </c>
      <c r="C190" s="1" t="s">
        <v>5903</v>
      </c>
      <c r="D190" s="1" t="s">
        <v>5904</v>
      </c>
      <c r="E190" s="1" t="s">
        <v>5905</v>
      </c>
      <c r="F190" s="1" t="s">
        <v>42</v>
      </c>
      <c r="G190" s="1" t="s">
        <v>5552</v>
      </c>
      <c r="H190" s="1" t="s">
        <v>1507</v>
      </c>
      <c r="I190" s="1" t="s">
        <v>1507</v>
      </c>
      <c r="J190" s="1" t="s">
        <v>5911</v>
      </c>
      <c r="K190" s="1">
        <v>2023</v>
      </c>
      <c r="L190" s="1" t="s">
        <v>5922</v>
      </c>
      <c r="M190" s="1" t="str">
        <f>HYPERLINK("http://dx.doi.org/10.1109/CVPR52729.2023.01046","http://dx.doi.org/10.1109/CVPR52729.2023.01046")</f>
        <v>http://dx.doi.org/10.1109/CVPR52729.2023.01046</v>
      </c>
    </row>
    <row r="191" spans="1:13" x14ac:dyDescent="0.25">
      <c r="A191" s="1">
        <v>220</v>
      </c>
      <c r="B191" s="1" t="s">
        <v>2457</v>
      </c>
      <c r="C191" s="1" t="s">
        <v>2458</v>
      </c>
      <c r="D191" s="1" t="s">
        <v>293</v>
      </c>
      <c r="E191" s="1" t="s">
        <v>2459</v>
      </c>
      <c r="F191" s="1" t="s">
        <v>42</v>
      </c>
      <c r="G191" s="1" t="s">
        <v>56</v>
      </c>
      <c r="H191" s="1" t="s">
        <v>2460</v>
      </c>
      <c r="I191" s="1" t="s">
        <v>2461</v>
      </c>
      <c r="J191" s="1" t="s">
        <v>2462</v>
      </c>
      <c r="K191" s="1">
        <v>2023</v>
      </c>
      <c r="L191" s="1" t="s">
        <v>295</v>
      </c>
      <c r="M191" s="1" t="str">
        <f>HYPERLINK("http://dx.doi.org/10.1021/acs.jchemed.3c00505","http://dx.doi.org/10.1021/acs.jchemed.3c00505")</f>
        <v>http://dx.doi.org/10.1021/acs.jchemed.3c00505</v>
      </c>
    </row>
    <row r="192" spans="1:13" x14ac:dyDescent="0.25">
      <c r="A192" s="1">
        <v>221</v>
      </c>
      <c r="B192" s="1" t="s">
        <v>9637</v>
      </c>
      <c r="C192" s="1" t="s">
        <v>9638</v>
      </c>
      <c r="D192" s="1" t="s">
        <v>9639</v>
      </c>
      <c r="E192" s="1" t="s">
        <v>9640</v>
      </c>
      <c r="F192" s="1" t="s">
        <v>42</v>
      </c>
      <c r="G192" s="1" t="s">
        <v>56</v>
      </c>
      <c r="H192" s="1" t="s">
        <v>1507</v>
      </c>
      <c r="I192" s="1" t="s">
        <v>1507</v>
      </c>
      <c r="J192" s="1" t="s">
        <v>9641</v>
      </c>
      <c r="K192" s="1">
        <v>2020</v>
      </c>
      <c r="L192" s="1" t="s">
        <v>9652</v>
      </c>
      <c r="M192" s="1" t="str">
        <f>HYPERLINK("http://dx.doi.org/10.1038/s41590-020-0773-7","http://dx.doi.org/10.1038/s41590-020-0773-7")</f>
        <v>http://dx.doi.org/10.1038/s41590-020-0773-7</v>
      </c>
    </row>
    <row r="193" spans="1:13" x14ac:dyDescent="0.25">
      <c r="A193" s="1">
        <v>222</v>
      </c>
      <c r="B193" s="1" t="s">
        <v>2142</v>
      </c>
      <c r="C193" s="1" t="s">
        <v>2143</v>
      </c>
      <c r="D193" s="1" t="s">
        <v>531</v>
      </c>
      <c r="E193" s="1" t="s">
        <v>1562</v>
      </c>
      <c r="F193" s="1" t="s">
        <v>42</v>
      </c>
      <c r="G193" s="1" t="s">
        <v>56</v>
      </c>
      <c r="H193" s="1" t="s">
        <v>2144</v>
      </c>
      <c r="I193" s="1" t="s">
        <v>1507</v>
      </c>
      <c r="J193" s="1" t="s">
        <v>2145</v>
      </c>
      <c r="K193" s="1">
        <v>2023</v>
      </c>
      <c r="L193" s="1" t="s">
        <v>532</v>
      </c>
      <c r="M193" s="1" t="str">
        <f>HYPERLINK("http://dx.doi.org/10.3389/feduc.2023.1272229","http://dx.doi.org/10.3389/feduc.2023.1272229")</f>
        <v>http://dx.doi.org/10.3389/feduc.2023.1272229</v>
      </c>
    </row>
    <row r="194" spans="1:13" x14ac:dyDescent="0.25">
      <c r="A194" s="1">
        <v>223</v>
      </c>
      <c r="B194" s="1" t="s">
        <v>3398</v>
      </c>
      <c r="C194" s="1" t="s">
        <v>3399</v>
      </c>
      <c r="D194" s="1" t="s">
        <v>3400</v>
      </c>
      <c r="E194" s="1" t="s">
        <v>3401</v>
      </c>
      <c r="F194" s="1" t="s">
        <v>42</v>
      </c>
      <c r="G194" s="1" t="s">
        <v>56</v>
      </c>
      <c r="H194" s="1" t="s">
        <v>1507</v>
      </c>
      <c r="I194" s="1" t="s">
        <v>3402</v>
      </c>
      <c r="J194" s="1" t="s">
        <v>3403</v>
      </c>
      <c r="K194" s="1">
        <v>2023</v>
      </c>
      <c r="L194" s="1" t="s">
        <v>3416</v>
      </c>
      <c r="M194" s="1" t="str">
        <f>HYPERLINK("http://dx.doi.org/10.1038/s43588-023-00527-x","http://dx.doi.org/10.1038/s43588-023-00527-x")</f>
        <v>http://dx.doi.org/10.1038/s43588-023-00527-x</v>
      </c>
    </row>
    <row r="195" spans="1:13" x14ac:dyDescent="0.25">
      <c r="A195" s="1">
        <v>224</v>
      </c>
      <c r="B195" s="1" t="s">
        <v>5925</v>
      </c>
      <c r="C195" s="1" t="s">
        <v>5926</v>
      </c>
      <c r="D195" s="1" t="s">
        <v>5927</v>
      </c>
      <c r="E195" s="1" t="s">
        <v>5740</v>
      </c>
      <c r="F195" s="1" t="s">
        <v>42</v>
      </c>
      <c r="G195" s="1" t="s">
        <v>56</v>
      </c>
      <c r="H195" s="1" t="s">
        <v>5928</v>
      </c>
      <c r="I195" s="1" t="s">
        <v>5929</v>
      </c>
      <c r="J195" s="1" t="s">
        <v>5930</v>
      </c>
      <c r="K195" s="1">
        <v>2023</v>
      </c>
      <c r="L195" s="1" t="s">
        <v>1171</v>
      </c>
      <c r="M195" s="1" t="str">
        <f>HYPERLINK("http://dx.doi.org/10.53761/1.20.7.08","http://dx.doi.org/10.53761/1.20.7.08")</f>
        <v>http://dx.doi.org/10.53761/1.20.7.08</v>
      </c>
    </row>
    <row r="196" spans="1:13" x14ac:dyDescent="0.25">
      <c r="A196" s="1">
        <v>226</v>
      </c>
      <c r="B196" s="1" t="s">
        <v>7338</v>
      </c>
      <c r="C196" s="1" t="s">
        <v>7339</v>
      </c>
      <c r="D196" s="1" t="s">
        <v>7340</v>
      </c>
      <c r="E196" s="1" t="s">
        <v>7341</v>
      </c>
      <c r="F196" s="1" t="s">
        <v>42</v>
      </c>
      <c r="G196" s="1" t="s">
        <v>56</v>
      </c>
      <c r="H196" s="1" t="s">
        <v>7342</v>
      </c>
      <c r="I196" s="1" t="s">
        <v>7343</v>
      </c>
      <c r="J196" s="1" t="s">
        <v>7344</v>
      </c>
      <c r="K196" s="1">
        <v>2022</v>
      </c>
      <c r="L196" s="1" t="s">
        <v>7356</v>
      </c>
      <c r="M196" s="1" t="str">
        <f>HYPERLINK("http://dx.doi.org/10.1007/s00214-022-02886-6","http://dx.doi.org/10.1007/s00214-022-02886-6")</f>
        <v>http://dx.doi.org/10.1007/s00214-022-02886-6</v>
      </c>
    </row>
    <row r="197" spans="1:13" x14ac:dyDescent="0.25">
      <c r="A197" s="1">
        <v>227</v>
      </c>
      <c r="B197" s="1" t="s">
        <v>5936</v>
      </c>
      <c r="C197" s="1" t="s">
        <v>5937</v>
      </c>
      <c r="D197" s="1" t="s">
        <v>5938</v>
      </c>
      <c r="E197" s="1" t="s">
        <v>5939</v>
      </c>
      <c r="F197" s="1" t="s">
        <v>42</v>
      </c>
      <c r="G197" s="1" t="s">
        <v>5552</v>
      </c>
      <c r="H197" s="1" t="s">
        <v>5943</v>
      </c>
      <c r="I197" s="1" t="s">
        <v>1507</v>
      </c>
      <c r="J197" s="1" t="s">
        <v>5944</v>
      </c>
      <c r="K197" s="1">
        <v>2023</v>
      </c>
      <c r="L197" s="1" t="s">
        <v>5953</v>
      </c>
      <c r="M197" s="1" t="str">
        <f>HYPERLINK("http://dx.doi.org/10.1145/3593013.3594052","http://dx.doi.org/10.1145/3593013.3594052")</f>
        <v>http://dx.doi.org/10.1145/3593013.3594052</v>
      </c>
    </row>
    <row r="198" spans="1:13" x14ac:dyDescent="0.25">
      <c r="A198" s="1">
        <v>228</v>
      </c>
      <c r="B198" s="1" t="s">
        <v>7778</v>
      </c>
      <c r="C198" s="1" t="s">
        <v>7780</v>
      </c>
      <c r="D198" s="1" t="s">
        <v>7781</v>
      </c>
      <c r="E198" s="1" t="s">
        <v>7782</v>
      </c>
      <c r="F198" s="1" t="s">
        <v>42</v>
      </c>
      <c r="G198" s="1" t="s">
        <v>5888</v>
      </c>
      <c r="H198" s="1" t="s">
        <v>1507</v>
      </c>
      <c r="I198" s="1" t="s">
        <v>7784</v>
      </c>
      <c r="J198" s="1" t="s">
        <v>7785</v>
      </c>
      <c r="K198" s="1">
        <v>2022</v>
      </c>
      <c r="L198" s="1" t="s">
        <v>7794</v>
      </c>
      <c r="M198" s="1" t="str">
        <f>HYPERLINK("http://dx.doi.org/10.4324/9781003025115-4","http://dx.doi.org/10.4324/9781003025115-4")</f>
        <v>http://dx.doi.org/10.4324/9781003025115-4</v>
      </c>
    </row>
    <row r="199" spans="1:13" x14ac:dyDescent="0.25">
      <c r="A199" s="1">
        <v>229</v>
      </c>
      <c r="B199" s="1" t="s">
        <v>3940</v>
      </c>
      <c r="C199" s="1" t="s">
        <v>3941</v>
      </c>
      <c r="D199" s="1" t="s">
        <v>3942</v>
      </c>
      <c r="E199" s="1" t="s">
        <v>2982</v>
      </c>
      <c r="F199" s="1" t="s">
        <v>42</v>
      </c>
      <c r="G199" s="1" t="s">
        <v>1509</v>
      </c>
      <c r="H199" s="1" t="s">
        <v>3943</v>
      </c>
      <c r="I199" s="1" t="s">
        <v>1507</v>
      </c>
      <c r="J199" s="1" t="s">
        <v>3944</v>
      </c>
      <c r="K199" s="1">
        <v>2023</v>
      </c>
      <c r="L199" s="1" t="s">
        <v>3953</v>
      </c>
      <c r="M199" s="1" t="str">
        <f>HYPERLINK("http://dx.doi.org/10.1007/s00146-023-01752-8","http://dx.doi.org/10.1007/s00146-023-01752-8")</f>
        <v>http://dx.doi.org/10.1007/s00146-023-01752-8</v>
      </c>
    </row>
    <row r="200" spans="1:13" x14ac:dyDescent="0.25">
      <c r="A200" s="1">
        <v>230</v>
      </c>
      <c r="B200" s="1" t="s">
        <v>11973</v>
      </c>
      <c r="C200" s="1" t="s">
        <v>11974</v>
      </c>
      <c r="D200" s="1" t="s">
        <v>11975</v>
      </c>
      <c r="E200" s="1" t="s">
        <v>11976</v>
      </c>
      <c r="F200" s="1" t="s">
        <v>42</v>
      </c>
      <c r="G200" s="1" t="s">
        <v>56</v>
      </c>
      <c r="H200" s="1" t="s">
        <v>11977</v>
      </c>
      <c r="I200" s="1" t="s">
        <v>11978</v>
      </c>
      <c r="J200" s="1" t="s">
        <v>11979</v>
      </c>
      <c r="K200" s="1">
        <v>2018</v>
      </c>
      <c r="L200" s="1" t="s">
        <v>11991</v>
      </c>
      <c r="M200" s="1" t="str">
        <f>HYPERLINK("http://dx.doi.org/10.7727/wimj.2017.222","http://dx.doi.org/10.7727/wimj.2017.222")</f>
        <v>http://dx.doi.org/10.7727/wimj.2017.222</v>
      </c>
    </row>
    <row r="201" spans="1:13" x14ac:dyDescent="0.25">
      <c r="A201" s="1">
        <v>231</v>
      </c>
      <c r="B201" s="1" t="s">
        <v>8702</v>
      </c>
      <c r="C201" s="1" t="s">
        <v>8703</v>
      </c>
      <c r="D201" s="1" t="s">
        <v>8704</v>
      </c>
      <c r="E201" s="1" t="s">
        <v>5034</v>
      </c>
      <c r="F201" s="1" t="s">
        <v>42</v>
      </c>
      <c r="G201" s="1" t="s">
        <v>56</v>
      </c>
      <c r="H201" s="1" t="s">
        <v>1507</v>
      </c>
      <c r="I201" s="1" t="s">
        <v>8705</v>
      </c>
      <c r="J201" s="1" t="s">
        <v>1507</v>
      </c>
      <c r="K201" s="1">
        <v>2021</v>
      </c>
      <c r="L201" s="1" t="s">
        <v>8710</v>
      </c>
      <c r="M201" s="1" t="str">
        <f>HYPERLINK("http://dx.doi.org/10.3366/ajicl.2021.0363","http://dx.doi.org/10.3366/ajicl.2021.0363")</f>
        <v>http://dx.doi.org/10.3366/ajicl.2021.0363</v>
      </c>
    </row>
    <row r="202" spans="1:13" x14ac:dyDescent="0.25">
      <c r="A202" s="1">
        <v>232</v>
      </c>
      <c r="B202" s="1" t="s">
        <v>5959</v>
      </c>
      <c r="C202" s="1" t="s">
        <v>5960</v>
      </c>
      <c r="D202" s="1" t="s">
        <v>5961</v>
      </c>
      <c r="E202" s="1" t="s">
        <v>5962</v>
      </c>
      <c r="F202" s="1" t="s">
        <v>42</v>
      </c>
      <c r="G202" s="1" t="s">
        <v>56</v>
      </c>
      <c r="H202" s="1" t="s">
        <v>5963</v>
      </c>
      <c r="I202" s="1" t="s">
        <v>4023</v>
      </c>
      <c r="J202" s="1" t="s">
        <v>5964</v>
      </c>
      <c r="K202" s="1">
        <v>2023</v>
      </c>
      <c r="L202" s="1" t="s">
        <v>1278</v>
      </c>
      <c r="M202" s="1" t="str">
        <f>HYPERLINK("http://dx.doi.org/10.2196/48808","http://dx.doi.org/10.2196/48808")</f>
        <v>http://dx.doi.org/10.2196/48808</v>
      </c>
    </row>
    <row r="203" spans="1:13" x14ac:dyDescent="0.25">
      <c r="A203" s="1">
        <v>234</v>
      </c>
      <c r="B203" s="1" t="s">
        <v>2084</v>
      </c>
      <c r="C203" s="1" t="s">
        <v>2085</v>
      </c>
      <c r="D203" s="1" t="s">
        <v>2086</v>
      </c>
      <c r="E203" s="1" t="s">
        <v>2087</v>
      </c>
      <c r="F203" s="1" t="s">
        <v>42</v>
      </c>
      <c r="G203" s="1" t="s">
        <v>56</v>
      </c>
      <c r="H203" s="1" t="s">
        <v>2088</v>
      </c>
      <c r="I203" s="1" t="s">
        <v>1507</v>
      </c>
      <c r="J203" s="1" t="s">
        <v>2089</v>
      </c>
      <c r="K203" s="1">
        <v>2023</v>
      </c>
      <c r="L203" s="1" t="s">
        <v>2102</v>
      </c>
      <c r="M203" s="1" t="str">
        <f>HYPERLINK("http://dx.doi.org/10.1007/JHEP12(2023)046","http://dx.doi.org/10.1007/JHEP12(2023)046")</f>
        <v>http://dx.doi.org/10.1007/JHEP12(2023)046</v>
      </c>
    </row>
    <row r="204" spans="1:13" x14ac:dyDescent="0.25">
      <c r="A204" s="1">
        <v>235</v>
      </c>
      <c r="B204" s="1" t="s">
        <v>11694</v>
      </c>
      <c r="C204" s="1" t="s">
        <v>11695</v>
      </c>
      <c r="D204" s="1" t="s">
        <v>11696</v>
      </c>
      <c r="E204" s="1" t="s">
        <v>11697</v>
      </c>
      <c r="F204" s="1" t="s">
        <v>42</v>
      </c>
      <c r="G204" s="1" t="s">
        <v>56</v>
      </c>
      <c r="H204" s="1" t="s">
        <v>11698</v>
      </c>
      <c r="I204" s="1" t="s">
        <v>11699</v>
      </c>
      <c r="J204" s="1" t="s">
        <v>11700</v>
      </c>
      <c r="K204" s="1">
        <v>2018</v>
      </c>
      <c r="L204" s="1" t="s">
        <v>11713</v>
      </c>
      <c r="M204" s="1" t="str">
        <f>HYPERLINK("http://dx.doi.org/10.1089/blr.2018.29073.cmh","http://dx.doi.org/10.1089/blr.2018.29073.cmh")</f>
        <v>http://dx.doi.org/10.1089/blr.2018.29073.cmh</v>
      </c>
    </row>
    <row r="205" spans="1:13" x14ac:dyDescent="0.25">
      <c r="A205" s="1">
        <v>236</v>
      </c>
      <c r="B205" s="1" t="s">
        <v>9106</v>
      </c>
      <c r="C205" s="1" t="s">
        <v>9107</v>
      </c>
      <c r="D205" s="1" t="s">
        <v>9108</v>
      </c>
      <c r="E205" s="1" t="s">
        <v>7538</v>
      </c>
      <c r="F205" s="1" t="s">
        <v>42</v>
      </c>
      <c r="G205" s="1" t="s">
        <v>56</v>
      </c>
      <c r="H205" s="1" t="s">
        <v>9109</v>
      </c>
      <c r="I205" s="1" t="s">
        <v>9110</v>
      </c>
      <c r="J205" s="1" t="s">
        <v>9111</v>
      </c>
      <c r="K205" s="1">
        <v>2021</v>
      </c>
      <c r="L205" s="1" t="s">
        <v>9117</v>
      </c>
      <c r="M205" s="1" t="str">
        <f>HYPERLINK("http://dx.doi.org/10.1021/acsami.0c19465","http://dx.doi.org/10.1021/acsami.0c19465")</f>
        <v>http://dx.doi.org/10.1021/acsami.0c19465</v>
      </c>
    </row>
    <row r="206" spans="1:13" x14ac:dyDescent="0.25">
      <c r="A206" s="1">
        <v>237</v>
      </c>
      <c r="B206" s="1" t="s">
        <v>7535</v>
      </c>
      <c r="C206" s="1" t="s">
        <v>7536</v>
      </c>
      <c r="D206" s="1" t="s">
        <v>7537</v>
      </c>
      <c r="E206" s="1" t="s">
        <v>7538</v>
      </c>
      <c r="F206" s="1" t="s">
        <v>42</v>
      </c>
      <c r="G206" s="1" t="s">
        <v>56</v>
      </c>
      <c r="H206" s="1" t="s">
        <v>7539</v>
      </c>
      <c r="I206" s="1" t="s">
        <v>7540</v>
      </c>
      <c r="J206" s="1" t="s">
        <v>7541</v>
      </c>
      <c r="K206" s="1">
        <v>2022</v>
      </c>
      <c r="L206" s="1" t="s">
        <v>7554</v>
      </c>
      <c r="M206" s="1" t="str">
        <f>HYPERLINK("http://dx.doi.org/10.1021/acsami.1c20872","http://dx.doi.org/10.1021/acsami.1c20872")</f>
        <v>http://dx.doi.org/10.1021/acsami.1c20872</v>
      </c>
    </row>
    <row r="207" spans="1:13" x14ac:dyDescent="0.25">
      <c r="A207" s="1">
        <v>238</v>
      </c>
      <c r="B207" s="1" t="s">
        <v>3421</v>
      </c>
      <c r="C207" s="1" t="s">
        <v>3422</v>
      </c>
      <c r="D207" s="1" t="s">
        <v>485</v>
      </c>
      <c r="E207" s="1" t="s">
        <v>1999</v>
      </c>
      <c r="F207" s="1" t="s">
        <v>42</v>
      </c>
      <c r="G207" s="1" t="s">
        <v>56</v>
      </c>
      <c r="H207" s="1" t="s">
        <v>1507</v>
      </c>
      <c r="I207" s="1" t="s">
        <v>1507</v>
      </c>
      <c r="J207" s="1" t="s">
        <v>3423</v>
      </c>
      <c r="K207" s="1">
        <v>2023</v>
      </c>
      <c r="L207" s="1" t="s">
        <v>489</v>
      </c>
      <c r="M207" s="1" t="str">
        <f>HYPERLINK("http://dx.doi.org/10.1371/journal.pone.0292216","http://dx.doi.org/10.1371/journal.pone.0292216")</f>
        <v>http://dx.doi.org/10.1371/journal.pone.0292216</v>
      </c>
    </row>
    <row r="208" spans="1:13" x14ac:dyDescent="0.25">
      <c r="A208" s="1">
        <v>239</v>
      </c>
      <c r="B208" s="1" t="s">
        <v>10904</v>
      </c>
      <c r="C208" s="1" t="s">
        <v>10905</v>
      </c>
      <c r="D208" s="1" t="s">
        <v>10906</v>
      </c>
      <c r="E208" s="1" t="s">
        <v>10907</v>
      </c>
      <c r="F208" s="1" t="s">
        <v>42</v>
      </c>
      <c r="G208" s="1" t="s">
        <v>56</v>
      </c>
      <c r="H208" s="1" t="s">
        <v>10908</v>
      </c>
      <c r="I208" s="1" t="s">
        <v>10909</v>
      </c>
      <c r="J208" s="1" t="s">
        <v>10910</v>
      </c>
      <c r="K208" s="1">
        <v>2019</v>
      </c>
      <c r="L208" s="1" t="s">
        <v>10923</v>
      </c>
      <c r="M208" s="1" t="str">
        <f>HYPERLINK("http://dx.doi.org/10.1080/09654313.2019.1626351","http://dx.doi.org/10.1080/09654313.2019.1626351")</f>
        <v>http://dx.doi.org/10.1080/09654313.2019.1626351</v>
      </c>
    </row>
    <row r="209" spans="1:13" x14ac:dyDescent="0.25">
      <c r="A209" s="1">
        <v>240</v>
      </c>
      <c r="B209" s="1" t="s">
        <v>7798</v>
      </c>
      <c r="C209" s="1" t="s">
        <v>7799</v>
      </c>
      <c r="D209" s="1" t="s">
        <v>7800</v>
      </c>
      <c r="E209" s="1" t="s">
        <v>7801</v>
      </c>
      <c r="F209" s="1" t="s">
        <v>42</v>
      </c>
      <c r="G209" s="1" t="s">
        <v>5552</v>
      </c>
      <c r="H209" s="1" t="s">
        <v>7806</v>
      </c>
      <c r="I209" s="1" t="s">
        <v>1507</v>
      </c>
      <c r="J209" s="1" t="s">
        <v>7807</v>
      </c>
      <c r="K209" s="1">
        <v>2022</v>
      </c>
      <c r="L209" s="1" t="s">
        <v>7817</v>
      </c>
      <c r="M209" s="1" t="str">
        <f>HYPERLINK("http://dx.doi.org/10.1145/3560905.3568431","http://dx.doi.org/10.1145/3560905.3568431")</f>
        <v>http://dx.doi.org/10.1145/3560905.3568431</v>
      </c>
    </row>
    <row r="210" spans="1:13" x14ac:dyDescent="0.25">
      <c r="A210" s="1">
        <v>241</v>
      </c>
      <c r="B210" s="1" t="s">
        <v>10308</v>
      </c>
      <c r="C210" s="1" t="s">
        <v>10309</v>
      </c>
      <c r="D210" s="1" t="s">
        <v>10310</v>
      </c>
      <c r="E210" s="1" t="s">
        <v>10311</v>
      </c>
      <c r="F210" s="1" t="s">
        <v>42</v>
      </c>
      <c r="G210" s="1" t="s">
        <v>56</v>
      </c>
      <c r="H210" s="1" t="s">
        <v>1507</v>
      </c>
      <c r="I210" s="1" t="s">
        <v>1507</v>
      </c>
      <c r="J210" s="1" t="s">
        <v>10312</v>
      </c>
      <c r="K210" s="1">
        <v>2020</v>
      </c>
      <c r="L210" s="1" t="s">
        <v>10325</v>
      </c>
      <c r="M210" s="1" t="str">
        <f>HYPERLINK("http://dx.doi.org/10.22584/nr50.2020.006","http://dx.doi.org/10.22584/nr50.2020.006")</f>
        <v>http://dx.doi.org/10.22584/nr50.2020.006</v>
      </c>
    </row>
    <row r="211" spans="1:13" x14ac:dyDescent="0.25">
      <c r="A211" s="1">
        <v>242</v>
      </c>
      <c r="B211" s="1" t="s">
        <v>10308</v>
      </c>
      <c r="C211" s="1" t="s">
        <v>10309</v>
      </c>
      <c r="D211" s="1" t="s">
        <v>11363</v>
      </c>
      <c r="E211" s="1" t="s">
        <v>9248</v>
      </c>
      <c r="F211" s="1" t="s">
        <v>42</v>
      </c>
      <c r="G211" s="1" t="s">
        <v>56</v>
      </c>
      <c r="H211" s="1" t="s">
        <v>1507</v>
      </c>
      <c r="I211" s="1" t="s">
        <v>1507</v>
      </c>
      <c r="J211" s="1" t="s">
        <v>11364</v>
      </c>
      <c r="K211" s="1">
        <v>2019</v>
      </c>
      <c r="L211" s="1" t="s">
        <v>1507</v>
      </c>
      <c r="M211" s="1" t="s">
        <v>1507</v>
      </c>
    </row>
    <row r="212" spans="1:13" x14ac:dyDescent="0.25">
      <c r="A212" s="1">
        <v>243</v>
      </c>
      <c r="B212" s="1" t="s">
        <v>9431</v>
      </c>
      <c r="C212" s="1" t="s">
        <v>9432</v>
      </c>
      <c r="D212" s="1" t="s">
        <v>9433</v>
      </c>
      <c r="E212" s="1" t="s">
        <v>9434</v>
      </c>
      <c r="F212" s="1" t="s">
        <v>42</v>
      </c>
      <c r="G212" s="1" t="s">
        <v>56</v>
      </c>
      <c r="H212" s="1" t="s">
        <v>9435</v>
      </c>
      <c r="I212" s="1" t="s">
        <v>9436</v>
      </c>
      <c r="J212" s="1" t="s">
        <v>9437</v>
      </c>
      <c r="K212" s="1">
        <v>2020</v>
      </c>
      <c r="L212" s="1" t="s">
        <v>9449</v>
      </c>
      <c r="M212" s="1" t="str">
        <f>HYPERLINK("http://dx.doi.org/10.1016/j.gloplacha.2021.103623","http://dx.doi.org/10.1016/j.gloplacha.2021.103623")</f>
        <v>http://dx.doi.org/10.1016/j.gloplacha.2021.103623</v>
      </c>
    </row>
    <row r="213" spans="1:13" x14ac:dyDescent="0.25">
      <c r="A213" s="1">
        <v>244</v>
      </c>
      <c r="B213" s="1" t="s">
        <v>5475</v>
      </c>
      <c r="C213" s="1" t="s">
        <v>5476</v>
      </c>
      <c r="D213" s="1" t="s">
        <v>5477</v>
      </c>
      <c r="E213" s="1" t="s">
        <v>5478</v>
      </c>
      <c r="F213" s="1" t="s">
        <v>42</v>
      </c>
      <c r="G213" s="1" t="s">
        <v>56</v>
      </c>
      <c r="H213" s="1" t="s">
        <v>5479</v>
      </c>
      <c r="I213" s="1" t="s">
        <v>5480</v>
      </c>
      <c r="J213" s="1" t="s">
        <v>5481</v>
      </c>
      <c r="K213" s="1">
        <v>2023</v>
      </c>
      <c r="L213" s="1" t="s">
        <v>5493</v>
      </c>
      <c r="M213" s="1" t="str">
        <f>HYPERLINK("http://dx.doi.org/10.1111/1911-3846.12832","http://dx.doi.org/10.1111/1911-3846.12832")</f>
        <v>http://dx.doi.org/10.1111/1911-3846.12832</v>
      </c>
    </row>
    <row r="214" spans="1:13" x14ac:dyDescent="0.25">
      <c r="A214" s="1">
        <v>245</v>
      </c>
      <c r="B214" s="1" t="s">
        <v>11852</v>
      </c>
      <c r="C214" s="1" t="s">
        <v>11853</v>
      </c>
      <c r="D214" s="1" t="s">
        <v>11854</v>
      </c>
      <c r="E214" s="1" t="s">
        <v>3376</v>
      </c>
      <c r="F214" s="1" t="s">
        <v>42</v>
      </c>
      <c r="G214" s="1" t="s">
        <v>56</v>
      </c>
      <c r="H214" s="1" t="s">
        <v>11855</v>
      </c>
      <c r="I214" s="1" t="s">
        <v>11856</v>
      </c>
      <c r="J214" s="1" t="s">
        <v>11857</v>
      </c>
      <c r="K214" s="1">
        <v>2018</v>
      </c>
      <c r="L214" s="1" t="s">
        <v>11866</v>
      </c>
      <c r="M214" s="1" t="str">
        <f>HYPERLINK("http://dx.doi.org/10.1002/prep.201700154","http://dx.doi.org/10.1002/prep.201700154")</f>
        <v>http://dx.doi.org/10.1002/prep.201700154</v>
      </c>
    </row>
    <row r="215" spans="1:13" x14ac:dyDescent="0.25">
      <c r="A215" s="1">
        <v>246</v>
      </c>
      <c r="B215" s="1" t="s">
        <v>15037</v>
      </c>
      <c r="C215" s="1" t="s">
        <v>15038</v>
      </c>
      <c r="D215" s="1" t="s">
        <v>13015</v>
      </c>
      <c r="E215" s="1" t="s">
        <v>14987</v>
      </c>
      <c r="F215" s="1" t="s">
        <v>42</v>
      </c>
      <c r="G215" s="1" t="s">
        <v>5552</v>
      </c>
      <c r="H215" s="1" t="s">
        <v>15039</v>
      </c>
      <c r="I215" s="1" t="s">
        <v>1507</v>
      </c>
      <c r="J215" s="1" t="s">
        <v>15040</v>
      </c>
      <c r="K215" s="1">
        <v>2023</v>
      </c>
      <c r="L215" s="1" t="s">
        <v>13013</v>
      </c>
      <c r="M215" s="1" t="str">
        <f>HYPERLINK("http://dx.doi.org/10.1109/ICDMW60847.2023.00071","http://dx.doi.org/10.1109/ICDMW60847.2023.00071")</f>
        <v>http://dx.doi.org/10.1109/ICDMW60847.2023.00071</v>
      </c>
    </row>
    <row r="216" spans="1:13" x14ac:dyDescent="0.25">
      <c r="A216" s="1">
        <v>249</v>
      </c>
      <c r="B216" s="1" t="s">
        <v>5974</v>
      </c>
      <c r="C216" s="1" t="s">
        <v>5975</v>
      </c>
      <c r="D216" s="1" t="s">
        <v>995</v>
      </c>
      <c r="E216" s="1" t="s">
        <v>5976</v>
      </c>
      <c r="F216" s="1" t="s">
        <v>42</v>
      </c>
      <c r="G216" s="1" t="s">
        <v>56</v>
      </c>
      <c r="H216" s="1" t="s">
        <v>5977</v>
      </c>
      <c r="I216" s="1" t="s">
        <v>1507</v>
      </c>
      <c r="J216" s="1" t="s">
        <v>5978</v>
      </c>
      <c r="K216" s="1">
        <v>2023</v>
      </c>
      <c r="L216" s="1" t="s">
        <v>998</v>
      </c>
      <c r="M216" s="1" t="str">
        <f>HYPERLINK("http://dx.doi.org/10.2196/50514","http://dx.doi.org/10.2196/50514")</f>
        <v>http://dx.doi.org/10.2196/50514</v>
      </c>
    </row>
    <row r="217" spans="1:13" x14ac:dyDescent="0.25">
      <c r="A217" s="1">
        <v>250</v>
      </c>
      <c r="B217" s="1" t="s">
        <v>11994</v>
      </c>
      <c r="C217" s="1" t="s">
        <v>11995</v>
      </c>
      <c r="D217" s="1" t="s">
        <v>11996</v>
      </c>
      <c r="E217" s="1" t="s">
        <v>11997</v>
      </c>
      <c r="F217" s="1" t="s">
        <v>42</v>
      </c>
      <c r="G217" s="1" t="s">
        <v>56</v>
      </c>
      <c r="H217" s="1" t="s">
        <v>11998</v>
      </c>
      <c r="I217" s="1" t="s">
        <v>1507</v>
      </c>
      <c r="J217" s="1" t="s">
        <v>11999</v>
      </c>
      <c r="K217" s="1">
        <v>2018</v>
      </c>
      <c r="L217" s="1" t="s">
        <v>12012</v>
      </c>
      <c r="M217" s="1" t="str">
        <f>HYPERLINK("http://dx.doi.org/10.1108/AEAT-06-2016-0102","http://dx.doi.org/10.1108/AEAT-06-2016-0102")</f>
        <v>http://dx.doi.org/10.1108/AEAT-06-2016-0102</v>
      </c>
    </row>
    <row r="218" spans="1:13" x14ac:dyDescent="0.25">
      <c r="A218" s="1">
        <v>251</v>
      </c>
      <c r="B218" s="1" t="s">
        <v>3862</v>
      </c>
      <c r="C218" s="1" t="s">
        <v>3863</v>
      </c>
      <c r="D218" s="1" t="s">
        <v>966</v>
      </c>
      <c r="E218" s="1" t="s">
        <v>3864</v>
      </c>
      <c r="F218" s="1" t="s">
        <v>42</v>
      </c>
      <c r="G218" s="1" t="s">
        <v>56</v>
      </c>
      <c r="H218" s="1" t="s">
        <v>3865</v>
      </c>
      <c r="I218" s="1" t="s">
        <v>3866</v>
      </c>
      <c r="J218" s="1" t="s">
        <v>3867</v>
      </c>
      <c r="K218" s="1">
        <v>2023</v>
      </c>
      <c r="L218" s="1" t="s">
        <v>968</v>
      </c>
      <c r="M218" s="1" t="str">
        <f>HYPERLINK("http://dx.doi.org/10.3389/fonc.2023.1265024","http://dx.doi.org/10.3389/fonc.2023.1265024")</f>
        <v>http://dx.doi.org/10.3389/fonc.2023.1265024</v>
      </c>
    </row>
    <row r="219" spans="1:13" x14ac:dyDescent="0.25">
      <c r="A219" s="1">
        <v>252</v>
      </c>
      <c r="B219" s="1" t="s">
        <v>15052</v>
      </c>
      <c r="C219" s="1" t="s">
        <v>15053</v>
      </c>
      <c r="D219" s="1" t="s">
        <v>15054</v>
      </c>
      <c r="E219" s="1" t="s">
        <v>14923</v>
      </c>
      <c r="F219" s="1" t="s">
        <v>42</v>
      </c>
      <c r="G219" s="1" t="s">
        <v>5552</v>
      </c>
      <c r="H219" s="1" t="s">
        <v>15055</v>
      </c>
      <c r="I219" s="1" t="s">
        <v>1507</v>
      </c>
      <c r="J219" s="1" t="s">
        <v>15056</v>
      </c>
      <c r="K219" s="1">
        <v>2023</v>
      </c>
      <c r="L219" s="1" t="s">
        <v>15062</v>
      </c>
      <c r="M219" s="1" t="str">
        <f>HYPERLINK("http://dx.doi.org/10.1145/3591196.3596818","http://dx.doi.org/10.1145/3591196.3596818")</f>
        <v>http://dx.doi.org/10.1145/3591196.3596818</v>
      </c>
    </row>
    <row r="220" spans="1:13" x14ac:dyDescent="0.25">
      <c r="A220" s="1">
        <v>253</v>
      </c>
      <c r="B220" s="1" t="s">
        <v>14102</v>
      </c>
      <c r="C220" s="1" t="s">
        <v>14103</v>
      </c>
      <c r="D220" s="1" t="s">
        <v>600</v>
      </c>
      <c r="E220" s="1" t="s">
        <v>14104</v>
      </c>
      <c r="F220" s="1" t="s">
        <v>42</v>
      </c>
      <c r="G220" s="1" t="s">
        <v>56</v>
      </c>
      <c r="H220" s="1" t="s">
        <v>14105</v>
      </c>
      <c r="I220" s="1" t="s">
        <v>1507</v>
      </c>
      <c r="J220" s="1" t="s">
        <v>14106</v>
      </c>
      <c r="K220" s="1">
        <v>2023</v>
      </c>
      <c r="L220" s="1" t="s">
        <v>603</v>
      </c>
      <c r="M220" s="1" t="str">
        <f>HYPERLINK("http://dx.doi.org/10.1148/ryai.220281","http://dx.doi.org/10.1148/ryai.220281")</f>
        <v>http://dx.doi.org/10.1148/ryai.220281</v>
      </c>
    </row>
    <row r="221" spans="1:13" x14ac:dyDescent="0.25">
      <c r="A221" s="1">
        <v>254</v>
      </c>
      <c r="B221" s="1" t="s">
        <v>4171</v>
      </c>
      <c r="C221" s="1" t="s">
        <v>4172</v>
      </c>
      <c r="D221" s="1" t="s">
        <v>4173</v>
      </c>
      <c r="E221" s="1" t="s">
        <v>4174</v>
      </c>
      <c r="F221" s="1" t="s">
        <v>42</v>
      </c>
      <c r="G221" s="1" t="s">
        <v>56</v>
      </c>
      <c r="H221" s="1" t="s">
        <v>4175</v>
      </c>
      <c r="I221" s="1" t="s">
        <v>1507</v>
      </c>
      <c r="J221" s="1" t="s">
        <v>4176</v>
      </c>
      <c r="K221" s="1">
        <v>2023</v>
      </c>
      <c r="L221" s="1" t="s">
        <v>4189</v>
      </c>
      <c r="M221" s="1" t="str">
        <f>HYPERLINK("http://dx.doi.org/10.1016/j.eswa.2023.121029","http://dx.doi.org/10.1016/j.eswa.2023.121029")</f>
        <v>http://dx.doi.org/10.1016/j.eswa.2023.121029</v>
      </c>
    </row>
    <row r="222" spans="1:13" x14ac:dyDescent="0.25">
      <c r="A222" s="1">
        <v>255</v>
      </c>
      <c r="B222" s="1" t="s">
        <v>9696</v>
      </c>
      <c r="C222" s="1" t="s">
        <v>9697</v>
      </c>
      <c r="D222" s="1" t="s">
        <v>9698</v>
      </c>
      <c r="E222" s="1" t="s">
        <v>9699</v>
      </c>
      <c r="F222" s="1" t="s">
        <v>42</v>
      </c>
      <c r="G222" s="1" t="s">
        <v>56</v>
      </c>
      <c r="H222" s="1" t="s">
        <v>1507</v>
      </c>
      <c r="I222" s="1" t="s">
        <v>9700</v>
      </c>
      <c r="J222" s="1" t="s">
        <v>9701</v>
      </c>
      <c r="K222" s="1">
        <v>2020</v>
      </c>
      <c r="L222" s="1" t="s">
        <v>9709</v>
      </c>
      <c r="M222" s="1" t="str">
        <f>HYPERLINK("http://dx.doi.org/10.1016/S2213-2600(20)30193-4","http://dx.doi.org/10.1016/S2213-2600(20)30193-4")</f>
        <v>http://dx.doi.org/10.1016/S2213-2600(20)30193-4</v>
      </c>
    </row>
    <row r="223" spans="1:13" x14ac:dyDescent="0.25">
      <c r="A223" s="1">
        <v>256</v>
      </c>
      <c r="B223" s="1" t="s">
        <v>7596</v>
      </c>
      <c r="C223" s="1" t="s">
        <v>7597</v>
      </c>
      <c r="D223" s="1" t="s">
        <v>7598</v>
      </c>
      <c r="E223" s="1" t="s">
        <v>1760</v>
      </c>
      <c r="F223" s="1" t="s">
        <v>42</v>
      </c>
      <c r="G223" s="1" t="s">
        <v>56</v>
      </c>
      <c r="H223" s="1" t="s">
        <v>1507</v>
      </c>
      <c r="I223" s="1" t="s">
        <v>7599</v>
      </c>
      <c r="J223" s="1" t="s">
        <v>7600</v>
      </c>
      <c r="K223" s="1">
        <v>2022</v>
      </c>
      <c r="L223" s="1" t="s">
        <v>7607</v>
      </c>
      <c r="M223" s="1" t="str">
        <f>HYPERLINK("http://dx.doi.org/10.1038/s41586-022-04479-6","http://dx.doi.org/10.1038/s41586-022-04479-6")</f>
        <v>http://dx.doi.org/10.1038/s41586-022-04479-6</v>
      </c>
    </row>
    <row r="224" spans="1:13" x14ac:dyDescent="0.25">
      <c r="A224" s="1">
        <v>257</v>
      </c>
      <c r="B224" s="1" t="s">
        <v>4739</v>
      </c>
      <c r="C224" s="1" t="s">
        <v>4740</v>
      </c>
      <c r="D224" s="1" t="s">
        <v>4741</v>
      </c>
      <c r="E224" s="1" t="s">
        <v>4742</v>
      </c>
      <c r="F224" s="1" t="s">
        <v>42</v>
      </c>
      <c r="G224" s="1" t="s">
        <v>56</v>
      </c>
      <c r="H224" s="1" t="s">
        <v>1507</v>
      </c>
      <c r="I224" s="1" t="s">
        <v>1507</v>
      </c>
      <c r="J224" s="1" t="s">
        <v>1507</v>
      </c>
      <c r="K224" s="1">
        <v>2023</v>
      </c>
      <c r="L224" s="1" t="s">
        <v>4757</v>
      </c>
      <c r="M224" s="1" t="str">
        <f>HYPERLINK("http://dx.doi.org/10.3201/eid2906.221680","http://dx.doi.org/10.3201/eid2906.221680")</f>
        <v>http://dx.doi.org/10.3201/eid2906.221680</v>
      </c>
    </row>
    <row r="225" spans="1:13" x14ac:dyDescent="0.25">
      <c r="A225" s="1">
        <v>258</v>
      </c>
      <c r="B225" s="1" t="s">
        <v>7055</v>
      </c>
      <c r="C225" s="1" t="s">
        <v>7056</v>
      </c>
      <c r="D225" s="1" t="s">
        <v>7057</v>
      </c>
      <c r="E225" s="1" t="s">
        <v>7058</v>
      </c>
      <c r="F225" s="1" t="s">
        <v>42</v>
      </c>
      <c r="G225" s="1" t="s">
        <v>56</v>
      </c>
      <c r="H225" s="1" t="s">
        <v>7059</v>
      </c>
      <c r="I225" s="1" t="s">
        <v>1507</v>
      </c>
      <c r="J225" s="1" t="s">
        <v>7060</v>
      </c>
      <c r="K225" s="1">
        <v>2022</v>
      </c>
      <c r="L225" s="1" t="s">
        <v>7069</v>
      </c>
      <c r="M225" s="1" t="str">
        <f>HYPERLINK("http://dx.doi.org/10.1016/j.ebiom.2022.104232","http://dx.doi.org/10.1016/j.ebiom.2022.104232")</f>
        <v>http://dx.doi.org/10.1016/j.ebiom.2022.104232</v>
      </c>
    </row>
    <row r="226" spans="1:13" x14ac:dyDescent="0.25">
      <c r="A226" s="1">
        <v>259</v>
      </c>
      <c r="B226" s="1" t="s">
        <v>3295</v>
      </c>
      <c r="C226" s="1" t="s">
        <v>3296</v>
      </c>
      <c r="D226" s="1" t="s">
        <v>553</v>
      </c>
      <c r="E226" s="1" t="s">
        <v>3297</v>
      </c>
      <c r="F226" s="1" t="s">
        <v>42</v>
      </c>
      <c r="G226" s="1" t="s">
        <v>56</v>
      </c>
      <c r="H226" s="1" t="s">
        <v>1507</v>
      </c>
      <c r="I226" s="1" t="s">
        <v>3298</v>
      </c>
      <c r="J226" s="1" t="s">
        <v>3299</v>
      </c>
      <c r="K226" s="1">
        <v>2023</v>
      </c>
      <c r="L226" s="1" t="s">
        <v>554</v>
      </c>
      <c r="M226" s="1" t="str">
        <f>HYPERLINK("http://dx.doi.org/10.1038/s41598-023-38964-3","http://dx.doi.org/10.1038/s41598-023-38964-3")</f>
        <v>http://dx.doi.org/10.1038/s41598-023-38964-3</v>
      </c>
    </row>
    <row r="227" spans="1:13" x14ac:dyDescent="0.25">
      <c r="A227" s="1">
        <v>260</v>
      </c>
      <c r="B227" s="1" t="s">
        <v>2217</v>
      </c>
      <c r="C227" s="1" t="s">
        <v>2218</v>
      </c>
      <c r="D227" s="1" t="s">
        <v>2219</v>
      </c>
      <c r="E227" s="1" t="s">
        <v>2220</v>
      </c>
      <c r="F227" s="1" t="s">
        <v>42</v>
      </c>
      <c r="G227" s="1" t="s">
        <v>56</v>
      </c>
      <c r="H227" s="1" t="s">
        <v>2221</v>
      </c>
      <c r="I227" s="1" t="s">
        <v>1507</v>
      </c>
      <c r="J227" s="1" t="s">
        <v>2222</v>
      </c>
      <c r="K227" s="1">
        <v>2023</v>
      </c>
      <c r="L227" s="1" t="s">
        <v>739</v>
      </c>
      <c r="M227" s="1" t="str">
        <f>HYPERLINK("http://dx.doi.org/10.3390/bdcc7040182","http://dx.doi.org/10.3390/bdcc7040182")</f>
        <v>http://dx.doi.org/10.3390/bdcc7040182</v>
      </c>
    </row>
    <row r="228" spans="1:13" x14ac:dyDescent="0.25">
      <c r="A228" s="1">
        <v>263</v>
      </c>
      <c r="B228" s="1" t="s">
        <v>7192</v>
      </c>
      <c r="C228" s="1" t="s">
        <v>7193</v>
      </c>
      <c r="D228" s="1" t="s">
        <v>7195</v>
      </c>
      <c r="E228" s="1" t="s">
        <v>7196</v>
      </c>
      <c r="F228" s="1" t="s">
        <v>42</v>
      </c>
      <c r="G228" s="1" t="s">
        <v>56</v>
      </c>
      <c r="H228" s="1" t="s">
        <v>7197</v>
      </c>
      <c r="I228" s="1" t="s">
        <v>7198</v>
      </c>
      <c r="J228" s="1" t="s">
        <v>7199</v>
      </c>
      <c r="K228" s="1">
        <v>2022</v>
      </c>
      <c r="L228" s="1" t="s">
        <v>7209</v>
      </c>
      <c r="M228" s="1" t="str">
        <f>HYPERLINK("http://dx.doi.org/10.1007/s00394-022-02909-9","http://dx.doi.org/10.1007/s00394-022-02909-9")</f>
        <v>http://dx.doi.org/10.1007/s00394-022-02909-9</v>
      </c>
    </row>
    <row r="229" spans="1:13" x14ac:dyDescent="0.25">
      <c r="A229" s="1">
        <v>264</v>
      </c>
      <c r="B229" s="1" t="s">
        <v>3121</v>
      </c>
      <c r="C229" s="1" t="s">
        <v>3122</v>
      </c>
      <c r="D229" s="1" t="s">
        <v>3123</v>
      </c>
      <c r="E229" s="1" t="s">
        <v>3124</v>
      </c>
      <c r="F229" s="1" t="s">
        <v>42</v>
      </c>
      <c r="G229" s="1" t="s">
        <v>56</v>
      </c>
      <c r="H229" s="1" t="s">
        <v>3125</v>
      </c>
      <c r="I229" s="1" t="s">
        <v>3126</v>
      </c>
      <c r="J229" s="1" t="s">
        <v>3127</v>
      </c>
      <c r="K229" s="1">
        <v>2023</v>
      </c>
      <c r="L229" s="1" t="s">
        <v>3138</v>
      </c>
      <c r="M229" s="1" t="str">
        <f>HYPERLINK("http://dx.doi.org/10.1016/j.jasrep.2023.104238","http://dx.doi.org/10.1016/j.jasrep.2023.104238")</f>
        <v>http://dx.doi.org/10.1016/j.jasrep.2023.104238</v>
      </c>
    </row>
    <row r="230" spans="1:13" x14ac:dyDescent="0.25">
      <c r="A230" s="1">
        <v>266</v>
      </c>
      <c r="B230" s="1" t="s">
        <v>7820</v>
      </c>
      <c r="C230" s="1" t="s">
        <v>7822</v>
      </c>
      <c r="D230" s="1" t="s">
        <v>7823</v>
      </c>
      <c r="E230" s="1" t="s">
        <v>7824</v>
      </c>
      <c r="F230" s="1" t="s">
        <v>42</v>
      </c>
      <c r="G230" s="1" t="s">
        <v>5552</v>
      </c>
      <c r="H230" s="1" t="s">
        <v>1507</v>
      </c>
      <c r="I230" s="1" t="s">
        <v>1507</v>
      </c>
      <c r="J230" s="1" t="s">
        <v>7828</v>
      </c>
      <c r="K230" s="1">
        <v>2022</v>
      </c>
      <c r="L230" s="1" t="s">
        <v>7839</v>
      </c>
      <c r="M230" s="1" t="str">
        <f>HYPERLINK("http://dx.doi.org/10.1007/978-3-031-19827-4_41","http://dx.doi.org/10.1007/978-3-031-19827-4_41")</f>
        <v>http://dx.doi.org/10.1007/978-3-031-19827-4_41</v>
      </c>
    </row>
    <row r="231" spans="1:13" x14ac:dyDescent="0.25">
      <c r="A231" s="1">
        <v>267</v>
      </c>
      <c r="B231" s="1" t="s">
        <v>5987</v>
      </c>
      <c r="C231" s="1" t="s">
        <v>5988</v>
      </c>
      <c r="D231" s="1" t="s">
        <v>5989</v>
      </c>
      <c r="E231" s="1" t="s">
        <v>5990</v>
      </c>
      <c r="F231" s="1" t="s">
        <v>42</v>
      </c>
      <c r="G231" s="1" t="s">
        <v>5552</v>
      </c>
      <c r="H231" s="1" t="s">
        <v>5996</v>
      </c>
      <c r="I231" s="1" t="s">
        <v>1507</v>
      </c>
      <c r="J231" s="1" t="s">
        <v>5997</v>
      </c>
      <c r="K231" s="1">
        <v>2023</v>
      </c>
      <c r="L231" s="1" t="s">
        <v>6006</v>
      </c>
      <c r="M231" s="1" t="str">
        <f>HYPERLINK("http://dx.doi.org/10.1145/3594536.3595170","http://dx.doi.org/10.1145/3594536.3595170")</f>
        <v>http://dx.doi.org/10.1145/3594536.3595170</v>
      </c>
    </row>
    <row r="232" spans="1:13" x14ac:dyDescent="0.25">
      <c r="A232" s="1">
        <v>268</v>
      </c>
      <c r="B232" s="1" t="s">
        <v>4678</v>
      </c>
      <c r="C232" s="1" t="s">
        <v>4679</v>
      </c>
      <c r="D232" s="1" t="s">
        <v>4680</v>
      </c>
      <c r="E232" s="1" t="s">
        <v>1760</v>
      </c>
      <c r="F232" s="1" t="s">
        <v>42</v>
      </c>
      <c r="G232" s="1" t="s">
        <v>56</v>
      </c>
      <c r="H232" s="1" t="s">
        <v>1507</v>
      </c>
      <c r="I232" s="1" t="s">
        <v>1507</v>
      </c>
      <c r="J232" s="1" t="s">
        <v>4681</v>
      </c>
      <c r="K232" s="1">
        <v>2023</v>
      </c>
      <c r="L232" s="1" t="s">
        <v>4689</v>
      </c>
      <c r="M232" s="1" t="str">
        <f>HYPERLINK("http://dx.doi.org/10.1038/s41586-023-06160-y","http://dx.doi.org/10.1038/s41586-023-06160-y")</f>
        <v>http://dx.doi.org/10.1038/s41586-023-06160-y</v>
      </c>
    </row>
    <row r="233" spans="1:13" x14ac:dyDescent="0.25">
      <c r="A233" s="1">
        <v>269</v>
      </c>
      <c r="B233" s="1" t="s">
        <v>6011</v>
      </c>
      <c r="C233" s="1" t="s">
        <v>6012</v>
      </c>
      <c r="D233" s="1" t="s">
        <v>6013</v>
      </c>
      <c r="E233" s="1" t="s">
        <v>6014</v>
      </c>
      <c r="F233" s="1" t="s">
        <v>42</v>
      </c>
      <c r="G233" s="1" t="s">
        <v>5552</v>
      </c>
      <c r="H233" s="1" t="s">
        <v>1507</v>
      </c>
      <c r="I233" s="1" t="s">
        <v>1507</v>
      </c>
      <c r="J233" s="1" t="s">
        <v>6020</v>
      </c>
      <c r="K233" s="1">
        <v>2023</v>
      </c>
      <c r="L233" s="1" t="s">
        <v>6033</v>
      </c>
      <c r="M233" s="1" t="str">
        <f>HYPERLINK("http://dx.doi.org/10.1109/ASE56229.2023.00040","http://dx.doi.org/10.1109/ASE56229.2023.00040")</f>
        <v>http://dx.doi.org/10.1109/ASE56229.2023.00040</v>
      </c>
    </row>
    <row r="234" spans="1:13" x14ac:dyDescent="0.25">
      <c r="A234" s="1">
        <v>271</v>
      </c>
      <c r="B234" s="1" t="s">
        <v>6038</v>
      </c>
      <c r="C234" s="1" t="s">
        <v>6039</v>
      </c>
      <c r="D234" s="1" t="s">
        <v>6040</v>
      </c>
      <c r="E234" s="1" t="s">
        <v>1625</v>
      </c>
      <c r="F234" s="1" t="s">
        <v>42</v>
      </c>
      <c r="G234" s="1" t="s">
        <v>56</v>
      </c>
      <c r="H234" s="1" t="s">
        <v>6041</v>
      </c>
      <c r="I234" s="1" t="s">
        <v>1507</v>
      </c>
      <c r="J234" s="1" t="s">
        <v>6042</v>
      </c>
      <c r="K234" s="1">
        <v>2023</v>
      </c>
      <c r="L234" s="1" t="s">
        <v>6048</v>
      </c>
      <c r="M234" s="1" t="str">
        <f>HYPERLINK("http://dx.doi.org/10.1109/ACCESS.2023.3341007","http://dx.doi.org/10.1109/ACCESS.2023.3341007")</f>
        <v>http://dx.doi.org/10.1109/ACCESS.2023.3341007</v>
      </c>
    </row>
    <row r="235" spans="1:13" x14ac:dyDescent="0.25">
      <c r="A235" s="1">
        <v>272</v>
      </c>
      <c r="B235" s="1" t="s">
        <v>8367</v>
      </c>
      <c r="C235" s="1" t="s">
        <v>8368</v>
      </c>
      <c r="D235" s="1" t="s">
        <v>8369</v>
      </c>
      <c r="E235" s="1" t="s">
        <v>8370</v>
      </c>
      <c r="F235" s="1" t="s">
        <v>42</v>
      </c>
      <c r="G235" s="1" t="s">
        <v>56</v>
      </c>
      <c r="H235" s="1" t="s">
        <v>1507</v>
      </c>
      <c r="I235" s="1" t="s">
        <v>8371</v>
      </c>
      <c r="J235" s="1" t="s">
        <v>8372</v>
      </c>
      <c r="K235" s="1">
        <v>2022</v>
      </c>
      <c r="L235" s="1" t="s">
        <v>8382</v>
      </c>
      <c r="M235" s="1" t="str">
        <f>HYPERLINK("http://dx.doi.org/10.1038/s41396-021-01064-z","http://dx.doi.org/10.1038/s41396-021-01064-z")</f>
        <v>http://dx.doi.org/10.1038/s41396-021-01064-z</v>
      </c>
    </row>
    <row r="236" spans="1:13" x14ac:dyDescent="0.25">
      <c r="A236" s="1">
        <v>273</v>
      </c>
      <c r="B236" s="1" t="s">
        <v>4194</v>
      </c>
      <c r="C236" s="1" t="s">
        <v>4195</v>
      </c>
      <c r="D236" s="1" t="s">
        <v>4196</v>
      </c>
      <c r="E236" s="1" t="s">
        <v>4197</v>
      </c>
      <c r="F236" s="1" t="s">
        <v>42</v>
      </c>
      <c r="G236" s="1" t="s">
        <v>56</v>
      </c>
      <c r="H236" s="1" t="s">
        <v>4198</v>
      </c>
      <c r="I236" s="1" t="s">
        <v>1507</v>
      </c>
      <c r="J236" s="1" t="s">
        <v>4199</v>
      </c>
      <c r="K236" s="1">
        <v>2023</v>
      </c>
      <c r="L236" s="1" t="s">
        <v>4212</v>
      </c>
      <c r="M236" s="1" t="str">
        <f>HYPERLINK("http://dx.doi.org/10.1007/s00167-023-07529-2","http://dx.doi.org/10.1007/s00167-023-07529-2")</f>
        <v>http://dx.doi.org/10.1007/s00167-023-07529-2</v>
      </c>
    </row>
    <row r="237" spans="1:13" x14ac:dyDescent="0.25">
      <c r="A237" s="1">
        <v>274</v>
      </c>
      <c r="B237" s="1" t="s">
        <v>8088</v>
      </c>
      <c r="C237" s="1" t="s">
        <v>8089</v>
      </c>
      <c r="D237" s="1" t="s">
        <v>8090</v>
      </c>
      <c r="E237" s="1" t="s">
        <v>8091</v>
      </c>
      <c r="F237" s="1" t="s">
        <v>42</v>
      </c>
      <c r="G237" s="1" t="s">
        <v>56</v>
      </c>
      <c r="H237" s="1" t="s">
        <v>8092</v>
      </c>
      <c r="I237" s="1" t="s">
        <v>8093</v>
      </c>
      <c r="J237" s="1" t="s">
        <v>8094</v>
      </c>
      <c r="K237" s="1">
        <v>2021</v>
      </c>
      <c r="L237" s="1" t="s">
        <v>8105</v>
      </c>
      <c r="M237" s="1" t="str">
        <f>HYPERLINK("http://dx.doi.org/10.1093/jn/nxab300","http://dx.doi.org/10.1093/jn/nxab300")</f>
        <v>http://dx.doi.org/10.1093/jn/nxab300</v>
      </c>
    </row>
    <row r="238" spans="1:13" x14ac:dyDescent="0.25">
      <c r="A238" s="1">
        <v>276</v>
      </c>
      <c r="B238" s="1" t="s">
        <v>15065</v>
      </c>
      <c r="C238" s="1" t="s">
        <v>15066</v>
      </c>
      <c r="D238" s="1" t="s">
        <v>15067</v>
      </c>
      <c r="E238" s="1" t="s">
        <v>15068</v>
      </c>
      <c r="F238" s="1" t="s">
        <v>42</v>
      </c>
      <c r="G238" s="1" t="s">
        <v>5552</v>
      </c>
      <c r="H238" s="1" t="s">
        <v>15074</v>
      </c>
      <c r="I238" s="1" t="s">
        <v>15075</v>
      </c>
      <c r="J238" s="1" t="s">
        <v>15076</v>
      </c>
      <c r="K238" s="1">
        <v>2023</v>
      </c>
      <c r="L238" s="1" t="s">
        <v>15084</v>
      </c>
      <c r="M238" s="1" t="str">
        <f>HYPERLINK("http://dx.doi.org/10.1109/VLSI-SoC57769.2023.10321880","http://dx.doi.org/10.1109/VLSI-SoC57769.2023.10321880")</f>
        <v>http://dx.doi.org/10.1109/VLSI-SoC57769.2023.10321880</v>
      </c>
    </row>
    <row r="239" spans="1:13" x14ac:dyDescent="0.25">
      <c r="A239" s="1">
        <v>277</v>
      </c>
      <c r="B239" s="1" t="s">
        <v>11751</v>
      </c>
      <c r="C239" s="1" t="s">
        <v>11752</v>
      </c>
      <c r="D239" s="1" t="s">
        <v>11753</v>
      </c>
      <c r="E239" s="1" t="s">
        <v>11754</v>
      </c>
      <c r="F239" s="1" t="s">
        <v>42</v>
      </c>
      <c r="G239" s="1" t="s">
        <v>56</v>
      </c>
      <c r="H239" s="1" t="s">
        <v>11755</v>
      </c>
      <c r="I239" s="1" t="s">
        <v>11756</v>
      </c>
      <c r="J239" s="1" t="s">
        <v>11757</v>
      </c>
      <c r="K239" s="1">
        <v>2018</v>
      </c>
      <c r="L239" s="1" t="s">
        <v>11769</v>
      </c>
      <c r="M239" s="1" t="str">
        <f>HYPERLINK("http://dx.doi.org/10.1016/j.jiph.2017.00.022","http://dx.doi.org/10.1016/j.jiph.2017.00.022")</f>
        <v>http://dx.doi.org/10.1016/j.jiph.2017.00.022</v>
      </c>
    </row>
    <row r="240" spans="1:13" x14ac:dyDescent="0.25">
      <c r="A240" s="1">
        <v>278</v>
      </c>
      <c r="B240" s="1" t="s">
        <v>2808</v>
      </c>
      <c r="C240" s="1" t="s">
        <v>2809</v>
      </c>
      <c r="D240" s="1" t="s">
        <v>2810</v>
      </c>
      <c r="E240" s="1" t="s">
        <v>2811</v>
      </c>
      <c r="F240" s="1" t="s">
        <v>42</v>
      </c>
      <c r="G240" s="1" t="s">
        <v>56</v>
      </c>
      <c r="H240" s="1" t="s">
        <v>2812</v>
      </c>
      <c r="I240" s="1" t="s">
        <v>2813</v>
      </c>
      <c r="J240" s="1" t="s">
        <v>2814</v>
      </c>
      <c r="K240" s="1">
        <v>2023</v>
      </c>
      <c r="L240" s="1" t="s">
        <v>2827</v>
      </c>
      <c r="M240" s="1" t="str">
        <f>HYPERLINK("http://dx.doi.org/10.1111/cogs.13386","http://dx.doi.org/10.1111/cogs.13386")</f>
        <v>http://dx.doi.org/10.1111/cogs.13386</v>
      </c>
    </row>
    <row r="241" spans="1:13" x14ac:dyDescent="0.25">
      <c r="A241" s="1">
        <v>279</v>
      </c>
      <c r="B241" s="1" t="s">
        <v>10329</v>
      </c>
      <c r="C241" s="1" t="s">
        <v>10330</v>
      </c>
      <c r="D241" s="1" t="s">
        <v>10331</v>
      </c>
      <c r="E241" s="1" t="s">
        <v>10332</v>
      </c>
      <c r="F241" s="1" t="s">
        <v>42</v>
      </c>
      <c r="G241" s="1" t="s">
        <v>56</v>
      </c>
      <c r="H241" s="1" t="s">
        <v>10333</v>
      </c>
      <c r="I241" s="1" t="s">
        <v>10334</v>
      </c>
      <c r="J241" s="1" t="s">
        <v>10335</v>
      </c>
      <c r="K241" s="1">
        <v>2020</v>
      </c>
      <c r="L241" s="1" t="s">
        <v>10346</v>
      </c>
      <c r="M241" s="1" t="str">
        <f>HYPERLINK("http://dx.doi.org/10.1002/cti2.1107","http://dx.doi.org/10.1002/cti2.1107")</f>
        <v>http://dx.doi.org/10.1002/cti2.1107</v>
      </c>
    </row>
    <row r="242" spans="1:13" x14ac:dyDescent="0.25">
      <c r="A242" s="1">
        <v>280</v>
      </c>
      <c r="B242" s="1" t="s">
        <v>6719</v>
      </c>
      <c r="C242" s="1" t="s">
        <v>6720</v>
      </c>
      <c r="D242" s="1" t="s">
        <v>943</v>
      </c>
      <c r="E242" s="1" t="s">
        <v>6721</v>
      </c>
      <c r="F242" s="1" t="s">
        <v>42</v>
      </c>
      <c r="G242" s="1" t="s">
        <v>56</v>
      </c>
      <c r="H242" s="1" t="s">
        <v>949</v>
      </c>
      <c r="I242" s="1" t="s">
        <v>6722</v>
      </c>
      <c r="J242" s="1" t="s">
        <v>6723</v>
      </c>
      <c r="K242" s="1">
        <v>2023</v>
      </c>
      <c r="L242" s="1" t="s">
        <v>945</v>
      </c>
      <c r="M242" s="1" t="str">
        <f>HYPERLINK("http://dx.doi.org/10.1002/jee.20499","http://dx.doi.org/10.1002/jee.20499")</f>
        <v>http://dx.doi.org/10.1002/jee.20499</v>
      </c>
    </row>
    <row r="243" spans="1:13" x14ac:dyDescent="0.25">
      <c r="A243" s="1">
        <v>281</v>
      </c>
      <c r="B243" s="1" t="s">
        <v>6051</v>
      </c>
      <c r="C243" s="1" t="s">
        <v>6052</v>
      </c>
      <c r="D243" s="1" t="s">
        <v>6053</v>
      </c>
      <c r="E243" s="1" t="s">
        <v>6054</v>
      </c>
      <c r="F243" s="1" t="s">
        <v>42</v>
      </c>
      <c r="G243" s="1" t="s">
        <v>5552</v>
      </c>
      <c r="H243" s="1" t="s">
        <v>6059</v>
      </c>
      <c r="I243" s="1" t="s">
        <v>6060</v>
      </c>
      <c r="J243" s="1" t="s">
        <v>6061</v>
      </c>
      <c r="K243" s="1">
        <v>2023</v>
      </c>
      <c r="L243" s="1" t="s">
        <v>6067</v>
      </c>
      <c r="M243" s="1" t="str">
        <f>HYPERLINK("http://dx.doi.org/10.1145/3544548.3580919","http://dx.doi.org/10.1145/3544548.3580919")</f>
        <v>http://dx.doi.org/10.1145/3544548.3580919</v>
      </c>
    </row>
    <row r="244" spans="1:13" x14ac:dyDescent="0.25">
      <c r="A244" s="1">
        <v>282</v>
      </c>
      <c r="B244" s="1" t="s">
        <v>6071</v>
      </c>
      <c r="C244" s="1" t="s">
        <v>6072</v>
      </c>
      <c r="D244" s="1" t="s">
        <v>6073</v>
      </c>
      <c r="E244" s="1" t="s">
        <v>6074</v>
      </c>
      <c r="F244" s="1" t="s">
        <v>42</v>
      </c>
      <c r="G244" s="1" t="s">
        <v>56</v>
      </c>
      <c r="H244" s="1" t="s">
        <v>1507</v>
      </c>
      <c r="I244" s="1" t="s">
        <v>1507</v>
      </c>
      <c r="J244" s="1" t="s">
        <v>1507</v>
      </c>
      <c r="K244" s="1">
        <v>2023</v>
      </c>
      <c r="L244" s="1" t="s">
        <v>6085</v>
      </c>
      <c r="M244" s="1" t="str">
        <f>HYPERLINK("http://dx.doi.org/10.5195/lawreview.2023.917","http://dx.doi.org/10.5195/lawreview.2023.917")</f>
        <v>http://dx.doi.org/10.5195/lawreview.2023.917</v>
      </c>
    </row>
    <row r="245" spans="1:13" x14ac:dyDescent="0.25">
      <c r="A245" s="1">
        <v>283</v>
      </c>
      <c r="B245" s="1" t="s">
        <v>10206</v>
      </c>
      <c r="C245" s="1" t="s">
        <v>10207</v>
      </c>
      <c r="D245" s="1" t="s">
        <v>10208</v>
      </c>
      <c r="E245" s="1" t="s">
        <v>2087</v>
      </c>
      <c r="F245" s="1" t="s">
        <v>42</v>
      </c>
      <c r="G245" s="1" t="s">
        <v>56</v>
      </c>
      <c r="H245" s="1" t="s">
        <v>10209</v>
      </c>
      <c r="I245" s="1" t="s">
        <v>10210</v>
      </c>
      <c r="J245" s="1" t="s">
        <v>10211</v>
      </c>
      <c r="K245" s="1">
        <v>2020</v>
      </c>
      <c r="L245" s="1" t="s">
        <v>10220</v>
      </c>
      <c r="M245" s="1" t="str">
        <f>HYPERLINK("http://dx.doi.org/10.1007/JHEP01(2020)146","http://dx.doi.org/10.1007/JHEP01(2020)146")</f>
        <v>http://dx.doi.org/10.1007/JHEP01(2020)146</v>
      </c>
    </row>
    <row r="246" spans="1:13" x14ac:dyDescent="0.25">
      <c r="A246" s="1">
        <v>285</v>
      </c>
      <c r="B246" s="1" t="s">
        <v>8461</v>
      </c>
      <c r="C246" s="1" t="s">
        <v>8462</v>
      </c>
      <c r="D246" s="1" t="s">
        <v>1127</v>
      </c>
      <c r="E246" s="1" t="s">
        <v>5077</v>
      </c>
      <c r="F246" s="1" t="s">
        <v>42</v>
      </c>
      <c r="G246" s="1" t="s">
        <v>56</v>
      </c>
      <c r="H246" s="1" t="s">
        <v>1132</v>
      </c>
      <c r="I246" s="1" t="s">
        <v>4989</v>
      </c>
      <c r="J246" s="1" t="s">
        <v>8463</v>
      </c>
      <c r="K246" s="1">
        <v>2021</v>
      </c>
      <c r="L246" s="1" t="s">
        <v>1128</v>
      </c>
      <c r="M246" s="1" t="str">
        <f>HYPERLINK("http://dx.doi.org/10.1016/j.system.2021.102551","http://dx.doi.org/10.1016/j.system.2021.102551")</f>
        <v>http://dx.doi.org/10.1016/j.system.2021.102551</v>
      </c>
    </row>
    <row r="247" spans="1:13" x14ac:dyDescent="0.25">
      <c r="A247" s="1">
        <v>286</v>
      </c>
      <c r="B247" s="1" t="s">
        <v>4572</v>
      </c>
      <c r="C247" s="1" t="s">
        <v>4573</v>
      </c>
      <c r="D247" s="1" t="s">
        <v>4574</v>
      </c>
      <c r="E247" s="1" t="s">
        <v>4575</v>
      </c>
      <c r="F247" s="1" t="s">
        <v>42</v>
      </c>
      <c r="G247" s="1" t="s">
        <v>56</v>
      </c>
      <c r="H247" s="1" t="s">
        <v>4576</v>
      </c>
      <c r="I247" s="1" t="s">
        <v>1507</v>
      </c>
      <c r="J247" s="1" t="s">
        <v>4577</v>
      </c>
      <c r="K247" s="1">
        <v>2023</v>
      </c>
      <c r="L247" s="1" t="s">
        <v>4588</v>
      </c>
      <c r="M247" s="1" t="str">
        <f>HYPERLINK("http://dx.doi.org/10.3390/su151410828","http://dx.doi.org/10.3390/su151410828")</f>
        <v>http://dx.doi.org/10.3390/su151410828</v>
      </c>
    </row>
    <row r="248" spans="1:13" x14ac:dyDescent="0.25">
      <c r="A248" s="1">
        <v>287</v>
      </c>
      <c r="B248" s="1" t="s">
        <v>8490</v>
      </c>
      <c r="C248" s="1" t="s">
        <v>8491</v>
      </c>
      <c r="D248" s="1" t="s">
        <v>8492</v>
      </c>
      <c r="E248" s="1" t="s">
        <v>8493</v>
      </c>
      <c r="F248" s="1" t="s">
        <v>42</v>
      </c>
      <c r="G248" s="1" t="s">
        <v>56</v>
      </c>
      <c r="H248" s="1" t="s">
        <v>8494</v>
      </c>
      <c r="I248" s="1" t="s">
        <v>8495</v>
      </c>
      <c r="J248" s="1" t="s">
        <v>8496</v>
      </c>
      <c r="K248" s="1">
        <v>2021</v>
      </c>
      <c r="L248" s="1" t="s">
        <v>8508</v>
      </c>
      <c r="M248" s="1" t="str">
        <f>HYPERLINK("http://dx.doi.org/10.1016/j.lfs.2021.119674","http://dx.doi.org/10.1016/j.lfs.2021.119674")</f>
        <v>http://dx.doi.org/10.1016/j.lfs.2021.119674</v>
      </c>
    </row>
    <row r="249" spans="1:13" x14ac:dyDescent="0.25">
      <c r="A249" s="1">
        <v>288</v>
      </c>
      <c r="B249" s="1" t="s">
        <v>3776</v>
      </c>
      <c r="C249" s="1" t="s">
        <v>3777</v>
      </c>
      <c r="D249" s="1" t="s">
        <v>3778</v>
      </c>
      <c r="E249" s="1" t="s">
        <v>3779</v>
      </c>
      <c r="F249" s="1" t="s">
        <v>42</v>
      </c>
      <c r="G249" s="1" t="s">
        <v>1509</v>
      </c>
      <c r="H249" s="1" t="s">
        <v>3780</v>
      </c>
      <c r="I249" s="1" t="s">
        <v>3781</v>
      </c>
      <c r="J249" s="1" t="s">
        <v>3782</v>
      </c>
      <c r="K249" s="1">
        <v>2023</v>
      </c>
      <c r="L249" s="1" t="s">
        <v>3797</v>
      </c>
      <c r="M249" s="1" t="str">
        <f>HYPERLINK("http://dx.doi.org/10.1080/14703297.2023.2258842","http://dx.doi.org/10.1080/14703297.2023.2258842")</f>
        <v>http://dx.doi.org/10.1080/14703297.2023.2258842</v>
      </c>
    </row>
    <row r="250" spans="1:13" x14ac:dyDescent="0.25">
      <c r="A250" s="1">
        <v>289</v>
      </c>
      <c r="B250" s="1" t="s">
        <v>9070</v>
      </c>
      <c r="C250" s="1" t="s">
        <v>9071</v>
      </c>
      <c r="D250" s="1" t="s">
        <v>9072</v>
      </c>
      <c r="E250" s="1" t="s">
        <v>3555</v>
      </c>
      <c r="F250" s="1" t="s">
        <v>42</v>
      </c>
      <c r="G250" s="1" t="s">
        <v>56</v>
      </c>
      <c r="H250" s="1" t="s">
        <v>9073</v>
      </c>
      <c r="I250" s="1" t="s">
        <v>1507</v>
      </c>
      <c r="J250" s="1" t="s">
        <v>9074</v>
      </c>
      <c r="K250" s="1">
        <v>2021</v>
      </c>
      <c r="L250" s="1" t="s">
        <v>9081</v>
      </c>
      <c r="M250" s="1" t="str">
        <f>HYPERLINK("http://dx.doi.org/10.1017/S0021855320000236","http://dx.doi.org/10.1017/S0021855320000236")</f>
        <v>http://dx.doi.org/10.1017/S0021855320000236</v>
      </c>
    </row>
    <row r="251" spans="1:13" x14ac:dyDescent="0.25">
      <c r="A251" s="1">
        <v>290</v>
      </c>
      <c r="B251" s="1" t="s">
        <v>4908</v>
      </c>
      <c r="C251" s="1" t="s">
        <v>4909</v>
      </c>
      <c r="D251" s="1" t="s">
        <v>4910</v>
      </c>
      <c r="E251" s="1" t="s">
        <v>4911</v>
      </c>
      <c r="F251" s="1" t="s">
        <v>42</v>
      </c>
      <c r="G251" s="1" t="s">
        <v>56</v>
      </c>
      <c r="H251" s="1" t="s">
        <v>4912</v>
      </c>
      <c r="I251" s="1" t="s">
        <v>4913</v>
      </c>
      <c r="J251" s="1" t="s">
        <v>4914</v>
      </c>
      <c r="K251" s="1">
        <v>2023</v>
      </c>
      <c r="L251" s="1" t="s">
        <v>458</v>
      </c>
      <c r="M251" s="1" t="str">
        <f>HYPERLINK("http://dx.doi.org/10.1123/jtpe.2023-0058","http://dx.doi.org/10.1123/jtpe.2023-0058")</f>
        <v>http://dx.doi.org/10.1123/jtpe.2023-0058</v>
      </c>
    </row>
    <row r="252" spans="1:13" x14ac:dyDescent="0.25">
      <c r="A252" s="1">
        <v>291</v>
      </c>
      <c r="B252" s="1" t="s">
        <v>2831</v>
      </c>
      <c r="C252" s="1" t="s">
        <v>2832</v>
      </c>
      <c r="D252" s="1" t="s">
        <v>2833</v>
      </c>
      <c r="E252" s="1" t="s">
        <v>1609</v>
      </c>
      <c r="F252" s="1" t="s">
        <v>42</v>
      </c>
      <c r="G252" s="1" t="s">
        <v>56</v>
      </c>
      <c r="H252" s="1" t="s">
        <v>2834</v>
      </c>
      <c r="I252" s="1" t="s">
        <v>1507</v>
      </c>
      <c r="J252" s="1" t="s">
        <v>2835</v>
      </c>
      <c r="K252" s="1">
        <v>2023</v>
      </c>
      <c r="L252" s="1" t="s">
        <v>2844</v>
      </c>
      <c r="M252" s="1" t="str">
        <f>HYPERLINK("http://dx.doi.org/10.3390/math11214479","http://dx.doi.org/10.3390/math11214479")</f>
        <v>http://dx.doi.org/10.3390/math11214479</v>
      </c>
    </row>
    <row r="253" spans="1:13" x14ac:dyDescent="0.25">
      <c r="A253" s="1">
        <v>293</v>
      </c>
      <c r="B253" s="1" t="s">
        <v>3143</v>
      </c>
      <c r="C253" s="1" t="s">
        <v>3144</v>
      </c>
      <c r="D253" s="1" t="s">
        <v>3145</v>
      </c>
      <c r="E253" s="1" t="s">
        <v>3146</v>
      </c>
      <c r="F253" s="1" t="s">
        <v>42</v>
      </c>
      <c r="G253" s="1" t="s">
        <v>56</v>
      </c>
      <c r="H253" s="1" t="s">
        <v>3147</v>
      </c>
      <c r="I253" s="1" t="s">
        <v>1507</v>
      </c>
      <c r="J253" s="1" t="s">
        <v>3148</v>
      </c>
      <c r="K253" s="1">
        <v>2023</v>
      </c>
      <c r="L253" s="1" t="s">
        <v>3164</v>
      </c>
      <c r="M253" s="1" t="str">
        <f>HYPERLINK("http://dx.doi.org/10.1016/j.frl.2023.104580","http://dx.doi.org/10.1016/j.frl.2023.104580")</f>
        <v>http://dx.doi.org/10.1016/j.frl.2023.104580</v>
      </c>
    </row>
    <row r="254" spans="1:13" x14ac:dyDescent="0.25">
      <c r="A254" s="1">
        <v>294</v>
      </c>
      <c r="B254" s="1" t="s">
        <v>15089</v>
      </c>
      <c r="C254" s="1" t="s">
        <v>15090</v>
      </c>
      <c r="D254" s="1" t="s">
        <v>15091</v>
      </c>
      <c r="E254" s="1" t="s">
        <v>15092</v>
      </c>
      <c r="F254" s="1" t="s">
        <v>42</v>
      </c>
      <c r="G254" s="1" t="s">
        <v>5552</v>
      </c>
      <c r="H254" s="1" t="s">
        <v>15097</v>
      </c>
      <c r="I254" s="1" t="s">
        <v>1507</v>
      </c>
      <c r="J254" s="1" t="s">
        <v>15098</v>
      </c>
      <c r="K254" s="1">
        <v>2023</v>
      </c>
      <c r="L254" s="1" t="s">
        <v>15108</v>
      </c>
      <c r="M254" s="1" t="str">
        <f>HYPERLINK("http://dx.doi.org/10.1145/3583780.3615234","http://dx.doi.org/10.1145/3583780.3615234")</f>
        <v>http://dx.doi.org/10.1145/3583780.3615234</v>
      </c>
    </row>
    <row r="255" spans="1:13" x14ac:dyDescent="0.25">
      <c r="A255" s="1">
        <v>295</v>
      </c>
      <c r="B255" s="1" t="s">
        <v>15111</v>
      </c>
      <c r="C255" s="1" t="s">
        <v>15113</v>
      </c>
      <c r="D255" s="1" t="s">
        <v>15114</v>
      </c>
      <c r="E255" s="1" t="s">
        <v>15115</v>
      </c>
      <c r="F255" s="1" t="s">
        <v>42</v>
      </c>
      <c r="G255" s="1" t="s">
        <v>5552</v>
      </c>
      <c r="H255" s="1" t="s">
        <v>1507</v>
      </c>
      <c r="I255" s="1" t="s">
        <v>1507</v>
      </c>
      <c r="J255" s="1" t="s">
        <v>15120</v>
      </c>
      <c r="K255" s="1">
        <v>2023</v>
      </c>
      <c r="L255" s="1" t="s">
        <v>1507</v>
      </c>
      <c r="M255" s="1" t="s">
        <v>1507</v>
      </c>
    </row>
    <row r="256" spans="1:13" x14ac:dyDescent="0.25">
      <c r="A256" s="1">
        <v>297</v>
      </c>
      <c r="B256" s="1" t="s">
        <v>2383</v>
      </c>
      <c r="C256" s="1" t="s">
        <v>2384</v>
      </c>
      <c r="D256" s="1" t="s">
        <v>1347</v>
      </c>
      <c r="E256" s="1" t="s">
        <v>2385</v>
      </c>
      <c r="F256" s="1" t="s">
        <v>42</v>
      </c>
      <c r="G256" s="1" t="s">
        <v>1509</v>
      </c>
      <c r="H256" s="1" t="s">
        <v>2386</v>
      </c>
      <c r="I256" s="1" t="s">
        <v>1507</v>
      </c>
      <c r="J256" s="1" t="s">
        <v>2387</v>
      </c>
      <c r="K256" s="1">
        <v>2023</v>
      </c>
      <c r="L256" s="1" t="s">
        <v>1349</v>
      </c>
      <c r="M256" s="1" t="str">
        <f>HYPERLINK("http://dx.doi.org/10.1080/03323315.2023.2284901","http://dx.doi.org/10.1080/03323315.2023.2284901")</f>
        <v>http://dx.doi.org/10.1080/03323315.2023.2284901</v>
      </c>
    </row>
    <row r="257" spans="1:13" x14ac:dyDescent="0.25">
      <c r="A257" s="1">
        <v>298</v>
      </c>
      <c r="B257" s="1" t="s">
        <v>11607</v>
      </c>
      <c r="C257" s="1" t="s">
        <v>11608</v>
      </c>
      <c r="D257" s="1" t="s">
        <v>11609</v>
      </c>
      <c r="E257" s="1" t="s">
        <v>11610</v>
      </c>
      <c r="F257" s="1" t="s">
        <v>42</v>
      </c>
      <c r="G257" s="1" t="s">
        <v>56</v>
      </c>
      <c r="H257" s="1" t="s">
        <v>11611</v>
      </c>
      <c r="I257" s="1" t="s">
        <v>11612</v>
      </c>
      <c r="J257" s="1" t="s">
        <v>11613</v>
      </c>
      <c r="K257" s="1">
        <v>2018</v>
      </c>
      <c r="L257" s="1" t="s">
        <v>11629</v>
      </c>
      <c r="M257" s="1" t="str">
        <f>HYPERLINK("http://dx.doi.org/10.1016/j.postharvbio.2018.04.018","http://dx.doi.org/10.1016/j.postharvbio.2018.04.018")</f>
        <v>http://dx.doi.org/10.1016/j.postharvbio.2018.04.018</v>
      </c>
    </row>
    <row r="258" spans="1:13" x14ac:dyDescent="0.25">
      <c r="A258" s="1">
        <v>299</v>
      </c>
      <c r="B258" s="1" t="s">
        <v>10115</v>
      </c>
      <c r="C258" s="1" t="s">
        <v>10116</v>
      </c>
      <c r="D258" s="1" t="s">
        <v>10117</v>
      </c>
      <c r="E258" s="1" t="s">
        <v>9535</v>
      </c>
      <c r="F258" s="1" t="s">
        <v>42</v>
      </c>
      <c r="G258" s="1" t="s">
        <v>56</v>
      </c>
      <c r="H258" s="1" t="s">
        <v>10118</v>
      </c>
      <c r="I258" s="1" t="s">
        <v>1507</v>
      </c>
      <c r="J258" s="1" t="s">
        <v>10119</v>
      </c>
      <c r="K258" s="1">
        <v>2020</v>
      </c>
      <c r="L258" s="1" t="s">
        <v>10127</v>
      </c>
      <c r="M258" s="1" t="str">
        <f>HYPERLINK("http://dx.doi.org/10.1163/22119000-12340169","http://dx.doi.org/10.1163/22119000-12340169")</f>
        <v>http://dx.doi.org/10.1163/22119000-12340169</v>
      </c>
    </row>
    <row r="259" spans="1:13" x14ac:dyDescent="0.25">
      <c r="A259" s="1">
        <v>300</v>
      </c>
      <c r="B259" s="1" t="s">
        <v>7236</v>
      </c>
      <c r="C259" s="1" t="s">
        <v>7237</v>
      </c>
      <c r="D259" s="1" t="s">
        <v>7238</v>
      </c>
      <c r="E259" s="1" t="s">
        <v>7239</v>
      </c>
      <c r="F259" s="1" t="s">
        <v>42</v>
      </c>
      <c r="G259" s="1" t="s">
        <v>56</v>
      </c>
      <c r="H259" s="1" t="s">
        <v>7240</v>
      </c>
      <c r="I259" s="1" t="s">
        <v>7241</v>
      </c>
      <c r="J259" s="1" t="s">
        <v>7242</v>
      </c>
      <c r="K259" s="1">
        <v>2022</v>
      </c>
      <c r="L259" s="1" t="s">
        <v>7253</v>
      </c>
      <c r="M259" s="1" t="str">
        <f>HYPERLINK("http://dx.doi.org/10.3390/fib10050039","http://dx.doi.org/10.3390/fib10050039")</f>
        <v>http://dx.doi.org/10.3390/fib10050039</v>
      </c>
    </row>
    <row r="260" spans="1:13" x14ac:dyDescent="0.25">
      <c r="A260" s="1">
        <v>301</v>
      </c>
      <c r="B260" s="1" t="s">
        <v>4663</v>
      </c>
      <c r="C260" s="1" t="s">
        <v>4664</v>
      </c>
      <c r="D260" s="1" t="s">
        <v>4665</v>
      </c>
      <c r="E260" s="1" t="s">
        <v>2662</v>
      </c>
      <c r="F260" s="1" t="s">
        <v>42</v>
      </c>
      <c r="G260" s="1" t="s">
        <v>56</v>
      </c>
      <c r="H260" s="1" t="s">
        <v>4666</v>
      </c>
      <c r="I260" s="1" t="s">
        <v>1507</v>
      </c>
      <c r="J260" s="1" t="s">
        <v>4667</v>
      </c>
      <c r="K260" s="1">
        <v>2023</v>
      </c>
      <c r="L260" s="1" t="s">
        <v>4675</v>
      </c>
      <c r="M260" s="1" t="str">
        <f>HYPERLINK("http://dx.doi.org/10.1016/j.inffus.2023.101861","http://dx.doi.org/10.1016/j.inffus.2023.101861")</f>
        <v>http://dx.doi.org/10.1016/j.inffus.2023.101861</v>
      </c>
    </row>
    <row r="261" spans="1:13" x14ac:dyDescent="0.25">
      <c r="A261" s="1">
        <v>302</v>
      </c>
      <c r="B261" s="1" t="s">
        <v>3669</v>
      </c>
      <c r="C261" s="1" t="s">
        <v>3670</v>
      </c>
      <c r="D261" s="1" t="s">
        <v>3671</v>
      </c>
      <c r="E261" s="1" t="s">
        <v>3672</v>
      </c>
      <c r="F261" s="1" t="s">
        <v>42</v>
      </c>
      <c r="G261" s="1" t="s">
        <v>56</v>
      </c>
      <c r="H261" s="1" t="s">
        <v>3673</v>
      </c>
      <c r="I261" s="1" t="s">
        <v>3674</v>
      </c>
      <c r="J261" s="1" t="s">
        <v>3675</v>
      </c>
      <c r="K261" s="1">
        <v>2023</v>
      </c>
      <c r="L261" s="1" t="s">
        <v>3688</v>
      </c>
      <c r="M261" s="1" t="str">
        <f>HYPERLINK("http://dx.doi.org/10.1016/j.dche.2023.100126","http://dx.doi.org/10.1016/j.dche.2023.100126")</f>
        <v>http://dx.doi.org/10.1016/j.dche.2023.100126</v>
      </c>
    </row>
    <row r="262" spans="1:13" x14ac:dyDescent="0.25">
      <c r="A262" s="1">
        <v>303</v>
      </c>
      <c r="B262" s="1" t="s">
        <v>6780</v>
      </c>
      <c r="C262" s="1" t="s">
        <v>6781</v>
      </c>
      <c r="D262" s="1" t="s">
        <v>6782</v>
      </c>
      <c r="E262" s="1" t="s">
        <v>6783</v>
      </c>
      <c r="F262" s="1" t="s">
        <v>42</v>
      </c>
      <c r="G262" s="1" t="s">
        <v>1509</v>
      </c>
      <c r="H262" s="1" t="s">
        <v>1507</v>
      </c>
      <c r="I262" s="1" t="s">
        <v>6784</v>
      </c>
      <c r="J262" s="1" t="s">
        <v>6785</v>
      </c>
      <c r="K262" s="1">
        <v>2022</v>
      </c>
      <c r="L262" s="1" t="s">
        <v>6798</v>
      </c>
      <c r="M262" s="1" t="str">
        <f>HYPERLINK("http://dx.doi.org/10.1021/acs.analchem.2c03972","http://dx.doi.org/10.1021/acs.analchem.2c03972")</f>
        <v>http://dx.doi.org/10.1021/acs.analchem.2c03972</v>
      </c>
    </row>
    <row r="263" spans="1:13" x14ac:dyDescent="0.25">
      <c r="A263" s="1">
        <v>304</v>
      </c>
      <c r="B263" s="1" t="s">
        <v>8429</v>
      </c>
      <c r="C263" s="1" t="s">
        <v>8430</v>
      </c>
      <c r="D263" s="1" t="s">
        <v>8431</v>
      </c>
      <c r="E263" s="1" t="s">
        <v>6783</v>
      </c>
      <c r="F263" s="1" t="s">
        <v>42</v>
      </c>
      <c r="G263" s="1" t="s">
        <v>56</v>
      </c>
      <c r="H263" s="1" t="s">
        <v>1507</v>
      </c>
      <c r="I263" s="1" t="s">
        <v>8432</v>
      </c>
      <c r="J263" s="1" t="s">
        <v>8433</v>
      </c>
      <c r="K263" s="1">
        <v>2021</v>
      </c>
      <c r="L263" s="1" t="s">
        <v>8440</v>
      </c>
      <c r="M263" s="1" t="str">
        <f>HYPERLINK("http://dx.doi.org/10.1021/acs.analchem.1c01018","http://dx.doi.org/10.1021/acs.analchem.1c01018")</f>
        <v>http://dx.doi.org/10.1021/acs.analchem.1c01018</v>
      </c>
    </row>
    <row r="264" spans="1:13" x14ac:dyDescent="0.25">
      <c r="A264" s="1">
        <v>305</v>
      </c>
      <c r="B264" s="1" t="s">
        <v>2019</v>
      </c>
      <c r="C264" s="1" t="s">
        <v>2020</v>
      </c>
      <c r="D264" s="1" t="s">
        <v>2021</v>
      </c>
      <c r="E264" s="1" t="s">
        <v>2022</v>
      </c>
      <c r="F264" s="1" t="s">
        <v>42</v>
      </c>
      <c r="G264" s="1" t="s">
        <v>56</v>
      </c>
      <c r="H264" s="1" t="s">
        <v>1507</v>
      </c>
      <c r="I264" s="1" t="s">
        <v>2023</v>
      </c>
      <c r="J264" s="1" t="s">
        <v>2024</v>
      </c>
      <c r="K264" s="1">
        <v>2023</v>
      </c>
      <c r="L264" s="1" t="s">
        <v>2037</v>
      </c>
      <c r="M264" s="1" t="str">
        <f>HYPERLINK("http://dx.doi.org/10.1016/j.patter.2023.100865","http://dx.doi.org/10.1016/j.patter.2023.100865")</f>
        <v>http://dx.doi.org/10.1016/j.patter.2023.100865</v>
      </c>
    </row>
    <row r="265" spans="1:13" x14ac:dyDescent="0.25">
      <c r="A265" s="1">
        <v>307</v>
      </c>
      <c r="B265" s="1" t="s">
        <v>8581</v>
      </c>
      <c r="C265" s="1" t="s">
        <v>8582</v>
      </c>
      <c r="D265" s="1" t="s">
        <v>8583</v>
      </c>
      <c r="E265" s="1" t="s">
        <v>8584</v>
      </c>
      <c r="F265" s="1" t="s">
        <v>42</v>
      </c>
      <c r="G265" s="1" t="s">
        <v>56</v>
      </c>
      <c r="H265" s="1" t="s">
        <v>8585</v>
      </c>
      <c r="I265" s="1" t="s">
        <v>1507</v>
      </c>
      <c r="J265" s="1" t="s">
        <v>8586</v>
      </c>
      <c r="K265" s="1">
        <v>2021</v>
      </c>
      <c r="L265" s="1" t="s">
        <v>8600</v>
      </c>
      <c r="M265" s="1" t="str">
        <f>HYPERLINK("http://dx.doi.org/10.11646/zootaxa.4980.1.3","http://dx.doi.org/10.11646/zootaxa.4980.1.3")</f>
        <v>http://dx.doi.org/10.11646/zootaxa.4980.1.3</v>
      </c>
    </row>
    <row r="266" spans="1:13" x14ac:dyDescent="0.25">
      <c r="A266" s="1">
        <v>308</v>
      </c>
      <c r="B266" s="1" t="s">
        <v>11570</v>
      </c>
      <c r="C266" s="1" t="s">
        <v>11571</v>
      </c>
      <c r="D266" s="1" t="s">
        <v>11572</v>
      </c>
      <c r="E266" s="1" t="s">
        <v>11573</v>
      </c>
      <c r="F266" s="1" t="s">
        <v>42</v>
      </c>
      <c r="G266" s="1" t="s">
        <v>56</v>
      </c>
      <c r="H266" s="1" t="s">
        <v>1507</v>
      </c>
      <c r="I266" s="1" t="s">
        <v>11574</v>
      </c>
      <c r="J266" s="1" t="s">
        <v>11575</v>
      </c>
      <c r="K266" s="1">
        <v>2018</v>
      </c>
      <c r="L266" s="1" t="s">
        <v>11588</v>
      </c>
      <c r="M266" s="1" t="str">
        <f>HYPERLINK("http://dx.doi.org/10.1140/epjc/s10052-018-6324-9","http://dx.doi.org/10.1140/epjc/s10052-018-6324-9")</f>
        <v>http://dx.doi.org/10.1140/epjc/s10052-018-6324-9</v>
      </c>
    </row>
    <row r="267" spans="1:13" x14ac:dyDescent="0.25">
      <c r="A267" s="1">
        <v>309</v>
      </c>
      <c r="B267" s="1" t="s">
        <v>11570</v>
      </c>
      <c r="C267" s="1" t="s">
        <v>11571</v>
      </c>
      <c r="D267" s="1" t="s">
        <v>11738</v>
      </c>
      <c r="E267" s="1" t="s">
        <v>2087</v>
      </c>
      <c r="F267" s="1" t="s">
        <v>42</v>
      </c>
      <c r="G267" s="1" t="s">
        <v>56</v>
      </c>
      <c r="H267" s="1" t="s">
        <v>11739</v>
      </c>
      <c r="I267" s="1" t="s">
        <v>11740</v>
      </c>
      <c r="J267" s="1" t="s">
        <v>11741</v>
      </c>
      <c r="K267" s="1">
        <v>2018</v>
      </c>
      <c r="L267" s="1" t="s">
        <v>11748</v>
      </c>
      <c r="M267" s="1" t="str">
        <f>HYPERLINK("http://dx.doi.org/10.1007/JHEP05(2018)009","http://dx.doi.org/10.1007/JHEP05(2018)009")</f>
        <v>http://dx.doi.org/10.1007/JHEP05(2018)009</v>
      </c>
    </row>
    <row r="268" spans="1:13" x14ac:dyDescent="0.25">
      <c r="A268" s="1">
        <v>311</v>
      </c>
      <c r="B268" s="1" t="s">
        <v>6088</v>
      </c>
      <c r="C268" s="1" t="s">
        <v>6090</v>
      </c>
      <c r="D268" s="1" t="s">
        <v>6091</v>
      </c>
      <c r="E268" s="1" t="s">
        <v>6092</v>
      </c>
      <c r="F268" s="1" t="s">
        <v>42</v>
      </c>
      <c r="G268" s="1" t="s">
        <v>5552</v>
      </c>
      <c r="H268" s="1" t="s">
        <v>6098</v>
      </c>
      <c r="I268" s="1" t="s">
        <v>1507</v>
      </c>
      <c r="J268" s="1" t="s">
        <v>6099</v>
      </c>
      <c r="K268" s="1">
        <v>2023</v>
      </c>
      <c r="L268" s="1" t="s">
        <v>1259</v>
      </c>
      <c r="M268" s="1" t="str">
        <f>HYPERLINK("http://dx.doi.org/10.1109/ICALT58122.2023.00072","http://dx.doi.org/10.1109/ICALT58122.2023.00072")</f>
        <v>http://dx.doi.org/10.1109/ICALT58122.2023.00072</v>
      </c>
    </row>
    <row r="269" spans="1:13" x14ac:dyDescent="0.25">
      <c r="A269" s="1">
        <v>312</v>
      </c>
      <c r="B269" s="1" t="s">
        <v>4470</v>
      </c>
      <c r="C269" s="1" t="s">
        <v>4471</v>
      </c>
      <c r="D269" s="1" t="s">
        <v>685</v>
      </c>
      <c r="E269" s="1" t="s">
        <v>4472</v>
      </c>
      <c r="F269" s="1" t="s">
        <v>42</v>
      </c>
      <c r="G269" s="1" t="s">
        <v>56</v>
      </c>
      <c r="H269" s="1" t="s">
        <v>1507</v>
      </c>
      <c r="I269" s="1" t="s">
        <v>1507</v>
      </c>
      <c r="J269" s="1" t="s">
        <v>4473</v>
      </c>
      <c r="K269" s="1">
        <v>2023</v>
      </c>
      <c r="L269" s="1" t="s">
        <v>687</v>
      </c>
      <c r="M269" s="1" t="str">
        <f>HYPERLINK("http://dx.doi.org/10.1071/MA23036","http://dx.doi.org/10.1071/MA23036")</f>
        <v>http://dx.doi.org/10.1071/MA23036</v>
      </c>
    </row>
    <row r="270" spans="1:13" x14ac:dyDescent="0.25">
      <c r="A270" s="1">
        <v>313</v>
      </c>
      <c r="B270" s="1" t="s">
        <v>10851</v>
      </c>
      <c r="C270" s="1" t="s">
        <v>10852</v>
      </c>
      <c r="D270" s="1" t="s">
        <v>10853</v>
      </c>
      <c r="E270" s="1" t="s">
        <v>10008</v>
      </c>
      <c r="F270" s="1" t="s">
        <v>42</v>
      </c>
      <c r="G270" s="1" t="s">
        <v>56</v>
      </c>
      <c r="H270" s="1" t="s">
        <v>1507</v>
      </c>
      <c r="I270" s="1" t="s">
        <v>10854</v>
      </c>
      <c r="J270" s="1" t="s">
        <v>10855</v>
      </c>
      <c r="K270" s="1">
        <v>2019</v>
      </c>
      <c r="L270" s="1" t="s">
        <v>10862</v>
      </c>
      <c r="M270" s="1" t="str">
        <f>HYPERLINK("http://dx.doi.org/10.1111/mmi.14256","http://dx.doi.org/10.1111/mmi.14256")</f>
        <v>http://dx.doi.org/10.1111/mmi.14256</v>
      </c>
    </row>
    <row r="271" spans="1:13" x14ac:dyDescent="0.25">
      <c r="A271" s="1">
        <v>314</v>
      </c>
      <c r="B271" s="1" t="s">
        <v>2233</v>
      </c>
      <c r="C271" s="1" t="s">
        <v>2234</v>
      </c>
      <c r="D271" s="1" t="s">
        <v>2235</v>
      </c>
      <c r="E271" s="1" t="s">
        <v>2236</v>
      </c>
      <c r="F271" s="1" t="s">
        <v>42</v>
      </c>
      <c r="G271" s="1" t="s">
        <v>56</v>
      </c>
      <c r="H271" s="1" t="s">
        <v>2237</v>
      </c>
      <c r="I271" s="1" t="s">
        <v>1507</v>
      </c>
      <c r="J271" s="1" t="s">
        <v>2238</v>
      </c>
      <c r="K271" s="1">
        <v>2023</v>
      </c>
      <c r="L271" s="1" t="s">
        <v>2248</v>
      </c>
      <c r="M271" s="1" t="str">
        <f>HYPERLINK("http://dx.doi.org/10.3390/info14120638","http://dx.doi.org/10.3390/info14120638")</f>
        <v>http://dx.doi.org/10.3390/info14120638</v>
      </c>
    </row>
    <row r="272" spans="1:13" x14ac:dyDescent="0.25">
      <c r="A272" s="1">
        <v>316</v>
      </c>
      <c r="B272" s="1" t="s">
        <v>8131</v>
      </c>
      <c r="C272" s="1" t="s">
        <v>8132</v>
      </c>
      <c r="D272" s="1" t="s">
        <v>8133</v>
      </c>
      <c r="E272" s="1" t="s">
        <v>8134</v>
      </c>
      <c r="F272" s="1" t="s">
        <v>42</v>
      </c>
      <c r="G272" s="1" t="s">
        <v>56</v>
      </c>
      <c r="H272" s="1" t="s">
        <v>8135</v>
      </c>
      <c r="I272" s="1" t="s">
        <v>8136</v>
      </c>
      <c r="J272" s="1" t="s">
        <v>8137</v>
      </c>
      <c r="K272" s="1">
        <v>2021</v>
      </c>
      <c r="L272" s="1" t="s">
        <v>8148</v>
      </c>
      <c r="M272" s="1" t="str">
        <f>HYPERLINK("http://dx.doi.org/10.1016/j.eclinm.2021.101174","http://dx.doi.org/10.1016/j.eclinm.2021.101174")</f>
        <v>http://dx.doi.org/10.1016/j.eclinm.2021.101174</v>
      </c>
    </row>
    <row r="273" spans="1:13" x14ac:dyDescent="0.25">
      <c r="A273" s="1">
        <v>317</v>
      </c>
      <c r="B273" s="1" t="s">
        <v>6111</v>
      </c>
      <c r="C273" s="1" t="s">
        <v>6112</v>
      </c>
      <c r="D273" s="1" t="s">
        <v>6113</v>
      </c>
      <c r="E273" s="1" t="s">
        <v>6114</v>
      </c>
      <c r="F273" s="1" t="s">
        <v>42</v>
      </c>
      <c r="G273" s="1" t="s">
        <v>5552</v>
      </c>
      <c r="H273" s="1" t="s">
        <v>6118</v>
      </c>
      <c r="I273" s="1" t="s">
        <v>1507</v>
      </c>
      <c r="J273" s="1" t="s">
        <v>6119</v>
      </c>
      <c r="K273" s="1">
        <v>2023</v>
      </c>
      <c r="L273" s="1" t="s">
        <v>450</v>
      </c>
      <c r="M273" s="1" t="str">
        <f>HYPERLINK("http://dx.doi.org/10.1145/3568813.3600138","http://dx.doi.org/10.1145/3568813.3600138")</f>
        <v>http://dx.doi.org/10.1145/3568813.3600138</v>
      </c>
    </row>
    <row r="274" spans="1:13" x14ac:dyDescent="0.25">
      <c r="A274" s="1">
        <v>318</v>
      </c>
      <c r="B274" s="1" t="s">
        <v>8793</v>
      </c>
      <c r="C274" s="1" t="s">
        <v>8794</v>
      </c>
      <c r="D274" s="1" t="s">
        <v>8795</v>
      </c>
      <c r="E274" s="1" t="s">
        <v>8796</v>
      </c>
      <c r="F274" s="1" t="s">
        <v>42</v>
      </c>
      <c r="G274" s="1" t="s">
        <v>56</v>
      </c>
      <c r="H274" s="1" t="s">
        <v>1507</v>
      </c>
      <c r="I274" s="1" t="s">
        <v>1507</v>
      </c>
      <c r="J274" s="1" t="s">
        <v>8797</v>
      </c>
      <c r="K274" s="1">
        <v>2021</v>
      </c>
      <c r="L274" s="1" t="s">
        <v>8809</v>
      </c>
      <c r="M274" s="1" t="str">
        <f>HYPERLINK("http://dx.doi.org/10.1093/tandt/ttab013","http://dx.doi.org/10.1093/tandt/ttab013")</f>
        <v>http://dx.doi.org/10.1093/tandt/ttab013</v>
      </c>
    </row>
    <row r="275" spans="1:13" x14ac:dyDescent="0.25">
      <c r="A275" s="1">
        <v>319</v>
      </c>
      <c r="B275" s="1" t="s">
        <v>8793</v>
      </c>
      <c r="C275" s="1" t="s">
        <v>9215</v>
      </c>
      <c r="D275" s="1" t="s">
        <v>9216</v>
      </c>
      <c r="E275" s="1" t="s">
        <v>7697</v>
      </c>
      <c r="F275" s="1" t="s">
        <v>42</v>
      </c>
      <c r="G275" s="1" t="s">
        <v>56</v>
      </c>
      <c r="H275" s="1" t="s">
        <v>1507</v>
      </c>
      <c r="I275" s="1" t="s">
        <v>9217</v>
      </c>
      <c r="J275" s="1" t="s">
        <v>9218</v>
      </c>
      <c r="K275" s="1">
        <v>2021</v>
      </c>
      <c r="L275" s="1" t="s">
        <v>1507</v>
      </c>
      <c r="M275" s="1" t="s">
        <v>1507</v>
      </c>
    </row>
    <row r="276" spans="1:13" x14ac:dyDescent="0.25">
      <c r="A276" s="1">
        <v>321</v>
      </c>
      <c r="B276" s="1" t="s">
        <v>15132</v>
      </c>
      <c r="C276" s="1" t="s">
        <v>15133</v>
      </c>
      <c r="D276" s="1" t="s">
        <v>15134</v>
      </c>
      <c r="E276" s="1" t="s">
        <v>15135</v>
      </c>
      <c r="F276" s="1" t="s">
        <v>42</v>
      </c>
      <c r="G276" s="1" t="s">
        <v>5552</v>
      </c>
      <c r="H276" s="1" t="s">
        <v>15139</v>
      </c>
      <c r="I276" s="1" t="s">
        <v>1507</v>
      </c>
      <c r="J276" s="1" t="s">
        <v>15140</v>
      </c>
      <c r="K276" s="1">
        <v>2023</v>
      </c>
      <c r="L276" s="1" t="s">
        <v>15151</v>
      </c>
      <c r="M276" s="1" t="str">
        <f>HYPERLINK("http://dx.doi.org/10.1109/HPEC58863.2023.10363534","http://dx.doi.org/10.1109/HPEC58863.2023.10363534")</f>
        <v>http://dx.doi.org/10.1109/HPEC58863.2023.10363534</v>
      </c>
    </row>
    <row r="277" spans="1:13" x14ac:dyDescent="0.25">
      <c r="A277" s="1">
        <v>322</v>
      </c>
      <c r="B277" s="1" t="s">
        <v>8333</v>
      </c>
      <c r="C277" s="1" t="s">
        <v>8334</v>
      </c>
      <c r="D277" s="1" t="s">
        <v>8335</v>
      </c>
      <c r="E277" s="1" t="s">
        <v>8336</v>
      </c>
      <c r="F277" s="1" t="s">
        <v>42</v>
      </c>
      <c r="G277" s="1" t="s">
        <v>56</v>
      </c>
      <c r="H277" s="1" t="s">
        <v>8337</v>
      </c>
      <c r="I277" s="1" t="s">
        <v>8338</v>
      </c>
      <c r="J277" s="1" t="s">
        <v>8339</v>
      </c>
      <c r="K277" s="1">
        <v>2021</v>
      </c>
      <c r="L277" s="1" t="s">
        <v>8348</v>
      </c>
      <c r="M277" s="1" t="str">
        <f>HYPERLINK("http://dx.doi.org/10.3390/toxins13080564","http://dx.doi.org/10.3390/toxins13080564")</f>
        <v>http://dx.doi.org/10.3390/toxins13080564</v>
      </c>
    </row>
    <row r="278" spans="1:13" x14ac:dyDescent="0.25">
      <c r="A278" s="1">
        <v>323</v>
      </c>
      <c r="B278" s="1" t="s">
        <v>9226</v>
      </c>
      <c r="C278" s="1" t="s">
        <v>9227</v>
      </c>
      <c r="D278" s="1" t="s">
        <v>9228</v>
      </c>
      <c r="E278" s="1" t="s">
        <v>9229</v>
      </c>
      <c r="F278" s="1" t="s">
        <v>42</v>
      </c>
      <c r="G278" s="1" t="s">
        <v>56</v>
      </c>
      <c r="H278" s="1" t="s">
        <v>1507</v>
      </c>
      <c r="I278" s="1" t="s">
        <v>9230</v>
      </c>
      <c r="J278" s="1" t="s">
        <v>9231</v>
      </c>
      <c r="K278" s="1">
        <v>2021</v>
      </c>
      <c r="L278" s="1" t="s">
        <v>1507</v>
      </c>
      <c r="M278" s="1" t="s">
        <v>1507</v>
      </c>
    </row>
    <row r="279" spans="1:13" x14ac:dyDescent="0.25">
      <c r="A279" s="1">
        <v>324</v>
      </c>
      <c r="B279" s="1" t="s">
        <v>9752</v>
      </c>
      <c r="C279" s="1" t="s">
        <v>9753</v>
      </c>
      <c r="D279" s="1" t="s">
        <v>9754</v>
      </c>
      <c r="E279" s="1" t="s">
        <v>9755</v>
      </c>
      <c r="F279" s="1" t="s">
        <v>42</v>
      </c>
      <c r="G279" s="1" t="s">
        <v>56</v>
      </c>
      <c r="H279" s="1" t="s">
        <v>9756</v>
      </c>
      <c r="I279" s="1" t="s">
        <v>9757</v>
      </c>
      <c r="J279" s="1" t="s">
        <v>9758</v>
      </c>
      <c r="K279" s="1">
        <v>2020</v>
      </c>
      <c r="L279" s="1" t="s">
        <v>9771</v>
      </c>
      <c r="M279" s="1" t="str">
        <f>HYPERLINK("http://dx.doi.org/10.1111/irv.12769","http://dx.doi.org/10.1111/irv.12769")</f>
        <v>http://dx.doi.org/10.1111/irv.12769</v>
      </c>
    </row>
    <row r="280" spans="1:13" x14ac:dyDescent="0.25">
      <c r="A280" s="1">
        <v>326</v>
      </c>
      <c r="B280" s="1" t="s">
        <v>6921</v>
      </c>
      <c r="C280" s="1" t="s">
        <v>6922</v>
      </c>
      <c r="D280" s="1" t="s">
        <v>6923</v>
      </c>
      <c r="E280" s="1" t="s">
        <v>6924</v>
      </c>
      <c r="F280" s="1" t="s">
        <v>42</v>
      </c>
      <c r="G280" s="1" t="s">
        <v>56</v>
      </c>
      <c r="H280" s="1" t="s">
        <v>6925</v>
      </c>
      <c r="I280" s="1" t="s">
        <v>6926</v>
      </c>
      <c r="J280" s="1" t="s">
        <v>6927</v>
      </c>
      <c r="K280" s="1">
        <v>2023</v>
      </c>
      <c r="L280" s="1" t="s">
        <v>6940</v>
      </c>
      <c r="M280" s="1" t="str">
        <f>HYPERLINK("http://dx.doi.org/10.1111/odi.14340","http://dx.doi.org/10.1111/odi.14340")</f>
        <v>http://dx.doi.org/10.1111/odi.14340</v>
      </c>
    </row>
    <row r="281" spans="1:13" x14ac:dyDescent="0.25">
      <c r="A281" s="1">
        <v>328</v>
      </c>
      <c r="B281" s="1" t="s">
        <v>7844</v>
      </c>
      <c r="C281" s="1" t="s">
        <v>7846</v>
      </c>
      <c r="D281" s="1" t="s">
        <v>7847</v>
      </c>
      <c r="E281" s="1" t="s">
        <v>7848</v>
      </c>
      <c r="F281" s="1" t="s">
        <v>42</v>
      </c>
      <c r="G281" s="1" t="s">
        <v>5552</v>
      </c>
      <c r="H281" s="1" t="s">
        <v>1507</v>
      </c>
      <c r="I281" s="1" t="s">
        <v>1507</v>
      </c>
      <c r="J281" s="1" t="s">
        <v>7853</v>
      </c>
      <c r="K281" s="1">
        <v>2022</v>
      </c>
      <c r="L281" s="1" t="s">
        <v>1507</v>
      </c>
      <c r="M281" s="1" t="s">
        <v>1507</v>
      </c>
    </row>
    <row r="282" spans="1:13" x14ac:dyDescent="0.25">
      <c r="A282" s="1">
        <v>329</v>
      </c>
      <c r="B282" s="1" t="s">
        <v>4411</v>
      </c>
      <c r="C282" s="1" t="s">
        <v>4412</v>
      </c>
      <c r="D282" s="1" t="s">
        <v>4413</v>
      </c>
      <c r="E282" s="1" t="s">
        <v>4414</v>
      </c>
      <c r="F282" s="1" t="s">
        <v>42</v>
      </c>
      <c r="G282" s="1" t="s">
        <v>56</v>
      </c>
      <c r="H282" s="1" t="s">
        <v>1507</v>
      </c>
      <c r="I282" s="1" t="s">
        <v>4415</v>
      </c>
      <c r="J282" s="1" t="s">
        <v>4416</v>
      </c>
      <c r="K282" s="1">
        <v>2023</v>
      </c>
      <c r="L282" s="1" t="s">
        <v>4428</v>
      </c>
      <c r="M282" s="1" t="str">
        <f>HYPERLINK("http://dx.doi.org/10.1038/s43856-023-00334-5","http://dx.doi.org/10.1038/s43856-023-00334-5")</f>
        <v>http://dx.doi.org/10.1038/s43856-023-00334-5</v>
      </c>
    </row>
    <row r="283" spans="1:13" x14ac:dyDescent="0.25">
      <c r="A283" s="1">
        <v>330</v>
      </c>
      <c r="B283" s="1" t="s">
        <v>15168</v>
      </c>
      <c r="C283" s="1" t="s">
        <v>15169</v>
      </c>
      <c r="D283" s="1" t="s">
        <v>15170</v>
      </c>
      <c r="E283" s="1" t="s">
        <v>15092</v>
      </c>
      <c r="F283" s="1" t="s">
        <v>42</v>
      </c>
      <c r="G283" s="1" t="s">
        <v>5552</v>
      </c>
      <c r="H283" s="1" t="s">
        <v>15171</v>
      </c>
      <c r="I283" s="1" t="s">
        <v>1507</v>
      </c>
      <c r="J283" s="1" t="s">
        <v>15172</v>
      </c>
      <c r="K283" s="1">
        <v>2023</v>
      </c>
      <c r="L283" s="1" t="s">
        <v>15181</v>
      </c>
      <c r="M283" s="1" t="str">
        <f>HYPERLINK("http://dx.doi.org/10.1145/3583780.3615017","http://dx.doi.org/10.1145/3583780.3615017")</f>
        <v>http://dx.doi.org/10.1145/3583780.3615017</v>
      </c>
    </row>
    <row r="284" spans="1:13" x14ac:dyDescent="0.25">
      <c r="A284" s="1">
        <v>331</v>
      </c>
      <c r="B284" s="1" t="s">
        <v>3819</v>
      </c>
      <c r="C284" s="1" t="s">
        <v>3820</v>
      </c>
      <c r="D284" s="1" t="s">
        <v>3821</v>
      </c>
      <c r="E284" s="1" t="s">
        <v>3822</v>
      </c>
      <c r="F284" s="1" t="s">
        <v>42</v>
      </c>
      <c r="G284" s="1" t="s">
        <v>56</v>
      </c>
      <c r="H284" s="1" t="s">
        <v>3823</v>
      </c>
      <c r="I284" s="1" t="s">
        <v>1507</v>
      </c>
      <c r="J284" s="1" t="s">
        <v>3824</v>
      </c>
      <c r="K284" s="1">
        <v>2023</v>
      </c>
      <c r="L284" s="1" t="s">
        <v>3837</v>
      </c>
      <c r="M284" s="1" t="str">
        <f>HYPERLINK("http://dx.doi.org/10.1016/j.knosys.2023.110957","http://dx.doi.org/10.1016/j.knosys.2023.110957")</f>
        <v>http://dx.doi.org/10.1016/j.knosys.2023.110957</v>
      </c>
    </row>
    <row r="285" spans="1:13" x14ac:dyDescent="0.25">
      <c r="A285" s="1">
        <v>332</v>
      </c>
      <c r="B285" s="1" t="s">
        <v>8108</v>
      </c>
      <c r="C285" s="1" t="s">
        <v>8109</v>
      </c>
      <c r="D285" s="1" t="s">
        <v>8110</v>
      </c>
      <c r="E285" s="1" t="s">
        <v>8111</v>
      </c>
      <c r="F285" s="1" t="s">
        <v>42</v>
      </c>
      <c r="G285" s="1" t="s">
        <v>56</v>
      </c>
      <c r="H285" s="1" t="s">
        <v>8112</v>
      </c>
      <c r="I285" s="1" t="s">
        <v>8113</v>
      </c>
      <c r="J285" s="1" t="s">
        <v>8114</v>
      </c>
      <c r="K285" s="1">
        <v>2021</v>
      </c>
      <c r="L285" s="1" t="s">
        <v>8126</v>
      </c>
      <c r="M285" s="1" t="str">
        <f>HYPERLINK("http://dx.doi.org/10.3390/molecules26226831","http://dx.doi.org/10.3390/molecules26226831")</f>
        <v>http://dx.doi.org/10.3390/molecules26226831</v>
      </c>
    </row>
    <row r="286" spans="1:13" x14ac:dyDescent="0.25">
      <c r="A286" s="1">
        <v>333</v>
      </c>
      <c r="B286" s="1" t="s">
        <v>6131</v>
      </c>
      <c r="C286" s="1" t="s">
        <v>6132</v>
      </c>
      <c r="D286" s="1" t="s">
        <v>6133</v>
      </c>
      <c r="E286" s="1" t="s">
        <v>6014</v>
      </c>
      <c r="F286" s="1" t="s">
        <v>42</v>
      </c>
      <c r="G286" s="1" t="s">
        <v>5552</v>
      </c>
      <c r="H286" s="1" t="s">
        <v>6134</v>
      </c>
      <c r="I286" s="1" t="s">
        <v>1507</v>
      </c>
      <c r="J286" s="1" t="s">
        <v>6135</v>
      </c>
      <c r="K286" s="1">
        <v>2023</v>
      </c>
      <c r="L286" s="1" t="s">
        <v>6143</v>
      </c>
      <c r="M286" s="1" t="str">
        <f>HYPERLINK("http://dx.doi.org/10.1109/ASE56229.2023.00089","http://dx.doi.org/10.1109/ASE56229.2023.00089")</f>
        <v>http://dx.doi.org/10.1109/ASE56229.2023.00089</v>
      </c>
    </row>
    <row r="287" spans="1:13" x14ac:dyDescent="0.25">
      <c r="A287" s="1">
        <v>334</v>
      </c>
      <c r="B287" s="1" t="s">
        <v>8922</v>
      </c>
      <c r="C287" s="1" t="s">
        <v>8923</v>
      </c>
      <c r="D287" s="1" t="s">
        <v>8924</v>
      </c>
      <c r="E287" s="1" t="s">
        <v>8925</v>
      </c>
      <c r="F287" s="1" t="s">
        <v>42</v>
      </c>
      <c r="G287" s="1" t="s">
        <v>56</v>
      </c>
      <c r="H287" s="1" t="s">
        <v>8926</v>
      </c>
      <c r="I287" s="1" t="s">
        <v>8927</v>
      </c>
      <c r="J287" s="1" t="s">
        <v>8928</v>
      </c>
      <c r="K287" s="1">
        <v>2021</v>
      </c>
      <c r="L287" s="1" t="s">
        <v>8940</v>
      </c>
      <c r="M287" s="1" t="str">
        <f>HYPERLINK("http://dx.doi.org/10.1021/acs.oprd.0c00529","http://dx.doi.org/10.1021/acs.oprd.0c00529")</f>
        <v>http://dx.doi.org/10.1021/acs.oprd.0c00529</v>
      </c>
    </row>
    <row r="288" spans="1:13" x14ac:dyDescent="0.25">
      <c r="A288" s="1">
        <v>336</v>
      </c>
      <c r="B288" s="1" t="s">
        <v>2042</v>
      </c>
      <c r="C288" s="1" t="s">
        <v>2043</v>
      </c>
      <c r="D288" s="1" t="s">
        <v>2044</v>
      </c>
      <c r="E288" s="1" t="s">
        <v>2045</v>
      </c>
      <c r="F288" s="1" t="s">
        <v>42</v>
      </c>
      <c r="G288" s="1" t="s">
        <v>56</v>
      </c>
      <c r="H288" s="1" t="s">
        <v>2046</v>
      </c>
      <c r="I288" s="1" t="s">
        <v>1507</v>
      </c>
      <c r="J288" s="1" t="s">
        <v>2047</v>
      </c>
      <c r="K288" s="1">
        <v>2023</v>
      </c>
      <c r="L288" s="1" t="s">
        <v>2059</v>
      </c>
      <c r="M288" s="1" t="str">
        <f>HYPERLINK("http://dx.doi.org/10.1080/17538947.2023.2278895","http://dx.doi.org/10.1080/17538947.2023.2278895")</f>
        <v>http://dx.doi.org/10.1080/17538947.2023.2278895</v>
      </c>
    </row>
    <row r="289" spans="1:13" x14ac:dyDescent="0.25">
      <c r="A289" s="1">
        <v>338</v>
      </c>
      <c r="B289" s="1" t="s">
        <v>11068</v>
      </c>
      <c r="C289" s="1" t="s">
        <v>11069</v>
      </c>
      <c r="D289" s="1" t="s">
        <v>11070</v>
      </c>
      <c r="E289" s="1" t="s">
        <v>4452</v>
      </c>
      <c r="F289" s="1" t="s">
        <v>42</v>
      </c>
      <c r="G289" s="1" t="s">
        <v>56</v>
      </c>
      <c r="H289" s="1" t="s">
        <v>11071</v>
      </c>
      <c r="I289" s="1" t="s">
        <v>11072</v>
      </c>
      <c r="J289" s="1" t="s">
        <v>11073</v>
      </c>
      <c r="K289" s="1">
        <v>2019</v>
      </c>
      <c r="L289" s="1" t="s">
        <v>11081</v>
      </c>
      <c r="M289" s="1" t="str">
        <f>HYPERLINK("http://dx.doi.org/10.1007/s40858-018-0254-9","http://dx.doi.org/10.1007/s40858-018-0254-9")</f>
        <v>http://dx.doi.org/10.1007/s40858-018-0254-9</v>
      </c>
    </row>
    <row r="290" spans="1:13" x14ac:dyDescent="0.25">
      <c r="A290" s="1">
        <v>339</v>
      </c>
      <c r="B290" s="1" t="s">
        <v>9512</v>
      </c>
      <c r="C290" s="1" t="s">
        <v>9513</v>
      </c>
      <c r="D290" s="1" t="s">
        <v>9514</v>
      </c>
      <c r="E290" s="1" t="s">
        <v>9515</v>
      </c>
      <c r="F290" s="1" t="s">
        <v>42</v>
      </c>
      <c r="G290" s="1" t="s">
        <v>56</v>
      </c>
      <c r="H290" s="1" t="s">
        <v>1507</v>
      </c>
      <c r="I290" s="1" t="s">
        <v>9516</v>
      </c>
      <c r="J290" s="1" t="s">
        <v>9517</v>
      </c>
      <c r="K290" s="1">
        <v>2020</v>
      </c>
      <c r="L290" s="1" t="s">
        <v>1507</v>
      </c>
      <c r="M290" s="1" t="s">
        <v>1507</v>
      </c>
    </row>
    <row r="291" spans="1:13" x14ac:dyDescent="0.25">
      <c r="A291" s="1">
        <v>340</v>
      </c>
      <c r="B291" s="1" t="s">
        <v>3956</v>
      </c>
      <c r="C291" s="1" t="s">
        <v>3957</v>
      </c>
      <c r="D291" s="1" t="s">
        <v>3958</v>
      </c>
      <c r="E291" s="1" t="s">
        <v>3959</v>
      </c>
      <c r="F291" s="1" t="s">
        <v>42</v>
      </c>
      <c r="G291" s="1" t="s">
        <v>56</v>
      </c>
      <c r="H291" s="1" t="s">
        <v>3960</v>
      </c>
      <c r="I291" s="1" t="s">
        <v>3961</v>
      </c>
      <c r="J291" s="1" t="s">
        <v>3962</v>
      </c>
      <c r="K291" s="1">
        <v>2023</v>
      </c>
      <c r="L291" s="1" t="s">
        <v>3976</v>
      </c>
      <c r="M291" s="1" t="str">
        <f>HYPERLINK("http://dx.doi.org/10.1016/j.clsr.2023.105864","http://dx.doi.org/10.1016/j.clsr.2023.105864")</f>
        <v>http://dx.doi.org/10.1016/j.clsr.2023.105864</v>
      </c>
    </row>
    <row r="292" spans="1:13" x14ac:dyDescent="0.25">
      <c r="A292" s="1">
        <v>342</v>
      </c>
      <c r="B292" s="1" t="s">
        <v>4878</v>
      </c>
      <c r="C292" s="1" t="s">
        <v>4879</v>
      </c>
      <c r="D292" s="1" t="s">
        <v>1187</v>
      </c>
      <c r="E292" s="1" t="s">
        <v>4880</v>
      </c>
      <c r="F292" s="1" t="s">
        <v>42</v>
      </c>
      <c r="G292" s="1" t="s">
        <v>56</v>
      </c>
      <c r="H292" s="1" t="s">
        <v>4881</v>
      </c>
      <c r="I292" s="1" t="s">
        <v>4882</v>
      </c>
      <c r="J292" s="1" t="s">
        <v>4883</v>
      </c>
      <c r="K292" s="1">
        <v>2023</v>
      </c>
      <c r="L292" s="1" t="s">
        <v>1189</v>
      </c>
      <c r="M292" s="1" t="str">
        <f>HYPERLINK("http://dx.doi.org/10.3389/fcomm.2023.1129082","http://dx.doi.org/10.3389/fcomm.2023.1129082")</f>
        <v>http://dx.doi.org/10.3389/fcomm.2023.1129082</v>
      </c>
    </row>
    <row r="293" spans="1:13" x14ac:dyDescent="0.25">
      <c r="A293" s="1">
        <v>343</v>
      </c>
      <c r="B293" s="1" t="s">
        <v>11122</v>
      </c>
      <c r="C293" s="1" t="s">
        <v>11123</v>
      </c>
      <c r="D293" s="1" t="s">
        <v>11124</v>
      </c>
      <c r="E293" s="1" t="s">
        <v>11125</v>
      </c>
      <c r="F293" s="1" t="s">
        <v>42</v>
      </c>
      <c r="G293" s="1" t="s">
        <v>56</v>
      </c>
      <c r="H293" s="1" t="s">
        <v>11126</v>
      </c>
      <c r="I293" s="1" t="s">
        <v>11127</v>
      </c>
      <c r="J293" s="1" t="s">
        <v>11128</v>
      </c>
      <c r="K293" s="1">
        <v>2019</v>
      </c>
      <c r="L293" s="1" t="s">
        <v>11139</v>
      </c>
      <c r="M293" s="1" t="str">
        <f>HYPERLINK("http://dx.doi.org/10.1017/S2047102518000298","http://dx.doi.org/10.1017/S2047102518000298")</f>
        <v>http://dx.doi.org/10.1017/S2047102518000298</v>
      </c>
    </row>
    <row r="294" spans="1:13" x14ac:dyDescent="0.25">
      <c r="A294" s="1">
        <v>344</v>
      </c>
      <c r="B294" s="1" t="s">
        <v>11144</v>
      </c>
      <c r="C294" s="1" t="s">
        <v>11145</v>
      </c>
      <c r="D294" s="1" t="s">
        <v>11146</v>
      </c>
      <c r="E294" s="1" t="s">
        <v>11147</v>
      </c>
      <c r="F294" s="1" t="s">
        <v>42</v>
      </c>
      <c r="G294" s="1" t="s">
        <v>56</v>
      </c>
      <c r="H294" s="1" t="s">
        <v>11148</v>
      </c>
      <c r="I294" s="1" t="s">
        <v>11149</v>
      </c>
      <c r="J294" s="1" t="s">
        <v>11150</v>
      </c>
      <c r="K294" s="1">
        <v>2019</v>
      </c>
      <c r="L294" s="1" t="s">
        <v>11161</v>
      </c>
      <c r="M294" s="1" t="str">
        <f>HYPERLINK("http://dx.doi.org/10.1007/s10973-019-08079-x","http://dx.doi.org/10.1007/s10973-019-08079-x")</f>
        <v>http://dx.doi.org/10.1007/s10973-019-08079-x</v>
      </c>
    </row>
    <row r="295" spans="1:13" x14ac:dyDescent="0.25">
      <c r="A295" s="1">
        <v>345</v>
      </c>
      <c r="B295" s="1" t="s">
        <v>2156</v>
      </c>
      <c r="C295" s="1" t="s">
        <v>2157</v>
      </c>
      <c r="D295" s="1" t="s">
        <v>2158</v>
      </c>
      <c r="E295" s="1" t="s">
        <v>2159</v>
      </c>
      <c r="F295" s="1" t="s">
        <v>42</v>
      </c>
      <c r="G295" s="1" t="s">
        <v>56</v>
      </c>
      <c r="H295" s="1" t="s">
        <v>1507</v>
      </c>
      <c r="I295" s="1" t="s">
        <v>2160</v>
      </c>
      <c r="J295" s="1" t="s">
        <v>2161</v>
      </c>
      <c r="K295" s="1">
        <v>2023</v>
      </c>
      <c r="L295" s="1" t="s">
        <v>2172</v>
      </c>
      <c r="M295" s="1" t="str">
        <f>HYPERLINK("http://dx.doi.org/10.1038/s41746-023-00952-2","http://dx.doi.org/10.1038/s41746-023-00952-2")</f>
        <v>http://dx.doi.org/10.1038/s41746-023-00952-2</v>
      </c>
    </row>
    <row r="296" spans="1:13" x14ac:dyDescent="0.25">
      <c r="A296" s="1">
        <v>346</v>
      </c>
      <c r="B296" s="1" t="s">
        <v>10349</v>
      </c>
      <c r="C296" s="1" t="s">
        <v>10350</v>
      </c>
      <c r="D296" s="1" t="s">
        <v>10351</v>
      </c>
      <c r="E296" s="1" t="s">
        <v>7982</v>
      </c>
      <c r="F296" s="1" t="s">
        <v>42</v>
      </c>
      <c r="G296" s="1" t="s">
        <v>56</v>
      </c>
      <c r="H296" s="1" t="s">
        <v>10352</v>
      </c>
      <c r="I296" s="1" t="s">
        <v>10353</v>
      </c>
      <c r="J296" s="1" t="s">
        <v>10354</v>
      </c>
      <c r="K296" s="1">
        <v>2020</v>
      </c>
      <c r="L296" s="1" t="s">
        <v>10362</v>
      </c>
      <c r="M296" s="1" t="str">
        <f>HYPERLINK("http://dx.doi.org/10.1093/jxb/erz409","http://dx.doi.org/10.1093/jxb/erz409")</f>
        <v>http://dx.doi.org/10.1093/jxb/erz409</v>
      </c>
    </row>
    <row r="297" spans="1:13" x14ac:dyDescent="0.25">
      <c r="A297" s="1">
        <v>347</v>
      </c>
      <c r="B297" s="1" t="s">
        <v>9245</v>
      </c>
      <c r="C297" s="1" t="s">
        <v>9246</v>
      </c>
      <c r="D297" s="1" t="s">
        <v>9247</v>
      </c>
      <c r="E297" s="1" t="s">
        <v>9248</v>
      </c>
      <c r="F297" s="1" t="s">
        <v>42</v>
      </c>
      <c r="G297" s="1" t="s">
        <v>56</v>
      </c>
      <c r="H297" s="1" t="s">
        <v>1507</v>
      </c>
      <c r="I297" s="1" t="s">
        <v>9249</v>
      </c>
      <c r="J297" s="1" t="s">
        <v>9250</v>
      </c>
      <c r="K297" s="1">
        <v>2021</v>
      </c>
      <c r="L297" s="1" t="s">
        <v>1507</v>
      </c>
      <c r="M297" s="1" t="s">
        <v>1507</v>
      </c>
    </row>
    <row r="298" spans="1:13" x14ac:dyDescent="0.25">
      <c r="A298" s="1">
        <v>349</v>
      </c>
      <c r="B298" s="1" t="s">
        <v>10547</v>
      </c>
      <c r="C298" s="1" t="s">
        <v>10548</v>
      </c>
      <c r="D298" s="1" t="s">
        <v>10549</v>
      </c>
      <c r="E298" s="1" t="s">
        <v>10550</v>
      </c>
      <c r="F298" s="1" t="s">
        <v>42</v>
      </c>
      <c r="G298" s="1" t="s">
        <v>56</v>
      </c>
      <c r="H298" s="1" t="s">
        <v>10551</v>
      </c>
      <c r="I298" s="1" t="s">
        <v>10552</v>
      </c>
      <c r="J298" s="1" t="s">
        <v>10553</v>
      </c>
      <c r="K298" s="1">
        <v>2019</v>
      </c>
      <c r="L298" s="1" t="s">
        <v>10566</v>
      </c>
      <c r="M298" s="1" t="str">
        <f>HYPERLINK("http://dx.doi.org/10.1007/s00265-019-2766-9","http://dx.doi.org/10.1007/s00265-019-2766-9")</f>
        <v>http://dx.doi.org/10.1007/s00265-019-2766-9</v>
      </c>
    </row>
    <row r="299" spans="1:13" x14ac:dyDescent="0.25">
      <c r="A299" s="1">
        <v>350</v>
      </c>
      <c r="B299" s="1" t="s">
        <v>9775</v>
      </c>
      <c r="C299" s="1" t="s">
        <v>9776</v>
      </c>
      <c r="D299" s="1" t="s">
        <v>9777</v>
      </c>
      <c r="E299" s="1" t="s">
        <v>9778</v>
      </c>
      <c r="F299" s="1" t="s">
        <v>42</v>
      </c>
      <c r="G299" s="1" t="s">
        <v>56</v>
      </c>
      <c r="H299" s="1" t="s">
        <v>1507</v>
      </c>
      <c r="I299" s="1" t="s">
        <v>9779</v>
      </c>
      <c r="J299" s="1" t="s">
        <v>9780</v>
      </c>
      <c r="K299" s="1">
        <v>2020</v>
      </c>
      <c r="L299" s="1" t="s">
        <v>9792</v>
      </c>
      <c r="M299" s="1" t="str">
        <f>HYPERLINK("http://dx.doi.org/10.1016/j.celrep.2020.107725","http://dx.doi.org/10.1016/j.celrep.2020.107725")</f>
        <v>http://dx.doi.org/10.1016/j.celrep.2020.107725</v>
      </c>
    </row>
    <row r="300" spans="1:13" x14ac:dyDescent="0.25">
      <c r="A300" s="1">
        <v>351</v>
      </c>
      <c r="B300" s="1" t="s">
        <v>2251</v>
      </c>
      <c r="C300" s="1" t="s">
        <v>2252</v>
      </c>
      <c r="D300" s="1" t="s">
        <v>2253</v>
      </c>
      <c r="E300" s="1" t="s">
        <v>2254</v>
      </c>
      <c r="F300" s="1" t="s">
        <v>42</v>
      </c>
      <c r="G300" s="1" t="s">
        <v>56</v>
      </c>
      <c r="H300" s="1" t="s">
        <v>2255</v>
      </c>
      <c r="I300" s="1" t="s">
        <v>2256</v>
      </c>
      <c r="J300" s="1" t="s">
        <v>2257</v>
      </c>
      <c r="K300" s="1">
        <v>2023</v>
      </c>
      <c r="L300" s="1" t="s">
        <v>2265</v>
      </c>
      <c r="M300" s="1" t="str">
        <f>HYPERLINK("http://dx.doi.org/10.3390/fi15120375","http://dx.doi.org/10.3390/fi15120375")</f>
        <v>http://dx.doi.org/10.3390/fi15120375</v>
      </c>
    </row>
    <row r="301" spans="1:13" x14ac:dyDescent="0.25">
      <c r="A301" s="1">
        <v>352</v>
      </c>
      <c r="B301" s="1" t="s">
        <v>6145</v>
      </c>
      <c r="C301" s="1" t="s">
        <v>6146</v>
      </c>
      <c r="D301" s="1" t="s">
        <v>6147</v>
      </c>
      <c r="E301" s="1" t="s">
        <v>6148</v>
      </c>
      <c r="F301" s="1" t="s">
        <v>42</v>
      </c>
      <c r="G301" s="1" t="s">
        <v>5552</v>
      </c>
      <c r="H301" s="1" t="s">
        <v>6153</v>
      </c>
      <c r="I301" s="1" t="s">
        <v>1507</v>
      </c>
      <c r="J301" s="1" t="s">
        <v>6154</v>
      </c>
      <c r="K301" s="1">
        <v>2023</v>
      </c>
      <c r="L301" s="1" t="s">
        <v>6163</v>
      </c>
      <c r="M301" s="1" t="str">
        <f>HYPERLINK("http://dx.doi.org/10.1145/3603269.3610856","http://dx.doi.org/10.1145/3603269.3610856")</f>
        <v>http://dx.doi.org/10.1145/3603269.3610856</v>
      </c>
    </row>
    <row r="302" spans="1:13" x14ac:dyDescent="0.25">
      <c r="A302" s="1">
        <v>353</v>
      </c>
      <c r="B302" s="1" t="s">
        <v>7383</v>
      </c>
      <c r="C302" s="1" t="s">
        <v>7384</v>
      </c>
      <c r="D302" s="1" t="s">
        <v>7385</v>
      </c>
      <c r="E302" s="1" t="s">
        <v>7386</v>
      </c>
      <c r="F302" s="1" t="s">
        <v>42</v>
      </c>
      <c r="G302" s="1" t="s">
        <v>56</v>
      </c>
      <c r="H302" s="1" t="s">
        <v>1507</v>
      </c>
      <c r="I302" s="1" t="s">
        <v>7387</v>
      </c>
      <c r="J302" s="1" t="s">
        <v>7388</v>
      </c>
      <c r="K302" s="1">
        <v>2022</v>
      </c>
      <c r="L302" s="1" t="s">
        <v>7398</v>
      </c>
      <c r="M302" s="1" t="str">
        <f>HYPERLINK("http://dx.doi.org/10.1016/j.stemcr.2022.01.015","http://dx.doi.org/10.1016/j.stemcr.2022.01.015")</f>
        <v>http://dx.doi.org/10.1016/j.stemcr.2022.01.015</v>
      </c>
    </row>
    <row r="303" spans="1:13" x14ac:dyDescent="0.25">
      <c r="A303" s="1">
        <v>354</v>
      </c>
      <c r="B303" s="1" t="s">
        <v>15185</v>
      </c>
      <c r="C303" s="1" t="s">
        <v>15187</v>
      </c>
      <c r="D303" s="1" t="s">
        <v>15188</v>
      </c>
      <c r="E303" s="1" t="s">
        <v>15189</v>
      </c>
      <c r="F303" s="1" t="s">
        <v>42</v>
      </c>
      <c r="G303" s="1" t="s">
        <v>5552</v>
      </c>
      <c r="H303" s="1" t="s">
        <v>15193</v>
      </c>
      <c r="I303" s="1" t="s">
        <v>1507</v>
      </c>
      <c r="J303" s="1" t="s">
        <v>15194</v>
      </c>
      <c r="K303" s="1">
        <v>2023</v>
      </c>
      <c r="L303" s="1" t="s">
        <v>15202</v>
      </c>
      <c r="M303" s="1" t="str">
        <f>HYPERLINK("http://dx.doi.org/10.1145/3639233.3639353","http://dx.doi.org/10.1145/3639233.3639353")</f>
        <v>http://dx.doi.org/10.1145/3639233.3639353</v>
      </c>
    </row>
    <row r="304" spans="1:13" x14ac:dyDescent="0.25">
      <c r="A304" s="1">
        <v>355</v>
      </c>
      <c r="B304" s="1" t="s">
        <v>5429</v>
      </c>
      <c r="C304" s="1" t="s">
        <v>5430</v>
      </c>
      <c r="D304" s="1" t="s">
        <v>5431</v>
      </c>
      <c r="E304" s="1" t="s">
        <v>5432</v>
      </c>
      <c r="F304" s="1" t="s">
        <v>42</v>
      </c>
      <c r="G304" s="1" t="s">
        <v>56</v>
      </c>
      <c r="H304" s="1" t="s">
        <v>1507</v>
      </c>
      <c r="I304" s="1" t="s">
        <v>5433</v>
      </c>
      <c r="J304" s="1" t="s">
        <v>5434</v>
      </c>
      <c r="K304" s="1">
        <v>2023</v>
      </c>
      <c r="L304" s="1" t="s">
        <v>5445</v>
      </c>
      <c r="M304" s="1" t="str">
        <f>HYPERLINK("http://dx.doi.org/10.1038/s41587-022-01618-2","http://dx.doi.org/10.1038/s41587-022-01618-2")</f>
        <v>http://dx.doi.org/10.1038/s41587-022-01618-2</v>
      </c>
    </row>
    <row r="305" spans="1:13" x14ac:dyDescent="0.25">
      <c r="A305" s="1">
        <v>356</v>
      </c>
      <c r="B305" s="1" t="s">
        <v>2268</v>
      </c>
      <c r="C305" s="1" t="s">
        <v>2269</v>
      </c>
      <c r="D305" s="1" t="s">
        <v>2270</v>
      </c>
      <c r="E305" s="1" t="s">
        <v>2200</v>
      </c>
      <c r="F305" s="1" t="s">
        <v>42</v>
      </c>
      <c r="G305" s="1" t="s">
        <v>56</v>
      </c>
      <c r="H305" s="1" t="s">
        <v>2271</v>
      </c>
      <c r="I305" s="1" t="s">
        <v>2272</v>
      </c>
      <c r="J305" s="1" t="s">
        <v>2273</v>
      </c>
      <c r="K305" s="1">
        <v>2023</v>
      </c>
      <c r="L305" s="1" t="s">
        <v>2282</v>
      </c>
      <c r="M305" s="1" t="str">
        <f>HYPERLINK("http://dx.doi.org/10.3390/informatics10040084","http://dx.doi.org/10.3390/informatics10040084")</f>
        <v>http://dx.doi.org/10.3390/informatics10040084</v>
      </c>
    </row>
    <row r="306" spans="1:13" x14ac:dyDescent="0.25">
      <c r="A306" s="1">
        <v>357</v>
      </c>
      <c r="B306" s="1" t="s">
        <v>4487</v>
      </c>
      <c r="C306" s="1" t="s">
        <v>4488</v>
      </c>
      <c r="D306" s="1" t="s">
        <v>4489</v>
      </c>
      <c r="E306" s="1" t="s">
        <v>4490</v>
      </c>
      <c r="F306" s="1" t="s">
        <v>42</v>
      </c>
      <c r="G306" s="1" t="s">
        <v>56</v>
      </c>
      <c r="H306" s="1" t="s">
        <v>4491</v>
      </c>
      <c r="I306" s="1" t="s">
        <v>4492</v>
      </c>
      <c r="J306" s="1" t="s">
        <v>4493</v>
      </c>
      <c r="K306" s="1">
        <v>2023</v>
      </c>
      <c r="L306" s="1" t="s">
        <v>4506</v>
      </c>
      <c r="M306" s="1" t="str">
        <f>HYPERLINK("http://dx.doi.org/10.1016/j.hal.2023.102478","http://dx.doi.org/10.1016/j.hal.2023.102478")</f>
        <v>http://dx.doi.org/10.1016/j.hal.2023.102478</v>
      </c>
    </row>
    <row r="307" spans="1:13" x14ac:dyDescent="0.25">
      <c r="A307" s="1">
        <v>358</v>
      </c>
      <c r="B307" s="1" t="s">
        <v>15205</v>
      </c>
      <c r="C307" s="1" t="s">
        <v>15207</v>
      </c>
      <c r="D307" s="1" t="s">
        <v>15208</v>
      </c>
      <c r="E307" s="1" t="s">
        <v>15209</v>
      </c>
      <c r="F307" s="1" t="s">
        <v>42</v>
      </c>
      <c r="G307" s="1" t="s">
        <v>5552</v>
      </c>
      <c r="H307" s="1" t="s">
        <v>15213</v>
      </c>
      <c r="I307" s="1" t="s">
        <v>1507</v>
      </c>
      <c r="J307" s="1" t="s">
        <v>15214</v>
      </c>
      <c r="K307" s="1">
        <v>2023</v>
      </c>
      <c r="L307" s="1" t="s">
        <v>851</v>
      </c>
      <c r="M307" s="1" t="str">
        <f>HYPERLINK("http://dx.doi.org/10.1007/978-3-031-48060-7_14","http://dx.doi.org/10.1007/978-3-031-48060-7_14")</f>
        <v>http://dx.doi.org/10.1007/978-3-031-48060-7_14</v>
      </c>
    </row>
    <row r="308" spans="1:13" x14ac:dyDescent="0.25">
      <c r="A308" s="1">
        <v>359</v>
      </c>
      <c r="B308" s="1" t="s">
        <v>12015</v>
      </c>
      <c r="C308" s="1" t="s">
        <v>12016</v>
      </c>
      <c r="D308" s="1" t="s">
        <v>12017</v>
      </c>
      <c r="E308" s="1" t="s">
        <v>12018</v>
      </c>
      <c r="F308" s="1" t="s">
        <v>42</v>
      </c>
      <c r="G308" s="1" t="s">
        <v>5552</v>
      </c>
      <c r="H308" s="1" t="s">
        <v>1507</v>
      </c>
      <c r="I308" s="1" t="s">
        <v>1507</v>
      </c>
      <c r="J308" s="1" t="s">
        <v>12024</v>
      </c>
      <c r="K308" s="1">
        <v>2018</v>
      </c>
      <c r="L308" s="1" t="s">
        <v>12036</v>
      </c>
      <c r="M308" s="1" t="str">
        <f>HYPERLINK("http://dx.doi.org/10.1109/SIBGRAPI.2018.00061","http://dx.doi.org/10.1109/SIBGRAPI.2018.00061")</f>
        <v>http://dx.doi.org/10.1109/SIBGRAPI.2018.00061</v>
      </c>
    </row>
    <row r="309" spans="1:13" x14ac:dyDescent="0.25">
      <c r="A309" s="1">
        <v>360</v>
      </c>
      <c r="B309" s="1" t="s">
        <v>4836</v>
      </c>
      <c r="C309" s="1" t="s">
        <v>4837</v>
      </c>
      <c r="D309" s="1" t="s">
        <v>4838</v>
      </c>
      <c r="E309" s="1" t="s">
        <v>1657</v>
      </c>
      <c r="F309" s="1" t="s">
        <v>42</v>
      </c>
      <c r="G309" s="1" t="s">
        <v>56</v>
      </c>
      <c r="H309" s="1" t="s">
        <v>4839</v>
      </c>
      <c r="I309" s="1" t="s">
        <v>1507</v>
      </c>
      <c r="J309" s="1" t="s">
        <v>4840</v>
      </c>
      <c r="K309" s="1">
        <v>2023</v>
      </c>
      <c r="L309" s="1" t="s">
        <v>4850</v>
      </c>
      <c r="M309" s="1" t="str">
        <f>HYPERLINK("http://dx.doi.org/10.2196/46924","http://dx.doi.org/10.2196/46924")</f>
        <v>http://dx.doi.org/10.2196/46924</v>
      </c>
    </row>
    <row r="310" spans="1:13" x14ac:dyDescent="0.25">
      <c r="A310" s="1">
        <v>361</v>
      </c>
      <c r="B310" s="1" t="s">
        <v>6167</v>
      </c>
      <c r="C310" s="1" t="s">
        <v>6168</v>
      </c>
      <c r="D310" s="1" t="s">
        <v>6169</v>
      </c>
      <c r="E310" s="1" t="s">
        <v>6170</v>
      </c>
      <c r="F310" s="1" t="s">
        <v>42</v>
      </c>
      <c r="G310" s="1" t="s">
        <v>5552</v>
      </c>
      <c r="H310" s="1" t="s">
        <v>6175</v>
      </c>
      <c r="I310" s="1" t="s">
        <v>6176</v>
      </c>
      <c r="J310" s="1" t="s">
        <v>6177</v>
      </c>
      <c r="K310" s="1">
        <v>2023</v>
      </c>
      <c r="L310" s="1" t="s">
        <v>6182</v>
      </c>
      <c r="M310" s="1" t="str">
        <f>HYPERLINK("http://dx.doi.org/10.1145/3626111.3628183","http://dx.doi.org/10.1145/3626111.3628183")</f>
        <v>http://dx.doi.org/10.1145/3626111.3628183</v>
      </c>
    </row>
    <row r="311" spans="1:13" x14ac:dyDescent="0.25">
      <c r="A311" s="1">
        <v>363</v>
      </c>
      <c r="B311" s="1" t="s">
        <v>10625</v>
      </c>
      <c r="C311" s="1" t="s">
        <v>10626</v>
      </c>
      <c r="D311" s="1" t="s">
        <v>10627</v>
      </c>
      <c r="E311" s="1" t="s">
        <v>10628</v>
      </c>
      <c r="F311" s="1" t="s">
        <v>42</v>
      </c>
      <c r="G311" s="1" t="s">
        <v>56</v>
      </c>
      <c r="H311" s="1" t="s">
        <v>10629</v>
      </c>
      <c r="I311" s="1" t="s">
        <v>10630</v>
      </c>
      <c r="J311" s="1" t="s">
        <v>10631</v>
      </c>
      <c r="K311" s="1">
        <v>2019</v>
      </c>
      <c r="L311" s="1" t="s">
        <v>10643</v>
      </c>
      <c r="M311" s="1" t="str">
        <f>HYPERLINK("http://dx.doi.org/10.1016/j.nbd.2019.104506","http://dx.doi.org/10.1016/j.nbd.2019.104506")</f>
        <v>http://dx.doi.org/10.1016/j.nbd.2019.104506</v>
      </c>
    </row>
    <row r="312" spans="1:13" x14ac:dyDescent="0.25">
      <c r="A312" s="1">
        <v>364</v>
      </c>
      <c r="B312" s="1" t="s">
        <v>11634</v>
      </c>
      <c r="C312" s="1" t="s">
        <v>11635</v>
      </c>
      <c r="D312" s="1" t="s">
        <v>11636</v>
      </c>
      <c r="E312" s="1" t="s">
        <v>11637</v>
      </c>
      <c r="F312" s="1" t="s">
        <v>42</v>
      </c>
      <c r="G312" s="1" t="s">
        <v>56</v>
      </c>
      <c r="H312" s="1" t="s">
        <v>11638</v>
      </c>
      <c r="I312" s="1" t="s">
        <v>11639</v>
      </c>
      <c r="J312" s="1" t="s">
        <v>11640</v>
      </c>
      <c r="K312" s="1">
        <v>2018</v>
      </c>
      <c r="L312" s="1" t="s">
        <v>11652</v>
      </c>
      <c r="M312" s="1" t="str">
        <f>HYPERLINK("http://dx.doi.org/10.1016/j.cellimm.2018.01.018","http://dx.doi.org/10.1016/j.cellimm.2018.01.018")</f>
        <v>http://dx.doi.org/10.1016/j.cellimm.2018.01.018</v>
      </c>
    </row>
    <row r="313" spans="1:13" x14ac:dyDescent="0.25">
      <c r="A313" s="1">
        <v>365</v>
      </c>
      <c r="B313" s="1" t="s">
        <v>9328</v>
      </c>
      <c r="C313" s="1" t="s">
        <v>9329</v>
      </c>
      <c r="D313" s="1" t="s">
        <v>9330</v>
      </c>
      <c r="E313" s="1" t="s">
        <v>3251</v>
      </c>
      <c r="F313" s="1" t="s">
        <v>42</v>
      </c>
      <c r="G313" s="1" t="s">
        <v>56</v>
      </c>
      <c r="H313" s="1" t="s">
        <v>9331</v>
      </c>
      <c r="I313" s="1" t="s">
        <v>9332</v>
      </c>
      <c r="J313" s="1" t="s">
        <v>9333</v>
      </c>
      <c r="K313" s="1">
        <v>2020</v>
      </c>
      <c r="L313" s="1" t="s">
        <v>9341</v>
      </c>
      <c r="M313" s="1" t="str">
        <f>HYPERLINK("http://dx.doi.org/10.1073/pnas.2010738117","http://dx.doi.org/10.1073/pnas.2010738117")</f>
        <v>http://dx.doi.org/10.1073/pnas.2010738117</v>
      </c>
    </row>
    <row r="314" spans="1:13" x14ac:dyDescent="0.25">
      <c r="A314" s="1">
        <v>366</v>
      </c>
      <c r="B314" s="1" t="s">
        <v>3732</v>
      </c>
      <c r="C314" s="1" t="s">
        <v>3733</v>
      </c>
      <c r="D314" s="1" t="s">
        <v>3734</v>
      </c>
      <c r="E314" s="1" t="s">
        <v>3735</v>
      </c>
      <c r="F314" s="1" t="s">
        <v>42</v>
      </c>
      <c r="G314" s="1" t="s">
        <v>1509</v>
      </c>
      <c r="H314" s="1" t="s">
        <v>3736</v>
      </c>
      <c r="I314" s="1" t="s">
        <v>3737</v>
      </c>
      <c r="J314" s="1" t="s">
        <v>3738</v>
      </c>
      <c r="K314" s="1">
        <v>2023</v>
      </c>
      <c r="L314" s="1" t="s">
        <v>3751</v>
      </c>
      <c r="M314" s="1" t="str">
        <f>HYPERLINK("http://dx.doi.org/10.1002/tea.21903","http://dx.doi.org/10.1002/tea.21903")</f>
        <v>http://dx.doi.org/10.1002/tea.21903</v>
      </c>
    </row>
    <row r="315" spans="1:13" x14ac:dyDescent="0.25">
      <c r="A315" s="1">
        <v>367</v>
      </c>
      <c r="B315" s="1" t="s">
        <v>7258</v>
      </c>
      <c r="C315" s="1" t="s">
        <v>7259</v>
      </c>
      <c r="D315" s="1" t="s">
        <v>7260</v>
      </c>
      <c r="E315" s="1" t="s">
        <v>7261</v>
      </c>
      <c r="F315" s="1" t="s">
        <v>42</v>
      </c>
      <c r="G315" s="1" t="s">
        <v>56</v>
      </c>
      <c r="H315" s="1" t="s">
        <v>1507</v>
      </c>
      <c r="I315" s="1" t="s">
        <v>7262</v>
      </c>
      <c r="J315" s="1" t="s">
        <v>7263</v>
      </c>
      <c r="K315" s="1">
        <v>2022</v>
      </c>
      <c r="L315" s="1" t="s">
        <v>7273</v>
      </c>
      <c r="M315" s="1" t="str">
        <f>HYPERLINK("http://dx.doi.org/10.1016/j.ceca.2022.102582","http://dx.doi.org/10.1016/j.ceca.2022.102582")</f>
        <v>http://dx.doi.org/10.1016/j.ceca.2022.102582</v>
      </c>
    </row>
    <row r="316" spans="1:13" x14ac:dyDescent="0.25">
      <c r="A316" s="1">
        <v>368</v>
      </c>
      <c r="B316" s="1" t="s">
        <v>10647</v>
      </c>
      <c r="C316" s="1" t="s">
        <v>10648</v>
      </c>
      <c r="D316" s="1" t="s">
        <v>10649</v>
      </c>
      <c r="E316" s="1" t="s">
        <v>10187</v>
      </c>
      <c r="F316" s="1" t="s">
        <v>42</v>
      </c>
      <c r="G316" s="1" t="s">
        <v>56</v>
      </c>
      <c r="H316" s="1" t="s">
        <v>1507</v>
      </c>
      <c r="I316" s="1" t="s">
        <v>10650</v>
      </c>
      <c r="J316" s="1" t="s">
        <v>10651</v>
      </c>
      <c r="K316" s="1">
        <v>2019</v>
      </c>
      <c r="L316" s="1" t="s">
        <v>10661</v>
      </c>
      <c r="M316" s="1" t="str">
        <f>HYPERLINK("http://dx.doi.org/10.1021/acs.jpcc.9b06180","http://dx.doi.org/10.1021/acs.jpcc.9b06180")</f>
        <v>http://dx.doi.org/10.1021/acs.jpcc.9b06180</v>
      </c>
    </row>
    <row r="317" spans="1:13" x14ac:dyDescent="0.25">
      <c r="A317" s="1">
        <v>369</v>
      </c>
      <c r="B317" s="1" t="s">
        <v>8251</v>
      </c>
      <c r="C317" s="1" t="s">
        <v>8252</v>
      </c>
      <c r="D317" s="1" t="s">
        <v>8253</v>
      </c>
      <c r="E317" s="1" t="s">
        <v>8254</v>
      </c>
      <c r="F317" s="1" t="s">
        <v>42</v>
      </c>
      <c r="G317" s="1" t="s">
        <v>56</v>
      </c>
      <c r="H317" s="1" t="s">
        <v>8255</v>
      </c>
      <c r="I317" s="1" t="s">
        <v>8256</v>
      </c>
      <c r="J317" s="1" t="s">
        <v>8257</v>
      </c>
      <c r="K317" s="1">
        <v>2021</v>
      </c>
      <c r="L317" s="1" t="s">
        <v>8270</v>
      </c>
      <c r="M317" s="1" t="str">
        <f>HYPERLINK("http://dx.doi.org/10.1016/j.bmcl.2021.128313","http://dx.doi.org/10.1016/j.bmcl.2021.128313")</f>
        <v>http://dx.doi.org/10.1016/j.bmcl.2021.128313</v>
      </c>
    </row>
    <row r="318" spans="1:13" x14ac:dyDescent="0.25">
      <c r="A318" s="1">
        <v>370</v>
      </c>
      <c r="B318" s="1" t="s">
        <v>4853</v>
      </c>
      <c r="C318" s="1" t="s">
        <v>4854</v>
      </c>
      <c r="D318" s="1" t="s">
        <v>4855</v>
      </c>
      <c r="E318" s="1" t="s">
        <v>4856</v>
      </c>
      <c r="F318" s="1" t="s">
        <v>42</v>
      </c>
      <c r="G318" s="1" t="s">
        <v>1509</v>
      </c>
      <c r="H318" s="1" t="s">
        <v>4857</v>
      </c>
      <c r="I318" s="1" t="s">
        <v>4858</v>
      </c>
      <c r="J318" s="1" t="s">
        <v>4859</v>
      </c>
      <c r="K318" s="1">
        <v>2023</v>
      </c>
      <c r="L318" s="1" t="s">
        <v>4874</v>
      </c>
      <c r="M318" s="1" t="str">
        <f>HYPERLINK("http://dx.doi.org/10.1037/ebs0000328","http://dx.doi.org/10.1037/ebs0000328")</f>
        <v>http://dx.doi.org/10.1037/ebs0000328</v>
      </c>
    </row>
    <row r="319" spans="1:13" x14ac:dyDescent="0.25">
      <c r="A319" s="1">
        <v>371</v>
      </c>
      <c r="B319" s="1" t="s">
        <v>9795</v>
      </c>
      <c r="C319" s="1" t="s">
        <v>9796</v>
      </c>
      <c r="D319" s="1" t="s">
        <v>9797</v>
      </c>
      <c r="E319" s="1" t="s">
        <v>9798</v>
      </c>
      <c r="F319" s="1" t="s">
        <v>42</v>
      </c>
      <c r="G319" s="1" t="s">
        <v>56</v>
      </c>
      <c r="H319" s="1" t="s">
        <v>9799</v>
      </c>
      <c r="I319" s="1" t="s">
        <v>1507</v>
      </c>
      <c r="J319" s="1" t="s">
        <v>9800</v>
      </c>
      <c r="K319" s="1">
        <v>2020</v>
      </c>
      <c r="L319" s="1" t="s">
        <v>9811</v>
      </c>
      <c r="M319" s="1" t="str">
        <f>HYPERLINK("http://dx.doi.org/10.1097/SLA.0000000000003084","http://dx.doi.org/10.1097/SLA.0000000000003084")</f>
        <v>http://dx.doi.org/10.1097/SLA.0000000000003084</v>
      </c>
    </row>
    <row r="320" spans="1:13" x14ac:dyDescent="0.25">
      <c r="A320" s="1">
        <v>372</v>
      </c>
      <c r="B320" s="1" t="s">
        <v>12039</v>
      </c>
      <c r="C320" s="1" t="s">
        <v>12040</v>
      </c>
      <c r="D320" s="1" t="s">
        <v>12041</v>
      </c>
      <c r="E320" s="1" t="s">
        <v>11888</v>
      </c>
      <c r="F320" s="1" t="s">
        <v>42</v>
      </c>
      <c r="G320" s="1" t="s">
        <v>56</v>
      </c>
      <c r="H320" s="1" t="s">
        <v>1507</v>
      </c>
      <c r="I320" s="1" t="s">
        <v>12042</v>
      </c>
      <c r="J320" s="1" t="s">
        <v>12043</v>
      </c>
      <c r="K320" s="1">
        <v>2018</v>
      </c>
      <c r="L320" s="1" t="s">
        <v>1507</v>
      </c>
      <c r="M320" s="1" t="s">
        <v>1507</v>
      </c>
    </row>
    <row r="321" spans="1:13" x14ac:dyDescent="0.25">
      <c r="A321" s="1">
        <v>373</v>
      </c>
      <c r="B321" s="1" t="s">
        <v>11716</v>
      </c>
      <c r="C321" s="1" t="s">
        <v>11717</v>
      </c>
      <c r="D321" s="1" t="s">
        <v>11718</v>
      </c>
      <c r="E321" s="1" t="s">
        <v>11719</v>
      </c>
      <c r="F321" s="1" t="s">
        <v>42</v>
      </c>
      <c r="G321" s="1" t="s">
        <v>56</v>
      </c>
      <c r="H321" s="1" t="s">
        <v>11720</v>
      </c>
      <c r="I321" s="1" t="s">
        <v>11721</v>
      </c>
      <c r="J321" s="1" t="s">
        <v>11722</v>
      </c>
      <c r="K321" s="1">
        <v>2018</v>
      </c>
      <c r="L321" s="1" t="s">
        <v>11735</v>
      </c>
      <c r="M321" s="1" t="str">
        <f>HYPERLINK("http://dx.doi.org/10.3389/fvets.2018.00066","http://dx.doi.org/10.3389/fvets.2018.00066")</f>
        <v>http://dx.doi.org/10.3389/fvets.2018.00066</v>
      </c>
    </row>
    <row r="322" spans="1:13" x14ac:dyDescent="0.25">
      <c r="A322" s="1">
        <v>374</v>
      </c>
      <c r="B322" s="1" t="s">
        <v>4258</v>
      </c>
      <c r="C322" s="1" t="s">
        <v>4259</v>
      </c>
      <c r="D322" s="1" t="s">
        <v>571</v>
      </c>
      <c r="E322" s="1" t="s">
        <v>4260</v>
      </c>
      <c r="F322" s="1" t="s">
        <v>42</v>
      </c>
      <c r="G322" s="1" t="s">
        <v>56</v>
      </c>
      <c r="H322" s="1" t="s">
        <v>577</v>
      </c>
      <c r="I322" s="1" t="s">
        <v>1507</v>
      </c>
      <c r="J322" s="1" t="s">
        <v>4261</v>
      </c>
      <c r="K322" s="1">
        <v>2023</v>
      </c>
      <c r="L322" s="1" t="s">
        <v>573</v>
      </c>
      <c r="M322" s="1" t="str">
        <f>HYPERLINK("http://dx.doi.org/10.1123/ijspp.2023-0109","http://dx.doi.org/10.1123/ijspp.2023-0109")</f>
        <v>http://dx.doi.org/10.1123/ijspp.2023-0109</v>
      </c>
    </row>
    <row r="323" spans="1:13" x14ac:dyDescent="0.25">
      <c r="A323" s="1">
        <v>377</v>
      </c>
      <c r="B323" s="1" t="s">
        <v>9532</v>
      </c>
      <c r="C323" s="1" t="s">
        <v>9533</v>
      </c>
      <c r="D323" s="1" t="s">
        <v>9534</v>
      </c>
      <c r="E323" s="1" t="s">
        <v>9535</v>
      </c>
      <c r="F323" s="1" t="s">
        <v>42</v>
      </c>
      <c r="G323" s="1" t="s">
        <v>56</v>
      </c>
      <c r="H323" s="1" t="s">
        <v>9536</v>
      </c>
      <c r="I323" s="1" t="s">
        <v>9537</v>
      </c>
      <c r="J323" s="1" t="s">
        <v>9538</v>
      </c>
      <c r="K323" s="1">
        <v>2020</v>
      </c>
      <c r="L323" s="1" t="s">
        <v>9553</v>
      </c>
      <c r="M323" s="1" t="str">
        <f>HYPERLINK("http://dx.doi.org/10.1163/22119000-12340191","http://dx.doi.org/10.1163/22119000-12340191")</f>
        <v>http://dx.doi.org/10.1163/22119000-12340191</v>
      </c>
    </row>
    <row r="324" spans="1:13" x14ac:dyDescent="0.25">
      <c r="A324" s="1">
        <v>378</v>
      </c>
      <c r="B324" s="1" t="s">
        <v>9815</v>
      </c>
      <c r="C324" s="1" t="s">
        <v>9816</v>
      </c>
      <c r="D324" s="1" t="s">
        <v>9817</v>
      </c>
      <c r="E324" s="1" t="s">
        <v>9818</v>
      </c>
      <c r="F324" s="1" t="s">
        <v>42</v>
      </c>
      <c r="G324" s="1" t="s">
        <v>56</v>
      </c>
      <c r="H324" s="1" t="s">
        <v>9819</v>
      </c>
      <c r="I324" s="1" t="s">
        <v>9820</v>
      </c>
      <c r="J324" s="1" t="s">
        <v>9821</v>
      </c>
      <c r="K324" s="1">
        <v>2020</v>
      </c>
      <c r="L324" s="1" t="s">
        <v>9832</v>
      </c>
      <c r="M324" s="1" t="str">
        <f>HYPERLINK("http://dx.doi.org/10.1016/j.jsxm.2020.02.018","http://dx.doi.org/10.1016/j.jsxm.2020.02.018")</f>
        <v>http://dx.doi.org/10.1016/j.jsxm.2020.02.018</v>
      </c>
    </row>
    <row r="325" spans="1:13" x14ac:dyDescent="0.25">
      <c r="A325" s="1">
        <v>380</v>
      </c>
      <c r="B325" s="1" t="s">
        <v>3552</v>
      </c>
      <c r="C325" s="1" t="s">
        <v>3553</v>
      </c>
      <c r="D325" s="1" t="s">
        <v>3554</v>
      </c>
      <c r="E325" s="1" t="s">
        <v>3555</v>
      </c>
      <c r="F325" s="1" t="s">
        <v>42</v>
      </c>
      <c r="G325" s="1" t="s">
        <v>56</v>
      </c>
      <c r="H325" s="1" t="s">
        <v>3556</v>
      </c>
      <c r="I325" s="1" t="s">
        <v>1507</v>
      </c>
      <c r="J325" s="1" t="s">
        <v>3557</v>
      </c>
      <c r="K325" s="1">
        <v>2023</v>
      </c>
      <c r="L325" s="1" t="s">
        <v>3570</v>
      </c>
      <c r="M325" s="1" t="str">
        <f>HYPERLINK("http://dx.doi.org/10.1017/S0021855323000244","http://dx.doi.org/10.1017/S0021855323000244")</f>
        <v>http://dx.doi.org/10.1017/S0021855323000244</v>
      </c>
    </row>
    <row r="326" spans="1:13" x14ac:dyDescent="0.25">
      <c r="A326" s="1">
        <v>381</v>
      </c>
      <c r="B326" s="1" t="s">
        <v>11536</v>
      </c>
      <c r="C326" s="1" t="s">
        <v>11537</v>
      </c>
      <c r="D326" s="1" t="s">
        <v>11538</v>
      </c>
      <c r="E326" s="1" t="s">
        <v>8493</v>
      </c>
      <c r="F326" s="1" t="s">
        <v>42</v>
      </c>
      <c r="G326" s="1" t="s">
        <v>56</v>
      </c>
      <c r="H326" s="1" t="s">
        <v>11539</v>
      </c>
      <c r="I326" s="1" t="s">
        <v>11540</v>
      </c>
      <c r="J326" s="1" t="s">
        <v>11541</v>
      </c>
      <c r="K326" s="1">
        <v>2018</v>
      </c>
      <c r="L326" s="1" t="s">
        <v>11551</v>
      </c>
      <c r="M326" s="1" t="str">
        <f>HYPERLINK("http://dx.doi.org/10.1016/j.lfs.2018.09.059","http://dx.doi.org/10.1016/j.lfs.2018.09.059")</f>
        <v>http://dx.doi.org/10.1016/j.lfs.2018.09.059</v>
      </c>
    </row>
    <row r="327" spans="1:13" x14ac:dyDescent="0.25">
      <c r="A327" s="1">
        <v>382</v>
      </c>
      <c r="B327" s="1" t="s">
        <v>7097</v>
      </c>
      <c r="C327" s="1" t="s">
        <v>7098</v>
      </c>
      <c r="D327" s="1" t="s">
        <v>7099</v>
      </c>
      <c r="E327" s="1" t="s">
        <v>7100</v>
      </c>
      <c r="F327" s="1" t="s">
        <v>42</v>
      </c>
      <c r="G327" s="1" t="s">
        <v>56</v>
      </c>
      <c r="H327" s="1" t="s">
        <v>1507</v>
      </c>
      <c r="I327" s="1" t="s">
        <v>7101</v>
      </c>
      <c r="J327" s="1" t="s">
        <v>7102</v>
      </c>
      <c r="K327" s="1">
        <v>2022</v>
      </c>
      <c r="L327" s="1" t="s">
        <v>7114</v>
      </c>
      <c r="M327" s="1" t="str">
        <f>HYPERLINK("http://dx.doi.org/10.1039/d2ra03931a","http://dx.doi.org/10.1039/d2ra03931a")</f>
        <v>http://dx.doi.org/10.1039/d2ra03931a</v>
      </c>
    </row>
    <row r="328" spans="1:13" x14ac:dyDescent="0.25">
      <c r="A328" s="1">
        <v>383</v>
      </c>
      <c r="B328" s="1" t="s">
        <v>2847</v>
      </c>
      <c r="C328" s="1" t="s">
        <v>2848</v>
      </c>
      <c r="D328" s="1" t="s">
        <v>2849</v>
      </c>
      <c r="E328" s="1" t="s">
        <v>2850</v>
      </c>
      <c r="F328" s="1" t="s">
        <v>42</v>
      </c>
      <c r="G328" s="1" t="s">
        <v>56</v>
      </c>
      <c r="H328" s="1" t="s">
        <v>2851</v>
      </c>
      <c r="I328" s="1" t="s">
        <v>2852</v>
      </c>
      <c r="J328" s="1" t="s">
        <v>2853</v>
      </c>
      <c r="K328" s="1">
        <v>2023</v>
      </c>
      <c r="L328" s="1" t="s">
        <v>2866</v>
      </c>
      <c r="M328" s="1" t="str">
        <f>HYPERLINK("http://dx.doi.org/10.1093/braincomms/fcad318","http://dx.doi.org/10.1093/braincomms/fcad318")</f>
        <v>http://dx.doi.org/10.1093/braincomms/fcad318</v>
      </c>
    </row>
    <row r="329" spans="1:13" x14ac:dyDescent="0.25">
      <c r="A329" s="1">
        <v>384</v>
      </c>
      <c r="B329" s="1" t="s">
        <v>10130</v>
      </c>
      <c r="C329" s="1" t="s">
        <v>10131</v>
      </c>
      <c r="D329" s="1" t="s">
        <v>10132</v>
      </c>
      <c r="E329" s="1" t="s">
        <v>10133</v>
      </c>
      <c r="F329" s="1" t="s">
        <v>42</v>
      </c>
      <c r="G329" s="1" t="s">
        <v>56</v>
      </c>
      <c r="H329" s="1" t="s">
        <v>10134</v>
      </c>
      <c r="I329" s="1" t="s">
        <v>10135</v>
      </c>
      <c r="J329" s="1" t="s">
        <v>10136</v>
      </c>
      <c r="K329" s="1">
        <v>2020</v>
      </c>
      <c r="L329" s="1" t="s">
        <v>10148</v>
      </c>
      <c r="M329" s="1" t="str">
        <f>HYPERLINK("http://dx.doi.org/10.1016/j.jip.2019.107312","http://dx.doi.org/10.1016/j.jip.2019.107312")</f>
        <v>http://dx.doi.org/10.1016/j.jip.2019.107312</v>
      </c>
    </row>
    <row r="330" spans="1:13" x14ac:dyDescent="0.25">
      <c r="A330" s="1">
        <v>385</v>
      </c>
      <c r="B330" s="1" t="s">
        <v>14009</v>
      </c>
      <c r="C330" s="1" t="s">
        <v>14010</v>
      </c>
      <c r="D330" s="1" t="s">
        <v>14011</v>
      </c>
      <c r="E330" s="1" t="s">
        <v>3083</v>
      </c>
      <c r="F330" s="1" t="s">
        <v>42</v>
      </c>
      <c r="G330" s="1" t="s">
        <v>56</v>
      </c>
      <c r="H330" s="1" t="s">
        <v>14012</v>
      </c>
      <c r="I330" s="1" t="s">
        <v>14013</v>
      </c>
      <c r="J330" s="1" t="s">
        <v>14014</v>
      </c>
      <c r="K330" s="1">
        <v>2023</v>
      </c>
      <c r="L330" s="1" t="s">
        <v>14019</v>
      </c>
      <c r="M330" s="1" t="str">
        <f>HYPERLINK("http://dx.doi.org/10.7759/cureus.48296","http://dx.doi.org/10.7759/cureus.48296")</f>
        <v>http://dx.doi.org/10.7759/cureus.48296</v>
      </c>
    </row>
    <row r="331" spans="1:13" x14ac:dyDescent="0.25">
      <c r="A331" s="1">
        <v>386</v>
      </c>
      <c r="B331" s="1" t="s">
        <v>4138</v>
      </c>
      <c r="C331" s="1" t="s">
        <v>4139</v>
      </c>
      <c r="D331" s="1" t="s">
        <v>4140</v>
      </c>
      <c r="E331" s="1" t="s">
        <v>1562</v>
      </c>
      <c r="F331" s="1" t="s">
        <v>42</v>
      </c>
      <c r="G331" s="1" t="s">
        <v>56</v>
      </c>
      <c r="H331" s="1" t="s">
        <v>4141</v>
      </c>
      <c r="I331" s="1" t="s">
        <v>4142</v>
      </c>
      <c r="J331" s="1" t="s">
        <v>4143</v>
      </c>
      <c r="K331" s="1">
        <v>2023</v>
      </c>
      <c r="L331" s="1" t="s">
        <v>978</v>
      </c>
      <c r="M331" s="1" t="str">
        <f>HYPERLINK("http://dx.doi.org/10.3389/feduc.2023.1250461","http://dx.doi.org/10.3389/feduc.2023.1250461")</f>
        <v>http://dx.doi.org/10.3389/feduc.2023.1250461</v>
      </c>
    </row>
    <row r="332" spans="1:13" x14ac:dyDescent="0.25">
      <c r="A332" s="1">
        <v>387</v>
      </c>
      <c r="B332" s="1" t="s">
        <v>10005</v>
      </c>
      <c r="C332" s="1" t="s">
        <v>10006</v>
      </c>
      <c r="D332" s="1" t="s">
        <v>10007</v>
      </c>
      <c r="E332" s="1" t="s">
        <v>10008</v>
      </c>
      <c r="F332" s="1" t="s">
        <v>42</v>
      </c>
      <c r="G332" s="1" t="s">
        <v>56</v>
      </c>
      <c r="H332" s="1" t="s">
        <v>10009</v>
      </c>
      <c r="I332" s="1" t="s">
        <v>10010</v>
      </c>
      <c r="J332" s="1" t="s">
        <v>10011</v>
      </c>
      <c r="K332" s="1">
        <v>2020</v>
      </c>
      <c r="L332" s="1" t="s">
        <v>10022</v>
      </c>
      <c r="M332" s="1" t="str">
        <f>HYPERLINK("http://dx.doi.org/10.1111/mmi.14497","http://dx.doi.org/10.1111/mmi.14497")</f>
        <v>http://dx.doi.org/10.1111/mmi.14497</v>
      </c>
    </row>
    <row r="333" spans="1:13" x14ac:dyDescent="0.25">
      <c r="A333" s="1">
        <v>388</v>
      </c>
      <c r="B333" s="1" t="s">
        <v>4153</v>
      </c>
      <c r="C333" s="1" t="s">
        <v>4154</v>
      </c>
      <c r="D333" s="1" t="s">
        <v>4155</v>
      </c>
      <c r="E333" s="1" t="s">
        <v>4156</v>
      </c>
      <c r="F333" s="1" t="s">
        <v>42</v>
      </c>
      <c r="G333" s="1" t="s">
        <v>56</v>
      </c>
      <c r="H333" s="1" t="s">
        <v>4157</v>
      </c>
      <c r="I333" s="1" t="s">
        <v>1507</v>
      </c>
      <c r="J333" s="1" t="s">
        <v>4158</v>
      </c>
      <c r="K333" s="1">
        <v>2023</v>
      </c>
      <c r="L333" s="1" t="s">
        <v>4168</v>
      </c>
      <c r="M333" s="1" t="str">
        <f>HYPERLINK("http://dx.doi.org/10.3389/fneur.2023.1225223","http://dx.doi.org/10.3389/fneur.2023.1225223")</f>
        <v>http://dx.doi.org/10.3389/fneur.2023.1225223</v>
      </c>
    </row>
    <row r="334" spans="1:13" x14ac:dyDescent="0.25">
      <c r="A334" s="1">
        <v>389</v>
      </c>
      <c r="B334" s="1" t="s">
        <v>15223</v>
      </c>
      <c r="C334" s="1" t="s">
        <v>15224</v>
      </c>
      <c r="D334" s="1" t="s">
        <v>12137</v>
      </c>
      <c r="E334" s="1" t="s">
        <v>15225</v>
      </c>
      <c r="F334" s="1" t="s">
        <v>42</v>
      </c>
      <c r="G334" s="1" t="s">
        <v>56</v>
      </c>
      <c r="H334" s="1" t="s">
        <v>15226</v>
      </c>
      <c r="I334" s="1" t="s">
        <v>15227</v>
      </c>
      <c r="J334" s="1" t="s">
        <v>15228</v>
      </c>
      <c r="K334" s="1">
        <v>2023</v>
      </c>
      <c r="L334" s="1" t="s">
        <v>15240</v>
      </c>
      <c r="M334" s="1" t="str">
        <f>HYPERLINK("http://dx.doi.org/10.30827/relieve.v29i2.29295","http://dx.doi.org/10.30827/relieve.v29i2.29295")</f>
        <v>http://dx.doi.org/10.30827/relieve.v29i2.29295</v>
      </c>
    </row>
    <row r="335" spans="1:13" x14ac:dyDescent="0.25">
      <c r="A335" s="1">
        <v>390</v>
      </c>
      <c r="B335" s="1" t="s">
        <v>3574</v>
      </c>
      <c r="C335" s="1" t="s">
        <v>3575</v>
      </c>
      <c r="D335" s="1" t="s">
        <v>3576</v>
      </c>
      <c r="E335" s="1" t="s">
        <v>3577</v>
      </c>
      <c r="F335" s="1" t="s">
        <v>42</v>
      </c>
      <c r="G335" s="1" t="s">
        <v>56</v>
      </c>
      <c r="H335" s="1" t="s">
        <v>3578</v>
      </c>
      <c r="I335" s="1" t="s">
        <v>1507</v>
      </c>
      <c r="J335" s="1" t="s">
        <v>3579</v>
      </c>
      <c r="K335" s="1">
        <v>2023</v>
      </c>
      <c r="L335" s="1" t="s">
        <v>1507</v>
      </c>
      <c r="M335" s="1" t="s">
        <v>1507</v>
      </c>
    </row>
    <row r="336" spans="1:13" x14ac:dyDescent="0.25">
      <c r="A336" s="1">
        <v>391</v>
      </c>
      <c r="B336" s="1" t="s">
        <v>8880</v>
      </c>
      <c r="C336" s="1" t="s">
        <v>8881</v>
      </c>
      <c r="D336" s="1" t="s">
        <v>8882</v>
      </c>
      <c r="E336" s="1" t="s">
        <v>8883</v>
      </c>
      <c r="F336" s="1" t="s">
        <v>42</v>
      </c>
      <c r="G336" s="1" t="s">
        <v>56</v>
      </c>
      <c r="H336" s="1" t="s">
        <v>8884</v>
      </c>
      <c r="I336" s="1" t="s">
        <v>8885</v>
      </c>
      <c r="J336" s="1" t="s">
        <v>8886</v>
      </c>
      <c r="K336" s="1">
        <v>2021</v>
      </c>
      <c r="L336" s="1" t="s">
        <v>8897</v>
      </c>
      <c r="M336" s="1" t="str">
        <f>HYPERLINK("http://dx.doi.org/10.1016/j.cropro.2021.105618","http://dx.doi.org/10.1016/j.cropro.2021.105618")</f>
        <v>http://dx.doi.org/10.1016/j.cropro.2021.105618</v>
      </c>
    </row>
    <row r="337" spans="1:13" x14ac:dyDescent="0.25">
      <c r="A337" s="1">
        <v>392</v>
      </c>
      <c r="B337" s="1" t="s">
        <v>5265</v>
      </c>
      <c r="C337" s="1" t="s">
        <v>5266</v>
      </c>
      <c r="D337" s="1" t="s">
        <v>5267</v>
      </c>
      <c r="E337" s="1" t="s">
        <v>5268</v>
      </c>
      <c r="F337" s="1" t="s">
        <v>42</v>
      </c>
      <c r="G337" s="1" t="s">
        <v>56</v>
      </c>
      <c r="H337" s="1" t="s">
        <v>1507</v>
      </c>
      <c r="I337" s="1" t="s">
        <v>5269</v>
      </c>
      <c r="J337" s="1" t="s">
        <v>5270</v>
      </c>
      <c r="K337" s="1">
        <v>2023</v>
      </c>
      <c r="L337" s="1" t="s">
        <v>5285</v>
      </c>
      <c r="M337" s="1" t="str">
        <f>HYPERLINK("http://dx.doi.org/10.1155/2023/7104852","http://dx.doi.org/10.1155/2023/7104852")</f>
        <v>http://dx.doi.org/10.1155/2023/7104852</v>
      </c>
    </row>
    <row r="338" spans="1:13" x14ac:dyDescent="0.25">
      <c r="A338" s="1">
        <v>393</v>
      </c>
      <c r="B338" s="1" t="s">
        <v>15243</v>
      </c>
      <c r="C338" s="1" t="s">
        <v>15244</v>
      </c>
      <c r="D338" s="1" t="s">
        <v>114</v>
      </c>
      <c r="E338" s="1" t="s">
        <v>15245</v>
      </c>
      <c r="F338" s="1" t="s">
        <v>42</v>
      </c>
      <c r="G338" s="1" t="s">
        <v>5552</v>
      </c>
      <c r="H338" s="1" t="s">
        <v>15250</v>
      </c>
      <c r="I338" s="1" t="s">
        <v>1507</v>
      </c>
      <c r="J338" s="1" t="s">
        <v>15251</v>
      </c>
      <c r="K338" s="1">
        <v>2023</v>
      </c>
      <c r="L338" s="1" t="s">
        <v>116</v>
      </c>
      <c r="M338" s="1" t="str">
        <f>HYPERLINK("http://dx.doi.org/10.1109/WI-IAT59888.2023.00088","http://dx.doi.org/10.1109/WI-IAT59888.2023.00088")</f>
        <v>http://dx.doi.org/10.1109/WI-IAT59888.2023.00088</v>
      </c>
    </row>
    <row r="339" spans="1:13" x14ac:dyDescent="0.25">
      <c r="A339" s="1">
        <v>394</v>
      </c>
      <c r="B339" s="1" t="s">
        <v>10707</v>
      </c>
      <c r="C339" s="1" t="s">
        <v>10708</v>
      </c>
      <c r="D339" s="1" t="s">
        <v>10709</v>
      </c>
      <c r="E339" s="1" t="s">
        <v>10710</v>
      </c>
      <c r="F339" s="1" t="s">
        <v>42</v>
      </c>
      <c r="G339" s="1" t="s">
        <v>56</v>
      </c>
      <c r="H339" s="1" t="s">
        <v>10711</v>
      </c>
      <c r="I339" s="1" t="s">
        <v>10712</v>
      </c>
      <c r="J339" s="1" t="s">
        <v>10713</v>
      </c>
      <c r="K339" s="1">
        <v>2020</v>
      </c>
      <c r="L339" s="1" t="s">
        <v>10723</v>
      </c>
      <c r="M339" s="1" t="str">
        <f>HYPERLINK("http://dx.doi.org/10.1002/smll.201902889","http://dx.doi.org/10.1002/smll.201902889")</f>
        <v>http://dx.doi.org/10.1002/smll.201902889</v>
      </c>
    </row>
    <row r="340" spans="1:13" x14ac:dyDescent="0.25">
      <c r="A340" s="1">
        <v>395</v>
      </c>
      <c r="B340" s="1" t="s">
        <v>9836</v>
      </c>
      <c r="C340" s="1" t="s">
        <v>9837</v>
      </c>
      <c r="D340" s="1" t="s">
        <v>9838</v>
      </c>
      <c r="E340" s="1" t="s">
        <v>9839</v>
      </c>
      <c r="F340" s="1" t="s">
        <v>42</v>
      </c>
      <c r="G340" s="1" t="s">
        <v>56</v>
      </c>
      <c r="H340" s="1" t="s">
        <v>9840</v>
      </c>
      <c r="I340" s="1" t="s">
        <v>9841</v>
      </c>
      <c r="J340" s="1" t="s">
        <v>9842</v>
      </c>
      <c r="K340" s="1">
        <v>2020</v>
      </c>
      <c r="L340" s="1" t="s">
        <v>1507</v>
      </c>
      <c r="M340" s="1" t="s">
        <v>1507</v>
      </c>
    </row>
    <row r="341" spans="1:13" x14ac:dyDescent="0.25">
      <c r="A341" s="1">
        <v>396</v>
      </c>
      <c r="B341" s="1" t="s">
        <v>2917</v>
      </c>
      <c r="C341" s="1" t="s">
        <v>2918</v>
      </c>
      <c r="D341" s="1" t="s">
        <v>2919</v>
      </c>
      <c r="E341" s="1" t="s">
        <v>2874</v>
      </c>
      <c r="F341" s="1" t="s">
        <v>42</v>
      </c>
      <c r="G341" s="1" t="s">
        <v>56</v>
      </c>
      <c r="H341" s="1" t="s">
        <v>2920</v>
      </c>
      <c r="I341" s="1" t="s">
        <v>1507</v>
      </c>
      <c r="J341" s="1" t="s">
        <v>2921</v>
      </c>
      <c r="K341" s="1">
        <v>2023</v>
      </c>
      <c r="L341" s="1" t="s">
        <v>2927</v>
      </c>
      <c r="M341" s="1" t="str">
        <f>HYPERLINK("http://dx.doi.org/10.1016/j.jacr.2023.06.008","http://dx.doi.org/10.1016/j.jacr.2023.06.008")</f>
        <v>http://dx.doi.org/10.1016/j.jacr.2023.06.008</v>
      </c>
    </row>
    <row r="342" spans="1:13" x14ac:dyDescent="0.25">
      <c r="A342" s="1">
        <v>397</v>
      </c>
      <c r="B342" s="1" t="s">
        <v>10027</v>
      </c>
      <c r="C342" s="1" t="s">
        <v>10028</v>
      </c>
      <c r="D342" s="1" t="s">
        <v>10029</v>
      </c>
      <c r="E342" s="1" t="s">
        <v>10030</v>
      </c>
      <c r="F342" s="1" t="s">
        <v>42</v>
      </c>
      <c r="G342" s="1" t="s">
        <v>56</v>
      </c>
      <c r="H342" s="1" t="s">
        <v>10031</v>
      </c>
      <c r="I342" s="1" t="s">
        <v>1507</v>
      </c>
      <c r="J342" s="1" t="s">
        <v>10032</v>
      </c>
      <c r="K342" s="1">
        <v>2020</v>
      </c>
      <c r="L342" s="1" t="s">
        <v>1507</v>
      </c>
      <c r="M342" s="1" t="s">
        <v>1507</v>
      </c>
    </row>
    <row r="343" spans="1:13" x14ac:dyDescent="0.25">
      <c r="A343" s="1">
        <v>398</v>
      </c>
      <c r="B343" s="1" t="s">
        <v>9489</v>
      </c>
      <c r="C343" s="1" t="s">
        <v>9490</v>
      </c>
      <c r="D343" s="1" t="s">
        <v>9491</v>
      </c>
      <c r="E343" s="1" t="s">
        <v>9492</v>
      </c>
      <c r="F343" s="1" t="s">
        <v>42</v>
      </c>
      <c r="G343" s="1" t="s">
        <v>56</v>
      </c>
      <c r="H343" s="1" t="s">
        <v>9493</v>
      </c>
      <c r="I343" s="1" t="s">
        <v>9494</v>
      </c>
      <c r="J343" s="1" t="s">
        <v>9495</v>
      </c>
      <c r="K343" s="1">
        <v>2021</v>
      </c>
      <c r="L343" s="1" t="s">
        <v>9508</v>
      </c>
      <c r="M343" s="1" t="str">
        <f>HYPERLINK("http://dx.doi.org/10.1111/ijfs.14833","http://dx.doi.org/10.1111/ijfs.14833")</f>
        <v>http://dx.doi.org/10.1111/ijfs.14833</v>
      </c>
    </row>
    <row r="344" spans="1:13" x14ac:dyDescent="0.25">
      <c r="A344" s="1">
        <v>399</v>
      </c>
      <c r="B344" s="1" t="s">
        <v>6186</v>
      </c>
      <c r="C344" s="1" t="s">
        <v>6187</v>
      </c>
      <c r="D344" s="1" t="s">
        <v>6188</v>
      </c>
      <c r="E344" s="1" t="s">
        <v>6189</v>
      </c>
      <c r="F344" s="1" t="s">
        <v>42</v>
      </c>
      <c r="G344" s="1" t="s">
        <v>5552</v>
      </c>
      <c r="H344" s="1" t="s">
        <v>6193</v>
      </c>
      <c r="I344" s="1" t="s">
        <v>1507</v>
      </c>
      <c r="J344" s="1" t="s">
        <v>6194</v>
      </c>
      <c r="K344" s="1">
        <v>2023</v>
      </c>
      <c r="L344" s="1" t="s">
        <v>1420</v>
      </c>
      <c r="M344" s="1" t="str">
        <f>HYPERLINK("http://dx.doi.org/10.1109/SEENG59157.2023.00010","http://dx.doi.org/10.1109/SEENG59157.2023.00010")</f>
        <v>http://dx.doi.org/10.1109/SEENG59157.2023.00010</v>
      </c>
    </row>
    <row r="345" spans="1:13" x14ac:dyDescent="0.25">
      <c r="A345" s="1">
        <v>400</v>
      </c>
      <c r="B345" s="1" t="s">
        <v>8388</v>
      </c>
      <c r="C345" s="1" t="s">
        <v>8389</v>
      </c>
      <c r="D345" s="1" t="s">
        <v>8390</v>
      </c>
      <c r="E345" s="1" t="s">
        <v>8391</v>
      </c>
      <c r="F345" s="1" t="s">
        <v>42</v>
      </c>
      <c r="G345" s="1" t="s">
        <v>56</v>
      </c>
      <c r="H345" s="1" t="s">
        <v>8392</v>
      </c>
      <c r="I345" s="1" t="s">
        <v>1507</v>
      </c>
      <c r="J345" s="1" t="s">
        <v>8393</v>
      </c>
      <c r="K345" s="1">
        <v>2021</v>
      </c>
      <c r="L345" s="1" t="s">
        <v>8403</v>
      </c>
      <c r="M345" s="1" t="str">
        <f>HYPERLINK("http://dx.doi.org/10.1007/s13201-021-01445-x","http://dx.doi.org/10.1007/s13201-021-01445-x")</f>
        <v>http://dx.doi.org/10.1007/s13201-021-01445-x</v>
      </c>
    </row>
    <row r="346" spans="1:13" x14ac:dyDescent="0.25">
      <c r="A346" s="1">
        <v>403</v>
      </c>
      <c r="B346" s="1" t="s">
        <v>4082</v>
      </c>
      <c r="C346" s="1" t="s">
        <v>4083</v>
      </c>
      <c r="D346" s="1" t="s">
        <v>4084</v>
      </c>
      <c r="E346" s="1" t="s">
        <v>3146</v>
      </c>
      <c r="F346" s="1" t="s">
        <v>42</v>
      </c>
      <c r="G346" s="1" t="s">
        <v>56</v>
      </c>
      <c r="H346" s="1" t="s">
        <v>4085</v>
      </c>
      <c r="I346" s="1" t="s">
        <v>4086</v>
      </c>
      <c r="J346" s="1" t="s">
        <v>4087</v>
      </c>
      <c r="K346" s="1">
        <v>2023</v>
      </c>
      <c r="L346" s="1" t="s">
        <v>4098</v>
      </c>
      <c r="M346" s="1" t="str">
        <f>HYPERLINK("http://dx.doi.org/10.1016/j.frl.2023.104333","http://dx.doi.org/10.1016/j.frl.2023.104333")</f>
        <v>http://dx.doi.org/10.1016/j.frl.2023.104333</v>
      </c>
    </row>
    <row r="347" spans="1:13" x14ac:dyDescent="0.25">
      <c r="A347" s="1">
        <v>404</v>
      </c>
      <c r="B347" s="1" t="s">
        <v>14144</v>
      </c>
      <c r="C347" s="1" t="s">
        <v>14145</v>
      </c>
      <c r="D347" s="1" t="s">
        <v>14146</v>
      </c>
      <c r="E347" s="1" t="s">
        <v>14147</v>
      </c>
      <c r="F347" s="1" t="s">
        <v>14148</v>
      </c>
      <c r="G347" s="1" t="s">
        <v>56</v>
      </c>
      <c r="H347" s="1" t="s">
        <v>14149</v>
      </c>
      <c r="I347" s="1" t="s">
        <v>1507</v>
      </c>
      <c r="J347" s="1" t="s">
        <v>14150</v>
      </c>
      <c r="K347" s="1">
        <v>2023</v>
      </c>
      <c r="L347" s="1" t="s">
        <v>14160</v>
      </c>
      <c r="M347" s="1" t="str">
        <f>HYPERLINK("http://dx.doi.org/10.20339/PhS.6s-23.003","http://dx.doi.org/10.20339/PhS.6s-23.003")</f>
        <v>http://dx.doi.org/10.20339/PhS.6s-23.003</v>
      </c>
    </row>
    <row r="348" spans="1:13" x14ac:dyDescent="0.25">
      <c r="A348" s="1">
        <v>405</v>
      </c>
      <c r="B348" s="1" t="s">
        <v>6203</v>
      </c>
      <c r="C348" s="1" t="s">
        <v>6205</v>
      </c>
      <c r="D348" s="1" t="s">
        <v>6206</v>
      </c>
      <c r="E348" s="1" t="s">
        <v>6207</v>
      </c>
      <c r="F348" s="1" t="s">
        <v>42</v>
      </c>
      <c r="G348" s="1" t="s">
        <v>5552</v>
      </c>
      <c r="H348" s="1" t="s">
        <v>6212</v>
      </c>
      <c r="I348" s="1" t="s">
        <v>1507</v>
      </c>
      <c r="J348" s="1" t="s">
        <v>6213</v>
      </c>
      <c r="K348" s="1">
        <v>2023</v>
      </c>
      <c r="L348" s="1" t="s">
        <v>6228</v>
      </c>
      <c r="M348" s="1" t="str">
        <f>HYPERLINK("http://dx.doi.org/10.1007/978-3-031-29956-8_14","http://dx.doi.org/10.1007/978-3-031-29956-8_14")</f>
        <v>http://dx.doi.org/10.1007/978-3-031-29956-8_14</v>
      </c>
    </row>
    <row r="349" spans="1:13" x14ac:dyDescent="0.25">
      <c r="A349" s="1">
        <v>406</v>
      </c>
      <c r="B349" s="1" t="s">
        <v>2359</v>
      </c>
      <c r="C349" s="1" t="s">
        <v>2360</v>
      </c>
      <c r="D349" s="1" t="s">
        <v>2361</v>
      </c>
      <c r="E349" s="1" t="s">
        <v>2362</v>
      </c>
      <c r="F349" s="1" t="s">
        <v>42</v>
      </c>
      <c r="G349" s="1" t="s">
        <v>56</v>
      </c>
      <c r="H349" s="1" t="s">
        <v>2363</v>
      </c>
      <c r="I349" s="1" t="s">
        <v>2364</v>
      </c>
      <c r="J349" s="1" t="s">
        <v>2365</v>
      </c>
      <c r="K349" s="1">
        <v>2023</v>
      </c>
      <c r="L349" s="1" t="s">
        <v>2378</v>
      </c>
      <c r="M349" s="1" t="str">
        <f>HYPERLINK("http://dx.doi.org/10.1021/acscatal.3c04956","http://dx.doi.org/10.1021/acscatal.3c04956")</f>
        <v>http://dx.doi.org/10.1021/acscatal.3c04956</v>
      </c>
    </row>
    <row r="350" spans="1:13" x14ac:dyDescent="0.25">
      <c r="A350" s="1">
        <v>407</v>
      </c>
      <c r="B350" s="1" t="s">
        <v>5335</v>
      </c>
      <c r="C350" s="1" t="s">
        <v>5336</v>
      </c>
      <c r="D350" s="1" t="s">
        <v>5337</v>
      </c>
      <c r="E350" s="1" t="s">
        <v>3555</v>
      </c>
      <c r="F350" s="1" t="s">
        <v>42</v>
      </c>
      <c r="G350" s="1" t="s">
        <v>56</v>
      </c>
      <c r="H350" s="1" t="s">
        <v>5338</v>
      </c>
      <c r="I350" s="1" t="s">
        <v>1507</v>
      </c>
      <c r="J350" s="1" t="s">
        <v>5339</v>
      </c>
      <c r="K350" s="1">
        <v>2023</v>
      </c>
      <c r="L350" s="1" t="s">
        <v>5348</v>
      </c>
      <c r="M350" s="1" t="str">
        <f>HYPERLINK("http://dx.doi.org/10.1017/S0021855323000049","http://dx.doi.org/10.1017/S0021855323000049")</f>
        <v>http://dx.doi.org/10.1017/S0021855323000049</v>
      </c>
    </row>
    <row r="351" spans="1:13" x14ac:dyDescent="0.25">
      <c r="A351" s="1">
        <v>408</v>
      </c>
      <c r="B351" s="1" t="s">
        <v>11370</v>
      </c>
      <c r="C351" s="1" t="s">
        <v>11371</v>
      </c>
      <c r="D351" s="1" t="s">
        <v>11372</v>
      </c>
      <c r="E351" s="1" t="s">
        <v>11373</v>
      </c>
      <c r="F351" s="1" t="s">
        <v>42</v>
      </c>
      <c r="G351" s="1" t="s">
        <v>56</v>
      </c>
      <c r="H351" s="1" t="s">
        <v>11374</v>
      </c>
      <c r="I351" s="1" t="s">
        <v>11375</v>
      </c>
      <c r="J351" s="1" t="s">
        <v>11376</v>
      </c>
      <c r="K351" s="1">
        <v>2019</v>
      </c>
      <c r="L351" s="1" t="s">
        <v>11388</v>
      </c>
      <c r="M351" s="1" t="str">
        <f>HYPERLINK("http://dx.doi.org/10.1080/17441048.2019.1684917","http://dx.doi.org/10.1080/17441048.2019.1684917")</f>
        <v>http://dx.doi.org/10.1080/17441048.2019.1684917</v>
      </c>
    </row>
    <row r="352" spans="1:13" x14ac:dyDescent="0.25">
      <c r="A352" s="1">
        <v>410</v>
      </c>
      <c r="B352" s="1" t="s">
        <v>3594</v>
      </c>
      <c r="C352" s="1" t="s">
        <v>3595</v>
      </c>
      <c r="D352" s="1" t="s">
        <v>3596</v>
      </c>
      <c r="E352" s="1" t="s">
        <v>3597</v>
      </c>
      <c r="F352" s="1" t="s">
        <v>42</v>
      </c>
      <c r="G352" s="1" t="s">
        <v>56</v>
      </c>
      <c r="H352" s="1" t="s">
        <v>3598</v>
      </c>
      <c r="I352" s="1" t="s">
        <v>1507</v>
      </c>
      <c r="J352" s="1" t="s">
        <v>3599</v>
      </c>
      <c r="K352" s="1">
        <v>2023</v>
      </c>
      <c r="L352" s="1" t="s">
        <v>3611</v>
      </c>
      <c r="M352" s="1" t="str">
        <f>HYPERLINK("http://dx.doi.org/10.29271/jcpsp.2023.10.1198","http://dx.doi.org/10.29271/jcpsp.2023.10.1198")</f>
        <v>http://dx.doi.org/10.29271/jcpsp.2023.10.1198</v>
      </c>
    </row>
    <row r="353" spans="1:13" x14ac:dyDescent="0.25">
      <c r="A353" s="1">
        <v>411</v>
      </c>
      <c r="B353" s="1" t="s">
        <v>10888</v>
      </c>
      <c r="C353" s="1" t="s">
        <v>10889</v>
      </c>
      <c r="D353" s="1" t="s">
        <v>10890</v>
      </c>
      <c r="E353" s="1" t="s">
        <v>3297</v>
      </c>
      <c r="F353" s="1" t="s">
        <v>42</v>
      </c>
      <c r="G353" s="1" t="s">
        <v>56</v>
      </c>
      <c r="H353" s="1" t="s">
        <v>1507</v>
      </c>
      <c r="I353" s="1" t="s">
        <v>10891</v>
      </c>
      <c r="J353" s="1" t="s">
        <v>10892</v>
      </c>
      <c r="K353" s="1">
        <v>2019</v>
      </c>
      <c r="L353" s="1" t="s">
        <v>10901</v>
      </c>
      <c r="M353" s="1" t="str">
        <f>HYPERLINK("http://dx.doi.org/10.1038/s41598-019-45364-z","http://dx.doi.org/10.1038/s41598-019-45364-z")</f>
        <v>http://dx.doi.org/10.1038/s41598-019-45364-z</v>
      </c>
    </row>
    <row r="354" spans="1:13" x14ac:dyDescent="0.25">
      <c r="A354" s="1">
        <v>412</v>
      </c>
      <c r="B354" s="1" t="s">
        <v>8713</v>
      </c>
      <c r="C354" s="1" t="s">
        <v>8714</v>
      </c>
      <c r="D354" s="1" t="s">
        <v>8715</v>
      </c>
      <c r="E354" s="1" t="s">
        <v>3555</v>
      </c>
      <c r="F354" s="1" t="s">
        <v>42</v>
      </c>
      <c r="G354" s="1" t="s">
        <v>56</v>
      </c>
      <c r="H354" s="1" t="s">
        <v>8716</v>
      </c>
      <c r="I354" s="1" t="s">
        <v>1507</v>
      </c>
      <c r="J354" s="1" t="s">
        <v>8717</v>
      </c>
      <c r="K354" s="1">
        <v>2021</v>
      </c>
      <c r="L354" s="1" t="s">
        <v>8724</v>
      </c>
      <c r="M354" s="1" t="str">
        <f>HYPERLINK("http://dx.doi.org/10.1017/S0021855321000036","http://dx.doi.org/10.1017/S0021855321000036")</f>
        <v>http://dx.doi.org/10.1017/S0021855321000036</v>
      </c>
    </row>
    <row r="355" spans="1:13" x14ac:dyDescent="0.25">
      <c r="A355" s="1">
        <v>413</v>
      </c>
      <c r="B355" s="1" t="s">
        <v>4984</v>
      </c>
      <c r="C355" s="1" t="s">
        <v>4985</v>
      </c>
      <c r="D355" s="1" t="s">
        <v>4986</v>
      </c>
      <c r="E355" s="1" t="s">
        <v>4987</v>
      </c>
      <c r="F355" s="1" t="s">
        <v>42</v>
      </c>
      <c r="G355" s="1" t="s">
        <v>56</v>
      </c>
      <c r="H355" s="1" t="s">
        <v>4988</v>
      </c>
      <c r="I355" s="1" t="s">
        <v>4989</v>
      </c>
      <c r="J355" s="1" t="s">
        <v>4990</v>
      </c>
      <c r="K355" s="1">
        <v>2023</v>
      </c>
      <c r="L355" s="1" t="s">
        <v>5007</v>
      </c>
      <c r="M355" s="1" t="str">
        <f>HYPERLINK("http://dx.doi.org/10.7717/peerj-cs.1377","http://dx.doi.org/10.7717/peerj-cs.1377")</f>
        <v>http://dx.doi.org/10.7717/peerj-cs.1377</v>
      </c>
    </row>
    <row r="356" spans="1:13" x14ac:dyDescent="0.25">
      <c r="A356" s="1">
        <v>414</v>
      </c>
      <c r="B356" s="1" t="s">
        <v>9855</v>
      </c>
      <c r="C356" s="1" t="s">
        <v>9856</v>
      </c>
      <c r="D356" s="1" t="s">
        <v>9857</v>
      </c>
      <c r="E356" s="1" t="s">
        <v>4064</v>
      </c>
      <c r="F356" s="1" t="s">
        <v>42</v>
      </c>
      <c r="G356" s="1" t="s">
        <v>56</v>
      </c>
      <c r="H356" s="1" t="s">
        <v>9858</v>
      </c>
      <c r="I356" s="1" t="s">
        <v>9859</v>
      </c>
      <c r="J356" s="1" t="s">
        <v>9860</v>
      </c>
      <c r="K356" s="1">
        <v>2020</v>
      </c>
      <c r="L356" s="1" t="s">
        <v>9868</v>
      </c>
      <c r="M356" s="1" t="str">
        <f>HYPERLINK("http://dx.doi.org/10.1016/j.autcon.2020.103163","http://dx.doi.org/10.1016/j.autcon.2020.103163")</f>
        <v>http://dx.doi.org/10.1016/j.autcon.2020.103163</v>
      </c>
    </row>
    <row r="357" spans="1:13" x14ac:dyDescent="0.25">
      <c r="A357" s="1">
        <v>415</v>
      </c>
      <c r="B357" s="1" t="s">
        <v>15260</v>
      </c>
      <c r="C357" s="1" t="s">
        <v>15261</v>
      </c>
      <c r="D357" s="1" t="s">
        <v>15262</v>
      </c>
      <c r="E357" s="1" t="s">
        <v>15263</v>
      </c>
      <c r="F357" s="1" t="s">
        <v>42</v>
      </c>
      <c r="G357" s="1" t="s">
        <v>5552</v>
      </c>
      <c r="H357" s="1" t="s">
        <v>15269</v>
      </c>
      <c r="I357" s="1" t="s">
        <v>1507</v>
      </c>
      <c r="J357" s="1" t="s">
        <v>15270</v>
      </c>
      <c r="K357" s="1">
        <v>2023</v>
      </c>
      <c r="L357" s="1" t="s">
        <v>15280</v>
      </c>
      <c r="M357" s="1" t="str">
        <f>HYPERLINK("http://dx.doi.org/10.1109/ICTAI59109.2023.00018","http://dx.doi.org/10.1109/ICTAI59109.2023.00018")</f>
        <v>http://dx.doi.org/10.1109/ICTAI59109.2023.00018</v>
      </c>
    </row>
    <row r="358" spans="1:13" x14ac:dyDescent="0.25">
      <c r="A358" s="1">
        <v>416</v>
      </c>
      <c r="B358" s="1" t="s">
        <v>8537</v>
      </c>
      <c r="C358" s="1" t="s">
        <v>8538</v>
      </c>
      <c r="D358" s="1" t="s">
        <v>8539</v>
      </c>
      <c r="E358" s="1" t="s">
        <v>8540</v>
      </c>
      <c r="F358" s="1" t="s">
        <v>42</v>
      </c>
      <c r="G358" s="1" t="s">
        <v>56</v>
      </c>
      <c r="H358" s="1" t="s">
        <v>8541</v>
      </c>
      <c r="I358" s="1" t="s">
        <v>8542</v>
      </c>
      <c r="J358" s="1" t="s">
        <v>8543</v>
      </c>
      <c r="K358" s="1">
        <v>2021</v>
      </c>
      <c r="L358" s="1" t="s">
        <v>8555</v>
      </c>
      <c r="M358" s="1" t="str">
        <f>HYPERLINK("http://dx.doi.org/10.1002/ecs2.3552","http://dx.doi.org/10.1002/ecs2.3552")</f>
        <v>http://dx.doi.org/10.1002/ecs2.3552</v>
      </c>
    </row>
    <row r="359" spans="1:13" x14ac:dyDescent="0.25">
      <c r="A359" s="1">
        <v>417</v>
      </c>
      <c r="B359" s="1" t="s">
        <v>9731</v>
      </c>
      <c r="C359" s="1" t="s">
        <v>9732</v>
      </c>
      <c r="D359" s="1" t="s">
        <v>9733</v>
      </c>
      <c r="E359" s="1" t="s">
        <v>9734</v>
      </c>
      <c r="F359" s="1" t="s">
        <v>42</v>
      </c>
      <c r="G359" s="1" t="s">
        <v>56</v>
      </c>
      <c r="H359" s="1" t="s">
        <v>1507</v>
      </c>
      <c r="I359" s="1" t="s">
        <v>9735</v>
      </c>
      <c r="J359" s="1" t="s">
        <v>9736</v>
      </c>
      <c r="K359" s="1">
        <v>2020</v>
      </c>
      <c r="L359" s="1" t="s">
        <v>9747</v>
      </c>
      <c r="M359" s="1" t="str">
        <f>HYPERLINK("http://dx.doi.org/10.1002/hep4.1533","http://dx.doi.org/10.1002/hep4.1533")</f>
        <v>http://dx.doi.org/10.1002/hep4.1533</v>
      </c>
    </row>
    <row r="360" spans="1:13" x14ac:dyDescent="0.25">
      <c r="A360" s="1">
        <v>418</v>
      </c>
      <c r="B360" s="1" t="s">
        <v>5010</v>
      </c>
      <c r="C360" s="1" t="s">
        <v>5011</v>
      </c>
      <c r="D360" s="1" t="s">
        <v>5012</v>
      </c>
      <c r="E360" s="1" t="s">
        <v>5013</v>
      </c>
      <c r="F360" s="1" t="s">
        <v>42</v>
      </c>
      <c r="G360" s="1" t="s">
        <v>56</v>
      </c>
      <c r="H360" s="1" t="s">
        <v>5014</v>
      </c>
      <c r="I360" s="1" t="s">
        <v>1507</v>
      </c>
      <c r="J360" s="1" t="s">
        <v>5015</v>
      </c>
      <c r="K360" s="1">
        <v>2023</v>
      </c>
      <c r="L360" s="1" t="s">
        <v>5026</v>
      </c>
      <c r="M360" s="1" t="str">
        <f>HYPERLINK("http://dx.doi.org/10.3390/app13095771","http://dx.doi.org/10.3390/app13095771")</f>
        <v>http://dx.doi.org/10.3390/app13095771</v>
      </c>
    </row>
    <row r="361" spans="1:13" x14ac:dyDescent="0.25">
      <c r="A361" s="1">
        <v>419</v>
      </c>
      <c r="B361" s="1" t="s">
        <v>12049</v>
      </c>
      <c r="C361" s="1" t="s">
        <v>12050</v>
      </c>
      <c r="D361" s="1" t="s">
        <v>12051</v>
      </c>
      <c r="E361" s="1" t="s">
        <v>11888</v>
      </c>
      <c r="F361" s="1" t="s">
        <v>42</v>
      </c>
      <c r="G361" s="1" t="s">
        <v>56</v>
      </c>
      <c r="H361" s="1" t="s">
        <v>1507</v>
      </c>
      <c r="I361" s="1" t="s">
        <v>1507</v>
      </c>
      <c r="J361" s="1" t="s">
        <v>12052</v>
      </c>
      <c r="K361" s="1">
        <v>2018</v>
      </c>
      <c r="L361" s="1" t="s">
        <v>1507</v>
      </c>
      <c r="M361" s="1" t="s">
        <v>1507</v>
      </c>
    </row>
    <row r="362" spans="1:13" x14ac:dyDescent="0.25">
      <c r="A362" s="1">
        <v>420</v>
      </c>
      <c r="B362" s="1" t="s">
        <v>3614</v>
      </c>
      <c r="C362" s="1" t="s">
        <v>3615</v>
      </c>
      <c r="D362" s="1" t="s">
        <v>3616</v>
      </c>
      <c r="E362" s="1" t="s">
        <v>1617</v>
      </c>
      <c r="F362" s="1" t="s">
        <v>42</v>
      </c>
      <c r="G362" s="1" t="s">
        <v>56</v>
      </c>
      <c r="H362" s="1" t="s">
        <v>3617</v>
      </c>
      <c r="I362" s="1" t="s">
        <v>3618</v>
      </c>
      <c r="J362" s="1" t="s">
        <v>3619</v>
      </c>
      <c r="K362" s="1">
        <v>2023</v>
      </c>
      <c r="L362" s="1" t="s">
        <v>3627</v>
      </c>
      <c r="M362" s="1" t="str">
        <f>HYPERLINK("http://dx.doi.org/10.3390/electronics12193996","http://dx.doi.org/10.3390/electronics12193996")</f>
        <v>http://dx.doi.org/10.3390/electronics12193996</v>
      </c>
    </row>
    <row r="363" spans="1:13" x14ac:dyDescent="0.25">
      <c r="A363" s="1">
        <v>421</v>
      </c>
      <c r="B363" s="1" t="s">
        <v>10929</v>
      </c>
      <c r="C363" s="1" t="s">
        <v>10930</v>
      </c>
      <c r="D363" s="1" t="s">
        <v>10931</v>
      </c>
      <c r="E363" s="1" t="s">
        <v>2502</v>
      </c>
      <c r="F363" s="1" t="s">
        <v>42</v>
      </c>
      <c r="G363" s="1" t="s">
        <v>56</v>
      </c>
      <c r="H363" s="1" t="s">
        <v>10932</v>
      </c>
      <c r="I363" s="1" t="s">
        <v>10933</v>
      </c>
      <c r="J363" s="1" t="s">
        <v>10934</v>
      </c>
      <c r="K363" s="1">
        <v>2019</v>
      </c>
      <c r="L363" s="1" t="s">
        <v>10942</v>
      </c>
      <c r="M363" s="1" t="str">
        <f>HYPERLINK("http://dx.doi.org/10.1186/s12909-019-1621-z","http://dx.doi.org/10.1186/s12909-019-1621-z")</f>
        <v>http://dx.doi.org/10.1186/s12909-019-1621-z</v>
      </c>
    </row>
    <row r="364" spans="1:13" x14ac:dyDescent="0.25">
      <c r="A364" s="1">
        <v>422</v>
      </c>
      <c r="B364" s="1" t="s">
        <v>3472</v>
      </c>
      <c r="C364" s="1" t="s">
        <v>3473</v>
      </c>
      <c r="D364" s="1" t="s">
        <v>3474</v>
      </c>
      <c r="E364" s="1" t="s">
        <v>3475</v>
      </c>
      <c r="F364" s="1" t="s">
        <v>42</v>
      </c>
      <c r="G364" s="1" t="s">
        <v>56</v>
      </c>
      <c r="H364" s="1" t="s">
        <v>1507</v>
      </c>
      <c r="I364" s="1" t="s">
        <v>3476</v>
      </c>
      <c r="J364" s="1" t="s">
        <v>3477</v>
      </c>
      <c r="K364" s="1">
        <v>2023</v>
      </c>
      <c r="L364" s="1" t="s">
        <v>3487</v>
      </c>
      <c r="M364" s="1" t="str">
        <f>HYPERLINK("http://dx.doi.org/10.1038/s42256-023-00720-7","http://dx.doi.org/10.1038/s42256-023-00720-7")</f>
        <v>http://dx.doi.org/10.1038/s42256-023-00720-7</v>
      </c>
    </row>
    <row r="365" spans="1:13" x14ac:dyDescent="0.25">
      <c r="A365" s="1">
        <v>423</v>
      </c>
      <c r="B365" s="1" t="s">
        <v>10151</v>
      </c>
      <c r="C365" s="1" t="s">
        <v>10152</v>
      </c>
      <c r="D365" s="1" t="s">
        <v>10153</v>
      </c>
      <c r="E365" s="1" t="s">
        <v>9087</v>
      </c>
      <c r="F365" s="1" t="s">
        <v>42</v>
      </c>
      <c r="G365" s="1" t="s">
        <v>56</v>
      </c>
      <c r="H365" s="1" t="s">
        <v>10154</v>
      </c>
      <c r="I365" s="1" t="s">
        <v>10155</v>
      </c>
      <c r="J365" s="1" t="s">
        <v>10156</v>
      </c>
      <c r="K365" s="1">
        <v>2020</v>
      </c>
      <c r="L365" s="1" t="s">
        <v>10161</v>
      </c>
      <c r="M365" s="1" t="str">
        <f>HYPERLINK("http://dx.doi.org/10.3390/ijms21030977","http://dx.doi.org/10.3390/ijms21030977")</f>
        <v>http://dx.doi.org/10.3390/ijms21030977</v>
      </c>
    </row>
    <row r="366" spans="1:13" x14ac:dyDescent="0.25">
      <c r="A366" s="1">
        <v>424</v>
      </c>
      <c r="B366" s="1" t="s">
        <v>9679</v>
      </c>
      <c r="C366" s="1" t="s">
        <v>9680</v>
      </c>
      <c r="D366" s="1" t="s">
        <v>9681</v>
      </c>
      <c r="E366" s="1" t="s">
        <v>9682</v>
      </c>
      <c r="F366" s="1" t="s">
        <v>42</v>
      </c>
      <c r="G366" s="1" t="s">
        <v>56</v>
      </c>
      <c r="H366" s="1" t="s">
        <v>1507</v>
      </c>
      <c r="I366" s="1" t="s">
        <v>1507</v>
      </c>
      <c r="J366" s="1" t="s">
        <v>9683</v>
      </c>
      <c r="K366" s="1">
        <v>2020</v>
      </c>
      <c r="L366" s="1" t="s">
        <v>9692</v>
      </c>
      <c r="M366" s="1" t="str">
        <f>HYPERLINK("http://dx.doi.org/10.1093/jwelb/jwaa027","http://dx.doi.org/10.1093/jwelb/jwaa027")</f>
        <v>http://dx.doi.org/10.1093/jwelb/jwaa027</v>
      </c>
    </row>
    <row r="367" spans="1:13" x14ac:dyDescent="0.25">
      <c r="A367" s="1">
        <v>425</v>
      </c>
      <c r="B367" s="1" t="s">
        <v>9084</v>
      </c>
      <c r="C367" s="1" t="s">
        <v>9085</v>
      </c>
      <c r="D367" s="1" t="s">
        <v>9086</v>
      </c>
      <c r="E367" s="1" t="s">
        <v>9087</v>
      </c>
      <c r="F367" s="1" t="s">
        <v>42</v>
      </c>
      <c r="G367" s="1" t="s">
        <v>56</v>
      </c>
      <c r="H367" s="1" t="s">
        <v>9088</v>
      </c>
      <c r="I367" s="1" t="s">
        <v>9089</v>
      </c>
      <c r="J367" s="1" t="s">
        <v>9090</v>
      </c>
      <c r="K367" s="1">
        <v>2021</v>
      </c>
      <c r="L367" s="1" t="s">
        <v>9103</v>
      </c>
      <c r="M367" s="1" t="str">
        <f>HYPERLINK("http://dx.doi.org/10.3390/ijms22042026","http://dx.doi.org/10.3390/ijms22042026")</f>
        <v>http://dx.doi.org/10.3390/ijms22042026</v>
      </c>
    </row>
    <row r="368" spans="1:13" x14ac:dyDescent="0.25">
      <c r="A368" s="1">
        <v>426</v>
      </c>
      <c r="B368" s="1" t="s">
        <v>9967</v>
      </c>
      <c r="C368" s="1" t="s">
        <v>9968</v>
      </c>
      <c r="D368" s="1" t="s">
        <v>9969</v>
      </c>
      <c r="E368" s="1" t="s">
        <v>7217</v>
      </c>
      <c r="F368" s="1" t="s">
        <v>42</v>
      </c>
      <c r="G368" s="1" t="s">
        <v>56</v>
      </c>
      <c r="H368" s="1" t="s">
        <v>1507</v>
      </c>
      <c r="I368" s="1" t="s">
        <v>9970</v>
      </c>
      <c r="J368" s="1" t="s">
        <v>9971</v>
      </c>
      <c r="K368" s="1">
        <v>2020</v>
      </c>
      <c r="L368" s="1" t="s">
        <v>9979</v>
      </c>
      <c r="M368" s="1" t="str">
        <f>HYPERLINK("http://dx.doi.org/10.2807/1560-7917.ES.2020.25.16.2000421","http://dx.doi.org/10.2807/1560-7917.ES.2020.25.16.2000421")</f>
        <v>http://dx.doi.org/10.2807/1560-7917.ES.2020.25.16.2000421</v>
      </c>
    </row>
    <row r="369" spans="1:13" x14ac:dyDescent="0.25">
      <c r="A369" s="1">
        <v>427</v>
      </c>
      <c r="B369" s="1" t="s">
        <v>4216</v>
      </c>
      <c r="C369" s="1" t="s">
        <v>4217</v>
      </c>
      <c r="D369" s="1" t="s">
        <v>4218</v>
      </c>
      <c r="E369" s="1" t="s">
        <v>4219</v>
      </c>
      <c r="F369" s="1" t="s">
        <v>42</v>
      </c>
      <c r="G369" s="1" t="s">
        <v>56</v>
      </c>
      <c r="H369" s="1" t="s">
        <v>1507</v>
      </c>
      <c r="I369" s="1" t="s">
        <v>4220</v>
      </c>
      <c r="J369" s="1" t="s">
        <v>4221</v>
      </c>
      <c r="K369" s="1">
        <v>2023</v>
      </c>
      <c r="L369" s="1" t="s">
        <v>4234</v>
      </c>
      <c r="M369" s="1" t="str">
        <f>HYPERLINK("http://dx.doi.org/10.1021/acs.jcim.3c00817","http://dx.doi.org/10.1021/acs.jcim.3c00817")</f>
        <v>http://dx.doi.org/10.1021/acs.jcim.3c00817</v>
      </c>
    </row>
    <row r="370" spans="1:13" x14ac:dyDescent="0.25">
      <c r="A370" s="1">
        <v>428</v>
      </c>
      <c r="B370" s="1" t="s">
        <v>6232</v>
      </c>
      <c r="C370" s="1" t="s">
        <v>6233</v>
      </c>
      <c r="D370" s="1" t="s">
        <v>796</v>
      </c>
      <c r="E370" s="1" t="s">
        <v>5740</v>
      </c>
      <c r="F370" s="1" t="s">
        <v>42</v>
      </c>
      <c r="G370" s="1" t="s">
        <v>56</v>
      </c>
      <c r="H370" s="1" t="s">
        <v>6234</v>
      </c>
      <c r="I370" s="1" t="s">
        <v>6235</v>
      </c>
      <c r="J370" s="1" t="s">
        <v>6236</v>
      </c>
      <c r="K370" s="1">
        <v>2023</v>
      </c>
      <c r="L370" s="1" t="s">
        <v>798</v>
      </c>
      <c r="M370" s="1" t="str">
        <f>HYPERLINK("http://dx.doi.org/10.53761/1.20.02.07","http://dx.doi.org/10.53761/1.20.02.07")</f>
        <v>http://dx.doi.org/10.53761/1.20.02.07</v>
      </c>
    </row>
    <row r="371" spans="1:13" x14ac:dyDescent="0.25">
      <c r="A371" s="1">
        <v>430</v>
      </c>
      <c r="B371" s="1" t="s">
        <v>11166</v>
      </c>
      <c r="C371" s="1" t="s">
        <v>11167</v>
      </c>
      <c r="D371" s="1" t="s">
        <v>11168</v>
      </c>
      <c r="E371" s="1" t="s">
        <v>11110</v>
      </c>
      <c r="F371" s="1" t="s">
        <v>42</v>
      </c>
      <c r="G371" s="1" t="s">
        <v>56</v>
      </c>
      <c r="H371" s="1" t="s">
        <v>1507</v>
      </c>
      <c r="I371" s="1" t="s">
        <v>1507</v>
      </c>
      <c r="J371" s="1" t="s">
        <v>11169</v>
      </c>
      <c r="K371" s="1">
        <v>2019</v>
      </c>
      <c r="L371" s="1" t="s">
        <v>1507</v>
      </c>
      <c r="M371" s="1" t="s">
        <v>1507</v>
      </c>
    </row>
    <row r="372" spans="1:13" x14ac:dyDescent="0.25">
      <c r="A372" s="1">
        <v>431</v>
      </c>
      <c r="B372" s="1" t="s">
        <v>6242</v>
      </c>
      <c r="C372" s="1" t="s">
        <v>6243</v>
      </c>
      <c r="D372" s="1" t="s">
        <v>6244</v>
      </c>
      <c r="E372" s="1" t="s">
        <v>6245</v>
      </c>
      <c r="F372" s="1" t="s">
        <v>42</v>
      </c>
      <c r="G372" s="1" t="s">
        <v>56</v>
      </c>
      <c r="H372" s="1" t="s">
        <v>6246</v>
      </c>
      <c r="I372" s="1" t="s">
        <v>6247</v>
      </c>
      <c r="J372" s="1" t="s">
        <v>6248</v>
      </c>
      <c r="K372" s="1">
        <v>2023</v>
      </c>
      <c r="L372" s="1" t="s">
        <v>1507</v>
      </c>
      <c r="M372" s="1" t="s">
        <v>1507</v>
      </c>
    </row>
    <row r="373" spans="1:13" x14ac:dyDescent="0.25">
      <c r="A373" s="1">
        <v>432</v>
      </c>
      <c r="B373" s="1" t="s">
        <v>11391</v>
      </c>
      <c r="C373" s="1" t="s">
        <v>11392</v>
      </c>
      <c r="D373" s="1" t="s">
        <v>11393</v>
      </c>
      <c r="E373" s="1" t="s">
        <v>11394</v>
      </c>
      <c r="F373" s="1" t="s">
        <v>11324</v>
      </c>
      <c r="G373" s="1" t="s">
        <v>56</v>
      </c>
      <c r="H373" s="1" t="s">
        <v>11395</v>
      </c>
      <c r="I373" s="1" t="s">
        <v>11396</v>
      </c>
      <c r="J373" s="1" t="s">
        <v>11397</v>
      </c>
      <c r="K373" s="1">
        <v>2019</v>
      </c>
      <c r="L373" s="1" t="s">
        <v>1507</v>
      </c>
      <c r="M373" s="1" t="s">
        <v>1507</v>
      </c>
    </row>
    <row r="374" spans="1:13" x14ac:dyDescent="0.25">
      <c r="A374" s="1">
        <v>433</v>
      </c>
      <c r="B374" s="1" t="s">
        <v>15283</v>
      </c>
      <c r="C374" s="1" t="s">
        <v>15284</v>
      </c>
      <c r="D374" s="1" t="s">
        <v>15285</v>
      </c>
      <c r="E374" s="1" t="s">
        <v>15286</v>
      </c>
      <c r="F374" s="1" t="s">
        <v>42</v>
      </c>
      <c r="G374" s="1" t="s">
        <v>5552</v>
      </c>
      <c r="H374" s="1" t="s">
        <v>15291</v>
      </c>
      <c r="I374" s="1" t="s">
        <v>1507</v>
      </c>
      <c r="J374" s="1" t="s">
        <v>15292</v>
      </c>
      <c r="K374" s="1">
        <v>2023</v>
      </c>
      <c r="L374" s="1" t="s">
        <v>15303</v>
      </c>
      <c r="M374" s="1" t="str">
        <f>HYPERLINK("http://dx.doi.org/10.1145/3583133.3596401","http://dx.doi.org/10.1145/3583133.3596401")</f>
        <v>http://dx.doi.org/10.1145/3583133.3596401</v>
      </c>
    </row>
    <row r="375" spans="1:13" x14ac:dyDescent="0.25">
      <c r="A375" s="1">
        <v>434</v>
      </c>
      <c r="B375" s="1" t="s">
        <v>3630</v>
      </c>
      <c r="C375" s="1" t="s">
        <v>3631</v>
      </c>
      <c r="D375" s="1" t="s">
        <v>3632</v>
      </c>
      <c r="E375" s="1" t="s">
        <v>3633</v>
      </c>
      <c r="F375" s="1" t="s">
        <v>42</v>
      </c>
      <c r="G375" s="1" t="s">
        <v>56</v>
      </c>
      <c r="H375" s="1" t="s">
        <v>3634</v>
      </c>
      <c r="I375" s="1" t="s">
        <v>1507</v>
      </c>
      <c r="J375" s="1" t="s">
        <v>3635</v>
      </c>
      <c r="K375" s="1">
        <v>2023</v>
      </c>
      <c r="L375" s="1" t="s">
        <v>3646</v>
      </c>
      <c r="M375" s="1" t="str">
        <f>HYPERLINK("http://dx.doi.org/10.3390/jcm12196390","http://dx.doi.org/10.3390/jcm12196390")</f>
        <v>http://dx.doi.org/10.3390/jcm12196390</v>
      </c>
    </row>
    <row r="376" spans="1:13" x14ac:dyDescent="0.25">
      <c r="A376" s="1">
        <v>435</v>
      </c>
      <c r="B376" s="1" t="s">
        <v>5205</v>
      </c>
      <c r="C376" s="1" t="s">
        <v>5206</v>
      </c>
      <c r="D376" s="1" t="s">
        <v>5207</v>
      </c>
      <c r="E376" s="1" t="s">
        <v>5208</v>
      </c>
      <c r="F376" s="1" t="s">
        <v>42</v>
      </c>
      <c r="G376" s="1" t="s">
        <v>56</v>
      </c>
      <c r="H376" s="1" t="s">
        <v>5209</v>
      </c>
      <c r="I376" s="1" t="s">
        <v>5077</v>
      </c>
      <c r="J376" s="1" t="s">
        <v>5210</v>
      </c>
      <c r="K376" s="1">
        <v>2023</v>
      </c>
      <c r="L376" s="1" t="s">
        <v>5219</v>
      </c>
      <c r="M376" s="1" t="str">
        <f>HYPERLINK("http://dx.doi.org/10.3390/buildings13040857","http://dx.doi.org/10.3390/buildings13040857")</f>
        <v>http://dx.doi.org/10.3390/buildings13040857</v>
      </c>
    </row>
    <row r="377" spans="1:13" x14ac:dyDescent="0.25">
      <c r="A377" s="1">
        <v>437</v>
      </c>
      <c r="B377" s="1" t="s">
        <v>6265</v>
      </c>
      <c r="C377" s="1" t="s">
        <v>6266</v>
      </c>
      <c r="D377" s="1" t="s">
        <v>6267</v>
      </c>
      <c r="E377" s="1" t="s">
        <v>6268</v>
      </c>
      <c r="F377" s="1" t="s">
        <v>42</v>
      </c>
      <c r="G377" s="1" t="s">
        <v>5552</v>
      </c>
      <c r="H377" s="1" t="s">
        <v>6274</v>
      </c>
      <c r="I377" s="1" t="s">
        <v>1507</v>
      </c>
      <c r="J377" s="1" t="s">
        <v>6275</v>
      </c>
      <c r="K377" s="1">
        <v>2023</v>
      </c>
      <c r="L377" s="1" t="s">
        <v>6287</v>
      </c>
      <c r="M377" s="1" t="str">
        <f>HYPERLINK("http://dx.doi.org/10.1109/HOTI59126.2023.00022","http://dx.doi.org/10.1109/HOTI59126.2023.00022")</f>
        <v>http://dx.doi.org/10.1109/HOTI59126.2023.00022</v>
      </c>
    </row>
    <row r="378" spans="1:13" x14ac:dyDescent="0.25">
      <c r="A378" s="1">
        <v>438</v>
      </c>
      <c r="B378" s="1" t="s">
        <v>8188</v>
      </c>
      <c r="C378" s="1" t="s">
        <v>8189</v>
      </c>
      <c r="D378" s="1" t="s">
        <v>8190</v>
      </c>
      <c r="E378" s="1" t="s">
        <v>8191</v>
      </c>
      <c r="F378" s="1" t="s">
        <v>42</v>
      </c>
      <c r="G378" s="1" t="s">
        <v>56</v>
      </c>
      <c r="H378" s="1" t="s">
        <v>8192</v>
      </c>
      <c r="I378" s="1" t="s">
        <v>8193</v>
      </c>
      <c r="J378" s="1" t="s">
        <v>8194</v>
      </c>
      <c r="K378" s="1">
        <v>2021</v>
      </c>
      <c r="L378" s="1" t="s">
        <v>1507</v>
      </c>
      <c r="M378" s="1" t="s">
        <v>1507</v>
      </c>
    </row>
    <row r="379" spans="1:13" x14ac:dyDescent="0.25">
      <c r="A379" s="1">
        <v>440</v>
      </c>
      <c r="B379" s="1" t="s">
        <v>4761</v>
      </c>
      <c r="C379" s="1" t="s">
        <v>4762</v>
      </c>
      <c r="D379" s="1" t="s">
        <v>4763</v>
      </c>
      <c r="E379" s="1" t="s">
        <v>4595</v>
      </c>
      <c r="F379" s="1" t="s">
        <v>42</v>
      </c>
      <c r="G379" s="1" t="s">
        <v>56</v>
      </c>
      <c r="H379" s="1" t="s">
        <v>1507</v>
      </c>
      <c r="I379" s="1" t="s">
        <v>1507</v>
      </c>
      <c r="J379" s="1" t="s">
        <v>4764</v>
      </c>
      <c r="K379" s="1">
        <v>2023</v>
      </c>
      <c r="L379" s="1" t="s">
        <v>1507</v>
      </c>
      <c r="M379" s="1" t="s">
        <v>1507</v>
      </c>
    </row>
    <row r="380" spans="1:13" x14ac:dyDescent="0.25">
      <c r="A380" s="1">
        <v>442</v>
      </c>
      <c r="B380" s="1" t="s">
        <v>2930</v>
      </c>
      <c r="C380" s="1" t="s">
        <v>2931</v>
      </c>
      <c r="D380" s="1" t="s">
        <v>2932</v>
      </c>
      <c r="E380" s="1" t="s">
        <v>2874</v>
      </c>
      <c r="F380" s="1" t="s">
        <v>42</v>
      </c>
      <c r="G380" s="1" t="s">
        <v>56</v>
      </c>
      <c r="H380" s="1" t="s">
        <v>2933</v>
      </c>
      <c r="I380" s="1" t="s">
        <v>2934</v>
      </c>
      <c r="J380" s="1" t="s">
        <v>2935</v>
      </c>
      <c r="K380" s="1">
        <v>2023</v>
      </c>
      <c r="L380" s="1" t="s">
        <v>2943</v>
      </c>
      <c r="M380" s="1" t="str">
        <f>HYPERLINK("http://dx.doi.org/10.1016/j.jacr.2023.05.003","http://dx.doi.org/10.1016/j.jacr.2023.05.003")</f>
        <v>http://dx.doi.org/10.1016/j.jacr.2023.05.003</v>
      </c>
    </row>
    <row r="381" spans="1:13" x14ac:dyDescent="0.25">
      <c r="A381" s="1">
        <v>443</v>
      </c>
      <c r="B381" s="1" t="s">
        <v>4593</v>
      </c>
      <c r="C381" s="1" t="s">
        <v>4594</v>
      </c>
      <c r="D381" s="1" t="s">
        <v>365</v>
      </c>
      <c r="E381" s="1" t="s">
        <v>4595</v>
      </c>
      <c r="F381" s="1" t="s">
        <v>42</v>
      </c>
      <c r="G381" s="1" t="s">
        <v>56</v>
      </c>
      <c r="H381" s="1" t="s">
        <v>1507</v>
      </c>
      <c r="I381" s="1" t="s">
        <v>4596</v>
      </c>
      <c r="J381" s="1" t="s">
        <v>4597</v>
      </c>
      <c r="K381" s="1">
        <v>2023</v>
      </c>
      <c r="L381" s="1" t="s">
        <v>368</v>
      </c>
      <c r="M381" s="1" t="str">
        <f>HYPERLINK("http://dx.doi.org/10.1148/radiol.230970","http://dx.doi.org/10.1148/radiol.230970")</f>
        <v>http://dx.doi.org/10.1148/radiol.230970</v>
      </c>
    </row>
    <row r="382" spans="1:13" x14ac:dyDescent="0.25">
      <c r="A382" s="1">
        <v>444</v>
      </c>
      <c r="B382" s="1" t="s">
        <v>6822</v>
      </c>
      <c r="C382" s="1" t="s">
        <v>6823</v>
      </c>
      <c r="D382" s="1" t="s">
        <v>6824</v>
      </c>
      <c r="E382" s="1" t="s">
        <v>6825</v>
      </c>
      <c r="F382" s="1" t="s">
        <v>42</v>
      </c>
      <c r="G382" s="1" t="s">
        <v>56</v>
      </c>
      <c r="H382" s="1" t="s">
        <v>6826</v>
      </c>
      <c r="I382" s="1" t="s">
        <v>6827</v>
      </c>
      <c r="J382" s="1" t="s">
        <v>6828</v>
      </c>
      <c r="K382" s="1">
        <v>2022</v>
      </c>
      <c r="L382" s="1" t="s">
        <v>6840</v>
      </c>
      <c r="M382" s="1" t="str">
        <f>HYPERLINK("http://dx.doi.org/10.1186/s12889-022-14444-7","http://dx.doi.org/10.1186/s12889-022-14444-7")</f>
        <v>http://dx.doi.org/10.1186/s12889-022-14444-7</v>
      </c>
    </row>
    <row r="383" spans="1:13" x14ac:dyDescent="0.25">
      <c r="A383" s="1">
        <v>445</v>
      </c>
      <c r="B383" s="1" t="s">
        <v>1935</v>
      </c>
      <c r="C383" s="1" t="s">
        <v>1936</v>
      </c>
      <c r="D383" s="1" t="s">
        <v>1937</v>
      </c>
      <c r="E383" s="1" t="s">
        <v>1938</v>
      </c>
      <c r="F383" s="1" t="s">
        <v>42</v>
      </c>
      <c r="G383" s="1" t="s">
        <v>56</v>
      </c>
      <c r="H383" s="1" t="s">
        <v>1939</v>
      </c>
      <c r="I383" s="1" t="s">
        <v>1507</v>
      </c>
      <c r="J383" s="1" t="s">
        <v>1940</v>
      </c>
      <c r="K383" s="1">
        <v>2023</v>
      </c>
      <c r="L383" s="1" t="s">
        <v>619</v>
      </c>
      <c r="M383" s="1" t="str">
        <f>HYPERLINK("http://dx.doi.org/10.3389/fmed.2023.1296615","http://dx.doi.org/10.3389/fmed.2023.1296615")</f>
        <v>http://dx.doi.org/10.3389/fmed.2023.1296615</v>
      </c>
    </row>
    <row r="384" spans="1:13" x14ac:dyDescent="0.25">
      <c r="A384" s="1">
        <v>446</v>
      </c>
      <c r="B384" s="1" t="s">
        <v>3649</v>
      </c>
      <c r="C384" s="1" t="s">
        <v>3650</v>
      </c>
      <c r="D384" s="1" t="s">
        <v>3651</v>
      </c>
      <c r="E384" s="1" t="s">
        <v>3652</v>
      </c>
      <c r="F384" s="1" t="s">
        <v>42</v>
      </c>
      <c r="G384" s="1" t="s">
        <v>56</v>
      </c>
      <c r="H384" s="1" t="s">
        <v>3653</v>
      </c>
      <c r="I384" s="1" t="s">
        <v>1507</v>
      </c>
      <c r="J384" s="1" t="s">
        <v>3654</v>
      </c>
      <c r="K384" s="1">
        <v>2023</v>
      </c>
      <c r="L384" s="1" t="s">
        <v>3666</v>
      </c>
      <c r="M384" s="1" t="str">
        <f>HYPERLINK("http://dx.doi.org/10.1136/bmjhci-2023-100830","http://dx.doi.org/10.1136/bmjhci-2023-100830")</f>
        <v>http://dx.doi.org/10.1136/bmjhci-2023-100830</v>
      </c>
    </row>
    <row r="385" spans="1:13" x14ac:dyDescent="0.25">
      <c r="A385" s="1">
        <v>447</v>
      </c>
      <c r="B385" s="1" t="s">
        <v>4651</v>
      </c>
      <c r="C385" s="1" t="s">
        <v>4652</v>
      </c>
      <c r="D385" s="1" t="s">
        <v>4653</v>
      </c>
      <c r="E385" s="1" t="s">
        <v>3083</v>
      </c>
      <c r="F385" s="1" t="s">
        <v>42</v>
      </c>
      <c r="G385" s="1" t="s">
        <v>56</v>
      </c>
      <c r="H385" s="1" t="s">
        <v>4654</v>
      </c>
      <c r="I385" s="1" t="s">
        <v>1507</v>
      </c>
      <c r="J385" s="1" t="s">
        <v>4655</v>
      </c>
      <c r="K385" s="1">
        <v>2023</v>
      </c>
      <c r="L385" s="1" t="s">
        <v>4660</v>
      </c>
      <c r="M385" s="1" t="str">
        <f>HYPERLINK("http://dx.doi.org/10.7759/cureus.40546","http://dx.doi.org/10.7759/cureus.40546")</f>
        <v>http://dx.doi.org/10.7759/cureus.40546</v>
      </c>
    </row>
    <row r="386" spans="1:13" x14ac:dyDescent="0.25">
      <c r="A386" s="1">
        <v>448</v>
      </c>
      <c r="B386" s="1" t="s">
        <v>3168</v>
      </c>
      <c r="C386" s="1" t="s">
        <v>3169</v>
      </c>
      <c r="D386" s="1" t="s">
        <v>3170</v>
      </c>
      <c r="E386" s="1" t="s">
        <v>3171</v>
      </c>
      <c r="F386" s="1" t="s">
        <v>42</v>
      </c>
      <c r="G386" s="1" t="s">
        <v>1509</v>
      </c>
      <c r="H386" s="1" t="s">
        <v>3172</v>
      </c>
      <c r="I386" s="1" t="s">
        <v>3173</v>
      </c>
      <c r="J386" s="1" t="s">
        <v>3174</v>
      </c>
      <c r="K386" s="1">
        <v>2023</v>
      </c>
      <c r="L386" s="1" t="s">
        <v>3186</v>
      </c>
      <c r="M386" s="1" t="str">
        <f>HYPERLINK("http://dx.doi.org/10.1177/00905917231200826","http://dx.doi.org/10.1177/00905917231200826")</f>
        <v>http://dx.doi.org/10.1177/00905917231200826</v>
      </c>
    </row>
    <row r="387" spans="1:13" x14ac:dyDescent="0.25">
      <c r="A387" s="1">
        <v>449</v>
      </c>
      <c r="B387" s="1" t="s">
        <v>5412</v>
      </c>
      <c r="C387" s="1" t="s">
        <v>5413</v>
      </c>
      <c r="D387" s="1" t="s">
        <v>5414</v>
      </c>
      <c r="E387" s="1" t="s">
        <v>1999</v>
      </c>
      <c r="F387" s="1" t="s">
        <v>42</v>
      </c>
      <c r="G387" s="1" t="s">
        <v>56</v>
      </c>
      <c r="H387" s="1" t="s">
        <v>1507</v>
      </c>
      <c r="I387" s="1" t="s">
        <v>1618</v>
      </c>
      <c r="J387" s="1" t="s">
        <v>5415</v>
      </c>
      <c r="K387" s="1">
        <v>2023</v>
      </c>
      <c r="L387" s="1" t="s">
        <v>5426</v>
      </c>
      <c r="M387" s="1" t="str">
        <f>HYPERLINK("http://dx.doi.org/10.1371/journal.pone.0281581","http://dx.doi.org/10.1371/journal.pone.0281581")</f>
        <v>http://dx.doi.org/10.1371/journal.pone.0281581</v>
      </c>
    </row>
    <row r="388" spans="1:13" x14ac:dyDescent="0.25">
      <c r="A388" s="1">
        <v>450</v>
      </c>
      <c r="B388" s="1" t="s">
        <v>10571</v>
      </c>
      <c r="C388" s="1" t="s">
        <v>10572</v>
      </c>
      <c r="D388" s="1" t="s">
        <v>10573</v>
      </c>
      <c r="E388" s="1" t="s">
        <v>10574</v>
      </c>
      <c r="F388" s="1" t="s">
        <v>42</v>
      </c>
      <c r="G388" s="1" t="s">
        <v>56</v>
      </c>
      <c r="H388" s="1" t="s">
        <v>10575</v>
      </c>
      <c r="I388" s="1" t="s">
        <v>10576</v>
      </c>
      <c r="J388" s="1" t="s">
        <v>10577</v>
      </c>
      <c r="K388" s="1">
        <v>2019</v>
      </c>
      <c r="L388" s="1" t="s">
        <v>10588</v>
      </c>
      <c r="M388" s="1" t="str">
        <f>HYPERLINK("http://dx.doi.org/10.1007/s42161-019-00281-y","http://dx.doi.org/10.1007/s42161-019-00281-y")</f>
        <v>http://dx.doi.org/10.1007/s42161-019-00281-y</v>
      </c>
    </row>
    <row r="389" spans="1:13" x14ac:dyDescent="0.25">
      <c r="A389" s="1">
        <v>451</v>
      </c>
      <c r="B389" s="1" t="s">
        <v>9265</v>
      </c>
      <c r="C389" s="1" t="s">
        <v>9267</v>
      </c>
      <c r="D389" s="1" t="s">
        <v>9268</v>
      </c>
      <c r="E389" s="1" t="s">
        <v>9269</v>
      </c>
      <c r="F389" s="1" t="s">
        <v>42</v>
      </c>
      <c r="G389" s="1" t="s">
        <v>5552</v>
      </c>
      <c r="H389" s="1" t="s">
        <v>9274</v>
      </c>
      <c r="I389" s="1" t="s">
        <v>1507</v>
      </c>
      <c r="J389" s="1" t="s">
        <v>9275</v>
      </c>
      <c r="K389" s="1">
        <v>2021</v>
      </c>
      <c r="L389" s="1" t="s">
        <v>9290</v>
      </c>
      <c r="M389" s="1" t="str">
        <f>HYPERLINK("http://dx.doi.org/10.3233/SHTI210261","http://dx.doi.org/10.3233/SHTI210261")</f>
        <v>http://dx.doi.org/10.3233/SHTI210261</v>
      </c>
    </row>
    <row r="390" spans="1:13" x14ac:dyDescent="0.25">
      <c r="A390" s="1">
        <v>452</v>
      </c>
      <c r="B390" s="1" t="s">
        <v>6968</v>
      </c>
      <c r="C390" s="1" t="s">
        <v>6969</v>
      </c>
      <c r="D390" s="1" t="s">
        <v>6970</v>
      </c>
      <c r="E390" s="1" t="s">
        <v>6971</v>
      </c>
      <c r="F390" s="1" t="s">
        <v>42</v>
      </c>
      <c r="G390" s="1" t="s">
        <v>56</v>
      </c>
      <c r="H390" s="1" t="s">
        <v>1507</v>
      </c>
      <c r="I390" s="1" t="s">
        <v>6972</v>
      </c>
      <c r="J390" s="1" t="s">
        <v>6973</v>
      </c>
      <c r="K390" s="1">
        <v>2022</v>
      </c>
      <c r="L390" s="1" t="s">
        <v>6989</v>
      </c>
      <c r="M390" s="1" t="str">
        <f>HYPERLINK("http://dx.doi.org/10.1103/PhysRevB.106.115301","http://dx.doi.org/10.1103/PhysRevB.106.115301")</f>
        <v>http://dx.doi.org/10.1103/PhysRevB.106.115301</v>
      </c>
    </row>
    <row r="391" spans="1:13" x14ac:dyDescent="0.25">
      <c r="A391" s="1">
        <v>453</v>
      </c>
      <c r="B391" s="1" t="s">
        <v>13917</v>
      </c>
      <c r="C391" s="1" t="s">
        <v>13918</v>
      </c>
      <c r="D391" s="1" t="s">
        <v>13651</v>
      </c>
      <c r="E391" s="1" t="s">
        <v>13919</v>
      </c>
      <c r="F391" s="1" t="s">
        <v>42</v>
      </c>
      <c r="G391" s="1" t="s">
        <v>56</v>
      </c>
      <c r="H391" s="1" t="s">
        <v>13644</v>
      </c>
      <c r="I391" s="1" t="s">
        <v>1507</v>
      </c>
      <c r="J391" s="1" t="s">
        <v>13920</v>
      </c>
      <c r="K391" s="1">
        <v>2023</v>
      </c>
      <c r="L391" s="1" t="s">
        <v>13649</v>
      </c>
      <c r="M391" s="1" t="str">
        <f>HYPERLINK("http://dx.doi.org/10.2519/jospt.2023.12000","http://dx.doi.org/10.2519/jospt.2023.12000")</f>
        <v>http://dx.doi.org/10.2519/jospt.2023.12000</v>
      </c>
    </row>
    <row r="392" spans="1:13" x14ac:dyDescent="0.25">
      <c r="A392" s="1">
        <v>454</v>
      </c>
      <c r="B392" s="1" t="s">
        <v>9556</v>
      </c>
      <c r="C392" s="1" t="s">
        <v>9557</v>
      </c>
      <c r="D392" s="1" t="s">
        <v>9558</v>
      </c>
      <c r="E392" s="1" t="s">
        <v>9559</v>
      </c>
      <c r="F392" s="1" t="s">
        <v>42</v>
      </c>
      <c r="G392" s="1" t="s">
        <v>56</v>
      </c>
      <c r="H392" s="1" t="s">
        <v>1507</v>
      </c>
      <c r="I392" s="1" t="s">
        <v>9560</v>
      </c>
      <c r="J392" s="1" t="s">
        <v>9561</v>
      </c>
      <c r="K392" s="1">
        <v>2020</v>
      </c>
      <c r="L392" s="1" t="s">
        <v>1507</v>
      </c>
      <c r="M392" s="1" t="s">
        <v>1507</v>
      </c>
    </row>
    <row r="393" spans="1:13" x14ac:dyDescent="0.25">
      <c r="A393" s="1">
        <v>455</v>
      </c>
      <c r="B393" s="1" t="s">
        <v>7041</v>
      </c>
      <c r="C393" s="1" t="s">
        <v>7042</v>
      </c>
      <c r="D393" s="1" t="s">
        <v>7043</v>
      </c>
      <c r="E393" s="1" t="s">
        <v>5244</v>
      </c>
      <c r="F393" s="1" t="s">
        <v>42</v>
      </c>
      <c r="G393" s="1" t="s">
        <v>56</v>
      </c>
      <c r="H393" s="1" t="s">
        <v>1507</v>
      </c>
      <c r="I393" s="1" t="s">
        <v>7044</v>
      </c>
      <c r="J393" s="1" t="s">
        <v>7045</v>
      </c>
      <c r="K393" s="1">
        <v>2022</v>
      </c>
      <c r="L393" s="1" t="s">
        <v>7052</v>
      </c>
      <c r="M393" s="1" t="str">
        <f>HYPERLINK("http://dx.doi.org/10.1021/acs.energyfuels.2c02122","http://dx.doi.org/10.1021/acs.energyfuels.2c02122")</f>
        <v>http://dx.doi.org/10.1021/acs.energyfuels.2c02122</v>
      </c>
    </row>
    <row r="394" spans="1:13" x14ac:dyDescent="0.25">
      <c r="A394" s="1">
        <v>457</v>
      </c>
      <c r="B394" s="1" t="s">
        <v>15826</v>
      </c>
      <c r="C394" s="1" t="s">
        <v>10048</v>
      </c>
      <c r="D394" s="1" t="s">
        <v>10049</v>
      </c>
      <c r="E394" s="1" t="s">
        <v>10050</v>
      </c>
      <c r="F394" s="1" t="s">
        <v>42</v>
      </c>
      <c r="G394" s="1" t="s">
        <v>10051</v>
      </c>
      <c r="H394" s="1" t="s">
        <v>1507</v>
      </c>
      <c r="I394" s="1" t="s">
        <v>1507</v>
      </c>
      <c r="J394" s="1" t="s">
        <v>10052</v>
      </c>
      <c r="K394" s="1">
        <v>2020</v>
      </c>
      <c r="L394" s="1" t="s">
        <v>10064</v>
      </c>
      <c r="M394" s="1" t="str">
        <f>HYPERLINK("http://dx.doi.org/10.1128/MRA.00169-20","http://dx.doi.org/10.1128/MRA.00169-20")</f>
        <v>http://dx.doi.org/10.1128/MRA.00169-20</v>
      </c>
    </row>
    <row r="395" spans="1:13" x14ac:dyDescent="0.25">
      <c r="A395" s="1">
        <v>458</v>
      </c>
      <c r="B395" s="1" t="s">
        <v>15325</v>
      </c>
      <c r="C395" s="1" t="s">
        <v>15326</v>
      </c>
      <c r="D395" s="1" t="s">
        <v>15327</v>
      </c>
      <c r="E395" s="1" t="s">
        <v>15092</v>
      </c>
      <c r="F395" s="1" t="s">
        <v>42</v>
      </c>
      <c r="G395" s="1" t="s">
        <v>5552</v>
      </c>
      <c r="H395" s="1" t="s">
        <v>15328</v>
      </c>
      <c r="I395" s="1" t="s">
        <v>1507</v>
      </c>
      <c r="J395" s="1" t="s">
        <v>15329</v>
      </c>
      <c r="K395" s="1">
        <v>2023</v>
      </c>
      <c r="L395" s="1" t="s">
        <v>15335</v>
      </c>
      <c r="M395" s="1" t="str">
        <f>HYPERLINK("http://dx.doi.org/10.1145/3583780.3615311","http://dx.doi.org/10.1145/3583780.3615311")</f>
        <v>http://dx.doi.org/10.1145/3583780.3615311</v>
      </c>
    </row>
    <row r="396" spans="1:13" x14ac:dyDescent="0.25">
      <c r="A396" s="1">
        <v>459</v>
      </c>
      <c r="B396" s="1" t="s">
        <v>11084</v>
      </c>
      <c r="C396" s="1" t="s">
        <v>11085</v>
      </c>
      <c r="D396" s="1" t="s">
        <v>11086</v>
      </c>
      <c r="E396" s="1" t="s">
        <v>11087</v>
      </c>
      <c r="F396" s="1" t="s">
        <v>42</v>
      </c>
      <c r="G396" s="1" t="s">
        <v>56</v>
      </c>
      <c r="H396" s="1" t="s">
        <v>11088</v>
      </c>
      <c r="I396" s="1" t="s">
        <v>11089</v>
      </c>
      <c r="J396" s="1" t="s">
        <v>11090</v>
      </c>
      <c r="K396" s="1">
        <v>2019</v>
      </c>
      <c r="L396" s="1" t="s">
        <v>11105</v>
      </c>
      <c r="M396" s="1" t="str">
        <f>HYPERLINK("http://dx.doi.org/10.1007/s12046-019-1058-4","http://dx.doi.org/10.1007/s12046-019-1058-4")</f>
        <v>http://dx.doi.org/10.1007/s12046-019-1058-4</v>
      </c>
    </row>
    <row r="397" spans="1:13" x14ac:dyDescent="0.25">
      <c r="A397" s="1">
        <v>460</v>
      </c>
      <c r="B397" s="1" t="s">
        <v>5095</v>
      </c>
      <c r="C397" s="1" t="s">
        <v>5096</v>
      </c>
      <c r="D397" s="1" t="s">
        <v>5097</v>
      </c>
      <c r="E397" s="1" t="s">
        <v>5098</v>
      </c>
      <c r="F397" s="1" t="s">
        <v>42</v>
      </c>
      <c r="G397" s="1" t="s">
        <v>56</v>
      </c>
      <c r="H397" s="1" t="s">
        <v>5099</v>
      </c>
      <c r="I397" s="1" t="s">
        <v>5100</v>
      </c>
      <c r="J397" s="1" t="s">
        <v>5101</v>
      </c>
      <c r="K397" s="1">
        <v>2023</v>
      </c>
      <c r="L397" s="1" t="s">
        <v>5112</v>
      </c>
      <c r="M397" s="1" t="str">
        <f>HYPERLINK("http://dx.doi.org/10.1016/j.compfluid.2023.105896","http://dx.doi.org/10.1016/j.compfluid.2023.105896")</f>
        <v>http://dx.doi.org/10.1016/j.compfluid.2023.105896</v>
      </c>
    </row>
    <row r="398" spans="1:13" x14ac:dyDescent="0.25">
      <c r="A398" s="1">
        <v>462</v>
      </c>
      <c r="B398" s="1" t="s">
        <v>6291</v>
      </c>
      <c r="C398" s="1" t="s">
        <v>6292</v>
      </c>
      <c r="D398" s="1" t="s">
        <v>6293</v>
      </c>
      <c r="E398" s="1" t="s">
        <v>6294</v>
      </c>
      <c r="F398" s="1" t="s">
        <v>42</v>
      </c>
      <c r="G398" s="1" t="s">
        <v>5552</v>
      </c>
      <c r="H398" s="1" t="s">
        <v>6297</v>
      </c>
      <c r="I398" s="1" t="s">
        <v>1507</v>
      </c>
      <c r="J398" s="1" t="s">
        <v>6298</v>
      </c>
      <c r="K398" s="1">
        <v>2023</v>
      </c>
      <c r="L398" s="1" t="s">
        <v>6304</v>
      </c>
      <c r="M398" s="1" t="str">
        <f>HYPERLINK("http://dx.doi.org/10.1145/3578337.3605144","http://dx.doi.org/10.1145/3578337.3605144")</f>
        <v>http://dx.doi.org/10.1145/3578337.3605144</v>
      </c>
    </row>
    <row r="399" spans="1:13" x14ac:dyDescent="0.25">
      <c r="A399" s="1">
        <v>463</v>
      </c>
      <c r="B399" s="1" t="s">
        <v>6307</v>
      </c>
      <c r="C399" s="1" t="s">
        <v>6308</v>
      </c>
      <c r="D399" s="1" t="s">
        <v>1057</v>
      </c>
      <c r="E399" s="1" t="s">
        <v>5976</v>
      </c>
      <c r="F399" s="1" t="s">
        <v>42</v>
      </c>
      <c r="G399" s="1" t="s">
        <v>56</v>
      </c>
      <c r="H399" s="1" t="s">
        <v>6309</v>
      </c>
      <c r="I399" s="1" t="s">
        <v>6310</v>
      </c>
      <c r="J399" s="1" t="s">
        <v>6311</v>
      </c>
      <c r="K399" s="1">
        <v>2023</v>
      </c>
      <c r="L399" s="1" t="s">
        <v>1059</v>
      </c>
      <c r="M399" s="1" t="str">
        <f>HYPERLINK("http://dx.doi.org/10.2196/48254","http://dx.doi.org/10.2196/48254")</f>
        <v>http://dx.doi.org/10.2196/48254</v>
      </c>
    </row>
    <row r="400" spans="1:13" x14ac:dyDescent="0.25">
      <c r="A400" s="1">
        <v>465</v>
      </c>
      <c r="B400" s="1" t="s">
        <v>6803</v>
      </c>
      <c r="C400" s="1" t="s">
        <v>6804</v>
      </c>
      <c r="D400" s="1" t="s">
        <v>6805</v>
      </c>
      <c r="E400" s="1" t="s">
        <v>3251</v>
      </c>
      <c r="F400" s="1" t="s">
        <v>42</v>
      </c>
      <c r="G400" s="1" t="s">
        <v>56</v>
      </c>
      <c r="H400" s="1" t="s">
        <v>6806</v>
      </c>
      <c r="I400" s="1" t="s">
        <v>6807</v>
      </c>
      <c r="J400" s="1" t="s">
        <v>6808</v>
      </c>
      <c r="K400" s="1">
        <v>2022</v>
      </c>
      <c r="L400" s="1" t="s">
        <v>6819</v>
      </c>
      <c r="M400" s="1" t="str">
        <f>HYPERLINK("http://dx.doi.org/10.1073/pnas.2211715119","http://dx.doi.org/10.1073/pnas.2211715119")</f>
        <v>http://dx.doi.org/10.1073/pnas.2211715119</v>
      </c>
    </row>
    <row r="401" spans="1:13" x14ac:dyDescent="0.25">
      <c r="A401" s="1">
        <v>466</v>
      </c>
      <c r="B401" s="1" t="s">
        <v>10428</v>
      </c>
      <c r="C401" s="1" t="s">
        <v>10429</v>
      </c>
      <c r="D401" s="1" t="s">
        <v>10430</v>
      </c>
      <c r="E401" s="1" t="s">
        <v>10431</v>
      </c>
      <c r="F401" s="1" t="s">
        <v>42</v>
      </c>
      <c r="G401" s="1" t="s">
        <v>56</v>
      </c>
      <c r="H401" s="1" t="s">
        <v>10432</v>
      </c>
      <c r="I401" s="1" t="s">
        <v>10433</v>
      </c>
      <c r="J401" s="1" t="s">
        <v>10434</v>
      </c>
      <c r="K401" s="1">
        <v>2019</v>
      </c>
      <c r="L401" s="1" t="s">
        <v>10446</v>
      </c>
      <c r="M401" s="1" t="str">
        <f>HYPERLINK("http://dx.doi.org/10.1186/s12884-019-2602-2","http://dx.doi.org/10.1186/s12884-019-2602-2")</f>
        <v>http://dx.doi.org/10.1186/s12884-019-2602-2</v>
      </c>
    </row>
    <row r="402" spans="1:13" x14ac:dyDescent="0.25">
      <c r="A402" s="1">
        <v>467</v>
      </c>
      <c r="B402" s="1" t="s">
        <v>15340</v>
      </c>
      <c r="C402" s="1" t="s">
        <v>15342</v>
      </c>
      <c r="D402" s="1" t="s">
        <v>15343</v>
      </c>
      <c r="E402" s="1" t="s">
        <v>15344</v>
      </c>
      <c r="F402" s="1" t="s">
        <v>42</v>
      </c>
      <c r="G402" s="1" t="s">
        <v>5552</v>
      </c>
      <c r="H402" s="1" t="s">
        <v>15347</v>
      </c>
      <c r="I402" s="1" t="s">
        <v>1507</v>
      </c>
      <c r="J402" s="1" t="s">
        <v>15348</v>
      </c>
      <c r="K402" s="1">
        <v>2023</v>
      </c>
      <c r="L402" s="1" t="s">
        <v>15359</v>
      </c>
      <c r="M402" s="1" t="str">
        <f>HYPERLINK("http://dx.doi.org/10.1007/978-3-031-44198-1_34","http://dx.doi.org/10.1007/978-3-031-44198-1_34")</f>
        <v>http://dx.doi.org/10.1007/978-3-031-44198-1_34</v>
      </c>
    </row>
    <row r="403" spans="1:13" x14ac:dyDescent="0.25">
      <c r="A403" s="1">
        <v>468</v>
      </c>
      <c r="B403" s="1" t="s">
        <v>6318</v>
      </c>
      <c r="C403" s="1" t="s">
        <v>6319</v>
      </c>
      <c r="D403" s="1" t="s">
        <v>33</v>
      </c>
      <c r="E403" s="1" t="s">
        <v>6114</v>
      </c>
      <c r="F403" s="1" t="s">
        <v>42</v>
      </c>
      <c r="G403" s="1" t="s">
        <v>5552</v>
      </c>
      <c r="H403" s="1" t="s">
        <v>6320</v>
      </c>
      <c r="I403" s="1" t="s">
        <v>1507</v>
      </c>
      <c r="J403" s="1" t="s">
        <v>6321</v>
      </c>
      <c r="K403" s="1">
        <v>2023</v>
      </c>
      <c r="L403" s="1" t="s">
        <v>35</v>
      </c>
      <c r="M403" s="1" t="str">
        <f>HYPERLINK("http://dx.doi.org/10.1145/3568813.3600142","http://dx.doi.org/10.1145/3568813.3600142")</f>
        <v>http://dx.doi.org/10.1145/3568813.3600142</v>
      </c>
    </row>
    <row r="404" spans="1:13" x14ac:dyDescent="0.25">
      <c r="A404" s="1">
        <v>469</v>
      </c>
      <c r="B404" s="1" t="s">
        <v>10815</v>
      </c>
      <c r="C404" s="1" t="s">
        <v>10816</v>
      </c>
      <c r="D404" s="1" t="s">
        <v>10817</v>
      </c>
      <c r="E404" s="1" t="s">
        <v>8666</v>
      </c>
      <c r="F404" s="1" t="s">
        <v>42</v>
      </c>
      <c r="G404" s="1" t="s">
        <v>56</v>
      </c>
      <c r="H404" s="1" t="s">
        <v>1507</v>
      </c>
      <c r="I404" s="1" t="s">
        <v>10818</v>
      </c>
      <c r="J404" s="1" t="s">
        <v>10819</v>
      </c>
      <c r="K404" s="1">
        <v>2019</v>
      </c>
      <c r="L404" s="1" t="s">
        <v>10828</v>
      </c>
      <c r="M404" s="1" t="str">
        <f>HYPERLINK("http://dx.doi.org/10.1172/jci.insight.122998","http://dx.doi.org/10.1172/jci.insight.122998")</f>
        <v>http://dx.doi.org/10.1172/jci.insight.122998</v>
      </c>
    </row>
    <row r="405" spans="1:13" x14ac:dyDescent="0.25">
      <c r="A405" s="1">
        <v>470</v>
      </c>
      <c r="B405" s="1" t="s">
        <v>7278</v>
      </c>
      <c r="C405" s="1" t="s">
        <v>7279</v>
      </c>
      <c r="D405" s="1" t="s">
        <v>7280</v>
      </c>
      <c r="E405" s="1" t="s">
        <v>7281</v>
      </c>
      <c r="F405" s="1" t="s">
        <v>42</v>
      </c>
      <c r="G405" s="1" t="s">
        <v>56</v>
      </c>
      <c r="H405" s="1" t="s">
        <v>7282</v>
      </c>
      <c r="I405" s="1" t="s">
        <v>7283</v>
      </c>
      <c r="J405" s="1" t="s">
        <v>7284</v>
      </c>
      <c r="K405" s="1">
        <v>2022</v>
      </c>
      <c r="L405" s="1" t="s">
        <v>7296</v>
      </c>
      <c r="M405" s="1" t="str">
        <f>HYPERLINK("http://dx.doi.org/10.1021/acsearthspacechem.2c00017","http://dx.doi.org/10.1021/acsearthspacechem.2c00017")</f>
        <v>http://dx.doi.org/10.1021/acsearthspacechem.2c00017</v>
      </c>
    </row>
    <row r="406" spans="1:13" x14ac:dyDescent="0.25">
      <c r="A406" s="1">
        <v>471</v>
      </c>
      <c r="B406" s="1" t="s">
        <v>5139</v>
      </c>
      <c r="C406" s="1" t="s">
        <v>5140</v>
      </c>
      <c r="D406" s="1" t="s">
        <v>5141</v>
      </c>
      <c r="E406" s="1" t="s">
        <v>5142</v>
      </c>
      <c r="F406" s="1" t="s">
        <v>42</v>
      </c>
      <c r="G406" s="1" t="s">
        <v>1509</v>
      </c>
      <c r="H406" s="1" t="s">
        <v>5143</v>
      </c>
      <c r="I406" s="1" t="s">
        <v>5144</v>
      </c>
      <c r="J406" s="1" t="s">
        <v>5145</v>
      </c>
      <c r="K406" s="1">
        <v>2023</v>
      </c>
      <c r="L406" s="1" t="s">
        <v>5159</v>
      </c>
      <c r="M406" s="1" t="str">
        <f>HYPERLINK("http://dx.doi.org/10.1007/s10796-023-10375-9","http://dx.doi.org/10.1007/s10796-023-10375-9")</f>
        <v>http://dx.doi.org/10.1007/s10796-023-10375-9</v>
      </c>
    </row>
    <row r="407" spans="1:13" x14ac:dyDescent="0.25">
      <c r="A407" s="1">
        <v>472</v>
      </c>
      <c r="B407" s="1" t="s">
        <v>7459</v>
      </c>
      <c r="C407" s="1" t="s">
        <v>7460</v>
      </c>
      <c r="D407" s="1" t="s">
        <v>7461</v>
      </c>
      <c r="E407" s="1" t="s">
        <v>3475</v>
      </c>
      <c r="F407" s="1" t="s">
        <v>42</v>
      </c>
      <c r="G407" s="1" t="s">
        <v>56</v>
      </c>
      <c r="H407" s="1" t="s">
        <v>1507</v>
      </c>
      <c r="I407" s="1" t="s">
        <v>1507</v>
      </c>
      <c r="J407" s="1" t="s">
        <v>7462</v>
      </c>
      <c r="K407" s="1">
        <v>2022</v>
      </c>
      <c r="L407" s="1" t="s">
        <v>7470</v>
      </c>
      <c r="M407" s="1" t="str">
        <f>HYPERLINK("http://dx.doi.org/10.1038/s42256-022-00458-8","http://dx.doi.org/10.1038/s42256-022-00458-8")</f>
        <v>http://dx.doi.org/10.1038/s42256-022-00458-8</v>
      </c>
    </row>
    <row r="408" spans="1:13" x14ac:dyDescent="0.25">
      <c r="A408" s="1">
        <v>473</v>
      </c>
      <c r="B408" s="1" t="s">
        <v>6327</v>
      </c>
      <c r="C408" s="1" t="s">
        <v>6329</v>
      </c>
      <c r="D408" s="1" t="s">
        <v>6330</v>
      </c>
      <c r="E408" s="1" t="s">
        <v>6331</v>
      </c>
      <c r="F408" s="1" t="s">
        <v>42</v>
      </c>
      <c r="G408" s="1" t="s">
        <v>5552</v>
      </c>
      <c r="H408" s="1" t="s">
        <v>1507</v>
      </c>
      <c r="I408" s="1" t="s">
        <v>6334</v>
      </c>
      <c r="J408" s="1" t="s">
        <v>6335</v>
      </c>
      <c r="K408" s="1">
        <v>2023</v>
      </c>
      <c r="L408" s="1" t="s">
        <v>6345</v>
      </c>
      <c r="M408" s="1" t="str">
        <f>HYPERLINK("http://dx.doi.org/10.1007/978-3-031-43996-4_27","http://dx.doi.org/10.1007/978-3-031-43996-4_27")</f>
        <v>http://dx.doi.org/10.1007/978-3-031-43996-4_27</v>
      </c>
    </row>
    <row r="409" spans="1:13" x14ac:dyDescent="0.25">
      <c r="A409" s="1">
        <v>474</v>
      </c>
      <c r="B409" s="1" t="s">
        <v>2439</v>
      </c>
      <c r="C409" s="1" t="s">
        <v>2440</v>
      </c>
      <c r="D409" s="1" t="s">
        <v>2441</v>
      </c>
      <c r="E409" s="1" t="s">
        <v>2442</v>
      </c>
      <c r="F409" s="1" t="s">
        <v>42</v>
      </c>
      <c r="G409" s="1" t="s">
        <v>56</v>
      </c>
      <c r="H409" s="1" t="s">
        <v>1507</v>
      </c>
      <c r="I409" s="1" t="s">
        <v>1507</v>
      </c>
      <c r="J409" s="1" t="s">
        <v>2443</v>
      </c>
      <c r="K409" s="1">
        <v>2023</v>
      </c>
      <c r="L409" s="1" t="s">
        <v>2454</v>
      </c>
      <c r="M409" s="1" t="str">
        <f>HYPERLINK("http://dx.doi.org/10.1016/j.heliyon.2023.e22457","http://dx.doi.org/10.1016/j.heliyon.2023.e22457")</f>
        <v>http://dx.doi.org/10.1016/j.heliyon.2023.e22457</v>
      </c>
    </row>
    <row r="410" spans="1:13" x14ac:dyDescent="0.25">
      <c r="A410" s="1">
        <v>475</v>
      </c>
      <c r="B410" s="1" t="s">
        <v>7961</v>
      </c>
      <c r="C410" s="1" t="s">
        <v>7962</v>
      </c>
      <c r="D410" s="1" t="s">
        <v>7963</v>
      </c>
      <c r="E410" s="1" t="s">
        <v>7964</v>
      </c>
      <c r="F410" s="1" t="s">
        <v>42</v>
      </c>
      <c r="G410" s="1" t="s">
        <v>56</v>
      </c>
      <c r="H410" s="1" t="s">
        <v>7965</v>
      </c>
      <c r="I410" s="1" t="s">
        <v>7966</v>
      </c>
      <c r="J410" s="1" t="s">
        <v>7967</v>
      </c>
      <c r="K410" s="1">
        <v>2022</v>
      </c>
      <c r="L410" s="1" t="s">
        <v>7976</v>
      </c>
      <c r="M410" s="1" t="str">
        <f>HYPERLINK("http://dx.doi.org/10.1016/j.chemosphere.2021.132652","http://dx.doi.org/10.1016/j.chemosphere.2021.132652")</f>
        <v>http://dx.doi.org/10.1016/j.chemosphere.2021.132652</v>
      </c>
    </row>
    <row r="411" spans="1:13" x14ac:dyDescent="0.25">
      <c r="A411" s="1">
        <v>476</v>
      </c>
      <c r="B411" s="1" t="s">
        <v>8990</v>
      </c>
      <c r="C411" s="1" t="s">
        <v>8991</v>
      </c>
      <c r="D411" s="1" t="s">
        <v>8992</v>
      </c>
      <c r="E411" s="1" t="s">
        <v>7964</v>
      </c>
      <c r="F411" s="1" t="s">
        <v>42</v>
      </c>
      <c r="G411" s="1" t="s">
        <v>56</v>
      </c>
      <c r="H411" s="1" t="s">
        <v>8993</v>
      </c>
      <c r="I411" s="1" t="s">
        <v>8994</v>
      </c>
      <c r="J411" s="1" t="s">
        <v>8995</v>
      </c>
      <c r="K411" s="1">
        <v>2021</v>
      </c>
      <c r="L411" s="1" t="s">
        <v>8998</v>
      </c>
      <c r="M411" s="1" t="str">
        <f>HYPERLINK("http://dx.doi.org/10.1016/j.chemosphere.2021.129928","http://dx.doi.org/10.1016/j.chemosphere.2021.129928")</f>
        <v>http://dx.doi.org/10.1016/j.chemosphere.2021.129928</v>
      </c>
    </row>
    <row r="412" spans="1:13" x14ac:dyDescent="0.25">
      <c r="A412" s="1">
        <v>477</v>
      </c>
      <c r="B412" s="1" t="s">
        <v>4431</v>
      </c>
      <c r="C412" s="1" t="s">
        <v>4432</v>
      </c>
      <c r="D412" s="1" t="s">
        <v>4433</v>
      </c>
      <c r="E412" s="1" t="s">
        <v>1999</v>
      </c>
      <c r="F412" s="1" t="s">
        <v>42</v>
      </c>
      <c r="G412" s="1" t="s">
        <v>56</v>
      </c>
      <c r="H412" s="1" t="s">
        <v>1507</v>
      </c>
      <c r="I412" s="1" t="s">
        <v>4434</v>
      </c>
      <c r="J412" s="1" t="s">
        <v>4435</v>
      </c>
      <c r="K412" s="1">
        <v>2023</v>
      </c>
      <c r="L412" s="1" t="s">
        <v>4446</v>
      </c>
      <c r="M412" s="1" t="str">
        <f>HYPERLINK("http://dx.doi.org/10.1371/journal.pone.0288768","http://dx.doi.org/10.1371/journal.pone.0288768")</f>
        <v>http://dx.doi.org/10.1371/journal.pone.0288768</v>
      </c>
    </row>
    <row r="413" spans="1:13" x14ac:dyDescent="0.25">
      <c r="A413" s="1">
        <v>478</v>
      </c>
      <c r="B413" s="1" t="s">
        <v>6349</v>
      </c>
      <c r="C413" s="1" t="s">
        <v>6350</v>
      </c>
      <c r="D413" s="1" t="s">
        <v>6351</v>
      </c>
      <c r="E413" s="1" t="s">
        <v>5976</v>
      </c>
      <c r="F413" s="1" t="s">
        <v>42</v>
      </c>
      <c r="G413" s="1" t="s">
        <v>56</v>
      </c>
      <c r="H413" s="1" t="s">
        <v>6352</v>
      </c>
      <c r="I413" s="1" t="s">
        <v>6353</v>
      </c>
      <c r="J413" s="1" t="s">
        <v>6354</v>
      </c>
      <c r="K413" s="1">
        <v>2023</v>
      </c>
      <c r="L413" s="1" t="s">
        <v>6360</v>
      </c>
      <c r="M413" s="1" t="str">
        <f>HYPERLINK("http://dx.doi.org/10.2196/53466","http://dx.doi.org/10.2196/53466")</f>
        <v>http://dx.doi.org/10.2196/53466</v>
      </c>
    </row>
    <row r="414" spans="1:13" x14ac:dyDescent="0.25">
      <c r="A414" s="1">
        <v>479</v>
      </c>
      <c r="B414" s="1" t="s">
        <v>5351</v>
      </c>
      <c r="C414" s="1" t="s">
        <v>5352</v>
      </c>
      <c r="D414" s="1" t="s">
        <v>5353</v>
      </c>
      <c r="E414" s="1" t="s">
        <v>5013</v>
      </c>
      <c r="F414" s="1" t="s">
        <v>42</v>
      </c>
      <c r="G414" s="1" t="s">
        <v>56</v>
      </c>
      <c r="H414" s="1" t="s">
        <v>5354</v>
      </c>
      <c r="I414" s="1" t="s">
        <v>1507</v>
      </c>
      <c r="J414" s="1" t="s">
        <v>5355</v>
      </c>
      <c r="K414" s="1">
        <v>2023</v>
      </c>
      <c r="L414" s="1" t="s">
        <v>5363</v>
      </c>
      <c r="M414" s="1" t="str">
        <f>HYPERLINK("http://dx.doi.org/10.3390/app13052892","http://dx.doi.org/10.3390/app13052892")</f>
        <v>http://dx.doi.org/10.3390/app13052892</v>
      </c>
    </row>
    <row r="415" spans="1:13" x14ac:dyDescent="0.25">
      <c r="A415" s="1">
        <v>480</v>
      </c>
      <c r="B415" s="1" t="s">
        <v>9598</v>
      </c>
      <c r="C415" s="1" t="s">
        <v>9599</v>
      </c>
      <c r="D415" s="1" t="s">
        <v>9600</v>
      </c>
      <c r="E415" s="1" t="s">
        <v>8155</v>
      </c>
      <c r="F415" s="1" t="s">
        <v>42</v>
      </c>
      <c r="G415" s="1" t="s">
        <v>56</v>
      </c>
      <c r="H415" s="1" t="s">
        <v>9601</v>
      </c>
      <c r="I415" s="1" t="s">
        <v>9602</v>
      </c>
      <c r="J415" s="1" t="s">
        <v>9603</v>
      </c>
      <c r="K415" s="1">
        <v>2020</v>
      </c>
      <c r="L415" s="1" t="s">
        <v>9609</v>
      </c>
      <c r="M415" s="1" t="str">
        <f>HYPERLINK("http://dx.doi.org/10.1016/j.psyneuen.2020.104733","http://dx.doi.org/10.1016/j.psyneuen.2020.104733")</f>
        <v>http://dx.doi.org/10.1016/j.psyneuen.2020.104733</v>
      </c>
    </row>
    <row r="416" spans="1:13" x14ac:dyDescent="0.25">
      <c r="A416" s="1">
        <v>481</v>
      </c>
      <c r="B416" s="1" t="s">
        <v>8152</v>
      </c>
      <c r="C416" s="1" t="s">
        <v>8153</v>
      </c>
      <c r="D416" s="1" t="s">
        <v>8154</v>
      </c>
      <c r="E416" s="1" t="s">
        <v>8155</v>
      </c>
      <c r="F416" s="1" t="s">
        <v>42</v>
      </c>
      <c r="G416" s="1" t="s">
        <v>56</v>
      </c>
      <c r="H416" s="1" t="s">
        <v>8156</v>
      </c>
      <c r="I416" s="1" t="s">
        <v>8157</v>
      </c>
      <c r="J416" s="1" t="s">
        <v>8158</v>
      </c>
      <c r="K416" s="1">
        <v>2021</v>
      </c>
      <c r="L416" s="1" t="s">
        <v>8169</v>
      </c>
      <c r="M416" s="1" t="str">
        <f>HYPERLINK("http://dx.doi.org/10.1016/j.psyneuen.2021.105431","http://dx.doi.org/10.1016/j.psyneuen.2021.105431")</f>
        <v>http://dx.doi.org/10.1016/j.psyneuen.2021.105431</v>
      </c>
    </row>
    <row r="417" spans="1:13" x14ac:dyDescent="0.25">
      <c r="A417" s="1">
        <v>482</v>
      </c>
      <c r="B417" s="1" t="s">
        <v>7486</v>
      </c>
      <c r="C417" s="1" t="s">
        <v>7487</v>
      </c>
      <c r="D417" s="1" t="s">
        <v>7488</v>
      </c>
      <c r="E417" s="1" t="s">
        <v>7489</v>
      </c>
      <c r="F417" s="1" t="s">
        <v>42</v>
      </c>
      <c r="G417" s="1" t="s">
        <v>56</v>
      </c>
      <c r="H417" s="1" t="s">
        <v>7490</v>
      </c>
      <c r="I417" s="1" t="s">
        <v>7491</v>
      </c>
      <c r="J417" s="1" t="s">
        <v>7492</v>
      </c>
      <c r="K417" s="1">
        <v>2022</v>
      </c>
      <c r="L417" s="1" t="s">
        <v>7506</v>
      </c>
      <c r="M417" s="1" t="str">
        <f>HYPERLINK("http://dx.doi.org/10.1177/09567976211036075","http://dx.doi.org/10.1177/09567976211036075")</f>
        <v>http://dx.doi.org/10.1177/09567976211036075</v>
      </c>
    </row>
    <row r="418" spans="1:13" x14ac:dyDescent="0.25">
      <c r="A418" s="1">
        <v>483</v>
      </c>
      <c r="B418" s="1" t="s">
        <v>1954</v>
      </c>
      <c r="C418" s="1" t="s">
        <v>1955</v>
      </c>
      <c r="D418" s="1" t="s">
        <v>1956</v>
      </c>
      <c r="E418" s="1" t="s">
        <v>1957</v>
      </c>
      <c r="F418" s="1" t="s">
        <v>42</v>
      </c>
      <c r="G418" s="1" t="s">
        <v>1509</v>
      </c>
      <c r="H418" s="1" t="s">
        <v>1507</v>
      </c>
      <c r="I418" s="1" t="s">
        <v>1507</v>
      </c>
      <c r="J418" s="1" t="s">
        <v>1507</v>
      </c>
      <c r="K418" s="1">
        <v>2023</v>
      </c>
      <c r="L418" s="1" t="s">
        <v>1969</v>
      </c>
      <c r="M418" s="1" t="str">
        <f>HYPERLINK("http://dx.doi.org/10.1111/all.15976","http://dx.doi.org/10.1111/all.15976")</f>
        <v>http://dx.doi.org/10.1111/all.15976</v>
      </c>
    </row>
    <row r="419" spans="1:13" x14ac:dyDescent="0.25">
      <c r="A419" s="1">
        <v>484</v>
      </c>
      <c r="B419" s="1" t="s">
        <v>9918</v>
      </c>
      <c r="C419" s="1" t="s">
        <v>9919</v>
      </c>
      <c r="D419" s="1" t="s">
        <v>9920</v>
      </c>
      <c r="E419" s="1" t="s">
        <v>1760</v>
      </c>
      <c r="F419" s="1" t="s">
        <v>42</v>
      </c>
      <c r="G419" s="1" t="s">
        <v>56</v>
      </c>
      <c r="H419" s="1" t="s">
        <v>1507</v>
      </c>
      <c r="I419" s="1" t="s">
        <v>9921</v>
      </c>
      <c r="J419" s="1" t="s">
        <v>9922</v>
      </c>
      <c r="K419" s="1">
        <v>2020</v>
      </c>
      <c r="L419" s="1" t="s">
        <v>9929</v>
      </c>
      <c r="M419" s="1" t="str">
        <f>HYPERLINK("http://dx.doi.org/10.1038/s41586-020-2342-5","http://dx.doi.org/10.1038/s41586-020-2342-5")</f>
        <v>http://dx.doi.org/10.1038/s41586-020-2342-5</v>
      </c>
    </row>
    <row r="420" spans="1:13" x14ac:dyDescent="0.25">
      <c r="A420" s="1">
        <v>487</v>
      </c>
      <c r="B420" s="1" t="s">
        <v>11677</v>
      </c>
      <c r="C420" s="1" t="s">
        <v>11678</v>
      </c>
      <c r="D420" s="1" t="s">
        <v>11679</v>
      </c>
      <c r="E420" s="1" t="s">
        <v>11413</v>
      </c>
      <c r="F420" s="1" t="s">
        <v>42</v>
      </c>
      <c r="G420" s="1" t="s">
        <v>11680</v>
      </c>
      <c r="H420" s="1" t="s">
        <v>1507</v>
      </c>
      <c r="I420" s="1" t="s">
        <v>11685</v>
      </c>
      <c r="J420" s="1" t="s">
        <v>11686</v>
      </c>
      <c r="K420" s="1">
        <v>2018</v>
      </c>
      <c r="L420" s="1" t="s">
        <v>11690</v>
      </c>
      <c r="M420" s="1" t="str">
        <f>HYPERLINK("http://dx.doi.org/10.2514/1.C034696","http://dx.doi.org/10.2514/1.C034696")</f>
        <v>http://dx.doi.org/10.2514/1.C034696</v>
      </c>
    </row>
    <row r="421" spans="1:13" x14ac:dyDescent="0.25">
      <c r="A421" s="1">
        <v>488</v>
      </c>
      <c r="B421" s="1" t="s">
        <v>11410</v>
      </c>
      <c r="C421" s="1" t="s">
        <v>11411</v>
      </c>
      <c r="D421" s="1" t="s">
        <v>11412</v>
      </c>
      <c r="E421" s="1" t="s">
        <v>11413</v>
      </c>
      <c r="F421" s="1" t="s">
        <v>42</v>
      </c>
      <c r="G421" s="1" t="s">
        <v>56</v>
      </c>
      <c r="H421" s="1" t="s">
        <v>1507</v>
      </c>
      <c r="I421" s="1" t="s">
        <v>11414</v>
      </c>
      <c r="J421" s="1" t="s">
        <v>11415</v>
      </c>
      <c r="K421" s="1">
        <v>2019</v>
      </c>
      <c r="L421" s="1" t="s">
        <v>11431</v>
      </c>
      <c r="M421" s="1" t="str">
        <f>HYPERLINK("http://dx.doi.org/10.2514/1.C034978","http://dx.doi.org/10.2514/1.C034978")</f>
        <v>http://dx.doi.org/10.2514/1.C034978</v>
      </c>
    </row>
    <row r="422" spans="1:13" x14ac:dyDescent="0.25">
      <c r="A422" s="1">
        <v>489</v>
      </c>
      <c r="B422" s="1" t="s">
        <v>9933</v>
      </c>
      <c r="C422" s="1" t="s">
        <v>9934</v>
      </c>
      <c r="D422" s="1" t="s">
        <v>9935</v>
      </c>
      <c r="E422" s="1" t="s">
        <v>1760</v>
      </c>
      <c r="F422" s="1" t="s">
        <v>42</v>
      </c>
      <c r="G422" s="1" t="s">
        <v>56</v>
      </c>
      <c r="H422" s="1" t="s">
        <v>1507</v>
      </c>
      <c r="I422" s="1" t="s">
        <v>1507</v>
      </c>
      <c r="J422" s="1" t="s">
        <v>9936</v>
      </c>
      <c r="K422" s="1">
        <v>2020</v>
      </c>
      <c r="L422" s="1" t="s">
        <v>9943</v>
      </c>
      <c r="M422" s="1" t="str">
        <f>HYPERLINK("http://dx.doi.org/10.1038/s41586-020-2334-5","http://dx.doi.org/10.1038/s41586-020-2334-5")</f>
        <v>http://dx.doi.org/10.1038/s41586-020-2334-5</v>
      </c>
    </row>
    <row r="423" spans="1:13" x14ac:dyDescent="0.25">
      <c r="A423" s="1">
        <v>490</v>
      </c>
      <c r="B423" s="1" t="s">
        <v>9474</v>
      </c>
      <c r="C423" s="1" t="s">
        <v>9475</v>
      </c>
      <c r="D423" s="1" t="s">
        <v>9476</v>
      </c>
      <c r="E423" s="1" t="s">
        <v>8043</v>
      </c>
      <c r="F423" s="1" t="s">
        <v>42</v>
      </c>
      <c r="G423" s="1" t="s">
        <v>56</v>
      </c>
      <c r="H423" s="1" t="s">
        <v>9477</v>
      </c>
      <c r="I423" s="1" t="s">
        <v>9478</v>
      </c>
      <c r="J423" s="1" t="s">
        <v>9479</v>
      </c>
      <c r="K423" s="1">
        <v>2020</v>
      </c>
      <c r="L423" s="1" t="s">
        <v>9486</v>
      </c>
      <c r="M423" s="1" t="str">
        <f>HYPERLINK("http://dx.doi.org/10.1186/s10020-020-00224-9","http://dx.doi.org/10.1186/s10020-020-00224-9")</f>
        <v>http://dx.doi.org/10.1186/s10020-020-00224-9</v>
      </c>
    </row>
    <row r="424" spans="1:13" x14ac:dyDescent="0.25">
      <c r="A424" s="1">
        <v>491</v>
      </c>
      <c r="B424" s="1" t="s">
        <v>9715</v>
      </c>
      <c r="C424" s="1" t="s">
        <v>9716</v>
      </c>
      <c r="D424" s="1" t="s">
        <v>9717</v>
      </c>
      <c r="E424" s="1" t="s">
        <v>8043</v>
      </c>
      <c r="F424" s="1" t="s">
        <v>42</v>
      </c>
      <c r="G424" s="1" t="s">
        <v>56</v>
      </c>
      <c r="H424" s="1" t="s">
        <v>9718</v>
      </c>
      <c r="I424" s="1" t="s">
        <v>9719</v>
      </c>
      <c r="J424" s="1" t="s">
        <v>9720</v>
      </c>
      <c r="K424" s="1">
        <v>2020</v>
      </c>
      <c r="L424" s="1" t="s">
        <v>9728</v>
      </c>
      <c r="M424" s="1" t="str">
        <f>HYPERLINK("http://dx.doi.org/10.1186/s10020-020-00177-z","http://dx.doi.org/10.1186/s10020-020-00177-z")</f>
        <v>http://dx.doi.org/10.1186/s10020-020-00177-z</v>
      </c>
    </row>
    <row r="425" spans="1:13" x14ac:dyDescent="0.25">
      <c r="A425" s="1">
        <v>492</v>
      </c>
      <c r="B425" s="1" t="s">
        <v>4771</v>
      </c>
      <c r="C425" s="1" t="s">
        <v>4772</v>
      </c>
      <c r="D425" s="1" t="s">
        <v>522</v>
      </c>
      <c r="E425" s="1" t="s">
        <v>4773</v>
      </c>
      <c r="F425" s="1" t="s">
        <v>42</v>
      </c>
      <c r="G425" s="1" t="s">
        <v>56</v>
      </c>
      <c r="H425" s="1" t="s">
        <v>4774</v>
      </c>
      <c r="I425" s="1" t="s">
        <v>1507</v>
      </c>
      <c r="J425" s="1" t="s">
        <v>4775</v>
      </c>
      <c r="K425" s="1">
        <v>2023</v>
      </c>
      <c r="L425" s="1" t="s">
        <v>524</v>
      </c>
      <c r="M425" s="1" t="str">
        <f>HYPERLINK("http://dx.doi.org/10.1215/00029831-10575035","http://dx.doi.org/10.1215/00029831-10575035")</f>
        <v>http://dx.doi.org/10.1215/00029831-10575035</v>
      </c>
    </row>
    <row r="426" spans="1:13" x14ac:dyDescent="0.25">
      <c r="A426" s="1">
        <v>493</v>
      </c>
      <c r="B426" s="1" t="s">
        <v>10365</v>
      </c>
      <c r="C426" s="1" t="s">
        <v>10367</v>
      </c>
      <c r="D426" s="1" t="s">
        <v>10368</v>
      </c>
      <c r="E426" s="1" t="s">
        <v>10369</v>
      </c>
      <c r="F426" s="1" t="s">
        <v>42</v>
      </c>
      <c r="G426" s="1" t="s">
        <v>5552</v>
      </c>
      <c r="H426" s="1" t="s">
        <v>10373</v>
      </c>
      <c r="I426" s="1" t="s">
        <v>1507</v>
      </c>
      <c r="J426" s="1" t="s">
        <v>10374</v>
      </c>
      <c r="K426" s="1">
        <v>2020</v>
      </c>
      <c r="L426" s="1" t="s">
        <v>1507</v>
      </c>
      <c r="M426" s="1" t="s">
        <v>1507</v>
      </c>
    </row>
    <row r="427" spans="1:13" x14ac:dyDescent="0.25">
      <c r="A427" s="1">
        <v>494</v>
      </c>
      <c r="B427" s="1" t="s">
        <v>2285</v>
      </c>
      <c r="C427" s="1" t="s">
        <v>2286</v>
      </c>
      <c r="D427" s="1" t="s">
        <v>2287</v>
      </c>
      <c r="E427" s="1" t="s">
        <v>2288</v>
      </c>
      <c r="F427" s="1" t="s">
        <v>42</v>
      </c>
      <c r="G427" s="1" t="s">
        <v>56</v>
      </c>
      <c r="H427" s="1" t="s">
        <v>2289</v>
      </c>
      <c r="I427" s="1" t="s">
        <v>2290</v>
      </c>
      <c r="J427" s="1" t="s">
        <v>2291</v>
      </c>
      <c r="K427" s="1">
        <v>2023</v>
      </c>
      <c r="L427" s="1" t="s">
        <v>2306</v>
      </c>
      <c r="M427" s="1" t="str">
        <f>HYPERLINK("http://dx.doi.org/10.1128/jvi.01369-23","http://dx.doi.org/10.1128/jvi.01369-23")</f>
        <v>http://dx.doi.org/10.1128/jvi.01369-23</v>
      </c>
    </row>
    <row r="428" spans="1:13" x14ac:dyDescent="0.25">
      <c r="A428" s="1">
        <v>495</v>
      </c>
      <c r="B428" s="1" t="s">
        <v>10477</v>
      </c>
      <c r="C428" s="1" t="s">
        <v>10478</v>
      </c>
      <c r="D428" s="1" t="s">
        <v>10479</v>
      </c>
      <c r="E428" s="1" t="s">
        <v>2288</v>
      </c>
      <c r="F428" s="1" t="s">
        <v>42</v>
      </c>
      <c r="G428" s="1" t="s">
        <v>56</v>
      </c>
      <c r="H428" s="1" t="s">
        <v>10480</v>
      </c>
      <c r="I428" s="1" t="s">
        <v>10481</v>
      </c>
      <c r="J428" s="1" t="s">
        <v>10482</v>
      </c>
      <c r="K428" s="1">
        <v>2019</v>
      </c>
      <c r="L428" s="1" t="s">
        <v>10489</v>
      </c>
      <c r="M428" s="1" t="str">
        <f>HYPERLINK("http://dx.doi.org/10.1128/JVI.01236-19","http://dx.doi.org/10.1128/JVI.01236-19")</f>
        <v>http://dx.doi.org/10.1128/JVI.01236-19</v>
      </c>
    </row>
    <row r="429" spans="1:13" x14ac:dyDescent="0.25">
      <c r="A429" s="1">
        <v>496</v>
      </c>
      <c r="B429" s="1" t="s">
        <v>9895</v>
      </c>
      <c r="C429" s="1" t="s">
        <v>9896</v>
      </c>
      <c r="D429" s="1" t="s">
        <v>9897</v>
      </c>
      <c r="E429" s="1" t="s">
        <v>9898</v>
      </c>
      <c r="F429" s="1" t="s">
        <v>42</v>
      </c>
      <c r="G429" s="1" t="s">
        <v>56</v>
      </c>
      <c r="H429" s="1" t="s">
        <v>9899</v>
      </c>
      <c r="I429" s="1" t="s">
        <v>9900</v>
      </c>
      <c r="J429" s="1" t="s">
        <v>9901</v>
      </c>
      <c r="K429" s="1">
        <v>2020</v>
      </c>
      <c r="L429" s="1" t="s">
        <v>9914</v>
      </c>
      <c r="M429" s="1" t="str">
        <f>HYPERLINK("http://dx.doi.org/10.1016/j.jmmm.2020.166532","http://dx.doi.org/10.1016/j.jmmm.2020.166532")</f>
        <v>http://dx.doi.org/10.1016/j.jmmm.2020.166532</v>
      </c>
    </row>
    <row r="430" spans="1:13" x14ac:dyDescent="0.25">
      <c r="A430" s="1">
        <v>497</v>
      </c>
      <c r="B430" s="1" t="s">
        <v>4018</v>
      </c>
      <c r="C430" s="1" t="s">
        <v>4019</v>
      </c>
      <c r="D430" s="1" t="s">
        <v>4020</v>
      </c>
      <c r="E430" s="1" t="s">
        <v>4021</v>
      </c>
      <c r="F430" s="1" t="s">
        <v>42</v>
      </c>
      <c r="G430" s="1" t="s">
        <v>56</v>
      </c>
      <c r="H430" s="1" t="s">
        <v>4022</v>
      </c>
      <c r="I430" s="1" t="s">
        <v>4023</v>
      </c>
      <c r="J430" s="1" t="s">
        <v>4024</v>
      </c>
      <c r="K430" s="1">
        <v>2023</v>
      </c>
      <c r="L430" s="1" t="s">
        <v>4033</v>
      </c>
      <c r="M430" s="1" t="str">
        <f>HYPERLINK("http://dx.doi.org/10.1016/j.jksuci.2023.101675","http://dx.doi.org/10.1016/j.jksuci.2023.101675")</f>
        <v>http://dx.doi.org/10.1016/j.jksuci.2023.101675</v>
      </c>
    </row>
    <row r="431" spans="1:13" x14ac:dyDescent="0.25">
      <c r="A431" s="1">
        <v>498</v>
      </c>
      <c r="B431" s="1" t="s">
        <v>6363</v>
      </c>
      <c r="C431" s="1" t="s">
        <v>6365</v>
      </c>
      <c r="D431" s="1" t="s">
        <v>6366</v>
      </c>
      <c r="E431" s="1" t="s">
        <v>6367</v>
      </c>
      <c r="F431" s="1" t="s">
        <v>42</v>
      </c>
      <c r="G431" s="1" t="s">
        <v>5552</v>
      </c>
      <c r="H431" s="1" t="s">
        <v>1253</v>
      </c>
      <c r="I431" s="1" t="s">
        <v>1507</v>
      </c>
      <c r="J431" s="1" t="s">
        <v>6373</v>
      </c>
      <c r="K431" s="1">
        <v>2023</v>
      </c>
      <c r="L431" s="1" t="s">
        <v>1249</v>
      </c>
      <c r="M431" s="1" t="str">
        <f>HYPERLINK("http://dx.doi.org/10.1007/978-3-031-42608-7_16","http://dx.doi.org/10.1007/978-3-031-42608-7_16")</f>
        <v>http://dx.doi.org/10.1007/978-3-031-42608-7_16</v>
      </c>
    </row>
    <row r="432" spans="1:13" x14ac:dyDescent="0.25">
      <c r="A432" s="1">
        <v>499</v>
      </c>
      <c r="B432" s="1" t="s">
        <v>12056</v>
      </c>
      <c r="C432" s="1" t="s">
        <v>12057</v>
      </c>
      <c r="D432" s="1" t="s">
        <v>12058</v>
      </c>
      <c r="E432" s="1" t="s">
        <v>12059</v>
      </c>
      <c r="F432" s="1" t="s">
        <v>42</v>
      </c>
      <c r="G432" s="1" t="s">
        <v>56</v>
      </c>
      <c r="H432" s="1" t="s">
        <v>12060</v>
      </c>
      <c r="I432" s="1" t="s">
        <v>12061</v>
      </c>
      <c r="J432" s="1" t="s">
        <v>12062</v>
      </c>
      <c r="K432" s="1">
        <v>2018</v>
      </c>
      <c r="L432" s="1" t="s">
        <v>12072</v>
      </c>
      <c r="M432" s="1" t="str">
        <f>HYPERLINK("http://dx.doi.org/10.1080/15592294.2018.1518100","http://dx.doi.org/10.1080/15592294.2018.1518100")</f>
        <v>http://dx.doi.org/10.1080/15592294.2018.1518100</v>
      </c>
    </row>
    <row r="433" spans="1:13" x14ac:dyDescent="0.25">
      <c r="A433" s="1">
        <v>500</v>
      </c>
      <c r="B433" s="1" t="s">
        <v>8019</v>
      </c>
      <c r="C433" s="1" t="s">
        <v>8020</v>
      </c>
      <c r="D433" s="1" t="s">
        <v>8021</v>
      </c>
      <c r="E433" s="1" t="s">
        <v>8022</v>
      </c>
      <c r="F433" s="1" t="s">
        <v>42</v>
      </c>
      <c r="G433" s="1" t="s">
        <v>56</v>
      </c>
      <c r="H433" s="1" t="s">
        <v>1507</v>
      </c>
      <c r="I433" s="1" t="s">
        <v>8023</v>
      </c>
      <c r="J433" s="1" t="s">
        <v>8024</v>
      </c>
      <c r="K433" s="1">
        <v>2021</v>
      </c>
      <c r="L433" s="1" t="s">
        <v>8036</v>
      </c>
      <c r="M433" s="1" t="str">
        <f>HYPERLINK("http://dx.doi.org/10.1186/s13148-021-01171-w","http://dx.doi.org/10.1186/s13148-021-01171-w")</f>
        <v>http://dx.doi.org/10.1186/s13148-021-01171-w</v>
      </c>
    </row>
    <row r="434" spans="1:13" x14ac:dyDescent="0.25">
      <c r="A434" s="1">
        <v>501</v>
      </c>
      <c r="B434" s="1" t="s">
        <v>11435</v>
      </c>
      <c r="C434" s="1" t="s">
        <v>11436</v>
      </c>
      <c r="D434" s="1" t="s">
        <v>11437</v>
      </c>
      <c r="E434" s="1" t="s">
        <v>11438</v>
      </c>
      <c r="F434" s="1" t="s">
        <v>42</v>
      </c>
      <c r="G434" s="1" t="s">
        <v>56</v>
      </c>
      <c r="H434" s="1" t="s">
        <v>1507</v>
      </c>
      <c r="I434" s="1" t="s">
        <v>11439</v>
      </c>
      <c r="J434" s="1" t="s">
        <v>11440</v>
      </c>
      <c r="K434" s="1">
        <v>2019</v>
      </c>
      <c r="L434" s="1" t="s">
        <v>11454</v>
      </c>
      <c r="M434" s="1" t="str">
        <f>HYPERLINK("http://dx.doi.org/10.1007/s00227-018-3452-6","http://dx.doi.org/10.1007/s00227-018-3452-6")</f>
        <v>http://dx.doi.org/10.1007/s00227-018-3452-6</v>
      </c>
    </row>
    <row r="435" spans="1:13" x14ac:dyDescent="0.25">
      <c r="A435" s="1">
        <v>502</v>
      </c>
      <c r="B435" s="1" t="s">
        <v>12076</v>
      </c>
      <c r="C435" s="1" t="s">
        <v>12077</v>
      </c>
      <c r="D435" s="1" t="s">
        <v>12078</v>
      </c>
      <c r="E435" s="1" t="s">
        <v>11438</v>
      </c>
      <c r="F435" s="1" t="s">
        <v>42</v>
      </c>
      <c r="G435" s="1" t="s">
        <v>56</v>
      </c>
      <c r="H435" s="1" t="s">
        <v>1507</v>
      </c>
      <c r="I435" s="1" t="s">
        <v>12079</v>
      </c>
      <c r="J435" s="1" t="s">
        <v>12080</v>
      </c>
      <c r="K435" s="1">
        <v>2018</v>
      </c>
      <c r="L435" s="1" t="s">
        <v>12086</v>
      </c>
      <c r="M435" s="1" t="str">
        <f>HYPERLINK("http://dx.doi.org/10.1007/s00227-017-3269-8","http://dx.doi.org/10.1007/s00227-017-3269-8")</f>
        <v>http://dx.doi.org/10.1007/s00227-017-3269-8</v>
      </c>
    </row>
    <row r="436" spans="1:13" x14ac:dyDescent="0.25">
      <c r="A436" s="1">
        <v>503</v>
      </c>
      <c r="B436" s="1" t="s">
        <v>7359</v>
      </c>
      <c r="C436" s="1" t="s">
        <v>7360</v>
      </c>
      <c r="D436" s="1" t="s">
        <v>7361</v>
      </c>
      <c r="E436" s="1" t="s">
        <v>7362</v>
      </c>
      <c r="F436" s="1" t="s">
        <v>42</v>
      </c>
      <c r="G436" s="1" t="s">
        <v>56</v>
      </c>
      <c r="H436" s="1" t="s">
        <v>7363</v>
      </c>
      <c r="I436" s="1" t="s">
        <v>7364</v>
      </c>
      <c r="J436" s="1" t="s">
        <v>7365</v>
      </c>
      <c r="K436" s="1">
        <v>2022</v>
      </c>
      <c r="L436" s="1" t="s">
        <v>7379</v>
      </c>
      <c r="M436" s="1" t="str">
        <f>HYPERLINK("http://dx.doi.org/10.1007/s11063-022-10772-2","http://dx.doi.org/10.1007/s11063-022-10772-2")</f>
        <v>http://dx.doi.org/10.1007/s11063-022-10772-2</v>
      </c>
    </row>
    <row r="437" spans="1:13" x14ac:dyDescent="0.25">
      <c r="A437" s="1">
        <v>504</v>
      </c>
      <c r="B437" s="1" t="s">
        <v>5117</v>
      </c>
      <c r="C437" s="1" t="s">
        <v>5118</v>
      </c>
      <c r="D437" s="1" t="s">
        <v>5119</v>
      </c>
      <c r="E437" s="1" t="s">
        <v>5120</v>
      </c>
      <c r="F437" s="1" t="s">
        <v>42</v>
      </c>
      <c r="G437" s="1" t="s">
        <v>56</v>
      </c>
      <c r="H437" s="1" t="s">
        <v>5121</v>
      </c>
      <c r="I437" s="1" t="s">
        <v>5122</v>
      </c>
      <c r="J437" s="1" t="s">
        <v>5123</v>
      </c>
      <c r="K437" s="1">
        <v>2022</v>
      </c>
      <c r="L437" s="1" t="s">
        <v>5136</v>
      </c>
      <c r="M437" s="1" t="str">
        <f>HYPERLINK("http://dx.doi.org/10.1080/1460728x.2023.2206291","http://dx.doi.org/10.1080/1460728x.2023.2206291")</f>
        <v>http://dx.doi.org/10.1080/1460728x.2023.2206291</v>
      </c>
    </row>
    <row r="438" spans="1:13" x14ac:dyDescent="0.25">
      <c r="A438" s="1">
        <v>506</v>
      </c>
      <c r="B438" s="1" t="s">
        <v>9295</v>
      </c>
      <c r="C438" s="1" t="s">
        <v>9296</v>
      </c>
      <c r="D438" s="1" t="s">
        <v>9297</v>
      </c>
      <c r="E438" s="1" t="s">
        <v>9298</v>
      </c>
      <c r="F438" s="1" t="s">
        <v>42</v>
      </c>
      <c r="G438" s="1" t="s">
        <v>56</v>
      </c>
      <c r="H438" s="1" t="s">
        <v>1507</v>
      </c>
      <c r="I438" s="1" t="s">
        <v>9299</v>
      </c>
      <c r="J438" s="1" t="s">
        <v>9300</v>
      </c>
      <c r="K438" s="1">
        <v>2021</v>
      </c>
      <c r="L438" s="1" t="s">
        <v>9312</v>
      </c>
      <c r="M438" s="1" t="str">
        <f>HYPERLINK("http://dx.doi.org/10.1016/j.chb.2020.106486","http://dx.doi.org/10.1016/j.chb.2020.106486")</f>
        <v>http://dx.doi.org/10.1016/j.chb.2020.106486</v>
      </c>
    </row>
    <row r="439" spans="1:13" x14ac:dyDescent="0.25">
      <c r="A439" s="1">
        <v>507</v>
      </c>
      <c r="B439" s="1" t="s">
        <v>7074</v>
      </c>
      <c r="C439" s="1" t="s">
        <v>7075</v>
      </c>
      <c r="D439" s="1" t="s">
        <v>7076</v>
      </c>
      <c r="E439" s="1" t="s">
        <v>7077</v>
      </c>
      <c r="F439" s="1" t="s">
        <v>42</v>
      </c>
      <c r="G439" s="1" t="s">
        <v>56</v>
      </c>
      <c r="H439" s="1" t="s">
        <v>1507</v>
      </c>
      <c r="I439" s="1" t="s">
        <v>7078</v>
      </c>
      <c r="J439" s="1" t="s">
        <v>7079</v>
      </c>
      <c r="K439" s="1">
        <v>2022</v>
      </c>
      <c r="L439" s="1" t="s">
        <v>7092</v>
      </c>
      <c r="M439" s="1" t="str">
        <f>HYPERLINK("http://dx.doi.org/10.1021/acs.jctc.2c00256","http://dx.doi.org/10.1021/acs.jctc.2c00256")</f>
        <v>http://dx.doi.org/10.1021/acs.jctc.2c00256</v>
      </c>
    </row>
    <row r="440" spans="1:13" x14ac:dyDescent="0.25">
      <c r="A440" s="1">
        <v>509</v>
      </c>
      <c r="B440" s="1" t="s">
        <v>8000</v>
      </c>
      <c r="C440" s="1" t="s">
        <v>8001</v>
      </c>
      <c r="D440" s="1" t="s">
        <v>8002</v>
      </c>
      <c r="E440" s="1" t="s">
        <v>8003</v>
      </c>
      <c r="F440" s="1" t="s">
        <v>42</v>
      </c>
      <c r="G440" s="1" t="s">
        <v>56</v>
      </c>
      <c r="H440" s="1" t="s">
        <v>1507</v>
      </c>
      <c r="I440" s="1" t="s">
        <v>8004</v>
      </c>
      <c r="J440" s="1" t="s">
        <v>1507</v>
      </c>
      <c r="K440" s="1">
        <v>2021</v>
      </c>
      <c r="L440" s="1" t="s">
        <v>8016</v>
      </c>
      <c r="M440" s="1" t="str">
        <f>HYPERLINK("http://dx.doi.org/10.1093/jiplp/jpab128","http://dx.doi.org/10.1093/jiplp/jpab128")</f>
        <v>http://dx.doi.org/10.1093/jiplp/jpab128</v>
      </c>
    </row>
    <row r="441" spans="1:13" x14ac:dyDescent="0.25">
      <c r="A441" s="1">
        <v>510</v>
      </c>
      <c r="B441" s="1" t="s">
        <v>6383</v>
      </c>
      <c r="C441" s="1" t="s">
        <v>6384</v>
      </c>
      <c r="D441" s="1" t="s">
        <v>6385</v>
      </c>
      <c r="E441" s="1" t="s">
        <v>6386</v>
      </c>
      <c r="F441" s="1" t="s">
        <v>42</v>
      </c>
      <c r="G441" s="1" t="s">
        <v>5552</v>
      </c>
      <c r="H441" s="1" t="s">
        <v>6392</v>
      </c>
      <c r="I441" s="1" t="s">
        <v>1507</v>
      </c>
      <c r="J441" s="1" t="s">
        <v>6393</v>
      </c>
      <c r="K441" s="1">
        <v>2023</v>
      </c>
      <c r="L441" s="1" t="s">
        <v>6399</v>
      </c>
      <c r="M441" s="1" t="str">
        <f>HYPERLINK("http://dx.doi.org/10.1145/3593856.3595910","http://dx.doi.org/10.1145/3593856.3595910")</f>
        <v>http://dx.doi.org/10.1145/3593856.3595910</v>
      </c>
    </row>
    <row r="442" spans="1:13" x14ac:dyDescent="0.25">
      <c r="A442" s="1">
        <v>511</v>
      </c>
      <c r="B442" s="1" t="s">
        <v>8407</v>
      </c>
      <c r="C442" s="1" t="s">
        <v>8408</v>
      </c>
      <c r="D442" s="1" t="s">
        <v>8409</v>
      </c>
      <c r="E442" s="1" t="s">
        <v>8410</v>
      </c>
      <c r="F442" s="1" t="s">
        <v>42</v>
      </c>
      <c r="G442" s="1" t="s">
        <v>56</v>
      </c>
      <c r="H442" s="1" t="s">
        <v>1507</v>
      </c>
      <c r="I442" s="1" t="s">
        <v>8411</v>
      </c>
      <c r="J442" s="1" t="s">
        <v>8412</v>
      </c>
      <c r="K442" s="1">
        <v>2021</v>
      </c>
      <c r="L442" s="1" t="s">
        <v>8426</v>
      </c>
      <c r="M442" s="1" t="str">
        <f>HYPERLINK("http://dx.doi.org/10.1063/4.0000087","http://dx.doi.org/10.1063/4.0000087")</f>
        <v>http://dx.doi.org/10.1063/4.0000087</v>
      </c>
    </row>
    <row r="443" spans="1:13" x14ac:dyDescent="0.25">
      <c r="A443" s="1">
        <v>512</v>
      </c>
      <c r="B443" s="1" t="s">
        <v>6403</v>
      </c>
      <c r="C443" s="1" t="s">
        <v>6405</v>
      </c>
      <c r="D443" s="1" t="s">
        <v>6406</v>
      </c>
      <c r="E443" s="1" t="s">
        <v>6407</v>
      </c>
      <c r="F443" s="1" t="s">
        <v>42</v>
      </c>
      <c r="G443" s="1" t="s">
        <v>5552</v>
      </c>
      <c r="H443" s="1" t="s">
        <v>6412</v>
      </c>
      <c r="I443" s="1" t="s">
        <v>6413</v>
      </c>
      <c r="J443" s="1" t="s">
        <v>6414</v>
      </c>
      <c r="K443" s="1">
        <v>2023</v>
      </c>
      <c r="L443" s="1" t="s">
        <v>6423</v>
      </c>
      <c r="M443" s="1" t="str">
        <f>HYPERLINK("http://dx.doi.org/10.1145/3588432.3591558","http://dx.doi.org/10.1145/3588432.3591558")</f>
        <v>http://dx.doi.org/10.1145/3588432.3591558</v>
      </c>
    </row>
    <row r="444" spans="1:13" x14ac:dyDescent="0.25">
      <c r="A444" s="1">
        <v>513</v>
      </c>
      <c r="B444" s="1" t="s">
        <v>6844</v>
      </c>
      <c r="C444" s="1" t="s">
        <v>6845</v>
      </c>
      <c r="D444" s="1" t="s">
        <v>6846</v>
      </c>
      <c r="E444" s="1" t="s">
        <v>6847</v>
      </c>
      <c r="F444" s="1" t="s">
        <v>42</v>
      </c>
      <c r="G444" s="1" t="s">
        <v>56</v>
      </c>
      <c r="H444" s="1" t="s">
        <v>6848</v>
      </c>
      <c r="I444" s="1" t="s">
        <v>6849</v>
      </c>
      <c r="J444" s="1" t="s">
        <v>6850</v>
      </c>
      <c r="K444" s="1">
        <v>2023</v>
      </c>
      <c r="L444" s="1" t="s">
        <v>6860</v>
      </c>
      <c r="M444" s="1" t="str">
        <f>HYPERLINK("http://dx.doi.org/10.1016/j.fuel.2022.126283","http://dx.doi.org/10.1016/j.fuel.2022.126283")</f>
        <v>http://dx.doi.org/10.1016/j.fuel.2022.126283</v>
      </c>
    </row>
    <row r="445" spans="1:13" x14ac:dyDescent="0.25">
      <c r="A445" s="1">
        <v>514</v>
      </c>
      <c r="B445" s="1" t="s">
        <v>11457</v>
      </c>
      <c r="C445" s="1" t="s">
        <v>11459</v>
      </c>
      <c r="D445" s="1" t="s">
        <v>913</v>
      </c>
      <c r="E445" s="1" t="s">
        <v>11460</v>
      </c>
      <c r="F445" s="1" t="s">
        <v>42</v>
      </c>
      <c r="G445" s="1" t="s">
        <v>5552</v>
      </c>
      <c r="H445" s="1" t="s">
        <v>1507</v>
      </c>
      <c r="I445" s="1" t="s">
        <v>1507</v>
      </c>
      <c r="J445" s="1" t="s">
        <v>11466</v>
      </c>
      <c r="K445" s="1">
        <v>2019</v>
      </c>
      <c r="L445" s="1" t="s">
        <v>915</v>
      </c>
      <c r="M445" s="1" t="str">
        <f>HYPERLINK("http://dx.doi.org/10.1088/1742-6596/1171/1/012004","http://dx.doi.org/10.1088/1742-6596/1171/1/012004")</f>
        <v>http://dx.doi.org/10.1088/1742-6596/1171/1/012004</v>
      </c>
    </row>
    <row r="446" spans="1:13" x14ac:dyDescent="0.25">
      <c r="A446" s="1">
        <v>515</v>
      </c>
      <c r="B446" s="1" t="s">
        <v>8278</v>
      </c>
      <c r="C446" s="1" t="s">
        <v>8279</v>
      </c>
      <c r="D446" s="1" t="s">
        <v>8280</v>
      </c>
      <c r="E446" s="1" t="s">
        <v>8281</v>
      </c>
      <c r="F446" s="1" t="s">
        <v>42</v>
      </c>
      <c r="G446" s="1" t="s">
        <v>56</v>
      </c>
      <c r="H446" s="1" t="s">
        <v>8282</v>
      </c>
      <c r="I446" s="1" t="s">
        <v>8283</v>
      </c>
      <c r="J446" s="1" t="s">
        <v>8284</v>
      </c>
      <c r="K446" s="1">
        <v>2021</v>
      </c>
      <c r="L446" s="1" t="s">
        <v>8296</v>
      </c>
      <c r="M446" s="1" t="str">
        <f>HYPERLINK("http://dx.doi.org/10.1016/j.asr.2021.06.034","http://dx.doi.org/10.1016/j.asr.2021.06.034")</f>
        <v>http://dx.doi.org/10.1016/j.asr.2021.06.034</v>
      </c>
    </row>
    <row r="447" spans="1:13" x14ac:dyDescent="0.25">
      <c r="A447" s="1">
        <v>516</v>
      </c>
      <c r="B447" s="1" t="s">
        <v>7865</v>
      </c>
      <c r="C447" s="1" t="s">
        <v>7866</v>
      </c>
      <c r="D447" s="1" t="s">
        <v>7867</v>
      </c>
      <c r="E447" s="1" t="s">
        <v>7650</v>
      </c>
      <c r="F447" s="1" t="s">
        <v>42</v>
      </c>
      <c r="G447" s="1" t="s">
        <v>5552</v>
      </c>
      <c r="H447" s="1" t="s">
        <v>1507</v>
      </c>
      <c r="I447" s="1" t="s">
        <v>1507</v>
      </c>
      <c r="J447" s="1" t="s">
        <v>7868</v>
      </c>
      <c r="K447" s="1">
        <v>2022</v>
      </c>
      <c r="L447" s="1" t="s">
        <v>1507</v>
      </c>
      <c r="M447" s="1" t="s">
        <v>1507</v>
      </c>
    </row>
    <row r="448" spans="1:13" x14ac:dyDescent="0.25">
      <c r="A448" s="1">
        <v>517</v>
      </c>
      <c r="B448" s="1" t="s">
        <v>11773</v>
      </c>
      <c r="C448" s="1" t="s">
        <v>11774</v>
      </c>
      <c r="D448" s="1" t="s">
        <v>11775</v>
      </c>
      <c r="E448" s="1" t="s">
        <v>11776</v>
      </c>
      <c r="F448" s="1" t="s">
        <v>42</v>
      </c>
      <c r="G448" s="1" t="s">
        <v>56</v>
      </c>
      <c r="H448" s="1" t="s">
        <v>1507</v>
      </c>
      <c r="I448" s="1" t="s">
        <v>11777</v>
      </c>
      <c r="J448" s="1" t="s">
        <v>11778</v>
      </c>
      <c r="K448" s="1">
        <v>2018</v>
      </c>
      <c r="L448" s="1" t="s">
        <v>11792</v>
      </c>
      <c r="M448" s="1" t="str">
        <f>HYPERLINK("http://dx.doi.org/10.1122/1.5017674","http://dx.doi.org/10.1122/1.5017674")</f>
        <v>http://dx.doi.org/10.1122/1.5017674</v>
      </c>
    </row>
    <row r="449" spans="1:13" x14ac:dyDescent="0.25">
      <c r="A449" s="1">
        <v>518</v>
      </c>
      <c r="B449" s="1" t="s">
        <v>10164</v>
      </c>
      <c r="C449" s="1" t="s">
        <v>10165</v>
      </c>
      <c r="D449" s="1" t="s">
        <v>10166</v>
      </c>
      <c r="E449" s="1" t="s">
        <v>10167</v>
      </c>
      <c r="F449" s="1" t="s">
        <v>42</v>
      </c>
      <c r="G449" s="1" t="s">
        <v>56</v>
      </c>
      <c r="H449" s="1" t="s">
        <v>1507</v>
      </c>
      <c r="I449" s="1" t="s">
        <v>10168</v>
      </c>
      <c r="J449" s="1" t="s">
        <v>10169</v>
      </c>
      <c r="K449" s="1">
        <v>2020</v>
      </c>
      <c r="L449" s="1" t="s">
        <v>10180</v>
      </c>
      <c r="M449" s="1" t="str">
        <f>HYPERLINK("http://dx.doi.org/10.1016/j.jcjq.2019.11.004","http://dx.doi.org/10.1016/j.jcjq.2019.11.004")</f>
        <v>http://dx.doi.org/10.1016/j.jcjq.2019.11.004</v>
      </c>
    </row>
    <row r="450" spans="1:13" x14ac:dyDescent="0.25">
      <c r="A450" s="1">
        <v>519</v>
      </c>
      <c r="B450" s="1" t="s">
        <v>11795</v>
      </c>
      <c r="C450" s="1" t="s">
        <v>11796</v>
      </c>
      <c r="D450" s="1" t="s">
        <v>11797</v>
      </c>
      <c r="E450" s="1" t="s">
        <v>11798</v>
      </c>
      <c r="F450" s="1" t="s">
        <v>42</v>
      </c>
      <c r="G450" s="1" t="s">
        <v>56</v>
      </c>
      <c r="H450" s="1" t="s">
        <v>11799</v>
      </c>
      <c r="I450" s="1" t="s">
        <v>11800</v>
      </c>
      <c r="J450" s="1" t="s">
        <v>11801</v>
      </c>
      <c r="K450" s="1">
        <v>2018</v>
      </c>
      <c r="L450" s="1" t="s">
        <v>11812</v>
      </c>
      <c r="M450" s="1" t="str">
        <f>HYPERLINK("http://dx.doi.org/10.1093/cid/cix900","http://dx.doi.org/10.1093/cid/cix900")</f>
        <v>http://dx.doi.org/10.1093/cid/cix900</v>
      </c>
    </row>
    <row r="451" spans="1:13" x14ac:dyDescent="0.25">
      <c r="A451" s="1">
        <v>520</v>
      </c>
      <c r="B451" s="1" t="s">
        <v>6426</v>
      </c>
      <c r="C451" s="1" t="s">
        <v>6428</v>
      </c>
      <c r="D451" s="1" t="s">
        <v>6429</v>
      </c>
      <c r="E451" s="1" t="s">
        <v>6430</v>
      </c>
      <c r="F451" s="1" t="s">
        <v>42</v>
      </c>
      <c r="G451" s="1" t="s">
        <v>5552</v>
      </c>
      <c r="H451" s="1" t="s">
        <v>1507</v>
      </c>
      <c r="I451" s="1" t="s">
        <v>1507</v>
      </c>
      <c r="J451" s="1" t="s">
        <v>6436</v>
      </c>
      <c r="K451" s="1">
        <v>2023</v>
      </c>
      <c r="L451" s="1" t="s">
        <v>6442</v>
      </c>
      <c r="M451" s="1" t="str">
        <f>HYPERLINK("http://dx.doi.org/10.1007/978-3-031-38499-8_29","http://dx.doi.org/10.1007/978-3-031-38499-8_29")</f>
        <v>http://dx.doi.org/10.1007/978-3-031-38499-8_29</v>
      </c>
    </row>
    <row r="452" spans="1:13" x14ac:dyDescent="0.25">
      <c r="A452" s="1">
        <v>521</v>
      </c>
      <c r="B452" s="1" t="s">
        <v>6446</v>
      </c>
      <c r="C452" s="1" t="s">
        <v>6447</v>
      </c>
      <c r="D452" s="1" t="s">
        <v>81</v>
      </c>
      <c r="E452" s="1" t="s">
        <v>6448</v>
      </c>
      <c r="F452" s="1" t="s">
        <v>42</v>
      </c>
      <c r="G452" s="1" t="s">
        <v>5552</v>
      </c>
      <c r="H452" s="1" t="s">
        <v>1507</v>
      </c>
      <c r="I452" s="1" t="s">
        <v>1507</v>
      </c>
      <c r="J452" s="1" t="s">
        <v>6453</v>
      </c>
      <c r="K452" s="1">
        <v>2023</v>
      </c>
      <c r="L452" s="1" t="s">
        <v>83</v>
      </c>
      <c r="M452" s="1" t="str">
        <f>HYPERLINK("http://dx.doi.org/10.1109/APSIPAASC58517.2023.10317226","http://dx.doi.org/10.1109/APSIPAASC58517.2023.10317226")</f>
        <v>http://dx.doi.org/10.1109/APSIPAASC58517.2023.10317226</v>
      </c>
    </row>
    <row r="453" spans="1:13" x14ac:dyDescent="0.25">
      <c r="A453" s="1">
        <v>522</v>
      </c>
      <c r="B453" s="1" t="s">
        <v>3019</v>
      </c>
      <c r="C453" s="1" t="s">
        <v>3020</v>
      </c>
      <c r="D453" s="1" t="s">
        <v>3021</v>
      </c>
      <c r="E453" s="1" t="s">
        <v>3022</v>
      </c>
      <c r="F453" s="1" t="s">
        <v>42</v>
      </c>
      <c r="G453" s="1" t="s">
        <v>56</v>
      </c>
      <c r="H453" s="1" t="s">
        <v>1507</v>
      </c>
      <c r="I453" s="1" t="s">
        <v>1507</v>
      </c>
      <c r="J453" s="1" t="s">
        <v>3023</v>
      </c>
      <c r="K453" s="1">
        <v>2023</v>
      </c>
      <c r="L453" s="1" t="s">
        <v>3033</v>
      </c>
      <c r="M453" s="1" t="str">
        <f>HYPERLINK("http://dx.doi.org/10.1016/j.xops.2023.100394","http://dx.doi.org/10.1016/j.xops.2023.100394")</f>
        <v>http://dx.doi.org/10.1016/j.xops.2023.100394</v>
      </c>
    </row>
    <row r="454" spans="1:13" x14ac:dyDescent="0.25">
      <c r="A454" s="1">
        <v>523</v>
      </c>
      <c r="B454" s="1" t="s">
        <v>15372</v>
      </c>
      <c r="C454" s="1" t="s">
        <v>15374</v>
      </c>
      <c r="D454" s="1" t="s">
        <v>15375</v>
      </c>
      <c r="E454" s="1" t="s">
        <v>15376</v>
      </c>
      <c r="F454" s="1" t="s">
        <v>42</v>
      </c>
      <c r="G454" s="1" t="s">
        <v>5552</v>
      </c>
      <c r="H454" s="1" t="s">
        <v>15380</v>
      </c>
      <c r="I454" s="1" t="s">
        <v>1507</v>
      </c>
      <c r="J454" s="1" t="s">
        <v>15381</v>
      </c>
      <c r="K454" s="1">
        <v>2023</v>
      </c>
      <c r="L454" s="1" t="s">
        <v>15392</v>
      </c>
      <c r="M454" s="1" t="str">
        <f>HYPERLINK("http://dx.doi.org/10.1007/978-3-031-47240-4_19","http://dx.doi.org/10.1007/978-3-031-47240-4_19")</f>
        <v>http://dx.doi.org/10.1007/978-3-031-47240-4_19</v>
      </c>
    </row>
    <row r="455" spans="1:13" x14ac:dyDescent="0.25">
      <c r="A455" s="1">
        <v>524</v>
      </c>
      <c r="B455" s="1" t="s">
        <v>15395</v>
      </c>
      <c r="C455" s="1" t="s">
        <v>15396</v>
      </c>
      <c r="D455" s="1" t="s">
        <v>15397</v>
      </c>
      <c r="E455" s="1" t="s">
        <v>15398</v>
      </c>
      <c r="F455" s="1" t="s">
        <v>42</v>
      </c>
      <c r="G455" s="1" t="s">
        <v>5552</v>
      </c>
      <c r="H455" s="1" t="s">
        <v>1507</v>
      </c>
      <c r="I455" s="1" t="s">
        <v>2202</v>
      </c>
      <c r="J455" s="1" t="s">
        <v>15404</v>
      </c>
      <c r="K455" s="1">
        <v>2023</v>
      </c>
      <c r="L455" s="1" t="s">
        <v>15415</v>
      </c>
      <c r="M455" s="1" t="str">
        <f>HYPERLINK("http://dx.doi.org/10.1109/ICCV51070.2023.00285","http://dx.doi.org/10.1109/ICCV51070.2023.00285")</f>
        <v>http://dx.doi.org/10.1109/ICCV51070.2023.00285</v>
      </c>
    </row>
    <row r="456" spans="1:13" x14ac:dyDescent="0.25">
      <c r="A456" s="1">
        <v>525</v>
      </c>
      <c r="B456" s="1" t="s">
        <v>6889</v>
      </c>
      <c r="C456" s="1" t="s">
        <v>6890</v>
      </c>
      <c r="D456" s="1" t="s">
        <v>6891</v>
      </c>
      <c r="E456" s="1" t="s">
        <v>6892</v>
      </c>
      <c r="F456" s="1" t="s">
        <v>42</v>
      </c>
      <c r="G456" s="1" t="s">
        <v>56</v>
      </c>
      <c r="H456" s="1" t="s">
        <v>6893</v>
      </c>
      <c r="I456" s="1" t="s">
        <v>6894</v>
      </c>
      <c r="J456" s="1" t="s">
        <v>6895</v>
      </c>
      <c r="K456" s="1">
        <v>2022</v>
      </c>
      <c r="L456" s="1" t="s">
        <v>6909</v>
      </c>
      <c r="M456" s="1" t="str">
        <f>HYPERLINK("http://dx.doi.org/10.1021/acs.est.2c01973","http://dx.doi.org/10.1021/acs.est.2c01973")</f>
        <v>http://dx.doi.org/10.1021/acs.est.2c01973</v>
      </c>
    </row>
    <row r="457" spans="1:13" x14ac:dyDescent="0.25">
      <c r="A457" s="1">
        <v>526</v>
      </c>
      <c r="B457" s="1" t="s">
        <v>9368</v>
      </c>
      <c r="C457" s="1" t="s">
        <v>9369</v>
      </c>
      <c r="D457" s="1" t="s">
        <v>9370</v>
      </c>
      <c r="E457" s="1" t="s">
        <v>9371</v>
      </c>
      <c r="F457" s="1" t="s">
        <v>42</v>
      </c>
      <c r="G457" s="1" t="s">
        <v>56</v>
      </c>
      <c r="H457" s="1" t="s">
        <v>1507</v>
      </c>
      <c r="I457" s="1" t="s">
        <v>9372</v>
      </c>
      <c r="J457" s="1" t="s">
        <v>9373</v>
      </c>
      <c r="K457" s="1">
        <v>2020</v>
      </c>
      <c r="L457" s="1" t="s">
        <v>9386</v>
      </c>
      <c r="M457" s="1" t="str">
        <f>HYPERLINK("http://dx.doi.org/10.1021/acs.inorgchem.0c03014","http://dx.doi.org/10.1021/acs.inorgchem.0c03014")</f>
        <v>http://dx.doi.org/10.1021/acs.inorgchem.0c03014</v>
      </c>
    </row>
    <row r="458" spans="1:13" x14ac:dyDescent="0.25">
      <c r="A458" s="1">
        <v>527</v>
      </c>
      <c r="B458" s="1" t="s">
        <v>2311</v>
      </c>
      <c r="C458" s="1" t="s">
        <v>2312</v>
      </c>
      <c r="D458" s="1" t="s">
        <v>243</v>
      </c>
      <c r="E458" s="1" t="s">
        <v>2200</v>
      </c>
      <c r="F458" s="1" t="s">
        <v>42</v>
      </c>
      <c r="G458" s="1" t="s">
        <v>56</v>
      </c>
      <c r="H458" s="1" t="s">
        <v>2313</v>
      </c>
      <c r="I458" s="1" t="s">
        <v>1507</v>
      </c>
      <c r="J458" s="1" t="s">
        <v>2314</v>
      </c>
      <c r="K458" s="1">
        <v>2023</v>
      </c>
      <c r="L458" s="1" t="s">
        <v>245</v>
      </c>
      <c r="M458" s="1" t="str">
        <f>HYPERLINK("http://dx.doi.org/10.3390/informatics10040081","http://dx.doi.org/10.3390/informatics10040081")</f>
        <v>http://dx.doi.org/10.3390/informatics10040081</v>
      </c>
    </row>
    <row r="459" spans="1:13" x14ac:dyDescent="0.25">
      <c r="A459" s="1">
        <v>528</v>
      </c>
      <c r="B459" s="1" t="s">
        <v>11554</v>
      </c>
      <c r="C459" s="1" t="s">
        <v>11555</v>
      </c>
      <c r="D459" s="1" t="s">
        <v>11556</v>
      </c>
      <c r="E459" s="1" t="s">
        <v>11557</v>
      </c>
      <c r="F459" s="1" t="s">
        <v>42</v>
      </c>
      <c r="G459" s="1" t="s">
        <v>56</v>
      </c>
      <c r="H459" s="1" t="s">
        <v>1507</v>
      </c>
      <c r="I459" s="1" t="s">
        <v>11558</v>
      </c>
      <c r="J459" s="1" t="s">
        <v>11559</v>
      </c>
      <c r="K459" s="1">
        <v>2018</v>
      </c>
      <c r="L459" s="1" t="s">
        <v>11567</v>
      </c>
      <c r="M459" s="1" t="str">
        <f>HYPERLINK("http://dx.doi.org/10.1038/s41564-018-0240-5","http://dx.doi.org/10.1038/s41564-018-0240-5")</f>
        <v>http://dx.doi.org/10.1038/s41564-018-0240-5</v>
      </c>
    </row>
    <row r="460" spans="1:13" x14ac:dyDescent="0.25">
      <c r="A460" s="1">
        <v>529</v>
      </c>
      <c r="B460" s="1" t="s">
        <v>7876</v>
      </c>
      <c r="C460" s="1" t="s">
        <v>7878</v>
      </c>
      <c r="D460" s="1" t="s">
        <v>7879</v>
      </c>
      <c r="E460" s="1" t="s">
        <v>7880</v>
      </c>
      <c r="F460" s="1" t="s">
        <v>42</v>
      </c>
      <c r="G460" s="1" t="s">
        <v>5552</v>
      </c>
      <c r="H460" s="1" t="s">
        <v>1507</v>
      </c>
      <c r="I460" s="1" t="s">
        <v>1507</v>
      </c>
      <c r="J460" s="1" t="s">
        <v>7883</v>
      </c>
      <c r="K460" s="1">
        <v>2022</v>
      </c>
      <c r="L460" s="1" t="s">
        <v>7891</v>
      </c>
      <c r="M460" s="1" t="str">
        <f>HYPERLINK("http://dx.doi.org/10.1109/CVPR52688.2022.01739","http://dx.doi.org/10.1109/CVPR52688.2022.01739")</f>
        <v>http://dx.doi.org/10.1109/CVPR52688.2022.01739</v>
      </c>
    </row>
    <row r="461" spans="1:13" x14ac:dyDescent="0.25">
      <c r="A461" s="1">
        <v>530</v>
      </c>
      <c r="B461" s="1" t="s">
        <v>4359</v>
      </c>
      <c r="C461" s="1" t="s">
        <v>4360</v>
      </c>
      <c r="D461" s="1" t="s">
        <v>904</v>
      </c>
      <c r="E461" s="1" t="s">
        <v>3577</v>
      </c>
      <c r="F461" s="1" t="s">
        <v>42</v>
      </c>
      <c r="G461" s="1" t="s">
        <v>56</v>
      </c>
      <c r="H461" s="1" t="s">
        <v>4361</v>
      </c>
      <c r="I461" s="1" t="s">
        <v>1507</v>
      </c>
      <c r="J461" s="1" t="s">
        <v>4362</v>
      </c>
      <c r="K461" s="1">
        <v>2023</v>
      </c>
      <c r="L461" s="1" t="s">
        <v>1507</v>
      </c>
      <c r="M461" s="1" t="s">
        <v>1507</v>
      </c>
    </row>
    <row r="462" spans="1:13" x14ac:dyDescent="0.25">
      <c r="A462" s="1">
        <v>531</v>
      </c>
      <c r="B462" s="1" t="s">
        <v>3213</v>
      </c>
      <c r="C462" s="1" t="s">
        <v>3214</v>
      </c>
      <c r="D462" s="1" t="s">
        <v>3215</v>
      </c>
      <c r="E462" s="1" t="s">
        <v>1657</v>
      </c>
      <c r="F462" s="1" t="s">
        <v>42</v>
      </c>
      <c r="G462" s="1" t="s">
        <v>56</v>
      </c>
      <c r="H462" s="1" t="s">
        <v>3216</v>
      </c>
      <c r="I462" s="1" t="s">
        <v>3217</v>
      </c>
      <c r="J462" s="1" t="s">
        <v>3218</v>
      </c>
      <c r="K462" s="1">
        <v>2023</v>
      </c>
      <c r="L462" s="1" t="s">
        <v>3228</v>
      </c>
      <c r="M462" s="1" t="str">
        <f>HYPERLINK("http://dx.doi.org/10.2196/49949","http://dx.doi.org/10.2196/49949")</f>
        <v>http://dx.doi.org/10.2196/49949</v>
      </c>
    </row>
    <row r="463" spans="1:13" x14ac:dyDescent="0.25">
      <c r="A463" s="1">
        <v>532</v>
      </c>
      <c r="B463" s="1" t="s">
        <v>5049</v>
      </c>
      <c r="C463" s="1" t="s">
        <v>5050</v>
      </c>
      <c r="D463" s="1" t="s">
        <v>5051</v>
      </c>
      <c r="E463" s="1" t="s">
        <v>5052</v>
      </c>
      <c r="F463" s="1" t="s">
        <v>42</v>
      </c>
      <c r="G463" s="1" t="s">
        <v>56</v>
      </c>
      <c r="H463" s="1" t="s">
        <v>1507</v>
      </c>
      <c r="I463" s="1" t="s">
        <v>5053</v>
      </c>
      <c r="J463" s="1" t="s">
        <v>5054</v>
      </c>
      <c r="K463" s="1">
        <v>2023</v>
      </c>
      <c r="L463" s="1" t="s">
        <v>5067</v>
      </c>
      <c r="M463" s="1" t="str">
        <f>HYPERLINK("http://dx.doi.org/10.1353/hrq.2023.0015","http://dx.doi.org/10.1353/hrq.2023.0015")</f>
        <v>http://dx.doi.org/10.1353/hrq.2023.0015</v>
      </c>
    </row>
    <row r="464" spans="1:13" x14ac:dyDescent="0.25">
      <c r="A464" s="1">
        <v>534</v>
      </c>
      <c r="B464" s="1" t="s">
        <v>8813</v>
      </c>
      <c r="C464" s="1" t="s">
        <v>8814</v>
      </c>
      <c r="D464" s="1" t="s">
        <v>8815</v>
      </c>
      <c r="E464" s="1" t="s">
        <v>8816</v>
      </c>
      <c r="F464" s="1" t="s">
        <v>42</v>
      </c>
      <c r="G464" s="1" t="s">
        <v>56</v>
      </c>
      <c r="H464" s="1" t="s">
        <v>8817</v>
      </c>
      <c r="I464" s="1" t="s">
        <v>1507</v>
      </c>
      <c r="J464" s="1" t="s">
        <v>8818</v>
      </c>
      <c r="K464" s="1">
        <v>2021</v>
      </c>
      <c r="L464" s="1" t="s">
        <v>8833</v>
      </c>
      <c r="M464" s="1" t="str">
        <f>HYPERLINK("http://dx.doi.org/10.1016/j.oceano.2020.11.004","http://dx.doi.org/10.1016/j.oceano.2020.11.004")</f>
        <v>http://dx.doi.org/10.1016/j.oceano.2020.11.004</v>
      </c>
    </row>
    <row r="465" spans="1:13" x14ac:dyDescent="0.25">
      <c r="A465" s="1">
        <v>535</v>
      </c>
      <c r="B465" s="1" t="s">
        <v>1819</v>
      </c>
      <c r="C465" s="1" t="s">
        <v>1820</v>
      </c>
      <c r="D465" s="1" t="s">
        <v>1821</v>
      </c>
      <c r="E465" s="1" t="s">
        <v>1822</v>
      </c>
      <c r="F465" s="1" t="s">
        <v>42</v>
      </c>
      <c r="G465" s="1" t="s">
        <v>1509</v>
      </c>
      <c r="H465" s="1" t="s">
        <v>1823</v>
      </c>
      <c r="I465" s="1" t="s">
        <v>1824</v>
      </c>
      <c r="J465" s="1" t="s">
        <v>1825</v>
      </c>
      <c r="K465" s="1">
        <v>2023</v>
      </c>
      <c r="L465" s="1" t="s">
        <v>1837</v>
      </c>
      <c r="M465" s="1" t="str">
        <f>HYPERLINK("http://dx.doi.org/10.1111/btp.13290","http://dx.doi.org/10.1111/btp.13290")</f>
        <v>http://dx.doi.org/10.1111/btp.13290</v>
      </c>
    </row>
    <row r="466" spans="1:13" x14ac:dyDescent="0.25">
      <c r="A466" s="1">
        <v>536</v>
      </c>
      <c r="B466" s="1" t="s">
        <v>6463</v>
      </c>
      <c r="C466" s="1" t="s">
        <v>6464</v>
      </c>
      <c r="D466" s="1" t="s">
        <v>6465</v>
      </c>
      <c r="E466" s="1" t="s">
        <v>6466</v>
      </c>
      <c r="F466" s="1" t="s">
        <v>42</v>
      </c>
      <c r="G466" s="1" t="s">
        <v>56</v>
      </c>
      <c r="H466" s="1" t="s">
        <v>6467</v>
      </c>
      <c r="I466" s="1" t="s">
        <v>6468</v>
      </c>
      <c r="J466" s="1" t="s">
        <v>6469</v>
      </c>
      <c r="K466" s="1">
        <v>2023</v>
      </c>
      <c r="L466" s="1" t="s">
        <v>6482</v>
      </c>
      <c r="M466" s="1" t="str">
        <f>HYPERLINK("http://dx.doi.org/10.18089/tms.2023.190402","http://dx.doi.org/10.18089/tms.2023.190402")</f>
        <v>http://dx.doi.org/10.18089/tms.2023.190402</v>
      </c>
    </row>
    <row r="467" spans="1:13" x14ac:dyDescent="0.25">
      <c r="A467" s="1">
        <v>537</v>
      </c>
      <c r="B467" s="1" t="s">
        <v>4926</v>
      </c>
      <c r="C467" s="1" t="s">
        <v>4927</v>
      </c>
      <c r="D467" s="1" t="s">
        <v>4928</v>
      </c>
      <c r="E467" s="1" t="s">
        <v>4929</v>
      </c>
      <c r="F467" s="1" t="s">
        <v>42</v>
      </c>
      <c r="G467" s="1" t="s">
        <v>56</v>
      </c>
      <c r="H467" s="1" t="s">
        <v>220</v>
      </c>
      <c r="I467" s="1" t="s">
        <v>1507</v>
      </c>
      <c r="J467" s="1" t="s">
        <v>4930</v>
      </c>
      <c r="K467" s="1">
        <v>2023</v>
      </c>
      <c r="L467" s="1" t="s">
        <v>216</v>
      </c>
      <c r="M467" s="1" t="str">
        <f>HYPERLINK("http://dx.doi.org/10.1111/1756-185X.14749","http://dx.doi.org/10.1111/1756-185X.14749")</f>
        <v>http://dx.doi.org/10.1111/1756-185X.14749</v>
      </c>
    </row>
    <row r="468" spans="1:13" x14ac:dyDescent="0.25">
      <c r="A468" s="1">
        <v>538</v>
      </c>
      <c r="B468" s="1" t="s">
        <v>6487</v>
      </c>
      <c r="C468" s="1" t="s">
        <v>6488</v>
      </c>
      <c r="D468" s="1" t="s">
        <v>6489</v>
      </c>
      <c r="E468" s="1" t="s">
        <v>6490</v>
      </c>
      <c r="F468" s="1" t="s">
        <v>42</v>
      </c>
      <c r="G468" s="1" t="s">
        <v>56</v>
      </c>
      <c r="H468" s="1" t="s">
        <v>6491</v>
      </c>
      <c r="I468" s="1" t="s">
        <v>6492</v>
      </c>
      <c r="J468" s="1" t="s">
        <v>6493</v>
      </c>
      <c r="K468" s="1">
        <v>2023</v>
      </c>
      <c r="L468" s="1" t="s">
        <v>6510</v>
      </c>
      <c r="M468" s="1" t="str">
        <f>HYPERLINK("http://dx.doi.org/10.4025/actasciagron.v45i1.56160","http://dx.doi.org/10.4025/actasciagron.v45i1.56160")</f>
        <v>http://dx.doi.org/10.4025/actasciagron.v45i1.56160</v>
      </c>
    </row>
    <row r="469" spans="1:13" x14ac:dyDescent="0.25">
      <c r="A469" s="1">
        <v>539</v>
      </c>
      <c r="B469" s="1" t="s">
        <v>2681</v>
      </c>
      <c r="C469" s="1" t="s">
        <v>2682</v>
      </c>
      <c r="D469" s="1" t="s">
        <v>2683</v>
      </c>
      <c r="E469" s="1" t="s">
        <v>2684</v>
      </c>
      <c r="F469" s="1" t="s">
        <v>42</v>
      </c>
      <c r="G469" s="1" t="s">
        <v>56</v>
      </c>
      <c r="H469" s="1" t="s">
        <v>1507</v>
      </c>
      <c r="I469" s="1" t="s">
        <v>2685</v>
      </c>
      <c r="J469" s="1" t="s">
        <v>2686</v>
      </c>
      <c r="K469" s="1">
        <v>2023</v>
      </c>
      <c r="L469" s="1" t="s">
        <v>2699</v>
      </c>
      <c r="M469" s="1" t="str">
        <f>HYPERLINK("http://dx.doi.org/10.1002/icd.2478","http://dx.doi.org/10.1002/icd.2478")</f>
        <v>http://dx.doi.org/10.1002/icd.2478</v>
      </c>
    </row>
    <row r="470" spans="1:13" x14ac:dyDescent="0.25">
      <c r="A470" s="1">
        <v>540</v>
      </c>
      <c r="B470" s="1" t="s">
        <v>5366</v>
      </c>
      <c r="C470" s="1" t="s">
        <v>5367</v>
      </c>
      <c r="D470" s="1" t="s">
        <v>5368</v>
      </c>
      <c r="E470" s="1" t="s">
        <v>5369</v>
      </c>
      <c r="F470" s="1" t="s">
        <v>42</v>
      </c>
      <c r="G470" s="1" t="s">
        <v>1509</v>
      </c>
      <c r="H470" s="1" t="s">
        <v>5370</v>
      </c>
      <c r="I470" s="1" t="s">
        <v>5371</v>
      </c>
      <c r="J470" s="1" t="s">
        <v>5372</v>
      </c>
      <c r="K470" s="1">
        <v>2023</v>
      </c>
      <c r="L470" s="1" t="s">
        <v>5388</v>
      </c>
      <c r="M470" s="1" t="str">
        <f>HYPERLINK("http://dx.doi.org/10.1055/s-0043-1761280","http://dx.doi.org/10.1055/s-0043-1761280")</f>
        <v>http://dx.doi.org/10.1055/s-0043-1761280</v>
      </c>
    </row>
    <row r="471" spans="1:13" x14ac:dyDescent="0.25">
      <c r="A471" s="1">
        <v>542</v>
      </c>
      <c r="B471" s="1" t="s">
        <v>3373</v>
      </c>
      <c r="C471" s="1" t="s">
        <v>3374</v>
      </c>
      <c r="D471" s="1" t="s">
        <v>3375</v>
      </c>
      <c r="E471" s="1" t="s">
        <v>3376</v>
      </c>
      <c r="F471" s="1" t="s">
        <v>42</v>
      </c>
      <c r="G471" s="1" t="s">
        <v>1509</v>
      </c>
      <c r="H471" s="1" t="s">
        <v>3377</v>
      </c>
      <c r="I471" s="1" t="s">
        <v>1507</v>
      </c>
      <c r="J471" s="1" t="s">
        <v>3378</v>
      </c>
      <c r="K471" s="1">
        <v>2023</v>
      </c>
      <c r="L471" s="1" t="s">
        <v>3393</v>
      </c>
      <c r="M471" s="1" t="str">
        <f>HYPERLINK("http://dx.doi.org/10.1002/prep.202300109","http://dx.doi.org/10.1002/prep.202300109")</f>
        <v>http://dx.doi.org/10.1002/prep.202300109</v>
      </c>
    </row>
    <row r="472" spans="1:13" x14ac:dyDescent="0.25">
      <c r="A472" s="1">
        <v>543</v>
      </c>
      <c r="B472" s="1" t="s">
        <v>7172</v>
      </c>
      <c r="C472" s="1" t="s">
        <v>7173</v>
      </c>
      <c r="D472" s="1" t="s">
        <v>7174</v>
      </c>
      <c r="E472" s="1" t="s">
        <v>7175</v>
      </c>
      <c r="F472" s="1" t="s">
        <v>42</v>
      </c>
      <c r="G472" s="1" t="s">
        <v>56</v>
      </c>
      <c r="H472" s="1" t="s">
        <v>1507</v>
      </c>
      <c r="I472" s="1" t="s">
        <v>7176</v>
      </c>
      <c r="J472" s="1" t="s">
        <v>7177</v>
      </c>
      <c r="K472" s="1">
        <v>2022</v>
      </c>
      <c r="L472" s="1" t="s">
        <v>1206</v>
      </c>
      <c r="M472" s="1" t="str">
        <f>HYPERLINK("http://dx.doi.org/10.1136/bmjdrc-2022-002765","http://dx.doi.org/10.1136/bmjdrc-2022-002765")</f>
        <v>http://dx.doi.org/10.1136/bmjdrc-2022-002765</v>
      </c>
    </row>
    <row r="473" spans="1:13" x14ac:dyDescent="0.25">
      <c r="A473" s="1">
        <v>544</v>
      </c>
      <c r="B473" s="1" t="s">
        <v>11483</v>
      </c>
      <c r="C473" s="1" t="s">
        <v>11484</v>
      </c>
      <c r="D473" s="1" t="s">
        <v>11485</v>
      </c>
      <c r="E473" s="1" t="s">
        <v>11486</v>
      </c>
      <c r="F473" s="1" t="s">
        <v>42</v>
      </c>
      <c r="G473" s="1" t="s">
        <v>56</v>
      </c>
      <c r="H473" s="1" t="s">
        <v>11487</v>
      </c>
      <c r="I473" s="1" t="s">
        <v>11488</v>
      </c>
      <c r="J473" s="1" t="s">
        <v>11489</v>
      </c>
      <c r="K473" s="1">
        <v>2019</v>
      </c>
      <c r="L473" s="1" t="s">
        <v>11504</v>
      </c>
      <c r="M473" s="1" t="str">
        <f>HYPERLINK("http://dx.doi.org/10.1590/rbz4820180131","http://dx.doi.org/10.1590/rbz4820180131")</f>
        <v>http://dx.doi.org/10.1590/rbz4820180131</v>
      </c>
    </row>
    <row r="474" spans="1:13" x14ac:dyDescent="0.25">
      <c r="A474" s="1">
        <v>545</v>
      </c>
      <c r="B474" s="1" t="s">
        <v>6515</v>
      </c>
      <c r="C474" s="1" t="s">
        <v>6516</v>
      </c>
      <c r="D474" s="1" t="s">
        <v>6517</v>
      </c>
      <c r="E474" s="1" t="s">
        <v>6518</v>
      </c>
      <c r="F474" s="1" t="s">
        <v>42</v>
      </c>
      <c r="G474" s="1" t="s">
        <v>56</v>
      </c>
      <c r="H474" s="1" t="s">
        <v>6519</v>
      </c>
      <c r="I474" s="1" t="s">
        <v>1507</v>
      </c>
      <c r="J474" s="1" t="s">
        <v>6520</v>
      </c>
      <c r="K474" s="1">
        <v>2023</v>
      </c>
      <c r="L474" s="1" t="s">
        <v>6531</v>
      </c>
      <c r="M474" s="1" t="str">
        <f>HYPERLINK("http://dx.doi.org/10.2196/51873","http://dx.doi.org/10.2196/51873")</f>
        <v>http://dx.doi.org/10.2196/51873</v>
      </c>
    </row>
    <row r="475" spans="1:13" x14ac:dyDescent="0.25">
      <c r="A475" s="1">
        <v>546</v>
      </c>
      <c r="B475" s="1" t="s">
        <v>10790</v>
      </c>
      <c r="C475" s="1" t="s">
        <v>10791</v>
      </c>
      <c r="D475" s="1" t="s">
        <v>10792</v>
      </c>
      <c r="E475" s="1" t="s">
        <v>10793</v>
      </c>
      <c r="F475" s="1" t="s">
        <v>42</v>
      </c>
      <c r="G475" s="1" t="s">
        <v>56</v>
      </c>
      <c r="H475" s="1" t="s">
        <v>10794</v>
      </c>
      <c r="I475" s="1" t="s">
        <v>10795</v>
      </c>
      <c r="J475" s="1" t="s">
        <v>10796</v>
      </c>
      <c r="K475" s="1">
        <v>2019</v>
      </c>
      <c r="L475" s="1" t="s">
        <v>10812</v>
      </c>
      <c r="M475" s="1" t="str">
        <f>HYPERLINK("http://dx.doi.org/10.21577/0103-5053.20190083","http://dx.doi.org/10.21577/0103-5053.20190083")</f>
        <v>http://dx.doi.org/10.21577/0103-5053.20190083</v>
      </c>
    </row>
    <row r="476" spans="1:13" x14ac:dyDescent="0.25">
      <c r="A476" s="1">
        <v>547</v>
      </c>
      <c r="B476" s="1" t="s">
        <v>10387</v>
      </c>
      <c r="C476" s="1" t="s">
        <v>10389</v>
      </c>
      <c r="D476" s="1" t="s">
        <v>10390</v>
      </c>
      <c r="E476" s="1" t="s">
        <v>10391</v>
      </c>
      <c r="F476" s="1" t="s">
        <v>42</v>
      </c>
      <c r="G476" s="1" t="s">
        <v>5552</v>
      </c>
      <c r="H476" s="1" t="s">
        <v>10398</v>
      </c>
      <c r="I476" s="1" t="s">
        <v>1507</v>
      </c>
      <c r="J476" s="1" t="s">
        <v>10399</v>
      </c>
      <c r="K476" s="1">
        <v>2020</v>
      </c>
      <c r="L476" s="1" t="s">
        <v>10412</v>
      </c>
      <c r="M476" s="1" t="str">
        <f>HYPERLINK("http://dx.doi.org/10.3233/FAIA200603","http://dx.doi.org/10.3233/FAIA200603")</f>
        <v>http://dx.doi.org/10.3233/FAIA200603</v>
      </c>
    </row>
    <row r="477" spans="1:13" x14ac:dyDescent="0.25">
      <c r="A477" s="1">
        <v>548</v>
      </c>
      <c r="B477" s="1" t="s">
        <v>15422</v>
      </c>
      <c r="C477" s="1" t="s">
        <v>15423</v>
      </c>
      <c r="D477" s="1" t="s">
        <v>15424</v>
      </c>
      <c r="E477" s="1" t="s">
        <v>15425</v>
      </c>
      <c r="F477" s="1" t="s">
        <v>42</v>
      </c>
      <c r="G477" s="1" t="s">
        <v>5552</v>
      </c>
      <c r="H477" s="1" t="s">
        <v>15430</v>
      </c>
      <c r="I477" s="1" t="s">
        <v>1507</v>
      </c>
      <c r="J477" s="1" t="s">
        <v>15431</v>
      </c>
      <c r="K477" s="1">
        <v>2023</v>
      </c>
      <c r="L477" s="1" t="s">
        <v>1507</v>
      </c>
      <c r="M477" s="1" t="s">
        <v>1507</v>
      </c>
    </row>
    <row r="478" spans="1:13" x14ac:dyDescent="0.25">
      <c r="A478" s="1">
        <v>549</v>
      </c>
      <c r="B478" s="1" t="s">
        <v>10415</v>
      </c>
      <c r="C478" s="1" t="s">
        <v>10416</v>
      </c>
      <c r="D478" s="1" t="s">
        <v>10417</v>
      </c>
      <c r="E478" s="1" t="s">
        <v>10418</v>
      </c>
      <c r="F478" s="1" t="s">
        <v>42</v>
      </c>
      <c r="G478" s="1" t="s">
        <v>56</v>
      </c>
      <c r="H478" s="1" t="s">
        <v>1507</v>
      </c>
      <c r="I478" s="1" t="s">
        <v>1507</v>
      </c>
      <c r="J478" s="1" t="s">
        <v>10419</v>
      </c>
      <c r="K478" s="1">
        <v>2020</v>
      </c>
      <c r="L478" s="1" t="s">
        <v>1507</v>
      </c>
      <c r="M478" s="1" t="s">
        <v>1507</v>
      </c>
    </row>
    <row r="479" spans="1:13" x14ac:dyDescent="0.25">
      <c r="A479" s="1">
        <v>550</v>
      </c>
      <c r="B479" s="1" t="s">
        <v>8663</v>
      </c>
      <c r="C479" s="1" t="s">
        <v>8664</v>
      </c>
      <c r="D479" s="1" t="s">
        <v>8665</v>
      </c>
      <c r="E479" s="1" t="s">
        <v>8666</v>
      </c>
      <c r="F479" s="1" t="s">
        <v>42</v>
      </c>
      <c r="G479" s="1" t="s">
        <v>56</v>
      </c>
      <c r="H479" s="1" t="s">
        <v>1507</v>
      </c>
      <c r="I479" s="1" t="s">
        <v>8667</v>
      </c>
      <c r="J479" s="1" t="s">
        <v>8668</v>
      </c>
      <c r="K479" s="1">
        <v>2021</v>
      </c>
      <c r="L479" s="1" t="s">
        <v>8682</v>
      </c>
      <c r="M479" s="1" t="str">
        <f>HYPERLINK("http://dx.doi.org/10.1172/jci.insight.147832","http://dx.doi.org/10.1172/jci.insight.147832")</f>
        <v>http://dx.doi.org/10.1172/jci.insight.147832</v>
      </c>
    </row>
    <row r="480" spans="1:13" x14ac:dyDescent="0.25">
      <c r="A480" s="1">
        <v>551</v>
      </c>
      <c r="B480" s="1" t="s">
        <v>11178</v>
      </c>
      <c r="C480" s="1" t="s">
        <v>11179</v>
      </c>
      <c r="D480" s="1" t="s">
        <v>11180</v>
      </c>
      <c r="E480" s="1" t="s">
        <v>11181</v>
      </c>
      <c r="F480" s="1" t="s">
        <v>42</v>
      </c>
      <c r="G480" s="1" t="s">
        <v>56</v>
      </c>
      <c r="H480" s="1" t="s">
        <v>1507</v>
      </c>
      <c r="I480" s="1" t="s">
        <v>11182</v>
      </c>
      <c r="J480" s="1" t="s">
        <v>11183</v>
      </c>
      <c r="K480" s="1">
        <v>2019</v>
      </c>
      <c r="L480" s="1" t="s">
        <v>1507</v>
      </c>
      <c r="M480" s="1" t="s">
        <v>1507</v>
      </c>
    </row>
    <row r="481" spans="1:13" x14ac:dyDescent="0.25">
      <c r="A481" s="1">
        <v>553</v>
      </c>
      <c r="B481" s="1" t="s">
        <v>2321</v>
      </c>
      <c r="C481" s="1" t="s">
        <v>2322</v>
      </c>
      <c r="D481" s="1" t="s">
        <v>2323</v>
      </c>
      <c r="E481" s="1" t="s">
        <v>2324</v>
      </c>
      <c r="F481" s="1" t="s">
        <v>42</v>
      </c>
      <c r="G481" s="1" t="s">
        <v>56</v>
      </c>
      <c r="H481" s="1" t="s">
        <v>1507</v>
      </c>
      <c r="I481" s="1" t="s">
        <v>1507</v>
      </c>
      <c r="J481" s="1" t="s">
        <v>2325</v>
      </c>
      <c r="K481" s="1">
        <v>2023</v>
      </c>
      <c r="L481" s="1" t="s">
        <v>1507</v>
      </c>
      <c r="M481" s="1" t="s">
        <v>1507</v>
      </c>
    </row>
    <row r="482" spans="1:13" x14ac:dyDescent="0.25">
      <c r="A482" s="1">
        <v>554</v>
      </c>
      <c r="B482" s="1" t="s">
        <v>6994</v>
      </c>
      <c r="C482" s="1" t="s">
        <v>6995</v>
      </c>
      <c r="D482" s="1" t="s">
        <v>6996</v>
      </c>
      <c r="E482" s="1" t="s">
        <v>6997</v>
      </c>
      <c r="F482" s="1" t="s">
        <v>42</v>
      </c>
      <c r="G482" s="1" t="s">
        <v>56</v>
      </c>
      <c r="H482" s="1" t="s">
        <v>6998</v>
      </c>
      <c r="I482" s="1" t="s">
        <v>1507</v>
      </c>
      <c r="J482" s="1" t="s">
        <v>6999</v>
      </c>
      <c r="K482" s="1">
        <v>2022</v>
      </c>
      <c r="L482" s="1" t="s">
        <v>1507</v>
      </c>
      <c r="M482" s="1" t="s">
        <v>1507</v>
      </c>
    </row>
    <row r="483" spans="1:13" x14ac:dyDescent="0.25">
      <c r="A483" s="1">
        <v>555</v>
      </c>
      <c r="B483" s="1" t="s">
        <v>7940</v>
      </c>
      <c r="C483" s="1" t="s">
        <v>7941</v>
      </c>
      <c r="D483" s="1" t="s">
        <v>7942</v>
      </c>
      <c r="E483" s="1" t="s">
        <v>7943</v>
      </c>
      <c r="F483" s="1" t="s">
        <v>42</v>
      </c>
      <c r="G483" s="1" t="s">
        <v>56</v>
      </c>
      <c r="H483" s="1" t="s">
        <v>1507</v>
      </c>
      <c r="I483" s="1" t="s">
        <v>7944</v>
      </c>
      <c r="J483" s="1" t="s">
        <v>7945</v>
      </c>
      <c r="K483" s="1">
        <v>2022</v>
      </c>
      <c r="L483" s="1" t="s">
        <v>7957</v>
      </c>
      <c r="M483" s="1" t="str">
        <f>HYPERLINK("http://dx.doi.org/10.1039/d1cp04076f","http://dx.doi.org/10.1039/d1cp04076f")</f>
        <v>http://dx.doi.org/10.1039/d1cp04076f</v>
      </c>
    </row>
    <row r="484" spans="1:13" x14ac:dyDescent="0.25">
      <c r="A484" s="1">
        <v>556</v>
      </c>
      <c r="B484" s="1" t="s">
        <v>2477</v>
      </c>
      <c r="C484" s="1" t="s">
        <v>2478</v>
      </c>
      <c r="D484" s="1" t="s">
        <v>2479</v>
      </c>
      <c r="E484" s="1" t="s">
        <v>2480</v>
      </c>
      <c r="F484" s="1" t="s">
        <v>42</v>
      </c>
      <c r="G484" s="1" t="s">
        <v>1509</v>
      </c>
      <c r="H484" s="1" t="s">
        <v>2481</v>
      </c>
      <c r="I484" s="1" t="s">
        <v>1507</v>
      </c>
      <c r="J484" s="1" t="s">
        <v>2482</v>
      </c>
      <c r="K484" s="1">
        <v>2023</v>
      </c>
      <c r="L484" s="1" t="s">
        <v>2494</v>
      </c>
      <c r="M484" s="1" t="str">
        <f>HYPERLINK("http://dx.doi.org/10.1007/s11196-023-10068-1","http://dx.doi.org/10.1007/s11196-023-10068-1")</f>
        <v>http://dx.doi.org/10.1007/s11196-023-10068-1</v>
      </c>
    </row>
    <row r="485" spans="1:13" x14ac:dyDescent="0.25">
      <c r="A485" s="1">
        <v>558</v>
      </c>
      <c r="B485" s="1" t="s">
        <v>8040</v>
      </c>
      <c r="C485" s="1" t="s">
        <v>8041</v>
      </c>
      <c r="D485" s="1" t="s">
        <v>8042</v>
      </c>
      <c r="E485" s="1" t="s">
        <v>8043</v>
      </c>
      <c r="F485" s="1" t="s">
        <v>42</v>
      </c>
      <c r="G485" s="1" t="s">
        <v>56</v>
      </c>
      <c r="H485" s="1" t="s">
        <v>8044</v>
      </c>
      <c r="I485" s="1" t="s">
        <v>8045</v>
      </c>
      <c r="J485" s="1" t="s">
        <v>8046</v>
      </c>
      <c r="K485" s="1">
        <v>2021</v>
      </c>
      <c r="L485" s="1" t="s">
        <v>8058</v>
      </c>
      <c r="M485" s="1" t="str">
        <f>HYPERLINK("http://dx.doi.org/10.1186/s10020-021-00334-y","http://dx.doi.org/10.1186/s10020-021-00334-y")</f>
        <v>http://dx.doi.org/10.1186/s10020-021-00334-y</v>
      </c>
    </row>
    <row r="486" spans="1:13" x14ac:dyDescent="0.25">
      <c r="A486" s="1">
        <v>559</v>
      </c>
      <c r="B486" s="1" t="s">
        <v>6535</v>
      </c>
      <c r="C486" s="1" t="s">
        <v>6536</v>
      </c>
      <c r="D486" s="1" t="s">
        <v>6537</v>
      </c>
      <c r="E486" s="1" t="s">
        <v>6538</v>
      </c>
      <c r="F486" s="1" t="s">
        <v>42</v>
      </c>
      <c r="G486" s="1" t="s">
        <v>56</v>
      </c>
      <c r="H486" s="1" t="s">
        <v>6539</v>
      </c>
      <c r="I486" s="1" t="s">
        <v>1507</v>
      </c>
      <c r="J486" s="1" t="s">
        <v>6540</v>
      </c>
      <c r="K486" s="1">
        <v>2023</v>
      </c>
      <c r="L486" s="1" t="s">
        <v>6551</v>
      </c>
      <c r="M486" s="1" t="str">
        <f>HYPERLINK("http://dx.doi.org/10.1177/18344909231213958","http://dx.doi.org/10.1177/18344909231213958")</f>
        <v>http://dx.doi.org/10.1177/18344909231213958</v>
      </c>
    </row>
    <row r="487" spans="1:13" x14ac:dyDescent="0.25">
      <c r="A487" s="1">
        <v>560</v>
      </c>
      <c r="B487" s="1" t="s">
        <v>7894</v>
      </c>
      <c r="C487" s="1" t="s">
        <v>7896</v>
      </c>
      <c r="D487" s="1" t="s">
        <v>7897</v>
      </c>
      <c r="E487" s="1" t="s">
        <v>7898</v>
      </c>
      <c r="F487" s="1" t="s">
        <v>42</v>
      </c>
      <c r="G487" s="1" t="s">
        <v>5552</v>
      </c>
      <c r="H487" s="1" t="s">
        <v>1507</v>
      </c>
      <c r="I487" s="1" t="s">
        <v>7903</v>
      </c>
      <c r="J487" s="1" t="s">
        <v>7904</v>
      </c>
      <c r="K487" s="1">
        <v>2022</v>
      </c>
      <c r="L487" s="1" t="s">
        <v>7914</v>
      </c>
      <c r="M487" s="1" t="str">
        <f>HYPERLINK("http://dx.doi.org/10.1007/978-3-031-11644-5_13","http://dx.doi.org/10.1007/978-3-031-11644-5_13")</f>
        <v>http://dx.doi.org/10.1007/978-3-031-11644-5_13</v>
      </c>
    </row>
    <row r="488" spans="1:13" x14ac:dyDescent="0.25">
      <c r="A488" s="1">
        <v>561</v>
      </c>
      <c r="B488" s="1" t="s">
        <v>15443</v>
      </c>
      <c r="C488" s="1" t="s">
        <v>15444</v>
      </c>
      <c r="D488" s="1" t="s">
        <v>15445</v>
      </c>
      <c r="E488" s="1" t="s">
        <v>15092</v>
      </c>
      <c r="F488" s="1" t="s">
        <v>42</v>
      </c>
      <c r="G488" s="1" t="s">
        <v>5552</v>
      </c>
      <c r="H488" s="1" t="s">
        <v>15446</v>
      </c>
      <c r="I488" s="1" t="s">
        <v>1507</v>
      </c>
      <c r="J488" s="1" t="s">
        <v>15447</v>
      </c>
      <c r="K488" s="1">
        <v>2023</v>
      </c>
      <c r="L488" s="1" t="s">
        <v>15455</v>
      </c>
      <c r="M488" s="1" t="str">
        <f>HYPERLINK("http://dx.doi.org/10.1145/3583780.3614993","http://dx.doi.org/10.1145/3583780.3614993")</f>
        <v>http://dx.doi.org/10.1145/3583780.3614993</v>
      </c>
    </row>
    <row r="489" spans="1:13" x14ac:dyDescent="0.25">
      <c r="A489" s="1">
        <v>562</v>
      </c>
      <c r="B489" s="1" t="s">
        <v>15457</v>
      </c>
      <c r="C489" s="1" t="s">
        <v>15458</v>
      </c>
      <c r="D489" s="1" t="s">
        <v>15459</v>
      </c>
      <c r="E489" s="1" t="s">
        <v>15263</v>
      </c>
      <c r="F489" s="1" t="s">
        <v>42</v>
      </c>
      <c r="G489" s="1" t="s">
        <v>5552</v>
      </c>
      <c r="H489" s="1" t="s">
        <v>15460</v>
      </c>
      <c r="I489" s="1" t="s">
        <v>1507</v>
      </c>
      <c r="J489" s="1" t="s">
        <v>15461</v>
      </c>
      <c r="K489" s="1">
        <v>2023</v>
      </c>
      <c r="L489" s="1" t="s">
        <v>15469</v>
      </c>
      <c r="M489" s="1" t="str">
        <f>HYPERLINK("http://dx.doi.org/10.1109/ICTAI59109.2023.00124","http://dx.doi.org/10.1109/ICTAI59109.2023.00124")</f>
        <v>http://dx.doi.org/10.1109/ICTAI59109.2023.00124</v>
      </c>
    </row>
    <row r="490" spans="1:13" x14ac:dyDescent="0.25">
      <c r="A490" s="1">
        <v>563</v>
      </c>
      <c r="B490" s="1" t="s">
        <v>8837</v>
      </c>
      <c r="C490" s="1" t="s">
        <v>8838</v>
      </c>
      <c r="D490" s="1" t="s">
        <v>8839</v>
      </c>
      <c r="E490" s="1" t="s">
        <v>8840</v>
      </c>
      <c r="F490" s="1" t="s">
        <v>42</v>
      </c>
      <c r="G490" s="1" t="s">
        <v>56</v>
      </c>
      <c r="H490" s="1" t="s">
        <v>1507</v>
      </c>
      <c r="I490" s="1" t="s">
        <v>1507</v>
      </c>
      <c r="J490" s="1" t="s">
        <v>8841</v>
      </c>
      <c r="K490" s="1">
        <v>2021</v>
      </c>
      <c r="L490" s="1" t="s">
        <v>1507</v>
      </c>
      <c r="M490" s="1" t="s">
        <v>1507</v>
      </c>
    </row>
    <row r="491" spans="1:13" x14ac:dyDescent="0.25">
      <c r="A491" s="1">
        <v>564</v>
      </c>
      <c r="B491" s="1" t="s">
        <v>1713</v>
      </c>
      <c r="C491" s="1" t="s">
        <v>1714</v>
      </c>
      <c r="D491" s="1" t="s">
        <v>1715</v>
      </c>
      <c r="E491" s="1" t="s">
        <v>1716</v>
      </c>
      <c r="F491" s="1" t="s">
        <v>42</v>
      </c>
      <c r="G491" s="1" t="s">
        <v>56</v>
      </c>
      <c r="H491" s="1" t="s">
        <v>1717</v>
      </c>
      <c r="I491" s="1" t="s">
        <v>1507</v>
      </c>
      <c r="J491" s="1" t="s">
        <v>1718</v>
      </c>
      <c r="K491" s="1">
        <v>2023</v>
      </c>
      <c r="L491" s="1" t="s">
        <v>1730</v>
      </c>
      <c r="M491" s="1" t="str">
        <f>HYPERLINK("http://dx.doi.org/10.1007/s40979-023-00146-z","http://dx.doi.org/10.1007/s40979-023-00146-z")</f>
        <v>http://dx.doi.org/10.1007/s40979-023-00146-z</v>
      </c>
    </row>
    <row r="492" spans="1:13" x14ac:dyDescent="0.25">
      <c r="A492" s="1">
        <v>565</v>
      </c>
      <c r="B492" s="1" t="s">
        <v>7301</v>
      </c>
      <c r="C492" s="1" t="s">
        <v>7302</v>
      </c>
      <c r="D492" s="1" t="s">
        <v>7303</v>
      </c>
      <c r="E492" s="1" t="s">
        <v>7304</v>
      </c>
      <c r="F492" s="1" t="s">
        <v>42</v>
      </c>
      <c r="G492" s="1" t="s">
        <v>56</v>
      </c>
      <c r="H492" s="1" t="s">
        <v>7305</v>
      </c>
      <c r="I492" s="1" t="s">
        <v>7306</v>
      </c>
      <c r="J492" s="1" t="s">
        <v>7307</v>
      </c>
      <c r="K492" s="1">
        <v>2022</v>
      </c>
      <c r="L492" s="1" t="s">
        <v>7317</v>
      </c>
      <c r="M492" s="1" t="str">
        <f>HYPERLINK("http://dx.doi.org/10.1108/IJSE-02-2021-0114","http://dx.doi.org/10.1108/IJSE-02-2021-0114")</f>
        <v>http://dx.doi.org/10.1108/IJSE-02-2021-0114</v>
      </c>
    </row>
    <row r="493" spans="1:13" x14ac:dyDescent="0.25">
      <c r="A493" s="1">
        <v>567</v>
      </c>
      <c r="B493" s="1" t="s">
        <v>2341</v>
      </c>
      <c r="C493" s="1" t="s">
        <v>2342</v>
      </c>
      <c r="D493" s="1" t="s">
        <v>2343</v>
      </c>
      <c r="E493" s="1" t="s">
        <v>2344</v>
      </c>
      <c r="F493" s="1" t="s">
        <v>42</v>
      </c>
      <c r="G493" s="1" t="s">
        <v>56</v>
      </c>
      <c r="H493" s="1" t="s">
        <v>2345</v>
      </c>
      <c r="I493" s="1" t="s">
        <v>2346</v>
      </c>
      <c r="J493" s="1" t="s">
        <v>2347</v>
      </c>
      <c r="K493" s="1">
        <v>2023</v>
      </c>
      <c r="L493" s="1" t="s">
        <v>2355</v>
      </c>
      <c r="M493" s="1" t="str">
        <f>HYPERLINK("http://dx.doi.org/10.3390/f14122412","http://dx.doi.org/10.3390/f14122412")</f>
        <v>http://dx.doi.org/10.3390/f14122412</v>
      </c>
    </row>
    <row r="494" spans="1:13" x14ac:dyDescent="0.25">
      <c r="A494" s="1">
        <v>568</v>
      </c>
      <c r="B494" s="1" t="s">
        <v>2959</v>
      </c>
      <c r="C494" s="1" t="s">
        <v>2960</v>
      </c>
      <c r="D494" s="1" t="s">
        <v>2961</v>
      </c>
      <c r="E494" s="1" t="s">
        <v>2962</v>
      </c>
      <c r="F494" s="1" t="s">
        <v>42</v>
      </c>
      <c r="G494" s="1" t="s">
        <v>56</v>
      </c>
      <c r="H494" s="1" t="s">
        <v>2963</v>
      </c>
      <c r="I494" s="1" t="s">
        <v>1507</v>
      </c>
      <c r="J494" s="1" t="s">
        <v>2964</v>
      </c>
      <c r="K494" s="1">
        <v>2023</v>
      </c>
      <c r="L494" s="1" t="s">
        <v>2976</v>
      </c>
      <c r="M494" s="1" t="str">
        <f>HYPERLINK("http://dx.doi.org/10.1016/j.ajp.2023.103808","http://dx.doi.org/10.1016/j.ajp.2023.103808")</f>
        <v>http://dx.doi.org/10.1016/j.ajp.2023.103808</v>
      </c>
    </row>
    <row r="495" spans="1:13" x14ac:dyDescent="0.25">
      <c r="A495" s="1">
        <v>569</v>
      </c>
      <c r="B495" s="1" t="s">
        <v>4276</v>
      </c>
      <c r="C495" s="1" t="s">
        <v>4277</v>
      </c>
      <c r="D495" s="1" t="s">
        <v>204</v>
      </c>
      <c r="E495" s="1" t="s">
        <v>4278</v>
      </c>
      <c r="F495" s="1" t="s">
        <v>42</v>
      </c>
      <c r="G495" s="1" t="s">
        <v>56</v>
      </c>
      <c r="H495" s="1" t="s">
        <v>210</v>
      </c>
      <c r="I495" s="1" t="s">
        <v>1507</v>
      </c>
      <c r="J495" s="1" t="s">
        <v>4279</v>
      </c>
      <c r="K495" s="1">
        <v>2023</v>
      </c>
      <c r="L495" s="1" t="s">
        <v>206</v>
      </c>
      <c r="M495" s="1" t="str">
        <f>HYPERLINK("http://dx.doi.org/10.1093/glycob/cwad064","http://dx.doi.org/10.1093/glycob/cwad064")</f>
        <v>http://dx.doi.org/10.1093/glycob/cwad064</v>
      </c>
    </row>
    <row r="496" spans="1:13" x14ac:dyDescent="0.25">
      <c r="A496" s="1">
        <v>570</v>
      </c>
      <c r="B496" s="1" t="s">
        <v>2539</v>
      </c>
      <c r="C496" s="1" t="s">
        <v>2540</v>
      </c>
      <c r="D496" s="1" t="s">
        <v>2541</v>
      </c>
      <c r="E496" s="1" t="s">
        <v>1538</v>
      </c>
      <c r="F496" s="1" t="s">
        <v>42</v>
      </c>
      <c r="G496" s="1" t="s">
        <v>56</v>
      </c>
      <c r="H496" s="1" t="s">
        <v>1507</v>
      </c>
      <c r="I496" s="1" t="s">
        <v>1507</v>
      </c>
      <c r="J496" s="1" t="s">
        <v>2542</v>
      </c>
      <c r="K496" s="1">
        <v>2023</v>
      </c>
      <c r="L496" s="1" t="s">
        <v>2550</v>
      </c>
      <c r="M496" s="1" t="str">
        <f>HYPERLINK("http://dx.doi.org/10.1162/tacl_a_00608","http://dx.doi.org/10.1162/tacl_a_00608")</f>
        <v>http://dx.doi.org/10.1162/tacl_a_00608</v>
      </c>
    </row>
    <row r="497" spans="1:13" x14ac:dyDescent="0.25">
      <c r="A497" s="1">
        <v>571</v>
      </c>
      <c r="B497" s="1" t="s">
        <v>5222</v>
      </c>
      <c r="C497" s="1" t="s">
        <v>5223</v>
      </c>
      <c r="D497" s="1" t="s">
        <v>5224</v>
      </c>
      <c r="E497" s="1" t="s">
        <v>2811</v>
      </c>
      <c r="F497" s="1" t="s">
        <v>42</v>
      </c>
      <c r="G497" s="1" t="s">
        <v>56</v>
      </c>
      <c r="H497" s="1" t="s">
        <v>5225</v>
      </c>
      <c r="I497" s="1" t="s">
        <v>5226</v>
      </c>
      <c r="J497" s="1" t="s">
        <v>5227</v>
      </c>
      <c r="K497" s="1">
        <v>2023</v>
      </c>
      <c r="L497" s="1" t="s">
        <v>5238</v>
      </c>
      <c r="M497" s="1" t="str">
        <f>HYPERLINK("http://dx.doi.org/10.1111/cogs.13254","http://dx.doi.org/10.1111/cogs.13254")</f>
        <v>http://dx.doi.org/10.1111/cogs.13254</v>
      </c>
    </row>
    <row r="498" spans="1:13" x14ac:dyDescent="0.25">
      <c r="A498" s="1">
        <v>572</v>
      </c>
      <c r="B498" s="1" t="s">
        <v>15471</v>
      </c>
      <c r="C498" s="1" t="s">
        <v>15472</v>
      </c>
      <c r="D498" s="1" t="s">
        <v>15473</v>
      </c>
      <c r="E498" s="1" t="s">
        <v>15474</v>
      </c>
      <c r="F498" s="1" t="s">
        <v>15475</v>
      </c>
      <c r="G498" s="1" t="s">
        <v>56</v>
      </c>
      <c r="H498" s="1" t="s">
        <v>15476</v>
      </c>
      <c r="I498" s="1" t="s">
        <v>1507</v>
      </c>
      <c r="J498" s="1" t="s">
        <v>15477</v>
      </c>
      <c r="K498" s="1">
        <v>2023</v>
      </c>
      <c r="L498" s="1" t="s">
        <v>15486</v>
      </c>
      <c r="M498" s="1" t="str">
        <f>HYPERLINK("http://dx.doi.org/10.15219/em100.1617","http://dx.doi.org/10.15219/em100.1617")</f>
        <v>http://dx.doi.org/10.15219/em100.1617</v>
      </c>
    </row>
    <row r="499" spans="1:13" x14ac:dyDescent="0.25">
      <c r="A499" s="1">
        <v>574</v>
      </c>
      <c r="B499" s="1" t="s">
        <v>8063</v>
      </c>
      <c r="C499" s="1" t="s">
        <v>8064</v>
      </c>
      <c r="D499" s="1" t="s">
        <v>8065</v>
      </c>
      <c r="E499" s="1" t="s">
        <v>8066</v>
      </c>
      <c r="F499" s="1" t="s">
        <v>42</v>
      </c>
      <c r="G499" s="1" t="s">
        <v>56</v>
      </c>
      <c r="H499" s="1" t="s">
        <v>8067</v>
      </c>
      <c r="I499" s="1" t="s">
        <v>8068</v>
      </c>
      <c r="J499" s="1" t="s">
        <v>8069</v>
      </c>
      <c r="K499" s="1">
        <v>2022</v>
      </c>
      <c r="L499" s="1" t="s">
        <v>8084</v>
      </c>
      <c r="M499" s="1" t="str">
        <f>HYPERLINK("http://dx.doi.org/10.1016/j.canlet.2021.10.039","http://dx.doi.org/10.1016/j.canlet.2021.10.039")</f>
        <v>http://dx.doi.org/10.1016/j.canlet.2021.10.039</v>
      </c>
    </row>
    <row r="500" spans="1:13" x14ac:dyDescent="0.25">
      <c r="A500" s="1">
        <v>575</v>
      </c>
      <c r="B500" s="1" t="s">
        <v>10090</v>
      </c>
      <c r="C500" s="1" t="s">
        <v>10091</v>
      </c>
      <c r="D500" s="1" t="s">
        <v>10092</v>
      </c>
      <c r="E500" s="1" t="s">
        <v>10093</v>
      </c>
      <c r="F500" s="1" t="s">
        <v>42</v>
      </c>
      <c r="G500" s="1" t="s">
        <v>56</v>
      </c>
      <c r="H500" s="1" t="s">
        <v>10094</v>
      </c>
      <c r="I500" s="1" t="s">
        <v>1507</v>
      </c>
      <c r="J500" s="1" t="s">
        <v>10095</v>
      </c>
      <c r="K500" s="1">
        <v>2020</v>
      </c>
      <c r="L500" s="1" t="s">
        <v>10110</v>
      </c>
      <c r="M500" s="1" t="str">
        <f>HYPERLINK("http://dx.doi.org/10.1007/s00894-020-4310-2","http://dx.doi.org/10.1007/s00894-020-4310-2")</f>
        <v>http://dx.doi.org/10.1007/s00894-020-4310-2</v>
      </c>
    </row>
    <row r="501" spans="1:13" x14ac:dyDescent="0.25">
      <c r="A501" s="1">
        <v>576</v>
      </c>
      <c r="B501" s="1" t="s">
        <v>10945</v>
      </c>
      <c r="C501" s="1" t="s">
        <v>10946</v>
      </c>
      <c r="D501" s="1" t="s">
        <v>10947</v>
      </c>
      <c r="E501" s="1" t="s">
        <v>10948</v>
      </c>
      <c r="F501" s="1" t="s">
        <v>42</v>
      </c>
      <c r="G501" s="1" t="s">
        <v>56</v>
      </c>
      <c r="H501" s="1" t="s">
        <v>1507</v>
      </c>
      <c r="I501" s="1" t="s">
        <v>10949</v>
      </c>
      <c r="J501" s="1" t="s">
        <v>10950</v>
      </c>
      <c r="K501" s="1">
        <v>2019</v>
      </c>
      <c r="L501" s="1" t="s">
        <v>10961</v>
      </c>
      <c r="M501" s="1" t="str">
        <f>HYPERLINK("http://dx.doi.org/10.1103/PhysRevFluids.4.063101","http://dx.doi.org/10.1103/PhysRevFluids.4.063101")</f>
        <v>http://dx.doi.org/10.1103/PhysRevFluids.4.063101</v>
      </c>
    </row>
    <row r="502" spans="1:13" x14ac:dyDescent="0.25">
      <c r="A502" s="1">
        <v>577</v>
      </c>
      <c r="B502" s="1" t="s">
        <v>10945</v>
      </c>
      <c r="C502" s="1" t="s">
        <v>10946</v>
      </c>
      <c r="D502" s="1" t="s">
        <v>11840</v>
      </c>
      <c r="E502" s="1" t="s">
        <v>10948</v>
      </c>
      <c r="F502" s="1" t="s">
        <v>42</v>
      </c>
      <c r="G502" s="1" t="s">
        <v>56</v>
      </c>
      <c r="H502" s="1" t="s">
        <v>1507</v>
      </c>
      <c r="I502" s="1" t="s">
        <v>11841</v>
      </c>
      <c r="J502" s="1" t="s">
        <v>11842</v>
      </c>
      <c r="K502" s="1">
        <v>2018</v>
      </c>
      <c r="L502" s="1" t="s">
        <v>11849</v>
      </c>
      <c r="M502" s="1" t="str">
        <f>HYPERLINK("http://dx.doi.org/10.1103/PhysRevFluids.3.031101","http://dx.doi.org/10.1103/PhysRevFluids.3.031101")</f>
        <v>http://dx.doi.org/10.1103/PhysRevFluids.3.031101</v>
      </c>
    </row>
    <row r="503" spans="1:13" x14ac:dyDescent="0.25">
      <c r="A503" s="1">
        <v>578</v>
      </c>
      <c r="B503" s="1" t="s">
        <v>9578</v>
      </c>
      <c r="C503" s="1" t="s">
        <v>9579</v>
      </c>
      <c r="D503" s="1" t="s">
        <v>9580</v>
      </c>
      <c r="E503" s="1" t="s">
        <v>9581</v>
      </c>
      <c r="F503" s="1" t="s">
        <v>42</v>
      </c>
      <c r="G503" s="1" t="s">
        <v>56</v>
      </c>
      <c r="H503" s="1" t="s">
        <v>9582</v>
      </c>
      <c r="I503" s="1" t="s">
        <v>9583</v>
      </c>
      <c r="J503" s="1" t="s">
        <v>9584</v>
      </c>
      <c r="K503" s="1">
        <v>2020</v>
      </c>
      <c r="L503" s="1" t="s">
        <v>9595</v>
      </c>
      <c r="M503" s="1" t="str">
        <f>HYPERLINK("http://dx.doi.org/10.3389/fpsyg.2020.02230","http://dx.doi.org/10.3389/fpsyg.2020.02230")</f>
        <v>http://dx.doi.org/10.3389/fpsyg.2020.02230</v>
      </c>
    </row>
    <row r="504" spans="1:13" x14ac:dyDescent="0.25">
      <c r="A504" s="1">
        <v>579</v>
      </c>
      <c r="B504" s="1" t="s">
        <v>8604</v>
      </c>
      <c r="C504" s="1" t="s">
        <v>8605</v>
      </c>
      <c r="D504" s="1" t="s">
        <v>8606</v>
      </c>
      <c r="E504" s="1" t="s">
        <v>1508</v>
      </c>
      <c r="F504" s="1" t="s">
        <v>42</v>
      </c>
      <c r="G504" s="1" t="s">
        <v>56</v>
      </c>
      <c r="H504" s="1" t="s">
        <v>8607</v>
      </c>
      <c r="I504" s="1" t="s">
        <v>8608</v>
      </c>
      <c r="J504" s="1" t="s">
        <v>8609</v>
      </c>
      <c r="K504" s="1">
        <v>2023</v>
      </c>
      <c r="L504" s="1" t="s">
        <v>8617</v>
      </c>
      <c r="M504" s="1" t="str">
        <f>HYPERLINK("http://dx.doi.org/10.1007/s12144-021-01836-y","http://dx.doi.org/10.1007/s12144-021-01836-y")</f>
        <v>http://dx.doi.org/10.1007/s12144-021-01836-y</v>
      </c>
    </row>
    <row r="505" spans="1:13" x14ac:dyDescent="0.25">
      <c r="A505" s="1">
        <v>580</v>
      </c>
      <c r="B505" s="1" t="s">
        <v>9122</v>
      </c>
      <c r="C505" s="1" t="s">
        <v>9123</v>
      </c>
      <c r="D505" s="1" t="s">
        <v>9124</v>
      </c>
      <c r="E505" s="1" t="s">
        <v>1508</v>
      </c>
      <c r="F505" s="1" t="s">
        <v>42</v>
      </c>
      <c r="G505" s="1" t="s">
        <v>56</v>
      </c>
      <c r="H505" s="1" t="s">
        <v>9125</v>
      </c>
      <c r="I505" s="1" t="s">
        <v>9126</v>
      </c>
      <c r="J505" s="1" t="s">
        <v>9127</v>
      </c>
      <c r="K505" s="1">
        <v>2022</v>
      </c>
      <c r="L505" s="1" t="s">
        <v>9135</v>
      </c>
      <c r="M505" s="1" t="str">
        <f>HYPERLINK("http://dx.doi.org/10.1007/s12144-020-01230-0","http://dx.doi.org/10.1007/s12144-020-01230-0")</f>
        <v>http://dx.doi.org/10.1007/s12144-020-01230-0</v>
      </c>
    </row>
    <row r="506" spans="1:13" x14ac:dyDescent="0.25">
      <c r="A506" s="1">
        <v>581</v>
      </c>
      <c r="B506" s="1" t="s">
        <v>10591</v>
      </c>
      <c r="C506" s="1" t="s">
        <v>10592</v>
      </c>
      <c r="D506" s="1" t="s">
        <v>10593</v>
      </c>
      <c r="E506" s="1" t="s">
        <v>8410</v>
      </c>
      <c r="F506" s="1" t="s">
        <v>42</v>
      </c>
      <c r="G506" s="1" t="s">
        <v>56</v>
      </c>
      <c r="H506" s="1" t="s">
        <v>1507</v>
      </c>
      <c r="I506" s="1" t="s">
        <v>10594</v>
      </c>
      <c r="J506" s="1" t="s">
        <v>10595</v>
      </c>
      <c r="K506" s="1">
        <v>2019</v>
      </c>
      <c r="L506" s="1" t="s">
        <v>10604</v>
      </c>
      <c r="M506" s="1" t="str">
        <f>HYPERLINK("http://dx.doi.org/10.1063/1.5132692","http://dx.doi.org/10.1063/1.5132692")</f>
        <v>http://dx.doi.org/10.1063/1.5132692</v>
      </c>
    </row>
    <row r="507" spans="1:13" x14ac:dyDescent="0.25">
      <c r="A507" s="1">
        <v>582</v>
      </c>
      <c r="B507" s="1" t="s">
        <v>14226</v>
      </c>
      <c r="C507" s="1" t="s">
        <v>14227</v>
      </c>
      <c r="D507" s="1" t="s">
        <v>14228</v>
      </c>
      <c r="E507" s="1" t="s">
        <v>1760</v>
      </c>
      <c r="F507" s="1" t="s">
        <v>42</v>
      </c>
      <c r="G507" s="1" t="s">
        <v>56</v>
      </c>
      <c r="H507" s="1" t="s">
        <v>1507</v>
      </c>
      <c r="I507" s="1" t="s">
        <v>14229</v>
      </c>
      <c r="J507" s="1" t="s">
        <v>14230</v>
      </c>
      <c r="K507" s="1">
        <v>2023</v>
      </c>
      <c r="L507" s="1" t="s">
        <v>14240</v>
      </c>
      <c r="M507" s="1" t="str">
        <f>HYPERLINK("http://dx.doi.org/10.1038/s41586-023-06631-2","http://dx.doi.org/10.1038/s41586-023-06631-2")</f>
        <v>http://dx.doi.org/10.1038/s41586-023-06631-2</v>
      </c>
    </row>
    <row r="508" spans="1:13" x14ac:dyDescent="0.25">
      <c r="A508" s="1">
        <v>583</v>
      </c>
      <c r="B508" s="1" t="s">
        <v>7019</v>
      </c>
      <c r="C508" s="1" t="s">
        <v>7020</v>
      </c>
      <c r="D508" s="1" t="s">
        <v>7021</v>
      </c>
      <c r="E508" s="1" t="s">
        <v>7022</v>
      </c>
      <c r="F508" s="1" t="s">
        <v>42</v>
      </c>
      <c r="G508" s="1" t="s">
        <v>56</v>
      </c>
      <c r="H508" s="1" t="s">
        <v>7023</v>
      </c>
      <c r="I508" s="1" t="s">
        <v>7024</v>
      </c>
      <c r="J508" s="1" t="s">
        <v>7025</v>
      </c>
      <c r="K508" s="1">
        <v>2022</v>
      </c>
      <c r="L508" s="1" t="s">
        <v>7036</v>
      </c>
      <c r="M508" s="1" t="str">
        <f>HYPERLINK("http://dx.doi.org/10.1016/j.envint.2022.107484","http://dx.doi.org/10.1016/j.envint.2022.107484")</f>
        <v>http://dx.doi.org/10.1016/j.envint.2022.107484</v>
      </c>
    </row>
    <row r="509" spans="1:13" x14ac:dyDescent="0.25">
      <c r="A509" s="1">
        <v>584</v>
      </c>
      <c r="B509" s="1" t="s">
        <v>11195</v>
      </c>
      <c r="C509" s="1" t="s">
        <v>11196</v>
      </c>
      <c r="D509" s="1" t="s">
        <v>11197</v>
      </c>
      <c r="E509" s="1" t="s">
        <v>7563</v>
      </c>
      <c r="F509" s="1" t="s">
        <v>42</v>
      </c>
      <c r="G509" s="1" t="s">
        <v>56</v>
      </c>
      <c r="H509" s="1" t="s">
        <v>1507</v>
      </c>
      <c r="I509" s="1" t="s">
        <v>11198</v>
      </c>
      <c r="J509" s="1" t="s">
        <v>11199</v>
      </c>
      <c r="K509" s="1">
        <v>2019</v>
      </c>
      <c r="L509" s="1" t="s">
        <v>11206</v>
      </c>
      <c r="M509" s="1" t="str">
        <f>HYPERLINK("http://dx.doi.org/10.1038/s41467-018-08245-z","http://dx.doi.org/10.1038/s41467-018-08245-z")</f>
        <v>http://dx.doi.org/10.1038/s41467-018-08245-z</v>
      </c>
    </row>
    <row r="510" spans="1:13" x14ac:dyDescent="0.25">
      <c r="A510" s="1">
        <v>585</v>
      </c>
      <c r="B510" s="1" t="s">
        <v>6554</v>
      </c>
      <c r="C510" s="1" t="s">
        <v>6555</v>
      </c>
      <c r="D510" s="1" t="s">
        <v>6556</v>
      </c>
      <c r="E510" s="1" t="s">
        <v>6557</v>
      </c>
      <c r="F510" s="1" t="s">
        <v>42</v>
      </c>
      <c r="G510" s="1" t="s">
        <v>5552</v>
      </c>
      <c r="H510" s="1" t="s">
        <v>6563</v>
      </c>
      <c r="I510" s="1" t="s">
        <v>6564</v>
      </c>
      <c r="J510" s="1" t="s">
        <v>6565</v>
      </c>
      <c r="K510" s="1">
        <v>2023</v>
      </c>
      <c r="L510" s="1" t="s">
        <v>6575</v>
      </c>
      <c r="M510" s="1" t="str">
        <f>HYPERLINK("http://dx.doi.org/10.1109/VTC2023-Fall60731.2023.10333403","http://dx.doi.org/10.1109/VTC2023-Fall60731.2023.10333403")</f>
        <v>http://dx.doi.org/10.1109/VTC2023-Fall60731.2023.10333403</v>
      </c>
    </row>
    <row r="511" spans="1:13" x14ac:dyDescent="0.25">
      <c r="A511" s="1">
        <v>586</v>
      </c>
      <c r="B511" s="1" t="s">
        <v>8472</v>
      </c>
      <c r="C511" s="1" t="s">
        <v>8473</v>
      </c>
      <c r="D511" s="1" t="s">
        <v>8474</v>
      </c>
      <c r="E511" s="1" t="s">
        <v>7141</v>
      </c>
      <c r="F511" s="1" t="s">
        <v>42</v>
      </c>
      <c r="G511" s="1" t="s">
        <v>56</v>
      </c>
      <c r="H511" s="1" t="s">
        <v>8475</v>
      </c>
      <c r="I511" s="1" t="s">
        <v>8476</v>
      </c>
      <c r="J511" s="1" t="s">
        <v>8477</v>
      </c>
      <c r="K511" s="1">
        <v>2021</v>
      </c>
      <c r="L511" s="1" t="s">
        <v>8486</v>
      </c>
      <c r="M511" s="1" t="str">
        <f>HYPERLINK("http://dx.doi.org/10.1016/j.scitotenv.2021.148000","http://dx.doi.org/10.1016/j.scitotenv.2021.148000")</f>
        <v>http://dx.doi.org/10.1016/j.scitotenv.2021.148000</v>
      </c>
    </row>
    <row r="512" spans="1:13" x14ac:dyDescent="0.25">
      <c r="A512" s="1">
        <v>587</v>
      </c>
      <c r="B512" s="1" t="s">
        <v>8301</v>
      </c>
      <c r="C512" s="1" t="s">
        <v>8302</v>
      </c>
      <c r="D512" s="1" t="s">
        <v>8303</v>
      </c>
      <c r="E512" s="1" t="s">
        <v>8304</v>
      </c>
      <c r="F512" s="1" t="s">
        <v>42</v>
      </c>
      <c r="G512" s="1" t="s">
        <v>56</v>
      </c>
      <c r="H512" s="1" t="s">
        <v>1507</v>
      </c>
      <c r="I512" s="1" t="s">
        <v>8305</v>
      </c>
      <c r="J512" s="1" t="s">
        <v>8306</v>
      </c>
      <c r="K512" s="1">
        <v>2021</v>
      </c>
      <c r="L512" s="1" t="s">
        <v>8318</v>
      </c>
      <c r="M512" s="1" t="str">
        <f>HYPERLINK("http://dx.doi.org/10.1093/nar/gkab660","http://dx.doi.org/10.1093/nar/gkab660")</f>
        <v>http://dx.doi.org/10.1093/nar/gkab660</v>
      </c>
    </row>
    <row r="513" spans="1:13" x14ac:dyDescent="0.25">
      <c r="A513" s="1">
        <v>588</v>
      </c>
      <c r="B513" s="1" t="s">
        <v>10184</v>
      </c>
      <c r="C513" s="1" t="s">
        <v>10185</v>
      </c>
      <c r="D513" s="1" t="s">
        <v>10186</v>
      </c>
      <c r="E513" s="1" t="s">
        <v>10187</v>
      </c>
      <c r="F513" s="1" t="s">
        <v>42</v>
      </c>
      <c r="G513" s="1" t="s">
        <v>56</v>
      </c>
      <c r="H513" s="1" t="s">
        <v>1507</v>
      </c>
      <c r="I513" s="1" t="s">
        <v>10188</v>
      </c>
      <c r="J513" s="1" t="s">
        <v>10189</v>
      </c>
      <c r="K513" s="1">
        <v>2020</v>
      </c>
      <c r="L513" s="1" t="s">
        <v>10202</v>
      </c>
      <c r="M513" s="1" t="str">
        <f>HYPERLINK("http://dx.doi.org/10.1021/acs.jpcc.0c00055","http://dx.doi.org/10.1021/acs.jpcc.0c00055")</f>
        <v>http://dx.doi.org/10.1021/acs.jpcc.0c00055</v>
      </c>
    </row>
    <row r="514" spans="1:13" x14ac:dyDescent="0.25">
      <c r="A514" s="1">
        <v>589</v>
      </c>
      <c r="B514" s="1" t="s">
        <v>11209</v>
      </c>
      <c r="C514" s="1" t="s">
        <v>11210</v>
      </c>
      <c r="D514" s="1" t="s">
        <v>11211</v>
      </c>
      <c r="E514" s="1" t="s">
        <v>10187</v>
      </c>
      <c r="F514" s="1" t="s">
        <v>42</v>
      </c>
      <c r="G514" s="1" t="s">
        <v>56</v>
      </c>
      <c r="H514" s="1" t="s">
        <v>1507</v>
      </c>
      <c r="I514" s="1" t="s">
        <v>11212</v>
      </c>
      <c r="J514" s="1" t="s">
        <v>11213</v>
      </c>
      <c r="K514" s="1">
        <v>2019</v>
      </c>
      <c r="L514" s="1" t="s">
        <v>11222</v>
      </c>
      <c r="M514" s="1" t="str">
        <f>HYPERLINK("http://dx.doi.org/10.1021/acs.jpcc.8b10837","http://dx.doi.org/10.1021/acs.jpcc.8b10837")</f>
        <v>http://dx.doi.org/10.1021/acs.jpcc.8b10837</v>
      </c>
    </row>
    <row r="515" spans="1:13" x14ac:dyDescent="0.25">
      <c r="A515" s="1">
        <v>590</v>
      </c>
      <c r="B515" s="1" t="s">
        <v>8558</v>
      </c>
      <c r="C515" s="1" t="s">
        <v>8559</v>
      </c>
      <c r="D515" s="1" t="s">
        <v>8560</v>
      </c>
      <c r="E515" s="1" t="s">
        <v>8561</v>
      </c>
      <c r="F515" s="1" t="s">
        <v>42</v>
      </c>
      <c r="G515" s="1" t="s">
        <v>56</v>
      </c>
      <c r="H515" s="1" t="s">
        <v>8562</v>
      </c>
      <c r="I515" s="1" t="s">
        <v>1507</v>
      </c>
      <c r="J515" s="1" t="s">
        <v>8563</v>
      </c>
      <c r="K515" s="1">
        <v>2021</v>
      </c>
      <c r="L515" s="1" t="s">
        <v>8577</v>
      </c>
      <c r="M515" s="1" t="str">
        <f>HYPERLINK("http://dx.doi.org/10.1007/s10921-021-00773-x","http://dx.doi.org/10.1007/s10921-021-00773-x")</f>
        <v>http://dx.doi.org/10.1007/s10921-021-00773-x</v>
      </c>
    </row>
    <row r="516" spans="1:13" x14ac:dyDescent="0.25">
      <c r="A516" s="1">
        <v>591</v>
      </c>
      <c r="B516" s="1" t="s">
        <v>6579</v>
      </c>
      <c r="C516" s="1" t="s">
        <v>6580</v>
      </c>
      <c r="D516" s="1" t="s">
        <v>6581</v>
      </c>
      <c r="E516" s="1" t="s">
        <v>6014</v>
      </c>
      <c r="F516" s="1" t="s">
        <v>42</v>
      </c>
      <c r="G516" s="1" t="s">
        <v>5552</v>
      </c>
      <c r="H516" s="1" t="s">
        <v>6582</v>
      </c>
      <c r="I516" s="1" t="s">
        <v>1507</v>
      </c>
      <c r="J516" s="1" t="s">
        <v>6583</v>
      </c>
      <c r="K516" s="1">
        <v>2023</v>
      </c>
      <c r="L516" s="1" t="s">
        <v>6591</v>
      </c>
      <c r="M516" s="1" t="str">
        <f>HYPERLINK("http://dx.doi.org/10.1109/ASE56229.2023.00096","http://dx.doi.org/10.1109/ASE56229.2023.00096")</f>
        <v>http://dx.doi.org/10.1109/ASE56229.2023.00096</v>
      </c>
    </row>
    <row r="517" spans="1:13" x14ac:dyDescent="0.25">
      <c r="A517" s="1">
        <v>593</v>
      </c>
      <c r="B517" s="1" t="s">
        <v>7979</v>
      </c>
      <c r="C517" s="1" t="s">
        <v>7980</v>
      </c>
      <c r="D517" s="1" t="s">
        <v>7981</v>
      </c>
      <c r="E517" s="1" t="s">
        <v>7982</v>
      </c>
      <c r="F517" s="1" t="s">
        <v>42</v>
      </c>
      <c r="G517" s="1" t="s">
        <v>56</v>
      </c>
      <c r="H517" s="1" t="s">
        <v>7983</v>
      </c>
      <c r="I517" s="1" t="s">
        <v>7984</v>
      </c>
      <c r="J517" s="1" t="s">
        <v>7985</v>
      </c>
      <c r="K517" s="1">
        <v>2022</v>
      </c>
      <c r="L517" s="1" t="s">
        <v>7997</v>
      </c>
      <c r="M517" s="1" t="str">
        <f>HYPERLINK("http://dx.doi.org/10.1093/jxb/erab430","http://dx.doi.org/10.1093/jxb/erab430")</f>
        <v>http://dx.doi.org/10.1093/jxb/erab430</v>
      </c>
    </row>
    <row r="518" spans="1:13" x14ac:dyDescent="0.25">
      <c r="A518" s="1">
        <v>594</v>
      </c>
      <c r="B518" s="1" t="s">
        <v>3231</v>
      </c>
      <c r="C518" s="1" t="s">
        <v>3232</v>
      </c>
      <c r="D518" s="1" t="s">
        <v>3233</v>
      </c>
      <c r="E518" s="1" t="s">
        <v>1999</v>
      </c>
      <c r="F518" s="1" t="s">
        <v>42</v>
      </c>
      <c r="G518" s="1" t="s">
        <v>56</v>
      </c>
      <c r="H518" s="1" t="s">
        <v>1507</v>
      </c>
      <c r="I518" s="1" t="s">
        <v>3234</v>
      </c>
      <c r="J518" s="1" t="s">
        <v>3235</v>
      </c>
      <c r="K518" s="1">
        <v>2023</v>
      </c>
      <c r="L518" s="1" t="s">
        <v>3245</v>
      </c>
      <c r="M518" s="1" t="str">
        <f>HYPERLINK("http://dx.doi.org/10.1371/journal.pone.0292903","http://dx.doi.org/10.1371/journal.pone.0292903")</f>
        <v>http://dx.doi.org/10.1371/journal.pone.0292903</v>
      </c>
    </row>
    <row r="519" spans="1:13" x14ac:dyDescent="0.25">
      <c r="A519" s="1">
        <v>595</v>
      </c>
      <c r="B519" s="1" t="s">
        <v>8235</v>
      </c>
      <c r="C519" s="1" t="s">
        <v>8236</v>
      </c>
      <c r="D519" s="1" t="s">
        <v>8237</v>
      </c>
      <c r="E519" s="1" t="s">
        <v>8238</v>
      </c>
      <c r="F519" s="1" t="s">
        <v>42</v>
      </c>
      <c r="G519" s="1" t="s">
        <v>56</v>
      </c>
      <c r="H519" s="1" t="s">
        <v>8239</v>
      </c>
      <c r="I519" s="1" t="s">
        <v>8240</v>
      </c>
      <c r="J519" s="1" t="s">
        <v>8241</v>
      </c>
      <c r="K519" s="1">
        <v>2021</v>
      </c>
      <c r="L519" s="1" t="s">
        <v>1095</v>
      </c>
      <c r="M519" s="1" t="str">
        <f>HYPERLINK("http://dx.doi.org/10.3390/biom11091268","http://dx.doi.org/10.3390/biom11091268")</f>
        <v>http://dx.doi.org/10.3390/biom11091268</v>
      </c>
    </row>
    <row r="520" spans="1:13" x14ac:dyDescent="0.25">
      <c r="A520" s="1">
        <v>596</v>
      </c>
      <c r="B520" s="1" t="s">
        <v>15491</v>
      </c>
      <c r="C520" s="1" t="s">
        <v>15493</v>
      </c>
      <c r="D520" s="1" t="s">
        <v>15494</v>
      </c>
      <c r="E520" s="1" t="s">
        <v>15495</v>
      </c>
      <c r="F520" s="1" t="s">
        <v>42</v>
      </c>
      <c r="G520" s="1" t="s">
        <v>5552</v>
      </c>
      <c r="H520" s="1" t="s">
        <v>15499</v>
      </c>
      <c r="I520" s="1" t="s">
        <v>15500</v>
      </c>
      <c r="J520" s="1" t="s">
        <v>15501</v>
      </c>
      <c r="K520" s="1">
        <v>2023</v>
      </c>
      <c r="L520" s="1" t="s">
        <v>15508</v>
      </c>
      <c r="M520" s="1" t="str">
        <f>HYPERLINK("http://dx.doi.org/10.1145/3615890.3628538","http://dx.doi.org/10.1145/3615890.3628538")</f>
        <v>http://dx.doi.org/10.1145/3615890.3628538</v>
      </c>
    </row>
    <row r="521" spans="1:13" x14ac:dyDescent="0.25">
      <c r="A521" s="1">
        <v>597</v>
      </c>
      <c r="B521" s="1" t="s">
        <v>4368</v>
      </c>
      <c r="C521" s="1" t="s">
        <v>4369</v>
      </c>
      <c r="D521" s="1" t="s">
        <v>4370</v>
      </c>
      <c r="E521" s="1" t="s">
        <v>4371</v>
      </c>
      <c r="F521" s="1" t="s">
        <v>42</v>
      </c>
      <c r="G521" s="1" t="s">
        <v>56</v>
      </c>
      <c r="H521" s="1" t="s">
        <v>4372</v>
      </c>
      <c r="I521" s="1" t="s">
        <v>4373</v>
      </c>
      <c r="J521" s="1" t="s">
        <v>4374</v>
      </c>
      <c r="K521" s="1">
        <v>2023</v>
      </c>
      <c r="L521" s="1" t="s">
        <v>4388</v>
      </c>
      <c r="M521" s="1" t="str">
        <f>HYPERLINK("http://dx.doi.org/10.1016/j.saa.2023.123170","http://dx.doi.org/10.1016/j.saa.2023.123170")</f>
        <v>http://dx.doi.org/10.1016/j.saa.2023.123170</v>
      </c>
    </row>
    <row r="522" spans="1:13" x14ac:dyDescent="0.25">
      <c r="A522" s="1">
        <v>598</v>
      </c>
      <c r="B522" s="1" t="s">
        <v>6593</v>
      </c>
      <c r="C522" s="1" t="s">
        <v>6594</v>
      </c>
      <c r="D522" s="1" t="s">
        <v>6595</v>
      </c>
      <c r="E522" s="1" t="s">
        <v>6596</v>
      </c>
      <c r="F522" s="1" t="s">
        <v>42</v>
      </c>
      <c r="G522" s="1" t="s">
        <v>56</v>
      </c>
      <c r="H522" s="1" t="s">
        <v>6597</v>
      </c>
      <c r="I522" s="1" t="s">
        <v>6598</v>
      </c>
      <c r="J522" s="1" t="s">
        <v>6599</v>
      </c>
      <c r="K522" s="1">
        <v>2023</v>
      </c>
      <c r="L522" s="1" t="s">
        <v>1507</v>
      </c>
      <c r="M522" s="1" t="s">
        <v>1507</v>
      </c>
    </row>
    <row r="523" spans="1:13" x14ac:dyDescent="0.25">
      <c r="A523" s="1">
        <v>599</v>
      </c>
      <c r="B523" s="1" t="s">
        <v>10999</v>
      </c>
      <c r="C523" s="1" t="s">
        <v>11000</v>
      </c>
      <c r="D523" s="1" t="s">
        <v>11001</v>
      </c>
      <c r="E523" s="1" t="s">
        <v>11002</v>
      </c>
      <c r="F523" s="1" t="s">
        <v>42</v>
      </c>
      <c r="G523" s="1" t="s">
        <v>56</v>
      </c>
      <c r="H523" s="1" t="s">
        <v>11003</v>
      </c>
      <c r="I523" s="1" t="s">
        <v>11004</v>
      </c>
      <c r="J523" s="1" t="s">
        <v>11005</v>
      </c>
      <c r="K523" s="1">
        <v>2019</v>
      </c>
      <c r="L523" s="1" t="s">
        <v>11020</v>
      </c>
      <c r="M523" s="1" t="str">
        <f>HYPERLINK("http://dx.doi.org/10.1089/zeb.2019.1731","http://dx.doi.org/10.1089/zeb.2019.1731")</f>
        <v>http://dx.doi.org/10.1089/zeb.2019.1731</v>
      </c>
    </row>
    <row r="524" spans="1:13" x14ac:dyDescent="0.25">
      <c r="A524" s="1">
        <v>600</v>
      </c>
      <c r="B524" s="1" t="s">
        <v>4790</v>
      </c>
      <c r="C524" s="1" t="s">
        <v>4791</v>
      </c>
      <c r="D524" s="1" t="s">
        <v>4792</v>
      </c>
      <c r="E524" s="1" t="s">
        <v>4793</v>
      </c>
      <c r="F524" s="1" t="s">
        <v>42</v>
      </c>
      <c r="G524" s="1" t="s">
        <v>56</v>
      </c>
      <c r="H524" s="1" t="s">
        <v>4794</v>
      </c>
      <c r="I524" s="1" t="s">
        <v>4795</v>
      </c>
      <c r="J524" s="1" t="s">
        <v>4796</v>
      </c>
      <c r="K524" s="1">
        <v>2023</v>
      </c>
      <c r="L524" s="1" t="s">
        <v>1507</v>
      </c>
      <c r="M524" s="1" t="s">
        <v>1507</v>
      </c>
    </row>
    <row r="525" spans="1:13" x14ac:dyDescent="0.25">
      <c r="A525" s="1">
        <v>601</v>
      </c>
      <c r="B525" s="1" t="s">
        <v>15512</v>
      </c>
      <c r="C525" s="1" t="s">
        <v>15513</v>
      </c>
      <c r="D525" s="1" t="s">
        <v>15514</v>
      </c>
      <c r="E525" s="1" t="s">
        <v>14946</v>
      </c>
      <c r="F525" s="1" t="s">
        <v>42</v>
      </c>
      <c r="G525" s="1" t="s">
        <v>5552</v>
      </c>
      <c r="H525" s="1" t="s">
        <v>15515</v>
      </c>
      <c r="I525" s="1" t="s">
        <v>1507</v>
      </c>
      <c r="J525" s="1" t="s">
        <v>15516</v>
      </c>
      <c r="K525" s="1">
        <v>2023</v>
      </c>
      <c r="L525" s="1" t="s">
        <v>15524</v>
      </c>
      <c r="M525" s="1" t="str">
        <f>HYPERLINK("http://dx.doi.org/10.1145/3580305.3599832","http://dx.doi.org/10.1145/3580305.3599832")</f>
        <v>http://dx.doi.org/10.1145/3580305.3599832</v>
      </c>
    </row>
    <row r="526" spans="1:13" x14ac:dyDescent="0.25">
      <c r="A526" s="1">
        <v>602</v>
      </c>
      <c r="B526" s="1" t="s">
        <v>6615</v>
      </c>
      <c r="C526" s="1" t="s">
        <v>6617</v>
      </c>
      <c r="D526" s="1" t="s">
        <v>6618</v>
      </c>
      <c r="E526" s="1" t="s">
        <v>6619</v>
      </c>
      <c r="F526" s="1" t="s">
        <v>42</v>
      </c>
      <c r="G526" s="1" t="s">
        <v>5552</v>
      </c>
      <c r="H526" s="1" t="s">
        <v>6624</v>
      </c>
      <c r="I526" s="1" t="s">
        <v>1507</v>
      </c>
      <c r="J526" s="1" t="s">
        <v>6625</v>
      </c>
      <c r="K526" s="1">
        <v>2023</v>
      </c>
      <c r="L526" s="1" t="s">
        <v>6634</v>
      </c>
      <c r="M526" s="1" t="str">
        <f>HYPERLINK("http://dx.doi.org/10.1145/3611643.3616350","http://dx.doi.org/10.1145/3611643.3616350")</f>
        <v>http://dx.doi.org/10.1145/3611643.3616350</v>
      </c>
    </row>
    <row r="527" spans="1:13" x14ac:dyDescent="0.25">
      <c r="A527" s="1">
        <v>603</v>
      </c>
      <c r="B527" s="1" t="s">
        <v>7918</v>
      </c>
      <c r="C527" s="1" t="s">
        <v>7919</v>
      </c>
      <c r="D527" s="1" t="s">
        <v>7920</v>
      </c>
      <c r="E527" s="1" t="s">
        <v>7921</v>
      </c>
      <c r="F527" s="1" t="s">
        <v>42</v>
      </c>
      <c r="G527" s="1" t="s">
        <v>5552</v>
      </c>
      <c r="H527" s="1" t="s">
        <v>7927</v>
      </c>
      <c r="I527" s="1" t="s">
        <v>1507</v>
      </c>
      <c r="J527" s="1" t="s">
        <v>7928</v>
      </c>
      <c r="K527" s="1">
        <v>2022</v>
      </c>
      <c r="L527" s="1" t="s">
        <v>7936</v>
      </c>
      <c r="M527" s="1" t="str">
        <f>HYPERLINK("http://dx.doi.org/10.1145/3551349.3556955","http://dx.doi.org/10.1145/3551349.3556955")</f>
        <v>http://dx.doi.org/10.1145/3551349.3556955</v>
      </c>
    </row>
    <row r="528" spans="1:13" x14ac:dyDescent="0.25">
      <c r="A528" s="1">
        <v>604</v>
      </c>
      <c r="B528" s="1" t="s">
        <v>10608</v>
      </c>
      <c r="C528" s="1" t="s">
        <v>10609</v>
      </c>
      <c r="D528" s="1" t="s">
        <v>10610</v>
      </c>
      <c r="E528" s="1" t="s">
        <v>7563</v>
      </c>
      <c r="F528" s="1" t="s">
        <v>42</v>
      </c>
      <c r="G528" s="1" t="s">
        <v>56</v>
      </c>
      <c r="H528" s="1" t="s">
        <v>1507</v>
      </c>
      <c r="I528" s="1" t="s">
        <v>10611</v>
      </c>
      <c r="J528" s="1" t="s">
        <v>10612</v>
      </c>
      <c r="K528" s="1">
        <v>2019</v>
      </c>
      <c r="L528" s="1" t="s">
        <v>10622</v>
      </c>
      <c r="M528" s="1" t="str">
        <f>HYPERLINK("http://dx.doi.org/10.1038/s41467-019-12887-y","http://dx.doi.org/10.1038/s41467-019-12887-y")</f>
        <v>http://dx.doi.org/10.1038/s41467-019-12887-y</v>
      </c>
    </row>
    <row r="529" spans="1:13" x14ac:dyDescent="0.25">
      <c r="A529" s="1">
        <v>606</v>
      </c>
      <c r="B529" s="1" t="s">
        <v>10508</v>
      </c>
      <c r="C529" s="1" t="s">
        <v>10509</v>
      </c>
      <c r="D529" s="1" t="s">
        <v>10510</v>
      </c>
      <c r="E529" s="1" t="s">
        <v>10511</v>
      </c>
      <c r="F529" s="1" t="s">
        <v>42</v>
      </c>
      <c r="G529" s="1" t="s">
        <v>56</v>
      </c>
      <c r="H529" s="1" t="s">
        <v>1507</v>
      </c>
      <c r="I529" s="1" t="s">
        <v>10512</v>
      </c>
      <c r="J529" s="1" t="s">
        <v>10513</v>
      </c>
      <c r="K529" s="1">
        <v>2019</v>
      </c>
      <c r="L529" s="1" t="s">
        <v>10526</v>
      </c>
      <c r="M529" s="1" t="str">
        <f>HYPERLINK("http://dx.doi.org/10.1039/c9sc03455b","http://dx.doi.org/10.1039/c9sc03455b")</f>
        <v>http://dx.doi.org/10.1039/c9sc03455b</v>
      </c>
    </row>
    <row r="530" spans="1:13" x14ac:dyDescent="0.25">
      <c r="A530" s="1">
        <v>607</v>
      </c>
      <c r="B530" s="1" t="s">
        <v>8352</v>
      </c>
      <c r="C530" s="1" t="s">
        <v>8353</v>
      </c>
      <c r="D530" s="1" t="s">
        <v>8354</v>
      </c>
      <c r="E530" s="1" t="s">
        <v>4793</v>
      </c>
      <c r="F530" s="1" t="s">
        <v>42</v>
      </c>
      <c r="G530" s="1" t="s">
        <v>56</v>
      </c>
      <c r="H530" s="1" t="s">
        <v>8355</v>
      </c>
      <c r="I530" s="1" t="s">
        <v>1507</v>
      </c>
      <c r="J530" s="1" t="s">
        <v>8356</v>
      </c>
      <c r="K530" s="1">
        <v>2021</v>
      </c>
      <c r="L530" s="1" t="s">
        <v>8365</v>
      </c>
      <c r="M530" s="1" t="str">
        <f>HYPERLINK("http://dx.doi.org/10.4337/qmjip.2021.03.05","http://dx.doi.org/10.4337/qmjip.2021.03.05")</f>
        <v>http://dx.doi.org/10.4337/qmjip.2021.03.05</v>
      </c>
    </row>
    <row r="531" spans="1:13" x14ac:dyDescent="0.25">
      <c r="A531" s="1">
        <v>608</v>
      </c>
      <c r="B531" s="1" t="s">
        <v>6638</v>
      </c>
      <c r="C531" s="1" t="s">
        <v>6640</v>
      </c>
      <c r="D531" s="1" t="s">
        <v>6641</v>
      </c>
      <c r="E531" s="1" t="s">
        <v>6642</v>
      </c>
      <c r="F531" s="1" t="s">
        <v>42</v>
      </c>
      <c r="G531" s="1" t="s">
        <v>5552</v>
      </c>
      <c r="H531" s="1" t="s">
        <v>6649</v>
      </c>
      <c r="I531" s="1" t="s">
        <v>1507</v>
      </c>
      <c r="J531" s="1" t="s">
        <v>6650</v>
      </c>
      <c r="K531" s="1">
        <v>2023</v>
      </c>
      <c r="L531" s="1" t="s">
        <v>6660</v>
      </c>
      <c r="M531" s="1" t="str">
        <f>HYPERLINK("http://dx.doi.org/10.1109/COMPSAC57700.2023.00275","http://dx.doi.org/10.1109/COMPSAC57700.2023.00275")</f>
        <v>http://dx.doi.org/10.1109/COMPSAC57700.2023.00275</v>
      </c>
    </row>
    <row r="532" spans="1:13" x14ac:dyDescent="0.25">
      <c r="A532" s="1">
        <v>609</v>
      </c>
      <c r="B532" s="1" t="s">
        <v>10223</v>
      </c>
      <c r="C532" s="1" t="s">
        <v>10224</v>
      </c>
      <c r="D532" s="1" t="s">
        <v>10225</v>
      </c>
      <c r="E532" s="1" t="s">
        <v>10226</v>
      </c>
      <c r="F532" s="1" t="s">
        <v>42</v>
      </c>
      <c r="G532" s="1" t="s">
        <v>56</v>
      </c>
      <c r="H532" s="1" t="s">
        <v>1507</v>
      </c>
      <c r="I532" s="1" t="s">
        <v>10227</v>
      </c>
      <c r="J532" s="1" t="s">
        <v>10228</v>
      </c>
      <c r="K532" s="1">
        <v>2020</v>
      </c>
      <c r="L532" s="1" t="s">
        <v>10242</v>
      </c>
      <c r="M532" s="1" t="str">
        <f>HYPERLINK("http://dx.doi.org/10.1155/2020/7605140","http://dx.doi.org/10.1155/2020/7605140")</f>
        <v>http://dx.doi.org/10.1155/2020/7605140</v>
      </c>
    </row>
    <row r="533" spans="1:13" x14ac:dyDescent="0.25">
      <c r="A533" s="1">
        <v>611</v>
      </c>
      <c r="B533" s="1" t="s">
        <v>3435</v>
      </c>
      <c r="C533" s="1" t="s">
        <v>3436</v>
      </c>
      <c r="D533" s="1" t="s">
        <v>3437</v>
      </c>
      <c r="E533" s="1" t="s">
        <v>3438</v>
      </c>
      <c r="F533" s="1" t="s">
        <v>42</v>
      </c>
      <c r="G533" s="1" t="s">
        <v>56</v>
      </c>
      <c r="H533" s="1" t="s">
        <v>1507</v>
      </c>
      <c r="I533" s="1" t="s">
        <v>1507</v>
      </c>
      <c r="J533" s="1" t="s">
        <v>3439</v>
      </c>
      <c r="K533" s="1">
        <v>2023</v>
      </c>
      <c r="L533" s="1" t="s">
        <v>3449</v>
      </c>
      <c r="M533" s="1" t="str">
        <f>HYPERLINK("http://dx.doi.org/10.1038/s41541-023-00745-4","http://dx.doi.org/10.1038/s41541-023-00745-4")</f>
        <v>http://dx.doi.org/10.1038/s41541-023-00745-4</v>
      </c>
    </row>
    <row r="534" spans="1:13" x14ac:dyDescent="0.25">
      <c r="A534" s="1">
        <v>612</v>
      </c>
      <c r="B534" s="1" t="s">
        <v>15528</v>
      </c>
      <c r="C534" s="1" t="s">
        <v>15529</v>
      </c>
      <c r="D534" s="1" t="s">
        <v>15530</v>
      </c>
      <c r="E534" s="1" t="s">
        <v>14946</v>
      </c>
      <c r="F534" s="1" t="s">
        <v>42</v>
      </c>
      <c r="G534" s="1" t="s">
        <v>5552</v>
      </c>
      <c r="H534" s="1" t="s">
        <v>15531</v>
      </c>
      <c r="I534" s="1" t="s">
        <v>1507</v>
      </c>
      <c r="J534" s="1" t="s">
        <v>15532</v>
      </c>
      <c r="K534" s="1">
        <v>2023</v>
      </c>
      <c r="L534" s="1" t="s">
        <v>15540</v>
      </c>
      <c r="M534" s="1" t="str">
        <f>HYPERLINK("http://dx.doi.org/10.1145/3580305.3599850","http://dx.doi.org/10.1145/3580305.3599850")</f>
        <v>http://dx.doi.org/10.1145/3580305.3599850</v>
      </c>
    </row>
    <row r="535" spans="1:13" x14ac:dyDescent="0.25">
      <c r="A535" s="1">
        <v>613</v>
      </c>
      <c r="B535" s="1" t="s">
        <v>4061</v>
      </c>
      <c r="C535" s="1" t="s">
        <v>4062</v>
      </c>
      <c r="D535" s="1" t="s">
        <v>4063</v>
      </c>
      <c r="E535" s="1" t="s">
        <v>4064</v>
      </c>
      <c r="F535" s="1" t="s">
        <v>42</v>
      </c>
      <c r="G535" s="1" t="s">
        <v>56</v>
      </c>
      <c r="H535" s="1" t="s">
        <v>4065</v>
      </c>
      <c r="I535" s="1" t="s">
        <v>4066</v>
      </c>
      <c r="J535" s="1" t="s">
        <v>4067</v>
      </c>
      <c r="K535" s="1">
        <v>2023</v>
      </c>
      <c r="L535" s="1" t="s">
        <v>4079</v>
      </c>
      <c r="M535" s="1" t="str">
        <f>HYPERLINK("http://dx.doi.org/10.1016/j.autcon.2023.105067","http://dx.doi.org/10.1016/j.autcon.2023.105067")</f>
        <v>http://dx.doi.org/10.1016/j.autcon.2023.105067</v>
      </c>
    </row>
    <row r="536" spans="1:13" x14ac:dyDescent="0.25">
      <c r="A536" s="1">
        <v>614</v>
      </c>
      <c r="B536" s="1" t="s">
        <v>3919</v>
      </c>
      <c r="C536" s="1" t="s">
        <v>3920</v>
      </c>
      <c r="D536" s="1" t="s">
        <v>3921</v>
      </c>
      <c r="E536" s="1" t="s">
        <v>3922</v>
      </c>
      <c r="F536" s="1" t="s">
        <v>42</v>
      </c>
      <c r="G536" s="1" t="s">
        <v>56</v>
      </c>
      <c r="H536" s="1" t="s">
        <v>1507</v>
      </c>
      <c r="I536" s="1" t="s">
        <v>3923</v>
      </c>
      <c r="J536" s="1" t="s">
        <v>3924</v>
      </c>
      <c r="K536" s="1">
        <v>2023</v>
      </c>
      <c r="L536" s="1" t="s">
        <v>3937</v>
      </c>
      <c r="M536" s="1" t="str">
        <f>HYPERLINK("http://dx.doi.org/10.1126/sciadv.adg3469","http://dx.doi.org/10.1126/sciadv.adg3469")</f>
        <v>http://dx.doi.org/10.1126/sciadv.adg3469</v>
      </c>
    </row>
    <row r="537" spans="1:13" x14ac:dyDescent="0.25">
      <c r="A537" s="1">
        <v>615</v>
      </c>
      <c r="B537" s="1" t="s">
        <v>7473</v>
      </c>
      <c r="C537" s="1" t="s">
        <v>7474</v>
      </c>
      <c r="D537" s="1" t="s">
        <v>7475</v>
      </c>
      <c r="E537" s="1" t="s">
        <v>7141</v>
      </c>
      <c r="F537" s="1" t="s">
        <v>42</v>
      </c>
      <c r="G537" s="1" t="s">
        <v>56</v>
      </c>
      <c r="H537" s="1" t="s">
        <v>7476</v>
      </c>
      <c r="I537" s="1" t="s">
        <v>1507</v>
      </c>
      <c r="J537" s="1" t="s">
        <v>7477</v>
      </c>
      <c r="K537" s="1">
        <v>2022</v>
      </c>
      <c r="L537" s="1" t="s">
        <v>7482</v>
      </c>
      <c r="M537" s="1" t="str">
        <f>HYPERLINK("http://dx.doi.org/10.1016/j.scitotenv.2022.153687","http://dx.doi.org/10.1016/j.scitotenv.2022.153687")</f>
        <v>http://dx.doi.org/10.1016/j.scitotenv.2022.153687</v>
      </c>
    </row>
    <row r="538" spans="1:13" x14ac:dyDescent="0.25">
      <c r="A538" s="1">
        <v>616</v>
      </c>
      <c r="B538" s="1" t="s">
        <v>7138</v>
      </c>
      <c r="C538" s="1" t="s">
        <v>7139</v>
      </c>
      <c r="D538" s="1" t="s">
        <v>7140</v>
      </c>
      <c r="E538" s="1" t="s">
        <v>7141</v>
      </c>
      <c r="F538" s="1" t="s">
        <v>42</v>
      </c>
      <c r="G538" s="1" t="s">
        <v>56</v>
      </c>
      <c r="H538" s="1" t="s">
        <v>7142</v>
      </c>
      <c r="I538" s="1" t="s">
        <v>7143</v>
      </c>
      <c r="J538" s="1" t="s">
        <v>7144</v>
      </c>
      <c r="K538" s="1">
        <v>2022</v>
      </c>
      <c r="L538" s="1" t="s">
        <v>7155</v>
      </c>
      <c r="M538" s="1" t="str">
        <f>HYPERLINK("http://dx.doi.org/10.1016/j.scitotenv.2022.157121","http://dx.doi.org/10.1016/j.scitotenv.2022.157121")</f>
        <v>http://dx.doi.org/10.1016/j.scitotenv.2022.157121</v>
      </c>
    </row>
    <row r="539" spans="1:13" x14ac:dyDescent="0.25">
      <c r="A539" s="1">
        <v>617</v>
      </c>
      <c r="B539" s="1" t="s">
        <v>3710</v>
      </c>
      <c r="C539" s="1" t="s">
        <v>3711</v>
      </c>
      <c r="D539" s="1" t="s">
        <v>3712</v>
      </c>
      <c r="E539" s="1" t="s">
        <v>3713</v>
      </c>
      <c r="F539" s="1" t="s">
        <v>42</v>
      </c>
      <c r="G539" s="1" t="s">
        <v>56</v>
      </c>
      <c r="H539" s="1" t="s">
        <v>3714</v>
      </c>
      <c r="I539" s="1" t="s">
        <v>1507</v>
      </c>
      <c r="J539" s="1" t="s">
        <v>3715</v>
      </c>
      <c r="K539" s="1">
        <v>2023</v>
      </c>
      <c r="L539" s="1" t="s">
        <v>3727</v>
      </c>
      <c r="M539" s="1" t="str">
        <f>HYPERLINK("http://dx.doi.org/10.1016/j.watres.2023.120594","http://dx.doi.org/10.1016/j.watres.2023.120594")</f>
        <v>http://dx.doi.org/10.1016/j.watres.2023.120594</v>
      </c>
    </row>
    <row r="540" spans="1:13" x14ac:dyDescent="0.25">
      <c r="A540" s="1">
        <v>618</v>
      </c>
      <c r="B540" s="1" t="s">
        <v>8211</v>
      </c>
      <c r="C540" s="1" t="s">
        <v>8212</v>
      </c>
      <c r="D540" s="1" t="s">
        <v>8213</v>
      </c>
      <c r="E540" s="1" t="s">
        <v>8214</v>
      </c>
      <c r="F540" s="1" t="s">
        <v>42</v>
      </c>
      <c r="G540" s="1" t="s">
        <v>56</v>
      </c>
      <c r="H540" s="1" t="s">
        <v>8215</v>
      </c>
      <c r="I540" s="1" t="s">
        <v>8216</v>
      </c>
      <c r="J540" s="1" t="s">
        <v>8217</v>
      </c>
      <c r="K540" s="1">
        <v>2021</v>
      </c>
      <c r="L540" s="1" t="s">
        <v>8231</v>
      </c>
      <c r="M540" s="1" t="str">
        <f>HYPERLINK("http://dx.doi.org/10.1093/pcp/pcab125","http://dx.doi.org/10.1093/pcp/pcab125")</f>
        <v>http://dx.doi.org/10.1093/pcp/pcab125</v>
      </c>
    </row>
    <row r="541" spans="1:13" x14ac:dyDescent="0.25">
      <c r="A541" s="1">
        <v>619</v>
      </c>
      <c r="B541" s="1" t="s">
        <v>4239</v>
      </c>
      <c r="C541" s="1" t="s">
        <v>4240</v>
      </c>
      <c r="D541" s="1" t="s">
        <v>4241</v>
      </c>
      <c r="E541" s="1" t="s">
        <v>4242</v>
      </c>
      <c r="F541" s="1" t="s">
        <v>42</v>
      </c>
      <c r="G541" s="1" t="s">
        <v>56</v>
      </c>
      <c r="H541" s="1" t="s">
        <v>1507</v>
      </c>
      <c r="I541" s="1" t="s">
        <v>4243</v>
      </c>
      <c r="J541" s="1" t="s">
        <v>4244</v>
      </c>
      <c r="K541" s="1">
        <v>2023</v>
      </c>
      <c r="L541" s="1" t="s">
        <v>4255</v>
      </c>
      <c r="M541" s="1" t="str">
        <f>HYPERLINK("http://dx.doi.org/10.1021/jacs.3c05819","http://dx.doi.org/10.1021/jacs.3c05819")</f>
        <v>http://dx.doi.org/10.1021/jacs.3c05819</v>
      </c>
    </row>
    <row r="542" spans="1:13" x14ac:dyDescent="0.25">
      <c r="A542" s="1">
        <v>620</v>
      </c>
      <c r="B542" s="1" t="s">
        <v>2617</v>
      </c>
      <c r="C542" s="1" t="s">
        <v>2618</v>
      </c>
      <c r="D542" s="1" t="s">
        <v>2619</v>
      </c>
      <c r="E542" s="1" t="s">
        <v>2620</v>
      </c>
      <c r="F542" s="1" t="s">
        <v>42</v>
      </c>
      <c r="G542" s="1" t="s">
        <v>56</v>
      </c>
      <c r="H542" s="1" t="s">
        <v>1507</v>
      </c>
      <c r="I542" s="1" t="s">
        <v>2621</v>
      </c>
      <c r="J542" s="1" t="s">
        <v>2622</v>
      </c>
      <c r="K542" s="1">
        <v>2023</v>
      </c>
      <c r="L542" s="1" t="s">
        <v>2633</v>
      </c>
      <c r="M542" s="1" t="str">
        <f>HYPERLINK("http://dx.doi.org/10.1021/acscentsci.3c01087","http://dx.doi.org/10.1021/acscentsci.3c01087")</f>
        <v>http://dx.doi.org/10.1021/acscentsci.3c01087</v>
      </c>
    </row>
    <row r="543" spans="1:13" x14ac:dyDescent="0.25">
      <c r="A543" s="1">
        <v>621</v>
      </c>
      <c r="B543" s="1" t="s">
        <v>5313</v>
      </c>
      <c r="C543" s="1" t="s">
        <v>5314</v>
      </c>
      <c r="D543" s="1" t="s">
        <v>5315</v>
      </c>
      <c r="E543" s="1" t="s">
        <v>5316</v>
      </c>
      <c r="F543" s="1" t="s">
        <v>42</v>
      </c>
      <c r="G543" s="1" t="s">
        <v>56</v>
      </c>
      <c r="H543" s="1" t="s">
        <v>5317</v>
      </c>
      <c r="I543" s="1" t="s">
        <v>5318</v>
      </c>
      <c r="J543" s="1" t="s">
        <v>5319</v>
      </c>
      <c r="K543" s="1">
        <v>2023</v>
      </c>
      <c r="L543" s="1" t="s">
        <v>5331</v>
      </c>
      <c r="M543" s="1" t="str">
        <f>HYPERLINK("http://dx.doi.org/10.1007/s11694-023-01873-0","http://dx.doi.org/10.1007/s11694-023-01873-0")</f>
        <v>http://dx.doi.org/10.1007/s11694-023-01873-0</v>
      </c>
    </row>
    <row r="544" spans="1:13" x14ac:dyDescent="0.25">
      <c r="A544" s="1">
        <v>623</v>
      </c>
      <c r="B544" s="1" t="s">
        <v>6664</v>
      </c>
      <c r="C544" s="1" t="s">
        <v>6665</v>
      </c>
      <c r="D544" s="1" t="s">
        <v>6666</v>
      </c>
      <c r="E544" s="1" t="s">
        <v>6170</v>
      </c>
      <c r="F544" s="1" t="s">
        <v>42</v>
      </c>
      <c r="G544" s="1" t="s">
        <v>5552</v>
      </c>
      <c r="H544" s="1" t="s">
        <v>6667</v>
      </c>
      <c r="I544" s="1" t="s">
        <v>1507</v>
      </c>
      <c r="J544" s="1" t="s">
        <v>6668</v>
      </c>
      <c r="K544" s="1">
        <v>2023</v>
      </c>
      <c r="L544" s="1" t="s">
        <v>6672</v>
      </c>
      <c r="M544" s="1" t="str">
        <f>HYPERLINK("http://dx.doi.org/10.1145/3626111.3628212","http://dx.doi.org/10.1145/3626111.3628212")</f>
        <v>http://dx.doi.org/10.1145/3626111.3628212</v>
      </c>
    </row>
    <row r="545" spans="1:13" x14ac:dyDescent="0.25">
      <c r="A545" s="1">
        <v>624</v>
      </c>
      <c r="B545" s="1" t="s">
        <v>8444</v>
      </c>
      <c r="C545" s="1" t="s">
        <v>8445</v>
      </c>
      <c r="D545" s="1" t="s">
        <v>8446</v>
      </c>
      <c r="E545" s="1" t="s">
        <v>3251</v>
      </c>
      <c r="F545" s="1" t="s">
        <v>42</v>
      </c>
      <c r="G545" s="1" t="s">
        <v>56</v>
      </c>
      <c r="H545" s="1" t="s">
        <v>8447</v>
      </c>
      <c r="I545" s="1" t="s">
        <v>8448</v>
      </c>
      <c r="J545" s="1" t="s">
        <v>8449</v>
      </c>
      <c r="K545" s="1">
        <v>2021</v>
      </c>
      <c r="L545" s="1" t="s">
        <v>8458</v>
      </c>
      <c r="M545" s="1" t="str">
        <f>HYPERLINK("http://dx.doi.org/10.1073/pnas.2103984118","http://dx.doi.org/10.1073/pnas.2103984118")</f>
        <v>http://dx.doi.org/10.1073/pnas.2103984118</v>
      </c>
    </row>
    <row r="546" spans="1:13" x14ac:dyDescent="0.25">
      <c r="A546" s="1">
        <v>625</v>
      </c>
      <c r="B546" s="1" t="s">
        <v>9316</v>
      </c>
      <c r="C546" s="1" t="s">
        <v>9317</v>
      </c>
      <c r="D546" s="1" t="s">
        <v>9318</v>
      </c>
      <c r="E546" s="1" t="s">
        <v>7697</v>
      </c>
      <c r="F546" s="1" t="s">
        <v>42</v>
      </c>
      <c r="G546" s="1" t="s">
        <v>56</v>
      </c>
      <c r="H546" s="1" t="s">
        <v>1507</v>
      </c>
      <c r="I546" s="1" t="s">
        <v>1507</v>
      </c>
      <c r="J546" s="1" t="s">
        <v>9319</v>
      </c>
      <c r="K546" s="1">
        <v>2021</v>
      </c>
      <c r="L546" s="1" t="s">
        <v>1507</v>
      </c>
      <c r="M546" s="1" t="s">
        <v>1507</v>
      </c>
    </row>
    <row r="547" spans="1:13" x14ac:dyDescent="0.25">
      <c r="A547" s="1">
        <v>626</v>
      </c>
      <c r="B547" s="1" t="s">
        <v>6674</v>
      </c>
      <c r="C547" s="1" t="s">
        <v>6675</v>
      </c>
      <c r="D547" s="1" t="s">
        <v>6676</v>
      </c>
      <c r="E547" s="1" t="s">
        <v>6677</v>
      </c>
      <c r="F547" s="1" t="s">
        <v>42</v>
      </c>
      <c r="G547" s="1" t="s">
        <v>5552</v>
      </c>
      <c r="H547" s="1" t="s">
        <v>6681</v>
      </c>
      <c r="I547" s="1" t="s">
        <v>1507</v>
      </c>
      <c r="J547" s="1" t="s">
        <v>6682</v>
      </c>
      <c r="K547" s="1">
        <v>2023</v>
      </c>
      <c r="L547" s="1" t="s">
        <v>6691</v>
      </c>
      <c r="M547" s="1" t="str">
        <f>HYPERLINK("http://dx.doi.org/10.1145/3586182.3625121","http://dx.doi.org/10.1145/3586182.3625121")</f>
        <v>http://dx.doi.org/10.1145/3586182.3625121</v>
      </c>
    </row>
    <row r="548" spans="1:13" x14ac:dyDescent="0.25">
      <c r="A548" s="1">
        <v>627</v>
      </c>
      <c r="B548" s="1" t="s">
        <v>11507</v>
      </c>
      <c r="C548" s="1" t="s">
        <v>11509</v>
      </c>
      <c r="D548" s="1" t="s">
        <v>11510</v>
      </c>
      <c r="E548" s="1" t="s">
        <v>11511</v>
      </c>
      <c r="F548" s="1" t="s">
        <v>42</v>
      </c>
      <c r="G548" s="1" t="s">
        <v>5552</v>
      </c>
      <c r="H548" s="1" t="s">
        <v>11517</v>
      </c>
      <c r="I548" s="1" t="s">
        <v>11518</v>
      </c>
      <c r="J548" s="1" t="s">
        <v>11519</v>
      </c>
      <c r="K548" s="1">
        <v>2019</v>
      </c>
      <c r="L548" s="1" t="s">
        <v>11532</v>
      </c>
      <c r="M548" s="1" t="str">
        <f>HYPERLINK("http://dx.doi.org/10.1007/978-3-030-11935-5_28","http://dx.doi.org/10.1007/978-3-030-11935-5_28")</f>
        <v>http://dx.doi.org/10.1007/978-3-030-11935-5_28</v>
      </c>
    </row>
    <row r="549" spans="1:13" x14ac:dyDescent="0.25">
      <c r="A549" s="1">
        <v>628</v>
      </c>
      <c r="B549" s="1" t="s">
        <v>1733</v>
      </c>
      <c r="C549" s="1" t="s">
        <v>1734</v>
      </c>
      <c r="D549" s="1" t="s">
        <v>1735</v>
      </c>
      <c r="E549" s="1" t="s">
        <v>1736</v>
      </c>
      <c r="F549" s="1" t="s">
        <v>42</v>
      </c>
      <c r="G549" s="1" t="s">
        <v>1509</v>
      </c>
      <c r="H549" s="1" t="s">
        <v>1737</v>
      </c>
      <c r="I549" s="1" t="s">
        <v>1507</v>
      </c>
      <c r="J549" s="1" t="s">
        <v>1738</v>
      </c>
      <c r="K549" s="1">
        <v>2023</v>
      </c>
      <c r="L549" s="1" t="s">
        <v>1753</v>
      </c>
      <c r="M549" s="1" t="str">
        <f>HYPERLINK("http://dx.doi.org/10.1080/10447318.2023.2295725","http://dx.doi.org/10.1080/10447318.2023.2295725")</f>
        <v>http://dx.doi.org/10.1080/10447318.2023.2295725</v>
      </c>
    </row>
    <row r="550" spans="1:13" x14ac:dyDescent="0.25">
      <c r="A550" s="1">
        <v>629</v>
      </c>
      <c r="B550" s="1" t="s">
        <v>6756</v>
      </c>
      <c r="C550" s="1" t="s">
        <v>6757</v>
      </c>
      <c r="D550" s="1" t="s">
        <v>6758</v>
      </c>
      <c r="E550" s="1" t="s">
        <v>6759</v>
      </c>
      <c r="F550" s="1" t="s">
        <v>42</v>
      </c>
      <c r="G550" s="1" t="s">
        <v>56</v>
      </c>
      <c r="H550" s="1" t="s">
        <v>6760</v>
      </c>
      <c r="I550" s="1" t="s">
        <v>6761</v>
      </c>
      <c r="J550" s="1" t="s">
        <v>6762</v>
      </c>
      <c r="K550" s="1">
        <v>2022</v>
      </c>
      <c r="L550" s="1" t="s">
        <v>6776</v>
      </c>
      <c r="M550" s="1" t="str">
        <f>HYPERLINK("http://dx.doi.org/10.1088/2058-6272/aca00a","http://dx.doi.org/10.1088/2058-6272/aca00a")</f>
        <v>http://dx.doi.org/10.1088/2058-6272/aca00a</v>
      </c>
    </row>
  </sheetData>
  <autoFilter ref="A1:M1" xr:uid="{AD023E8B-FAA9-47FF-BDA1-9D70E2FD2E8D}">
    <sortState xmlns:xlrd2="http://schemas.microsoft.com/office/spreadsheetml/2017/richdata2" ref="A2:M550">
      <sortCondition ref="A1"/>
    </sortState>
  </autoFilter>
  <pageMargins left="0.75" right="0.75" top="1" bottom="1" header="0.5" footer="0.5"/>
  <pageSetup orientation="portrait" horizontalDpi="300"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861F2-DD74-439C-A719-81C2E8B70792}">
  <dimension ref="A1:BZ1048576"/>
  <sheetViews>
    <sheetView topLeftCell="A687" workbookViewId="0">
      <selection sqref="A1:XFD1"/>
    </sheetView>
  </sheetViews>
  <sheetFormatPr baseColWidth="10" defaultRowHeight="14.4" x14ac:dyDescent="0.3"/>
  <cols>
    <col min="1" max="1" width="7.33203125" style="8" customWidth="1"/>
    <col min="2" max="2" width="4.88671875" customWidth="1"/>
    <col min="12" max="12" width="30.109375" customWidth="1"/>
    <col min="16" max="16" width="22.21875" customWidth="1"/>
  </cols>
  <sheetData>
    <row r="1" spans="1:78" s="6" customFormat="1" x14ac:dyDescent="0.3">
      <c r="A1" s="8" t="s">
        <v>16066</v>
      </c>
      <c r="B1" t="s">
        <v>13738</v>
      </c>
      <c r="C1" t="s">
        <v>16064</v>
      </c>
      <c r="D1" t="s">
        <v>0</v>
      </c>
      <c r="E1" t="s">
        <v>2</v>
      </c>
      <c r="F1" t="s">
        <v>3</v>
      </c>
      <c r="G1" t="s">
        <v>4</v>
      </c>
      <c r="H1" t="s">
        <v>12</v>
      </c>
      <c r="I1" t="s">
        <v>16</v>
      </c>
      <c r="J1" t="s">
        <v>17</v>
      </c>
      <c r="K1" t="s">
        <v>26</v>
      </c>
      <c r="L1" t="s">
        <v>28</v>
      </c>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row>
    <row r="2" spans="1:78" x14ac:dyDescent="0.3">
      <c r="A2" s="8">
        <v>1</v>
      </c>
      <c r="B2" s="1">
        <v>1</v>
      </c>
      <c r="C2" t="s">
        <v>12118</v>
      </c>
      <c r="D2" s="1" t="s">
        <v>5519</v>
      </c>
      <c r="E2" s="1" t="s">
        <v>5521</v>
      </c>
      <c r="F2" s="1">
        <v>2023</v>
      </c>
      <c r="G2" s="1" t="s">
        <v>5522</v>
      </c>
      <c r="H2" s="1" t="str">
        <f>HYPERLINK("http://dx.doi.org/10.1590/0034-7167-2022-0366","http://dx.doi.org/10.1590/0034-7167-2022-0366")</f>
        <v>http://dx.doi.org/10.1590/0034-7167-2022-0366</v>
      </c>
      <c r="I2" s="1" t="s">
        <v>5525</v>
      </c>
      <c r="J2" s="1" t="s">
        <v>5523</v>
      </c>
      <c r="K2" s="1" t="s">
        <v>42</v>
      </c>
      <c r="L2" s="1" t="s">
        <v>56</v>
      </c>
    </row>
    <row r="3" spans="1:78" x14ac:dyDescent="0.3">
      <c r="A3" s="8">
        <v>2</v>
      </c>
      <c r="B3" s="1">
        <v>2</v>
      </c>
      <c r="C3" t="s">
        <v>12118</v>
      </c>
      <c r="D3" s="1" t="s">
        <v>14164</v>
      </c>
      <c r="E3" s="1" t="s">
        <v>14166</v>
      </c>
      <c r="F3" s="1">
        <v>2023</v>
      </c>
      <c r="G3" s="1" t="s">
        <v>3251</v>
      </c>
      <c r="H3" s="1" t="str">
        <f>HYPERLINK("http://dx.doi.org/10.1073/pnas.2313790120","http://dx.doi.org/10.1073/pnas.2313790120")</f>
        <v>http://dx.doi.org/10.1073/pnas.2313790120</v>
      </c>
      <c r="I3" s="1" t="s">
        <v>14169</v>
      </c>
      <c r="J3" s="1" t="s">
        <v>14167</v>
      </c>
      <c r="K3" s="1" t="s">
        <v>42</v>
      </c>
      <c r="L3" s="1" t="s">
        <v>56</v>
      </c>
    </row>
    <row r="4" spans="1:78" x14ac:dyDescent="0.3">
      <c r="A4" s="8">
        <v>3</v>
      </c>
      <c r="B4" s="1">
        <v>3</v>
      </c>
      <c r="C4" t="s">
        <v>12118</v>
      </c>
      <c r="D4" s="1" t="s">
        <v>11225</v>
      </c>
      <c r="E4" s="1" t="s">
        <v>11227</v>
      </c>
      <c r="F4" s="1">
        <v>2019</v>
      </c>
      <c r="G4" s="1" t="s">
        <v>11228</v>
      </c>
      <c r="H4" s="1" t="s">
        <v>1507</v>
      </c>
      <c r="I4" s="1" t="s">
        <v>11229</v>
      </c>
      <c r="J4" s="1" t="s">
        <v>1507</v>
      </c>
      <c r="K4" s="1" t="s">
        <v>42</v>
      </c>
      <c r="L4" s="1" t="s">
        <v>56</v>
      </c>
    </row>
    <row r="5" spans="1:78" x14ac:dyDescent="0.3">
      <c r="A5" s="8">
        <v>4</v>
      </c>
      <c r="B5" s="1">
        <v>4</v>
      </c>
      <c r="C5" t="s">
        <v>12118</v>
      </c>
      <c r="D5" s="1" t="s">
        <v>1866</v>
      </c>
      <c r="E5" s="1" t="s">
        <v>1868</v>
      </c>
      <c r="F5" s="1">
        <v>2023</v>
      </c>
      <c r="G5" s="1" t="s">
        <v>1869</v>
      </c>
      <c r="H5" s="1" t="str">
        <f>HYPERLINK("http://dx.doi.org/10.1038/s41540-023-00324-2","http://dx.doi.org/10.1038/s41540-023-00324-2")</f>
        <v>http://dx.doi.org/10.1038/s41540-023-00324-2</v>
      </c>
      <c r="I5" s="1" t="s">
        <v>1870</v>
      </c>
      <c r="J5" s="1" t="s">
        <v>1507</v>
      </c>
      <c r="K5" s="1" t="s">
        <v>42</v>
      </c>
      <c r="L5" s="1" t="s">
        <v>56</v>
      </c>
    </row>
    <row r="6" spans="1:78" x14ac:dyDescent="0.3">
      <c r="A6" s="8">
        <v>5</v>
      </c>
      <c r="B6" s="1">
        <v>5</v>
      </c>
      <c r="C6" t="s">
        <v>12118</v>
      </c>
      <c r="D6" s="1" t="s">
        <v>5031</v>
      </c>
      <c r="E6" s="1" t="s">
        <v>5033</v>
      </c>
      <c r="F6" s="1">
        <v>2023</v>
      </c>
      <c r="G6" s="1" t="s">
        <v>5034</v>
      </c>
      <c r="H6" s="1" t="str">
        <f>HYPERLINK("http://dx.doi.org/10.3366/ajicl.2023.0441","http://dx.doi.org/10.3366/ajicl.2023.0441")</f>
        <v>http://dx.doi.org/10.3366/ajicl.2023.0441</v>
      </c>
      <c r="I6" s="1" t="s">
        <v>1507</v>
      </c>
      <c r="J6" s="1" t="s">
        <v>1507</v>
      </c>
      <c r="K6" s="1" t="s">
        <v>42</v>
      </c>
      <c r="L6" s="1" t="s">
        <v>56</v>
      </c>
    </row>
    <row r="7" spans="1:78" x14ac:dyDescent="0.3">
      <c r="A7" s="8">
        <v>6</v>
      </c>
      <c r="B7">
        <v>10</v>
      </c>
      <c r="C7" t="s">
        <v>12204</v>
      </c>
      <c r="D7" t="s">
        <v>12897</v>
      </c>
      <c r="E7" t="s">
        <v>382</v>
      </c>
      <c r="F7">
        <v>2023</v>
      </c>
      <c r="G7" t="s">
        <v>383</v>
      </c>
      <c r="I7" t="s">
        <v>386</v>
      </c>
      <c r="J7" t="s">
        <v>387</v>
      </c>
      <c r="K7" t="s">
        <v>42</v>
      </c>
      <c r="L7" t="s">
        <v>12252</v>
      </c>
    </row>
    <row r="8" spans="1:78" x14ac:dyDescent="0.3">
      <c r="A8" s="8">
        <v>7</v>
      </c>
      <c r="B8" s="1">
        <v>7</v>
      </c>
      <c r="C8" t="s">
        <v>12118</v>
      </c>
      <c r="D8" s="1" t="s">
        <v>4611</v>
      </c>
      <c r="E8" s="1" t="s">
        <v>4613</v>
      </c>
      <c r="F8" s="1">
        <v>2023</v>
      </c>
      <c r="G8" s="1" t="s">
        <v>4614</v>
      </c>
      <c r="H8" s="1" t="str">
        <f>HYPERLINK("http://dx.doi.org/10.1007/s12559-023-10165-0","http://dx.doi.org/10.1007/s12559-023-10165-0")</f>
        <v>http://dx.doi.org/10.1007/s12559-023-10165-0</v>
      </c>
      <c r="I8" s="1" t="s">
        <v>4617</v>
      </c>
      <c r="J8" s="1" t="s">
        <v>4615</v>
      </c>
      <c r="K8" s="1" t="s">
        <v>42</v>
      </c>
      <c r="L8" s="1" t="s">
        <v>56</v>
      </c>
    </row>
    <row r="9" spans="1:78" x14ac:dyDescent="0.3">
      <c r="A9" s="8">
        <v>8</v>
      </c>
      <c r="B9" s="1">
        <v>8</v>
      </c>
      <c r="C9" t="s">
        <v>12118</v>
      </c>
      <c r="D9" s="1" t="s">
        <v>5547</v>
      </c>
      <c r="E9" s="1" t="s">
        <v>5550</v>
      </c>
      <c r="F9" s="1">
        <v>2023</v>
      </c>
      <c r="G9" s="1" t="s">
        <v>5551</v>
      </c>
      <c r="H9" s="1" t="str">
        <f>HYPERLINK("http://dx.doi.org/10.1145/3593434.3593468","http://dx.doi.org/10.1145/3593434.3593468")</f>
        <v>http://dx.doi.org/10.1145/3593434.3593468</v>
      </c>
      <c r="I9" s="1" t="s">
        <v>5557</v>
      </c>
      <c r="J9" s="1" t="s">
        <v>5556</v>
      </c>
      <c r="K9" s="1" t="s">
        <v>42</v>
      </c>
      <c r="L9" s="1" t="s">
        <v>5552</v>
      </c>
    </row>
    <row r="10" spans="1:78" x14ac:dyDescent="0.3">
      <c r="A10" s="8">
        <v>9</v>
      </c>
      <c r="B10" s="1">
        <v>9</v>
      </c>
      <c r="C10" t="s">
        <v>12118</v>
      </c>
      <c r="D10" s="1" t="s">
        <v>7626</v>
      </c>
      <c r="E10" s="1" t="s">
        <v>7628</v>
      </c>
      <c r="F10" s="1">
        <v>2022</v>
      </c>
      <c r="G10" s="1" t="s">
        <v>7629</v>
      </c>
      <c r="H10" s="1" t="str">
        <f>HYPERLINK("http://dx.doi.org/10.1007/s40808-021-01292-4","http://dx.doi.org/10.1007/s40808-021-01292-4")</f>
        <v>http://dx.doi.org/10.1007/s40808-021-01292-4</v>
      </c>
      <c r="I10" s="1" t="s">
        <v>7632</v>
      </c>
      <c r="J10" s="1" t="s">
        <v>7630</v>
      </c>
      <c r="K10" s="1" t="s">
        <v>42</v>
      </c>
      <c r="L10" s="1" t="s">
        <v>56</v>
      </c>
    </row>
    <row r="11" spans="1:78" x14ac:dyDescent="0.3">
      <c r="A11" s="8">
        <v>10</v>
      </c>
      <c r="B11" s="1">
        <v>10</v>
      </c>
      <c r="C11" t="s">
        <v>12118</v>
      </c>
      <c r="D11" s="1" t="s">
        <v>7510</v>
      </c>
      <c r="E11" s="1" t="s">
        <v>7512</v>
      </c>
      <c r="F11" s="1">
        <v>2022</v>
      </c>
      <c r="G11" s="1" t="s">
        <v>7513</v>
      </c>
      <c r="H11" s="1" t="str">
        <f>HYPERLINK("http://dx.doi.org/10.1063/5.0082085","http://dx.doi.org/10.1063/5.0082085")</f>
        <v>http://dx.doi.org/10.1063/5.0082085</v>
      </c>
      <c r="I11" s="1" t="s">
        <v>7514</v>
      </c>
      <c r="J11" s="1" t="s">
        <v>1507</v>
      </c>
      <c r="K11" s="1" t="s">
        <v>42</v>
      </c>
      <c r="L11" s="1" t="s">
        <v>56</v>
      </c>
    </row>
    <row r="12" spans="1:78" x14ac:dyDescent="0.3">
      <c r="A12" s="8">
        <v>11</v>
      </c>
      <c r="B12">
        <v>11</v>
      </c>
      <c r="C12" t="s">
        <v>12204</v>
      </c>
      <c r="D12" t="s">
        <v>13462</v>
      </c>
      <c r="E12" t="s">
        <v>415</v>
      </c>
      <c r="F12">
        <v>2023</v>
      </c>
      <c r="G12" t="s">
        <v>416</v>
      </c>
      <c r="H12" t="s">
        <v>417</v>
      </c>
      <c r="I12" t="s">
        <v>419</v>
      </c>
      <c r="J12" t="s">
        <v>420</v>
      </c>
      <c r="K12" t="s">
        <v>42</v>
      </c>
      <c r="L12" t="s">
        <v>56</v>
      </c>
    </row>
    <row r="13" spans="1:78" x14ac:dyDescent="0.3">
      <c r="A13" s="8">
        <v>12</v>
      </c>
      <c r="B13" s="1">
        <v>11</v>
      </c>
      <c r="C13" t="s">
        <v>12118</v>
      </c>
      <c r="D13" s="1" t="s">
        <v>3979</v>
      </c>
      <c r="E13" s="1" t="s">
        <v>3981</v>
      </c>
      <c r="F13" s="1">
        <v>2023</v>
      </c>
      <c r="G13" s="1" t="s">
        <v>3982</v>
      </c>
      <c r="H13" s="1" t="str">
        <f>HYPERLINK("http://dx.doi.org/10.3390/educsci13090885","http://dx.doi.org/10.3390/educsci13090885")</f>
        <v>http://dx.doi.org/10.3390/educsci13090885</v>
      </c>
      <c r="I13" s="1" t="s">
        <v>3983</v>
      </c>
      <c r="J13" s="1" t="s">
        <v>420</v>
      </c>
      <c r="K13" s="1" t="s">
        <v>42</v>
      </c>
      <c r="L13" s="1" t="s">
        <v>56</v>
      </c>
    </row>
    <row r="14" spans="1:78" x14ac:dyDescent="0.3">
      <c r="A14" s="8">
        <v>13</v>
      </c>
      <c r="B14" s="1">
        <v>12</v>
      </c>
      <c r="C14" t="s">
        <v>12118</v>
      </c>
      <c r="D14" s="1" t="s">
        <v>5573</v>
      </c>
      <c r="E14" s="1" t="s">
        <v>5575</v>
      </c>
      <c r="F14" s="1">
        <v>2023</v>
      </c>
      <c r="G14" s="1" t="s">
        <v>5576</v>
      </c>
      <c r="H14" s="1" t="str">
        <f>HYPERLINK("http://dx.doi.org/10.1145/3539618.3591960","http://dx.doi.org/10.1145/3539618.3591960")</f>
        <v>http://dx.doi.org/10.1145/3539618.3591960</v>
      </c>
      <c r="I14" s="1" t="s">
        <v>5582</v>
      </c>
      <c r="J14" s="1" t="s">
        <v>5581</v>
      </c>
      <c r="K14" s="1" t="s">
        <v>42</v>
      </c>
      <c r="L14" s="1" t="s">
        <v>5552</v>
      </c>
    </row>
    <row r="15" spans="1:78" x14ac:dyDescent="0.3">
      <c r="A15" s="8">
        <v>14</v>
      </c>
      <c r="B15" s="1">
        <v>13</v>
      </c>
      <c r="C15" t="s">
        <v>12118</v>
      </c>
      <c r="D15" s="1" t="s">
        <v>5594</v>
      </c>
      <c r="E15" s="1" t="s">
        <v>5596</v>
      </c>
      <c r="F15" s="1">
        <v>2023</v>
      </c>
      <c r="G15" s="1" t="s">
        <v>5576</v>
      </c>
      <c r="H15" s="1" t="str">
        <f>HYPERLINK("http://dx.doi.org/10.1145/3539618.3591913","http://dx.doi.org/10.1145/3539618.3591913")</f>
        <v>http://dx.doi.org/10.1145/3539618.3591913</v>
      </c>
      <c r="I15" s="1" t="s">
        <v>5598</v>
      </c>
      <c r="J15" s="1" t="s">
        <v>5597</v>
      </c>
      <c r="K15" s="1" t="s">
        <v>42</v>
      </c>
      <c r="L15" s="1" t="s">
        <v>5552</v>
      </c>
    </row>
    <row r="16" spans="1:78" x14ac:dyDescent="0.3">
      <c r="A16" s="8">
        <v>15</v>
      </c>
      <c r="B16" s="1">
        <v>14</v>
      </c>
      <c r="C16" t="s">
        <v>12118</v>
      </c>
      <c r="D16" s="1" t="s">
        <v>7646</v>
      </c>
      <c r="E16" s="1" t="s">
        <v>7649</v>
      </c>
      <c r="F16" s="1">
        <v>2022</v>
      </c>
      <c r="G16" s="1" t="s">
        <v>7650</v>
      </c>
      <c r="H16" s="1" t="s">
        <v>1507</v>
      </c>
      <c r="I16" s="1" t="s">
        <v>7655</v>
      </c>
      <c r="J16" s="1" t="s">
        <v>1507</v>
      </c>
      <c r="K16" s="1" t="s">
        <v>42</v>
      </c>
      <c r="L16" s="1" t="s">
        <v>5552</v>
      </c>
    </row>
    <row r="17" spans="1:78" x14ac:dyDescent="0.3">
      <c r="A17" s="8">
        <v>16</v>
      </c>
      <c r="B17" s="1">
        <v>15</v>
      </c>
      <c r="C17" t="s">
        <v>12118</v>
      </c>
      <c r="D17" s="1" t="s">
        <v>11869</v>
      </c>
      <c r="E17" s="1" t="s">
        <v>11872</v>
      </c>
      <c r="F17" s="1">
        <v>2018</v>
      </c>
      <c r="G17" s="1" t="s">
        <v>11873</v>
      </c>
      <c r="H17" s="1" t="s">
        <v>1507</v>
      </c>
      <c r="I17" s="1" t="s">
        <v>1507</v>
      </c>
      <c r="J17" s="1" t="s">
        <v>1507</v>
      </c>
      <c r="K17" s="1" t="s">
        <v>42</v>
      </c>
      <c r="L17" s="1" t="s">
        <v>5888</v>
      </c>
    </row>
    <row r="18" spans="1:78" x14ac:dyDescent="0.3">
      <c r="A18" s="8">
        <v>17</v>
      </c>
      <c r="B18" s="1">
        <v>16</v>
      </c>
      <c r="C18" t="s">
        <v>12118</v>
      </c>
      <c r="D18" s="1" t="s">
        <v>9613</v>
      </c>
      <c r="E18" s="1" t="s">
        <v>9615</v>
      </c>
      <c r="F18" s="1">
        <v>2022</v>
      </c>
      <c r="G18" s="1" t="s">
        <v>9616</v>
      </c>
      <c r="H18" s="1" t="str">
        <f>HYPERLINK("http://dx.doi.org/10.1080/03610926.2020.1811870","http://dx.doi.org/10.1080/03610926.2020.1811870")</f>
        <v>http://dx.doi.org/10.1080/03610926.2020.1811870</v>
      </c>
      <c r="I18" s="1" t="s">
        <v>9619</v>
      </c>
      <c r="J18" s="1" t="s">
        <v>9617</v>
      </c>
      <c r="K18" s="1" t="s">
        <v>42</v>
      </c>
      <c r="L18" s="1" t="s">
        <v>56</v>
      </c>
    </row>
    <row r="19" spans="1:78" x14ac:dyDescent="0.3">
      <c r="A19" s="8">
        <v>18</v>
      </c>
      <c r="B19" s="1">
        <v>17</v>
      </c>
      <c r="C19" t="s">
        <v>12118</v>
      </c>
      <c r="D19" s="1" t="s">
        <v>11025</v>
      </c>
      <c r="E19" s="1" t="s">
        <v>11027</v>
      </c>
      <c r="F19" s="1">
        <v>2020</v>
      </c>
      <c r="G19" s="1" t="s">
        <v>9616</v>
      </c>
      <c r="H19" s="1" t="str">
        <f>HYPERLINK("http://dx.doi.org/10.1080/03610926.2019.1620781","http://dx.doi.org/10.1080/03610926.2019.1620781")</f>
        <v>http://dx.doi.org/10.1080/03610926.2019.1620781</v>
      </c>
      <c r="I19" s="1" t="s">
        <v>11029</v>
      </c>
      <c r="J19" s="1" t="s">
        <v>9617</v>
      </c>
      <c r="K19" s="1" t="s">
        <v>42</v>
      </c>
      <c r="L19" s="1" t="s">
        <v>56</v>
      </c>
    </row>
    <row r="20" spans="1:78" x14ac:dyDescent="0.3">
      <c r="A20" s="8">
        <v>19</v>
      </c>
      <c r="B20" s="1">
        <v>18</v>
      </c>
      <c r="C20" t="s">
        <v>12118</v>
      </c>
      <c r="D20" s="1" t="s">
        <v>8685</v>
      </c>
      <c r="E20" s="1" t="s">
        <v>8687</v>
      </c>
      <c r="F20" s="1">
        <v>2021</v>
      </c>
      <c r="G20" s="1" t="s">
        <v>1609</v>
      </c>
      <c r="H20" s="1" t="str">
        <f>HYPERLINK("http://dx.doi.org/10.3390/math9101102","http://dx.doi.org/10.3390/math9101102")</f>
        <v>http://dx.doi.org/10.3390/math9101102</v>
      </c>
      <c r="I20" s="1" t="s">
        <v>8690</v>
      </c>
      <c r="J20" s="1" t="s">
        <v>8688</v>
      </c>
      <c r="K20" s="1" t="s">
        <v>42</v>
      </c>
      <c r="L20" s="1" t="s">
        <v>56</v>
      </c>
    </row>
    <row r="21" spans="1:78" x14ac:dyDescent="0.3">
      <c r="A21" s="8">
        <v>20</v>
      </c>
      <c r="B21">
        <v>12</v>
      </c>
      <c r="C21" t="s">
        <v>12204</v>
      </c>
      <c r="D21" t="s">
        <v>12635</v>
      </c>
      <c r="E21" t="s">
        <v>1134</v>
      </c>
      <c r="F21">
        <v>2023</v>
      </c>
      <c r="G21" t="s">
        <v>383</v>
      </c>
      <c r="I21" t="s">
        <v>1137</v>
      </c>
      <c r="J21" t="s">
        <v>1138</v>
      </c>
      <c r="K21" t="s">
        <v>42</v>
      </c>
      <c r="L21" t="s">
        <v>12252</v>
      </c>
    </row>
    <row r="22" spans="1:78" x14ac:dyDescent="0.3">
      <c r="A22" s="8">
        <v>21</v>
      </c>
      <c r="B22" s="1">
        <v>19</v>
      </c>
      <c r="C22" t="s">
        <v>12118</v>
      </c>
      <c r="D22" s="1" t="s">
        <v>4393</v>
      </c>
      <c r="E22" s="1" t="s">
        <v>4395</v>
      </c>
      <c r="F22" s="1">
        <v>2023</v>
      </c>
      <c r="G22" s="1" t="s">
        <v>4396</v>
      </c>
      <c r="H22" s="1" t="str">
        <f>HYPERLINK("http://dx.doi.org/10.1016/j.sapharm.2023.05.016","http://dx.doi.org/10.1016/j.sapharm.2023.05.016")</f>
        <v>http://dx.doi.org/10.1016/j.sapharm.2023.05.016</v>
      </c>
      <c r="I22" s="1" t="s">
        <v>4399</v>
      </c>
      <c r="J22" s="1" t="s">
        <v>4397</v>
      </c>
      <c r="K22" s="1" t="s">
        <v>42</v>
      </c>
      <c r="L22" s="1" t="s">
        <v>56</v>
      </c>
    </row>
    <row r="23" spans="1:78" x14ac:dyDescent="0.3">
      <c r="A23" s="8">
        <v>22</v>
      </c>
      <c r="B23">
        <v>14</v>
      </c>
      <c r="C23" t="s">
        <v>12204</v>
      </c>
      <c r="D23" t="s">
        <v>12546</v>
      </c>
      <c r="E23" t="s">
        <v>1005</v>
      </c>
      <c r="F23">
        <v>2023</v>
      </c>
      <c r="G23" t="s">
        <v>1006</v>
      </c>
      <c r="H23" t="s">
        <v>1007</v>
      </c>
      <c r="I23" t="s">
        <v>1010</v>
      </c>
      <c r="J23" t="s">
        <v>1011</v>
      </c>
      <c r="K23" t="s">
        <v>42</v>
      </c>
      <c r="L23" t="s">
        <v>56</v>
      </c>
    </row>
    <row r="24" spans="1:78" x14ac:dyDescent="0.3">
      <c r="A24" s="8">
        <v>23</v>
      </c>
      <c r="B24" s="1">
        <v>20</v>
      </c>
      <c r="C24" t="s">
        <v>12118</v>
      </c>
      <c r="D24" s="1" t="s">
        <v>4692</v>
      </c>
      <c r="E24" s="1" t="s">
        <v>4694</v>
      </c>
      <c r="F24" s="1">
        <v>2023</v>
      </c>
      <c r="G24" s="1" t="s">
        <v>4695</v>
      </c>
      <c r="H24" s="1" t="str">
        <f>HYPERLINK("http://dx.doi.org/10.1002/naaq.10290","http://dx.doi.org/10.1002/naaq.10290")</f>
        <v>http://dx.doi.org/10.1002/naaq.10290</v>
      </c>
      <c r="I24" s="1" t="s">
        <v>4697</v>
      </c>
      <c r="J24" s="1" t="s">
        <v>1507</v>
      </c>
      <c r="K24" s="1" t="s">
        <v>42</v>
      </c>
      <c r="L24" s="1" t="s">
        <v>1509</v>
      </c>
    </row>
    <row r="25" spans="1:78" x14ac:dyDescent="0.3">
      <c r="A25" s="8">
        <v>24</v>
      </c>
      <c r="B25" s="1">
        <v>21</v>
      </c>
      <c r="C25" t="s">
        <v>12118</v>
      </c>
      <c r="D25" s="1" t="s">
        <v>11244</v>
      </c>
      <c r="E25" s="1" t="s">
        <v>11246</v>
      </c>
      <c r="F25" s="1">
        <v>2019</v>
      </c>
      <c r="G25" s="1" t="s">
        <v>11247</v>
      </c>
      <c r="H25" s="1" t="str">
        <f>HYPERLINK("http://dx.doi.org/10.1017/S0020589318000398","http://dx.doi.org/10.1017/S0020589318000398")</f>
        <v>http://dx.doi.org/10.1017/S0020589318000398</v>
      </c>
      <c r="I25" s="1" t="s">
        <v>11249</v>
      </c>
      <c r="J25" s="1" t="s">
        <v>11248</v>
      </c>
      <c r="K25" s="1" t="s">
        <v>42</v>
      </c>
      <c r="L25" s="1" t="s">
        <v>56</v>
      </c>
    </row>
    <row r="26" spans="1:78" x14ac:dyDescent="0.3">
      <c r="A26" s="8">
        <v>25</v>
      </c>
      <c r="B26" s="1">
        <v>22</v>
      </c>
      <c r="C26" t="s">
        <v>12118</v>
      </c>
      <c r="D26" s="1" t="s">
        <v>11264</v>
      </c>
      <c r="E26" s="1" t="s">
        <v>11266</v>
      </c>
      <c r="F26" s="1">
        <v>2019</v>
      </c>
      <c r="G26" s="1" t="s">
        <v>11267</v>
      </c>
      <c r="H26" s="1" t="s">
        <v>1507</v>
      </c>
      <c r="I26" s="1" t="s">
        <v>11269</v>
      </c>
      <c r="J26" s="1" t="s">
        <v>1507</v>
      </c>
      <c r="K26" s="1" t="s">
        <v>42</v>
      </c>
      <c r="L26" s="1" t="s">
        <v>56</v>
      </c>
    </row>
    <row r="27" spans="1:78" x14ac:dyDescent="0.3">
      <c r="A27" s="8">
        <v>26</v>
      </c>
      <c r="B27" s="1">
        <v>23</v>
      </c>
      <c r="C27" t="s">
        <v>12118</v>
      </c>
      <c r="D27" s="1" t="s">
        <v>9345</v>
      </c>
      <c r="E27" s="1" t="s">
        <v>9347</v>
      </c>
      <c r="F27" s="1">
        <v>2021</v>
      </c>
      <c r="G27" s="1" t="s">
        <v>9348</v>
      </c>
      <c r="H27" s="1" t="str">
        <f>HYPERLINK("http://dx.doi.org/10.1007/s10980-020-01161-y","http://dx.doi.org/10.1007/s10980-020-01161-y")</f>
        <v>http://dx.doi.org/10.1007/s10980-020-01161-y</v>
      </c>
      <c r="I27" s="1" t="s">
        <v>9351</v>
      </c>
      <c r="J27" s="1" t="s">
        <v>9349</v>
      </c>
      <c r="K27" s="1" t="s">
        <v>42</v>
      </c>
      <c r="L27" s="1" t="s">
        <v>56</v>
      </c>
    </row>
    <row r="28" spans="1:78" s="6" customFormat="1" x14ac:dyDescent="0.3">
      <c r="A28" s="8">
        <v>27</v>
      </c>
      <c r="B28" s="1">
        <v>24</v>
      </c>
      <c r="C28" t="s">
        <v>12118</v>
      </c>
      <c r="D28" s="1" t="s">
        <v>3248</v>
      </c>
      <c r="E28" s="1" t="s">
        <v>3250</v>
      </c>
      <c r="F28" s="1">
        <v>2023</v>
      </c>
      <c r="G28" s="1" t="s">
        <v>3251</v>
      </c>
      <c r="H28" s="1" t="str">
        <f>HYPERLINK("http://dx.doi.org/10.1073/pnas.2311627120","http://dx.doi.org/10.1073/pnas.2311627120")</f>
        <v>http://dx.doi.org/10.1073/pnas.2311627120</v>
      </c>
      <c r="I28" s="1" t="s">
        <v>3254</v>
      </c>
      <c r="J28" s="1" t="s">
        <v>3252</v>
      </c>
      <c r="K28" s="1" t="s">
        <v>42</v>
      </c>
      <c r="L28" s="1" t="s">
        <v>56</v>
      </c>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row>
    <row r="29" spans="1:78" s="6" customFormat="1" x14ac:dyDescent="0.3">
      <c r="A29" s="8">
        <v>28</v>
      </c>
      <c r="B29" s="1">
        <v>26</v>
      </c>
      <c r="C29" t="s">
        <v>12118</v>
      </c>
      <c r="D29" s="1" t="s">
        <v>9871</v>
      </c>
      <c r="E29" s="1" t="s">
        <v>9873</v>
      </c>
      <c r="F29" s="1">
        <v>2021</v>
      </c>
      <c r="G29" s="1" t="s">
        <v>9874</v>
      </c>
      <c r="H29" s="1" t="str">
        <f>HYPERLINK("http://dx.doi.org/10.1007/s12237-020-00765-6","http://dx.doi.org/10.1007/s12237-020-00765-6")</f>
        <v>http://dx.doi.org/10.1007/s12237-020-00765-6</v>
      </c>
      <c r="I29" s="1" t="s">
        <v>9877</v>
      </c>
      <c r="J29" s="1" t="s">
        <v>9875</v>
      </c>
      <c r="K29" s="1" t="s">
        <v>42</v>
      </c>
      <c r="L29" s="1" t="s">
        <v>56</v>
      </c>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row>
    <row r="30" spans="1:78" x14ac:dyDescent="0.3">
      <c r="A30" s="8">
        <v>29</v>
      </c>
      <c r="B30" s="1">
        <v>28</v>
      </c>
      <c r="C30" t="s">
        <v>12118</v>
      </c>
      <c r="D30" s="1" t="s">
        <v>10964</v>
      </c>
      <c r="E30" s="1" t="s">
        <v>10966</v>
      </c>
      <c r="F30" s="1">
        <v>2019</v>
      </c>
      <c r="G30" s="1" t="s">
        <v>3555</v>
      </c>
      <c r="H30" s="1" t="str">
        <f>HYPERLINK("http://dx.doi.org/10.1017/S0021855319000196","http://dx.doi.org/10.1017/S0021855319000196")</f>
        <v>http://dx.doi.org/10.1017/S0021855319000196</v>
      </c>
      <c r="I30" s="1" t="s">
        <v>10968</v>
      </c>
      <c r="J30" s="1" t="s">
        <v>10967</v>
      </c>
      <c r="K30" s="1" t="s">
        <v>42</v>
      </c>
      <c r="L30" s="1" t="s">
        <v>56</v>
      </c>
    </row>
    <row r="31" spans="1:78" x14ac:dyDescent="0.3">
      <c r="A31" s="8">
        <v>30</v>
      </c>
      <c r="B31" s="1">
        <v>29</v>
      </c>
      <c r="C31" t="s">
        <v>12118</v>
      </c>
      <c r="D31" s="1" t="s">
        <v>10964</v>
      </c>
      <c r="E31" s="1" t="s">
        <v>11041</v>
      </c>
      <c r="F31" s="1">
        <v>2019</v>
      </c>
      <c r="G31" s="1" t="s">
        <v>5034</v>
      </c>
      <c r="H31" s="1" t="str">
        <f>HYPERLINK("http://dx.doi.org/10.3366/ajicl.2019.0272","http://dx.doi.org/10.3366/ajicl.2019.0272")</f>
        <v>http://dx.doi.org/10.3366/ajicl.2019.0272</v>
      </c>
      <c r="I31" s="1" t="s">
        <v>1507</v>
      </c>
      <c r="J31" s="1" t="s">
        <v>1507</v>
      </c>
      <c r="K31" s="1" t="s">
        <v>42</v>
      </c>
      <c r="L31" s="1" t="s">
        <v>56</v>
      </c>
    </row>
    <row r="32" spans="1:78" x14ac:dyDescent="0.3">
      <c r="A32" s="8">
        <v>31</v>
      </c>
      <c r="B32" s="1">
        <v>30</v>
      </c>
      <c r="C32" t="s">
        <v>12118</v>
      </c>
      <c r="D32" s="1" t="s">
        <v>10964</v>
      </c>
      <c r="E32" s="1" t="s">
        <v>11109</v>
      </c>
      <c r="F32" s="1">
        <v>2019</v>
      </c>
      <c r="G32" s="1" t="s">
        <v>11110</v>
      </c>
      <c r="H32" s="1" t="s">
        <v>1507</v>
      </c>
      <c r="I32" s="1" t="s">
        <v>11111</v>
      </c>
      <c r="J32" s="1" t="s">
        <v>1507</v>
      </c>
      <c r="K32" s="1" t="s">
        <v>42</v>
      </c>
      <c r="L32" s="1" t="s">
        <v>56</v>
      </c>
    </row>
    <row r="33" spans="1:12" x14ac:dyDescent="0.3">
      <c r="A33" s="8">
        <v>32</v>
      </c>
      <c r="B33">
        <v>15</v>
      </c>
      <c r="C33" t="s">
        <v>12204</v>
      </c>
      <c r="D33" t="s">
        <v>12964</v>
      </c>
      <c r="E33" t="s">
        <v>12962</v>
      </c>
      <c r="F33">
        <v>2023</v>
      </c>
      <c r="G33" t="s">
        <v>12961</v>
      </c>
      <c r="H33" t="s">
        <v>12959</v>
      </c>
      <c r="I33" t="s">
        <v>12955</v>
      </c>
      <c r="J33" t="s">
        <v>12954</v>
      </c>
      <c r="K33" t="s">
        <v>42</v>
      </c>
      <c r="L33" t="s">
        <v>12252</v>
      </c>
    </row>
    <row r="34" spans="1:12" x14ac:dyDescent="0.3">
      <c r="A34" s="8">
        <v>33</v>
      </c>
      <c r="B34">
        <v>16</v>
      </c>
      <c r="C34" t="s">
        <v>12204</v>
      </c>
      <c r="D34" t="s">
        <v>12913</v>
      </c>
      <c r="E34" t="s">
        <v>266</v>
      </c>
      <c r="F34">
        <v>2023</v>
      </c>
      <c r="G34" t="s">
        <v>267</v>
      </c>
      <c r="H34" t="s">
        <v>268</v>
      </c>
      <c r="I34" t="s">
        <v>271</v>
      </c>
      <c r="J34" t="s">
        <v>272</v>
      </c>
      <c r="K34" t="s">
        <v>42</v>
      </c>
      <c r="L34" t="s">
        <v>56</v>
      </c>
    </row>
    <row r="35" spans="1:12" x14ac:dyDescent="0.3">
      <c r="A35" s="8">
        <v>34</v>
      </c>
      <c r="B35" s="1">
        <v>31</v>
      </c>
      <c r="C35" t="s">
        <v>12118</v>
      </c>
      <c r="D35" s="1" t="s">
        <v>5607</v>
      </c>
      <c r="E35" s="1" t="s">
        <v>266</v>
      </c>
      <c r="F35" s="1">
        <v>2023</v>
      </c>
      <c r="G35" s="1" t="s">
        <v>5609</v>
      </c>
      <c r="H35" s="1" t="str">
        <f>HYPERLINK("http://dx.doi.org/10.3991/ijep.v13i8.45621","http://dx.doi.org/10.3991/ijep.v13i8.45621")</f>
        <v>http://dx.doi.org/10.3991/ijep.v13i8.45621</v>
      </c>
      <c r="I35" s="1" t="s">
        <v>5611</v>
      </c>
      <c r="J35" s="1" t="s">
        <v>5610</v>
      </c>
      <c r="K35" s="1" t="s">
        <v>42</v>
      </c>
      <c r="L35" s="1" t="s">
        <v>56</v>
      </c>
    </row>
    <row r="36" spans="1:12" x14ac:dyDescent="0.3">
      <c r="A36" s="8">
        <v>35</v>
      </c>
      <c r="B36" s="1">
        <v>32</v>
      </c>
      <c r="C36" t="s">
        <v>12118</v>
      </c>
      <c r="D36" s="1" t="s">
        <v>8513</v>
      </c>
      <c r="E36" s="1" t="s">
        <v>8515</v>
      </c>
      <c r="F36" s="1">
        <v>2021</v>
      </c>
      <c r="G36" s="1" t="s">
        <v>8516</v>
      </c>
      <c r="H36" s="1" t="str">
        <f>HYPERLINK("http://dx.doi.org/10.14202/vetworld.2021.1638-1643","http://dx.doi.org/10.14202/vetworld.2021.1638-1643")</f>
        <v>http://dx.doi.org/10.14202/vetworld.2021.1638-1643</v>
      </c>
      <c r="I36" s="1" t="s">
        <v>8519</v>
      </c>
      <c r="J36" s="1" t="s">
        <v>8517</v>
      </c>
      <c r="K36" s="1" t="s">
        <v>42</v>
      </c>
      <c r="L36" s="1" t="s">
        <v>56</v>
      </c>
    </row>
    <row r="37" spans="1:12" x14ac:dyDescent="0.3">
      <c r="A37" s="8">
        <v>36</v>
      </c>
      <c r="B37" s="1">
        <v>36</v>
      </c>
      <c r="C37" t="s">
        <v>12118</v>
      </c>
      <c r="D37" s="1" t="s">
        <v>7579</v>
      </c>
      <c r="E37" s="1" t="s">
        <v>7581</v>
      </c>
      <c r="F37" s="1">
        <v>2022</v>
      </c>
      <c r="G37" s="1" t="s">
        <v>6825</v>
      </c>
      <c r="H37" s="1" t="str">
        <f>HYPERLINK("http://dx.doi.org/10.1186/s12889-022-12595-1","http://dx.doi.org/10.1186/s12889-022-12595-1")</f>
        <v>http://dx.doi.org/10.1186/s12889-022-12595-1</v>
      </c>
      <c r="I37" s="1" t="s">
        <v>7584</v>
      </c>
      <c r="J37" s="1" t="s">
        <v>7582</v>
      </c>
      <c r="K37" s="1" t="s">
        <v>42</v>
      </c>
      <c r="L37" s="1" t="s">
        <v>56</v>
      </c>
    </row>
    <row r="38" spans="1:12" x14ac:dyDescent="0.3">
      <c r="A38" s="8">
        <v>37</v>
      </c>
      <c r="B38" s="1">
        <v>37</v>
      </c>
      <c r="C38" t="s">
        <v>12118</v>
      </c>
      <c r="D38" s="1" t="s">
        <v>9138</v>
      </c>
      <c r="E38" s="1" t="s">
        <v>9140</v>
      </c>
      <c r="F38" s="1">
        <v>2021</v>
      </c>
      <c r="G38" s="1" t="s">
        <v>9141</v>
      </c>
      <c r="H38" s="1" t="s">
        <v>1507</v>
      </c>
      <c r="I38" s="1" t="s">
        <v>9145</v>
      </c>
      <c r="J38" s="1" t="s">
        <v>1507</v>
      </c>
      <c r="K38" s="1" t="s">
        <v>42</v>
      </c>
      <c r="L38" s="1" t="s">
        <v>5552</v>
      </c>
    </row>
    <row r="39" spans="1:12" x14ac:dyDescent="0.3">
      <c r="A39" s="8">
        <v>38</v>
      </c>
      <c r="B39" s="1">
        <v>38</v>
      </c>
      <c r="C39" t="s">
        <v>12118</v>
      </c>
      <c r="D39" s="1" t="s">
        <v>4101</v>
      </c>
      <c r="E39" s="1" t="s">
        <v>4103</v>
      </c>
      <c r="F39" s="1">
        <v>2023</v>
      </c>
      <c r="G39" s="1" t="s">
        <v>4104</v>
      </c>
      <c r="H39" s="1" t="str">
        <f>HYPERLINK("http://dx.doi.org/10.1017/S1351324923000438","http://dx.doi.org/10.1017/S1351324923000438")</f>
        <v>http://dx.doi.org/10.1017/S1351324923000438</v>
      </c>
      <c r="I39" s="1" t="s">
        <v>4107</v>
      </c>
      <c r="J39" s="1" t="s">
        <v>4105</v>
      </c>
      <c r="K39" s="1" t="s">
        <v>42</v>
      </c>
      <c r="L39" s="1" t="s">
        <v>1509</v>
      </c>
    </row>
    <row r="40" spans="1:12" x14ac:dyDescent="0.3">
      <c r="A40" s="8">
        <v>39</v>
      </c>
      <c r="B40" s="1">
        <v>39</v>
      </c>
      <c r="C40" t="s">
        <v>12118</v>
      </c>
      <c r="D40" s="1" t="s">
        <v>10748</v>
      </c>
      <c r="E40" s="1" t="s">
        <v>10750</v>
      </c>
      <c r="F40" s="1">
        <v>2019</v>
      </c>
      <c r="G40" s="1" t="s">
        <v>10751</v>
      </c>
      <c r="H40" s="1" t="str">
        <f>HYPERLINK("http://dx.doi.org/10.1017/lsi.2018.12","http://dx.doi.org/10.1017/lsi.2018.12")</f>
        <v>http://dx.doi.org/10.1017/lsi.2018.12</v>
      </c>
      <c r="I40" s="1" t="s">
        <v>10753</v>
      </c>
      <c r="J40" s="1" t="s">
        <v>1507</v>
      </c>
      <c r="K40" s="1" t="s">
        <v>42</v>
      </c>
      <c r="L40" s="1" t="s">
        <v>56</v>
      </c>
    </row>
    <row r="41" spans="1:12" x14ac:dyDescent="0.3">
      <c r="A41" s="8">
        <v>40</v>
      </c>
      <c r="B41">
        <v>18</v>
      </c>
      <c r="C41" t="s">
        <v>12204</v>
      </c>
      <c r="D41" t="s">
        <v>12232</v>
      </c>
      <c r="E41" t="s">
        <v>1427</v>
      </c>
      <c r="F41">
        <v>2018</v>
      </c>
      <c r="G41" t="s">
        <v>1428</v>
      </c>
      <c r="H41" t="s">
        <v>1429</v>
      </c>
      <c r="I41" t="s">
        <v>1431</v>
      </c>
      <c r="J41" t="s">
        <v>1432</v>
      </c>
      <c r="K41" t="s">
        <v>42</v>
      </c>
      <c r="L41" t="s">
        <v>56</v>
      </c>
    </row>
    <row r="42" spans="1:12" x14ac:dyDescent="0.3">
      <c r="A42" s="8">
        <v>41</v>
      </c>
      <c r="B42" s="1">
        <v>40</v>
      </c>
      <c r="C42" t="s">
        <v>12118</v>
      </c>
      <c r="D42" s="1" t="s">
        <v>5627</v>
      </c>
      <c r="E42" s="1" t="s">
        <v>5630</v>
      </c>
      <c r="F42" s="1">
        <v>2023</v>
      </c>
      <c r="G42" s="1" t="s">
        <v>5631</v>
      </c>
      <c r="H42" s="1" t="str">
        <f>HYPERLINK("http://dx.doi.org/10.1109/CAI54212.2023.00118","http://dx.doi.org/10.1109/CAI54212.2023.00118")</f>
        <v>http://dx.doi.org/10.1109/CAI54212.2023.00118</v>
      </c>
      <c r="I42" s="1" t="s">
        <v>5637</v>
      </c>
      <c r="J42" s="1" t="s">
        <v>5636</v>
      </c>
      <c r="K42" s="1" t="s">
        <v>42</v>
      </c>
      <c r="L42" s="1" t="s">
        <v>5552</v>
      </c>
    </row>
    <row r="43" spans="1:12" x14ac:dyDescent="0.3">
      <c r="A43" s="8">
        <v>42</v>
      </c>
      <c r="B43" s="1">
        <v>41</v>
      </c>
      <c r="C43" t="s">
        <v>12118</v>
      </c>
      <c r="D43" s="1" t="s">
        <v>2871</v>
      </c>
      <c r="E43" s="1" t="s">
        <v>2873</v>
      </c>
      <c r="F43" s="1">
        <v>2023</v>
      </c>
      <c r="G43" s="1" t="s">
        <v>2874</v>
      </c>
      <c r="H43" s="1" t="str">
        <f>HYPERLINK("http://dx.doi.org/10.1016/j.jacr.2023.06.009","http://dx.doi.org/10.1016/j.jacr.2023.06.009")</f>
        <v>http://dx.doi.org/10.1016/j.jacr.2023.06.009</v>
      </c>
      <c r="I43" s="1" t="s">
        <v>2877</v>
      </c>
      <c r="J43" s="1" t="s">
        <v>2875</v>
      </c>
      <c r="K43" s="1" t="s">
        <v>42</v>
      </c>
      <c r="L43" s="1" t="s">
        <v>56</v>
      </c>
    </row>
    <row r="44" spans="1:12" x14ac:dyDescent="0.3">
      <c r="A44" s="8">
        <v>43</v>
      </c>
      <c r="B44">
        <v>19</v>
      </c>
      <c r="C44" t="s">
        <v>12204</v>
      </c>
      <c r="D44" t="s">
        <v>13627</v>
      </c>
      <c r="E44" t="s">
        <v>104</v>
      </c>
      <c r="F44">
        <v>2023</v>
      </c>
      <c r="G44" t="s">
        <v>105</v>
      </c>
      <c r="H44" t="s">
        <v>106</v>
      </c>
      <c r="I44" t="s">
        <v>108</v>
      </c>
      <c r="J44" t="s">
        <v>109</v>
      </c>
      <c r="K44" t="s">
        <v>42</v>
      </c>
      <c r="L44" t="s">
        <v>56</v>
      </c>
    </row>
    <row r="45" spans="1:12" x14ac:dyDescent="0.3">
      <c r="A45" s="8">
        <v>44</v>
      </c>
      <c r="B45" s="1">
        <v>42</v>
      </c>
      <c r="C45" t="s">
        <v>12118</v>
      </c>
      <c r="D45" s="1" t="s">
        <v>2576</v>
      </c>
      <c r="E45" s="1" t="s">
        <v>2578</v>
      </c>
      <c r="F45" s="1">
        <v>2023</v>
      </c>
      <c r="G45" s="1" t="s">
        <v>2579</v>
      </c>
      <c r="H45" s="1" t="str">
        <f>HYPERLINK("http://dx.doi.org/10.1186/s41239-023-00427-0","http://dx.doi.org/10.1186/s41239-023-00427-0")</f>
        <v>http://dx.doi.org/10.1186/s41239-023-00427-0</v>
      </c>
      <c r="I45" s="1" t="s">
        <v>2582</v>
      </c>
      <c r="J45" s="1" t="s">
        <v>2580</v>
      </c>
      <c r="K45" s="1" t="s">
        <v>42</v>
      </c>
      <c r="L45" s="1" t="s">
        <v>56</v>
      </c>
    </row>
    <row r="46" spans="1:12" x14ac:dyDescent="0.3">
      <c r="A46" s="8">
        <v>45</v>
      </c>
      <c r="B46" s="1">
        <v>43</v>
      </c>
      <c r="C46" t="s">
        <v>12118</v>
      </c>
      <c r="D46" s="1" t="s">
        <v>11816</v>
      </c>
      <c r="E46" s="1" t="s">
        <v>11818</v>
      </c>
      <c r="F46" s="1">
        <v>2018</v>
      </c>
      <c r="G46" s="1" t="s">
        <v>11819</v>
      </c>
      <c r="H46" s="1" t="str">
        <f>HYPERLINK("http://dx.doi.org/10.1105/tpc.17.00947","http://dx.doi.org/10.1105/tpc.17.00947")</f>
        <v>http://dx.doi.org/10.1105/tpc.17.00947</v>
      </c>
      <c r="I46" s="1" t="s">
        <v>1507</v>
      </c>
      <c r="J46" s="1" t="s">
        <v>1507</v>
      </c>
      <c r="K46" s="1" t="s">
        <v>42</v>
      </c>
      <c r="L46" s="1" t="s">
        <v>56</v>
      </c>
    </row>
    <row r="47" spans="1:12" x14ac:dyDescent="0.3">
      <c r="A47" s="8">
        <v>46</v>
      </c>
      <c r="B47" s="1">
        <v>44</v>
      </c>
      <c r="C47" t="s">
        <v>12118</v>
      </c>
      <c r="D47" s="1" t="s">
        <v>9656</v>
      </c>
      <c r="E47" s="1" t="s">
        <v>9658</v>
      </c>
      <c r="F47" s="1">
        <v>2020</v>
      </c>
      <c r="G47" s="1" t="s">
        <v>9659</v>
      </c>
      <c r="H47" s="1" t="str">
        <f>HYPERLINK("http://dx.doi.org/10.1016/j.clnu.2019.10.032","http://dx.doi.org/10.1016/j.clnu.2019.10.032")</f>
        <v>http://dx.doi.org/10.1016/j.clnu.2019.10.032</v>
      </c>
      <c r="I47" s="1" t="s">
        <v>9662</v>
      </c>
      <c r="J47" s="1" t="s">
        <v>9660</v>
      </c>
      <c r="K47" s="1" t="s">
        <v>42</v>
      </c>
      <c r="L47" s="1" t="s">
        <v>56</v>
      </c>
    </row>
    <row r="48" spans="1:12" x14ac:dyDescent="0.3">
      <c r="A48" s="8">
        <v>47</v>
      </c>
      <c r="B48" s="1">
        <v>45</v>
      </c>
      <c r="C48" t="s">
        <v>12118</v>
      </c>
      <c r="D48" s="1" t="s">
        <v>4965</v>
      </c>
      <c r="E48" s="1" t="s">
        <v>69</v>
      </c>
      <c r="F48" s="1">
        <v>2023</v>
      </c>
      <c r="G48" s="1" t="s">
        <v>4967</v>
      </c>
      <c r="H48" s="1" t="str">
        <f>HYPERLINK("http://dx.doi.org/10.1111/bjet.13336","http://dx.doi.org/10.1111/bjet.13336")</f>
        <v>http://dx.doi.org/10.1111/bjet.13336</v>
      </c>
      <c r="I48" s="1" t="s">
        <v>4969</v>
      </c>
      <c r="J48" s="1" t="s">
        <v>75</v>
      </c>
      <c r="K48" s="1" t="s">
        <v>42</v>
      </c>
      <c r="L48" s="1" t="s">
        <v>1509</v>
      </c>
    </row>
    <row r="49" spans="1:78" x14ac:dyDescent="0.3">
      <c r="A49" s="8">
        <v>48</v>
      </c>
      <c r="B49" s="1">
        <v>46</v>
      </c>
      <c r="C49" t="s">
        <v>12118</v>
      </c>
      <c r="D49" s="1" t="s">
        <v>10769</v>
      </c>
      <c r="E49" s="1" t="s">
        <v>10771</v>
      </c>
      <c r="F49" s="1">
        <v>2019</v>
      </c>
      <c r="G49" s="1" t="s">
        <v>10772</v>
      </c>
      <c r="H49" s="1" t="str">
        <f>HYPERLINK("http://dx.doi.org/10.1038/s41567-019-0505-9","http://dx.doi.org/10.1038/s41567-019-0505-9")</f>
        <v>http://dx.doi.org/10.1038/s41567-019-0505-9</v>
      </c>
      <c r="I49" s="1" t="s">
        <v>10774</v>
      </c>
      <c r="J49" s="1" t="s">
        <v>1507</v>
      </c>
      <c r="K49" s="1" t="s">
        <v>42</v>
      </c>
      <c r="L49" s="1" t="s">
        <v>56</v>
      </c>
    </row>
    <row r="50" spans="1:78" x14ac:dyDescent="0.3">
      <c r="A50" s="8">
        <v>49</v>
      </c>
      <c r="B50">
        <v>21</v>
      </c>
      <c r="C50" t="s">
        <v>12204</v>
      </c>
      <c r="D50" t="s">
        <v>183</v>
      </c>
      <c r="E50" t="s">
        <v>184</v>
      </c>
      <c r="F50">
        <v>2023</v>
      </c>
      <c r="G50" t="s">
        <v>185</v>
      </c>
      <c r="H50" t="s">
        <v>186</v>
      </c>
      <c r="I50" t="s">
        <v>189</v>
      </c>
      <c r="J50" t="s">
        <v>190</v>
      </c>
      <c r="K50" t="s">
        <v>42</v>
      </c>
      <c r="L50" t="s">
        <v>12252</v>
      </c>
      <c r="BZ50" s="6"/>
    </row>
    <row r="51" spans="1:78" x14ac:dyDescent="0.3">
      <c r="A51" s="8">
        <v>50</v>
      </c>
      <c r="B51" s="1">
        <v>47</v>
      </c>
      <c r="C51" t="s">
        <v>12118</v>
      </c>
      <c r="D51" s="1" t="s">
        <v>8749</v>
      </c>
      <c r="E51" s="1" t="s">
        <v>8751</v>
      </c>
      <c r="F51" s="1">
        <v>2021</v>
      </c>
      <c r="G51" s="1" t="s">
        <v>8752</v>
      </c>
      <c r="H51" s="1" t="str">
        <f>HYPERLINK("http://dx.doi.org/10.3389/fphar.2021.651497","http://dx.doi.org/10.3389/fphar.2021.651497")</f>
        <v>http://dx.doi.org/10.3389/fphar.2021.651497</v>
      </c>
      <c r="I51" s="1" t="s">
        <v>8755</v>
      </c>
      <c r="J51" s="1" t="s">
        <v>8753</v>
      </c>
      <c r="K51" s="1" t="s">
        <v>42</v>
      </c>
      <c r="L51" s="1" t="s">
        <v>56</v>
      </c>
    </row>
    <row r="52" spans="1:78" x14ac:dyDescent="0.3">
      <c r="A52" s="8">
        <v>51</v>
      </c>
      <c r="B52" s="1">
        <v>48</v>
      </c>
      <c r="C52" t="s">
        <v>12118</v>
      </c>
      <c r="D52" s="1" t="s">
        <v>3036</v>
      </c>
      <c r="E52" s="1" t="s">
        <v>3038</v>
      </c>
      <c r="F52" s="1">
        <v>2023</v>
      </c>
      <c r="G52" s="1" t="s">
        <v>3039</v>
      </c>
      <c r="H52" s="1" t="str">
        <f>HYPERLINK("http://dx.doi.org/10.1177/10597123231206604","http://dx.doi.org/10.1177/10597123231206604")</f>
        <v>http://dx.doi.org/10.1177/10597123231206604</v>
      </c>
      <c r="I52" s="1" t="s">
        <v>3042</v>
      </c>
      <c r="J52" s="1" t="s">
        <v>3040</v>
      </c>
      <c r="K52" s="1" t="s">
        <v>42</v>
      </c>
      <c r="L52" s="1" t="s">
        <v>1509</v>
      </c>
    </row>
    <row r="53" spans="1:78" x14ac:dyDescent="0.3">
      <c r="A53" s="8">
        <v>52</v>
      </c>
      <c r="B53">
        <v>22</v>
      </c>
      <c r="C53" t="s">
        <v>12204</v>
      </c>
      <c r="D53" t="s">
        <v>12535</v>
      </c>
      <c r="E53" t="s">
        <v>1048</v>
      </c>
      <c r="F53">
        <v>2023</v>
      </c>
      <c r="G53" t="s">
        <v>252</v>
      </c>
      <c r="H53" t="s">
        <v>1049</v>
      </c>
      <c r="I53" t="s">
        <v>1052</v>
      </c>
      <c r="J53" t="s">
        <v>1053</v>
      </c>
      <c r="K53" t="s">
        <v>42</v>
      </c>
      <c r="L53" t="s">
        <v>56</v>
      </c>
      <c r="BB53" s="6"/>
      <c r="BC53" s="6"/>
      <c r="BD53" s="6"/>
      <c r="BE53" s="6"/>
      <c r="BF53" s="6"/>
      <c r="BG53" s="6"/>
      <c r="BH53" s="6"/>
      <c r="BI53" s="6"/>
      <c r="BJ53" s="6"/>
      <c r="BK53" s="6"/>
      <c r="BL53" s="6"/>
      <c r="BM53" s="6"/>
      <c r="BN53" s="6"/>
      <c r="BO53" s="6"/>
      <c r="BP53" s="6"/>
      <c r="BQ53" s="6"/>
      <c r="BR53" s="6"/>
      <c r="BS53" s="6"/>
      <c r="BT53" s="6"/>
    </row>
    <row r="54" spans="1:78" x14ac:dyDescent="0.3">
      <c r="A54" s="8">
        <v>53</v>
      </c>
      <c r="B54" s="1">
        <v>49</v>
      </c>
      <c r="C54" t="s">
        <v>12118</v>
      </c>
      <c r="D54" s="1" t="s">
        <v>4122</v>
      </c>
      <c r="E54" s="1" t="s">
        <v>4124</v>
      </c>
      <c r="F54" s="1">
        <v>2023</v>
      </c>
      <c r="G54" s="1" t="s">
        <v>3315</v>
      </c>
      <c r="H54" s="1" t="str">
        <f>HYPERLINK("http://dx.doi.org/10.1001/jamanetworkopen.2023.30320","http://dx.doi.org/10.1001/jamanetworkopen.2023.30320")</f>
        <v>http://dx.doi.org/10.1001/jamanetworkopen.2023.30320</v>
      </c>
      <c r="I54" s="1" t="s">
        <v>4125</v>
      </c>
      <c r="J54" s="1" t="s">
        <v>1507</v>
      </c>
      <c r="K54" s="1" t="s">
        <v>42</v>
      </c>
      <c r="L54" s="1" t="s">
        <v>56</v>
      </c>
    </row>
    <row r="55" spans="1:78" x14ac:dyDescent="0.3">
      <c r="A55" s="8">
        <v>54</v>
      </c>
      <c r="B55" s="1">
        <v>50</v>
      </c>
      <c r="C55" t="s">
        <v>12118</v>
      </c>
      <c r="D55" s="1" t="s">
        <v>10245</v>
      </c>
      <c r="E55" s="1" t="s">
        <v>10247</v>
      </c>
      <c r="F55" s="1">
        <v>2020</v>
      </c>
      <c r="G55" s="1" t="s">
        <v>10248</v>
      </c>
      <c r="H55" s="1" t="s">
        <v>1507</v>
      </c>
      <c r="I55" s="1" t="s">
        <v>10250</v>
      </c>
      <c r="J55" s="1" t="s">
        <v>10249</v>
      </c>
      <c r="K55" s="1" t="s">
        <v>42</v>
      </c>
      <c r="L55" s="1" t="s">
        <v>56</v>
      </c>
    </row>
    <row r="56" spans="1:78" x14ac:dyDescent="0.3">
      <c r="A56" s="8">
        <v>55</v>
      </c>
      <c r="B56" s="1">
        <v>51</v>
      </c>
      <c r="C56" t="s">
        <v>12118</v>
      </c>
      <c r="D56" s="1" t="s">
        <v>14823</v>
      </c>
      <c r="E56" s="1" t="s">
        <v>14826</v>
      </c>
      <c r="F56" s="1">
        <v>2023</v>
      </c>
      <c r="G56" s="1" t="s">
        <v>14827</v>
      </c>
      <c r="H56" s="1" t="str">
        <f>HYPERLINK("http://dx.doi.org/10.1145/3589132.3625625","http://dx.doi.org/10.1145/3589132.3625625")</f>
        <v>http://dx.doi.org/10.1145/3589132.3625625</v>
      </c>
      <c r="I56" s="1" t="s">
        <v>14832</v>
      </c>
      <c r="J56" s="1" t="s">
        <v>14831</v>
      </c>
      <c r="K56" s="1" t="s">
        <v>42</v>
      </c>
      <c r="L56" s="1" t="s">
        <v>5552</v>
      </c>
    </row>
    <row r="57" spans="1:78" x14ac:dyDescent="0.3">
      <c r="A57" s="8">
        <v>56</v>
      </c>
      <c r="B57">
        <v>23</v>
      </c>
      <c r="C57" t="s">
        <v>12204</v>
      </c>
      <c r="D57" t="s">
        <v>13255</v>
      </c>
      <c r="E57" t="s">
        <v>723</v>
      </c>
      <c r="F57">
        <v>2023</v>
      </c>
      <c r="G57" t="s">
        <v>366</v>
      </c>
      <c r="H57" t="s">
        <v>725</v>
      </c>
      <c r="I57" t="s">
        <v>727</v>
      </c>
      <c r="K57" t="s">
        <v>42</v>
      </c>
      <c r="L57" t="s">
        <v>56</v>
      </c>
    </row>
    <row r="58" spans="1:78" x14ac:dyDescent="0.3">
      <c r="A58" s="8">
        <v>57</v>
      </c>
      <c r="B58" s="1">
        <v>53</v>
      </c>
      <c r="C58" t="s">
        <v>12118</v>
      </c>
      <c r="D58" s="1" t="s">
        <v>4714</v>
      </c>
      <c r="E58" s="1" t="s">
        <v>723</v>
      </c>
      <c r="F58" s="1">
        <v>2023</v>
      </c>
      <c r="G58" s="1" t="s">
        <v>4595</v>
      </c>
      <c r="H58" s="1" t="str">
        <f>HYPERLINK("http://dx.doi.org/10.1148/radiol.230582","http://dx.doi.org/10.1148/radiol.230582")</f>
        <v>http://dx.doi.org/10.1148/radiol.230582</v>
      </c>
      <c r="I58" s="1" t="s">
        <v>4716</v>
      </c>
      <c r="J58" s="1" t="s">
        <v>1507</v>
      </c>
      <c r="K58" s="1" t="s">
        <v>42</v>
      </c>
      <c r="L58" s="1" t="s">
        <v>56</v>
      </c>
    </row>
    <row r="59" spans="1:78" x14ac:dyDescent="0.3">
      <c r="A59" s="8">
        <v>58</v>
      </c>
      <c r="B59">
        <v>24</v>
      </c>
      <c r="C59" t="s">
        <v>12204</v>
      </c>
      <c r="D59" t="s">
        <v>12274</v>
      </c>
      <c r="E59" t="s">
        <v>954</v>
      </c>
      <c r="F59">
        <v>2019</v>
      </c>
      <c r="G59" t="s">
        <v>955</v>
      </c>
      <c r="H59" t="s">
        <v>956</v>
      </c>
      <c r="I59" t="s">
        <v>959</v>
      </c>
      <c r="K59" t="s">
        <v>42</v>
      </c>
      <c r="L59" t="s">
        <v>56</v>
      </c>
    </row>
    <row r="60" spans="1:78" x14ac:dyDescent="0.3">
      <c r="A60" s="8">
        <v>59</v>
      </c>
      <c r="B60" s="1">
        <v>54</v>
      </c>
      <c r="C60" t="s">
        <v>12118</v>
      </c>
      <c r="D60" s="1" t="s">
        <v>10728</v>
      </c>
      <c r="E60" s="1" t="s">
        <v>10730</v>
      </c>
      <c r="F60" s="1">
        <v>2019</v>
      </c>
      <c r="G60" s="1" t="s">
        <v>10731</v>
      </c>
      <c r="H60" s="1" t="str">
        <f>HYPERLINK("http://dx.doi.org/10.1002/xrs.3110","http://dx.doi.org/10.1002/xrs.3110")</f>
        <v>http://dx.doi.org/10.1002/xrs.3110</v>
      </c>
      <c r="I60" s="1" t="s">
        <v>10733</v>
      </c>
      <c r="J60" s="1" t="s">
        <v>1507</v>
      </c>
      <c r="K60" s="1" t="s">
        <v>42</v>
      </c>
      <c r="L60" s="1" t="s">
        <v>56</v>
      </c>
    </row>
    <row r="61" spans="1:78" x14ac:dyDescent="0.3">
      <c r="A61" s="8">
        <v>60</v>
      </c>
      <c r="B61" s="1">
        <v>56</v>
      </c>
      <c r="C61" t="s">
        <v>12118</v>
      </c>
      <c r="D61" s="1" t="s">
        <v>3080</v>
      </c>
      <c r="E61" s="1" t="s">
        <v>3082</v>
      </c>
      <c r="F61" s="1">
        <v>2023</v>
      </c>
      <c r="G61" s="1" t="s">
        <v>3083</v>
      </c>
      <c r="H61" s="1" t="str">
        <f>HYPERLINK("http://dx.doi.org/10.7759/cureus.47468","http://dx.doi.org/10.7759/cureus.47468")</f>
        <v>http://dx.doi.org/10.7759/cureus.47468</v>
      </c>
      <c r="I61" s="1" t="s">
        <v>3085</v>
      </c>
      <c r="J61" s="1" t="s">
        <v>3084</v>
      </c>
      <c r="K61" s="1" t="s">
        <v>42</v>
      </c>
      <c r="L61" s="1" t="s">
        <v>56</v>
      </c>
    </row>
    <row r="62" spans="1:78" x14ac:dyDescent="0.3">
      <c r="A62" s="8">
        <v>61</v>
      </c>
      <c r="B62" s="1">
        <v>57</v>
      </c>
      <c r="C62" t="s">
        <v>12118</v>
      </c>
      <c r="D62" s="1" t="s">
        <v>11885</v>
      </c>
      <c r="E62" s="1" t="s">
        <v>11887</v>
      </c>
      <c r="F62" s="1">
        <v>2018</v>
      </c>
      <c r="G62" s="1" t="s">
        <v>11888</v>
      </c>
      <c r="H62" s="1" t="s">
        <v>1507</v>
      </c>
      <c r="I62" s="1" t="s">
        <v>11890</v>
      </c>
      <c r="J62" s="1" t="s">
        <v>1507</v>
      </c>
      <c r="K62" s="1" t="s">
        <v>42</v>
      </c>
      <c r="L62" s="1" t="s">
        <v>56</v>
      </c>
    </row>
    <row r="63" spans="1:78" x14ac:dyDescent="0.3">
      <c r="A63" s="8">
        <v>62</v>
      </c>
      <c r="B63" s="1">
        <v>58</v>
      </c>
      <c r="C63" t="s">
        <v>12118</v>
      </c>
      <c r="D63" s="1" t="s">
        <v>1996</v>
      </c>
      <c r="E63" s="1" t="s">
        <v>1998</v>
      </c>
      <c r="F63" s="1">
        <v>2023</v>
      </c>
      <c r="G63" s="1" t="s">
        <v>1999</v>
      </c>
      <c r="H63" s="1" t="str">
        <f>HYPERLINK("http://dx.doi.org/10.1371/journal.pone.0295383","http://dx.doi.org/10.1371/journal.pone.0295383")</f>
        <v>http://dx.doi.org/10.1371/journal.pone.0295383</v>
      </c>
      <c r="I63" s="1" t="s">
        <v>2001</v>
      </c>
      <c r="J63" s="1" t="s">
        <v>1507</v>
      </c>
      <c r="K63" s="1" t="s">
        <v>42</v>
      </c>
      <c r="L63" s="1" t="s">
        <v>56</v>
      </c>
    </row>
    <row r="64" spans="1:78" x14ac:dyDescent="0.3">
      <c r="A64" s="8">
        <v>63</v>
      </c>
      <c r="B64" s="1">
        <v>59</v>
      </c>
      <c r="C64" t="s">
        <v>12118</v>
      </c>
      <c r="D64" s="1" t="s">
        <v>9982</v>
      </c>
      <c r="E64" s="1" t="s">
        <v>9984</v>
      </c>
      <c r="F64" s="1">
        <v>2020</v>
      </c>
      <c r="G64" s="1" t="s">
        <v>9985</v>
      </c>
      <c r="H64" s="1" t="str">
        <f>HYPERLINK("http://dx.doi.org/10.1016/j.jad.2020.01.078","http://dx.doi.org/10.1016/j.jad.2020.01.078")</f>
        <v>http://dx.doi.org/10.1016/j.jad.2020.01.078</v>
      </c>
      <c r="I64" s="1" t="s">
        <v>9988</v>
      </c>
      <c r="J64" s="1" t="s">
        <v>9986</v>
      </c>
      <c r="K64" s="1" t="s">
        <v>42</v>
      </c>
      <c r="L64" s="1" t="s">
        <v>56</v>
      </c>
    </row>
    <row r="65" spans="1:12" x14ac:dyDescent="0.3">
      <c r="A65" s="8">
        <v>64</v>
      </c>
      <c r="B65" s="1">
        <v>60</v>
      </c>
      <c r="C65" t="s">
        <v>12118</v>
      </c>
      <c r="D65" s="1" t="s">
        <v>7402</v>
      </c>
      <c r="E65" s="1" t="s">
        <v>7404</v>
      </c>
      <c r="F65" s="1">
        <v>2022</v>
      </c>
      <c r="G65" s="1" t="s">
        <v>7405</v>
      </c>
      <c r="H65" s="1" t="str">
        <f>HYPERLINK("http://dx.doi.org/10.1016/j.diagmicrobio.2021.115597","http://dx.doi.org/10.1016/j.diagmicrobio.2021.115597")</f>
        <v>http://dx.doi.org/10.1016/j.diagmicrobio.2021.115597</v>
      </c>
      <c r="I65" s="1" t="s">
        <v>7408</v>
      </c>
      <c r="J65" s="1" t="s">
        <v>7406</v>
      </c>
      <c r="K65" s="1" t="s">
        <v>42</v>
      </c>
      <c r="L65" s="1" t="s">
        <v>56</v>
      </c>
    </row>
    <row r="66" spans="1:12" x14ac:dyDescent="0.3">
      <c r="A66" s="8">
        <v>65</v>
      </c>
      <c r="B66" s="1">
        <v>61</v>
      </c>
      <c r="C66" t="s">
        <v>12118</v>
      </c>
      <c r="D66" s="1" t="s">
        <v>10450</v>
      </c>
      <c r="E66" s="1" t="s">
        <v>10452</v>
      </c>
      <c r="F66" s="1">
        <v>2019</v>
      </c>
      <c r="G66" s="1" t="s">
        <v>2159</v>
      </c>
      <c r="H66" s="1" t="str">
        <f>HYPERLINK("http://dx.doi.org/10.1038/s41746-019-0210-1","http://dx.doi.org/10.1038/s41746-019-0210-1")</f>
        <v>http://dx.doi.org/10.1038/s41746-019-0210-1</v>
      </c>
      <c r="I66" s="1" t="s">
        <v>10454</v>
      </c>
      <c r="J66" s="1" t="s">
        <v>1507</v>
      </c>
      <c r="K66" s="1" t="s">
        <v>42</v>
      </c>
      <c r="L66" s="1" t="s">
        <v>56</v>
      </c>
    </row>
    <row r="67" spans="1:12" x14ac:dyDescent="0.3">
      <c r="A67" s="8">
        <v>66</v>
      </c>
      <c r="B67">
        <v>25</v>
      </c>
      <c r="C67" t="s">
        <v>12204</v>
      </c>
      <c r="D67" t="s">
        <v>12794</v>
      </c>
      <c r="E67" t="s">
        <v>639</v>
      </c>
      <c r="F67">
        <v>2023</v>
      </c>
      <c r="G67" t="s">
        <v>383</v>
      </c>
      <c r="I67" t="s">
        <v>642</v>
      </c>
      <c r="J67" t="s">
        <v>643</v>
      </c>
      <c r="K67" t="s">
        <v>42</v>
      </c>
      <c r="L67" t="s">
        <v>12252</v>
      </c>
    </row>
    <row r="68" spans="1:12" x14ac:dyDescent="0.3">
      <c r="A68" s="8">
        <v>67</v>
      </c>
      <c r="B68" s="1">
        <v>62</v>
      </c>
      <c r="C68" t="s">
        <v>12118</v>
      </c>
      <c r="D68" s="1" t="s">
        <v>1757</v>
      </c>
      <c r="E68" s="1" t="s">
        <v>1759</v>
      </c>
      <c r="F68" s="1">
        <v>2023</v>
      </c>
      <c r="G68" s="1" t="s">
        <v>1760</v>
      </c>
      <c r="H68" s="1" t="str">
        <f>HYPERLINK("http://dx.doi.org/10.1038/s41586-023-06792-0","http://dx.doi.org/10.1038/s41586-023-06792-0")</f>
        <v>http://dx.doi.org/10.1038/s41586-023-06792-0</v>
      </c>
      <c r="I68" s="1" t="s">
        <v>1761</v>
      </c>
      <c r="J68" s="1" t="s">
        <v>1507</v>
      </c>
      <c r="K68" s="1" t="s">
        <v>42</v>
      </c>
      <c r="L68" s="1" t="s">
        <v>56</v>
      </c>
    </row>
    <row r="69" spans="1:12" x14ac:dyDescent="0.3">
      <c r="A69" s="8">
        <v>68</v>
      </c>
      <c r="B69" s="1">
        <v>63</v>
      </c>
      <c r="C69" t="s">
        <v>12118</v>
      </c>
      <c r="D69" s="1" t="s">
        <v>7671</v>
      </c>
      <c r="E69" s="1" t="s">
        <v>7673</v>
      </c>
      <c r="F69" s="1">
        <v>2022</v>
      </c>
      <c r="G69" s="1" t="s">
        <v>7674</v>
      </c>
      <c r="H69" s="1" t="str">
        <f>HYPERLINK("http://dx.doi.org/10.1371/journal.pbio.3001527","http://dx.doi.org/10.1371/journal.pbio.3001527")</f>
        <v>http://dx.doi.org/10.1371/journal.pbio.3001527</v>
      </c>
      <c r="I69" s="1" t="s">
        <v>7676</v>
      </c>
      <c r="J69" s="1" t="s">
        <v>1507</v>
      </c>
      <c r="K69" s="1" t="s">
        <v>42</v>
      </c>
      <c r="L69" s="1" t="s">
        <v>56</v>
      </c>
    </row>
    <row r="70" spans="1:12" x14ac:dyDescent="0.3">
      <c r="A70" s="8">
        <v>69</v>
      </c>
      <c r="B70" s="1">
        <v>64</v>
      </c>
      <c r="C70" t="s">
        <v>12118</v>
      </c>
      <c r="D70" s="1" t="s">
        <v>7426</v>
      </c>
      <c r="E70" s="1" t="s">
        <v>7428</v>
      </c>
      <c r="F70" s="1">
        <v>2022</v>
      </c>
      <c r="G70" s="1" t="s">
        <v>7429</v>
      </c>
      <c r="H70" s="1" t="str">
        <f>HYPERLINK("http://dx.doi.org/10.1002/cplu.202200049","http://dx.doi.org/10.1002/cplu.202200049")</f>
        <v>http://dx.doi.org/10.1002/cplu.202200049</v>
      </c>
      <c r="I70" s="1" t="s">
        <v>7431</v>
      </c>
      <c r="J70" s="1" t="s">
        <v>7430</v>
      </c>
      <c r="K70" s="1" t="s">
        <v>42</v>
      </c>
      <c r="L70" s="1" t="s">
        <v>56</v>
      </c>
    </row>
    <row r="71" spans="1:12" x14ac:dyDescent="0.3">
      <c r="A71" s="8">
        <v>70</v>
      </c>
      <c r="B71" s="1">
        <v>65</v>
      </c>
      <c r="C71" t="s">
        <v>12118</v>
      </c>
      <c r="D71" s="1" t="s">
        <v>5496</v>
      </c>
      <c r="E71" s="1" t="s">
        <v>5498</v>
      </c>
      <c r="F71" s="1">
        <v>2023</v>
      </c>
      <c r="G71" s="1" t="s">
        <v>5499</v>
      </c>
      <c r="H71" s="1" t="str">
        <f>HYPERLINK("http://dx.doi.org/10.1016/j.idm.2022.12.005","http://dx.doi.org/10.1016/j.idm.2022.12.005")</f>
        <v>http://dx.doi.org/10.1016/j.idm.2022.12.005</v>
      </c>
      <c r="I71" s="1" t="s">
        <v>5502</v>
      </c>
      <c r="J71" s="1" t="s">
        <v>5500</v>
      </c>
      <c r="K71" s="1" t="s">
        <v>42</v>
      </c>
      <c r="L71" s="1" t="s">
        <v>56</v>
      </c>
    </row>
    <row r="72" spans="1:12" x14ac:dyDescent="0.3">
      <c r="A72" s="8">
        <v>71</v>
      </c>
      <c r="B72" s="1">
        <v>66</v>
      </c>
      <c r="C72" t="s">
        <v>12118</v>
      </c>
      <c r="D72" s="1" t="s">
        <v>2175</v>
      </c>
      <c r="E72" s="1" t="s">
        <v>2177</v>
      </c>
      <c r="F72" s="1">
        <v>2023</v>
      </c>
      <c r="G72" s="1" t="s">
        <v>2178</v>
      </c>
      <c r="H72" s="1" t="str">
        <f>HYPERLINK("http://dx.doi.org/10.1007/s10846-023-01991-3","http://dx.doi.org/10.1007/s10846-023-01991-3")</f>
        <v>http://dx.doi.org/10.1007/s10846-023-01991-3</v>
      </c>
      <c r="I72" s="1" t="s">
        <v>2180</v>
      </c>
      <c r="J72" s="1" t="s">
        <v>2179</v>
      </c>
      <c r="K72" s="1" t="s">
        <v>42</v>
      </c>
      <c r="L72" s="1" t="s">
        <v>56</v>
      </c>
    </row>
    <row r="73" spans="1:12" x14ac:dyDescent="0.3">
      <c r="A73" s="8">
        <v>72</v>
      </c>
      <c r="B73" s="1">
        <v>67</v>
      </c>
      <c r="C73" t="s">
        <v>12118</v>
      </c>
      <c r="D73" s="1" t="s">
        <v>11283</v>
      </c>
      <c r="E73" s="1" t="s">
        <v>11285</v>
      </c>
      <c r="F73" s="1">
        <v>2019</v>
      </c>
      <c r="G73" s="1" t="s">
        <v>11228</v>
      </c>
      <c r="H73" s="1" t="s">
        <v>1507</v>
      </c>
      <c r="I73" s="1" t="s">
        <v>1507</v>
      </c>
      <c r="J73" s="1" t="s">
        <v>1507</v>
      </c>
      <c r="K73" s="1" t="s">
        <v>42</v>
      </c>
      <c r="L73" s="1" t="s">
        <v>56</v>
      </c>
    </row>
    <row r="74" spans="1:12" x14ac:dyDescent="0.3">
      <c r="A74" s="8">
        <v>73</v>
      </c>
      <c r="B74">
        <v>26</v>
      </c>
      <c r="C74" t="s">
        <v>12204</v>
      </c>
      <c r="D74" t="s">
        <v>13054</v>
      </c>
      <c r="E74" t="s">
        <v>13052</v>
      </c>
      <c r="F74">
        <v>2023</v>
      </c>
      <c r="G74" t="s">
        <v>13051</v>
      </c>
      <c r="H74" t="s">
        <v>13050</v>
      </c>
      <c r="I74" t="s">
        <v>13046</v>
      </c>
      <c r="J74" t="s">
        <v>13045</v>
      </c>
      <c r="K74" t="s">
        <v>42</v>
      </c>
      <c r="L74" t="s">
        <v>56</v>
      </c>
    </row>
    <row r="75" spans="1:12" x14ac:dyDescent="0.3">
      <c r="A75" s="8">
        <v>74</v>
      </c>
      <c r="B75">
        <v>27</v>
      </c>
      <c r="C75" t="s">
        <v>12204</v>
      </c>
      <c r="D75" t="s">
        <v>12250</v>
      </c>
      <c r="E75" t="s">
        <v>868</v>
      </c>
      <c r="F75">
        <v>2019</v>
      </c>
      <c r="G75" t="s">
        <v>831</v>
      </c>
      <c r="H75" t="s">
        <v>869</v>
      </c>
      <c r="I75" t="s">
        <v>872</v>
      </c>
      <c r="J75" t="s">
        <v>873</v>
      </c>
      <c r="K75" t="s">
        <v>42</v>
      </c>
      <c r="L75" t="s">
        <v>56</v>
      </c>
    </row>
    <row r="76" spans="1:12" x14ac:dyDescent="0.3">
      <c r="A76" s="8">
        <v>75</v>
      </c>
      <c r="B76" s="1">
        <v>69</v>
      </c>
      <c r="C76" t="s">
        <v>12118</v>
      </c>
      <c r="D76" s="1" t="s">
        <v>11293</v>
      </c>
      <c r="E76" s="1" t="s">
        <v>11295</v>
      </c>
      <c r="F76" s="1">
        <v>2019</v>
      </c>
      <c r="G76" s="1" t="s">
        <v>11296</v>
      </c>
      <c r="H76" s="1" t="str">
        <f>HYPERLINK("http://dx.doi.org/10.1080/03069400.2018.1489995","http://dx.doi.org/10.1080/03069400.2018.1489995")</f>
        <v>http://dx.doi.org/10.1080/03069400.2018.1489995</v>
      </c>
      <c r="I76" s="1" t="s">
        <v>11299</v>
      </c>
      <c r="J76" s="1" t="s">
        <v>11297</v>
      </c>
      <c r="K76" s="1" t="s">
        <v>42</v>
      </c>
      <c r="L76" s="1" t="s">
        <v>56</v>
      </c>
    </row>
    <row r="77" spans="1:12" x14ac:dyDescent="0.3">
      <c r="A77" s="8">
        <v>76</v>
      </c>
      <c r="B77" s="1">
        <v>71</v>
      </c>
      <c r="C77" t="s">
        <v>12118</v>
      </c>
      <c r="D77" s="1" t="s">
        <v>11046</v>
      </c>
      <c r="E77" s="1" t="s">
        <v>11048</v>
      </c>
      <c r="F77" s="1">
        <v>2019</v>
      </c>
      <c r="G77" s="1" t="s">
        <v>11049</v>
      </c>
      <c r="H77" s="1" t="str">
        <f>HYPERLINK("http://dx.doi.org/10.1002/ece3.5192","http://dx.doi.org/10.1002/ece3.5192")</f>
        <v>http://dx.doi.org/10.1002/ece3.5192</v>
      </c>
      <c r="I77" s="1" t="s">
        <v>11052</v>
      </c>
      <c r="J77" s="1" t="s">
        <v>11050</v>
      </c>
      <c r="K77" s="1" t="s">
        <v>42</v>
      </c>
      <c r="L77" s="1" t="s">
        <v>56</v>
      </c>
    </row>
    <row r="78" spans="1:12" x14ac:dyDescent="0.3">
      <c r="A78" s="8">
        <v>77</v>
      </c>
      <c r="B78" s="1">
        <v>72</v>
      </c>
      <c r="C78" t="s">
        <v>12118</v>
      </c>
      <c r="D78" s="1" t="s">
        <v>3274</v>
      </c>
      <c r="E78" s="1" t="s">
        <v>3276</v>
      </c>
      <c r="F78" s="1">
        <v>2023</v>
      </c>
      <c r="G78" s="1" t="s">
        <v>3277</v>
      </c>
      <c r="H78" s="1" t="str">
        <f>HYPERLINK("http://dx.doi.org/10.1007/s10472-023-09894-7","http://dx.doi.org/10.1007/s10472-023-09894-7")</f>
        <v>http://dx.doi.org/10.1007/s10472-023-09894-7</v>
      </c>
      <c r="I78" s="1" t="s">
        <v>3279</v>
      </c>
      <c r="J78" s="1" t="s">
        <v>3278</v>
      </c>
      <c r="K78" s="1" t="s">
        <v>42</v>
      </c>
      <c r="L78" s="1" t="s">
        <v>1509</v>
      </c>
    </row>
    <row r="79" spans="1:12" x14ac:dyDescent="0.3">
      <c r="A79" s="8">
        <v>78</v>
      </c>
      <c r="B79" s="1">
        <v>73</v>
      </c>
      <c r="C79" t="s">
        <v>12118</v>
      </c>
      <c r="D79" s="1" t="s">
        <v>7321</v>
      </c>
      <c r="E79" s="1" t="s">
        <v>7323</v>
      </c>
      <c r="F79" s="1">
        <v>2022</v>
      </c>
      <c r="G79" s="1" t="s">
        <v>3922</v>
      </c>
      <c r="H79" s="1" t="str">
        <f>HYPERLINK("http://dx.doi.org/10.1126/sciadv.abl5209","http://dx.doi.org/10.1126/sciadv.abl5209")</f>
        <v>http://dx.doi.org/10.1126/sciadv.abl5209</v>
      </c>
      <c r="I79" s="1" t="s">
        <v>7325</v>
      </c>
      <c r="J79" s="1" t="s">
        <v>1507</v>
      </c>
      <c r="K79" s="1" t="s">
        <v>42</v>
      </c>
      <c r="L79" s="1" t="s">
        <v>56</v>
      </c>
    </row>
    <row r="80" spans="1:12" x14ac:dyDescent="0.3">
      <c r="A80" s="8">
        <v>79</v>
      </c>
      <c r="B80">
        <v>28</v>
      </c>
      <c r="C80" t="s">
        <v>12204</v>
      </c>
      <c r="D80" t="s">
        <v>404</v>
      </c>
      <c r="E80" t="s">
        <v>405</v>
      </c>
      <c r="F80">
        <v>2023</v>
      </c>
      <c r="G80" t="s">
        <v>406</v>
      </c>
      <c r="H80" t="s">
        <v>407</v>
      </c>
      <c r="I80" t="s">
        <v>410</v>
      </c>
      <c r="J80" t="s">
        <v>411</v>
      </c>
      <c r="K80" t="s">
        <v>42</v>
      </c>
      <c r="L80" t="s">
        <v>56</v>
      </c>
    </row>
    <row r="81" spans="1:78" x14ac:dyDescent="0.3">
      <c r="A81" s="8">
        <v>80</v>
      </c>
      <c r="B81">
        <v>29</v>
      </c>
      <c r="C81" t="s">
        <v>12204</v>
      </c>
      <c r="D81" t="s">
        <v>404</v>
      </c>
      <c r="E81" t="s">
        <v>1015</v>
      </c>
      <c r="F81">
        <v>2021</v>
      </c>
      <c r="G81" t="s">
        <v>1016</v>
      </c>
      <c r="H81" t="s">
        <v>1017</v>
      </c>
      <c r="I81" t="s">
        <v>1020</v>
      </c>
      <c r="J81" t="s">
        <v>1021</v>
      </c>
      <c r="K81" t="s">
        <v>42</v>
      </c>
      <c r="L81" t="s">
        <v>56</v>
      </c>
    </row>
    <row r="82" spans="1:78" x14ac:dyDescent="0.3">
      <c r="A82" s="8">
        <v>81</v>
      </c>
      <c r="B82" s="1">
        <v>75</v>
      </c>
      <c r="C82" t="s">
        <v>12118</v>
      </c>
      <c r="D82" s="1" t="s">
        <v>4510</v>
      </c>
      <c r="E82" s="1" t="s">
        <v>8176</v>
      </c>
      <c r="F82" s="1">
        <v>2021</v>
      </c>
      <c r="G82" s="1" t="s">
        <v>5077</v>
      </c>
      <c r="H82" s="1" t="str">
        <f>HYPERLINK("http://dx.doi.org/10.1016/j.system.2021.102645","http://dx.doi.org/10.1016/j.system.2021.102645")</f>
        <v>http://dx.doi.org/10.1016/j.system.2021.102645</v>
      </c>
      <c r="I82" s="1" t="s">
        <v>8179</v>
      </c>
      <c r="J82" s="1" t="s">
        <v>8177</v>
      </c>
      <c r="K82" s="1" t="s">
        <v>42</v>
      </c>
      <c r="L82" s="1" t="s">
        <v>56</v>
      </c>
    </row>
    <row r="83" spans="1:78" s="6" customFormat="1" x14ac:dyDescent="0.3">
      <c r="A83" s="8">
        <v>82</v>
      </c>
      <c r="B83" s="1">
        <v>74</v>
      </c>
      <c r="C83" t="s">
        <v>12118</v>
      </c>
      <c r="D83" s="1" t="s">
        <v>4510</v>
      </c>
      <c r="E83" s="1" t="s">
        <v>405</v>
      </c>
      <c r="F83" s="1">
        <v>2023</v>
      </c>
      <c r="G83" s="1" t="s">
        <v>4512</v>
      </c>
      <c r="H83" s="1" t="str">
        <f>HYPERLINK("http://dx.doi.org/10.1186/s40862-023-00194-5","http://dx.doi.org/10.1186/s40862-023-00194-5")</f>
        <v>http://dx.doi.org/10.1186/s40862-023-00194-5</v>
      </c>
      <c r="I83" s="1" t="s">
        <v>4515</v>
      </c>
      <c r="J83" s="1" t="s">
        <v>4513</v>
      </c>
      <c r="K83" s="1" t="s">
        <v>42</v>
      </c>
      <c r="L83" s="1" t="s">
        <v>56</v>
      </c>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row>
    <row r="84" spans="1:78" x14ac:dyDescent="0.3">
      <c r="A84" s="8">
        <v>83</v>
      </c>
      <c r="B84">
        <v>30</v>
      </c>
      <c r="C84" t="s">
        <v>12204</v>
      </c>
      <c r="D84" t="s">
        <v>13288</v>
      </c>
      <c r="E84" t="s">
        <v>467</v>
      </c>
      <c r="F84">
        <v>2023</v>
      </c>
      <c r="G84" t="s">
        <v>305</v>
      </c>
      <c r="H84" t="s">
        <v>468</v>
      </c>
      <c r="I84" t="s">
        <v>471</v>
      </c>
      <c r="J84" t="s">
        <v>472</v>
      </c>
      <c r="K84" t="s">
        <v>42</v>
      </c>
      <c r="L84" t="s">
        <v>56</v>
      </c>
    </row>
    <row r="85" spans="1:78" x14ac:dyDescent="0.3">
      <c r="A85" s="8">
        <v>84</v>
      </c>
      <c r="B85" s="1">
        <v>76</v>
      </c>
      <c r="C85" t="s">
        <v>12118</v>
      </c>
      <c r="D85" s="1" t="s">
        <v>11903</v>
      </c>
      <c r="E85" s="1" t="s">
        <v>11906</v>
      </c>
      <c r="F85" s="1">
        <v>2018</v>
      </c>
      <c r="G85" s="1" t="s">
        <v>11907</v>
      </c>
      <c r="H85" s="1" t="str">
        <f>HYPERLINK("http://dx.doi.org/10.1007/978-3-319-70479-1_15","http://dx.doi.org/10.1007/978-3-319-70479-1_15")</f>
        <v>http://dx.doi.org/10.1007/978-3-319-70479-1_15</v>
      </c>
      <c r="I85" s="1" t="s">
        <v>1507</v>
      </c>
      <c r="J85" s="1" t="s">
        <v>1507</v>
      </c>
      <c r="K85" s="1" t="s">
        <v>42</v>
      </c>
      <c r="L85" s="1" t="s">
        <v>5888</v>
      </c>
    </row>
    <row r="86" spans="1:78" x14ac:dyDescent="0.3">
      <c r="A86" s="8">
        <v>85</v>
      </c>
      <c r="B86" s="1">
        <v>77</v>
      </c>
      <c r="C86" t="s">
        <v>12118</v>
      </c>
      <c r="D86" s="1" t="s">
        <v>6695</v>
      </c>
      <c r="E86" s="1" t="s">
        <v>6697</v>
      </c>
      <c r="F86" s="1">
        <v>2022</v>
      </c>
      <c r="G86" s="1" t="s">
        <v>6698</v>
      </c>
      <c r="H86" s="1" t="str">
        <f>HYPERLINK("http://dx.doi.org/10.1080/09712119.2022.2147184","http://dx.doi.org/10.1080/09712119.2022.2147184")</f>
        <v>http://dx.doi.org/10.1080/09712119.2022.2147184</v>
      </c>
      <c r="I86" s="1" t="s">
        <v>6701</v>
      </c>
      <c r="J86" s="1" t="s">
        <v>6699</v>
      </c>
      <c r="K86" s="1" t="s">
        <v>42</v>
      </c>
      <c r="L86" s="1" t="s">
        <v>56</v>
      </c>
    </row>
    <row r="87" spans="1:78" x14ac:dyDescent="0.3">
      <c r="A87" s="8">
        <v>86</v>
      </c>
      <c r="B87" s="1">
        <v>80</v>
      </c>
      <c r="C87" t="s">
        <v>12118</v>
      </c>
      <c r="D87" s="1" t="s">
        <v>4449</v>
      </c>
      <c r="E87" s="1" t="s">
        <v>4451</v>
      </c>
      <c r="F87" s="1">
        <v>2023</v>
      </c>
      <c r="G87" s="1" t="s">
        <v>4452</v>
      </c>
      <c r="H87" s="1" t="str">
        <f>HYPERLINK("http://dx.doi.org/10.1007/s40858-023-00594-5","http://dx.doi.org/10.1007/s40858-023-00594-5")</f>
        <v>http://dx.doi.org/10.1007/s40858-023-00594-5</v>
      </c>
      <c r="I87" s="1" t="s">
        <v>4455</v>
      </c>
      <c r="J87" s="1" t="s">
        <v>4453</v>
      </c>
      <c r="K87" s="1" t="s">
        <v>42</v>
      </c>
      <c r="L87" s="1" t="s">
        <v>1509</v>
      </c>
    </row>
    <row r="88" spans="1:78" x14ac:dyDescent="0.3">
      <c r="A88" s="8">
        <v>87</v>
      </c>
      <c r="B88" s="1">
        <v>83</v>
      </c>
      <c r="C88" t="s">
        <v>12118</v>
      </c>
      <c r="D88" s="1" t="s">
        <v>8771</v>
      </c>
      <c r="E88" s="1" t="s">
        <v>8773</v>
      </c>
      <c r="F88" s="1">
        <v>2021</v>
      </c>
      <c r="G88" s="1" t="s">
        <v>8774</v>
      </c>
      <c r="H88" s="1" t="s">
        <v>1507</v>
      </c>
      <c r="I88" s="1" t="s">
        <v>8776</v>
      </c>
      <c r="J88" s="1" t="s">
        <v>1507</v>
      </c>
      <c r="K88" s="1" t="s">
        <v>42</v>
      </c>
      <c r="L88" s="1" t="s">
        <v>56</v>
      </c>
    </row>
    <row r="89" spans="1:78" x14ac:dyDescent="0.3">
      <c r="A89" s="8">
        <v>88</v>
      </c>
      <c r="B89" s="1">
        <v>84</v>
      </c>
      <c r="C89" t="s">
        <v>12118</v>
      </c>
      <c r="D89" s="1" t="s">
        <v>14868</v>
      </c>
      <c r="E89" s="1" t="s">
        <v>14870</v>
      </c>
      <c r="F89" s="1">
        <v>2023</v>
      </c>
      <c r="G89" s="1" t="s">
        <v>14871</v>
      </c>
      <c r="H89" s="1" t="str">
        <f>HYPERLINK("http://dx.doi.org/10.1109/ICDL55364.2023.10364374","http://dx.doi.org/10.1109/ICDL55364.2023.10364374")</f>
        <v>http://dx.doi.org/10.1109/ICDL55364.2023.10364374</v>
      </c>
      <c r="I89" s="1" t="s">
        <v>14875</v>
      </c>
      <c r="J89" s="1" t="s">
        <v>1507</v>
      </c>
      <c r="K89" s="1" t="s">
        <v>42</v>
      </c>
      <c r="L89" s="1" t="s">
        <v>5552</v>
      </c>
    </row>
    <row r="90" spans="1:78" s="6" customFormat="1" x14ac:dyDescent="0.3">
      <c r="A90" s="8">
        <v>89</v>
      </c>
      <c r="B90" s="1">
        <v>85</v>
      </c>
      <c r="C90" t="s">
        <v>12118</v>
      </c>
      <c r="D90" s="1" t="s">
        <v>11591</v>
      </c>
      <c r="E90" s="1" t="s">
        <v>11593</v>
      </c>
      <c r="F90" s="1">
        <v>2018</v>
      </c>
      <c r="G90" s="1" t="s">
        <v>7674</v>
      </c>
      <c r="H90" s="1" t="str">
        <f>HYPERLINK("http://dx.doi.org/10.1371/journal.pbio.2005513","http://dx.doi.org/10.1371/journal.pbio.2005513")</f>
        <v>http://dx.doi.org/10.1371/journal.pbio.2005513</v>
      </c>
      <c r="I90" s="1" t="s">
        <v>11595</v>
      </c>
      <c r="J90" s="1" t="s">
        <v>1507</v>
      </c>
      <c r="K90" s="1" t="s">
        <v>42</v>
      </c>
      <c r="L90" s="1" t="s">
        <v>56</v>
      </c>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row>
    <row r="91" spans="1:78" x14ac:dyDescent="0.3">
      <c r="A91" s="8">
        <v>90</v>
      </c>
      <c r="B91" s="1">
        <v>87</v>
      </c>
      <c r="C91" t="s">
        <v>12118</v>
      </c>
      <c r="D91" s="1" t="s">
        <v>5241</v>
      </c>
      <c r="E91" s="1" t="s">
        <v>5243</v>
      </c>
      <c r="F91" s="1">
        <v>2023</v>
      </c>
      <c r="G91" s="1" t="s">
        <v>5244</v>
      </c>
      <c r="H91" s="1" t="str">
        <f>HYPERLINK("http://dx.doi.org/10.1021/acs.energyfuels.2c04274","http://dx.doi.org/10.1021/acs.energyfuels.2c04274")</f>
        <v>http://dx.doi.org/10.1021/acs.energyfuels.2c04274</v>
      </c>
      <c r="I91" s="1" t="s">
        <v>5246</v>
      </c>
      <c r="J91" s="1" t="s">
        <v>1507</v>
      </c>
      <c r="K91" s="1" t="s">
        <v>42</v>
      </c>
      <c r="L91" s="1" t="s">
        <v>56</v>
      </c>
    </row>
    <row r="92" spans="1:78" x14ac:dyDescent="0.3">
      <c r="A92" s="8">
        <v>91</v>
      </c>
      <c r="B92" s="1">
        <v>90</v>
      </c>
      <c r="C92" t="s">
        <v>12118</v>
      </c>
      <c r="D92" s="1" t="s">
        <v>11656</v>
      </c>
      <c r="E92" s="1" t="s">
        <v>11658</v>
      </c>
      <c r="F92" s="1">
        <v>2018</v>
      </c>
      <c r="G92" s="1" t="s">
        <v>11659</v>
      </c>
      <c r="H92" s="1" t="s">
        <v>1507</v>
      </c>
      <c r="I92" s="1" t="s">
        <v>11661</v>
      </c>
      <c r="J92" s="1" t="s">
        <v>1507</v>
      </c>
      <c r="K92" s="1" t="s">
        <v>42</v>
      </c>
      <c r="L92" s="1" t="s">
        <v>56</v>
      </c>
    </row>
    <row r="93" spans="1:78" s="6" customFormat="1" x14ac:dyDescent="0.3">
      <c r="A93" s="8">
        <v>92</v>
      </c>
      <c r="B93" s="1">
        <v>91</v>
      </c>
      <c r="C93" t="s">
        <v>12118</v>
      </c>
      <c r="D93" s="1" t="s">
        <v>8727</v>
      </c>
      <c r="E93" s="1" t="s">
        <v>8729</v>
      </c>
      <c r="F93" s="1">
        <v>2021</v>
      </c>
      <c r="G93" s="1" t="s">
        <v>8730</v>
      </c>
      <c r="H93" s="1" t="str">
        <f>HYPERLINK("http://dx.doi.org/10.1093/jla/laaa004","http://dx.doi.org/10.1093/jla/laaa004")</f>
        <v>http://dx.doi.org/10.1093/jla/laaa004</v>
      </c>
      <c r="I93" s="1" t="s">
        <v>8732</v>
      </c>
      <c r="J93" s="1" t="s">
        <v>1507</v>
      </c>
      <c r="K93" s="1" t="s">
        <v>42</v>
      </c>
      <c r="L93" s="1" t="s">
        <v>56</v>
      </c>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row>
    <row r="94" spans="1:78" x14ac:dyDescent="0.3">
      <c r="A94" s="8">
        <v>93</v>
      </c>
      <c r="B94" s="1">
        <v>93</v>
      </c>
      <c r="C94" t="s">
        <v>12118</v>
      </c>
      <c r="D94" s="1" t="s">
        <v>9033</v>
      </c>
      <c r="E94" s="1" t="s">
        <v>9035</v>
      </c>
      <c r="F94" s="1">
        <v>2021</v>
      </c>
      <c r="G94" s="1" t="s">
        <v>9036</v>
      </c>
      <c r="H94" s="1" t="s">
        <v>1507</v>
      </c>
      <c r="I94" s="1" t="s">
        <v>9038</v>
      </c>
      <c r="J94" s="1" t="s">
        <v>9037</v>
      </c>
      <c r="K94" s="1" t="s">
        <v>42</v>
      </c>
      <c r="L94" s="1" t="s">
        <v>56</v>
      </c>
    </row>
    <row r="95" spans="1:78" s="6" customFormat="1" x14ac:dyDescent="0.3">
      <c r="A95" s="8">
        <v>94</v>
      </c>
      <c r="B95">
        <v>31</v>
      </c>
      <c r="C95" t="s">
        <v>12204</v>
      </c>
      <c r="D95" t="s">
        <v>13233</v>
      </c>
      <c r="E95" t="s">
        <v>693</v>
      </c>
      <c r="F95">
        <v>2023</v>
      </c>
      <c r="G95" t="s">
        <v>694</v>
      </c>
      <c r="H95" t="s">
        <v>695</v>
      </c>
      <c r="I95" t="s">
        <v>698</v>
      </c>
      <c r="J95" t="s">
        <v>699</v>
      </c>
      <c r="K95" t="s">
        <v>42</v>
      </c>
      <c r="L95" t="s">
        <v>56</v>
      </c>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row>
    <row r="96" spans="1:78" x14ac:dyDescent="0.3">
      <c r="A96" s="8">
        <v>95</v>
      </c>
      <c r="B96" s="1">
        <v>94</v>
      </c>
      <c r="C96" t="s">
        <v>12118</v>
      </c>
      <c r="D96" s="1" t="s">
        <v>5073</v>
      </c>
      <c r="E96" s="1" t="s">
        <v>693</v>
      </c>
      <c r="F96" s="1">
        <v>2023</v>
      </c>
      <c r="G96" s="1" t="s">
        <v>5075</v>
      </c>
      <c r="H96" s="1" t="str">
        <f>HYPERLINK("http://dx.doi.org/10.1016/j.jbi.2023.104370","http://dx.doi.org/10.1016/j.jbi.2023.104370")</f>
        <v>http://dx.doi.org/10.1016/j.jbi.2023.104370</v>
      </c>
      <c r="I96" s="1" t="s">
        <v>5078</v>
      </c>
      <c r="J96" s="1" t="s">
        <v>5076</v>
      </c>
      <c r="K96" s="1" t="s">
        <v>42</v>
      </c>
      <c r="L96" s="1" t="s">
        <v>56</v>
      </c>
    </row>
    <row r="97" spans="1:12" x14ac:dyDescent="0.3">
      <c r="A97" s="8">
        <v>96</v>
      </c>
      <c r="B97" s="1">
        <v>95</v>
      </c>
      <c r="C97" t="s">
        <v>12118</v>
      </c>
      <c r="D97" s="1" t="s">
        <v>11926</v>
      </c>
      <c r="E97" s="1" t="s">
        <v>11928</v>
      </c>
      <c r="F97" s="1">
        <v>2018</v>
      </c>
      <c r="G97" s="1" t="s">
        <v>11929</v>
      </c>
      <c r="H97" s="1" t="s">
        <v>1507</v>
      </c>
      <c r="I97" s="1" t="s">
        <v>11932</v>
      </c>
      <c r="J97" s="1" t="s">
        <v>11930</v>
      </c>
      <c r="K97" s="1" t="s">
        <v>42</v>
      </c>
      <c r="L97" s="1" t="s">
        <v>56</v>
      </c>
    </row>
    <row r="98" spans="1:12" x14ac:dyDescent="0.3">
      <c r="A98" s="8">
        <v>97</v>
      </c>
      <c r="B98" s="1">
        <v>96</v>
      </c>
      <c r="C98" t="s">
        <v>12118</v>
      </c>
      <c r="D98" s="1" t="s">
        <v>5653</v>
      </c>
      <c r="E98" s="1" t="s">
        <v>5655</v>
      </c>
      <c r="F98" s="1">
        <v>2023</v>
      </c>
      <c r="G98" s="1" t="s">
        <v>5656</v>
      </c>
      <c r="H98" s="1" t="str">
        <f>HYPERLINK("http://dx.doi.org/10.1145/3627106.3627196","http://dx.doi.org/10.1145/3627106.3627196")</f>
        <v>http://dx.doi.org/10.1145/3627106.3627196</v>
      </c>
      <c r="I98" s="1" t="s">
        <v>5662</v>
      </c>
      <c r="J98" s="1" t="s">
        <v>5661</v>
      </c>
      <c r="K98" s="1" t="s">
        <v>42</v>
      </c>
      <c r="L98" s="1" t="s">
        <v>5552</v>
      </c>
    </row>
    <row r="99" spans="1:12" x14ac:dyDescent="0.3">
      <c r="A99" s="8">
        <v>98</v>
      </c>
      <c r="B99" s="1">
        <v>97</v>
      </c>
      <c r="C99" t="s">
        <v>12118</v>
      </c>
      <c r="D99" s="1" t="s">
        <v>13807</v>
      </c>
      <c r="E99" s="1" t="s">
        <v>13809</v>
      </c>
      <c r="F99" s="1">
        <v>2023</v>
      </c>
      <c r="G99" s="1" t="s">
        <v>3251</v>
      </c>
      <c r="H99" s="1" t="str">
        <f>HYPERLINK("http://dx.doi.org/10.1073/pnas.2316205120","http://dx.doi.org/10.1073/pnas.2316205120")</f>
        <v>http://dx.doi.org/10.1073/pnas.2316205120</v>
      </c>
      <c r="I99" s="1" t="s">
        <v>13812</v>
      </c>
      <c r="J99" s="1" t="s">
        <v>13810</v>
      </c>
      <c r="K99" s="1" t="s">
        <v>42</v>
      </c>
      <c r="L99" s="1" t="s">
        <v>56</v>
      </c>
    </row>
    <row r="100" spans="1:12" x14ac:dyDescent="0.3">
      <c r="A100" s="8">
        <v>99</v>
      </c>
      <c r="B100" s="1">
        <v>98</v>
      </c>
      <c r="C100" t="s">
        <v>12118</v>
      </c>
      <c r="D100" s="1" t="s">
        <v>9156</v>
      </c>
      <c r="E100" s="1" t="s">
        <v>9158</v>
      </c>
      <c r="F100" s="1">
        <v>2021</v>
      </c>
      <c r="G100" s="1" t="s">
        <v>1625</v>
      </c>
      <c r="H100" s="1" t="str">
        <f>HYPERLINK("http://dx.doi.org/10.1109/ACCESS.2021.3100299","http://dx.doi.org/10.1109/ACCESS.2021.3100299")</f>
        <v>http://dx.doi.org/10.1109/ACCESS.2021.3100299</v>
      </c>
      <c r="I100" s="1" t="s">
        <v>9160</v>
      </c>
      <c r="J100" s="1" t="s">
        <v>9159</v>
      </c>
      <c r="K100" s="1" t="s">
        <v>42</v>
      </c>
      <c r="L100" s="1" t="s">
        <v>56</v>
      </c>
    </row>
    <row r="101" spans="1:12" x14ac:dyDescent="0.3">
      <c r="A101" s="8">
        <v>100</v>
      </c>
      <c r="B101" s="1">
        <v>99</v>
      </c>
      <c r="C101" t="s">
        <v>12118</v>
      </c>
      <c r="D101" s="1" t="s">
        <v>11309</v>
      </c>
      <c r="E101" s="1" t="s">
        <v>11311</v>
      </c>
      <c r="F101" s="1">
        <v>2019</v>
      </c>
      <c r="G101" s="1" t="s">
        <v>7697</v>
      </c>
      <c r="H101" s="1" t="s">
        <v>1507</v>
      </c>
      <c r="I101" s="1" t="s">
        <v>11312</v>
      </c>
      <c r="J101" s="1" t="s">
        <v>1507</v>
      </c>
      <c r="K101" s="1" t="s">
        <v>42</v>
      </c>
      <c r="L101" s="1" t="s">
        <v>56</v>
      </c>
    </row>
    <row r="102" spans="1:12" x14ac:dyDescent="0.3">
      <c r="A102" s="8">
        <v>101</v>
      </c>
      <c r="B102" s="1">
        <v>100</v>
      </c>
      <c r="C102" t="s">
        <v>12118</v>
      </c>
      <c r="D102" s="1" t="s">
        <v>7694</v>
      </c>
      <c r="E102" s="1" t="s">
        <v>7696</v>
      </c>
      <c r="F102" s="1">
        <v>2022</v>
      </c>
      <c r="G102" s="1" t="s">
        <v>7697</v>
      </c>
      <c r="H102" s="1" t="s">
        <v>1507</v>
      </c>
      <c r="I102" s="1" t="s">
        <v>7699</v>
      </c>
      <c r="J102" s="1" t="s">
        <v>1507</v>
      </c>
      <c r="K102" s="1" t="s">
        <v>42</v>
      </c>
      <c r="L102" s="1" t="s">
        <v>56</v>
      </c>
    </row>
    <row r="103" spans="1:12" x14ac:dyDescent="0.3">
      <c r="A103" s="8">
        <v>102</v>
      </c>
      <c r="B103" s="1">
        <v>101</v>
      </c>
      <c r="C103" t="s">
        <v>12118</v>
      </c>
      <c r="D103" s="1" t="s">
        <v>1697</v>
      </c>
      <c r="E103" s="1" t="s">
        <v>1699</v>
      </c>
      <c r="F103" s="1">
        <v>2023</v>
      </c>
      <c r="G103" s="1" t="s">
        <v>1657</v>
      </c>
      <c r="H103" s="1" t="str">
        <f>HYPERLINK("http://dx.doi.org/10.2196/51229","http://dx.doi.org/10.2196/51229")</f>
        <v>http://dx.doi.org/10.2196/51229</v>
      </c>
      <c r="I103" s="1" t="s">
        <v>1701</v>
      </c>
      <c r="J103" s="1" t="s">
        <v>1700</v>
      </c>
      <c r="K103" s="1" t="s">
        <v>42</v>
      </c>
      <c r="L103" s="1" t="s">
        <v>56</v>
      </c>
    </row>
    <row r="104" spans="1:12" x14ac:dyDescent="0.3">
      <c r="A104" s="8">
        <v>103</v>
      </c>
      <c r="B104" s="1">
        <v>102</v>
      </c>
      <c r="C104" t="s">
        <v>12118</v>
      </c>
      <c r="D104" s="1" t="s">
        <v>7214</v>
      </c>
      <c r="E104" s="1" t="s">
        <v>7216</v>
      </c>
      <c r="F104" s="1">
        <v>2022</v>
      </c>
      <c r="G104" s="1" t="s">
        <v>7217</v>
      </c>
      <c r="H104" s="1" t="str">
        <f>HYPERLINK("http://dx.doi.org/10.2807/1560-7917.ES.2022.27.18.2200178","http://dx.doi.org/10.2807/1560-7917.ES.2022.27.18.2200178")</f>
        <v>http://dx.doi.org/10.2807/1560-7917.ES.2022.27.18.2200178</v>
      </c>
      <c r="I104" s="1" t="s">
        <v>7218</v>
      </c>
      <c r="J104" s="1" t="s">
        <v>1507</v>
      </c>
      <c r="K104" s="1" t="s">
        <v>42</v>
      </c>
      <c r="L104" s="1" t="s">
        <v>56</v>
      </c>
    </row>
    <row r="105" spans="1:12" x14ac:dyDescent="0.3">
      <c r="A105" s="8">
        <v>104</v>
      </c>
      <c r="B105">
        <v>32</v>
      </c>
      <c r="C105" t="s">
        <v>12204</v>
      </c>
      <c r="D105" t="s">
        <v>13438</v>
      </c>
      <c r="E105" t="s">
        <v>646</v>
      </c>
      <c r="F105">
        <v>2023</v>
      </c>
      <c r="G105" t="s">
        <v>647</v>
      </c>
      <c r="H105" t="s">
        <v>648</v>
      </c>
      <c r="I105" t="s">
        <v>651</v>
      </c>
      <c r="J105" t="s">
        <v>652</v>
      </c>
      <c r="K105" t="s">
        <v>42</v>
      </c>
      <c r="L105" t="s">
        <v>56</v>
      </c>
    </row>
    <row r="106" spans="1:12" x14ac:dyDescent="0.3">
      <c r="A106" s="8">
        <v>105</v>
      </c>
      <c r="B106">
        <v>33</v>
      </c>
      <c r="C106" t="s">
        <v>12204</v>
      </c>
      <c r="D106" t="s">
        <v>13344</v>
      </c>
      <c r="E106" t="s">
        <v>581</v>
      </c>
      <c r="F106">
        <v>2023</v>
      </c>
      <c r="G106" t="s">
        <v>486</v>
      </c>
      <c r="H106" t="s">
        <v>584</v>
      </c>
      <c r="I106" t="s">
        <v>587</v>
      </c>
      <c r="K106" t="s">
        <v>42</v>
      </c>
      <c r="L106" t="s">
        <v>56</v>
      </c>
    </row>
    <row r="107" spans="1:12" x14ac:dyDescent="0.3">
      <c r="A107" s="8">
        <v>106</v>
      </c>
      <c r="B107" s="1">
        <v>104</v>
      </c>
      <c r="C107" t="s">
        <v>12118</v>
      </c>
      <c r="D107" s="1" t="s">
        <v>5674</v>
      </c>
      <c r="E107" s="1" t="s">
        <v>5676</v>
      </c>
      <c r="F107" s="1">
        <v>2023</v>
      </c>
      <c r="G107" s="1" t="s">
        <v>5677</v>
      </c>
      <c r="H107" s="1" t="str">
        <f>HYPERLINK("http://dx.doi.org/10.1145/3604930.3605705","http://dx.doi.org/10.1145/3604930.3605705")</f>
        <v>http://dx.doi.org/10.1145/3604930.3605705</v>
      </c>
      <c r="I107" s="1" t="s">
        <v>5684</v>
      </c>
      <c r="J107" s="1" t="s">
        <v>5683</v>
      </c>
      <c r="K107" s="1" t="s">
        <v>42</v>
      </c>
      <c r="L107" s="1" t="s">
        <v>5552</v>
      </c>
    </row>
    <row r="108" spans="1:12" x14ac:dyDescent="0.3">
      <c r="A108" s="8">
        <v>107</v>
      </c>
      <c r="B108">
        <v>34</v>
      </c>
      <c r="C108" t="s">
        <v>12204</v>
      </c>
      <c r="D108" t="s">
        <v>12244</v>
      </c>
      <c r="E108" t="s">
        <v>839</v>
      </c>
      <c r="F108">
        <v>2019</v>
      </c>
      <c r="G108" t="s">
        <v>840</v>
      </c>
      <c r="I108" t="s">
        <v>844</v>
      </c>
      <c r="J108" t="s">
        <v>845</v>
      </c>
      <c r="K108" t="s">
        <v>42</v>
      </c>
      <c r="L108" t="s">
        <v>56</v>
      </c>
    </row>
    <row r="109" spans="1:12" x14ac:dyDescent="0.3">
      <c r="A109" s="8">
        <v>108</v>
      </c>
      <c r="B109" s="1">
        <v>105</v>
      </c>
      <c r="C109" t="s">
        <v>12118</v>
      </c>
      <c r="D109" s="1" t="s">
        <v>10979</v>
      </c>
      <c r="E109" s="1" t="s">
        <v>10981</v>
      </c>
      <c r="F109" s="1">
        <v>2019</v>
      </c>
      <c r="G109" s="1" t="s">
        <v>10982</v>
      </c>
      <c r="H109" s="1" t="str">
        <f>HYPERLINK("http://dx.doi.org/10.22055/RALS.2019.14672","http://dx.doi.org/10.22055/RALS.2019.14672")</f>
        <v>http://dx.doi.org/10.22055/RALS.2019.14672</v>
      </c>
      <c r="I109" s="1" t="s">
        <v>10984</v>
      </c>
      <c r="J109" s="1" t="s">
        <v>10983</v>
      </c>
      <c r="K109" s="1" t="s">
        <v>42</v>
      </c>
      <c r="L109" s="1" t="s">
        <v>56</v>
      </c>
    </row>
    <row r="110" spans="1:12" x14ac:dyDescent="0.3">
      <c r="A110" s="8">
        <v>109</v>
      </c>
      <c r="B110" s="1">
        <v>106</v>
      </c>
      <c r="C110" t="s">
        <v>12118</v>
      </c>
      <c r="D110" s="1" t="s">
        <v>9020</v>
      </c>
      <c r="E110" s="1" t="s">
        <v>9022</v>
      </c>
      <c r="F110" s="1">
        <v>2021</v>
      </c>
      <c r="G110" s="1" t="s">
        <v>5166</v>
      </c>
      <c r="H110" s="1" t="str">
        <f>HYPERLINK("http://dx.doi.org/10.1108/JMLC-10-2020-0120","http://dx.doi.org/10.1108/JMLC-10-2020-0120")</f>
        <v>http://dx.doi.org/10.1108/JMLC-10-2020-0120</v>
      </c>
      <c r="I110" s="1" t="s">
        <v>9024</v>
      </c>
      <c r="J110" s="1" t="s">
        <v>9023</v>
      </c>
      <c r="K110" s="1" t="s">
        <v>42</v>
      </c>
      <c r="L110" s="1" t="s">
        <v>56</v>
      </c>
    </row>
    <row r="111" spans="1:12" x14ac:dyDescent="0.3">
      <c r="A111" s="8">
        <v>110</v>
      </c>
      <c r="B111" s="1">
        <v>109</v>
      </c>
      <c r="C111" t="s">
        <v>12118</v>
      </c>
      <c r="D111" s="1" t="s">
        <v>5163</v>
      </c>
      <c r="E111" s="1" t="s">
        <v>6913</v>
      </c>
      <c r="F111" s="1">
        <v>2022</v>
      </c>
      <c r="G111" s="1" t="s">
        <v>5166</v>
      </c>
      <c r="H111" s="1" t="str">
        <f>HYPERLINK("http://dx.doi.org/10.1108/JMLC-07-2022-0102","http://dx.doi.org/10.1108/JMLC-07-2022-0102")</f>
        <v>http://dx.doi.org/10.1108/JMLC-07-2022-0102</v>
      </c>
      <c r="I111" s="1" t="s">
        <v>6915</v>
      </c>
      <c r="J111" s="1" t="s">
        <v>6914</v>
      </c>
      <c r="K111" s="1" t="s">
        <v>42</v>
      </c>
      <c r="L111" s="1" t="s">
        <v>56</v>
      </c>
    </row>
    <row r="112" spans="1:12" x14ac:dyDescent="0.3">
      <c r="A112" s="8">
        <v>111</v>
      </c>
      <c r="B112" s="1">
        <v>107</v>
      </c>
      <c r="C112" t="s">
        <v>12118</v>
      </c>
      <c r="D112" s="1" t="s">
        <v>5163</v>
      </c>
      <c r="E112" s="1" t="s">
        <v>5165</v>
      </c>
      <c r="F112" s="1">
        <v>2023</v>
      </c>
      <c r="G112" s="1" t="s">
        <v>5166</v>
      </c>
      <c r="H112" s="1" t="str">
        <f>HYPERLINK("http://dx.doi.org/10.1108/JMLC-01-2023-0016","http://dx.doi.org/10.1108/JMLC-01-2023-0016")</f>
        <v>http://dx.doi.org/10.1108/JMLC-01-2023-0016</v>
      </c>
      <c r="I112" s="1" t="s">
        <v>5168</v>
      </c>
      <c r="J112" s="1" t="s">
        <v>5167</v>
      </c>
      <c r="K112" s="1" t="s">
        <v>42</v>
      </c>
      <c r="L112" s="1" t="s">
        <v>56</v>
      </c>
    </row>
    <row r="113" spans="1:78" x14ac:dyDescent="0.3">
      <c r="A113" s="8">
        <v>112</v>
      </c>
      <c r="B113" s="1">
        <v>108</v>
      </c>
      <c r="C113" t="s">
        <v>12118</v>
      </c>
      <c r="D113" s="1" t="s">
        <v>5163</v>
      </c>
      <c r="E113" s="1" t="s">
        <v>5306</v>
      </c>
      <c r="F113" s="1">
        <v>2023</v>
      </c>
      <c r="G113" s="1" t="s">
        <v>5166</v>
      </c>
      <c r="H113" s="1" t="str">
        <f>HYPERLINK("http://dx.doi.org/10.1108/JMLC-01-2023-0004","http://dx.doi.org/10.1108/JMLC-01-2023-0004")</f>
        <v>http://dx.doi.org/10.1108/JMLC-01-2023-0004</v>
      </c>
      <c r="I113" s="1" t="s">
        <v>5308</v>
      </c>
      <c r="J113" s="1" t="s">
        <v>5307</v>
      </c>
      <c r="K113" s="1" t="s">
        <v>42</v>
      </c>
      <c r="L113" s="1" t="s">
        <v>56</v>
      </c>
    </row>
    <row r="114" spans="1:78" x14ac:dyDescent="0.3">
      <c r="A114" s="8">
        <v>113</v>
      </c>
      <c r="B114" s="1">
        <v>111</v>
      </c>
      <c r="C114" t="s">
        <v>12118</v>
      </c>
      <c r="D114" s="1" t="s">
        <v>2499</v>
      </c>
      <c r="E114" s="1" t="s">
        <v>2501</v>
      </c>
      <c r="F114" s="1">
        <v>2023</v>
      </c>
      <c r="G114" s="1" t="s">
        <v>2502</v>
      </c>
      <c r="H114" s="1" t="str">
        <f>HYPERLINK("http://dx.doi.org/10.1186/s12909-023-04832-x","http://dx.doi.org/10.1186/s12909-023-04832-x")</f>
        <v>http://dx.doi.org/10.1186/s12909-023-04832-x</v>
      </c>
      <c r="I114" s="1" t="s">
        <v>2504</v>
      </c>
      <c r="J114" s="1" t="s">
        <v>2503</v>
      </c>
      <c r="K114" s="1" t="s">
        <v>42</v>
      </c>
      <c r="L114" s="1" t="s">
        <v>56</v>
      </c>
    </row>
    <row r="115" spans="1:78" x14ac:dyDescent="0.3">
      <c r="A115" s="8">
        <v>114</v>
      </c>
      <c r="B115">
        <v>35</v>
      </c>
      <c r="C115" t="s">
        <v>12204</v>
      </c>
      <c r="D115" t="s">
        <v>12946</v>
      </c>
      <c r="E115" t="s">
        <v>195</v>
      </c>
      <c r="F115">
        <v>2023</v>
      </c>
      <c r="G115" t="s">
        <v>196</v>
      </c>
      <c r="H115" t="s">
        <v>197</v>
      </c>
      <c r="I115" t="s">
        <v>12943</v>
      </c>
      <c r="J115" t="s">
        <v>201</v>
      </c>
      <c r="K115" t="s">
        <v>42</v>
      </c>
      <c r="L115" t="s">
        <v>12252</v>
      </c>
    </row>
    <row r="116" spans="1:78" s="6" customFormat="1" x14ac:dyDescent="0.3">
      <c r="A116" s="8">
        <v>115</v>
      </c>
      <c r="B116" s="1">
        <v>112</v>
      </c>
      <c r="C116" t="s">
        <v>12118</v>
      </c>
      <c r="D116" s="1" t="s">
        <v>6739</v>
      </c>
      <c r="E116" s="1" t="s">
        <v>6741</v>
      </c>
      <c r="F116" s="1">
        <v>2023</v>
      </c>
      <c r="G116" s="1" t="s">
        <v>4943</v>
      </c>
      <c r="H116" s="1" t="str">
        <f>HYPERLINK("http://dx.doi.org/10.5551/jat.63389","http://dx.doi.org/10.5551/jat.63389")</f>
        <v>http://dx.doi.org/10.5551/jat.63389</v>
      </c>
      <c r="I116" s="1" t="s">
        <v>6744</v>
      </c>
      <c r="J116" s="1" t="s">
        <v>6742</v>
      </c>
      <c r="K116" s="1" t="s">
        <v>42</v>
      </c>
      <c r="L116" s="1" t="s">
        <v>56</v>
      </c>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row>
    <row r="117" spans="1:78" x14ac:dyDescent="0.3">
      <c r="A117" s="8">
        <v>116</v>
      </c>
      <c r="B117">
        <v>36</v>
      </c>
      <c r="C117" t="s">
        <v>12204</v>
      </c>
      <c r="D117" t="s">
        <v>13494</v>
      </c>
      <c r="E117" t="s">
        <v>714</v>
      </c>
      <c r="F117">
        <v>2023</v>
      </c>
      <c r="G117" t="s">
        <v>715</v>
      </c>
      <c r="H117" t="s">
        <v>716</v>
      </c>
      <c r="I117" t="s">
        <v>718</v>
      </c>
      <c r="J117" t="s">
        <v>719</v>
      </c>
      <c r="K117" t="s">
        <v>42</v>
      </c>
      <c r="L117" t="s">
        <v>56</v>
      </c>
    </row>
    <row r="118" spans="1:78" s="6" customFormat="1" x14ac:dyDescent="0.3">
      <c r="A118" s="8">
        <v>117</v>
      </c>
      <c r="B118" s="1">
        <v>113</v>
      </c>
      <c r="C118" t="s">
        <v>12118</v>
      </c>
      <c r="D118" s="1" t="s">
        <v>3491</v>
      </c>
      <c r="E118" s="1" t="s">
        <v>714</v>
      </c>
      <c r="F118" s="1">
        <v>2023</v>
      </c>
      <c r="G118" s="1" t="s">
        <v>3493</v>
      </c>
      <c r="H118" s="1" t="str">
        <f>HYPERLINK("http://dx.doi.org/10.3366/ijhac.2023.0310","http://dx.doi.org/10.3366/ijhac.2023.0310")</f>
        <v>http://dx.doi.org/10.3366/ijhac.2023.0310</v>
      </c>
      <c r="I118" s="1" t="s">
        <v>3495</v>
      </c>
      <c r="J118" s="1" t="s">
        <v>3494</v>
      </c>
      <c r="K118" s="1" t="s">
        <v>42</v>
      </c>
      <c r="L118" s="1" t="s">
        <v>56</v>
      </c>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row>
    <row r="119" spans="1:78" x14ac:dyDescent="0.3">
      <c r="A119" s="8">
        <v>118</v>
      </c>
      <c r="B119">
        <v>37</v>
      </c>
      <c r="C119" t="s">
        <v>12204</v>
      </c>
      <c r="D119" t="s">
        <v>13284</v>
      </c>
      <c r="E119" t="s">
        <v>58</v>
      </c>
      <c r="F119">
        <v>2023</v>
      </c>
      <c r="G119" t="s">
        <v>59</v>
      </c>
      <c r="H119" t="s">
        <v>60</v>
      </c>
      <c r="I119" t="s">
        <v>13281</v>
      </c>
      <c r="J119" t="s">
        <v>63</v>
      </c>
      <c r="K119" t="s">
        <v>42</v>
      </c>
      <c r="L119" t="s">
        <v>12252</v>
      </c>
    </row>
    <row r="120" spans="1:78" x14ac:dyDescent="0.3">
      <c r="A120" s="8">
        <v>119</v>
      </c>
      <c r="B120" s="1">
        <v>114</v>
      </c>
      <c r="C120" t="s">
        <v>12118</v>
      </c>
      <c r="D120" s="1" t="s">
        <v>5698</v>
      </c>
      <c r="E120" s="1" t="s">
        <v>58</v>
      </c>
      <c r="F120" s="1">
        <v>2023</v>
      </c>
      <c r="G120" s="1" t="s">
        <v>5700</v>
      </c>
      <c r="H120" s="1" t="str">
        <f>HYPERLINK("http://dx.doi.org/10.1145/3587102.3588814","http://dx.doi.org/10.1145/3587102.3588814")</f>
        <v>http://dx.doi.org/10.1145/3587102.3588814</v>
      </c>
      <c r="I120" s="1" t="s">
        <v>5707</v>
      </c>
      <c r="J120" s="1" t="s">
        <v>5706</v>
      </c>
      <c r="K120" s="1" t="s">
        <v>42</v>
      </c>
      <c r="L120" s="1" t="s">
        <v>5552</v>
      </c>
    </row>
    <row r="121" spans="1:78" x14ac:dyDescent="0.3">
      <c r="A121" s="8">
        <v>120</v>
      </c>
      <c r="B121" s="1">
        <v>115</v>
      </c>
      <c r="C121" t="s">
        <v>12118</v>
      </c>
      <c r="D121" s="1" t="s">
        <v>4813</v>
      </c>
      <c r="E121" s="1" t="s">
        <v>4815</v>
      </c>
      <c r="F121" s="1">
        <v>2023</v>
      </c>
      <c r="G121" s="1" t="s">
        <v>4816</v>
      </c>
      <c r="H121" s="1" t="str">
        <f>HYPERLINK("http://dx.doi.org/10.1002/ps.7557","http://dx.doi.org/10.1002/ps.7557")</f>
        <v>http://dx.doi.org/10.1002/ps.7557</v>
      </c>
      <c r="I121" s="1" t="s">
        <v>4819</v>
      </c>
      <c r="J121" s="1" t="s">
        <v>4817</v>
      </c>
      <c r="K121" s="1" t="s">
        <v>42</v>
      </c>
      <c r="L121" s="1" t="s">
        <v>56</v>
      </c>
    </row>
    <row r="122" spans="1:78" x14ac:dyDescent="0.3">
      <c r="A122" s="8">
        <v>121</v>
      </c>
      <c r="B122" s="1">
        <v>116</v>
      </c>
      <c r="C122" t="s">
        <v>12118</v>
      </c>
      <c r="D122" s="1" t="s">
        <v>4635</v>
      </c>
      <c r="E122" s="1" t="s">
        <v>4637</v>
      </c>
      <c r="F122" s="1">
        <v>2023</v>
      </c>
      <c r="G122" s="1" t="s">
        <v>2982</v>
      </c>
      <c r="H122" s="1" t="str">
        <f>HYPERLINK("http://dx.doi.org/10.1007/s00146-023-01710-4","http://dx.doi.org/10.1007/s00146-023-01710-4")</f>
        <v>http://dx.doi.org/10.1007/s00146-023-01710-4</v>
      </c>
      <c r="I122" s="1" t="s">
        <v>4639</v>
      </c>
      <c r="J122" s="1" t="s">
        <v>4638</v>
      </c>
      <c r="K122" s="1" t="s">
        <v>42</v>
      </c>
      <c r="L122" s="1" t="s">
        <v>1509</v>
      </c>
    </row>
    <row r="123" spans="1:78" x14ac:dyDescent="0.3">
      <c r="A123" s="8">
        <v>122</v>
      </c>
      <c r="B123" s="1">
        <v>117</v>
      </c>
      <c r="C123" t="s">
        <v>12118</v>
      </c>
      <c r="D123" s="1" t="s">
        <v>4293</v>
      </c>
      <c r="E123" s="1" t="s">
        <v>4295</v>
      </c>
      <c r="F123" s="1">
        <v>2023</v>
      </c>
      <c r="G123" s="1" t="s">
        <v>4296</v>
      </c>
      <c r="H123" s="1" t="str">
        <f>HYPERLINK("http://dx.doi.org/10.3847/1538-4365/acdee1","http://dx.doi.org/10.3847/1538-4365/acdee1")</f>
        <v>http://dx.doi.org/10.3847/1538-4365/acdee1</v>
      </c>
      <c r="I123" s="1" t="s">
        <v>4298</v>
      </c>
      <c r="J123" s="1" t="s">
        <v>1507</v>
      </c>
      <c r="K123" s="1" t="s">
        <v>42</v>
      </c>
      <c r="L123" s="1" t="s">
        <v>56</v>
      </c>
    </row>
    <row r="124" spans="1:78" x14ac:dyDescent="0.3">
      <c r="A124" s="8">
        <v>123</v>
      </c>
      <c r="B124">
        <v>38</v>
      </c>
      <c r="C124" t="s">
        <v>12204</v>
      </c>
      <c r="D124" t="s">
        <v>12703</v>
      </c>
      <c r="E124" t="s">
        <v>933</v>
      </c>
      <c r="F124">
        <v>2023</v>
      </c>
      <c r="G124" t="s">
        <v>934</v>
      </c>
      <c r="H124" t="s">
        <v>935</v>
      </c>
      <c r="I124" t="s">
        <v>938</v>
      </c>
      <c r="J124" t="s">
        <v>939</v>
      </c>
      <c r="K124" t="s">
        <v>42</v>
      </c>
      <c r="L124" t="s">
        <v>56</v>
      </c>
    </row>
    <row r="125" spans="1:78" x14ac:dyDescent="0.3">
      <c r="A125" s="8">
        <v>124</v>
      </c>
      <c r="B125" s="1">
        <v>118</v>
      </c>
      <c r="C125" t="s">
        <v>12118</v>
      </c>
      <c r="D125" s="1" t="s">
        <v>7117</v>
      </c>
      <c r="E125" s="1" t="s">
        <v>7119</v>
      </c>
      <c r="F125" s="1">
        <v>2022</v>
      </c>
      <c r="G125" s="1" t="s">
        <v>7120</v>
      </c>
      <c r="H125" s="1" t="str">
        <f>HYPERLINK("http://dx.doi.org/10.1016/j.vaccine.2022.05.033","http://dx.doi.org/10.1016/j.vaccine.2022.05.033")</f>
        <v>http://dx.doi.org/10.1016/j.vaccine.2022.05.033</v>
      </c>
      <c r="I125" s="1" t="s">
        <v>7123</v>
      </c>
      <c r="J125" s="1" t="s">
        <v>7121</v>
      </c>
      <c r="K125" s="1" t="s">
        <v>42</v>
      </c>
      <c r="L125" s="1" t="s">
        <v>56</v>
      </c>
    </row>
    <row r="126" spans="1:78" s="6" customFormat="1" x14ac:dyDescent="0.3">
      <c r="A126" s="8">
        <v>125</v>
      </c>
      <c r="B126" s="1">
        <v>119</v>
      </c>
      <c r="C126" t="s">
        <v>12118</v>
      </c>
      <c r="D126" s="1" t="s">
        <v>5719</v>
      </c>
      <c r="E126" s="1" t="s">
        <v>933</v>
      </c>
      <c r="F126" s="1">
        <v>2023</v>
      </c>
      <c r="G126" s="1" t="s">
        <v>5721</v>
      </c>
      <c r="H126" s="1" t="str">
        <f>HYPERLINK("http://dx.doi.org/10.14742/ajet.8598","http://dx.doi.org/10.14742/ajet.8598")</f>
        <v>http://dx.doi.org/10.14742/ajet.8598</v>
      </c>
      <c r="I126" s="1" t="s">
        <v>5724</v>
      </c>
      <c r="J126" s="1" t="s">
        <v>5722</v>
      </c>
      <c r="K126" s="1" t="s">
        <v>42</v>
      </c>
      <c r="L126" s="1" t="s">
        <v>56</v>
      </c>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row>
    <row r="127" spans="1:78" x14ac:dyDescent="0.3">
      <c r="A127" s="8">
        <v>126</v>
      </c>
      <c r="B127">
        <v>39</v>
      </c>
      <c r="C127" t="s">
        <v>12204</v>
      </c>
      <c r="D127" t="s">
        <v>12357</v>
      </c>
      <c r="E127" t="s">
        <v>1221</v>
      </c>
      <c r="F127">
        <v>2023</v>
      </c>
      <c r="G127" t="s">
        <v>797</v>
      </c>
      <c r="H127" t="s">
        <v>1222</v>
      </c>
      <c r="I127" t="s">
        <v>1225</v>
      </c>
      <c r="J127" t="s">
        <v>1226</v>
      </c>
      <c r="K127" t="s">
        <v>42</v>
      </c>
      <c r="L127" t="s">
        <v>56</v>
      </c>
    </row>
    <row r="128" spans="1:78" x14ac:dyDescent="0.3">
      <c r="A128" s="8">
        <v>127</v>
      </c>
      <c r="B128">
        <v>40</v>
      </c>
      <c r="C128" t="s">
        <v>12204</v>
      </c>
      <c r="D128" t="s">
        <v>12403</v>
      </c>
      <c r="E128" t="s">
        <v>1285</v>
      </c>
      <c r="F128">
        <v>2023</v>
      </c>
      <c r="G128" t="s">
        <v>797</v>
      </c>
      <c r="H128" t="s">
        <v>1286</v>
      </c>
      <c r="I128" t="s">
        <v>1289</v>
      </c>
      <c r="J128" t="s">
        <v>1290</v>
      </c>
      <c r="K128" t="s">
        <v>42</v>
      </c>
      <c r="L128" t="s">
        <v>56</v>
      </c>
    </row>
    <row r="129" spans="1:78" x14ac:dyDescent="0.3">
      <c r="A129" s="8">
        <v>128</v>
      </c>
      <c r="B129" s="1">
        <v>120</v>
      </c>
      <c r="C129" t="s">
        <v>12118</v>
      </c>
      <c r="D129" s="1" t="s">
        <v>5763</v>
      </c>
      <c r="E129" s="1" t="s">
        <v>5765</v>
      </c>
      <c r="F129" s="1">
        <v>2023</v>
      </c>
      <c r="G129" s="1" t="s">
        <v>5740</v>
      </c>
      <c r="H129" s="1" t="str">
        <f>HYPERLINK("http://dx.doi.org/10.53761/1.20.3.02","http://dx.doi.org/10.53761/1.20.3.02")</f>
        <v>http://dx.doi.org/10.53761/1.20.3.02</v>
      </c>
      <c r="I129" s="1" t="s">
        <v>5768</v>
      </c>
      <c r="J129" s="1" t="s">
        <v>5766</v>
      </c>
      <c r="K129" s="1" t="s">
        <v>42</v>
      </c>
      <c r="L129" s="1" t="s">
        <v>56</v>
      </c>
    </row>
    <row r="130" spans="1:78" x14ac:dyDescent="0.3">
      <c r="A130" s="8">
        <v>129</v>
      </c>
      <c r="B130" s="1">
        <v>121</v>
      </c>
      <c r="C130" t="s">
        <v>12118</v>
      </c>
      <c r="D130" s="1" t="s">
        <v>5756</v>
      </c>
      <c r="E130" s="1" t="s">
        <v>1285</v>
      </c>
      <c r="F130" s="1">
        <v>2023</v>
      </c>
      <c r="G130" s="1" t="s">
        <v>5740</v>
      </c>
      <c r="H130" s="1" t="s">
        <v>1507</v>
      </c>
      <c r="I130" s="1" t="s">
        <v>5759</v>
      </c>
      <c r="J130" s="1" t="s">
        <v>5758</v>
      </c>
      <c r="K130" s="1" t="s">
        <v>42</v>
      </c>
      <c r="L130" s="1" t="s">
        <v>56</v>
      </c>
    </row>
    <row r="131" spans="1:78" x14ac:dyDescent="0.3">
      <c r="A131" s="8">
        <v>130</v>
      </c>
      <c r="B131" s="1">
        <v>122</v>
      </c>
      <c r="C131" t="s">
        <v>12118</v>
      </c>
      <c r="D131" s="1" t="s">
        <v>5737</v>
      </c>
      <c r="E131" s="1" t="s">
        <v>5739</v>
      </c>
      <c r="F131" s="1">
        <v>2023</v>
      </c>
      <c r="G131" s="1" t="s">
        <v>5740</v>
      </c>
      <c r="H131" s="1" t="str">
        <f>HYPERLINK("http://dx.doi.org/10.53761/1.20.7.01","http://dx.doi.org/10.53761/1.20.7.01")</f>
        <v>http://dx.doi.org/10.53761/1.20.7.01</v>
      </c>
      <c r="I131" s="1" t="s">
        <v>5743</v>
      </c>
      <c r="J131" s="1" t="s">
        <v>5741</v>
      </c>
      <c r="K131" s="1" t="s">
        <v>42</v>
      </c>
      <c r="L131" s="1" t="s">
        <v>56</v>
      </c>
    </row>
    <row r="132" spans="1:78" x14ac:dyDescent="0.3">
      <c r="A132" s="8">
        <v>131</v>
      </c>
      <c r="B132">
        <v>42</v>
      </c>
      <c r="C132" t="s">
        <v>12204</v>
      </c>
      <c r="D132" t="s">
        <v>12815</v>
      </c>
      <c r="E132" t="s">
        <v>233</v>
      </c>
      <c r="F132">
        <v>2023</v>
      </c>
      <c r="G132" t="s">
        <v>234</v>
      </c>
      <c r="H132" t="s">
        <v>235</v>
      </c>
      <c r="I132" t="s">
        <v>238</v>
      </c>
      <c r="J132" t="s">
        <v>239</v>
      </c>
      <c r="K132" t="s">
        <v>42</v>
      </c>
      <c r="L132" t="s">
        <v>56</v>
      </c>
      <c r="BB132" s="6"/>
      <c r="BC132" s="6"/>
      <c r="BD132" s="6"/>
      <c r="BE132" s="6"/>
      <c r="BF132" s="6"/>
      <c r="BG132" s="6"/>
      <c r="BH132" s="6"/>
      <c r="BI132" s="6"/>
      <c r="BJ132" s="6"/>
      <c r="BK132" s="6"/>
      <c r="BL132" s="6"/>
      <c r="BM132" s="6"/>
      <c r="BN132" s="6"/>
      <c r="BO132" s="6"/>
      <c r="BP132" s="6"/>
      <c r="BQ132" s="6"/>
      <c r="BR132" s="6"/>
      <c r="BS132" s="6"/>
      <c r="BT132" s="6"/>
    </row>
    <row r="133" spans="1:78" x14ac:dyDescent="0.3">
      <c r="A133" s="8">
        <v>132</v>
      </c>
      <c r="B133" s="1">
        <v>123</v>
      </c>
      <c r="C133" t="s">
        <v>12118</v>
      </c>
      <c r="D133" s="1" t="s">
        <v>5774</v>
      </c>
      <c r="E133" s="1" t="s">
        <v>233</v>
      </c>
      <c r="F133" s="1">
        <v>2023</v>
      </c>
      <c r="G133" s="1" t="s">
        <v>5776</v>
      </c>
      <c r="H133" s="1" t="str">
        <f>HYPERLINK("http://dx.doi.org/10.17323/jle.2023.17379","http://dx.doi.org/10.17323/jle.2023.17379")</f>
        <v>http://dx.doi.org/10.17323/jle.2023.17379</v>
      </c>
      <c r="I133" s="1" t="s">
        <v>5779</v>
      </c>
      <c r="J133" s="1" t="s">
        <v>5777</v>
      </c>
      <c r="K133" s="1" t="s">
        <v>42</v>
      </c>
      <c r="L133" s="1" t="s">
        <v>56</v>
      </c>
    </row>
    <row r="134" spans="1:78" x14ac:dyDescent="0.3">
      <c r="A134" s="8">
        <v>133</v>
      </c>
      <c r="B134" s="1">
        <v>124</v>
      </c>
      <c r="C134" t="s">
        <v>12118</v>
      </c>
      <c r="D134" s="1" t="s">
        <v>4529</v>
      </c>
      <c r="E134" s="1" t="s">
        <v>4531</v>
      </c>
      <c r="F134" s="1">
        <v>2023</v>
      </c>
      <c r="G134" s="1" t="s">
        <v>3083</v>
      </c>
      <c r="H134" s="1" t="str">
        <f>HYPERLINK("http://dx.doi.org/10.7759/cureus.41399","http://dx.doi.org/10.7759/cureus.41399")</f>
        <v>http://dx.doi.org/10.7759/cureus.41399</v>
      </c>
      <c r="I134" s="1" t="s">
        <v>4533</v>
      </c>
      <c r="J134" s="1" t="s">
        <v>4532</v>
      </c>
      <c r="K134" s="1" t="s">
        <v>42</v>
      </c>
      <c r="L134" s="1" t="s">
        <v>56</v>
      </c>
    </row>
    <row r="135" spans="1:78" x14ac:dyDescent="0.3">
      <c r="A135" s="8">
        <v>134</v>
      </c>
      <c r="B135" s="1">
        <v>125</v>
      </c>
      <c r="C135" t="s">
        <v>12118</v>
      </c>
      <c r="D135" s="1" t="s">
        <v>2703</v>
      </c>
      <c r="E135" s="1" t="s">
        <v>2705</v>
      </c>
      <c r="F135" s="1">
        <v>2023</v>
      </c>
      <c r="G135" s="1" t="s">
        <v>2706</v>
      </c>
      <c r="H135" s="1" t="str">
        <f>HYPERLINK("http://dx.doi.org/10.1128/jmbe.00153-23","http://dx.doi.org/10.1128/jmbe.00153-23")</f>
        <v>http://dx.doi.org/10.1128/jmbe.00153-23</v>
      </c>
      <c r="I135" s="1" t="s">
        <v>2709</v>
      </c>
      <c r="J135" s="1" t="s">
        <v>2707</v>
      </c>
      <c r="K135" s="1" t="s">
        <v>42</v>
      </c>
      <c r="L135" s="1" t="s">
        <v>56</v>
      </c>
    </row>
    <row r="136" spans="1:78" x14ac:dyDescent="0.3">
      <c r="A136" s="8">
        <v>135</v>
      </c>
      <c r="B136" s="1">
        <v>126</v>
      </c>
      <c r="C136" t="s">
        <v>12118</v>
      </c>
      <c r="D136" s="1" t="s">
        <v>10865</v>
      </c>
      <c r="E136" s="1" t="s">
        <v>10867</v>
      </c>
      <c r="F136" s="1">
        <v>2019</v>
      </c>
      <c r="G136" s="1" t="s">
        <v>10868</v>
      </c>
      <c r="H136" s="1" t="str">
        <f>HYPERLINK("http://dx.doi.org/10.1186/s13054-019-2505-7","http://dx.doi.org/10.1186/s13054-019-2505-7")</f>
        <v>http://dx.doi.org/10.1186/s13054-019-2505-7</v>
      </c>
      <c r="I136" s="1" t="s">
        <v>10871</v>
      </c>
      <c r="J136" s="1" t="s">
        <v>10869</v>
      </c>
      <c r="K136" s="1" t="s">
        <v>42</v>
      </c>
      <c r="L136" s="1" t="s">
        <v>56</v>
      </c>
    </row>
    <row r="137" spans="1:78" x14ac:dyDescent="0.3">
      <c r="A137" s="8">
        <v>136</v>
      </c>
      <c r="B137" s="1">
        <v>128</v>
      </c>
      <c r="C137" t="s">
        <v>12118</v>
      </c>
      <c r="D137" s="1" t="s">
        <v>14896</v>
      </c>
      <c r="E137" s="1" t="s">
        <v>14898</v>
      </c>
      <c r="F137" s="1">
        <v>2023</v>
      </c>
      <c r="G137" s="1" t="s">
        <v>14899</v>
      </c>
      <c r="H137" s="1" t="str">
        <f>HYPERLINK("http://dx.doi.org/10.1145/3604915.3610646","http://dx.doi.org/10.1145/3604915.3610646")</f>
        <v>http://dx.doi.org/10.1145/3604915.3610646</v>
      </c>
      <c r="I137" s="1" t="s">
        <v>14903</v>
      </c>
      <c r="J137" s="1" t="s">
        <v>14902</v>
      </c>
      <c r="K137" s="1" t="s">
        <v>42</v>
      </c>
      <c r="L137" s="1" t="s">
        <v>5552</v>
      </c>
    </row>
    <row r="138" spans="1:78" x14ac:dyDescent="0.3">
      <c r="A138" s="8">
        <v>137</v>
      </c>
      <c r="B138" s="1">
        <v>129</v>
      </c>
      <c r="C138" t="s">
        <v>12118</v>
      </c>
      <c r="D138" s="1" t="s">
        <v>7716</v>
      </c>
      <c r="E138" s="1" t="s">
        <v>7718</v>
      </c>
      <c r="F138" s="1">
        <v>2022</v>
      </c>
      <c r="G138" s="1" t="s">
        <v>7719</v>
      </c>
      <c r="H138" s="1" t="str">
        <f>HYPERLINK("http://dx.doi.org/10.1109/HST56032.2022.10025459","http://dx.doi.org/10.1109/HST56032.2022.10025459")</f>
        <v>http://dx.doi.org/10.1109/HST56032.2022.10025459</v>
      </c>
      <c r="I138" s="1" t="s">
        <v>7723</v>
      </c>
      <c r="J138" s="1" t="s">
        <v>1507</v>
      </c>
      <c r="K138" s="1" t="s">
        <v>42</v>
      </c>
      <c r="L138" s="1" t="s">
        <v>5552</v>
      </c>
    </row>
    <row r="139" spans="1:78" x14ac:dyDescent="0.3">
      <c r="A139" s="8">
        <v>138</v>
      </c>
      <c r="B139" s="1">
        <v>130</v>
      </c>
      <c r="C139" t="s">
        <v>12118</v>
      </c>
      <c r="D139" s="1" t="s">
        <v>5791</v>
      </c>
      <c r="E139" s="1" t="s">
        <v>5793</v>
      </c>
      <c r="F139" s="1">
        <v>2023</v>
      </c>
      <c r="G139" s="1" t="s">
        <v>5794</v>
      </c>
      <c r="H139" s="1" t="str">
        <f>HYPERLINK("http://dx.doi.org/10.1145/3628356.3630117","http://dx.doi.org/10.1145/3628356.3630117")</f>
        <v>http://dx.doi.org/10.1145/3628356.3630117</v>
      </c>
      <c r="I139" s="1" t="s">
        <v>5799</v>
      </c>
      <c r="J139" s="1" t="s">
        <v>5798</v>
      </c>
      <c r="K139" s="1" t="s">
        <v>42</v>
      </c>
      <c r="L139" s="1" t="s">
        <v>5552</v>
      </c>
    </row>
    <row r="140" spans="1:78" x14ac:dyDescent="0.3">
      <c r="A140" s="8">
        <v>139</v>
      </c>
      <c r="B140" s="1">
        <v>131</v>
      </c>
      <c r="C140" t="s">
        <v>12118</v>
      </c>
      <c r="D140" s="1" t="s">
        <v>11320</v>
      </c>
      <c r="E140" s="1" t="s">
        <v>11322</v>
      </c>
      <c r="F140" s="1">
        <v>2019</v>
      </c>
      <c r="G140" s="1" t="s">
        <v>11323</v>
      </c>
      <c r="H140" s="1" t="str">
        <f>HYPERLINK("http://dx.doi.org/10.22481/praxis.v15i31.4681","http://dx.doi.org/10.22481/praxis.v15i31.4681")</f>
        <v>http://dx.doi.org/10.22481/praxis.v15i31.4681</v>
      </c>
      <c r="I140" s="1" t="s">
        <v>11326</v>
      </c>
      <c r="J140" s="1" t="s">
        <v>11325</v>
      </c>
      <c r="K140" s="1" t="s">
        <v>11324</v>
      </c>
      <c r="L140" s="1" t="s">
        <v>56</v>
      </c>
    </row>
    <row r="141" spans="1:78" x14ac:dyDescent="0.3">
      <c r="A141" s="8">
        <v>140</v>
      </c>
      <c r="B141" s="1">
        <v>132</v>
      </c>
      <c r="C141" t="s">
        <v>12118</v>
      </c>
      <c r="D141" s="1" t="s">
        <v>5190</v>
      </c>
      <c r="E141" s="1" t="s">
        <v>5192</v>
      </c>
      <c r="F141" s="1">
        <v>2023</v>
      </c>
      <c r="G141" s="1" t="s">
        <v>1617</v>
      </c>
      <c r="H141" s="1" t="str">
        <f>HYPERLINK("http://dx.doi.org/10.3390/electronics12071735","http://dx.doi.org/10.3390/electronics12071735")</f>
        <v>http://dx.doi.org/10.3390/electronics12071735</v>
      </c>
      <c r="I141" s="1" t="s">
        <v>5194</v>
      </c>
      <c r="J141" s="1" t="s">
        <v>5193</v>
      </c>
      <c r="K141" s="1" t="s">
        <v>42</v>
      </c>
      <c r="L141" s="1" t="s">
        <v>56</v>
      </c>
    </row>
    <row r="142" spans="1:78" x14ac:dyDescent="0.3">
      <c r="A142" s="8">
        <v>141</v>
      </c>
      <c r="B142" s="1">
        <v>133</v>
      </c>
      <c r="C142" t="s">
        <v>12118</v>
      </c>
      <c r="D142" s="1" t="s">
        <v>4544</v>
      </c>
      <c r="E142" s="1" t="s">
        <v>4546</v>
      </c>
      <c r="F142" s="1">
        <v>2023</v>
      </c>
      <c r="G142" s="1" t="s">
        <v>1617</v>
      </c>
      <c r="H142" s="1" t="str">
        <f>HYPERLINK("http://dx.doi.org/10.3390/electronics12132814","http://dx.doi.org/10.3390/electronics12132814")</f>
        <v>http://dx.doi.org/10.3390/electronics12132814</v>
      </c>
      <c r="I142" s="1" t="s">
        <v>4548</v>
      </c>
      <c r="J142" s="1" t="s">
        <v>4547</v>
      </c>
      <c r="K142" s="1" t="s">
        <v>42</v>
      </c>
      <c r="L142" s="1" t="s">
        <v>56</v>
      </c>
    </row>
    <row r="143" spans="1:78" x14ac:dyDescent="0.3">
      <c r="A143" s="8">
        <v>142</v>
      </c>
      <c r="B143" s="1">
        <v>134</v>
      </c>
      <c r="C143" t="s">
        <v>12118</v>
      </c>
      <c r="D143" s="1" t="s">
        <v>7158</v>
      </c>
      <c r="E143" s="1" t="s">
        <v>7160</v>
      </c>
      <c r="F143" s="1">
        <v>2022</v>
      </c>
      <c r="G143" s="1" t="s">
        <v>2324</v>
      </c>
      <c r="H143" s="1" t="s">
        <v>1507</v>
      </c>
      <c r="I143" s="1" t="s">
        <v>7162</v>
      </c>
      <c r="J143" s="1" t="s">
        <v>1507</v>
      </c>
      <c r="K143" s="1" t="s">
        <v>42</v>
      </c>
      <c r="L143" s="1" t="s">
        <v>56</v>
      </c>
    </row>
    <row r="144" spans="1:78" x14ac:dyDescent="0.3">
      <c r="A144" s="8">
        <v>143</v>
      </c>
      <c r="B144">
        <v>43</v>
      </c>
      <c r="C144" t="s">
        <v>12204</v>
      </c>
      <c r="D144" t="s">
        <v>664</v>
      </c>
      <c r="E144" t="s">
        <v>665</v>
      </c>
      <c r="F144">
        <v>2023</v>
      </c>
      <c r="G144" t="s">
        <v>666</v>
      </c>
      <c r="H144" t="s">
        <v>667</v>
      </c>
      <c r="I144" t="s">
        <v>670</v>
      </c>
      <c r="J144" t="s">
        <v>671</v>
      </c>
      <c r="K144" t="s">
        <v>42</v>
      </c>
      <c r="L144" t="s">
        <v>56</v>
      </c>
      <c r="BZ144" s="6"/>
    </row>
    <row r="145" spans="1:78" x14ac:dyDescent="0.3">
      <c r="A145" s="8">
        <v>144</v>
      </c>
      <c r="B145" s="1">
        <v>135</v>
      </c>
      <c r="C145" t="s">
        <v>12118</v>
      </c>
      <c r="D145" s="1" t="s">
        <v>2064</v>
      </c>
      <c r="E145" s="1" t="s">
        <v>665</v>
      </c>
      <c r="F145" s="1">
        <v>2023</v>
      </c>
      <c r="G145" s="1" t="s">
        <v>2066</v>
      </c>
      <c r="H145" s="1" t="str">
        <f>HYPERLINK("http://dx.doi.org/10.1177/08944393231220483","http://dx.doi.org/10.1177/08944393231220483")</f>
        <v>http://dx.doi.org/10.1177/08944393231220483</v>
      </c>
      <c r="I145" s="1" t="s">
        <v>2068</v>
      </c>
      <c r="J145" s="1" t="s">
        <v>2067</v>
      </c>
      <c r="K145" s="1" t="s">
        <v>42</v>
      </c>
      <c r="L145" s="1" t="s">
        <v>1509</v>
      </c>
    </row>
    <row r="146" spans="1:78" x14ac:dyDescent="0.3">
      <c r="A146" s="8">
        <v>145</v>
      </c>
      <c r="B146">
        <v>44</v>
      </c>
      <c r="C146" t="s">
        <v>12204</v>
      </c>
      <c r="D146" t="s">
        <v>13501</v>
      </c>
      <c r="E146" t="s">
        <v>13499</v>
      </c>
      <c r="F146">
        <v>2023</v>
      </c>
      <c r="G146" t="s">
        <v>48</v>
      </c>
      <c r="H146" t="s">
        <v>49</v>
      </c>
      <c r="I146" t="s">
        <v>52</v>
      </c>
      <c r="J146" t="s">
        <v>53</v>
      </c>
      <c r="K146" t="s">
        <v>55</v>
      </c>
      <c r="L146" t="s">
        <v>56</v>
      </c>
    </row>
    <row r="147" spans="1:78" s="6" customFormat="1" x14ac:dyDescent="0.3">
      <c r="A147" s="8">
        <v>146</v>
      </c>
      <c r="B147" s="1">
        <v>136</v>
      </c>
      <c r="C147" t="s">
        <v>12118</v>
      </c>
      <c r="D147" s="1" t="s">
        <v>3511</v>
      </c>
      <c r="E147" s="1" t="s">
        <v>3513</v>
      </c>
      <c r="F147" s="1">
        <v>2023</v>
      </c>
      <c r="G147" s="1" t="s">
        <v>3514</v>
      </c>
      <c r="H147" s="1" t="str">
        <f>HYPERLINK("http://dx.doi.org/10.3916/C77-2023-04","http://dx.doi.org/10.3916/C77-2023-04")</f>
        <v>http://dx.doi.org/10.3916/C77-2023-04</v>
      </c>
      <c r="I147" s="1" t="s">
        <v>3516</v>
      </c>
      <c r="J147" s="1" t="s">
        <v>3515</v>
      </c>
      <c r="K147" s="1" t="s">
        <v>55</v>
      </c>
      <c r="L147" s="1" t="s">
        <v>56</v>
      </c>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row>
    <row r="148" spans="1:78" s="6" customFormat="1" x14ac:dyDescent="0.3">
      <c r="A148" s="8">
        <v>147</v>
      </c>
      <c r="B148" s="1">
        <v>137</v>
      </c>
      <c r="C148" t="s">
        <v>12118</v>
      </c>
      <c r="D148" s="1" t="s">
        <v>2757</v>
      </c>
      <c r="E148" s="1" t="s">
        <v>2759</v>
      </c>
      <c r="F148" s="1">
        <v>2023</v>
      </c>
      <c r="G148" s="1" t="s">
        <v>2760</v>
      </c>
      <c r="H148" s="1" t="str">
        <f>HYPERLINK("http://dx.doi.org/10.3390/s23229225","http://dx.doi.org/10.3390/s23229225")</f>
        <v>http://dx.doi.org/10.3390/s23229225</v>
      </c>
      <c r="I148" s="1" t="s">
        <v>2762</v>
      </c>
      <c r="J148" s="1" t="s">
        <v>2761</v>
      </c>
      <c r="K148" s="1" t="s">
        <v>42</v>
      </c>
      <c r="L148" s="1" t="s">
        <v>56</v>
      </c>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row>
    <row r="149" spans="1:78" s="6" customFormat="1" x14ac:dyDescent="0.3">
      <c r="A149" s="8">
        <v>148</v>
      </c>
      <c r="B149" s="1">
        <v>138</v>
      </c>
      <c r="C149" t="s">
        <v>12118</v>
      </c>
      <c r="D149" s="1" t="s">
        <v>2757</v>
      </c>
      <c r="E149" s="1" t="s">
        <v>4560</v>
      </c>
      <c r="F149" s="1">
        <v>2023</v>
      </c>
      <c r="G149" s="1" t="s">
        <v>2760</v>
      </c>
      <c r="H149" s="1" t="str">
        <f>HYPERLINK("http://dx.doi.org/10.3390/s23135899","http://dx.doi.org/10.3390/s23135899")</f>
        <v>http://dx.doi.org/10.3390/s23135899</v>
      </c>
      <c r="I149" s="1" t="s">
        <v>4563</v>
      </c>
      <c r="J149" s="1" t="s">
        <v>4561</v>
      </c>
      <c r="K149" s="1" t="s">
        <v>42</v>
      </c>
      <c r="L149" s="1" t="s">
        <v>56</v>
      </c>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row>
    <row r="150" spans="1:78" s="6" customFormat="1" x14ac:dyDescent="0.3">
      <c r="A150" s="8">
        <v>149</v>
      </c>
      <c r="B150" s="1">
        <v>139</v>
      </c>
      <c r="C150" t="s">
        <v>12118</v>
      </c>
      <c r="D150" s="1" t="s">
        <v>4724</v>
      </c>
      <c r="E150" s="1" t="s">
        <v>4726</v>
      </c>
      <c r="F150" s="1">
        <v>2023</v>
      </c>
      <c r="G150" s="1" t="s">
        <v>1617</v>
      </c>
      <c r="H150" s="1" t="str">
        <f>HYPERLINK("http://dx.doi.org/10.3390/electronics12122722","http://dx.doi.org/10.3390/electronics12122722")</f>
        <v>http://dx.doi.org/10.3390/electronics12122722</v>
      </c>
      <c r="I150" s="1" t="s">
        <v>4729</v>
      </c>
      <c r="J150" s="1" t="s">
        <v>4727</v>
      </c>
      <c r="K150" s="1" t="s">
        <v>42</v>
      </c>
      <c r="L150" s="1" t="s">
        <v>56</v>
      </c>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row>
    <row r="151" spans="1:78" x14ac:dyDescent="0.3">
      <c r="A151" s="8">
        <v>150</v>
      </c>
      <c r="B151">
        <v>45</v>
      </c>
      <c r="C151" t="s">
        <v>12204</v>
      </c>
      <c r="D151" t="s">
        <v>12510</v>
      </c>
      <c r="E151" t="s">
        <v>1398</v>
      </c>
      <c r="F151">
        <v>2023</v>
      </c>
      <c r="G151" t="s">
        <v>1399</v>
      </c>
      <c r="H151" t="s">
        <v>1401</v>
      </c>
      <c r="I151" t="s">
        <v>1404</v>
      </c>
      <c r="K151" t="s">
        <v>42</v>
      </c>
      <c r="L151" t="s">
        <v>56</v>
      </c>
      <c r="BB151" s="6"/>
      <c r="BC151" s="6"/>
      <c r="BD151" s="6"/>
      <c r="BE151" s="6"/>
      <c r="BF151" s="6"/>
      <c r="BG151" s="6"/>
      <c r="BH151" s="6"/>
      <c r="BI151" s="6"/>
      <c r="BJ151" s="6"/>
      <c r="BK151" s="6"/>
      <c r="BL151" s="6"/>
      <c r="BM151" s="6"/>
      <c r="BN151" s="6"/>
      <c r="BO151" s="6"/>
      <c r="BP151" s="6"/>
      <c r="BQ151" s="6"/>
      <c r="BR151" s="6"/>
      <c r="BS151" s="6"/>
      <c r="BT151" s="6"/>
    </row>
    <row r="152" spans="1:78" x14ac:dyDescent="0.3">
      <c r="A152" s="8">
        <v>151</v>
      </c>
      <c r="B152" s="1">
        <v>140</v>
      </c>
      <c r="C152" t="s">
        <v>12118</v>
      </c>
      <c r="D152" s="1" t="s">
        <v>3312</v>
      </c>
      <c r="E152" s="1" t="s">
        <v>3314</v>
      </c>
      <c r="F152" s="1">
        <v>2023</v>
      </c>
      <c r="G152" s="1" t="s">
        <v>3315</v>
      </c>
      <c r="H152" s="1" t="str">
        <f>HYPERLINK("http://dx.doi.org/10.1001/jamanetworkopen.2023.36997","http://dx.doi.org/10.1001/jamanetworkopen.2023.36997")</f>
        <v>http://dx.doi.org/10.1001/jamanetworkopen.2023.36997</v>
      </c>
      <c r="I152" s="1" t="s">
        <v>3317</v>
      </c>
      <c r="J152" s="1" t="s">
        <v>1507</v>
      </c>
      <c r="K152" s="1" t="s">
        <v>42</v>
      </c>
      <c r="L152" s="1" t="s">
        <v>56</v>
      </c>
    </row>
    <row r="153" spans="1:78" x14ac:dyDescent="0.3">
      <c r="A153" s="8">
        <v>152</v>
      </c>
      <c r="B153" s="1">
        <v>141</v>
      </c>
      <c r="C153" t="s">
        <v>12118</v>
      </c>
      <c r="D153" s="1" t="s">
        <v>10267</v>
      </c>
      <c r="E153" s="1" t="s">
        <v>10269</v>
      </c>
      <c r="F153" s="1">
        <v>2020</v>
      </c>
      <c r="G153" s="1" t="s">
        <v>10270</v>
      </c>
      <c r="H153" s="1" t="s">
        <v>1507</v>
      </c>
      <c r="I153" s="1" t="s">
        <v>10272</v>
      </c>
      <c r="J153" s="1" t="s">
        <v>1507</v>
      </c>
      <c r="K153" s="1" t="s">
        <v>42</v>
      </c>
      <c r="L153" s="1" t="s">
        <v>56</v>
      </c>
    </row>
    <row r="154" spans="1:78" x14ac:dyDescent="0.3">
      <c r="A154" s="8">
        <v>153</v>
      </c>
      <c r="B154" s="1">
        <v>142</v>
      </c>
      <c r="C154" t="s">
        <v>12118</v>
      </c>
      <c r="D154" s="1" t="s">
        <v>2777</v>
      </c>
      <c r="E154" s="1" t="s">
        <v>2779</v>
      </c>
      <c r="F154" s="1">
        <v>2023</v>
      </c>
      <c r="G154" s="1" t="s">
        <v>2780</v>
      </c>
      <c r="H154" s="1" t="str">
        <f>HYPERLINK("http://dx.doi.org/10.1038/s44159-023-00241-5","http://dx.doi.org/10.1038/s44159-023-00241-5")</f>
        <v>http://dx.doi.org/10.1038/s44159-023-00241-5</v>
      </c>
      <c r="I154" s="1" t="s">
        <v>2782</v>
      </c>
      <c r="J154" s="1" t="s">
        <v>1507</v>
      </c>
      <c r="K154" s="1" t="s">
        <v>42</v>
      </c>
      <c r="L154" s="1" t="s">
        <v>56</v>
      </c>
    </row>
    <row r="155" spans="1:78" x14ac:dyDescent="0.3">
      <c r="A155" s="8">
        <v>154</v>
      </c>
      <c r="B155" s="1">
        <v>143</v>
      </c>
      <c r="C155" t="s">
        <v>12118</v>
      </c>
      <c r="D155" s="1" t="s">
        <v>3754</v>
      </c>
      <c r="E155" s="1" t="s">
        <v>3756</v>
      </c>
      <c r="F155" s="1">
        <v>2023</v>
      </c>
      <c r="G155" s="1" t="s">
        <v>3757</v>
      </c>
      <c r="H155" s="1" t="str">
        <f>HYPERLINK("http://dx.doi.org/10.34133/research.0189","http://dx.doi.org/10.34133/research.0189")</f>
        <v>http://dx.doi.org/10.34133/research.0189</v>
      </c>
      <c r="I155" s="1" t="s">
        <v>3758</v>
      </c>
      <c r="J155" s="1" t="s">
        <v>1507</v>
      </c>
      <c r="K155" s="1" t="s">
        <v>42</v>
      </c>
      <c r="L155" s="1" t="s">
        <v>56</v>
      </c>
    </row>
    <row r="156" spans="1:78" x14ac:dyDescent="0.3">
      <c r="A156" s="8">
        <v>155</v>
      </c>
      <c r="B156" s="1">
        <v>145</v>
      </c>
      <c r="C156" t="s">
        <v>12118</v>
      </c>
      <c r="D156" s="1" t="s">
        <v>7611</v>
      </c>
      <c r="E156" s="1" t="s">
        <v>7613</v>
      </c>
      <c r="F156" s="1">
        <v>2022</v>
      </c>
      <c r="G156" s="1" t="s">
        <v>7141</v>
      </c>
      <c r="H156" s="1" t="str">
        <f>HYPERLINK("http://dx.doi.org/10.1016/j.scitotenv.2022.153250","http://dx.doi.org/10.1016/j.scitotenv.2022.153250")</f>
        <v>http://dx.doi.org/10.1016/j.scitotenv.2022.153250</v>
      </c>
      <c r="I156" s="1" t="s">
        <v>7616</v>
      </c>
      <c r="J156" s="1" t="s">
        <v>7614</v>
      </c>
      <c r="K156" s="1" t="s">
        <v>42</v>
      </c>
      <c r="L156" s="1" t="s">
        <v>56</v>
      </c>
    </row>
    <row r="157" spans="1:78" x14ac:dyDescent="0.3">
      <c r="A157" s="8">
        <v>156</v>
      </c>
      <c r="B157">
        <v>46</v>
      </c>
      <c r="C157" t="s">
        <v>12204</v>
      </c>
      <c r="D157" t="s">
        <v>12363</v>
      </c>
      <c r="E157" t="s">
        <v>984</v>
      </c>
      <c r="F157">
        <v>2023</v>
      </c>
      <c r="G157" t="s">
        <v>985</v>
      </c>
      <c r="H157" t="s">
        <v>986</v>
      </c>
      <c r="I157" t="s">
        <v>989</v>
      </c>
      <c r="J157" t="s">
        <v>990</v>
      </c>
      <c r="K157" t="s">
        <v>42</v>
      </c>
      <c r="L157" t="s">
        <v>56</v>
      </c>
      <c r="BB157" s="6"/>
      <c r="BC157" s="6"/>
      <c r="BD157" s="6"/>
      <c r="BE157" s="6"/>
      <c r="BF157" s="6"/>
      <c r="BG157" s="6"/>
      <c r="BH157" s="6"/>
      <c r="BI157" s="6"/>
      <c r="BJ157" s="6"/>
      <c r="BK157" s="6"/>
      <c r="BL157" s="6"/>
      <c r="BM157" s="6"/>
      <c r="BN157" s="6"/>
      <c r="BO157" s="6"/>
      <c r="BP157" s="6"/>
      <c r="BQ157" s="6"/>
      <c r="BR157" s="6"/>
      <c r="BS157" s="6"/>
      <c r="BT157" s="6"/>
    </row>
    <row r="158" spans="1:78" x14ac:dyDescent="0.3">
      <c r="A158" s="8">
        <v>157</v>
      </c>
      <c r="B158" s="1">
        <v>146</v>
      </c>
      <c r="C158" t="s">
        <v>12118</v>
      </c>
      <c r="D158" s="1" t="s">
        <v>5811</v>
      </c>
      <c r="E158" s="1" t="s">
        <v>984</v>
      </c>
      <c r="F158" s="1">
        <v>2023</v>
      </c>
      <c r="G158" s="1" t="s">
        <v>5813</v>
      </c>
      <c r="H158" s="1" t="str">
        <f>HYPERLINK("http://dx.doi.org/10.5114/biolsport.2023.125623","http://dx.doi.org/10.5114/biolsport.2023.125623")</f>
        <v>http://dx.doi.org/10.5114/biolsport.2023.125623</v>
      </c>
      <c r="I158" s="1" t="s">
        <v>5815</v>
      </c>
      <c r="J158" s="1" t="s">
        <v>5814</v>
      </c>
      <c r="K158" s="1" t="s">
        <v>42</v>
      </c>
      <c r="L158" s="1" t="s">
        <v>56</v>
      </c>
    </row>
    <row r="159" spans="1:78" x14ac:dyDescent="0.3">
      <c r="A159" s="8">
        <v>158</v>
      </c>
      <c r="B159" s="1">
        <v>147</v>
      </c>
      <c r="C159" t="s">
        <v>12118</v>
      </c>
      <c r="D159" s="1" t="s">
        <v>3190</v>
      </c>
      <c r="E159" s="1" t="s">
        <v>3193</v>
      </c>
      <c r="F159" s="1">
        <v>2023</v>
      </c>
      <c r="G159" s="1" t="s">
        <v>3194</v>
      </c>
      <c r="H159" s="1" t="str">
        <f>HYPERLINK("http://dx.doi.org/10.1186/s12887-023-04262-0","http://dx.doi.org/10.1186/s12887-023-04262-0")</f>
        <v>http://dx.doi.org/10.1186/s12887-023-04262-0</v>
      </c>
      <c r="I159" s="1" t="s">
        <v>3197</v>
      </c>
      <c r="J159" s="1" t="s">
        <v>3195</v>
      </c>
      <c r="K159" s="1" t="s">
        <v>42</v>
      </c>
      <c r="L159" s="1" t="s">
        <v>56</v>
      </c>
    </row>
    <row r="160" spans="1:78" x14ac:dyDescent="0.3">
      <c r="A160" s="8">
        <v>159</v>
      </c>
      <c r="B160" s="1">
        <v>148</v>
      </c>
      <c r="C160" t="s">
        <v>12118</v>
      </c>
      <c r="D160" s="1" t="s">
        <v>10529</v>
      </c>
      <c r="E160" s="1" t="s">
        <v>10531</v>
      </c>
      <c r="F160" s="1">
        <v>2019</v>
      </c>
      <c r="G160" s="1" t="s">
        <v>10532</v>
      </c>
      <c r="H160" s="1" t="str">
        <f>HYPERLINK("http://dx.doi.org/10.1016/j.ajhg.2019.09.025","http://dx.doi.org/10.1016/j.ajhg.2019.09.025")</f>
        <v>http://dx.doi.org/10.1016/j.ajhg.2019.09.025</v>
      </c>
      <c r="I160" s="1" t="s">
        <v>10534</v>
      </c>
      <c r="J160" s="1" t="s">
        <v>1507</v>
      </c>
      <c r="K160" s="1" t="s">
        <v>42</v>
      </c>
      <c r="L160" s="1" t="s">
        <v>56</v>
      </c>
    </row>
    <row r="161" spans="1:12" x14ac:dyDescent="0.3">
      <c r="A161" s="8">
        <v>160</v>
      </c>
      <c r="B161" s="1">
        <v>151</v>
      </c>
      <c r="C161" t="s">
        <v>12118</v>
      </c>
      <c r="D161" s="1" t="s">
        <v>14920</v>
      </c>
      <c r="E161" s="1" t="s">
        <v>14922</v>
      </c>
      <c r="F161" s="1">
        <v>2023</v>
      </c>
      <c r="G161" s="1" t="s">
        <v>14923</v>
      </c>
      <c r="H161" s="1" t="str">
        <f>HYPERLINK("http://dx.doi.org/10.1145/3591196.3593516","http://dx.doi.org/10.1145/3591196.3593516")</f>
        <v>http://dx.doi.org/10.1145/3591196.3593516</v>
      </c>
      <c r="I161" s="1" t="s">
        <v>14929</v>
      </c>
      <c r="J161" s="1" t="s">
        <v>14927</v>
      </c>
      <c r="K161" s="1" t="s">
        <v>42</v>
      </c>
      <c r="L161" s="1" t="s">
        <v>5552</v>
      </c>
    </row>
    <row r="162" spans="1:12" x14ac:dyDescent="0.3">
      <c r="A162" s="8">
        <v>161</v>
      </c>
      <c r="B162" s="1">
        <v>152</v>
      </c>
      <c r="C162" t="s">
        <v>12118</v>
      </c>
      <c r="D162" s="1" t="s">
        <v>11947</v>
      </c>
      <c r="E162" s="1" t="s">
        <v>11949</v>
      </c>
      <c r="F162" s="1">
        <v>2018</v>
      </c>
      <c r="G162" s="1" t="s">
        <v>11950</v>
      </c>
      <c r="H162" s="1" t="str">
        <f>HYPERLINK("http://dx.doi.org/10.1590/1678-4499.2016307","http://dx.doi.org/10.1590/1678-4499.2016307")</f>
        <v>http://dx.doi.org/10.1590/1678-4499.2016307</v>
      </c>
      <c r="I162" s="1" t="s">
        <v>11953</v>
      </c>
      <c r="J162" s="1" t="s">
        <v>11951</v>
      </c>
      <c r="K162" s="1" t="s">
        <v>42</v>
      </c>
      <c r="L162" s="1" t="s">
        <v>56</v>
      </c>
    </row>
    <row r="163" spans="1:12" x14ac:dyDescent="0.3">
      <c r="A163" s="8">
        <v>162</v>
      </c>
      <c r="B163" s="1">
        <v>153</v>
      </c>
      <c r="C163" t="s">
        <v>12118</v>
      </c>
      <c r="D163" s="1" t="s">
        <v>9059</v>
      </c>
      <c r="E163" s="1" t="s">
        <v>9061</v>
      </c>
      <c r="F163" s="1">
        <v>2021</v>
      </c>
      <c r="G163" s="1" t="s">
        <v>5034</v>
      </c>
      <c r="H163" s="1" t="str">
        <f>HYPERLINK("http://dx.doi.org/10.3366/ajicl.2021.0348","http://dx.doi.org/10.3366/ajicl.2021.0348")</f>
        <v>http://dx.doi.org/10.3366/ajicl.2021.0348</v>
      </c>
      <c r="I163" s="1" t="s">
        <v>1507</v>
      </c>
      <c r="J163" s="1" t="s">
        <v>1507</v>
      </c>
      <c r="K163" s="1" t="s">
        <v>42</v>
      </c>
      <c r="L163" s="1" t="s">
        <v>56</v>
      </c>
    </row>
    <row r="164" spans="1:12" x14ac:dyDescent="0.3">
      <c r="A164" s="8">
        <v>163</v>
      </c>
      <c r="B164" s="1">
        <v>154</v>
      </c>
      <c r="C164" t="s">
        <v>12118</v>
      </c>
      <c r="D164" s="1" t="s">
        <v>10664</v>
      </c>
      <c r="E164" s="1" t="s">
        <v>10666</v>
      </c>
      <c r="F164" s="1">
        <v>2019</v>
      </c>
      <c r="G164" s="1" t="s">
        <v>10667</v>
      </c>
      <c r="H164" s="1" t="str">
        <f>HYPERLINK("http://dx.doi.org/10.1111/1468-2230.12438","http://dx.doi.org/10.1111/1468-2230.12438")</f>
        <v>http://dx.doi.org/10.1111/1468-2230.12438</v>
      </c>
      <c r="I164" s="1" t="s">
        <v>10668</v>
      </c>
      <c r="J164" s="1" t="s">
        <v>1507</v>
      </c>
      <c r="K164" s="1" t="s">
        <v>42</v>
      </c>
      <c r="L164" s="1" t="s">
        <v>56</v>
      </c>
    </row>
    <row r="165" spans="1:12" x14ac:dyDescent="0.3">
      <c r="A165" s="8">
        <v>164</v>
      </c>
      <c r="B165" s="1">
        <v>155</v>
      </c>
      <c r="C165" t="s">
        <v>12118</v>
      </c>
      <c r="D165" s="1" t="s">
        <v>3357</v>
      </c>
      <c r="E165" s="1" t="s">
        <v>3359</v>
      </c>
      <c r="F165" s="1">
        <v>2023</v>
      </c>
      <c r="G165" s="1" t="s">
        <v>2874</v>
      </c>
      <c r="H165" s="1" t="str">
        <f>HYPERLINK("http://dx.doi.org/10.1016/j.jacr.2023.07.007","http://dx.doi.org/10.1016/j.jacr.2023.07.007")</f>
        <v>http://dx.doi.org/10.1016/j.jacr.2023.07.007</v>
      </c>
      <c r="I165" s="1" t="s">
        <v>3362</v>
      </c>
      <c r="J165" s="1" t="s">
        <v>3360</v>
      </c>
      <c r="K165" s="1" t="s">
        <v>42</v>
      </c>
      <c r="L165" s="1" t="s">
        <v>56</v>
      </c>
    </row>
    <row r="166" spans="1:12" x14ac:dyDescent="0.3">
      <c r="A166" s="8">
        <v>165</v>
      </c>
      <c r="B166" s="1">
        <v>156</v>
      </c>
      <c r="C166" t="s">
        <v>12118</v>
      </c>
      <c r="D166" s="1" t="s">
        <v>8642</v>
      </c>
      <c r="E166" s="1" t="s">
        <v>8644</v>
      </c>
      <c r="F166" s="1">
        <v>2021</v>
      </c>
      <c r="G166" s="1" t="s">
        <v>8645</v>
      </c>
      <c r="H166" s="1" t="str">
        <f>HYPERLINK("http://dx.doi.org/10.1093/jicj/mqab019","http://dx.doi.org/10.1093/jicj/mqab019")</f>
        <v>http://dx.doi.org/10.1093/jicj/mqab019</v>
      </c>
      <c r="I166" s="1" t="s">
        <v>8647</v>
      </c>
      <c r="J166" s="1" t="s">
        <v>1507</v>
      </c>
      <c r="K166" s="1" t="s">
        <v>42</v>
      </c>
      <c r="L166" s="1" t="s">
        <v>56</v>
      </c>
    </row>
    <row r="167" spans="1:12" x14ac:dyDescent="0.3">
      <c r="A167" s="8">
        <v>166</v>
      </c>
      <c r="B167" s="1">
        <v>157</v>
      </c>
      <c r="C167" t="s">
        <v>12118</v>
      </c>
      <c r="D167" s="1" t="s">
        <v>8944</v>
      </c>
      <c r="E167" s="1" t="s">
        <v>8946</v>
      </c>
      <c r="F167" s="1">
        <v>2021</v>
      </c>
      <c r="G167" s="1" t="s">
        <v>8947</v>
      </c>
      <c r="H167" s="1" t="str">
        <f>HYPERLINK("http://dx.doi.org/10.1094/PHYTO-07-20-0268-R","http://dx.doi.org/10.1094/PHYTO-07-20-0268-R")</f>
        <v>http://dx.doi.org/10.1094/PHYTO-07-20-0268-R</v>
      </c>
      <c r="I167" s="1" t="s">
        <v>8950</v>
      </c>
      <c r="J167" s="1" t="s">
        <v>8948</v>
      </c>
      <c r="K167" s="1" t="s">
        <v>42</v>
      </c>
      <c r="L167" s="1" t="s">
        <v>56</v>
      </c>
    </row>
    <row r="168" spans="1:12" x14ac:dyDescent="0.3">
      <c r="A168" s="8">
        <v>167</v>
      </c>
      <c r="B168">
        <v>47</v>
      </c>
      <c r="C168" t="s">
        <v>12204</v>
      </c>
      <c r="D168" t="s">
        <v>13364</v>
      </c>
      <c r="E168" t="s">
        <v>776</v>
      </c>
      <c r="F168">
        <v>2023</v>
      </c>
      <c r="G168" t="s">
        <v>777</v>
      </c>
      <c r="H168" t="s">
        <v>778</v>
      </c>
      <c r="I168" t="s">
        <v>13361</v>
      </c>
      <c r="J168" t="s">
        <v>782</v>
      </c>
      <c r="K168" t="s">
        <v>42</v>
      </c>
      <c r="L168" t="s">
        <v>12252</v>
      </c>
    </row>
    <row r="169" spans="1:12" x14ac:dyDescent="0.3">
      <c r="A169" s="8">
        <v>168</v>
      </c>
      <c r="B169" s="1">
        <v>158</v>
      </c>
      <c r="C169" t="s">
        <v>12118</v>
      </c>
      <c r="D169" s="1" t="s">
        <v>14944</v>
      </c>
      <c r="E169" s="1" t="s">
        <v>776</v>
      </c>
      <c r="F169" s="1">
        <v>2023</v>
      </c>
      <c r="G169" s="1" t="s">
        <v>14946</v>
      </c>
      <c r="H169" s="1" t="str">
        <f>HYPERLINK("http://dx.doi.org/10.1145/3580305.3599827","http://dx.doi.org/10.1145/3580305.3599827")</f>
        <v>http://dx.doi.org/10.1145/3580305.3599827</v>
      </c>
      <c r="I169" s="1" t="s">
        <v>14951</v>
      </c>
      <c r="J169" s="1" t="s">
        <v>14950</v>
      </c>
      <c r="K169" s="1" t="s">
        <v>42</v>
      </c>
      <c r="L169" s="1" t="s">
        <v>5552</v>
      </c>
    </row>
    <row r="170" spans="1:12" x14ac:dyDescent="0.3">
      <c r="A170" s="8">
        <v>169</v>
      </c>
      <c r="B170" s="1">
        <v>159</v>
      </c>
      <c r="C170" t="s">
        <v>12118</v>
      </c>
      <c r="D170" s="1" t="s">
        <v>8621</v>
      </c>
      <c r="E170" s="1" t="s">
        <v>8623</v>
      </c>
      <c r="F170" s="1">
        <v>2021</v>
      </c>
      <c r="G170" s="1" t="s">
        <v>8624</v>
      </c>
      <c r="H170" s="1" t="str">
        <f>HYPERLINK("http://dx.doi.org/10.1007/s11356-021-14351-1","http://dx.doi.org/10.1007/s11356-021-14351-1")</f>
        <v>http://dx.doi.org/10.1007/s11356-021-14351-1</v>
      </c>
      <c r="I170" s="1" t="s">
        <v>8627</v>
      </c>
      <c r="J170" s="1" t="s">
        <v>8625</v>
      </c>
      <c r="K170" s="1" t="s">
        <v>42</v>
      </c>
      <c r="L170" s="1" t="s">
        <v>56</v>
      </c>
    </row>
    <row r="171" spans="1:12" x14ac:dyDescent="0.3">
      <c r="A171" s="8">
        <v>170</v>
      </c>
      <c r="B171" s="1">
        <v>160</v>
      </c>
      <c r="C171" t="s">
        <v>12118</v>
      </c>
      <c r="D171" s="1" t="s">
        <v>9454</v>
      </c>
      <c r="E171" s="1" t="s">
        <v>9456</v>
      </c>
      <c r="F171" s="1">
        <v>2020</v>
      </c>
      <c r="G171" s="1" t="s">
        <v>9457</v>
      </c>
      <c r="H171" s="1" t="str">
        <f>HYPERLINK("http://dx.doi.org/10.1094/PDIS-04-20-0714-RE","http://dx.doi.org/10.1094/PDIS-04-20-0714-RE")</f>
        <v>http://dx.doi.org/10.1094/PDIS-04-20-0714-RE</v>
      </c>
      <c r="I171" s="1" t="s">
        <v>9460</v>
      </c>
      <c r="J171" s="1" t="s">
        <v>9458</v>
      </c>
      <c r="K171" s="1" t="s">
        <v>42</v>
      </c>
      <c r="L171" s="1" t="s">
        <v>56</v>
      </c>
    </row>
    <row r="172" spans="1:12" x14ac:dyDescent="0.3">
      <c r="A172" s="8">
        <v>171</v>
      </c>
      <c r="B172" s="1">
        <v>161</v>
      </c>
      <c r="C172" t="s">
        <v>12118</v>
      </c>
      <c r="D172" s="1" t="s">
        <v>5289</v>
      </c>
      <c r="E172" s="1" t="s">
        <v>14801</v>
      </c>
      <c r="F172" s="1">
        <v>2023</v>
      </c>
      <c r="G172" s="1" t="s">
        <v>5291</v>
      </c>
      <c r="H172" s="1" t="str">
        <f>HYPERLINK("http://dx.doi.org/10.1016/j.ijinfomgt.2023.102642","http://dx.doi.org/10.1016/j.ijinfomgt.2023.102642")</f>
        <v>http://dx.doi.org/10.1016/j.ijinfomgt.2023.102642</v>
      </c>
      <c r="I172" s="1" t="s">
        <v>5294</v>
      </c>
      <c r="J172" s="1" t="s">
        <v>5292</v>
      </c>
      <c r="K172" s="1" t="s">
        <v>42</v>
      </c>
      <c r="L172" s="1" t="s">
        <v>56</v>
      </c>
    </row>
    <row r="173" spans="1:12" x14ac:dyDescent="0.3">
      <c r="A173" s="8">
        <v>172</v>
      </c>
      <c r="B173" s="1">
        <v>162</v>
      </c>
      <c r="C173" t="s">
        <v>12118</v>
      </c>
      <c r="D173" s="1" t="s">
        <v>10286</v>
      </c>
      <c r="E173" s="1" t="s">
        <v>10289</v>
      </c>
      <c r="F173" s="1">
        <v>2020</v>
      </c>
      <c r="G173" s="1" t="s">
        <v>10290</v>
      </c>
      <c r="H173" s="1" t="str">
        <f>HYPERLINK("http://dx.doi.org/10.1007/978-3-030-27049-0_6","http://dx.doi.org/10.1007/978-3-030-27049-0_6")</f>
        <v>http://dx.doi.org/10.1007/978-3-030-27049-0_6</v>
      </c>
      <c r="I173" s="1" t="s">
        <v>1507</v>
      </c>
      <c r="J173" s="1" t="s">
        <v>1507</v>
      </c>
      <c r="K173" s="1" t="s">
        <v>42</v>
      </c>
      <c r="L173" s="1" t="s">
        <v>5888</v>
      </c>
    </row>
    <row r="174" spans="1:12" x14ac:dyDescent="0.3">
      <c r="A174" s="8">
        <v>173</v>
      </c>
      <c r="B174">
        <v>48</v>
      </c>
      <c r="C174" t="s">
        <v>12204</v>
      </c>
      <c r="D174" t="s">
        <v>12399</v>
      </c>
      <c r="E174" t="s">
        <v>1319</v>
      </c>
      <c r="F174">
        <v>2023</v>
      </c>
      <c r="G174" t="s">
        <v>797</v>
      </c>
      <c r="H174" t="s">
        <v>1320</v>
      </c>
      <c r="I174" t="s">
        <v>1323</v>
      </c>
      <c r="J174" t="s">
        <v>1324</v>
      </c>
      <c r="K174" t="s">
        <v>42</v>
      </c>
      <c r="L174" t="s">
        <v>56</v>
      </c>
    </row>
    <row r="175" spans="1:12" x14ac:dyDescent="0.3">
      <c r="A175" s="8">
        <v>174</v>
      </c>
      <c r="B175" s="1">
        <v>163</v>
      </c>
      <c r="C175" t="s">
        <v>12118</v>
      </c>
      <c r="D175" s="1" t="s">
        <v>5830</v>
      </c>
      <c r="E175" s="1" t="s">
        <v>1319</v>
      </c>
      <c r="F175" s="1">
        <v>2023</v>
      </c>
      <c r="G175" s="1" t="s">
        <v>5740</v>
      </c>
      <c r="H175" s="1" t="s">
        <v>1507</v>
      </c>
      <c r="I175" s="1" t="s">
        <v>5833</v>
      </c>
      <c r="J175" s="1" t="s">
        <v>5832</v>
      </c>
      <c r="K175" s="1" t="s">
        <v>42</v>
      </c>
      <c r="L175" s="1" t="s">
        <v>56</v>
      </c>
    </row>
    <row r="176" spans="1:12" x14ac:dyDescent="0.3">
      <c r="A176" s="8">
        <v>175</v>
      </c>
      <c r="B176" s="1">
        <v>164</v>
      </c>
      <c r="C176" t="s">
        <v>12118</v>
      </c>
      <c r="D176" s="1" t="s">
        <v>9947</v>
      </c>
      <c r="E176" s="1" t="s">
        <v>9949</v>
      </c>
      <c r="F176" s="1">
        <v>2020</v>
      </c>
      <c r="G176" s="1" t="s">
        <v>9950</v>
      </c>
      <c r="H176" s="1" t="s">
        <v>1507</v>
      </c>
      <c r="I176" s="1" t="s">
        <v>9951</v>
      </c>
      <c r="J176" s="1" t="s">
        <v>1507</v>
      </c>
      <c r="K176" s="1" t="s">
        <v>42</v>
      </c>
      <c r="L176" s="1" t="s">
        <v>56</v>
      </c>
    </row>
    <row r="177" spans="1:12" x14ac:dyDescent="0.3">
      <c r="A177" s="8">
        <v>176</v>
      </c>
      <c r="B177">
        <v>49</v>
      </c>
      <c r="C177" t="s">
        <v>12204</v>
      </c>
      <c r="D177" t="s">
        <v>1356</v>
      </c>
      <c r="E177" t="s">
        <v>1357</v>
      </c>
      <c r="F177">
        <v>2019</v>
      </c>
      <c r="G177" t="s">
        <v>1358</v>
      </c>
      <c r="H177" t="s">
        <v>1359</v>
      </c>
      <c r="I177" t="s">
        <v>1362</v>
      </c>
      <c r="J177" t="s">
        <v>1363</v>
      </c>
      <c r="K177" t="s">
        <v>42</v>
      </c>
      <c r="L177" t="s">
        <v>56</v>
      </c>
    </row>
    <row r="178" spans="1:12" x14ac:dyDescent="0.3">
      <c r="A178" s="8">
        <v>177</v>
      </c>
      <c r="B178" s="1">
        <v>165</v>
      </c>
      <c r="C178" t="s">
        <v>12118</v>
      </c>
      <c r="D178" s="1" t="s">
        <v>10466</v>
      </c>
      <c r="E178" s="1" t="s">
        <v>10468</v>
      </c>
      <c r="F178" s="1">
        <v>2019</v>
      </c>
      <c r="G178" s="1" t="s">
        <v>4793</v>
      </c>
      <c r="H178" s="1" t="str">
        <f>HYPERLINK("http://dx.doi.org/10.4337/qmjip.2019.04.05","http://dx.doi.org/10.4337/qmjip.2019.04.05")</f>
        <v>http://dx.doi.org/10.4337/qmjip.2019.04.05</v>
      </c>
      <c r="I178" s="1" t="s">
        <v>10471</v>
      </c>
      <c r="J178" s="1" t="s">
        <v>10469</v>
      </c>
      <c r="K178" s="1" t="s">
        <v>42</v>
      </c>
      <c r="L178" s="1" t="s">
        <v>56</v>
      </c>
    </row>
    <row r="179" spans="1:12" x14ac:dyDescent="0.3">
      <c r="A179" s="8">
        <v>178</v>
      </c>
      <c r="B179" s="1">
        <v>166</v>
      </c>
      <c r="C179" t="s">
        <v>12118</v>
      </c>
      <c r="D179" s="1" t="s">
        <v>3060</v>
      </c>
      <c r="E179" s="1" t="s">
        <v>3062</v>
      </c>
      <c r="F179" s="1">
        <v>2023</v>
      </c>
      <c r="G179" s="1" t="s">
        <v>3063</v>
      </c>
      <c r="H179" s="1" t="str">
        <f>HYPERLINK("http://dx.doi.org/10.1007/s10514-023-10132-6","http://dx.doi.org/10.1007/s10514-023-10132-6")</f>
        <v>http://dx.doi.org/10.1007/s10514-023-10132-6</v>
      </c>
      <c r="I179" s="1" t="s">
        <v>3065</v>
      </c>
      <c r="J179" s="1" t="s">
        <v>3064</v>
      </c>
      <c r="K179" s="1" t="s">
        <v>42</v>
      </c>
      <c r="L179" s="1" t="s">
        <v>56</v>
      </c>
    </row>
    <row r="180" spans="1:12" x14ac:dyDescent="0.3">
      <c r="A180" s="8">
        <v>179</v>
      </c>
      <c r="B180" s="1">
        <v>167</v>
      </c>
      <c r="C180" t="s">
        <v>12118</v>
      </c>
      <c r="D180" s="1" t="s">
        <v>9412</v>
      </c>
      <c r="E180" s="1" t="s">
        <v>9414</v>
      </c>
      <c r="F180" s="1">
        <v>2020</v>
      </c>
      <c r="G180" s="1" t="s">
        <v>9415</v>
      </c>
      <c r="H180" s="1" t="str">
        <f>HYPERLINK("http://dx.doi.org/10.3390/microorganisms8111698","http://dx.doi.org/10.3390/microorganisms8111698")</f>
        <v>http://dx.doi.org/10.3390/microorganisms8111698</v>
      </c>
      <c r="I180" s="1" t="s">
        <v>9418</v>
      </c>
      <c r="J180" s="1" t="s">
        <v>9416</v>
      </c>
      <c r="K180" s="1" t="s">
        <v>42</v>
      </c>
      <c r="L180" s="1" t="s">
        <v>56</v>
      </c>
    </row>
    <row r="181" spans="1:12" x14ac:dyDescent="0.3">
      <c r="A181" s="8">
        <v>180</v>
      </c>
      <c r="B181">
        <v>50</v>
      </c>
      <c r="C181" t="s">
        <v>12204</v>
      </c>
      <c r="D181" t="s">
        <v>13621</v>
      </c>
      <c r="E181" t="s">
        <v>515</v>
      </c>
      <c r="F181">
        <v>2023</v>
      </c>
      <c r="G181" t="s">
        <v>105</v>
      </c>
      <c r="H181" t="s">
        <v>516</v>
      </c>
      <c r="I181" t="s">
        <v>518</v>
      </c>
      <c r="J181" t="s">
        <v>519</v>
      </c>
      <c r="K181" t="s">
        <v>42</v>
      </c>
      <c r="L181" t="s">
        <v>56</v>
      </c>
    </row>
    <row r="182" spans="1:12" x14ac:dyDescent="0.3">
      <c r="A182" s="8">
        <v>181</v>
      </c>
      <c r="B182" s="1">
        <v>168</v>
      </c>
      <c r="C182" t="s">
        <v>12118</v>
      </c>
      <c r="D182" s="1" t="s">
        <v>2946</v>
      </c>
      <c r="E182" s="1" t="s">
        <v>515</v>
      </c>
      <c r="F182" s="1">
        <v>2023</v>
      </c>
      <c r="G182" s="1" t="s">
        <v>2579</v>
      </c>
      <c r="H182" s="1" t="str">
        <f>HYPERLINK("http://dx.doi.org/10.1186/s41239-023-00425-2","http://dx.doi.org/10.1186/s41239-023-00425-2")</f>
        <v>http://dx.doi.org/10.1186/s41239-023-00425-2</v>
      </c>
      <c r="I182" s="1" t="s">
        <v>2949</v>
      </c>
      <c r="J182" s="1" t="s">
        <v>2948</v>
      </c>
      <c r="K182" s="1" t="s">
        <v>42</v>
      </c>
      <c r="L182" s="1" t="s">
        <v>56</v>
      </c>
    </row>
    <row r="183" spans="1:12" x14ac:dyDescent="0.3">
      <c r="A183" s="8">
        <v>182</v>
      </c>
      <c r="B183" s="1">
        <v>169</v>
      </c>
      <c r="C183" t="s">
        <v>12118</v>
      </c>
      <c r="D183" s="1" t="s">
        <v>9002</v>
      </c>
      <c r="E183" s="1" t="s">
        <v>9004</v>
      </c>
      <c r="F183" s="1">
        <v>2021</v>
      </c>
      <c r="G183" s="1" t="s">
        <v>9005</v>
      </c>
      <c r="H183" s="1" t="str">
        <f>HYPERLINK("http://dx.doi.org/10.1093/jiel/jgab004","http://dx.doi.org/10.1093/jiel/jgab004")</f>
        <v>http://dx.doi.org/10.1093/jiel/jgab004</v>
      </c>
      <c r="I183" s="1" t="s">
        <v>9007</v>
      </c>
      <c r="J183" s="1" t="s">
        <v>1507</v>
      </c>
      <c r="K183" s="1" t="s">
        <v>42</v>
      </c>
      <c r="L183" s="1" t="s">
        <v>56</v>
      </c>
    </row>
    <row r="184" spans="1:12" x14ac:dyDescent="0.3">
      <c r="A184" s="8">
        <v>183</v>
      </c>
      <c r="B184" s="1">
        <v>171</v>
      </c>
      <c r="C184" t="s">
        <v>12118</v>
      </c>
      <c r="D184" s="1" t="s">
        <v>10682</v>
      </c>
      <c r="E184" s="1" t="s">
        <v>10684</v>
      </c>
      <c r="F184" s="1">
        <v>2019</v>
      </c>
      <c r="G184" s="1" t="s">
        <v>2324</v>
      </c>
      <c r="H184" s="1" t="s">
        <v>1507</v>
      </c>
      <c r="I184" s="1" t="s">
        <v>10685</v>
      </c>
      <c r="J184" s="1" t="s">
        <v>1507</v>
      </c>
      <c r="K184" s="1" t="s">
        <v>42</v>
      </c>
      <c r="L184" s="1" t="s">
        <v>56</v>
      </c>
    </row>
    <row r="185" spans="1:12" x14ac:dyDescent="0.3">
      <c r="A185" s="8">
        <v>184</v>
      </c>
      <c r="B185">
        <v>51</v>
      </c>
      <c r="C185" t="s">
        <v>12204</v>
      </c>
      <c r="D185" t="s">
        <v>13490</v>
      </c>
      <c r="E185" t="s">
        <v>628</v>
      </c>
      <c r="F185">
        <v>2023</v>
      </c>
      <c r="G185" t="s">
        <v>629</v>
      </c>
      <c r="H185" t="s">
        <v>630</v>
      </c>
      <c r="I185" t="s">
        <v>13487</v>
      </c>
      <c r="J185" t="s">
        <v>633</v>
      </c>
      <c r="K185" t="s">
        <v>42</v>
      </c>
      <c r="L185" t="s">
        <v>56</v>
      </c>
    </row>
    <row r="186" spans="1:12" x14ac:dyDescent="0.3">
      <c r="A186" s="8">
        <v>185</v>
      </c>
      <c r="B186">
        <v>52</v>
      </c>
      <c r="C186" t="s">
        <v>12204</v>
      </c>
      <c r="D186" t="s">
        <v>12605</v>
      </c>
      <c r="E186" t="s">
        <v>1337</v>
      </c>
      <c r="F186">
        <v>2023</v>
      </c>
      <c r="G186" t="s">
        <v>127</v>
      </c>
      <c r="H186" t="s">
        <v>1339</v>
      </c>
      <c r="I186" t="s">
        <v>1342</v>
      </c>
      <c r="J186" t="s">
        <v>1343</v>
      </c>
      <c r="K186" t="s">
        <v>42</v>
      </c>
      <c r="L186" t="s">
        <v>12252</v>
      </c>
    </row>
    <row r="187" spans="1:12" x14ac:dyDescent="0.3">
      <c r="A187" s="8">
        <v>186</v>
      </c>
      <c r="B187" s="1">
        <v>172</v>
      </c>
      <c r="C187" t="s">
        <v>12118</v>
      </c>
      <c r="D187" s="1" t="s">
        <v>9390</v>
      </c>
      <c r="E187" s="1" t="s">
        <v>9392</v>
      </c>
      <c r="F187" s="1">
        <v>2020</v>
      </c>
      <c r="G187" s="1" t="s">
        <v>9393</v>
      </c>
      <c r="H187" s="1" t="str">
        <f>HYPERLINK("http://dx.doi.org/10.1021/acssensors.0c01908","http://dx.doi.org/10.1021/acssensors.0c01908")</f>
        <v>http://dx.doi.org/10.1021/acssensors.0c01908</v>
      </c>
      <c r="I187" s="1" t="s">
        <v>9396</v>
      </c>
      <c r="J187" s="1" t="s">
        <v>9394</v>
      </c>
      <c r="K187" s="1" t="s">
        <v>42</v>
      </c>
      <c r="L187" s="1" t="s">
        <v>56</v>
      </c>
    </row>
    <row r="188" spans="1:12" x14ac:dyDescent="0.3">
      <c r="A188" s="8">
        <v>187</v>
      </c>
      <c r="B188" s="1">
        <v>173</v>
      </c>
      <c r="C188" t="s">
        <v>12118</v>
      </c>
      <c r="D188" s="1" t="s">
        <v>7444</v>
      </c>
      <c r="E188" s="1" t="s">
        <v>7446</v>
      </c>
      <c r="F188" s="1">
        <v>2022</v>
      </c>
      <c r="G188" s="1" t="s">
        <v>6997</v>
      </c>
      <c r="H188" s="1" t="s">
        <v>1507</v>
      </c>
      <c r="I188" s="1" t="s">
        <v>7449</v>
      </c>
      <c r="J188" s="1" t="s">
        <v>7447</v>
      </c>
      <c r="K188" s="1" t="s">
        <v>42</v>
      </c>
      <c r="L188" s="1" t="s">
        <v>56</v>
      </c>
    </row>
    <row r="189" spans="1:12" x14ac:dyDescent="0.3">
      <c r="A189" s="8">
        <v>188</v>
      </c>
      <c r="B189">
        <v>53</v>
      </c>
      <c r="C189" t="s">
        <v>12204</v>
      </c>
      <c r="D189" t="s">
        <v>12730</v>
      </c>
      <c r="E189" t="s">
        <v>1437</v>
      </c>
      <c r="F189">
        <v>2023</v>
      </c>
      <c r="G189" t="s">
        <v>127</v>
      </c>
      <c r="H189" t="s">
        <v>1438</v>
      </c>
      <c r="I189" t="s">
        <v>1441</v>
      </c>
      <c r="J189" t="s">
        <v>1442</v>
      </c>
      <c r="K189" t="s">
        <v>42</v>
      </c>
      <c r="L189" t="s">
        <v>12252</v>
      </c>
    </row>
    <row r="190" spans="1:12" x14ac:dyDescent="0.3">
      <c r="A190" s="8">
        <v>189</v>
      </c>
      <c r="B190" s="1">
        <v>174</v>
      </c>
      <c r="C190" t="s">
        <v>12118</v>
      </c>
      <c r="D190" s="1" t="s">
        <v>14961</v>
      </c>
      <c r="E190" s="1" t="s">
        <v>14964</v>
      </c>
      <c r="F190" s="1">
        <v>2023</v>
      </c>
      <c r="G190" s="1" t="s">
        <v>14965</v>
      </c>
      <c r="H190" s="1" t="str">
        <f>HYPERLINK("http://dx.doi.org/10.1007/978-981-99-8385-8_14","http://dx.doi.org/10.1007/978-981-99-8385-8_14")</f>
        <v>http://dx.doi.org/10.1007/978-981-99-8385-8_14</v>
      </c>
      <c r="I190" s="1" t="s">
        <v>14971</v>
      </c>
      <c r="J190" s="1" t="s">
        <v>14970</v>
      </c>
      <c r="K190" s="1" t="s">
        <v>42</v>
      </c>
      <c r="L190" s="1" t="s">
        <v>5552</v>
      </c>
    </row>
    <row r="191" spans="1:12" x14ac:dyDescent="0.3">
      <c r="A191" s="8">
        <v>190</v>
      </c>
      <c r="B191" s="1">
        <v>175</v>
      </c>
      <c r="C191" t="s">
        <v>12118</v>
      </c>
      <c r="D191" s="1" t="s">
        <v>7736</v>
      </c>
      <c r="E191" s="1" t="s">
        <v>7739</v>
      </c>
      <c r="F191" s="1">
        <v>2022</v>
      </c>
      <c r="G191" s="1" t="s">
        <v>7740</v>
      </c>
      <c r="H191" s="1" t="str">
        <f>HYPERLINK("http://dx.doi.org/10.1007/978-3-031-07312-0_3","http://dx.doi.org/10.1007/978-3-031-07312-0_3")</f>
        <v>http://dx.doi.org/10.1007/978-3-031-07312-0_3</v>
      </c>
      <c r="I191" s="1" t="s">
        <v>7744</v>
      </c>
      <c r="J191" s="1" t="s">
        <v>1507</v>
      </c>
      <c r="K191" s="1" t="s">
        <v>42</v>
      </c>
      <c r="L191" s="1" t="s">
        <v>5552</v>
      </c>
    </row>
    <row r="192" spans="1:12" x14ac:dyDescent="0.3">
      <c r="A192" s="8">
        <v>191</v>
      </c>
      <c r="B192">
        <v>54</v>
      </c>
      <c r="C192" t="s">
        <v>12204</v>
      </c>
      <c r="D192" t="s">
        <v>12621</v>
      </c>
      <c r="E192" t="s">
        <v>1177</v>
      </c>
      <c r="F192">
        <v>2023</v>
      </c>
      <c r="G192" t="s">
        <v>1178</v>
      </c>
      <c r="H192" t="s">
        <v>1179</v>
      </c>
      <c r="I192" t="s">
        <v>1182</v>
      </c>
      <c r="J192" t="s">
        <v>1183</v>
      </c>
      <c r="K192" t="s">
        <v>42</v>
      </c>
      <c r="L192" t="s">
        <v>56</v>
      </c>
    </row>
    <row r="193" spans="1:12" x14ac:dyDescent="0.3">
      <c r="A193" s="8">
        <v>192</v>
      </c>
      <c r="B193" s="1">
        <v>177</v>
      </c>
      <c r="C193" t="s">
        <v>12118</v>
      </c>
      <c r="D193" s="1" t="s">
        <v>2980</v>
      </c>
      <c r="E193" s="1" t="s">
        <v>1177</v>
      </c>
      <c r="F193" s="1">
        <v>2023</v>
      </c>
      <c r="G193" s="1" t="s">
        <v>2982</v>
      </c>
      <c r="H193" s="1" t="str">
        <f>HYPERLINK("http://dx.doi.org/10.1007/s00146-023-01791-1","http://dx.doi.org/10.1007/s00146-023-01791-1")</f>
        <v>http://dx.doi.org/10.1007/s00146-023-01791-1</v>
      </c>
      <c r="I193" s="1" t="s">
        <v>2984</v>
      </c>
      <c r="J193" s="1" t="s">
        <v>2983</v>
      </c>
      <c r="K193" s="1" t="s">
        <v>42</v>
      </c>
      <c r="L193" s="1" t="s">
        <v>1509</v>
      </c>
    </row>
    <row r="194" spans="1:12" x14ac:dyDescent="0.3">
      <c r="A194" s="8">
        <v>193</v>
      </c>
      <c r="B194" s="1">
        <v>178</v>
      </c>
      <c r="C194" t="s">
        <v>12118</v>
      </c>
      <c r="D194" s="1" t="s">
        <v>3840</v>
      </c>
      <c r="E194" s="1" t="s">
        <v>3843</v>
      </c>
      <c r="F194" s="1">
        <v>2023</v>
      </c>
      <c r="G194" s="1" t="s">
        <v>3844</v>
      </c>
      <c r="H194" s="1" t="str">
        <f>HYPERLINK("http://dx.doi.org/10.1017/cts.2023.619","http://dx.doi.org/10.1017/cts.2023.619")</f>
        <v>http://dx.doi.org/10.1017/cts.2023.619</v>
      </c>
      <c r="I194" s="1" t="s">
        <v>3846</v>
      </c>
      <c r="J194" s="1" t="s">
        <v>3845</v>
      </c>
      <c r="K194" s="1" t="s">
        <v>42</v>
      </c>
      <c r="L194" s="1" t="s">
        <v>56</v>
      </c>
    </row>
    <row r="195" spans="1:12" x14ac:dyDescent="0.3">
      <c r="A195" s="8">
        <v>194</v>
      </c>
      <c r="B195">
        <v>55</v>
      </c>
      <c r="C195" t="s">
        <v>12204</v>
      </c>
      <c r="D195" t="s">
        <v>829</v>
      </c>
      <c r="E195" t="s">
        <v>830</v>
      </c>
      <c r="F195">
        <v>2018</v>
      </c>
      <c r="G195" t="s">
        <v>831</v>
      </c>
      <c r="H195" t="s">
        <v>832</v>
      </c>
      <c r="I195" t="s">
        <v>835</v>
      </c>
      <c r="J195" t="s">
        <v>836</v>
      </c>
      <c r="K195" t="s">
        <v>42</v>
      </c>
      <c r="L195" t="s">
        <v>56</v>
      </c>
    </row>
    <row r="196" spans="1:12" x14ac:dyDescent="0.3">
      <c r="A196" s="8">
        <v>195</v>
      </c>
      <c r="B196" s="1">
        <v>179</v>
      </c>
      <c r="C196" t="s">
        <v>12118</v>
      </c>
      <c r="D196" s="1" t="s">
        <v>8321</v>
      </c>
      <c r="E196" s="1" t="s">
        <v>8323</v>
      </c>
      <c r="F196" s="1">
        <v>2021</v>
      </c>
      <c r="G196" s="1" t="s">
        <v>4793</v>
      </c>
      <c r="H196" s="1" t="str">
        <f>HYPERLINK("http://dx.doi.org/10.4337/qmjip.2021.03.03","http://dx.doi.org/10.4337/qmjip.2021.03.03")</f>
        <v>http://dx.doi.org/10.4337/qmjip.2021.03.03</v>
      </c>
      <c r="I196" s="1" t="s">
        <v>8325</v>
      </c>
      <c r="J196" s="1" t="s">
        <v>8324</v>
      </c>
      <c r="K196" s="1" t="s">
        <v>42</v>
      </c>
      <c r="L196" s="1" t="s">
        <v>56</v>
      </c>
    </row>
    <row r="197" spans="1:12" x14ac:dyDescent="0.3">
      <c r="A197" s="8">
        <v>196</v>
      </c>
      <c r="B197" s="1">
        <v>180</v>
      </c>
      <c r="C197" t="s">
        <v>12118</v>
      </c>
      <c r="D197" s="1" t="s">
        <v>3333</v>
      </c>
      <c r="E197" s="1" t="s">
        <v>3335</v>
      </c>
      <c r="F197" s="1">
        <v>2023</v>
      </c>
      <c r="G197" s="1" t="s">
        <v>3336</v>
      </c>
      <c r="H197" s="1" t="str">
        <f>HYPERLINK("http://dx.doi.org/10.1016/j.isatra.2023.04.025","http://dx.doi.org/10.1016/j.isatra.2023.04.025")</f>
        <v>http://dx.doi.org/10.1016/j.isatra.2023.04.025</v>
      </c>
      <c r="I197" s="1" t="s">
        <v>3339</v>
      </c>
      <c r="J197" s="1" t="s">
        <v>3337</v>
      </c>
      <c r="K197" s="1" t="s">
        <v>42</v>
      </c>
      <c r="L197" s="1" t="s">
        <v>56</v>
      </c>
    </row>
    <row r="198" spans="1:12" x14ac:dyDescent="0.3">
      <c r="A198" s="8">
        <v>197</v>
      </c>
      <c r="B198" s="1">
        <v>181</v>
      </c>
      <c r="C198" t="s">
        <v>12118</v>
      </c>
      <c r="D198" s="1" t="s">
        <v>9172</v>
      </c>
      <c r="E198" s="1" t="s">
        <v>9174</v>
      </c>
      <c r="F198" s="1">
        <v>2021</v>
      </c>
      <c r="G198" s="1" t="s">
        <v>9175</v>
      </c>
      <c r="H198" s="1" t="str">
        <f>HYPERLINK("http://dx.doi.org/10.1109/LSP.2021.3107209","http://dx.doi.org/10.1109/LSP.2021.3107209")</f>
        <v>http://dx.doi.org/10.1109/LSP.2021.3107209</v>
      </c>
      <c r="I198" s="1" t="s">
        <v>9177</v>
      </c>
      <c r="J198" s="1" t="s">
        <v>9176</v>
      </c>
      <c r="K198" s="1" t="s">
        <v>42</v>
      </c>
      <c r="L198" s="1" t="s">
        <v>56</v>
      </c>
    </row>
    <row r="199" spans="1:12" x14ac:dyDescent="0.3">
      <c r="A199" s="8">
        <v>198</v>
      </c>
      <c r="B199" s="1">
        <v>182</v>
      </c>
      <c r="C199" t="s">
        <v>12118</v>
      </c>
      <c r="D199" s="1" t="s">
        <v>4893</v>
      </c>
      <c r="E199" s="1" t="s">
        <v>4895</v>
      </c>
      <c r="F199" s="1">
        <v>2023</v>
      </c>
      <c r="G199" s="1" t="s">
        <v>3297</v>
      </c>
      <c r="H199" s="1" t="str">
        <f>HYPERLINK("http://dx.doi.org/10.1038/s41598-023-34375-6","http://dx.doi.org/10.1038/s41598-023-34375-6")</f>
        <v>http://dx.doi.org/10.1038/s41598-023-34375-6</v>
      </c>
      <c r="I199" s="1" t="s">
        <v>4896</v>
      </c>
      <c r="J199" s="1" t="s">
        <v>1507</v>
      </c>
      <c r="K199" s="1" t="s">
        <v>42</v>
      </c>
      <c r="L199" s="1" t="s">
        <v>56</v>
      </c>
    </row>
    <row r="200" spans="1:12" x14ac:dyDescent="0.3">
      <c r="A200" s="8">
        <v>199</v>
      </c>
      <c r="B200" s="1">
        <v>183</v>
      </c>
      <c r="C200" t="s">
        <v>12118</v>
      </c>
      <c r="D200" s="1" t="s">
        <v>6864</v>
      </c>
      <c r="E200" s="1" t="s">
        <v>6866</v>
      </c>
      <c r="F200" s="1">
        <v>2022</v>
      </c>
      <c r="G200" s="1" t="s">
        <v>6867</v>
      </c>
      <c r="H200" s="1" t="str">
        <f>HYPERLINK("http://dx.doi.org/10.1590/s0102-0536-20220405","http://dx.doi.org/10.1590/s0102-0536-20220405")</f>
        <v>http://dx.doi.org/10.1590/s0102-0536-20220405</v>
      </c>
      <c r="I200" s="1" t="s">
        <v>6869</v>
      </c>
      <c r="J200" s="1" t="s">
        <v>6868</v>
      </c>
      <c r="K200" s="1" t="s">
        <v>42</v>
      </c>
      <c r="L200" s="1" t="s">
        <v>56</v>
      </c>
    </row>
    <row r="201" spans="1:12" x14ac:dyDescent="0.3">
      <c r="A201" s="8">
        <v>200</v>
      </c>
      <c r="B201" s="1">
        <v>184</v>
      </c>
      <c r="C201" t="s">
        <v>12118</v>
      </c>
      <c r="D201" s="1" t="s">
        <v>4036</v>
      </c>
      <c r="E201" s="1" t="s">
        <v>4038</v>
      </c>
      <c r="F201" s="1">
        <v>2023</v>
      </c>
      <c r="G201" s="1" t="s">
        <v>4039</v>
      </c>
      <c r="H201" s="1" t="str">
        <f>HYPERLINK("http://dx.doi.org/10.1016/j.scs.2023.104876","http://dx.doi.org/10.1016/j.scs.2023.104876")</f>
        <v>http://dx.doi.org/10.1016/j.scs.2023.104876</v>
      </c>
      <c r="I201" s="1" t="s">
        <v>4042</v>
      </c>
      <c r="J201" s="1" t="s">
        <v>4040</v>
      </c>
      <c r="K201" s="1" t="s">
        <v>42</v>
      </c>
      <c r="L201" s="1" t="s">
        <v>56</v>
      </c>
    </row>
    <row r="202" spans="1:12" x14ac:dyDescent="0.3">
      <c r="A202" s="8">
        <v>201</v>
      </c>
      <c r="B202" s="1">
        <v>185</v>
      </c>
      <c r="C202" t="s">
        <v>12118</v>
      </c>
      <c r="D202" s="1" t="s">
        <v>5450</v>
      </c>
      <c r="E202" s="1" t="s">
        <v>5452</v>
      </c>
      <c r="F202" s="1">
        <v>2023</v>
      </c>
      <c r="G202" s="1" t="s">
        <v>5453</v>
      </c>
      <c r="H202" s="1" t="str">
        <f>HYPERLINK("http://dx.doi.org/10.1029/2022GL100005","http://dx.doi.org/10.1029/2022GL100005")</f>
        <v>http://dx.doi.org/10.1029/2022GL100005</v>
      </c>
      <c r="I202" s="1" t="s">
        <v>5456</v>
      </c>
      <c r="J202" s="1" t="s">
        <v>5454</v>
      </c>
      <c r="K202" s="1" t="s">
        <v>42</v>
      </c>
      <c r="L202" s="1" t="s">
        <v>56</v>
      </c>
    </row>
    <row r="203" spans="1:12" x14ac:dyDescent="0.3">
      <c r="A203" s="8">
        <v>202</v>
      </c>
      <c r="B203" s="1">
        <v>187</v>
      </c>
      <c r="C203" t="s">
        <v>12118</v>
      </c>
      <c r="D203" s="1" t="s">
        <v>10694</v>
      </c>
      <c r="E203" s="1" t="s">
        <v>10696</v>
      </c>
      <c r="F203" s="1">
        <v>2019</v>
      </c>
      <c r="G203" s="1" t="s">
        <v>2324</v>
      </c>
      <c r="H203" s="1" t="s">
        <v>1507</v>
      </c>
      <c r="I203" s="1" t="s">
        <v>10698</v>
      </c>
      <c r="J203" s="1" t="s">
        <v>1507</v>
      </c>
      <c r="K203" s="1" t="s">
        <v>42</v>
      </c>
      <c r="L203" s="1" t="s">
        <v>56</v>
      </c>
    </row>
    <row r="204" spans="1:12" x14ac:dyDescent="0.3">
      <c r="A204" s="8">
        <v>203</v>
      </c>
      <c r="B204">
        <v>56</v>
      </c>
      <c r="C204" t="s">
        <v>12204</v>
      </c>
      <c r="D204" t="s">
        <v>12718</v>
      </c>
      <c r="E204" t="s">
        <v>12716</v>
      </c>
      <c r="F204">
        <v>2023</v>
      </c>
      <c r="G204" t="s">
        <v>923</v>
      </c>
      <c r="H204" t="s">
        <v>924</v>
      </c>
      <c r="I204" t="s">
        <v>927</v>
      </c>
      <c r="J204" t="s">
        <v>928</v>
      </c>
      <c r="K204" t="s">
        <v>12712</v>
      </c>
      <c r="L204" t="s">
        <v>56</v>
      </c>
    </row>
    <row r="205" spans="1:12" x14ac:dyDescent="0.3">
      <c r="A205" s="8">
        <v>204</v>
      </c>
      <c r="B205">
        <v>57</v>
      </c>
      <c r="C205" t="s">
        <v>12204</v>
      </c>
      <c r="D205" t="s">
        <v>12683</v>
      </c>
      <c r="E205" t="s">
        <v>1298</v>
      </c>
      <c r="F205">
        <v>2023</v>
      </c>
      <c r="G205" t="s">
        <v>1299</v>
      </c>
      <c r="H205" t="s">
        <v>1301</v>
      </c>
      <c r="I205" t="s">
        <v>1304</v>
      </c>
      <c r="J205" t="s">
        <v>1305</v>
      </c>
      <c r="K205" t="s">
        <v>42</v>
      </c>
      <c r="L205" t="s">
        <v>56</v>
      </c>
    </row>
    <row r="206" spans="1:12" x14ac:dyDescent="0.3">
      <c r="A206" s="8">
        <v>205</v>
      </c>
      <c r="B206" s="1">
        <v>188</v>
      </c>
      <c r="C206" t="s">
        <v>12118</v>
      </c>
      <c r="D206" s="1" t="s">
        <v>2724</v>
      </c>
      <c r="E206" s="1" t="s">
        <v>1298</v>
      </c>
      <c r="F206" s="1">
        <v>2023</v>
      </c>
      <c r="G206" s="1" t="s">
        <v>2726</v>
      </c>
      <c r="H206" s="1" t="str">
        <f>HYPERLINK("http://dx.doi.org/10.1136/bjo-2023-324091","http://dx.doi.org/10.1136/bjo-2023-324091")</f>
        <v>http://dx.doi.org/10.1136/bjo-2023-324091</v>
      </c>
      <c r="I206" s="1" t="s">
        <v>2727</v>
      </c>
      <c r="J206" s="1" t="s">
        <v>1305</v>
      </c>
      <c r="K206" s="1" t="s">
        <v>42</v>
      </c>
      <c r="L206" s="1" t="s">
        <v>1509</v>
      </c>
    </row>
    <row r="207" spans="1:12" x14ac:dyDescent="0.3">
      <c r="A207" s="8">
        <v>206</v>
      </c>
      <c r="B207" s="1">
        <v>189</v>
      </c>
      <c r="C207" t="s">
        <v>12118</v>
      </c>
      <c r="D207" s="1" t="s">
        <v>5841</v>
      </c>
      <c r="E207" s="1" t="s">
        <v>5843</v>
      </c>
      <c r="F207" s="1">
        <v>2023</v>
      </c>
      <c r="G207" s="1" t="s">
        <v>5844</v>
      </c>
      <c r="H207" s="1" t="str">
        <f>HYPERLINK("http://dx.doi.org/10.1145/3599696.3612895","http://dx.doi.org/10.1145/3599696.3612895")</f>
        <v>http://dx.doi.org/10.1145/3599696.3612895</v>
      </c>
      <c r="I207" s="1" t="s">
        <v>5849</v>
      </c>
      <c r="J207" s="1" t="s">
        <v>5848</v>
      </c>
      <c r="K207" s="1" t="s">
        <v>42</v>
      </c>
      <c r="L207" s="1" t="s">
        <v>5552</v>
      </c>
    </row>
    <row r="208" spans="1:12" x14ac:dyDescent="0.3">
      <c r="A208" s="8">
        <v>207</v>
      </c>
      <c r="B208" s="1">
        <v>190</v>
      </c>
      <c r="C208" t="s">
        <v>12118</v>
      </c>
      <c r="D208" s="1" t="s">
        <v>4314</v>
      </c>
      <c r="E208" s="1" t="s">
        <v>4316</v>
      </c>
      <c r="F208" s="1">
        <v>2023</v>
      </c>
      <c r="G208" s="1" t="s">
        <v>4317</v>
      </c>
      <c r="H208" s="1" t="str">
        <f>HYPERLINK("http://dx.doi.org/10.1097/YPG.0000000000000339","http://dx.doi.org/10.1097/YPG.0000000000000339")</f>
        <v>http://dx.doi.org/10.1097/YPG.0000000000000339</v>
      </c>
      <c r="I208" s="1" t="s">
        <v>4320</v>
      </c>
      <c r="J208" s="1" t="s">
        <v>4318</v>
      </c>
      <c r="K208" s="1" t="s">
        <v>42</v>
      </c>
      <c r="L208" s="1" t="s">
        <v>56</v>
      </c>
    </row>
    <row r="209" spans="1:12" x14ac:dyDescent="0.3">
      <c r="A209" s="8">
        <v>208</v>
      </c>
      <c r="B209" s="1">
        <v>191</v>
      </c>
      <c r="C209" t="s">
        <v>12118</v>
      </c>
      <c r="D209" s="1" t="s">
        <v>5862</v>
      </c>
      <c r="E209" s="1" t="s">
        <v>5864</v>
      </c>
      <c r="F209" s="1">
        <v>2023</v>
      </c>
      <c r="G209" s="1" t="s">
        <v>5865</v>
      </c>
      <c r="H209" s="1" t="str">
        <f>HYPERLINK("http://dx.doi.org/10.2196/49995","http://dx.doi.org/10.2196/49995")</f>
        <v>http://dx.doi.org/10.2196/49995</v>
      </c>
      <c r="I209" s="1" t="s">
        <v>5867</v>
      </c>
      <c r="J209" s="1" t="s">
        <v>5866</v>
      </c>
      <c r="K209" s="1" t="s">
        <v>42</v>
      </c>
      <c r="L209" s="1" t="s">
        <v>56</v>
      </c>
    </row>
    <row r="210" spans="1:12" x14ac:dyDescent="0.3">
      <c r="A210" s="8">
        <v>209</v>
      </c>
      <c r="B210">
        <v>58</v>
      </c>
      <c r="C210" t="s">
        <v>12204</v>
      </c>
      <c r="D210" t="s">
        <v>13349</v>
      </c>
      <c r="E210" t="s">
        <v>173</v>
      </c>
      <c r="F210">
        <v>2023</v>
      </c>
      <c r="G210" t="s">
        <v>174</v>
      </c>
      <c r="H210" t="s">
        <v>175</v>
      </c>
      <c r="I210" t="s">
        <v>178</v>
      </c>
      <c r="J210" t="s">
        <v>179</v>
      </c>
      <c r="K210" t="s">
        <v>42</v>
      </c>
      <c r="L210" t="s">
        <v>56</v>
      </c>
    </row>
    <row r="211" spans="1:12" x14ac:dyDescent="0.3">
      <c r="A211" s="8">
        <v>210</v>
      </c>
      <c r="B211" s="1">
        <v>192</v>
      </c>
      <c r="C211" t="s">
        <v>12118</v>
      </c>
      <c r="D211" s="1" t="s">
        <v>4342</v>
      </c>
      <c r="E211" s="1" t="s">
        <v>173</v>
      </c>
      <c r="F211" s="1">
        <v>2023</v>
      </c>
      <c r="G211" s="1" t="s">
        <v>4344</v>
      </c>
      <c r="H211" s="1" t="str">
        <f>HYPERLINK("http://dx.doi.org/10.3390/mti7080081","http://dx.doi.org/10.3390/mti7080081")</f>
        <v>http://dx.doi.org/10.3390/mti7080081</v>
      </c>
      <c r="I211" s="1" t="s">
        <v>4346</v>
      </c>
      <c r="J211" s="1" t="s">
        <v>4345</v>
      </c>
      <c r="K211" s="1" t="s">
        <v>42</v>
      </c>
      <c r="L211" s="1" t="s">
        <v>56</v>
      </c>
    </row>
    <row r="212" spans="1:12" x14ac:dyDescent="0.3">
      <c r="A212" s="8">
        <v>211</v>
      </c>
      <c r="B212" s="1">
        <v>193</v>
      </c>
      <c r="C212" t="s">
        <v>12118</v>
      </c>
      <c r="D212" s="1" t="s">
        <v>10067</v>
      </c>
      <c r="E212" s="1" t="s">
        <v>10069</v>
      </c>
      <c r="F212" s="1">
        <v>2020</v>
      </c>
      <c r="G212" s="1" t="s">
        <v>10070</v>
      </c>
      <c r="H212" s="1" t="str">
        <f>HYPERLINK("http://dx.doi.org/10.1017/S0021223719000220","http://dx.doi.org/10.1017/S0021223719000220")</f>
        <v>http://dx.doi.org/10.1017/S0021223719000220</v>
      </c>
      <c r="I212" s="1" t="s">
        <v>10073</v>
      </c>
      <c r="J212" s="1" t="s">
        <v>10071</v>
      </c>
      <c r="K212" s="1" t="s">
        <v>42</v>
      </c>
      <c r="L212" s="1" t="s">
        <v>56</v>
      </c>
    </row>
    <row r="213" spans="1:12" x14ac:dyDescent="0.3">
      <c r="A213" s="8">
        <v>212</v>
      </c>
      <c r="B213" s="1">
        <v>195</v>
      </c>
      <c r="C213" t="s">
        <v>12118</v>
      </c>
      <c r="D213" s="1" t="s">
        <v>8900</v>
      </c>
      <c r="E213" s="1" t="s">
        <v>8902</v>
      </c>
      <c r="F213" s="1">
        <v>2021</v>
      </c>
      <c r="G213" s="1" t="s">
        <v>8903</v>
      </c>
      <c r="H213" s="1" t="str">
        <f>HYPERLINK("http://dx.doi.org/10.1021/acsnano.0c10897","http://dx.doi.org/10.1021/acsnano.0c10897")</f>
        <v>http://dx.doi.org/10.1021/acsnano.0c10897</v>
      </c>
      <c r="I213" s="1" t="s">
        <v>8906</v>
      </c>
      <c r="J213" s="1" t="s">
        <v>8904</v>
      </c>
      <c r="K213" s="1" t="s">
        <v>42</v>
      </c>
      <c r="L213" s="1" t="s">
        <v>56</v>
      </c>
    </row>
    <row r="214" spans="1:12" x14ac:dyDescent="0.3">
      <c r="A214" s="8">
        <v>213</v>
      </c>
      <c r="B214" s="1">
        <v>196</v>
      </c>
      <c r="C214" t="s">
        <v>12118</v>
      </c>
      <c r="D214" s="1" t="s">
        <v>2794</v>
      </c>
      <c r="E214" s="1" t="s">
        <v>2796</v>
      </c>
      <c r="F214" s="1">
        <v>2023</v>
      </c>
      <c r="G214" s="1" t="s">
        <v>1617</v>
      </c>
      <c r="H214" s="1" t="str">
        <f>HYPERLINK("http://dx.doi.org/10.3390/electronics12224694","http://dx.doi.org/10.3390/electronics12224694")</f>
        <v>http://dx.doi.org/10.3390/electronics12224694</v>
      </c>
      <c r="I214" s="1" t="s">
        <v>2798</v>
      </c>
      <c r="J214" s="1" t="s">
        <v>2797</v>
      </c>
      <c r="K214" s="1" t="s">
        <v>42</v>
      </c>
      <c r="L214" s="1" t="s">
        <v>56</v>
      </c>
    </row>
    <row r="215" spans="1:12" x14ac:dyDescent="0.3">
      <c r="A215" s="8">
        <v>214</v>
      </c>
      <c r="B215">
        <v>60</v>
      </c>
      <c r="C215" t="s">
        <v>12204</v>
      </c>
      <c r="D215" t="s">
        <v>12628</v>
      </c>
      <c r="E215" t="s">
        <v>1111</v>
      </c>
      <c r="F215">
        <v>2023</v>
      </c>
      <c r="G215" t="s">
        <v>383</v>
      </c>
      <c r="I215" t="s">
        <v>1114</v>
      </c>
      <c r="J215" t="s">
        <v>1115</v>
      </c>
      <c r="K215" t="s">
        <v>42</v>
      </c>
      <c r="L215" t="s">
        <v>12252</v>
      </c>
    </row>
    <row r="216" spans="1:12" x14ac:dyDescent="0.3">
      <c r="A216" s="8">
        <v>215</v>
      </c>
      <c r="B216" s="1">
        <v>197</v>
      </c>
      <c r="C216" t="s">
        <v>12118</v>
      </c>
      <c r="D216" s="1" t="s">
        <v>14078</v>
      </c>
      <c r="E216" s="1" t="s">
        <v>14080</v>
      </c>
      <c r="F216" s="1">
        <v>2023</v>
      </c>
      <c r="G216" s="1" t="s">
        <v>14081</v>
      </c>
      <c r="H216" s="1" t="str">
        <f>HYPERLINK("http://dx.doi.org/10.1016/j.freeradbiomed.2023.10.393","http://dx.doi.org/10.1016/j.freeradbiomed.2023.10.393")</f>
        <v>http://dx.doi.org/10.1016/j.freeradbiomed.2023.10.393</v>
      </c>
      <c r="I216" s="1" t="s">
        <v>14084</v>
      </c>
      <c r="J216" s="1" t="s">
        <v>14082</v>
      </c>
      <c r="K216" s="1" t="s">
        <v>42</v>
      </c>
      <c r="L216" s="1" t="s">
        <v>56</v>
      </c>
    </row>
    <row r="217" spans="1:12" x14ac:dyDescent="0.3">
      <c r="A217" s="8">
        <v>216</v>
      </c>
      <c r="B217" s="1">
        <v>198</v>
      </c>
      <c r="C217" t="s">
        <v>12118</v>
      </c>
      <c r="D217" s="1" t="s">
        <v>6944</v>
      </c>
      <c r="E217" s="1" t="s">
        <v>6946</v>
      </c>
      <c r="F217" s="1">
        <v>2022</v>
      </c>
      <c r="G217" s="1" t="s">
        <v>6947</v>
      </c>
      <c r="H217" s="1" t="str">
        <f>HYPERLINK("http://dx.doi.org/10.26342/2022-69-13","http://dx.doi.org/10.26342/2022-69-13")</f>
        <v>http://dx.doi.org/10.26342/2022-69-13</v>
      </c>
      <c r="I217" s="1" t="s">
        <v>6949</v>
      </c>
      <c r="J217" s="1" t="s">
        <v>6948</v>
      </c>
      <c r="K217" s="1" t="s">
        <v>42</v>
      </c>
      <c r="L217" s="1" t="s">
        <v>56</v>
      </c>
    </row>
    <row r="218" spans="1:12" x14ac:dyDescent="0.3">
      <c r="A218" s="8">
        <v>217</v>
      </c>
      <c r="B218" s="1">
        <v>199</v>
      </c>
      <c r="C218" t="s">
        <v>12118</v>
      </c>
      <c r="D218" s="1" t="s">
        <v>4940</v>
      </c>
      <c r="E218" s="1" t="s">
        <v>4942</v>
      </c>
      <c r="F218" s="1">
        <v>2023</v>
      </c>
      <c r="G218" s="1" t="s">
        <v>4943</v>
      </c>
      <c r="H218" s="1" t="str">
        <f>HYPERLINK("http://dx.doi.org/10.5551/jat.64081","http://dx.doi.org/10.5551/jat.64081")</f>
        <v>http://dx.doi.org/10.5551/jat.64081</v>
      </c>
      <c r="I218" s="1" t="s">
        <v>4946</v>
      </c>
      <c r="J218" s="1" t="s">
        <v>4944</v>
      </c>
      <c r="K218" s="1" t="s">
        <v>42</v>
      </c>
      <c r="L218" s="1" t="s">
        <v>56</v>
      </c>
    </row>
    <row r="219" spans="1:12" x14ac:dyDescent="0.3">
      <c r="A219" s="8">
        <v>218</v>
      </c>
      <c r="B219" s="1">
        <v>200</v>
      </c>
      <c r="C219" t="s">
        <v>12118</v>
      </c>
      <c r="D219" s="1" t="s">
        <v>10492</v>
      </c>
      <c r="E219" s="1" t="s">
        <v>10494</v>
      </c>
      <c r="F219" s="1">
        <v>2019</v>
      </c>
      <c r="G219" s="1" t="s">
        <v>7943</v>
      </c>
      <c r="H219" s="1" t="str">
        <f>HYPERLINK("http://dx.doi.org/10.1039/c9cp04032c","http://dx.doi.org/10.1039/c9cp04032c")</f>
        <v>http://dx.doi.org/10.1039/c9cp04032c</v>
      </c>
      <c r="I219" s="1" t="s">
        <v>10496</v>
      </c>
      <c r="J219" s="1" t="s">
        <v>1507</v>
      </c>
      <c r="K219" s="1" t="s">
        <v>42</v>
      </c>
      <c r="L219" s="1" t="s">
        <v>56</v>
      </c>
    </row>
    <row r="220" spans="1:12" x14ac:dyDescent="0.3">
      <c r="A220" s="8">
        <v>219</v>
      </c>
      <c r="B220" s="1">
        <v>201</v>
      </c>
      <c r="C220" t="s">
        <v>12118</v>
      </c>
      <c r="D220" s="1" t="s">
        <v>8969</v>
      </c>
      <c r="E220" s="1" t="s">
        <v>8971</v>
      </c>
      <c r="F220" s="1">
        <v>2021</v>
      </c>
      <c r="G220" s="1" t="s">
        <v>8972</v>
      </c>
      <c r="H220" s="1" t="str">
        <f>HYPERLINK("http://dx.doi.org/10.3390/min11030323","http://dx.doi.org/10.3390/min11030323")</f>
        <v>http://dx.doi.org/10.3390/min11030323</v>
      </c>
      <c r="I220" s="1" t="s">
        <v>8975</v>
      </c>
      <c r="J220" s="1" t="s">
        <v>8973</v>
      </c>
      <c r="K220" s="1" t="s">
        <v>42</v>
      </c>
      <c r="L220" s="1" t="s">
        <v>56</v>
      </c>
    </row>
    <row r="221" spans="1:12" x14ac:dyDescent="0.3">
      <c r="A221" s="8">
        <v>220</v>
      </c>
      <c r="B221" s="1">
        <v>202</v>
      </c>
      <c r="C221" t="s">
        <v>12118</v>
      </c>
      <c r="D221" s="1" t="s">
        <v>14983</v>
      </c>
      <c r="E221" s="1" t="s">
        <v>14986</v>
      </c>
      <c r="F221" s="1">
        <v>2023</v>
      </c>
      <c r="G221" s="1" t="s">
        <v>14987</v>
      </c>
      <c r="H221" s="1" t="str">
        <f>HYPERLINK("http://dx.doi.org/10.1109/ICDMW60847.2023.00035","http://dx.doi.org/10.1109/ICDMW60847.2023.00035")</f>
        <v>http://dx.doi.org/10.1109/ICDMW60847.2023.00035</v>
      </c>
      <c r="I221" s="1" t="s">
        <v>14994</v>
      </c>
      <c r="J221" s="1" t="s">
        <v>14993</v>
      </c>
      <c r="K221" s="1" t="s">
        <v>42</v>
      </c>
      <c r="L221" s="1" t="s">
        <v>5552</v>
      </c>
    </row>
    <row r="222" spans="1:12" x14ac:dyDescent="0.3">
      <c r="A222" s="8">
        <v>221</v>
      </c>
      <c r="B222">
        <v>61</v>
      </c>
      <c r="C222" t="s">
        <v>12204</v>
      </c>
      <c r="D222" t="s">
        <v>12653</v>
      </c>
      <c r="E222" t="s">
        <v>1385</v>
      </c>
      <c r="F222">
        <v>2023</v>
      </c>
      <c r="G222" t="s">
        <v>383</v>
      </c>
      <c r="I222" t="s">
        <v>12649</v>
      </c>
      <c r="J222" t="s">
        <v>1387</v>
      </c>
      <c r="K222" t="s">
        <v>42</v>
      </c>
      <c r="L222" t="s">
        <v>12252</v>
      </c>
    </row>
    <row r="223" spans="1:12" x14ac:dyDescent="0.3">
      <c r="A223" s="8">
        <v>222</v>
      </c>
      <c r="B223">
        <v>62</v>
      </c>
      <c r="C223" t="s">
        <v>12204</v>
      </c>
      <c r="D223" t="s">
        <v>12504</v>
      </c>
      <c r="E223" t="s">
        <v>1267</v>
      </c>
      <c r="F223">
        <v>2023</v>
      </c>
      <c r="G223" t="s">
        <v>127</v>
      </c>
      <c r="H223" t="s">
        <v>1269</v>
      </c>
      <c r="I223" t="s">
        <v>1271</v>
      </c>
      <c r="J223" t="s">
        <v>1272</v>
      </c>
      <c r="K223" t="s">
        <v>42</v>
      </c>
      <c r="L223" t="s">
        <v>12252</v>
      </c>
    </row>
    <row r="224" spans="1:12" x14ac:dyDescent="0.3">
      <c r="A224" s="8">
        <v>223</v>
      </c>
      <c r="B224" s="1">
        <v>204</v>
      </c>
      <c r="C224" t="s">
        <v>12118</v>
      </c>
      <c r="D224" s="1" t="s">
        <v>5392</v>
      </c>
      <c r="E224" s="1" t="s">
        <v>5394</v>
      </c>
      <c r="F224" s="1">
        <v>2023</v>
      </c>
      <c r="G224" s="1" t="s">
        <v>5395</v>
      </c>
      <c r="H224" s="1" t="str">
        <f>HYPERLINK("http://dx.doi.org/10.1016/j.redox.2023.102614","http://dx.doi.org/10.1016/j.redox.2023.102614")</f>
        <v>http://dx.doi.org/10.1016/j.redox.2023.102614</v>
      </c>
      <c r="I224" s="1" t="s">
        <v>5398</v>
      </c>
      <c r="J224" s="1" t="s">
        <v>5396</v>
      </c>
      <c r="K224" s="1" t="s">
        <v>42</v>
      </c>
      <c r="L224" s="1" t="s">
        <v>56</v>
      </c>
    </row>
    <row r="225" spans="1:12" x14ac:dyDescent="0.3">
      <c r="A225" s="8">
        <v>224</v>
      </c>
      <c r="B225" s="1">
        <v>205</v>
      </c>
      <c r="C225" t="s">
        <v>12118</v>
      </c>
      <c r="D225" s="1" t="s">
        <v>15764</v>
      </c>
      <c r="E225" s="1" t="s">
        <v>9194</v>
      </c>
      <c r="F225" s="1">
        <v>2021</v>
      </c>
      <c r="G225" s="1" t="s">
        <v>9195</v>
      </c>
      <c r="H225" s="1" t="str">
        <f>HYPERLINK("http://dx.doi.org/10.3390/antiox10010135","http://dx.doi.org/10.3390/antiox10010135")</f>
        <v>http://dx.doi.org/10.3390/antiox10010135</v>
      </c>
      <c r="I225" s="1" t="s">
        <v>9198</v>
      </c>
      <c r="J225" s="1" t="s">
        <v>9196</v>
      </c>
      <c r="K225" s="1" t="s">
        <v>42</v>
      </c>
      <c r="L225" s="1" t="s">
        <v>56</v>
      </c>
    </row>
    <row r="226" spans="1:12" x14ac:dyDescent="0.3">
      <c r="A226" s="8">
        <v>225</v>
      </c>
      <c r="B226">
        <v>63</v>
      </c>
      <c r="C226" t="s">
        <v>12204</v>
      </c>
      <c r="D226" t="s">
        <v>12804</v>
      </c>
      <c r="E226" t="s">
        <v>508</v>
      </c>
      <c r="F226">
        <v>2023</v>
      </c>
      <c r="G226" t="s">
        <v>383</v>
      </c>
      <c r="I226" t="s">
        <v>511</v>
      </c>
      <c r="J226" t="s">
        <v>512</v>
      </c>
      <c r="K226" t="s">
        <v>42</v>
      </c>
      <c r="L226" t="s">
        <v>12252</v>
      </c>
    </row>
    <row r="227" spans="1:12" x14ac:dyDescent="0.3">
      <c r="A227" s="8">
        <v>226</v>
      </c>
      <c r="B227" s="1">
        <v>206</v>
      </c>
      <c r="C227" t="s">
        <v>12118</v>
      </c>
      <c r="D227" s="1" t="s">
        <v>8858</v>
      </c>
      <c r="E227" s="1" t="s">
        <v>8860</v>
      </c>
      <c r="F227" s="1">
        <v>2021</v>
      </c>
      <c r="G227" s="1" t="s">
        <v>8861</v>
      </c>
      <c r="H227" s="1" t="str">
        <f>HYPERLINK("http://dx.doi.org/10.1007/s40520-021-01835-w","http://dx.doi.org/10.1007/s40520-021-01835-w")</f>
        <v>http://dx.doi.org/10.1007/s40520-021-01835-w</v>
      </c>
      <c r="I227" s="1" t="s">
        <v>8863</v>
      </c>
      <c r="J227" s="1" t="s">
        <v>8862</v>
      </c>
      <c r="K227" s="1" t="s">
        <v>42</v>
      </c>
      <c r="L227" s="1" t="s">
        <v>56</v>
      </c>
    </row>
    <row r="228" spans="1:12" x14ac:dyDescent="0.3">
      <c r="A228" s="8">
        <v>227</v>
      </c>
      <c r="B228" s="1">
        <v>207</v>
      </c>
      <c r="C228" t="s">
        <v>12118</v>
      </c>
      <c r="D228" s="1" t="s">
        <v>5883</v>
      </c>
      <c r="E228" s="1" t="s">
        <v>5886</v>
      </c>
      <c r="F228" s="1">
        <v>2023</v>
      </c>
      <c r="G228" s="1" t="s">
        <v>5887</v>
      </c>
      <c r="H228" s="1" t="s">
        <v>1507</v>
      </c>
      <c r="I228" s="1" t="s">
        <v>1507</v>
      </c>
      <c r="J228" s="1" t="s">
        <v>1507</v>
      </c>
      <c r="K228" s="1" t="s">
        <v>42</v>
      </c>
      <c r="L228" s="1" t="s">
        <v>5888</v>
      </c>
    </row>
    <row r="229" spans="1:12" x14ac:dyDescent="0.3">
      <c r="A229" s="8">
        <v>228</v>
      </c>
      <c r="B229">
        <v>64</v>
      </c>
      <c r="C229" t="s">
        <v>12204</v>
      </c>
      <c r="D229" t="s">
        <v>12810</v>
      </c>
      <c r="E229" t="s">
        <v>559</v>
      </c>
      <c r="F229">
        <v>2023</v>
      </c>
      <c r="G229" t="s">
        <v>560</v>
      </c>
      <c r="H229" t="s">
        <v>562</v>
      </c>
      <c r="I229" t="s">
        <v>565</v>
      </c>
      <c r="J229" t="s">
        <v>566</v>
      </c>
      <c r="K229" t="s">
        <v>42</v>
      </c>
      <c r="L229" t="s">
        <v>56</v>
      </c>
    </row>
    <row r="230" spans="1:12" x14ac:dyDescent="0.3">
      <c r="A230" s="8">
        <v>229</v>
      </c>
      <c r="B230" s="1">
        <v>208</v>
      </c>
      <c r="C230" t="s">
        <v>12118</v>
      </c>
      <c r="D230" s="1" t="s">
        <v>1655</v>
      </c>
      <c r="E230" s="1" t="s">
        <v>559</v>
      </c>
      <c r="F230" s="1">
        <v>2023</v>
      </c>
      <c r="G230" s="1" t="s">
        <v>1657</v>
      </c>
      <c r="H230" s="1" t="str">
        <f>HYPERLINK("http://dx.doi.org/10.2196/51580","http://dx.doi.org/10.2196/51580")</f>
        <v>http://dx.doi.org/10.2196/51580</v>
      </c>
      <c r="I230" s="1" t="s">
        <v>1660</v>
      </c>
      <c r="J230" s="1" t="s">
        <v>1658</v>
      </c>
      <c r="K230" s="1" t="s">
        <v>42</v>
      </c>
      <c r="L230" s="1" t="s">
        <v>56</v>
      </c>
    </row>
    <row r="231" spans="1:12" x14ac:dyDescent="0.3">
      <c r="A231" s="8">
        <v>230</v>
      </c>
      <c r="B231">
        <v>65</v>
      </c>
      <c r="C231" t="s">
        <v>12204</v>
      </c>
      <c r="D231" t="s">
        <v>12395</v>
      </c>
      <c r="E231" t="s">
        <v>1065</v>
      </c>
      <c r="F231">
        <v>2023</v>
      </c>
      <c r="G231" t="s">
        <v>996</v>
      </c>
      <c r="H231" t="s">
        <v>1067</v>
      </c>
      <c r="I231" t="s">
        <v>1070</v>
      </c>
      <c r="J231" t="s">
        <v>1071</v>
      </c>
      <c r="K231" t="s">
        <v>42</v>
      </c>
      <c r="L231" t="s">
        <v>56</v>
      </c>
    </row>
    <row r="232" spans="1:12" x14ac:dyDescent="0.3">
      <c r="A232" s="8">
        <v>231</v>
      </c>
      <c r="B232" s="1">
        <v>209</v>
      </c>
      <c r="C232" t="s">
        <v>12118</v>
      </c>
      <c r="D232" s="1" t="s">
        <v>11342</v>
      </c>
      <c r="E232" s="1" t="s">
        <v>11344</v>
      </c>
      <c r="F232" s="1">
        <v>2019</v>
      </c>
      <c r="G232" s="1" t="s">
        <v>11345</v>
      </c>
      <c r="H232" s="1" t="str">
        <f>HYPERLINK("http://dx.doi.org/10.5334/tilr.135","http://dx.doi.org/10.5334/tilr.135")</f>
        <v>http://dx.doi.org/10.5334/tilr.135</v>
      </c>
      <c r="I232" s="1" t="s">
        <v>11347</v>
      </c>
      <c r="J232" s="1" t="s">
        <v>11346</v>
      </c>
      <c r="K232" s="1" t="s">
        <v>42</v>
      </c>
      <c r="L232" s="1" t="s">
        <v>56</v>
      </c>
    </row>
    <row r="233" spans="1:12" x14ac:dyDescent="0.3">
      <c r="A233" s="8">
        <v>232</v>
      </c>
      <c r="B233" s="1">
        <v>210</v>
      </c>
      <c r="C233" t="s">
        <v>12118</v>
      </c>
      <c r="D233" s="1" t="s">
        <v>2197</v>
      </c>
      <c r="E233" s="1" t="s">
        <v>2199</v>
      </c>
      <c r="F233" s="1">
        <v>2023</v>
      </c>
      <c r="G233" s="1" t="s">
        <v>2200</v>
      </c>
      <c r="H233" s="1" t="str">
        <f>HYPERLINK("http://dx.doi.org/10.3390/informatics10040089","http://dx.doi.org/10.3390/informatics10040089")</f>
        <v>http://dx.doi.org/10.3390/informatics10040089</v>
      </c>
      <c r="I233" s="1" t="s">
        <v>2203</v>
      </c>
      <c r="J233" s="1" t="s">
        <v>2201</v>
      </c>
      <c r="K233" s="1" t="s">
        <v>42</v>
      </c>
      <c r="L233" s="1" t="s">
        <v>56</v>
      </c>
    </row>
    <row r="234" spans="1:12" x14ac:dyDescent="0.3">
      <c r="A234" s="8">
        <v>233</v>
      </c>
      <c r="B234" s="1">
        <v>212</v>
      </c>
      <c r="C234" t="s">
        <v>12118</v>
      </c>
      <c r="D234" s="1" t="s">
        <v>7757</v>
      </c>
      <c r="E234" s="1" t="s">
        <v>7759</v>
      </c>
      <c r="F234" s="1">
        <v>2022</v>
      </c>
      <c r="G234" s="1" t="s">
        <v>7760</v>
      </c>
      <c r="H234" s="1" t="str">
        <f>HYPERLINK("http://dx.doi.org/10.1145/3517428.3544819","http://dx.doi.org/10.1145/3517428.3544819")</f>
        <v>http://dx.doi.org/10.1145/3517428.3544819</v>
      </c>
      <c r="I234" s="1" t="s">
        <v>7767</v>
      </c>
      <c r="J234" s="1" t="s">
        <v>7765</v>
      </c>
      <c r="K234" s="1" t="s">
        <v>42</v>
      </c>
      <c r="L234" s="1" t="s">
        <v>5552</v>
      </c>
    </row>
    <row r="235" spans="1:12" x14ac:dyDescent="0.3">
      <c r="A235" s="8">
        <v>234</v>
      </c>
      <c r="B235" s="1">
        <v>213</v>
      </c>
      <c r="C235" t="s">
        <v>12118</v>
      </c>
      <c r="D235" s="1" t="s">
        <v>15008</v>
      </c>
      <c r="E235" s="1" t="s">
        <v>15011</v>
      </c>
      <c r="F235" s="1">
        <v>2023</v>
      </c>
      <c r="G235" s="1" t="s">
        <v>15012</v>
      </c>
      <c r="H235" s="1" t="str">
        <f>HYPERLINK("http://dx.doi.org/10.3233/FAIA230974","http://dx.doi.org/10.3233/FAIA230974")</f>
        <v>http://dx.doi.org/10.3233/FAIA230974</v>
      </c>
      <c r="I235" s="1" t="s">
        <v>15019</v>
      </c>
      <c r="J235" s="1" t="s">
        <v>15018</v>
      </c>
      <c r="K235" s="1" t="s">
        <v>42</v>
      </c>
      <c r="L235" s="1" t="s">
        <v>5552</v>
      </c>
    </row>
    <row r="236" spans="1:12" x14ac:dyDescent="0.3">
      <c r="A236" s="8">
        <v>235</v>
      </c>
      <c r="B236" s="1">
        <v>214</v>
      </c>
      <c r="C236" t="s">
        <v>12118</v>
      </c>
      <c r="D236" s="1" t="s">
        <v>10831</v>
      </c>
      <c r="E236" s="1" t="s">
        <v>10833</v>
      </c>
      <c r="F236" s="1">
        <v>2019</v>
      </c>
      <c r="G236" s="1" t="s">
        <v>10834</v>
      </c>
      <c r="H236" s="1" t="str">
        <f>HYPERLINK("http://dx.doi.org/10.1007/s00439-019-02024-6","http://dx.doi.org/10.1007/s00439-019-02024-6")</f>
        <v>http://dx.doi.org/10.1007/s00439-019-02024-6</v>
      </c>
      <c r="I236" s="1" t="s">
        <v>10836</v>
      </c>
      <c r="J236" s="1" t="s">
        <v>1507</v>
      </c>
      <c r="K236" s="1" t="s">
        <v>42</v>
      </c>
      <c r="L236" s="1" t="s">
        <v>56</v>
      </c>
    </row>
    <row r="237" spans="1:12" x14ac:dyDescent="0.3">
      <c r="A237" s="8">
        <v>236</v>
      </c>
      <c r="B237" s="1">
        <v>215</v>
      </c>
      <c r="C237" t="s">
        <v>12118</v>
      </c>
      <c r="D237" s="1" t="s">
        <v>3530</v>
      </c>
      <c r="E237" s="1" t="s">
        <v>3532</v>
      </c>
      <c r="F237" s="1">
        <v>2023</v>
      </c>
      <c r="G237" s="1" t="s">
        <v>3533</v>
      </c>
      <c r="H237" s="1" t="str">
        <f>HYPERLINK("http://dx.doi.org/10.3390/jpm13101502","http://dx.doi.org/10.3390/jpm13101502")</f>
        <v>http://dx.doi.org/10.3390/jpm13101502</v>
      </c>
      <c r="I237" s="1" t="s">
        <v>3536</v>
      </c>
      <c r="J237" s="1" t="s">
        <v>3534</v>
      </c>
      <c r="K237" s="1" t="s">
        <v>42</v>
      </c>
      <c r="L237" s="1" t="s">
        <v>56</v>
      </c>
    </row>
    <row r="238" spans="1:12" x14ac:dyDescent="0.3">
      <c r="A238" s="8">
        <v>237</v>
      </c>
      <c r="B238" s="1">
        <v>216</v>
      </c>
      <c r="C238" t="s">
        <v>12118</v>
      </c>
      <c r="D238" s="1" t="s">
        <v>7560</v>
      </c>
      <c r="E238" s="1" t="s">
        <v>7562</v>
      </c>
      <c r="F238" s="1">
        <v>2022</v>
      </c>
      <c r="G238" s="1" t="s">
        <v>7563</v>
      </c>
      <c r="H238" s="1" t="str">
        <f>HYPERLINK("http://dx.doi.org/10.1038/s41467-022-28420-7","http://dx.doi.org/10.1038/s41467-022-28420-7")</f>
        <v>http://dx.doi.org/10.1038/s41467-022-28420-7</v>
      </c>
      <c r="I238" s="1" t="s">
        <v>7565</v>
      </c>
      <c r="J238" s="1" t="s">
        <v>1507</v>
      </c>
      <c r="K238" s="1" t="s">
        <v>42</v>
      </c>
      <c r="L238" s="1" t="s">
        <v>56</v>
      </c>
    </row>
    <row r="239" spans="1:12" x14ac:dyDescent="0.3">
      <c r="A239" s="8">
        <v>238</v>
      </c>
      <c r="B239" s="1">
        <v>217</v>
      </c>
      <c r="C239" t="s">
        <v>12118</v>
      </c>
      <c r="D239" s="1" t="s">
        <v>3995</v>
      </c>
      <c r="E239" s="1" t="s">
        <v>3997</v>
      </c>
      <c r="F239" s="1">
        <v>2023</v>
      </c>
      <c r="G239" s="1" t="s">
        <v>3998</v>
      </c>
      <c r="H239" s="1" t="str">
        <f>HYPERLINK("http://dx.doi.org/10.3855/jidc.18738","http://dx.doi.org/10.3855/jidc.18738")</f>
        <v>http://dx.doi.org/10.3855/jidc.18738</v>
      </c>
      <c r="I239" s="1" t="s">
        <v>4000</v>
      </c>
      <c r="J239" s="1" t="s">
        <v>3999</v>
      </c>
      <c r="K239" s="1" t="s">
        <v>42</v>
      </c>
      <c r="L239" s="1" t="s">
        <v>56</v>
      </c>
    </row>
    <row r="240" spans="1:12" x14ac:dyDescent="0.3">
      <c r="A240" s="8">
        <v>239</v>
      </c>
      <c r="B240" s="1">
        <v>218</v>
      </c>
      <c r="C240" t="s">
        <v>12118</v>
      </c>
      <c r="D240" s="1" t="s">
        <v>2520</v>
      </c>
      <c r="E240" s="1" t="s">
        <v>2522</v>
      </c>
      <c r="F240" s="1">
        <v>2023</v>
      </c>
      <c r="G240" s="1" t="s">
        <v>2523</v>
      </c>
      <c r="H240" s="1" t="str">
        <f>HYPERLINK("http://dx.doi.org/10.1021/acs.jpclett.3c02398","http://dx.doi.org/10.1021/acs.jpclett.3c02398")</f>
        <v>http://dx.doi.org/10.1021/acs.jpclett.3c02398</v>
      </c>
      <c r="I240" s="1" t="s">
        <v>2525</v>
      </c>
      <c r="J240" s="1" t="s">
        <v>1507</v>
      </c>
      <c r="K240" s="1" t="s">
        <v>42</v>
      </c>
      <c r="L240" s="1" t="s">
        <v>56</v>
      </c>
    </row>
    <row r="241" spans="1:78" x14ac:dyDescent="0.3">
      <c r="A241" s="8">
        <v>240</v>
      </c>
      <c r="B241">
        <v>67</v>
      </c>
      <c r="C241" t="s">
        <v>12204</v>
      </c>
      <c r="D241" t="s">
        <v>13701</v>
      </c>
      <c r="E241" t="s">
        <v>293</v>
      </c>
      <c r="F241">
        <v>2023</v>
      </c>
      <c r="G241" t="s">
        <v>294</v>
      </c>
      <c r="H241" t="s">
        <v>295</v>
      </c>
      <c r="I241" t="s">
        <v>297</v>
      </c>
      <c r="J241" t="s">
        <v>298</v>
      </c>
      <c r="K241" t="s">
        <v>42</v>
      </c>
      <c r="L241" t="s">
        <v>56</v>
      </c>
    </row>
    <row r="242" spans="1:78" x14ac:dyDescent="0.3">
      <c r="A242" s="8">
        <v>241</v>
      </c>
      <c r="B242" s="1">
        <v>219</v>
      </c>
      <c r="C242" t="s">
        <v>12118</v>
      </c>
      <c r="D242" s="1" t="s">
        <v>5902</v>
      </c>
      <c r="E242" s="1" t="s">
        <v>5904</v>
      </c>
      <c r="F242" s="1">
        <v>2023</v>
      </c>
      <c r="G242" s="1" t="s">
        <v>5905</v>
      </c>
      <c r="H242" s="1" t="str">
        <f>HYPERLINK("http://dx.doi.org/10.1109/CVPR52729.2023.01046","http://dx.doi.org/10.1109/CVPR52729.2023.01046")</f>
        <v>http://dx.doi.org/10.1109/CVPR52729.2023.01046</v>
      </c>
      <c r="I242" s="1" t="s">
        <v>5911</v>
      </c>
      <c r="J242" s="1" t="s">
        <v>1507</v>
      </c>
      <c r="K242" s="1" t="s">
        <v>42</v>
      </c>
      <c r="L242" s="1" t="s">
        <v>5552</v>
      </c>
    </row>
    <row r="243" spans="1:78" x14ac:dyDescent="0.3">
      <c r="A243" s="8">
        <v>242</v>
      </c>
      <c r="B243" s="1">
        <v>220</v>
      </c>
      <c r="C243" t="s">
        <v>12118</v>
      </c>
      <c r="D243" s="1" t="s">
        <v>2457</v>
      </c>
      <c r="E243" s="1" t="s">
        <v>293</v>
      </c>
      <c r="F243" s="1">
        <v>2023</v>
      </c>
      <c r="G243" s="1" t="s">
        <v>2459</v>
      </c>
      <c r="H243" s="1" t="str">
        <f>HYPERLINK("http://dx.doi.org/10.1021/acs.jchemed.3c00505","http://dx.doi.org/10.1021/acs.jchemed.3c00505")</f>
        <v>http://dx.doi.org/10.1021/acs.jchemed.3c00505</v>
      </c>
      <c r="I243" s="1" t="s">
        <v>2462</v>
      </c>
      <c r="J243" s="1" t="s">
        <v>2460</v>
      </c>
      <c r="K243" s="1" t="s">
        <v>42</v>
      </c>
      <c r="L243" s="1" t="s">
        <v>56</v>
      </c>
    </row>
    <row r="244" spans="1:78" x14ac:dyDescent="0.3">
      <c r="A244" s="8">
        <v>243</v>
      </c>
      <c r="B244" s="1">
        <v>221</v>
      </c>
      <c r="C244" t="s">
        <v>12118</v>
      </c>
      <c r="D244" s="1" t="s">
        <v>9637</v>
      </c>
      <c r="E244" s="1" t="s">
        <v>9639</v>
      </c>
      <c r="F244" s="1">
        <v>2020</v>
      </c>
      <c r="G244" s="1" t="s">
        <v>9640</v>
      </c>
      <c r="H244" s="1" t="str">
        <f>HYPERLINK("http://dx.doi.org/10.1038/s41590-020-0773-7","http://dx.doi.org/10.1038/s41590-020-0773-7")</f>
        <v>http://dx.doi.org/10.1038/s41590-020-0773-7</v>
      </c>
      <c r="I244" s="1" t="s">
        <v>9641</v>
      </c>
      <c r="J244" s="1" t="s">
        <v>1507</v>
      </c>
      <c r="K244" s="1" t="s">
        <v>42</v>
      </c>
      <c r="L244" s="1" t="s">
        <v>56</v>
      </c>
    </row>
    <row r="245" spans="1:78" x14ac:dyDescent="0.3">
      <c r="A245" s="8">
        <v>244</v>
      </c>
      <c r="B245">
        <v>68</v>
      </c>
      <c r="C245" t="s">
        <v>12204</v>
      </c>
      <c r="D245" t="s">
        <v>12775</v>
      </c>
      <c r="E245" t="s">
        <v>531</v>
      </c>
      <c r="F245">
        <v>2023</v>
      </c>
      <c r="G245" t="s">
        <v>335</v>
      </c>
      <c r="H245" t="s">
        <v>532</v>
      </c>
      <c r="I245" t="s">
        <v>535</v>
      </c>
      <c r="J245" t="s">
        <v>536</v>
      </c>
      <c r="K245" t="s">
        <v>42</v>
      </c>
      <c r="L245" t="s">
        <v>56</v>
      </c>
      <c r="BB245" s="6"/>
      <c r="BC245" s="6"/>
      <c r="BD245" s="6"/>
      <c r="BE245" s="6"/>
      <c r="BF245" s="6"/>
      <c r="BG245" s="6"/>
      <c r="BH245" s="6"/>
      <c r="BI245" s="6"/>
      <c r="BJ245" s="6"/>
      <c r="BK245" s="6"/>
      <c r="BL245" s="6"/>
      <c r="BM245" s="6"/>
      <c r="BN245" s="6"/>
      <c r="BO245" s="6"/>
      <c r="BP245" s="6"/>
      <c r="BQ245" s="6"/>
      <c r="BR245" s="6"/>
      <c r="BS245" s="6"/>
      <c r="BT245" s="6"/>
    </row>
    <row r="246" spans="1:78" x14ac:dyDescent="0.3">
      <c r="A246" s="8">
        <v>245</v>
      </c>
      <c r="B246" s="1">
        <v>222</v>
      </c>
      <c r="C246" t="s">
        <v>12118</v>
      </c>
      <c r="D246" s="1" t="s">
        <v>2142</v>
      </c>
      <c r="E246" s="1" t="s">
        <v>531</v>
      </c>
      <c r="F246" s="1">
        <v>2023</v>
      </c>
      <c r="G246" s="1" t="s">
        <v>1562</v>
      </c>
      <c r="H246" s="1" t="str">
        <f>HYPERLINK("http://dx.doi.org/10.3389/feduc.2023.1272229","http://dx.doi.org/10.3389/feduc.2023.1272229")</f>
        <v>http://dx.doi.org/10.3389/feduc.2023.1272229</v>
      </c>
      <c r="I246" s="1" t="s">
        <v>2145</v>
      </c>
      <c r="J246" s="1" t="s">
        <v>2144</v>
      </c>
      <c r="K246" s="1" t="s">
        <v>42</v>
      </c>
      <c r="L246" s="1" t="s">
        <v>56</v>
      </c>
    </row>
    <row r="247" spans="1:78" x14ac:dyDescent="0.3">
      <c r="A247" s="8">
        <v>246</v>
      </c>
      <c r="B247" s="1">
        <v>223</v>
      </c>
      <c r="C247" t="s">
        <v>12118</v>
      </c>
      <c r="D247" s="1" t="s">
        <v>3398</v>
      </c>
      <c r="E247" s="1" t="s">
        <v>3400</v>
      </c>
      <c r="F247" s="1">
        <v>2023</v>
      </c>
      <c r="G247" s="1" t="s">
        <v>3401</v>
      </c>
      <c r="H247" s="1" t="str">
        <f>HYPERLINK("http://dx.doi.org/10.1038/s43588-023-00527-x","http://dx.doi.org/10.1038/s43588-023-00527-x")</f>
        <v>http://dx.doi.org/10.1038/s43588-023-00527-x</v>
      </c>
      <c r="I247" s="1" t="s">
        <v>3403</v>
      </c>
      <c r="J247" s="1" t="s">
        <v>1507</v>
      </c>
      <c r="K247" s="1" t="s">
        <v>42</v>
      </c>
      <c r="L247" s="1" t="s">
        <v>56</v>
      </c>
    </row>
    <row r="248" spans="1:78" x14ac:dyDescent="0.3">
      <c r="A248" s="8">
        <v>247</v>
      </c>
      <c r="B248">
        <v>69</v>
      </c>
      <c r="C248" t="s">
        <v>12204</v>
      </c>
      <c r="D248" t="s">
        <v>12662</v>
      </c>
      <c r="E248" t="s">
        <v>1170</v>
      </c>
      <c r="F248">
        <v>2023</v>
      </c>
      <c r="G248" t="s">
        <v>797</v>
      </c>
      <c r="H248" t="s">
        <v>1171</v>
      </c>
      <c r="I248" t="s">
        <v>1174</v>
      </c>
      <c r="J248" t="s">
        <v>1175</v>
      </c>
      <c r="K248" t="s">
        <v>42</v>
      </c>
      <c r="L248" t="s">
        <v>56</v>
      </c>
      <c r="BZ248" s="6"/>
    </row>
    <row r="249" spans="1:78" x14ac:dyDescent="0.3">
      <c r="A249" s="8">
        <v>248</v>
      </c>
      <c r="B249" s="1">
        <v>224</v>
      </c>
      <c r="C249" t="s">
        <v>12118</v>
      </c>
      <c r="D249" s="1" t="s">
        <v>5925</v>
      </c>
      <c r="E249" s="1" t="s">
        <v>5927</v>
      </c>
      <c r="F249" s="1">
        <v>2023</v>
      </c>
      <c r="G249" s="1" t="s">
        <v>5740</v>
      </c>
      <c r="H249" s="1" t="str">
        <f>HYPERLINK("http://dx.doi.org/10.53761/1.20.7.08","http://dx.doi.org/10.53761/1.20.7.08")</f>
        <v>http://dx.doi.org/10.53761/1.20.7.08</v>
      </c>
      <c r="I249" s="1" t="s">
        <v>5930</v>
      </c>
      <c r="J249" s="1" t="s">
        <v>5928</v>
      </c>
      <c r="K249" s="1" t="s">
        <v>42</v>
      </c>
      <c r="L249" s="1" t="s">
        <v>56</v>
      </c>
    </row>
    <row r="250" spans="1:78" x14ac:dyDescent="0.3">
      <c r="A250" s="8">
        <v>249</v>
      </c>
      <c r="B250" s="1">
        <v>226</v>
      </c>
      <c r="C250" t="s">
        <v>12118</v>
      </c>
      <c r="D250" s="1" t="s">
        <v>7338</v>
      </c>
      <c r="E250" s="1" t="s">
        <v>7340</v>
      </c>
      <c r="F250" s="1">
        <v>2022</v>
      </c>
      <c r="G250" s="1" t="s">
        <v>7341</v>
      </c>
      <c r="H250" s="1" t="str">
        <f>HYPERLINK("http://dx.doi.org/10.1007/s00214-022-02886-6","http://dx.doi.org/10.1007/s00214-022-02886-6")</f>
        <v>http://dx.doi.org/10.1007/s00214-022-02886-6</v>
      </c>
      <c r="I250" s="1" t="s">
        <v>7344</v>
      </c>
      <c r="J250" s="1" t="s">
        <v>7342</v>
      </c>
      <c r="K250" s="1" t="s">
        <v>42</v>
      </c>
      <c r="L250" s="1" t="s">
        <v>56</v>
      </c>
    </row>
    <row r="251" spans="1:78" x14ac:dyDescent="0.3">
      <c r="A251" s="8">
        <v>250</v>
      </c>
      <c r="B251" s="1">
        <v>227</v>
      </c>
      <c r="C251" t="s">
        <v>12118</v>
      </c>
      <c r="D251" s="1" t="s">
        <v>5936</v>
      </c>
      <c r="E251" s="1" t="s">
        <v>5938</v>
      </c>
      <c r="F251" s="1">
        <v>2023</v>
      </c>
      <c r="G251" s="1" t="s">
        <v>5939</v>
      </c>
      <c r="H251" s="1" t="str">
        <f>HYPERLINK("http://dx.doi.org/10.1145/3593013.3594052","http://dx.doi.org/10.1145/3593013.3594052")</f>
        <v>http://dx.doi.org/10.1145/3593013.3594052</v>
      </c>
      <c r="I251" s="1" t="s">
        <v>5944</v>
      </c>
      <c r="J251" s="1" t="s">
        <v>5943</v>
      </c>
      <c r="K251" s="1" t="s">
        <v>42</v>
      </c>
      <c r="L251" s="1" t="s">
        <v>5552</v>
      </c>
    </row>
    <row r="252" spans="1:78" x14ac:dyDescent="0.3">
      <c r="A252" s="8">
        <v>251</v>
      </c>
      <c r="B252" s="1">
        <v>228</v>
      </c>
      <c r="C252" t="s">
        <v>12118</v>
      </c>
      <c r="D252" s="1" t="s">
        <v>7778</v>
      </c>
      <c r="E252" s="1" t="s">
        <v>7781</v>
      </c>
      <c r="F252" s="1">
        <v>2022</v>
      </c>
      <c r="G252" s="1" t="s">
        <v>7782</v>
      </c>
      <c r="H252" s="1" t="str">
        <f>HYPERLINK("http://dx.doi.org/10.4324/9781003025115-4","http://dx.doi.org/10.4324/9781003025115-4")</f>
        <v>http://dx.doi.org/10.4324/9781003025115-4</v>
      </c>
      <c r="I252" s="1" t="s">
        <v>7785</v>
      </c>
      <c r="J252" s="1" t="s">
        <v>1507</v>
      </c>
      <c r="K252" s="1" t="s">
        <v>42</v>
      </c>
      <c r="L252" s="1" t="s">
        <v>5888</v>
      </c>
    </row>
    <row r="253" spans="1:78" x14ac:dyDescent="0.3">
      <c r="A253" s="8">
        <v>252</v>
      </c>
      <c r="B253" s="1">
        <v>229</v>
      </c>
      <c r="C253" t="s">
        <v>12118</v>
      </c>
      <c r="D253" s="1" t="s">
        <v>3940</v>
      </c>
      <c r="E253" s="1" t="s">
        <v>3942</v>
      </c>
      <c r="F253" s="1">
        <v>2023</v>
      </c>
      <c r="G253" s="1" t="s">
        <v>2982</v>
      </c>
      <c r="H253" s="1" t="str">
        <f>HYPERLINK("http://dx.doi.org/10.1007/s00146-023-01752-8","http://dx.doi.org/10.1007/s00146-023-01752-8")</f>
        <v>http://dx.doi.org/10.1007/s00146-023-01752-8</v>
      </c>
      <c r="I253" s="1" t="s">
        <v>3944</v>
      </c>
      <c r="J253" s="1" t="s">
        <v>3943</v>
      </c>
      <c r="K253" s="1" t="s">
        <v>42</v>
      </c>
      <c r="L253" s="1" t="s">
        <v>1509</v>
      </c>
    </row>
    <row r="254" spans="1:78" x14ac:dyDescent="0.3">
      <c r="A254" s="8">
        <v>253</v>
      </c>
      <c r="B254" s="1">
        <v>230</v>
      </c>
      <c r="C254" t="s">
        <v>12118</v>
      </c>
      <c r="D254" s="1" t="s">
        <v>11973</v>
      </c>
      <c r="E254" s="1" t="s">
        <v>11975</v>
      </c>
      <c r="F254" s="1">
        <v>2018</v>
      </c>
      <c r="G254" s="1" t="s">
        <v>11976</v>
      </c>
      <c r="H254" s="1" t="str">
        <f>HYPERLINK("http://dx.doi.org/10.7727/wimj.2017.222","http://dx.doi.org/10.7727/wimj.2017.222")</f>
        <v>http://dx.doi.org/10.7727/wimj.2017.222</v>
      </c>
      <c r="I254" s="1" t="s">
        <v>11979</v>
      </c>
      <c r="J254" s="1" t="s">
        <v>11977</v>
      </c>
      <c r="K254" s="1" t="s">
        <v>42</v>
      </c>
      <c r="L254" s="1" t="s">
        <v>56</v>
      </c>
    </row>
    <row r="255" spans="1:78" x14ac:dyDescent="0.3">
      <c r="A255" s="8">
        <v>254</v>
      </c>
      <c r="B255" s="1">
        <v>231</v>
      </c>
      <c r="C255" t="s">
        <v>12118</v>
      </c>
      <c r="D255" s="1" t="s">
        <v>8702</v>
      </c>
      <c r="E255" s="1" t="s">
        <v>8704</v>
      </c>
      <c r="F255" s="1">
        <v>2021</v>
      </c>
      <c r="G255" s="1" t="s">
        <v>5034</v>
      </c>
      <c r="H255" s="1" t="str">
        <f>HYPERLINK("http://dx.doi.org/10.3366/ajicl.2021.0363","http://dx.doi.org/10.3366/ajicl.2021.0363")</f>
        <v>http://dx.doi.org/10.3366/ajicl.2021.0363</v>
      </c>
      <c r="I255" s="1" t="s">
        <v>1507</v>
      </c>
      <c r="J255" s="1" t="s">
        <v>1507</v>
      </c>
      <c r="K255" s="1" t="s">
        <v>42</v>
      </c>
      <c r="L255" s="1" t="s">
        <v>56</v>
      </c>
    </row>
    <row r="256" spans="1:78" x14ac:dyDescent="0.3">
      <c r="A256" s="8">
        <v>255</v>
      </c>
      <c r="B256">
        <v>71</v>
      </c>
      <c r="C256" t="s">
        <v>12204</v>
      </c>
      <c r="D256" t="s">
        <v>12658</v>
      </c>
      <c r="E256" t="s">
        <v>1275</v>
      </c>
      <c r="F256">
        <v>2023</v>
      </c>
      <c r="G256" t="s">
        <v>1276</v>
      </c>
      <c r="H256" t="s">
        <v>1278</v>
      </c>
      <c r="I256" t="s">
        <v>1281</v>
      </c>
      <c r="J256" t="s">
        <v>1282</v>
      </c>
      <c r="K256" t="s">
        <v>42</v>
      </c>
      <c r="L256" t="s">
        <v>56</v>
      </c>
    </row>
    <row r="257" spans="1:72" x14ac:dyDescent="0.3">
      <c r="A257" s="8">
        <v>256</v>
      </c>
      <c r="B257" s="1">
        <v>232</v>
      </c>
      <c r="C257" t="s">
        <v>12118</v>
      </c>
      <c r="D257" s="1" t="s">
        <v>5959</v>
      </c>
      <c r="E257" s="1" t="s">
        <v>5961</v>
      </c>
      <c r="F257" s="1">
        <v>2023</v>
      </c>
      <c r="G257" s="1" t="s">
        <v>5962</v>
      </c>
      <c r="H257" s="1" t="str">
        <f>HYPERLINK("http://dx.doi.org/10.2196/48808","http://dx.doi.org/10.2196/48808")</f>
        <v>http://dx.doi.org/10.2196/48808</v>
      </c>
      <c r="I257" s="1" t="s">
        <v>5964</v>
      </c>
      <c r="J257" s="1" t="s">
        <v>5963</v>
      </c>
      <c r="K257" s="1" t="s">
        <v>42</v>
      </c>
      <c r="L257" s="1" t="s">
        <v>56</v>
      </c>
    </row>
    <row r="258" spans="1:72" x14ac:dyDescent="0.3">
      <c r="A258" s="8">
        <v>257</v>
      </c>
      <c r="B258" s="1">
        <v>234</v>
      </c>
      <c r="C258" t="s">
        <v>12118</v>
      </c>
      <c r="D258" s="1" t="s">
        <v>2084</v>
      </c>
      <c r="E258" s="1" t="s">
        <v>2086</v>
      </c>
      <c r="F258" s="1">
        <v>2023</v>
      </c>
      <c r="G258" s="1" t="s">
        <v>2087</v>
      </c>
      <c r="H258" s="1" t="str">
        <f>HYPERLINK("http://dx.doi.org/10.1007/JHEP12(2023)046","http://dx.doi.org/10.1007/JHEP12(2023)046")</f>
        <v>http://dx.doi.org/10.1007/JHEP12(2023)046</v>
      </c>
      <c r="I258" s="1" t="s">
        <v>2089</v>
      </c>
      <c r="J258" s="1" t="s">
        <v>2088</v>
      </c>
      <c r="K258" s="1" t="s">
        <v>42</v>
      </c>
      <c r="L258" s="1" t="s">
        <v>56</v>
      </c>
    </row>
    <row r="259" spans="1:72" x14ac:dyDescent="0.3">
      <c r="A259" s="8">
        <v>258</v>
      </c>
      <c r="B259">
        <v>72</v>
      </c>
      <c r="C259" t="s">
        <v>12204</v>
      </c>
      <c r="D259" t="s">
        <v>1213</v>
      </c>
      <c r="E259" t="s">
        <v>1214</v>
      </c>
      <c r="F259">
        <v>2023</v>
      </c>
      <c r="G259" t="s">
        <v>1215</v>
      </c>
      <c r="H259" t="s">
        <v>1216</v>
      </c>
      <c r="I259" t="s">
        <v>1218</v>
      </c>
      <c r="K259" t="s">
        <v>42</v>
      </c>
      <c r="L259" t="s">
        <v>12262</v>
      </c>
    </row>
    <row r="260" spans="1:72" x14ac:dyDescent="0.3">
      <c r="A260" s="8">
        <v>259</v>
      </c>
      <c r="B260" s="1">
        <v>235</v>
      </c>
      <c r="C260" t="s">
        <v>12118</v>
      </c>
      <c r="D260" s="1" t="s">
        <v>11694</v>
      </c>
      <c r="E260" s="1" t="s">
        <v>11696</v>
      </c>
      <c r="F260" s="1">
        <v>2018</v>
      </c>
      <c r="G260" s="1" t="s">
        <v>11697</v>
      </c>
      <c r="H260" s="1" t="str">
        <f>HYPERLINK("http://dx.doi.org/10.1089/blr.2018.29073.cmh","http://dx.doi.org/10.1089/blr.2018.29073.cmh")</f>
        <v>http://dx.doi.org/10.1089/blr.2018.29073.cmh</v>
      </c>
      <c r="I260" s="1" t="s">
        <v>11700</v>
      </c>
      <c r="J260" s="1" t="s">
        <v>11698</v>
      </c>
      <c r="K260" s="1" t="s">
        <v>42</v>
      </c>
      <c r="L260" s="1" t="s">
        <v>56</v>
      </c>
    </row>
    <row r="261" spans="1:72" x14ac:dyDescent="0.3">
      <c r="A261" s="8">
        <v>260</v>
      </c>
      <c r="B261">
        <v>73</v>
      </c>
      <c r="C261" t="s">
        <v>12204</v>
      </c>
      <c r="D261" t="s">
        <v>13482</v>
      </c>
      <c r="E261" t="s">
        <v>485</v>
      </c>
      <c r="F261">
        <v>2023</v>
      </c>
      <c r="G261" t="s">
        <v>486</v>
      </c>
      <c r="H261" t="s">
        <v>489</v>
      </c>
      <c r="I261" t="s">
        <v>492</v>
      </c>
      <c r="K261" t="s">
        <v>42</v>
      </c>
      <c r="L261" t="s">
        <v>56</v>
      </c>
    </row>
    <row r="262" spans="1:72" x14ac:dyDescent="0.3">
      <c r="A262" s="8">
        <v>261</v>
      </c>
      <c r="B262" s="1">
        <v>236</v>
      </c>
      <c r="C262" t="s">
        <v>12118</v>
      </c>
      <c r="D262" s="1" t="s">
        <v>9106</v>
      </c>
      <c r="E262" s="1" t="s">
        <v>9108</v>
      </c>
      <c r="F262" s="1">
        <v>2021</v>
      </c>
      <c r="G262" s="1" t="s">
        <v>7538</v>
      </c>
      <c r="H262" s="1" t="str">
        <f>HYPERLINK("http://dx.doi.org/10.1021/acsami.0c19465","http://dx.doi.org/10.1021/acsami.0c19465")</f>
        <v>http://dx.doi.org/10.1021/acsami.0c19465</v>
      </c>
      <c r="I262" s="1" t="s">
        <v>9111</v>
      </c>
      <c r="J262" s="1" t="s">
        <v>9109</v>
      </c>
      <c r="K262" s="1" t="s">
        <v>42</v>
      </c>
      <c r="L262" s="1" t="s">
        <v>56</v>
      </c>
    </row>
    <row r="263" spans="1:72" x14ac:dyDescent="0.3">
      <c r="A263" s="8">
        <v>262</v>
      </c>
      <c r="B263" s="1">
        <v>237</v>
      </c>
      <c r="C263" t="s">
        <v>12118</v>
      </c>
      <c r="D263" s="1" t="s">
        <v>7535</v>
      </c>
      <c r="E263" s="1" t="s">
        <v>7537</v>
      </c>
      <c r="F263" s="1">
        <v>2022</v>
      </c>
      <c r="G263" s="1" t="s">
        <v>7538</v>
      </c>
      <c r="H263" s="1" t="str">
        <f>HYPERLINK("http://dx.doi.org/10.1021/acsami.1c20872","http://dx.doi.org/10.1021/acsami.1c20872")</f>
        <v>http://dx.doi.org/10.1021/acsami.1c20872</v>
      </c>
      <c r="I263" s="1" t="s">
        <v>7541</v>
      </c>
      <c r="J263" s="1" t="s">
        <v>7539</v>
      </c>
      <c r="K263" s="1" t="s">
        <v>42</v>
      </c>
      <c r="L263" s="1" t="s">
        <v>56</v>
      </c>
    </row>
    <row r="264" spans="1:72" x14ac:dyDescent="0.3">
      <c r="A264" s="8">
        <v>263</v>
      </c>
      <c r="B264" s="1">
        <v>238</v>
      </c>
      <c r="C264" t="s">
        <v>12118</v>
      </c>
      <c r="D264" s="1" t="s">
        <v>3421</v>
      </c>
      <c r="E264" s="1" t="s">
        <v>485</v>
      </c>
      <c r="F264" s="1">
        <v>2023</v>
      </c>
      <c r="G264" s="1" t="s">
        <v>1999</v>
      </c>
      <c r="H264" s="1" t="str">
        <f>HYPERLINK("http://dx.doi.org/10.1371/journal.pone.0292216","http://dx.doi.org/10.1371/journal.pone.0292216")</f>
        <v>http://dx.doi.org/10.1371/journal.pone.0292216</v>
      </c>
      <c r="I264" s="1" t="s">
        <v>3423</v>
      </c>
      <c r="J264" s="1" t="s">
        <v>1507</v>
      </c>
      <c r="K264" s="1" t="s">
        <v>42</v>
      </c>
      <c r="L264" s="1" t="s">
        <v>56</v>
      </c>
    </row>
    <row r="265" spans="1:72" x14ac:dyDescent="0.3">
      <c r="A265" s="8">
        <v>264</v>
      </c>
      <c r="B265" s="1">
        <v>239</v>
      </c>
      <c r="C265" t="s">
        <v>12118</v>
      </c>
      <c r="D265" s="1" t="s">
        <v>10904</v>
      </c>
      <c r="E265" s="1" t="s">
        <v>10906</v>
      </c>
      <c r="F265" s="1">
        <v>2019</v>
      </c>
      <c r="G265" s="1" t="s">
        <v>10907</v>
      </c>
      <c r="H265" s="1" t="str">
        <f>HYPERLINK("http://dx.doi.org/10.1080/09654313.2019.1626351","http://dx.doi.org/10.1080/09654313.2019.1626351")</f>
        <v>http://dx.doi.org/10.1080/09654313.2019.1626351</v>
      </c>
      <c r="I265" s="1" t="s">
        <v>10910</v>
      </c>
      <c r="J265" s="1" t="s">
        <v>10908</v>
      </c>
      <c r="K265" s="1" t="s">
        <v>42</v>
      </c>
      <c r="L265" s="1" t="s">
        <v>56</v>
      </c>
    </row>
    <row r="266" spans="1:72" x14ac:dyDescent="0.3">
      <c r="A266" s="8">
        <v>265</v>
      </c>
      <c r="B266" s="1">
        <v>240</v>
      </c>
      <c r="C266" t="s">
        <v>12118</v>
      </c>
      <c r="D266" s="1" t="s">
        <v>7798</v>
      </c>
      <c r="E266" s="1" t="s">
        <v>7800</v>
      </c>
      <c r="F266" s="1">
        <v>2022</v>
      </c>
      <c r="G266" s="1" t="s">
        <v>7801</v>
      </c>
      <c r="H266" s="1" t="str">
        <f>HYPERLINK("http://dx.doi.org/10.1145/3560905.3568431","http://dx.doi.org/10.1145/3560905.3568431")</f>
        <v>http://dx.doi.org/10.1145/3560905.3568431</v>
      </c>
      <c r="I266" s="1" t="s">
        <v>7807</v>
      </c>
      <c r="J266" s="1" t="s">
        <v>7806</v>
      </c>
      <c r="K266" s="1" t="s">
        <v>42</v>
      </c>
      <c r="L266" s="1" t="s">
        <v>5552</v>
      </c>
    </row>
    <row r="267" spans="1:72" x14ac:dyDescent="0.3">
      <c r="A267" s="8">
        <v>266</v>
      </c>
      <c r="B267" s="1">
        <v>242</v>
      </c>
      <c r="C267" t="s">
        <v>12118</v>
      </c>
      <c r="D267" s="1" t="s">
        <v>10308</v>
      </c>
      <c r="E267" s="1" t="s">
        <v>11363</v>
      </c>
      <c r="F267" s="1">
        <v>2019</v>
      </c>
      <c r="G267" s="1" t="s">
        <v>9248</v>
      </c>
      <c r="H267" s="1" t="s">
        <v>1507</v>
      </c>
      <c r="I267" s="1" t="s">
        <v>11364</v>
      </c>
      <c r="J267" s="1" t="s">
        <v>1507</v>
      </c>
      <c r="K267" s="1" t="s">
        <v>42</v>
      </c>
      <c r="L267" s="1" t="s">
        <v>56</v>
      </c>
    </row>
    <row r="268" spans="1:72" x14ac:dyDescent="0.3">
      <c r="A268" s="8">
        <v>267</v>
      </c>
      <c r="B268" s="1">
        <v>241</v>
      </c>
      <c r="C268" t="s">
        <v>12118</v>
      </c>
      <c r="D268" s="1" t="s">
        <v>10308</v>
      </c>
      <c r="E268" s="1" t="s">
        <v>10310</v>
      </c>
      <c r="F268" s="1">
        <v>2020</v>
      </c>
      <c r="G268" s="1" t="s">
        <v>10311</v>
      </c>
      <c r="H268" s="1" t="str">
        <f>HYPERLINK("http://dx.doi.org/10.22584/nr50.2020.006","http://dx.doi.org/10.22584/nr50.2020.006")</f>
        <v>http://dx.doi.org/10.22584/nr50.2020.006</v>
      </c>
      <c r="I268" s="1" t="s">
        <v>10312</v>
      </c>
      <c r="J268" s="1" t="s">
        <v>1507</v>
      </c>
      <c r="K268" s="1" t="s">
        <v>42</v>
      </c>
      <c r="L268" s="1" t="s">
        <v>56</v>
      </c>
    </row>
    <row r="269" spans="1:72" x14ac:dyDescent="0.3">
      <c r="A269" s="8">
        <v>268</v>
      </c>
      <c r="B269" s="1">
        <v>243</v>
      </c>
      <c r="C269" t="s">
        <v>12118</v>
      </c>
      <c r="D269" s="1" t="s">
        <v>9431</v>
      </c>
      <c r="E269" s="1" t="s">
        <v>9433</v>
      </c>
      <c r="F269" s="1">
        <v>2020</v>
      </c>
      <c r="G269" s="1" t="s">
        <v>9434</v>
      </c>
      <c r="H269" s="1" t="str">
        <f>HYPERLINK("http://dx.doi.org/10.1016/j.gloplacha.2021.103623","http://dx.doi.org/10.1016/j.gloplacha.2021.103623")</f>
        <v>http://dx.doi.org/10.1016/j.gloplacha.2021.103623</v>
      </c>
      <c r="I269" s="1" t="s">
        <v>9437</v>
      </c>
      <c r="J269" s="1" t="s">
        <v>9435</v>
      </c>
      <c r="K269" s="1" t="s">
        <v>42</v>
      </c>
      <c r="L269" s="1" t="s">
        <v>56</v>
      </c>
    </row>
    <row r="270" spans="1:72" x14ac:dyDescent="0.3">
      <c r="A270" s="8">
        <v>269</v>
      </c>
      <c r="B270">
        <v>74</v>
      </c>
      <c r="C270" t="s">
        <v>12204</v>
      </c>
      <c r="D270" t="s">
        <v>13017</v>
      </c>
      <c r="E270" t="s">
        <v>13015</v>
      </c>
      <c r="F270">
        <v>2023</v>
      </c>
      <c r="G270" t="s">
        <v>13014</v>
      </c>
      <c r="H270" t="s">
        <v>13013</v>
      </c>
      <c r="I270" t="s">
        <v>13009</v>
      </c>
      <c r="J270" t="s">
        <v>13008</v>
      </c>
      <c r="K270" t="s">
        <v>42</v>
      </c>
      <c r="L270" t="s">
        <v>12252</v>
      </c>
    </row>
    <row r="271" spans="1:72" x14ac:dyDescent="0.3">
      <c r="A271" s="8">
        <v>270</v>
      </c>
      <c r="B271">
        <v>75</v>
      </c>
      <c r="C271" t="s">
        <v>12204</v>
      </c>
      <c r="D271" t="s">
        <v>12667</v>
      </c>
      <c r="E271" t="s">
        <v>995</v>
      </c>
      <c r="F271">
        <v>2023</v>
      </c>
      <c r="G271" t="s">
        <v>996</v>
      </c>
      <c r="H271" t="s">
        <v>998</v>
      </c>
      <c r="I271" t="s">
        <v>1001</v>
      </c>
      <c r="J271" t="s">
        <v>1002</v>
      </c>
      <c r="K271" t="s">
        <v>42</v>
      </c>
      <c r="L271" t="s">
        <v>56</v>
      </c>
    </row>
    <row r="272" spans="1:72" x14ac:dyDescent="0.3">
      <c r="A272" s="8">
        <v>271</v>
      </c>
      <c r="B272">
        <v>76</v>
      </c>
      <c r="C272" t="s">
        <v>12204</v>
      </c>
      <c r="D272" t="s">
        <v>12495</v>
      </c>
      <c r="E272" t="s">
        <v>966</v>
      </c>
      <c r="F272">
        <v>2023</v>
      </c>
      <c r="G272" t="s">
        <v>967</v>
      </c>
      <c r="H272" t="s">
        <v>968</v>
      </c>
      <c r="I272" t="s">
        <v>971</v>
      </c>
      <c r="J272" t="s">
        <v>972</v>
      </c>
      <c r="K272" t="s">
        <v>42</v>
      </c>
      <c r="L272" t="s">
        <v>56</v>
      </c>
      <c r="BB272" s="6"/>
      <c r="BC272" s="6"/>
      <c r="BD272" s="6"/>
      <c r="BE272" s="6"/>
      <c r="BF272" s="6"/>
      <c r="BG272" s="6"/>
      <c r="BH272" s="6"/>
      <c r="BI272" s="6"/>
      <c r="BJ272" s="6"/>
      <c r="BK272" s="6"/>
      <c r="BL272" s="6"/>
      <c r="BM272" s="6"/>
      <c r="BN272" s="6"/>
      <c r="BO272" s="6"/>
      <c r="BP272" s="6"/>
      <c r="BQ272" s="6"/>
      <c r="BR272" s="6"/>
      <c r="BS272" s="6"/>
      <c r="BT272" s="6"/>
    </row>
    <row r="273" spans="1:12" x14ac:dyDescent="0.3">
      <c r="A273" s="8">
        <v>272</v>
      </c>
      <c r="B273" s="1">
        <v>244</v>
      </c>
      <c r="C273" t="s">
        <v>12118</v>
      </c>
      <c r="D273" s="1" t="s">
        <v>5475</v>
      </c>
      <c r="E273" s="1" t="s">
        <v>5477</v>
      </c>
      <c r="F273" s="1">
        <v>2023</v>
      </c>
      <c r="G273" s="1" t="s">
        <v>5478</v>
      </c>
      <c r="H273" s="1" t="str">
        <f>HYPERLINK("http://dx.doi.org/10.1111/1911-3846.12832","http://dx.doi.org/10.1111/1911-3846.12832")</f>
        <v>http://dx.doi.org/10.1111/1911-3846.12832</v>
      </c>
      <c r="I273" s="1" t="s">
        <v>5481</v>
      </c>
      <c r="J273" s="1" t="s">
        <v>5479</v>
      </c>
      <c r="K273" s="1" t="s">
        <v>42</v>
      </c>
      <c r="L273" s="1" t="s">
        <v>56</v>
      </c>
    </row>
    <row r="274" spans="1:12" x14ac:dyDescent="0.3">
      <c r="A274" s="8">
        <v>273</v>
      </c>
      <c r="B274" s="1">
        <v>245</v>
      </c>
      <c r="C274" t="s">
        <v>12118</v>
      </c>
      <c r="D274" s="1" t="s">
        <v>11852</v>
      </c>
      <c r="E274" s="1" t="s">
        <v>11854</v>
      </c>
      <c r="F274" s="1">
        <v>2018</v>
      </c>
      <c r="G274" s="1" t="s">
        <v>3376</v>
      </c>
      <c r="H274" s="1" t="str">
        <f>HYPERLINK("http://dx.doi.org/10.1002/prep.201700154","http://dx.doi.org/10.1002/prep.201700154")</f>
        <v>http://dx.doi.org/10.1002/prep.201700154</v>
      </c>
      <c r="I274" s="1" t="s">
        <v>11857</v>
      </c>
      <c r="J274" s="1" t="s">
        <v>11855</v>
      </c>
      <c r="K274" s="1" t="s">
        <v>42</v>
      </c>
      <c r="L274" s="1" t="s">
        <v>56</v>
      </c>
    </row>
    <row r="275" spans="1:12" x14ac:dyDescent="0.3">
      <c r="A275" s="8">
        <v>274</v>
      </c>
      <c r="B275" s="1">
        <v>246</v>
      </c>
      <c r="C275" t="s">
        <v>12118</v>
      </c>
      <c r="D275" s="1" t="s">
        <v>15037</v>
      </c>
      <c r="E275" s="1" t="s">
        <v>13015</v>
      </c>
      <c r="F275" s="1">
        <v>2023</v>
      </c>
      <c r="G275" s="1" t="s">
        <v>14987</v>
      </c>
      <c r="H275" s="1" t="str">
        <f>HYPERLINK("http://dx.doi.org/10.1109/ICDMW60847.2023.00071","http://dx.doi.org/10.1109/ICDMW60847.2023.00071")</f>
        <v>http://dx.doi.org/10.1109/ICDMW60847.2023.00071</v>
      </c>
      <c r="I275" s="1" t="s">
        <v>15040</v>
      </c>
      <c r="J275" s="1" t="s">
        <v>15039</v>
      </c>
      <c r="K275" s="1" t="s">
        <v>42</v>
      </c>
      <c r="L275" s="1" t="s">
        <v>5552</v>
      </c>
    </row>
    <row r="276" spans="1:12" x14ac:dyDescent="0.3">
      <c r="A276" s="8">
        <v>275</v>
      </c>
      <c r="B276" s="1">
        <v>249</v>
      </c>
      <c r="C276" t="s">
        <v>12118</v>
      </c>
      <c r="D276" s="1" t="s">
        <v>5974</v>
      </c>
      <c r="E276" s="1" t="s">
        <v>995</v>
      </c>
      <c r="F276" s="1">
        <v>2023</v>
      </c>
      <c r="G276" s="1" t="s">
        <v>5976</v>
      </c>
      <c r="H276" s="1" t="str">
        <f>HYPERLINK("http://dx.doi.org/10.2196/50514","http://dx.doi.org/10.2196/50514")</f>
        <v>http://dx.doi.org/10.2196/50514</v>
      </c>
      <c r="I276" s="1" t="s">
        <v>5978</v>
      </c>
      <c r="J276" s="1" t="s">
        <v>5977</v>
      </c>
      <c r="K276" s="1" t="s">
        <v>42</v>
      </c>
      <c r="L276" s="1" t="s">
        <v>56</v>
      </c>
    </row>
    <row r="277" spans="1:12" x14ac:dyDescent="0.3">
      <c r="A277" s="8">
        <v>276</v>
      </c>
      <c r="B277" s="1">
        <v>250</v>
      </c>
      <c r="C277" t="s">
        <v>12118</v>
      </c>
      <c r="D277" s="1" t="s">
        <v>11994</v>
      </c>
      <c r="E277" s="1" t="s">
        <v>11996</v>
      </c>
      <c r="F277" s="1">
        <v>2018</v>
      </c>
      <c r="G277" s="1" t="s">
        <v>11997</v>
      </c>
      <c r="H277" s="1" t="str">
        <f>HYPERLINK("http://dx.doi.org/10.1108/AEAT-06-2016-0102","http://dx.doi.org/10.1108/AEAT-06-2016-0102")</f>
        <v>http://dx.doi.org/10.1108/AEAT-06-2016-0102</v>
      </c>
      <c r="I277" s="1" t="s">
        <v>11999</v>
      </c>
      <c r="J277" s="1" t="s">
        <v>11998</v>
      </c>
      <c r="K277" s="1" t="s">
        <v>42</v>
      </c>
      <c r="L277" s="1" t="s">
        <v>56</v>
      </c>
    </row>
    <row r="278" spans="1:12" x14ac:dyDescent="0.3">
      <c r="A278" s="8">
        <v>277</v>
      </c>
      <c r="B278" s="1">
        <v>251</v>
      </c>
      <c r="C278" t="s">
        <v>12118</v>
      </c>
      <c r="D278" s="1" t="s">
        <v>3862</v>
      </c>
      <c r="E278" s="1" t="s">
        <v>966</v>
      </c>
      <c r="F278" s="1">
        <v>2023</v>
      </c>
      <c r="G278" s="1" t="s">
        <v>3864</v>
      </c>
      <c r="H278" s="1" t="str">
        <f>HYPERLINK("http://dx.doi.org/10.3389/fonc.2023.1265024","http://dx.doi.org/10.3389/fonc.2023.1265024")</f>
        <v>http://dx.doi.org/10.3389/fonc.2023.1265024</v>
      </c>
      <c r="I278" s="1" t="s">
        <v>3867</v>
      </c>
      <c r="J278" s="1" t="s">
        <v>3865</v>
      </c>
      <c r="K278" s="1" t="s">
        <v>42</v>
      </c>
      <c r="L278" s="1" t="s">
        <v>56</v>
      </c>
    </row>
    <row r="279" spans="1:12" x14ac:dyDescent="0.3">
      <c r="A279" s="8">
        <v>278</v>
      </c>
      <c r="B279" s="1">
        <v>252</v>
      </c>
      <c r="C279" t="s">
        <v>12118</v>
      </c>
      <c r="D279" s="1" t="s">
        <v>15052</v>
      </c>
      <c r="E279" s="1" t="s">
        <v>15054</v>
      </c>
      <c r="F279" s="1">
        <v>2023</v>
      </c>
      <c r="G279" s="1" t="s">
        <v>14923</v>
      </c>
      <c r="H279" s="1" t="str">
        <f>HYPERLINK("http://dx.doi.org/10.1145/3591196.3596818","http://dx.doi.org/10.1145/3591196.3596818")</f>
        <v>http://dx.doi.org/10.1145/3591196.3596818</v>
      </c>
      <c r="I279" s="1" t="s">
        <v>15056</v>
      </c>
      <c r="J279" s="1" t="s">
        <v>15055</v>
      </c>
      <c r="K279" s="1" t="s">
        <v>42</v>
      </c>
      <c r="L279" s="1" t="s">
        <v>5552</v>
      </c>
    </row>
    <row r="280" spans="1:12" x14ac:dyDescent="0.3">
      <c r="A280" s="8">
        <v>279</v>
      </c>
      <c r="B280">
        <v>77</v>
      </c>
      <c r="C280" t="s">
        <v>12204</v>
      </c>
      <c r="D280" t="s">
        <v>13581</v>
      </c>
      <c r="E280" t="s">
        <v>600</v>
      </c>
      <c r="F280">
        <v>2023</v>
      </c>
      <c r="G280" t="s">
        <v>601</v>
      </c>
      <c r="H280" t="s">
        <v>603</v>
      </c>
      <c r="I280" t="s">
        <v>605</v>
      </c>
      <c r="J280" t="s">
        <v>606</v>
      </c>
      <c r="K280" t="s">
        <v>42</v>
      </c>
      <c r="L280" t="s">
        <v>56</v>
      </c>
    </row>
    <row r="281" spans="1:12" x14ac:dyDescent="0.3">
      <c r="A281" s="8">
        <v>280</v>
      </c>
      <c r="B281" s="1">
        <v>253</v>
      </c>
      <c r="C281" t="s">
        <v>12118</v>
      </c>
      <c r="D281" s="1" t="s">
        <v>14102</v>
      </c>
      <c r="E281" s="1" t="s">
        <v>600</v>
      </c>
      <c r="F281" s="1">
        <v>2023</v>
      </c>
      <c r="G281" s="1" t="s">
        <v>14104</v>
      </c>
      <c r="H281" s="1" t="str">
        <f>HYPERLINK("http://dx.doi.org/10.1148/ryai.220281","http://dx.doi.org/10.1148/ryai.220281")</f>
        <v>http://dx.doi.org/10.1148/ryai.220281</v>
      </c>
      <c r="I281" s="1" t="s">
        <v>14106</v>
      </c>
      <c r="J281" s="1" t="s">
        <v>14105</v>
      </c>
      <c r="K281" s="1" t="s">
        <v>42</v>
      </c>
      <c r="L281" s="1" t="s">
        <v>56</v>
      </c>
    </row>
    <row r="282" spans="1:12" x14ac:dyDescent="0.3">
      <c r="A282" s="8">
        <v>281</v>
      </c>
      <c r="B282" s="1">
        <v>254</v>
      </c>
      <c r="C282" t="s">
        <v>12118</v>
      </c>
      <c r="D282" s="1" t="s">
        <v>4171</v>
      </c>
      <c r="E282" s="1" t="s">
        <v>4173</v>
      </c>
      <c r="F282" s="1">
        <v>2023</v>
      </c>
      <c r="G282" s="1" t="s">
        <v>4174</v>
      </c>
      <c r="H282" s="1" t="str">
        <f>HYPERLINK("http://dx.doi.org/10.1016/j.eswa.2023.121029","http://dx.doi.org/10.1016/j.eswa.2023.121029")</f>
        <v>http://dx.doi.org/10.1016/j.eswa.2023.121029</v>
      </c>
      <c r="I282" s="1" t="s">
        <v>4176</v>
      </c>
      <c r="J282" s="1" t="s">
        <v>4175</v>
      </c>
      <c r="K282" s="1" t="s">
        <v>42</v>
      </c>
      <c r="L282" s="1" t="s">
        <v>56</v>
      </c>
    </row>
    <row r="283" spans="1:12" x14ac:dyDescent="0.3">
      <c r="A283" s="8">
        <v>282</v>
      </c>
      <c r="B283" s="1">
        <v>255</v>
      </c>
      <c r="C283" t="s">
        <v>12118</v>
      </c>
      <c r="D283" s="1" t="s">
        <v>9696</v>
      </c>
      <c r="E283" s="1" t="s">
        <v>9698</v>
      </c>
      <c r="F283" s="1">
        <v>2020</v>
      </c>
      <c r="G283" s="1" t="s">
        <v>9699</v>
      </c>
      <c r="H283" s="1" t="str">
        <f>HYPERLINK("http://dx.doi.org/10.1016/S2213-2600(20)30193-4","http://dx.doi.org/10.1016/S2213-2600(20)30193-4")</f>
        <v>http://dx.doi.org/10.1016/S2213-2600(20)30193-4</v>
      </c>
      <c r="I283" s="1" t="s">
        <v>9701</v>
      </c>
      <c r="J283" s="1" t="s">
        <v>1507</v>
      </c>
      <c r="K283" s="1" t="s">
        <v>42</v>
      </c>
      <c r="L283" s="1" t="s">
        <v>56</v>
      </c>
    </row>
    <row r="284" spans="1:12" x14ac:dyDescent="0.3">
      <c r="A284" s="8">
        <v>283</v>
      </c>
      <c r="B284" s="1">
        <v>256</v>
      </c>
      <c r="C284" t="s">
        <v>12118</v>
      </c>
      <c r="D284" s="1" t="s">
        <v>7596</v>
      </c>
      <c r="E284" s="1" t="s">
        <v>7598</v>
      </c>
      <c r="F284" s="1">
        <v>2022</v>
      </c>
      <c r="G284" s="1" t="s">
        <v>1760</v>
      </c>
      <c r="H284" s="1" t="str">
        <f>HYPERLINK("http://dx.doi.org/10.1038/s41586-022-04479-6","http://dx.doi.org/10.1038/s41586-022-04479-6")</f>
        <v>http://dx.doi.org/10.1038/s41586-022-04479-6</v>
      </c>
      <c r="I284" s="1" t="s">
        <v>7600</v>
      </c>
      <c r="J284" s="1" t="s">
        <v>1507</v>
      </c>
      <c r="K284" s="1" t="s">
        <v>42</v>
      </c>
      <c r="L284" s="1" t="s">
        <v>56</v>
      </c>
    </row>
    <row r="285" spans="1:12" x14ac:dyDescent="0.3">
      <c r="A285" s="8">
        <v>284</v>
      </c>
      <c r="B285" s="1">
        <v>257</v>
      </c>
      <c r="C285" t="s">
        <v>12118</v>
      </c>
      <c r="D285" s="1" t="s">
        <v>4739</v>
      </c>
      <c r="E285" s="1" t="s">
        <v>4741</v>
      </c>
      <c r="F285" s="1">
        <v>2023</v>
      </c>
      <c r="G285" s="1" t="s">
        <v>4742</v>
      </c>
      <c r="H285" s="1" t="str">
        <f>HYPERLINK("http://dx.doi.org/10.3201/eid2906.221680","http://dx.doi.org/10.3201/eid2906.221680")</f>
        <v>http://dx.doi.org/10.3201/eid2906.221680</v>
      </c>
      <c r="I285" s="1" t="s">
        <v>1507</v>
      </c>
      <c r="J285" s="1" t="s">
        <v>1507</v>
      </c>
      <c r="K285" s="1" t="s">
        <v>42</v>
      </c>
      <c r="L285" s="1" t="s">
        <v>56</v>
      </c>
    </row>
    <row r="286" spans="1:12" x14ac:dyDescent="0.3">
      <c r="A286" s="8">
        <v>285</v>
      </c>
      <c r="B286" s="1">
        <v>258</v>
      </c>
      <c r="C286" t="s">
        <v>12118</v>
      </c>
      <c r="D286" s="1" t="s">
        <v>7055</v>
      </c>
      <c r="E286" s="1" t="s">
        <v>7057</v>
      </c>
      <c r="F286" s="1">
        <v>2022</v>
      </c>
      <c r="G286" s="1" t="s">
        <v>7058</v>
      </c>
      <c r="H286" s="1" t="str">
        <f>HYPERLINK("http://dx.doi.org/10.1016/j.ebiom.2022.104232","http://dx.doi.org/10.1016/j.ebiom.2022.104232")</f>
        <v>http://dx.doi.org/10.1016/j.ebiom.2022.104232</v>
      </c>
      <c r="I286" s="1" t="s">
        <v>7060</v>
      </c>
      <c r="J286" s="1" t="s">
        <v>7059</v>
      </c>
      <c r="K286" s="1" t="s">
        <v>42</v>
      </c>
      <c r="L286" s="1" t="s">
        <v>56</v>
      </c>
    </row>
    <row r="287" spans="1:12" x14ac:dyDescent="0.3">
      <c r="A287" s="8">
        <v>286</v>
      </c>
      <c r="B287">
        <v>78</v>
      </c>
      <c r="C287" t="s">
        <v>12204</v>
      </c>
      <c r="D287" t="s">
        <v>13615</v>
      </c>
      <c r="E287" t="s">
        <v>553</v>
      </c>
      <c r="F287">
        <v>2023</v>
      </c>
      <c r="G287" t="s">
        <v>124</v>
      </c>
      <c r="H287" t="s">
        <v>554</v>
      </c>
      <c r="I287" t="s">
        <v>557</v>
      </c>
      <c r="K287" t="s">
        <v>42</v>
      </c>
      <c r="L287" t="s">
        <v>56</v>
      </c>
    </row>
    <row r="288" spans="1:12" x14ac:dyDescent="0.3">
      <c r="A288" s="8">
        <v>287</v>
      </c>
      <c r="B288" s="1">
        <v>259</v>
      </c>
      <c r="C288" t="s">
        <v>12118</v>
      </c>
      <c r="D288" s="1" t="s">
        <v>3295</v>
      </c>
      <c r="E288" s="1" t="s">
        <v>553</v>
      </c>
      <c r="F288" s="1">
        <v>2023</v>
      </c>
      <c r="G288" s="1" t="s">
        <v>3297</v>
      </c>
      <c r="H288" s="1" t="str">
        <f>HYPERLINK("http://dx.doi.org/10.1038/s41598-023-38964-3","http://dx.doi.org/10.1038/s41598-023-38964-3")</f>
        <v>http://dx.doi.org/10.1038/s41598-023-38964-3</v>
      </c>
      <c r="I288" s="1" t="s">
        <v>3299</v>
      </c>
      <c r="J288" s="1" t="s">
        <v>1507</v>
      </c>
      <c r="K288" s="1" t="s">
        <v>42</v>
      </c>
      <c r="L288" s="1" t="s">
        <v>56</v>
      </c>
    </row>
    <row r="289" spans="1:78" x14ac:dyDescent="0.3">
      <c r="A289" s="8">
        <v>288</v>
      </c>
      <c r="B289">
        <v>79</v>
      </c>
      <c r="C289" t="s">
        <v>12204</v>
      </c>
      <c r="D289" t="s">
        <v>13681</v>
      </c>
      <c r="E289" t="s">
        <v>737</v>
      </c>
      <c r="F289">
        <v>2023</v>
      </c>
      <c r="G289" t="s">
        <v>738</v>
      </c>
      <c r="H289" t="s">
        <v>739</v>
      </c>
      <c r="I289" t="s">
        <v>742</v>
      </c>
      <c r="J289" t="s">
        <v>743</v>
      </c>
      <c r="K289" t="s">
        <v>42</v>
      </c>
      <c r="L289" t="s">
        <v>56</v>
      </c>
    </row>
    <row r="290" spans="1:78" x14ac:dyDescent="0.3">
      <c r="A290" s="8">
        <v>289</v>
      </c>
      <c r="B290" s="1">
        <v>260</v>
      </c>
      <c r="C290" t="s">
        <v>12118</v>
      </c>
      <c r="D290" s="1" t="s">
        <v>2217</v>
      </c>
      <c r="E290" s="1" t="s">
        <v>2219</v>
      </c>
      <c r="F290" s="1">
        <v>2023</v>
      </c>
      <c r="G290" s="1" t="s">
        <v>2220</v>
      </c>
      <c r="H290" s="1" t="str">
        <f>HYPERLINK("http://dx.doi.org/10.3390/bdcc7040182","http://dx.doi.org/10.3390/bdcc7040182")</f>
        <v>http://dx.doi.org/10.3390/bdcc7040182</v>
      </c>
      <c r="I290" s="1" t="s">
        <v>2222</v>
      </c>
      <c r="J290" s="1" t="s">
        <v>2221</v>
      </c>
      <c r="K290" s="1" t="s">
        <v>42</v>
      </c>
      <c r="L290" s="1" t="s">
        <v>56</v>
      </c>
    </row>
    <row r="291" spans="1:78" x14ac:dyDescent="0.3">
      <c r="A291" s="8">
        <v>290</v>
      </c>
      <c r="B291">
        <v>80</v>
      </c>
      <c r="C291" t="s">
        <v>12204</v>
      </c>
      <c r="D291" t="s">
        <v>13293</v>
      </c>
      <c r="E291" t="s">
        <v>610</v>
      </c>
      <c r="F291">
        <v>2023</v>
      </c>
      <c r="G291" t="s">
        <v>305</v>
      </c>
      <c r="H291" t="s">
        <v>611</v>
      </c>
      <c r="I291" t="s">
        <v>614</v>
      </c>
      <c r="J291" t="s">
        <v>615</v>
      </c>
      <c r="K291" t="s">
        <v>42</v>
      </c>
      <c r="L291" t="s">
        <v>56</v>
      </c>
    </row>
    <row r="292" spans="1:78" x14ac:dyDescent="0.3">
      <c r="A292" s="8">
        <v>291</v>
      </c>
      <c r="B292">
        <v>81</v>
      </c>
      <c r="C292" t="s">
        <v>12204</v>
      </c>
      <c r="D292" t="s">
        <v>13224</v>
      </c>
      <c r="E292" t="s">
        <v>152</v>
      </c>
      <c r="F292">
        <v>2023</v>
      </c>
      <c r="G292" t="s">
        <v>153</v>
      </c>
      <c r="H292" t="s">
        <v>154</v>
      </c>
      <c r="I292" t="s">
        <v>157</v>
      </c>
      <c r="J292" t="s">
        <v>158</v>
      </c>
      <c r="K292" t="s">
        <v>42</v>
      </c>
      <c r="L292" t="s">
        <v>56</v>
      </c>
    </row>
    <row r="293" spans="1:78" x14ac:dyDescent="0.3">
      <c r="A293" s="8">
        <v>292</v>
      </c>
      <c r="B293">
        <v>83</v>
      </c>
      <c r="C293" t="s">
        <v>12204</v>
      </c>
      <c r="D293" t="s">
        <v>12762</v>
      </c>
      <c r="E293" t="s">
        <v>1327</v>
      </c>
      <c r="F293">
        <v>2023</v>
      </c>
      <c r="G293" t="s">
        <v>1328</v>
      </c>
      <c r="H293" t="s">
        <v>1329</v>
      </c>
      <c r="I293" t="s">
        <v>1332</v>
      </c>
      <c r="J293" t="s">
        <v>1333</v>
      </c>
      <c r="K293" t="s">
        <v>42</v>
      </c>
      <c r="L293" t="s">
        <v>12252</v>
      </c>
    </row>
    <row r="294" spans="1:78" x14ac:dyDescent="0.3">
      <c r="A294" s="8">
        <v>293</v>
      </c>
      <c r="B294" s="1">
        <v>263</v>
      </c>
      <c r="C294" t="s">
        <v>12118</v>
      </c>
      <c r="D294" s="1" t="s">
        <v>7192</v>
      </c>
      <c r="E294" s="1" t="s">
        <v>7195</v>
      </c>
      <c r="F294" s="1">
        <v>2022</v>
      </c>
      <c r="G294" s="1" t="s">
        <v>7196</v>
      </c>
      <c r="H294" s="1" t="str">
        <f>HYPERLINK("http://dx.doi.org/10.1007/s00394-022-02909-9","http://dx.doi.org/10.1007/s00394-022-02909-9")</f>
        <v>http://dx.doi.org/10.1007/s00394-022-02909-9</v>
      </c>
      <c r="I294" s="1" t="s">
        <v>7199</v>
      </c>
      <c r="J294" s="1" t="s">
        <v>7197</v>
      </c>
      <c r="K294" s="1" t="s">
        <v>42</v>
      </c>
      <c r="L294" s="1" t="s">
        <v>56</v>
      </c>
    </row>
    <row r="295" spans="1:78" x14ac:dyDescent="0.3">
      <c r="A295" s="8">
        <v>294</v>
      </c>
      <c r="B295" s="1">
        <v>264</v>
      </c>
      <c r="C295" t="s">
        <v>12118</v>
      </c>
      <c r="D295" s="1" t="s">
        <v>3121</v>
      </c>
      <c r="E295" s="1" t="s">
        <v>3123</v>
      </c>
      <c r="F295" s="1">
        <v>2023</v>
      </c>
      <c r="G295" s="1" t="s">
        <v>3124</v>
      </c>
      <c r="H295" s="1" t="str">
        <f>HYPERLINK("http://dx.doi.org/10.1016/j.jasrep.2023.104238","http://dx.doi.org/10.1016/j.jasrep.2023.104238")</f>
        <v>http://dx.doi.org/10.1016/j.jasrep.2023.104238</v>
      </c>
      <c r="I295" s="1" t="s">
        <v>3127</v>
      </c>
      <c r="J295" s="1" t="s">
        <v>3125</v>
      </c>
      <c r="K295" s="1" t="s">
        <v>42</v>
      </c>
      <c r="L295" s="1" t="s">
        <v>56</v>
      </c>
    </row>
    <row r="296" spans="1:78" x14ac:dyDescent="0.3">
      <c r="A296" s="8">
        <v>295</v>
      </c>
      <c r="B296" s="1">
        <v>266</v>
      </c>
      <c r="C296" t="s">
        <v>12118</v>
      </c>
      <c r="D296" s="1" t="s">
        <v>7820</v>
      </c>
      <c r="E296" s="1" t="s">
        <v>7823</v>
      </c>
      <c r="F296" s="1">
        <v>2022</v>
      </c>
      <c r="G296" s="1" t="s">
        <v>7824</v>
      </c>
      <c r="H296" s="1" t="str">
        <f>HYPERLINK("http://dx.doi.org/10.1007/978-3-031-19827-4_41","http://dx.doi.org/10.1007/978-3-031-19827-4_41")</f>
        <v>http://dx.doi.org/10.1007/978-3-031-19827-4_41</v>
      </c>
      <c r="I296" s="1" t="s">
        <v>7828</v>
      </c>
      <c r="J296" s="1" t="s">
        <v>1507</v>
      </c>
      <c r="K296" s="1" t="s">
        <v>42</v>
      </c>
      <c r="L296" s="1" t="s">
        <v>5552</v>
      </c>
    </row>
    <row r="297" spans="1:78" x14ac:dyDescent="0.3">
      <c r="A297" s="8">
        <v>296</v>
      </c>
      <c r="B297" s="1">
        <v>267</v>
      </c>
      <c r="C297" t="s">
        <v>12118</v>
      </c>
      <c r="D297" s="1" t="s">
        <v>5987</v>
      </c>
      <c r="E297" s="1" t="s">
        <v>5989</v>
      </c>
      <c r="F297" s="1">
        <v>2023</v>
      </c>
      <c r="G297" s="1" t="s">
        <v>5990</v>
      </c>
      <c r="H297" s="1" t="str">
        <f>HYPERLINK("http://dx.doi.org/10.1145/3594536.3595170","http://dx.doi.org/10.1145/3594536.3595170")</f>
        <v>http://dx.doi.org/10.1145/3594536.3595170</v>
      </c>
      <c r="I297" s="1" t="s">
        <v>5997</v>
      </c>
      <c r="J297" s="1" t="s">
        <v>5996</v>
      </c>
      <c r="K297" s="1" t="s">
        <v>42</v>
      </c>
      <c r="L297" s="1" t="s">
        <v>5552</v>
      </c>
    </row>
    <row r="298" spans="1:78" x14ac:dyDescent="0.3">
      <c r="A298" s="8">
        <v>297</v>
      </c>
      <c r="B298" s="1">
        <v>268</v>
      </c>
      <c r="C298" t="s">
        <v>12118</v>
      </c>
      <c r="D298" s="1" t="s">
        <v>4678</v>
      </c>
      <c r="E298" s="1" t="s">
        <v>4680</v>
      </c>
      <c r="F298" s="1">
        <v>2023</v>
      </c>
      <c r="G298" s="1" t="s">
        <v>1760</v>
      </c>
      <c r="H298" s="1" t="str">
        <f>HYPERLINK("http://dx.doi.org/10.1038/s41586-023-06160-y","http://dx.doi.org/10.1038/s41586-023-06160-y")</f>
        <v>http://dx.doi.org/10.1038/s41586-023-06160-y</v>
      </c>
      <c r="I298" s="1" t="s">
        <v>4681</v>
      </c>
      <c r="J298" s="1" t="s">
        <v>1507</v>
      </c>
      <c r="K298" s="1" t="s">
        <v>42</v>
      </c>
      <c r="L298" s="1" t="s">
        <v>56</v>
      </c>
    </row>
    <row r="299" spans="1:78" x14ac:dyDescent="0.3">
      <c r="A299" s="8">
        <v>298</v>
      </c>
      <c r="B299" s="1">
        <v>269</v>
      </c>
      <c r="C299" t="s">
        <v>12118</v>
      </c>
      <c r="D299" s="1" t="s">
        <v>6011</v>
      </c>
      <c r="E299" s="1" t="s">
        <v>6013</v>
      </c>
      <c r="F299" s="1">
        <v>2023</v>
      </c>
      <c r="G299" s="1" t="s">
        <v>6014</v>
      </c>
      <c r="H299" s="1" t="str">
        <f>HYPERLINK("http://dx.doi.org/10.1109/ASE56229.2023.00040","http://dx.doi.org/10.1109/ASE56229.2023.00040")</f>
        <v>http://dx.doi.org/10.1109/ASE56229.2023.00040</v>
      </c>
      <c r="I299" s="1" t="s">
        <v>6020</v>
      </c>
      <c r="J299" s="1" t="s">
        <v>1507</v>
      </c>
      <c r="K299" s="1" t="s">
        <v>42</v>
      </c>
      <c r="L299" s="1" t="s">
        <v>5552</v>
      </c>
    </row>
    <row r="300" spans="1:78" x14ac:dyDescent="0.3">
      <c r="A300" s="8">
        <v>299</v>
      </c>
      <c r="B300" s="1">
        <v>271</v>
      </c>
      <c r="C300" t="s">
        <v>12118</v>
      </c>
      <c r="D300" s="1" t="s">
        <v>6038</v>
      </c>
      <c r="E300" s="1" t="s">
        <v>6040</v>
      </c>
      <c r="F300" s="1">
        <v>2023</v>
      </c>
      <c r="G300" s="1" t="s">
        <v>1625</v>
      </c>
      <c r="H300" s="1" t="str">
        <f>HYPERLINK("http://dx.doi.org/10.1109/ACCESS.2023.3341007","http://dx.doi.org/10.1109/ACCESS.2023.3341007")</f>
        <v>http://dx.doi.org/10.1109/ACCESS.2023.3341007</v>
      </c>
      <c r="I300" s="1" t="s">
        <v>6042</v>
      </c>
      <c r="J300" s="1" t="s">
        <v>6041</v>
      </c>
      <c r="K300" s="1" t="s">
        <v>42</v>
      </c>
      <c r="L300" s="1" t="s">
        <v>56</v>
      </c>
    </row>
    <row r="301" spans="1:78" x14ac:dyDescent="0.3">
      <c r="A301" s="8">
        <v>300</v>
      </c>
      <c r="B301">
        <v>85</v>
      </c>
      <c r="C301" t="s">
        <v>12204</v>
      </c>
      <c r="D301" t="s">
        <v>12522</v>
      </c>
      <c r="E301" t="s">
        <v>12520</v>
      </c>
      <c r="F301">
        <v>2023</v>
      </c>
      <c r="G301" t="s">
        <v>12520</v>
      </c>
      <c r="H301" t="s">
        <v>12519</v>
      </c>
      <c r="I301" t="s">
        <v>12516</v>
      </c>
      <c r="K301" t="s">
        <v>42</v>
      </c>
      <c r="L301" t="s">
        <v>12512</v>
      </c>
      <c r="BB301" s="6"/>
      <c r="BC301" s="6"/>
      <c r="BD301" s="6"/>
      <c r="BE301" s="6"/>
      <c r="BF301" s="6"/>
      <c r="BG301" s="6"/>
      <c r="BH301" s="6"/>
      <c r="BI301" s="6"/>
      <c r="BJ301" s="6"/>
      <c r="BK301" s="6"/>
      <c r="BL301" s="6"/>
      <c r="BM301" s="6"/>
      <c r="BN301" s="6"/>
      <c r="BO301" s="6"/>
      <c r="BP301" s="6"/>
      <c r="BQ301" s="6"/>
      <c r="BR301" s="6"/>
      <c r="BS301" s="6"/>
      <c r="BT301" s="6"/>
      <c r="BZ301" s="6"/>
    </row>
    <row r="302" spans="1:78" x14ac:dyDescent="0.3">
      <c r="A302" s="8">
        <v>301</v>
      </c>
      <c r="B302" s="1">
        <v>272</v>
      </c>
      <c r="C302" t="s">
        <v>12118</v>
      </c>
      <c r="D302" s="1" t="s">
        <v>8367</v>
      </c>
      <c r="E302" s="1" t="s">
        <v>8369</v>
      </c>
      <c r="F302" s="1">
        <v>2022</v>
      </c>
      <c r="G302" s="1" t="s">
        <v>8370</v>
      </c>
      <c r="H302" s="1" t="str">
        <f>HYPERLINK("http://dx.doi.org/10.1038/s41396-021-01064-z","http://dx.doi.org/10.1038/s41396-021-01064-z")</f>
        <v>http://dx.doi.org/10.1038/s41396-021-01064-z</v>
      </c>
      <c r="I302" s="1" t="s">
        <v>8372</v>
      </c>
      <c r="J302" s="1" t="s">
        <v>1507</v>
      </c>
      <c r="K302" s="1" t="s">
        <v>42</v>
      </c>
      <c r="L302" s="1" t="s">
        <v>56</v>
      </c>
    </row>
    <row r="303" spans="1:78" x14ac:dyDescent="0.3">
      <c r="A303" s="8">
        <v>302</v>
      </c>
      <c r="B303" s="1">
        <v>273</v>
      </c>
      <c r="C303" t="s">
        <v>12118</v>
      </c>
      <c r="D303" s="1" t="s">
        <v>4194</v>
      </c>
      <c r="E303" s="1" t="s">
        <v>4196</v>
      </c>
      <c r="F303" s="1">
        <v>2023</v>
      </c>
      <c r="G303" s="1" t="s">
        <v>4197</v>
      </c>
      <c r="H303" s="1" t="str">
        <f>HYPERLINK("http://dx.doi.org/10.1007/s00167-023-07529-2","http://dx.doi.org/10.1007/s00167-023-07529-2")</f>
        <v>http://dx.doi.org/10.1007/s00167-023-07529-2</v>
      </c>
      <c r="I303" s="1" t="s">
        <v>4199</v>
      </c>
      <c r="J303" s="1" t="s">
        <v>4198</v>
      </c>
      <c r="K303" s="1" t="s">
        <v>42</v>
      </c>
      <c r="L303" s="1" t="s">
        <v>56</v>
      </c>
    </row>
    <row r="304" spans="1:78" x14ac:dyDescent="0.3">
      <c r="A304" s="8">
        <v>303</v>
      </c>
      <c r="B304" s="1">
        <v>274</v>
      </c>
      <c r="C304" t="s">
        <v>12118</v>
      </c>
      <c r="D304" s="1" t="s">
        <v>8088</v>
      </c>
      <c r="E304" s="1" t="s">
        <v>8090</v>
      </c>
      <c r="F304" s="1">
        <v>2021</v>
      </c>
      <c r="G304" s="1" t="s">
        <v>8091</v>
      </c>
      <c r="H304" s="1" t="str">
        <f>HYPERLINK("http://dx.doi.org/10.1093/jn/nxab300","http://dx.doi.org/10.1093/jn/nxab300")</f>
        <v>http://dx.doi.org/10.1093/jn/nxab300</v>
      </c>
      <c r="I304" s="1" t="s">
        <v>8094</v>
      </c>
      <c r="J304" s="1" t="s">
        <v>8092</v>
      </c>
      <c r="K304" s="1" t="s">
        <v>42</v>
      </c>
      <c r="L304" s="1" t="s">
        <v>56</v>
      </c>
    </row>
    <row r="305" spans="1:78" x14ac:dyDescent="0.3">
      <c r="A305" s="8">
        <v>304</v>
      </c>
      <c r="B305">
        <v>86</v>
      </c>
      <c r="C305" t="s">
        <v>12204</v>
      </c>
      <c r="D305" t="s">
        <v>12462</v>
      </c>
      <c r="E305" t="s">
        <v>1238</v>
      </c>
      <c r="F305">
        <v>2023</v>
      </c>
      <c r="G305" t="s">
        <v>91</v>
      </c>
      <c r="H305" t="s">
        <v>1240</v>
      </c>
      <c r="I305" t="s">
        <v>1243</v>
      </c>
      <c r="J305" t="s">
        <v>1244</v>
      </c>
      <c r="K305" t="s">
        <v>42</v>
      </c>
      <c r="L305" t="s">
        <v>12252</v>
      </c>
    </row>
    <row r="306" spans="1:78" x14ac:dyDescent="0.3">
      <c r="A306" s="8">
        <v>305</v>
      </c>
      <c r="B306" s="1">
        <v>276</v>
      </c>
      <c r="C306" t="s">
        <v>12118</v>
      </c>
      <c r="D306" s="1" t="s">
        <v>15065</v>
      </c>
      <c r="E306" s="1" t="s">
        <v>15067</v>
      </c>
      <c r="F306" s="1">
        <v>2023</v>
      </c>
      <c r="G306" s="1" t="s">
        <v>15068</v>
      </c>
      <c r="H306" s="1" t="str">
        <f>HYPERLINK("http://dx.doi.org/10.1109/VLSI-SoC57769.2023.10321880","http://dx.doi.org/10.1109/VLSI-SoC57769.2023.10321880")</f>
        <v>http://dx.doi.org/10.1109/VLSI-SoC57769.2023.10321880</v>
      </c>
      <c r="I306" s="1" t="s">
        <v>15076</v>
      </c>
      <c r="J306" s="1" t="s">
        <v>15074</v>
      </c>
      <c r="K306" s="1" t="s">
        <v>42</v>
      </c>
      <c r="L306" s="1" t="s">
        <v>5552</v>
      </c>
    </row>
    <row r="307" spans="1:78" x14ac:dyDescent="0.3">
      <c r="A307" s="8">
        <v>306</v>
      </c>
      <c r="B307">
        <v>87</v>
      </c>
      <c r="C307" t="s">
        <v>12204</v>
      </c>
      <c r="D307" t="s">
        <v>12749</v>
      </c>
      <c r="E307" t="s">
        <v>497</v>
      </c>
      <c r="F307">
        <v>2023</v>
      </c>
      <c r="G307" t="s">
        <v>498</v>
      </c>
      <c r="I307" t="s">
        <v>502</v>
      </c>
      <c r="J307" t="s">
        <v>503</v>
      </c>
      <c r="K307" t="s">
        <v>42</v>
      </c>
      <c r="L307" t="s">
        <v>12252</v>
      </c>
      <c r="BZ307" s="6"/>
    </row>
    <row r="308" spans="1:78" x14ac:dyDescent="0.3">
      <c r="A308" s="8">
        <v>307</v>
      </c>
      <c r="B308" s="1">
        <v>277</v>
      </c>
      <c r="C308" t="s">
        <v>12118</v>
      </c>
      <c r="D308" s="1" t="s">
        <v>11751</v>
      </c>
      <c r="E308" s="1" t="s">
        <v>11753</v>
      </c>
      <c r="F308" s="1">
        <v>2018</v>
      </c>
      <c r="G308" s="1" t="s">
        <v>11754</v>
      </c>
      <c r="H308" s="1" t="str">
        <f>HYPERLINK("http://dx.doi.org/10.1016/j.jiph.2017.00.022","http://dx.doi.org/10.1016/j.jiph.2017.00.022")</f>
        <v>http://dx.doi.org/10.1016/j.jiph.2017.00.022</v>
      </c>
      <c r="I308" s="1" t="s">
        <v>11757</v>
      </c>
      <c r="J308" s="1" t="s">
        <v>11755</v>
      </c>
      <c r="K308" s="1" t="s">
        <v>42</v>
      </c>
      <c r="L308" s="1" t="s">
        <v>56</v>
      </c>
    </row>
    <row r="309" spans="1:78" x14ac:dyDescent="0.3">
      <c r="A309" s="8">
        <v>308</v>
      </c>
      <c r="B309">
        <v>88</v>
      </c>
      <c r="C309" t="s">
        <v>12204</v>
      </c>
      <c r="D309" t="s">
        <v>12239</v>
      </c>
      <c r="E309" t="s">
        <v>895</v>
      </c>
      <c r="F309">
        <v>2018</v>
      </c>
      <c r="G309" t="s">
        <v>896</v>
      </c>
      <c r="H309" t="s">
        <v>897</v>
      </c>
      <c r="I309" t="s">
        <v>899</v>
      </c>
      <c r="J309" t="s">
        <v>900</v>
      </c>
      <c r="K309" t="s">
        <v>42</v>
      </c>
      <c r="L309" t="s">
        <v>56</v>
      </c>
    </row>
    <row r="310" spans="1:78" x14ac:dyDescent="0.3">
      <c r="A310" s="8">
        <v>309</v>
      </c>
      <c r="B310" s="1">
        <v>278</v>
      </c>
      <c r="C310" t="s">
        <v>12118</v>
      </c>
      <c r="D310" s="1" t="s">
        <v>2808</v>
      </c>
      <c r="E310" s="1" t="s">
        <v>2810</v>
      </c>
      <c r="F310" s="1">
        <v>2023</v>
      </c>
      <c r="G310" s="1" t="s">
        <v>2811</v>
      </c>
      <c r="H310" s="1" t="str">
        <f>HYPERLINK("http://dx.doi.org/10.1111/cogs.13386","http://dx.doi.org/10.1111/cogs.13386")</f>
        <v>http://dx.doi.org/10.1111/cogs.13386</v>
      </c>
      <c r="I310" s="1" t="s">
        <v>2814</v>
      </c>
      <c r="J310" s="1" t="s">
        <v>2812</v>
      </c>
      <c r="K310" s="1" t="s">
        <v>42</v>
      </c>
      <c r="L310" s="1" t="s">
        <v>56</v>
      </c>
    </row>
    <row r="311" spans="1:78" x14ac:dyDescent="0.3">
      <c r="A311" s="8">
        <v>310</v>
      </c>
      <c r="B311" s="1">
        <v>279</v>
      </c>
      <c r="C311" t="s">
        <v>12118</v>
      </c>
      <c r="D311" s="1" t="s">
        <v>10329</v>
      </c>
      <c r="E311" s="1" t="s">
        <v>10331</v>
      </c>
      <c r="F311" s="1">
        <v>2020</v>
      </c>
      <c r="G311" s="1" t="s">
        <v>10332</v>
      </c>
      <c r="H311" s="1" t="str">
        <f>HYPERLINK("http://dx.doi.org/10.1002/cti2.1107","http://dx.doi.org/10.1002/cti2.1107")</f>
        <v>http://dx.doi.org/10.1002/cti2.1107</v>
      </c>
      <c r="I311" s="1" t="s">
        <v>10335</v>
      </c>
      <c r="J311" s="1" t="s">
        <v>10333</v>
      </c>
      <c r="K311" s="1" t="s">
        <v>42</v>
      </c>
      <c r="L311" s="1" t="s">
        <v>56</v>
      </c>
    </row>
    <row r="312" spans="1:78" x14ac:dyDescent="0.3">
      <c r="A312" s="8">
        <v>311</v>
      </c>
      <c r="B312">
        <v>89</v>
      </c>
      <c r="C312" t="s">
        <v>12204</v>
      </c>
      <c r="D312" t="s">
        <v>12348</v>
      </c>
      <c r="E312" t="s">
        <v>943</v>
      </c>
      <c r="F312">
        <v>2023</v>
      </c>
      <c r="G312" t="s">
        <v>944</v>
      </c>
      <c r="H312" t="s">
        <v>945</v>
      </c>
      <c r="I312" t="s">
        <v>948</v>
      </c>
      <c r="J312" t="s">
        <v>949</v>
      </c>
      <c r="K312" t="s">
        <v>42</v>
      </c>
      <c r="L312" t="s">
        <v>56</v>
      </c>
      <c r="BZ312" s="6"/>
    </row>
    <row r="313" spans="1:78" x14ac:dyDescent="0.3">
      <c r="A313" s="8">
        <v>312</v>
      </c>
      <c r="B313" s="1">
        <v>280</v>
      </c>
      <c r="C313" t="s">
        <v>12118</v>
      </c>
      <c r="D313" s="1" t="s">
        <v>6719</v>
      </c>
      <c r="E313" s="1" t="s">
        <v>943</v>
      </c>
      <c r="F313" s="1">
        <v>2023</v>
      </c>
      <c r="G313" s="1" t="s">
        <v>6721</v>
      </c>
      <c r="H313" s="1" t="str">
        <f>HYPERLINK("http://dx.doi.org/10.1002/jee.20499","http://dx.doi.org/10.1002/jee.20499")</f>
        <v>http://dx.doi.org/10.1002/jee.20499</v>
      </c>
      <c r="I313" s="1" t="s">
        <v>6723</v>
      </c>
      <c r="J313" s="1" t="s">
        <v>949</v>
      </c>
      <c r="K313" s="1" t="s">
        <v>42</v>
      </c>
      <c r="L313" s="1" t="s">
        <v>56</v>
      </c>
    </row>
    <row r="314" spans="1:78" x14ac:dyDescent="0.3">
      <c r="A314" s="8">
        <v>313</v>
      </c>
      <c r="B314" s="1">
        <v>281</v>
      </c>
      <c r="C314" t="s">
        <v>12118</v>
      </c>
      <c r="D314" s="1" t="s">
        <v>6051</v>
      </c>
      <c r="E314" s="1" t="s">
        <v>6053</v>
      </c>
      <c r="F314" s="1">
        <v>2023</v>
      </c>
      <c r="G314" s="1" t="s">
        <v>6054</v>
      </c>
      <c r="H314" s="1" t="str">
        <f>HYPERLINK("http://dx.doi.org/10.1145/3544548.3580919","http://dx.doi.org/10.1145/3544548.3580919")</f>
        <v>http://dx.doi.org/10.1145/3544548.3580919</v>
      </c>
      <c r="I314" s="1" t="s">
        <v>6061</v>
      </c>
      <c r="J314" s="1" t="s">
        <v>6059</v>
      </c>
      <c r="K314" s="1" t="s">
        <v>42</v>
      </c>
      <c r="L314" s="1" t="s">
        <v>5552</v>
      </c>
    </row>
    <row r="315" spans="1:78" x14ac:dyDescent="0.3">
      <c r="A315" s="8">
        <v>314</v>
      </c>
      <c r="B315" s="1">
        <v>282</v>
      </c>
      <c r="C315" t="s">
        <v>12118</v>
      </c>
      <c r="D315" s="1" t="s">
        <v>6071</v>
      </c>
      <c r="E315" s="1" t="s">
        <v>6073</v>
      </c>
      <c r="F315" s="1">
        <v>2023</v>
      </c>
      <c r="G315" s="1" t="s">
        <v>6074</v>
      </c>
      <c r="H315" s="1" t="str">
        <f>HYPERLINK("http://dx.doi.org/10.5195/lawreview.2023.917","http://dx.doi.org/10.5195/lawreview.2023.917")</f>
        <v>http://dx.doi.org/10.5195/lawreview.2023.917</v>
      </c>
      <c r="I315" s="1" t="s">
        <v>1507</v>
      </c>
      <c r="J315" s="1" t="s">
        <v>1507</v>
      </c>
      <c r="K315" s="1" t="s">
        <v>42</v>
      </c>
      <c r="L315" s="1" t="s">
        <v>56</v>
      </c>
    </row>
    <row r="316" spans="1:78" x14ac:dyDescent="0.3">
      <c r="A316" s="8">
        <v>315</v>
      </c>
      <c r="B316" s="1">
        <v>283</v>
      </c>
      <c r="C316" t="s">
        <v>12118</v>
      </c>
      <c r="D316" s="1" t="s">
        <v>10206</v>
      </c>
      <c r="E316" s="1" t="s">
        <v>10208</v>
      </c>
      <c r="F316" s="1">
        <v>2020</v>
      </c>
      <c r="G316" s="1" t="s">
        <v>2087</v>
      </c>
      <c r="H316" s="1" t="str">
        <f>HYPERLINK("http://dx.doi.org/10.1007/JHEP01(2020)146","http://dx.doi.org/10.1007/JHEP01(2020)146")</f>
        <v>http://dx.doi.org/10.1007/JHEP01(2020)146</v>
      </c>
      <c r="I316" s="1" t="s">
        <v>10211</v>
      </c>
      <c r="J316" s="1" t="s">
        <v>10209</v>
      </c>
      <c r="K316" s="1" t="s">
        <v>42</v>
      </c>
      <c r="L316" s="1" t="s">
        <v>56</v>
      </c>
    </row>
    <row r="317" spans="1:78" x14ac:dyDescent="0.3">
      <c r="A317" s="8">
        <v>316</v>
      </c>
      <c r="B317">
        <v>90</v>
      </c>
      <c r="C317" t="s">
        <v>12204</v>
      </c>
      <c r="D317" t="s">
        <v>1126</v>
      </c>
      <c r="E317" t="s">
        <v>1127</v>
      </c>
      <c r="F317">
        <v>2021</v>
      </c>
      <c r="G317" t="s">
        <v>1016</v>
      </c>
      <c r="H317" t="s">
        <v>1128</v>
      </c>
      <c r="I317" t="s">
        <v>1131</v>
      </c>
      <c r="J317" t="s">
        <v>1132</v>
      </c>
      <c r="K317" t="s">
        <v>42</v>
      </c>
      <c r="L317" t="s">
        <v>56</v>
      </c>
    </row>
    <row r="318" spans="1:78" x14ac:dyDescent="0.3">
      <c r="A318" s="8">
        <v>317</v>
      </c>
      <c r="B318" s="1">
        <v>285</v>
      </c>
      <c r="C318" t="s">
        <v>12118</v>
      </c>
      <c r="D318" s="1" t="s">
        <v>8461</v>
      </c>
      <c r="E318" s="1" t="s">
        <v>1127</v>
      </c>
      <c r="F318" s="1">
        <v>2021</v>
      </c>
      <c r="G318" s="1" t="s">
        <v>5077</v>
      </c>
      <c r="H318" s="1" t="str">
        <f>HYPERLINK("http://dx.doi.org/10.1016/j.system.2021.102551","http://dx.doi.org/10.1016/j.system.2021.102551")</f>
        <v>http://dx.doi.org/10.1016/j.system.2021.102551</v>
      </c>
      <c r="I318" s="1" t="s">
        <v>8463</v>
      </c>
      <c r="J318" s="1" t="s">
        <v>1132</v>
      </c>
      <c r="K318" s="1" t="s">
        <v>42</v>
      </c>
      <c r="L318" s="1" t="s">
        <v>56</v>
      </c>
    </row>
    <row r="319" spans="1:78" x14ac:dyDescent="0.3">
      <c r="A319" s="8">
        <v>318</v>
      </c>
      <c r="B319" s="1">
        <v>286</v>
      </c>
      <c r="C319" t="s">
        <v>12118</v>
      </c>
      <c r="D319" s="1" t="s">
        <v>4572</v>
      </c>
      <c r="E319" s="1" t="s">
        <v>4574</v>
      </c>
      <c r="F319" s="1">
        <v>2023</v>
      </c>
      <c r="G319" s="1" t="s">
        <v>4575</v>
      </c>
      <c r="H319" s="1" t="str">
        <f>HYPERLINK("http://dx.doi.org/10.3390/su151410828","http://dx.doi.org/10.3390/su151410828")</f>
        <v>http://dx.doi.org/10.3390/su151410828</v>
      </c>
      <c r="I319" s="1" t="s">
        <v>4577</v>
      </c>
      <c r="J319" s="1" t="s">
        <v>4576</v>
      </c>
      <c r="K319" s="1" t="s">
        <v>42</v>
      </c>
      <c r="L319" s="1" t="s">
        <v>56</v>
      </c>
    </row>
    <row r="320" spans="1:78" x14ac:dyDescent="0.3">
      <c r="A320" s="8">
        <v>319</v>
      </c>
      <c r="B320" s="1">
        <v>287</v>
      </c>
      <c r="C320" t="s">
        <v>12118</v>
      </c>
      <c r="D320" s="1" t="s">
        <v>8490</v>
      </c>
      <c r="E320" s="1" t="s">
        <v>8492</v>
      </c>
      <c r="F320" s="1">
        <v>2021</v>
      </c>
      <c r="G320" s="1" t="s">
        <v>8493</v>
      </c>
      <c r="H320" s="1" t="str">
        <f>HYPERLINK("http://dx.doi.org/10.1016/j.lfs.2021.119674","http://dx.doi.org/10.1016/j.lfs.2021.119674")</f>
        <v>http://dx.doi.org/10.1016/j.lfs.2021.119674</v>
      </c>
      <c r="I320" s="1" t="s">
        <v>8496</v>
      </c>
      <c r="J320" s="1" t="s">
        <v>8494</v>
      </c>
      <c r="K320" s="1" t="s">
        <v>42</v>
      </c>
      <c r="L320" s="1" t="s">
        <v>56</v>
      </c>
    </row>
    <row r="321" spans="1:78" x14ac:dyDescent="0.3">
      <c r="A321" s="8">
        <v>320</v>
      </c>
      <c r="B321" s="1">
        <v>288</v>
      </c>
      <c r="C321" t="s">
        <v>12118</v>
      </c>
      <c r="D321" s="1" t="s">
        <v>3776</v>
      </c>
      <c r="E321" s="1" t="s">
        <v>3778</v>
      </c>
      <c r="F321" s="1">
        <v>2023</v>
      </c>
      <c r="G321" s="1" t="s">
        <v>3779</v>
      </c>
      <c r="H321" s="1" t="str">
        <f>HYPERLINK("http://dx.doi.org/10.1080/14703297.2023.2258842","http://dx.doi.org/10.1080/14703297.2023.2258842")</f>
        <v>http://dx.doi.org/10.1080/14703297.2023.2258842</v>
      </c>
      <c r="I321" s="1" t="s">
        <v>3782</v>
      </c>
      <c r="J321" s="1" t="s">
        <v>3780</v>
      </c>
      <c r="K321" s="1" t="s">
        <v>42</v>
      </c>
      <c r="L321" s="1" t="s">
        <v>1509</v>
      </c>
    </row>
    <row r="322" spans="1:78" x14ac:dyDescent="0.3">
      <c r="A322" s="8">
        <v>321</v>
      </c>
      <c r="B322">
        <v>91</v>
      </c>
      <c r="C322" t="s">
        <v>12204</v>
      </c>
      <c r="D322" t="s">
        <v>12343</v>
      </c>
      <c r="E322" t="s">
        <v>1292</v>
      </c>
      <c r="F322">
        <v>2022</v>
      </c>
      <c r="G322" t="s">
        <v>896</v>
      </c>
      <c r="H322" t="s">
        <v>1293</v>
      </c>
      <c r="I322" t="s">
        <v>1295</v>
      </c>
      <c r="J322" t="s">
        <v>1296</v>
      </c>
      <c r="K322" t="s">
        <v>42</v>
      </c>
      <c r="L322" t="s">
        <v>56</v>
      </c>
    </row>
    <row r="323" spans="1:78" x14ac:dyDescent="0.3">
      <c r="A323" s="8">
        <v>322</v>
      </c>
      <c r="B323" s="1">
        <v>289</v>
      </c>
      <c r="C323" t="s">
        <v>12118</v>
      </c>
      <c r="D323" s="1" t="s">
        <v>9070</v>
      </c>
      <c r="E323" s="1" t="s">
        <v>9072</v>
      </c>
      <c r="F323" s="1">
        <v>2021</v>
      </c>
      <c r="G323" s="1" t="s">
        <v>3555</v>
      </c>
      <c r="H323" s="1" t="str">
        <f>HYPERLINK("http://dx.doi.org/10.1017/S0021855320000236","http://dx.doi.org/10.1017/S0021855320000236")</f>
        <v>http://dx.doi.org/10.1017/S0021855320000236</v>
      </c>
      <c r="I323" s="1" t="s">
        <v>9074</v>
      </c>
      <c r="J323" s="1" t="s">
        <v>9073</v>
      </c>
      <c r="K323" s="1" t="s">
        <v>42</v>
      </c>
      <c r="L323" s="1" t="s">
        <v>56</v>
      </c>
    </row>
    <row r="324" spans="1:78" x14ac:dyDescent="0.3">
      <c r="A324" s="8">
        <v>323</v>
      </c>
      <c r="B324">
        <v>92</v>
      </c>
      <c r="C324" t="s">
        <v>12204</v>
      </c>
      <c r="D324" t="s">
        <v>13318</v>
      </c>
      <c r="E324" t="s">
        <v>456</v>
      </c>
      <c r="F324">
        <v>2023</v>
      </c>
      <c r="G324" t="s">
        <v>457</v>
      </c>
      <c r="H324" t="s">
        <v>458</v>
      </c>
      <c r="I324" t="s">
        <v>461</v>
      </c>
      <c r="J324" t="s">
        <v>462</v>
      </c>
      <c r="K324" t="s">
        <v>42</v>
      </c>
      <c r="L324" t="s">
        <v>56</v>
      </c>
    </row>
    <row r="325" spans="1:78" x14ac:dyDescent="0.3">
      <c r="A325" s="8">
        <v>324</v>
      </c>
      <c r="B325" s="1">
        <v>290</v>
      </c>
      <c r="C325" t="s">
        <v>12118</v>
      </c>
      <c r="D325" s="1" t="s">
        <v>4908</v>
      </c>
      <c r="E325" s="1" t="s">
        <v>4910</v>
      </c>
      <c r="F325" s="1">
        <v>2023</v>
      </c>
      <c r="G325" s="1" t="s">
        <v>4911</v>
      </c>
      <c r="H325" s="1" t="str">
        <f>HYPERLINK("http://dx.doi.org/10.1123/jtpe.2023-0058","http://dx.doi.org/10.1123/jtpe.2023-0058")</f>
        <v>http://dx.doi.org/10.1123/jtpe.2023-0058</v>
      </c>
      <c r="I325" s="1" t="s">
        <v>4914</v>
      </c>
      <c r="J325" s="1" t="s">
        <v>4912</v>
      </c>
      <c r="K325" s="1" t="s">
        <v>42</v>
      </c>
      <c r="L325" s="1" t="s">
        <v>56</v>
      </c>
    </row>
    <row r="326" spans="1:78" x14ac:dyDescent="0.3">
      <c r="A326" s="8">
        <v>325</v>
      </c>
      <c r="B326" s="1">
        <v>291</v>
      </c>
      <c r="C326" t="s">
        <v>12118</v>
      </c>
      <c r="D326" s="1" t="s">
        <v>2831</v>
      </c>
      <c r="E326" s="1" t="s">
        <v>2833</v>
      </c>
      <c r="F326" s="1">
        <v>2023</v>
      </c>
      <c r="G326" s="1" t="s">
        <v>1609</v>
      </c>
      <c r="H326" s="1" t="str">
        <f>HYPERLINK("http://dx.doi.org/10.3390/math11214479","http://dx.doi.org/10.3390/math11214479")</f>
        <v>http://dx.doi.org/10.3390/math11214479</v>
      </c>
      <c r="I326" s="1" t="s">
        <v>2835</v>
      </c>
      <c r="J326" s="1" t="s">
        <v>2834</v>
      </c>
      <c r="K326" s="1" t="s">
        <v>42</v>
      </c>
      <c r="L326" s="1" t="s">
        <v>56</v>
      </c>
    </row>
    <row r="327" spans="1:78" x14ac:dyDescent="0.3">
      <c r="A327" s="8">
        <v>326</v>
      </c>
      <c r="B327" s="1">
        <v>293</v>
      </c>
      <c r="C327" t="s">
        <v>12118</v>
      </c>
      <c r="D327" s="1" t="s">
        <v>3143</v>
      </c>
      <c r="E327" s="1" t="s">
        <v>3145</v>
      </c>
      <c r="F327" s="1">
        <v>2023</v>
      </c>
      <c r="G327" s="1" t="s">
        <v>3146</v>
      </c>
      <c r="H327" s="1" t="str">
        <f>HYPERLINK("http://dx.doi.org/10.1016/j.frl.2023.104580","http://dx.doi.org/10.1016/j.frl.2023.104580")</f>
        <v>http://dx.doi.org/10.1016/j.frl.2023.104580</v>
      </c>
      <c r="I327" s="1" t="s">
        <v>3148</v>
      </c>
      <c r="J327" s="1" t="s">
        <v>3147</v>
      </c>
      <c r="K327" s="1" t="s">
        <v>42</v>
      </c>
      <c r="L327" s="1" t="s">
        <v>56</v>
      </c>
    </row>
    <row r="328" spans="1:78" x14ac:dyDescent="0.3">
      <c r="A328" s="8">
        <v>327</v>
      </c>
      <c r="B328" s="1">
        <v>294</v>
      </c>
      <c r="C328" t="s">
        <v>12118</v>
      </c>
      <c r="D328" s="1" t="s">
        <v>15089</v>
      </c>
      <c r="E328" s="1" t="s">
        <v>15091</v>
      </c>
      <c r="F328" s="1">
        <v>2023</v>
      </c>
      <c r="G328" s="1" t="s">
        <v>15092</v>
      </c>
      <c r="H328" s="1" t="str">
        <f>HYPERLINK("http://dx.doi.org/10.1145/3583780.3615234","http://dx.doi.org/10.1145/3583780.3615234")</f>
        <v>http://dx.doi.org/10.1145/3583780.3615234</v>
      </c>
      <c r="I328" s="1" t="s">
        <v>15098</v>
      </c>
      <c r="J328" s="1" t="s">
        <v>15097</v>
      </c>
      <c r="K328" s="1" t="s">
        <v>42</v>
      </c>
      <c r="L328" s="1" t="s">
        <v>5552</v>
      </c>
    </row>
    <row r="329" spans="1:78" x14ac:dyDescent="0.3">
      <c r="A329" s="8">
        <v>328</v>
      </c>
      <c r="B329" s="1">
        <v>295</v>
      </c>
      <c r="C329" t="s">
        <v>12118</v>
      </c>
      <c r="D329" s="1" t="s">
        <v>15111</v>
      </c>
      <c r="E329" s="1" t="s">
        <v>15114</v>
      </c>
      <c r="F329" s="1">
        <v>2023</v>
      </c>
      <c r="G329" s="1" t="s">
        <v>15115</v>
      </c>
      <c r="H329" s="1" t="s">
        <v>1507</v>
      </c>
      <c r="I329" s="1" t="s">
        <v>15120</v>
      </c>
      <c r="J329" s="1" t="s">
        <v>1507</v>
      </c>
      <c r="K329" s="1" t="s">
        <v>42</v>
      </c>
      <c r="L329" s="1" t="s">
        <v>5552</v>
      </c>
    </row>
    <row r="330" spans="1:78" x14ac:dyDescent="0.3">
      <c r="A330" s="8">
        <v>329</v>
      </c>
      <c r="B330">
        <v>93</v>
      </c>
      <c r="C330" t="s">
        <v>12204</v>
      </c>
      <c r="D330" t="s">
        <v>1346</v>
      </c>
      <c r="E330" t="s">
        <v>1347</v>
      </c>
      <c r="F330">
        <v>2023</v>
      </c>
      <c r="G330" t="s">
        <v>1348</v>
      </c>
      <c r="H330" t="s">
        <v>1349</v>
      </c>
      <c r="I330" t="s">
        <v>1352</v>
      </c>
      <c r="J330" t="s">
        <v>1353</v>
      </c>
      <c r="K330" t="s">
        <v>42</v>
      </c>
      <c r="L330" t="s">
        <v>56</v>
      </c>
      <c r="BZ330" s="6"/>
    </row>
    <row r="331" spans="1:78" x14ac:dyDescent="0.3">
      <c r="A331" s="8">
        <v>330</v>
      </c>
      <c r="B331" s="1">
        <v>297</v>
      </c>
      <c r="C331" t="s">
        <v>12118</v>
      </c>
      <c r="D331" s="1" t="s">
        <v>2383</v>
      </c>
      <c r="E331" s="1" t="s">
        <v>1347</v>
      </c>
      <c r="F331" s="1">
        <v>2023</v>
      </c>
      <c r="G331" s="1" t="s">
        <v>2385</v>
      </c>
      <c r="H331" s="1" t="str">
        <f>HYPERLINK("http://dx.doi.org/10.1080/03323315.2023.2284901","http://dx.doi.org/10.1080/03323315.2023.2284901")</f>
        <v>http://dx.doi.org/10.1080/03323315.2023.2284901</v>
      </c>
      <c r="I331" s="1" t="s">
        <v>2387</v>
      </c>
      <c r="J331" s="1" t="s">
        <v>2386</v>
      </c>
      <c r="K331" s="1" t="s">
        <v>42</v>
      </c>
      <c r="L331" s="1" t="s">
        <v>1509</v>
      </c>
    </row>
    <row r="332" spans="1:78" x14ac:dyDescent="0.3">
      <c r="A332" s="8">
        <v>331</v>
      </c>
      <c r="B332" s="1">
        <v>298</v>
      </c>
      <c r="C332" t="s">
        <v>12118</v>
      </c>
      <c r="D332" s="1" t="s">
        <v>11607</v>
      </c>
      <c r="E332" s="1" t="s">
        <v>11609</v>
      </c>
      <c r="F332" s="1">
        <v>2018</v>
      </c>
      <c r="G332" s="1" t="s">
        <v>11610</v>
      </c>
      <c r="H332" s="1" t="str">
        <f>HYPERLINK("http://dx.doi.org/10.1016/j.postharvbio.2018.04.018","http://dx.doi.org/10.1016/j.postharvbio.2018.04.018")</f>
        <v>http://dx.doi.org/10.1016/j.postharvbio.2018.04.018</v>
      </c>
      <c r="I332" s="1" t="s">
        <v>11613</v>
      </c>
      <c r="J332" s="1" t="s">
        <v>11611</v>
      </c>
      <c r="K332" s="1" t="s">
        <v>42</v>
      </c>
      <c r="L332" s="1" t="s">
        <v>56</v>
      </c>
    </row>
    <row r="333" spans="1:78" x14ac:dyDescent="0.3">
      <c r="A333" s="8">
        <v>332</v>
      </c>
      <c r="B333" s="1">
        <v>299</v>
      </c>
      <c r="C333" t="s">
        <v>12118</v>
      </c>
      <c r="D333" s="1" t="s">
        <v>10115</v>
      </c>
      <c r="E333" s="1" t="s">
        <v>10117</v>
      </c>
      <c r="F333" s="1">
        <v>2020</v>
      </c>
      <c r="G333" s="1" t="s">
        <v>9535</v>
      </c>
      <c r="H333" s="1" t="str">
        <f>HYPERLINK("http://dx.doi.org/10.1163/22119000-12340169","http://dx.doi.org/10.1163/22119000-12340169")</f>
        <v>http://dx.doi.org/10.1163/22119000-12340169</v>
      </c>
      <c r="I333" s="1" t="s">
        <v>10119</v>
      </c>
      <c r="J333" s="1" t="s">
        <v>10118</v>
      </c>
      <c r="K333" s="1" t="s">
        <v>42</v>
      </c>
      <c r="L333" s="1" t="s">
        <v>56</v>
      </c>
    </row>
    <row r="334" spans="1:78" x14ac:dyDescent="0.3">
      <c r="A334" s="8">
        <v>333</v>
      </c>
      <c r="B334" s="1">
        <v>300</v>
      </c>
      <c r="C334" t="s">
        <v>12118</v>
      </c>
      <c r="D334" s="1" t="s">
        <v>7236</v>
      </c>
      <c r="E334" s="1" t="s">
        <v>7238</v>
      </c>
      <c r="F334" s="1">
        <v>2022</v>
      </c>
      <c r="G334" s="1" t="s">
        <v>7239</v>
      </c>
      <c r="H334" s="1" t="str">
        <f>HYPERLINK("http://dx.doi.org/10.3390/fib10050039","http://dx.doi.org/10.3390/fib10050039")</f>
        <v>http://dx.doi.org/10.3390/fib10050039</v>
      </c>
      <c r="I334" s="1" t="s">
        <v>7242</v>
      </c>
      <c r="J334" s="1" t="s">
        <v>7240</v>
      </c>
      <c r="K334" s="1" t="s">
        <v>42</v>
      </c>
      <c r="L334" s="1" t="s">
        <v>56</v>
      </c>
    </row>
    <row r="335" spans="1:78" x14ac:dyDescent="0.3">
      <c r="A335" s="8">
        <v>334</v>
      </c>
      <c r="B335" s="1">
        <v>301</v>
      </c>
      <c r="C335" t="s">
        <v>12118</v>
      </c>
      <c r="D335" s="1" t="s">
        <v>4663</v>
      </c>
      <c r="E335" s="1" t="s">
        <v>4665</v>
      </c>
      <c r="F335" s="1">
        <v>2023</v>
      </c>
      <c r="G335" s="1" t="s">
        <v>2662</v>
      </c>
      <c r="H335" s="1" t="str">
        <f>HYPERLINK("http://dx.doi.org/10.1016/j.inffus.2023.101861","http://dx.doi.org/10.1016/j.inffus.2023.101861")</f>
        <v>http://dx.doi.org/10.1016/j.inffus.2023.101861</v>
      </c>
      <c r="I335" s="1" t="s">
        <v>4667</v>
      </c>
      <c r="J335" s="1" t="s">
        <v>4666</v>
      </c>
      <c r="K335" s="1" t="s">
        <v>42</v>
      </c>
      <c r="L335" s="1" t="s">
        <v>56</v>
      </c>
    </row>
    <row r="336" spans="1:78" x14ac:dyDescent="0.3">
      <c r="A336" s="8">
        <v>335</v>
      </c>
      <c r="B336">
        <v>94</v>
      </c>
      <c r="C336" t="s">
        <v>12204</v>
      </c>
      <c r="D336" t="s">
        <v>13274</v>
      </c>
      <c r="E336" t="s">
        <v>276</v>
      </c>
      <c r="F336">
        <v>2023</v>
      </c>
      <c r="G336" t="s">
        <v>277</v>
      </c>
      <c r="I336" t="s">
        <v>280</v>
      </c>
      <c r="K336" t="s">
        <v>42</v>
      </c>
      <c r="L336" t="s">
        <v>12252</v>
      </c>
    </row>
    <row r="337" spans="1:12" x14ac:dyDescent="0.3">
      <c r="A337" s="8">
        <v>336</v>
      </c>
      <c r="B337" s="1">
        <v>302</v>
      </c>
      <c r="C337" t="s">
        <v>12118</v>
      </c>
      <c r="D337" s="1" t="s">
        <v>3669</v>
      </c>
      <c r="E337" s="1" t="s">
        <v>3671</v>
      </c>
      <c r="F337" s="1">
        <v>2023</v>
      </c>
      <c r="G337" s="1" t="s">
        <v>3672</v>
      </c>
      <c r="H337" s="1" t="str">
        <f>HYPERLINK("http://dx.doi.org/10.1016/j.dche.2023.100126","http://dx.doi.org/10.1016/j.dche.2023.100126")</f>
        <v>http://dx.doi.org/10.1016/j.dche.2023.100126</v>
      </c>
      <c r="I337" s="1" t="s">
        <v>3675</v>
      </c>
      <c r="J337" s="1" t="s">
        <v>3673</v>
      </c>
      <c r="K337" s="1" t="s">
        <v>42</v>
      </c>
      <c r="L337" s="1" t="s">
        <v>56</v>
      </c>
    </row>
    <row r="338" spans="1:12" x14ac:dyDescent="0.3">
      <c r="A338" s="8">
        <v>337</v>
      </c>
      <c r="B338" s="1">
        <v>303</v>
      </c>
      <c r="C338" t="s">
        <v>12118</v>
      </c>
      <c r="D338" s="1" t="s">
        <v>6780</v>
      </c>
      <c r="E338" s="1" t="s">
        <v>6782</v>
      </c>
      <c r="F338" s="1">
        <v>2022</v>
      </c>
      <c r="G338" s="1" t="s">
        <v>6783</v>
      </c>
      <c r="H338" s="1" t="str">
        <f>HYPERLINK("http://dx.doi.org/10.1021/acs.analchem.2c03972","http://dx.doi.org/10.1021/acs.analchem.2c03972")</f>
        <v>http://dx.doi.org/10.1021/acs.analchem.2c03972</v>
      </c>
      <c r="I338" s="1" t="s">
        <v>6785</v>
      </c>
      <c r="J338" s="1" t="s">
        <v>1507</v>
      </c>
      <c r="K338" s="1" t="s">
        <v>42</v>
      </c>
      <c r="L338" s="1" t="s">
        <v>1509</v>
      </c>
    </row>
    <row r="339" spans="1:12" x14ac:dyDescent="0.3">
      <c r="A339" s="8">
        <v>338</v>
      </c>
      <c r="B339" s="1">
        <v>304</v>
      </c>
      <c r="C339" t="s">
        <v>12118</v>
      </c>
      <c r="D339" s="1" t="s">
        <v>8429</v>
      </c>
      <c r="E339" s="1" t="s">
        <v>8431</v>
      </c>
      <c r="F339" s="1">
        <v>2021</v>
      </c>
      <c r="G339" s="1" t="s">
        <v>6783</v>
      </c>
      <c r="H339" s="1" t="str">
        <f>HYPERLINK("http://dx.doi.org/10.1021/acs.analchem.1c01018","http://dx.doi.org/10.1021/acs.analchem.1c01018")</f>
        <v>http://dx.doi.org/10.1021/acs.analchem.1c01018</v>
      </c>
      <c r="I339" s="1" t="s">
        <v>8433</v>
      </c>
      <c r="J339" s="1" t="s">
        <v>1507</v>
      </c>
      <c r="K339" s="1" t="s">
        <v>42</v>
      </c>
      <c r="L339" s="1" t="s">
        <v>56</v>
      </c>
    </row>
    <row r="340" spans="1:12" x14ac:dyDescent="0.3">
      <c r="A340" s="8">
        <v>339</v>
      </c>
      <c r="B340" s="1">
        <v>305</v>
      </c>
      <c r="C340" t="s">
        <v>12118</v>
      </c>
      <c r="D340" s="1" t="s">
        <v>2019</v>
      </c>
      <c r="E340" s="1" t="s">
        <v>2021</v>
      </c>
      <c r="F340" s="1">
        <v>2023</v>
      </c>
      <c r="G340" s="1" t="s">
        <v>2022</v>
      </c>
      <c r="H340" s="1" t="str">
        <f>HYPERLINK("http://dx.doi.org/10.1016/j.patter.2023.100865","http://dx.doi.org/10.1016/j.patter.2023.100865")</f>
        <v>http://dx.doi.org/10.1016/j.patter.2023.100865</v>
      </c>
      <c r="I340" s="1" t="s">
        <v>2024</v>
      </c>
      <c r="J340" s="1" t="s">
        <v>1507</v>
      </c>
      <c r="K340" s="1" t="s">
        <v>42</v>
      </c>
      <c r="L340" s="1" t="s">
        <v>56</v>
      </c>
    </row>
    <row r="341" spans="1:12" x14ac:dyDescent="0.3">
      <c r="A341" s="8">
        <v>340</v>
      </c>
      <c r="B341">
        <v>95</v>
      </c>
      <c r="C341" t="s">
        <v>12204</v>
      </c>
      <c r="D341" t="s">
        <v>13572</v>
      </c>
      <c r="E341" t="s">
        <v>748</v>
      </c>
      <c r="F341">
        <v>2023</v>
      </c>
      <c r="G341" t="s">
        <v>749</v>
      </c>
      <c r="H341" t="s">
        <v>750</v>
      </c>
      <c r="I341" t="s">
        <v>753</v>
      </c>
      <c r="J341" t="s">
        <v>754</v>
      </c>
      <c r="K341" t="s">
        <v>42</v>
      </c>
      <c r="L341" t="s">
        <v>56</v>
      </c>
    </row>
    <row r="342" spans="1:12" x14ac:dyDescent="0.3">
      <c r="A342" s="8">
        <v>341</v>
      </c>
      <c r="B342">
        <v>96</v>
      </c>
      <c r="C342" t="s">
        <v>12204</v>
      </c>
      <c r="D342" t="s">
        <v>12935</v>
      </c>
      <c r="E342" t="s">
        <v>767</v>
      </c>
      <c r="F342">
        <v>2023</v>
      </c>
      <c r="G342" t="s">
        <v>768</v>
      </c>
      <c r="I342" t="s">
        <v>771</v>
      </c>
      <c r="K342" t="s">
        <v>42</v>
      </c>
      <c r="L342" t="s">
        <v>12252</v>
      </c>
    </row>
    <row r="343" spans="1:12" x14ac:dyDescent="0.3">
      <c r="A343" s="8">
        <v>342</v>
      </c>
      <c r="B343" s="1">
        <v>307</v>
      </c>
      <c r="C343" t="s">
        <v>12118</v>
      </c>
      <c r="D343" s="1" t="s">
        <v>8581</v>
      </c>
      <c r="E343" s="1" t="s">
        <v>8583</v>
      </c>
      <c r="F343" s="1">
        <v>2021</v>
      </c>
      <c r="G343" s="1" t="s">
        <v>8584</v>
      </c>
      <c r="H343" s="1" t="str">
        <f>HYPERLINK("http://dx.doi.org/10.11646/zootaxa.4980.1.3","http://dx.doi.org/10.11646/zootaxa.4980.1.3")</f>
        <v>http://dx.doi.org/10.11646/zootaxa.4980.1.3</v>
      </c>
      <c r="I343" s="1" t="s">
        <v>8586</v>
      </c>
      <c r="J343" s="1" t="s">
        <v>8585</v>
      </c>
      <c r="K343" s="1" t="s">
        <v>42</v>
      </c>
      <c r="L343" s="1" t="s">
        <v>56</v>
      </c>
    </row>
    <row r="344" spans="1:12" x14ac:dyDescent="0.3">
      <c r="A344" s="8">
        <v>343</v>
      </c>
      <c r="B344">
        <v>97</v>
      </c>
      <c r="C344" t="s">
        <v>12204</v>
      </c>
      <c r="D344" t="s">
        <v>13184</v>
      </c>
      <c r="E344" t="s">
        <v>355</v>
      </c>
      <c r="F344">
        <v>2023</v>
      </c>
      <c r="G344" t="s">
        <v>356</v>
      </c>
      <c r="H344" t="s">
        <v>357</v>
      </c>
      <c r="I344" t="s">
        <v>360</v>
      </c>
      <c r="J344" t="s">
        <v>361</v>
      </c>
      <c r="K344" t="s">
        <v>42</v>
      </c>
      <c r="L344" t="s">
        <v>12252</v>
      </c>
    </row>
    <row r="345" spans="1:12" x14ac:dyDescent="0.3">
      <c r="A345" s="8">
        <v>344</v>
      </c>
      <c r="B345">
        <v>98</v>
      </c>
      <c r="C345" t="s">
        <v>12204</v>
      </c>
      <c r="D345" t="s">
        <v>13546</v>
      </c>
      <c r="E345" t="s">
        <v>131</v>
      </c>
      <c r="F345">
        <v>2023</v>
      </c>
      <c r="G345" t="s">
        <v>132</v>
      </c>
      <c r="H345" t="s">
        <v>133</v>
      </c>
      <c r="I345" t="s">
        <v>136</v>
      </c>
      <c r="J345" t="s">
        <v>137</v>
      </c>
      <c r="K345" t="s">
        <v>42</v>
      </c>
      <c r="L345" t="s">
        <v>12252</v>
      </c>
    </row>
    <row r="346" spans="1:12" x14ac:dyDescent="0.3">
      <c r="A346" s="8">
        <v>345</v>
      </c>
      <c r="B346" s="1">
        <v>308</v>
      </c>
      <c r="C346" t="s">
        <v>12118</v>
      </c>
      <c r="D346" s="1" t="s">
        <v>11570</v>
      </c>
      <c r="E346" s="1" t="s">
        <v>11572</v>
      </c>
      <c r="F346" s="1">
        <v>2018</v>
      </c>
      <c r="G346" s="1" t="s">
        <v>11573</v>
      </c>
      <c r="H346" s="1" t="str">
        <f>HYPERLINK("http://dx.doi.org/10.1140/epjc/s10052-018-6324-9","http://dx.doi.org/10.1140/epjc/s10052-018-6324-9")</f>
        <v>http://dx.doi.org/10.1140/epjc/s10052-018-6324-9</v>
      </c>
      <c r="I346" s="1" t="s">
        <v>11575</v>
      </c>
      <c r="J346" s="1" t="s">
        <v>1507</v>
      </c>
      <c r="K346" s="1" t="s">
        <v>42</v>
      </c>
      <c r="L346" s="1" t="s">
        <v>56</v>
      </c>
    </row>
    <row r="347" spans="1:12" x14ac:dyDescent="0.3">
      <c r="A347" s="8">
        <v>346</v>
      </c>
      <c r="B347" s="1">
        <v>309</v>
      </c>
      <c r="C347" t="s">
        <v>12118</v>
      </c>
      <c r="D347" s="1" t="s">
        <v>11570</v>
      </c>
      <c r="E347" s="1" t="s">
        <v>11738</v>
      </c>
      <c r="F347" s="1">
        <v>2018</v>
      </c>
      <c r="G347" s="1" t="s">
        <v>2087</v>
      </c>
      <c r="H347" s="1" t="str">
        <f>HYPERLINK("http://dx.doi.org/10.1007/JHEP05(2018)009","http://dx.doi.org/10.1007/JHEP05(2018)009")</f>
        <v>http://dx.doi.org/10.1007/JHEP05(2018)009</v>
      </c>
      <c r="I347" s="1" t="s">
        <v>11741</v>
      </c>
      <c r="J347" s="1" t="s">
        <v>11739</v>
      </c>
      <c r="K347" s="1" t="s">
        <v>42</v>
      </c>
      <c r="L347" s="1" t="s">
        <v>56</v>
      </c>
    </row>
    <row r="348" spans="1:12" x14ac:dyDescent="0.3">
      <c r="A348" s="8">
        <v>347</v>
      </c>
      <c r="B348">
        <v>99</v>
      </c>
      <c r="C348" t="s">
        <v>12204</v>
      </c>
      <c r="D348" t="s">
        <v>12565</v>
      </c>
      <c r="E348" t="s">
        <v>1257</v>
      </c>
      <c r="F348">
        <v>2023</v>
      </c>
      <c r="G348" t="s">
        <v>1258</v>
      </c>
      <c r="H348" t="s">
        <v>1259</v>
      </c>
      <c r="I348" t="s">
        <v>12562</v>
      </c>
      <c r="J348" t="s">
        <v>1263</v>
      </c>
      <c r="K348" t="s">
        <v>42</v>
      </c>
      <c r="L348" t="s">
        <v>12252</v>
      </c>
    </row>
    <row r="349" spans="1:12" x14ac:dyDescent="0.3">
      <c r="A349" s="8">
        <v>348</v>
      </c>
      <c r="B349" s="1">
        <v>311</v>
      </c>
      <c r="C349" t="s">
        <v>12118</v>
      </c>
      <c r="D349" s="1" t="s">
        <v>6088</v>
      </c>
      <c r="E349" s="1" t="s">
        <v>6091</v>
      </c>
      <c r="F349" s="1">
        <v>2023</v>
      </c>
      <c r="G349" s="1" t="s">
        <v>6092</v>
      </c>
      <c r="H349" s="1" t="str">
        <f>HYPERLINK("http://dx.doi.org/10.1109/ICALT58122.2023.00072","http://dx.doi.org/10.1109/ICALT58122.2023.00072")</f>
        <v>http://dx.doi.org/10.1109/ICALT58122.2023.00072</v>
      </c>
      <c r="I349" s="1" t="s">
        <v>6099</v>
      </c>
      <c r="J349" s="1" t="s">
        <v>6098</v>
      </c>
      <c r="K349" s="1" t="s">
        <v>42</v>
      </c>
      <c r="L349" s="1" t="s">
        <v>5552</v>
      </c>
    </row>
    <row r="350" spans="1:12" x14ac:dyDescent="0.3">
      <c r="A350" s="8">
        <v>349</v>
      </c>
      <c r="B350">
        <v>100</v>
      </c>
      <c r="C350" t="s">
        <v>12204</v>
      </c>
      <c r="D350" t="s">
        <v>13325</v>
      </c>
      <c r="E350" t="s">
        <v>685</v>
      </c>
      <c r="F350">
        <v>2023</v>
      </c>
      <c r="G350" t="s">
        <v>686</v>
      </c>
      <c r="H350" t="s">
        <v>687</v>
      </c>
      <c r="I350" t="s">
        <v>13322</v>
      </c>
      <c r="K350" t="s">
        <v>42</v>
      </c>
      <c r="L350" t="s">
        <v>56</v>
      </c>
    </row>
    <row r="351" spans="1:12" x14ac:dyDescent="0.3">
      <c r="A351" s="8">
        <v>350</v>
      </c>
      <c r="B351" s="1">
        <v>312</v>
      </c>
      <c r="C351" t="s">
        <v>12118</v>
      </c>
      <c r="D351" s="1" t="s">
        <v>4470</v>
      </c>
      <c r="E351" s="1" t="s">
        <v>685</v>
      </c>
      <c r="F351" s="1">
        <v>2023</v>
      </c>
      <c r="G351" s="1" t="s">
        <v>4472</v>
      </c>
      <c r="H351" s="1" t="str">
        <f>HYPERLINK("http://dx.doi.org/10.1071/MA23036","http://dx.doi.org/10.1071/MA23036")</f>
        <v>http://dx.doi.org/10.1071/MA23036</v>
      </c>
      <c r="I351" s="1" t="s">
        <v>4473</v>
      </c>
      <c r="J351" s="1" t="s">
        <v>1507</v>
      </c>
      <c r="K351" s="1" t="s">
        <v>42</v>
      </c>
      <c r="L351" s="1" t="s">
        <v>56</v>
      </c>
    </row>
    <row r="352" spans="1:12" x14ac:dyDescent="0.3">
      <c r="A352" s="8">
        <v>351</v>
      </c>
      <c r="B352" s="1">
        <v>313</v>
      </c>
      <c r="C352" t="s">
        <v>12118</v>
      </c>
      <c r="D352" s="1" t="s">
        <v>10851</v>
      </c>
      <c r="E352" s="1" t="s">
        <v>10853</v>
      </c>
      <c r="F352" s="1">
        <v>2019</v>
      </c>
      <c r="G352" s="1" t="s">
        <v>10008</v>
      </c>
      <c r="H352" s="1" t="str">
        <f>HYPERLINK("http://dx.doi.org/10.1111/mmi.14256","http://dx.doi.org/10.1111/mmi.14256")</f>
        <v>http://dx.doi.org/10.1111/mmi.14256</v>
      </c>
      <c r="I352" s="1" t="s">
        <v>10855</v>
      </c>
      <c r="J352" s="1" t="s">
        <v>1507</v>
      </c>
      <c r="K352" s="1" t="s">
        <v>42</v>
      </c>
      <c r="L352" s="1" t="s">
        <v>56</v>
      </c>
    </row>
    <row r="353" spans="1:78" x14ac:dyDescent="0.3">
      <c r="A353" s="8">
        <v>352</v>
      </c>
      <c r="B353" s="1">
        <v>314</v>
      </c>
      <c r="C353" t="s">
        <v>12118</v>
      </c>
      <c r="D353" s="1" t="s">
        <v>2233</v>
      </c>
      <c r="E353" s="1" t="s">
        <v>2235</v>
      </c>
      <c r="F353" s="1">
        <v>2023</v>
      </c>
      <c r="G353" s="1" t="s">
        <v>2236</v>
      </c>
      <c r="H353" s="1" t="str">
        <f>HYPERLINK("http://dx.doi.org/10.3390/info14120638","http://dx.doi.org/10.3390/info14120638")</f>
        <v>http://dx.doi.org/10.3390/info14120638</v>
      </c>
      <c r="I353" s="1" t="s">
        <v>2238</v>
      </c>
      <c r="J353" s="1" t="s">
        <v>2237</v>
      </c>
      <c r="K353" s="1" t="s">
        <v>42</v>
      </c>
      <c r="L353" s="1" t="s">
        <v>56</v>
      </c>
    </row>
    <row r="354" spans="1:78" x14ac:dyDescent="0.3">
      <c r="A354" s="8">
        <v>353</v>
      </c>
      <c r="B354">
        <v>101</v>
      </c>
      <c r="C354" t="s">
        <v>12204</v>
      </c>
      <c r="D354" t="s">
        <v>13377</v>
      </c>
      <c r="E354" t="s">
        <v>449</v>
      </c>
      <c r="F354">
        <v>2023</v>
      </c>
      <c r="G354" t="s">
        <v>34</v>
      </c>
      <c r="H354" t="s">
        <v>450</v>
      </c>
      <c r="I354" t="s">
        <v>452</v>
      </c>
      <c r="J354" t="s">
        <v>453</v>
      </c>
      <c r="K354" t="s">
        <v>42</v>
      </c>
      <c r="L354" t="s">
        <v>12252</v>
      </c>
    </row>
    <row r="355" spans="1:78" x14ac:dyDescent="0.3">
      <c r="A355" s="8">
        <v>354</v>
      </c>
      <c r="B355" s="1">
        <v>316</v>
      </c>
      <c r="C355" t="s">
        <v>12118</v>
      </c>
      <c r="D355" s="1" t="s">
        <v>8131</v>
      </c>
      <c r="E355" s="1" t="s">
        <v>8133</v>
      </c>
      <c r="F355" s="1">
        <v>2021</v>
      </c>
      <c r="G355" s="1" t="s">
        <v>8134</v>
      </c>
      <c r="H355" s="1" t="str">
        <f>HYPERLINK("http://dx.doi.org/10.1016/j.eclinm.2021.101174","http://dx.doi.org/10.1016/j.eclinm.2021.101174")</f>
        <v>http://dx.doi.org/10.1016/j.eclinm.2021.101174</v>
      </c>
      <c r="I355" s="1" t="s">
        <v>8137</v>
      </c>
      <c r="J355" s="1" t="s">
        <v>8135</v>
      </c>
      <c r="K355" s="1" t="s">
        <v>42</v>
      </c>
      <c r="L355" s="1" t="s">
        <v>56</v>
      </c>
    </row>
    <row r="356" spans="1:78" x14ac:dyDescent="0.3">
      <c r="A356" s="8">
        <v>355</v>
      </c>
      <c r="B356" s="1">
        <v>317</v>
      </c>
      <c r="C356" t="s">
        <v>12118</v>
      </c>
      <c r="D356" s="1" t="s">
        <v>6111</v>
      </c>
      <c r="E356" s="1" t="s">
        <v>6113</v>
      </c>
      <c r="F356" s="1">
        <v>2023</v>
      </c>
      <c r="G356" s="1" t="s">
        <v>6114</v>
      </c>
      <c r="H356" s="1" t="str">
        <f>HYPERLINK("http://dx.doi.org/10.1145/3568813.3600138","http://dx.doi.org/10.1145/3568813.3600138")</f>
        <v>http://dx.doi.org/10.1145/3568813.3600138</v>
      </c>
      <c r="I356" s="1" t="s">
        <v>6119</v>
      </c>
      <c r="J356" s="1" t="s">
        <v>6118</v>
      </c>
      <c r="K356" s="1" t="s">
        <v>42</v>
      </c>
      <c r="L356" s="1" t="s">
        <v>5552</v>
      </c>
    </row>
    <row r="357" spans="1:78" x14ac:dyDescent="0.3">
      <c r="A357" s="8">
        <v>356</v>
      </c>
      <c r="B357">
        <v>102</v>
      </c>
      <c r="C357" t="s">
        <v>12204</v>
      </c>
      <c r="D357" t="s">
        <v>13668</v>
      </c>
      <c r="E357" t="s">
        <v>344</v>
      </c>
      <c r="F357">
        <v>2023</v>
      </c>
      <c r="G357" t="s">
        <v>345</v>
      </c>
      <c r="H357" t="s">
        <v>346</v>
      </c>
      <c r="I357" t="s">
        <v>349</v>
      </c>
      <c r="J357" t="s">
        <v>350</v>
      </c>
      <c r="K357" t="s">
        <v>42</v>
      </c>
      <c r="L357" t="s">
        <v>56</v>
      </c>
    </row>
    <row r="358" spans="1:78" x14ac:dyDescent="0.3">
      <c r="A358" s="8">
        <v>357</v>
      </c>
      <c r="B358" s="1">
        <v>318</v>
      </c>
      <c r="C358" t="s">
        <v>12118</v>
      </c>
      <c r="D358" s="1" t="s">
        <v>8793</v>
      </c>
      <c r="E358" s="1" t="s">
        <v>8795</v>
      </c>
      <c r="F358" s="1">
        <v>2021</v>
      </c>
      <c r="G358" s="1" t="s">
        <v>8796</v>
      </c>
      <c r="H358" s="1" t="str">
        <f>HYPERLINK("http://dx.doi.org/10.1093/tandt/ttab013","http://dx.doi.org/10.1093/tandt/ttab013")</f>
        <v>http://dx.doi.org/10.1093/tandt/ttab013</v>
      </c>
      <c r="I358" s="1" t="s">
        <v>8797</v>
      </c>
      <c r="J358" s="1" t="s">
        <v>1507</v>
      </c>
      <c r="K358" s="1" t="s">
        <v>42</v>
      </c>
      <c r="L358" s="1" t="s">
        <v>56</v>
      </c>
    </row>
    <row r="359" spans="1:78" x14ac:dyDescent="0.3">
      <c r="A359" s="8">
        <v>358</v>
      </c>
      <c r="B359" s="1">
        <v>319</v>
      </c>
      <c r="C359" t="s">
        <v>12118</v>
      </c>
      <c r="D359" s="1" t="s">
        <v>8793</v>
      </c>
      <c r="E359" s="1" t="s">
        <v>9216</v>
      </c>
      <c r="F359" s="1">
        <v>2021</v>
      </c>
      <c r="G359" s="1" t="s">
        <v>7697</v>
      </c>
      <c r="H359" s="1" t="s">
        <v>1507</v>
      </c>
      <c r="I359" s="1" t="s">
        <v>9218</v>
      </c>
      <c r="J359" s="1" t="s">
        <v>1507</v>
      </c>
      <c r="K359" s="1" t="s">
        <v>42</v>
      </c>
      <c r="L359" s="1" t="s">
        <v>56</v>
      </c>
    </row>
    <row r="360" spans="1:78" x14ac:dyDescent="0.3">
      <c r="A360" s="8">
        <v>359</v>
      </c>
      <c r="B360" s="1">
        <v>321</v>
      </c>
      <c r="C360" t="s">
        <v>12118</v>
      </c>
      <c r="D360" s="1" t="s">
        <v>15132</v>
      </c>
      <c r="E360" s="1" t="s">
        <v>15134</v>
      </c>
      <c r="F360" s="1">
        <v>2023</v>
      </c>
      <c r="G360" s="1" t="s">
        <v>15135</v>
      </c>
      <c r="H360" s="1" t="str">
        <f>HYPERLINK("http://dx.doi.org/10.1109/HPEC58863.2023.10363534","http://dx.doi.org/10.1109/HPEC58863.2023.10363534")</f>
        <v>http://dx.doi.org/10.1109/HPEC58863.2023.10363534</v>
      </c>
      <c r="I360" s="1" t="s">
        <v>15140</v>
      </c>
      <c r="J360" s="1" t="s">
        <v>15139</v>
      </c>
      <c r="K360" s="1" t="s">
        <v>42</v>
      </c>
      <c r="L360" s="1" t="s">
        <v>5552</v>
      </c>
    </row>
    <row r="361" spans="1:78" x14ac:dyDescent="0.3">
      <c r="A361" s="8">
        <v>360</v>
      </c>
      <c r="B361" s="1">
        <v>322</v>
      </c>
      <c r="C361" t="s">
        <v>12118</v>
      </c>
      <c r="D361" s="1" t="s">
        <v>8333</v>
      </c>
      <c r="E361" s="1" t="s">
        <v>8335</v>
      </c>
      <c r="F361" s="1">
        <v>2021</v>
      </c>
      <c r="G361" s="1" t="s">
        <v>8336</v>
      </c>
      <c r="H361" s="1" t="str">
        <f>HYPERLINK("http://dx.doi.org/10.3390/toxins13080564","http://dx.doi.org/10.3390/toxins13080564")</f>
        <v>http://dx.doi.org/10.3390/toxins13080564</v>
      </c>
      <c r="I361" s="1" t="s">
        <v>8339</v>
      </c>
      <c r="J361" s="1" t="s">
        <v>8337</v>
      </c>
      <c r="K361" s="1" t="s">
        <v>42</v>
      </c>
      <c r="L361" s="1" t="s">
        <v>56</v>
      </c>
    </row>
    <row r="362" spans="1:78" x14ac:dyDescent="0.3">
      <c r="A362" s="8">
        <v>361</v>
      </c>
      <c r="B362">
        <v>103</v>
      </c>
      <c r="C362" t="s">
        <v>12204</v>
      </c>
      <c r="D362" t="s">
        <v>13081</v>
      </c>
      <c r="E362" t="s">
        <v>13079</v>
      </c>
      <c r="F362">
        <v>2023</v>
      </c>
      <c r="G362" t="s">
        <v>13078</v>
      </c>
      <c r="H362" t="s">
        <v>13077</v>
      </c>
      <c r="I362" t="s">
        <v>13073</v>
      </c>
      <c r="J362" t="s">
        <v>13072</v>
      </c>
      <c r="K362" t="s">
        <v>55</v>
      </c>
      <c r="L362" t="s">
        <v>12252</v>
      </c>
    </row>
    <row r="363" spans="1:78" x14ac:dyDescent="0.3">
      <c r="A363" s="8">
        <v>362</v>
      </c>
      <c r="B363">
        <v>104</v>
      </c>
      <c r="C363" t="s">
        <v>12204</v>
      </c>
      <c r="D363" t="s">
        <v>12745</v>
      </c>
      <c r="E363" t="s">
        <v>1104</v>
      </c>
      <c r="F363">
        <v>2023</v>
      </c>
      <c r="G363" t="s">
        <v>498</v>
      </c>
      <c r="I363" t="s">
        <v>1107</v>
      </c>
      <c r="J363" t="s">
        <v>1108</v>
      </c>
      <c r="K363" t="s">
        <v>42</v>
      </c>
      <c r="L363" t="s">
        <v>12252</v>
      </c>
      <c r="BZ363" s="6"/>
    </row>
    <row r="364" spans="1:78" x14ac:dyDescent="0.3">
      <c r="A364" s="8">
        <v>363</v>
      </c>
      <c r="B364" s="1">
        <v>323</v>
      </c>
      <c r="C364" t="s">
        <v>12118</v>
      </c>
      <c r="D364" s="1" t="s">
        <v>9226</v>
      </c>
      <c r="E364" s="1" t="s">
        <v>9228</v>
      </c>
      <c r="F364" s="1">
        <v>2021</v>
      </c>
      <c r="G364" s="1" t="s">
        <v>9229</v>
      </c>
      <c r="H364" s="1" t="s">
        <v>1507</v>
      </c>
      <c r="I364" s="1" t="s">
        <v>9231</v>
      </c>
      <c r="J364" s="1" t="s">
        <v>1507</v>
      </c>
      <c r="K364" s="1" t="s">
        <v>42</v>
      </c>
      <c r="L364" s="1" t="s">
        <v>56</v>
      </c>
    </row>
    <row r="365" spans="1:78" x14ac:dyDescent="0.3">
      <c r="A365" s="8">
        <v>364</v>
      </c>
      <c r="B365" s="1">
        <v>324</v>
      </c>
      <c r="C365" t="s">
        <v>12118</v>
      </c>
      <c r="D365" s="1" t="s">
        <v>9752</v>
      </c>
      <c r="E365" s="1" t="s">
        <v>9754</v>
      </c>
      <c r="F365" s="1">
        <v>2020</v>
      </c>
      <c r="G365" s="1" t="s">
        <v>9755</v>
      </c>
      <c r="H365" s="1" t="str">
        <f>HYPERLINK("http://dx.doi.org/10.1111/irv.12769","http://dx.doi.org/10.1111/irv.12769")</f>
        <v>http://dx.doi.org/10.1111/irv.12769</v>
      </c>
      <c r="I365" s="1" t="s">
        <v>9758</v>
      </c>
      <c r="J365" s="1" t="s">
        <v>9756</v>
      </c>
      <c r="K365" s="1" t="s">
        <v>42</v>
      </c>
      <c r="L365" s="1" t="s">
        <v>56</v>
      </c>
    </row>
    <row r="366" spans="1:78" x14ac:dyDescent="0.3">
      <c r="A366" s="8">
        <v>365</v>
      </c>
      <c r="B366">
        <v>105</v>
      </c>
      <c r="C366" t="s">
        <v>12204</v>
      </c>
      <c r="D366" t="s">
        <v>12480</v>
      </c>
      <c r="E366" t="s">
        <v>1163</v>
      </c>
      <c r="F366">
        <v>2023</v>
      </c>
      <c r="G366" t="s">
        <v>996</v>
      </c>
      <c r="H366" t="s">
        <v>1165</v>
      </c>
      <c r="I366" t="s">
        <v>1167</v>
      </c>
      <c r="J366" t="s">
        <v>1168</v>
      </c>
      <c r="K366" t="s">
        <v>42</v>
      </c>
      <c r="L366" t="s">
        <v>56</v>
      </c>
      <c r="BU366" s="6"/>
      <c r="BV366" s="6"/>
      <c r="BW366" s="6"/>
      <c r="BX366" s="6"/>
      <c r="BY366" s="6"/>
    </row>
    <row r="367" spans="1:78" x14ac:dyDescent="0.3">
      <c r="A367" s="8">
        <v>366</v>
      </c>
      <c r="B367">
        <v>106</v>
      </c>
      <c r="C367" t="s">
        <v>12204</v>
      </c>
      <c r="D367" t="s">
        <v>12327</v>
      </c>
      <c r="E367" t="s">
        <v>1035</v>
      </c>
      <c r="F367">
        <v>2022</v>
      </c>
      <c r="G367" t="s">
        <v>1036</v>
      </c>
      <c r="I367" t="s">
        <v>1039</v>
      </c>
      <c r="K367" t="s">
        <v>42</v>
      </c>
      <c r="L367" t="s">
        <v>12252</v>
      </c>
    </row>
    <row r="368" spans="1:78" x14ac:dyDescent="0.3">
      <c r="A368" s="8">
        <v>367</v>
      </c>
      <c r="B368">
        <v>107</v>
      </c>
      <c r="C368" t="s">
        <v>12204</v>
      </c>
      <c r="D368" t="s">
        <v>12739</v>
      </c>
      <c r="E368" t="s">
        <v>876</v>
      </c>
      <c r="F368">
        <v>2023</v>
      </c>
      <c r="G368" t="s">
        <v>877</v>
      </c>
      <c r="H368" t="s">
        <v>878</v>
      </c>
      <c r="I368" t="s">
        <v>12736</v>
      </c>
      <c r="J368" t="s">
        <v>882</v>
      </c>
      <c r="K368" t="s">
        <v>42</v>
      </c>
      <c r="L368" t="s">
        <v>12252</v>
      </c>
      <c r="BU368" s="6"/>
      <c r="BV368" s="6"/>
      <c r="BW368" s="6"/>
      <c r="BX368" s="6"/>
      <c r="BY368" s="6"/>
    </row>
    <row r="369" spans="1:72" x14ac:dyDescent="0.3">
      <c r="A369" s="8">
        <v>368</v>
      </c>
      <c r="B369">
        <v>108</v>
      </c>
      <c r="C369" t="s">
        <v>12204</v>
      </c>
      <c r="D369" t="s">
        <v>12384</v>
      </c>
      <c r="E369" t="s">
        <v>888</v>
      </c>
      <c r="F369">
        <v>2023</v>
      </c>
      <c r="G369" t="s">
        <v>252</v>
      </c>
      <c r="H369" t="s">
        <v>889</v>
      </c>
      <c r="I369" t="s">
        <v>892</v>
      </c>
      <c r="J369" t="s">
        <v>893</v>
      </c>
      <c r="K369" t="s">
        <v>42</v>
      </c>
      <c r="L369" t="s">
        <v>56</v>
      </c>
      <c r="BB369" s="6"/>
      <c r="BC369" s="6"/>
      <c r="BD369" s="6"/>
      <c r="BE369" s="6"/>
      <c r="BF369" s="6"/>
      <c r="BG369" s="6"/>
      <c r="BH369" s="6"/>
      <c r="BI369" s="6"/>
      <c r="BJ369" s="6"/>
      <c r="BK369" s="6"/>
      <c r="BL369" s="6"/>
      <c r="BM369" s="6"/>
      <c r="BN369" s="6"/>
      <c r="BO369" s="6"/>
      <c r="BP369" s="6"/>
      <c r="BQ369" s="6"/>
      <c r="BR369" s="6"/>
      <c r="BS369" s="6"/>
      <c r="BT369" s="6"/>
    </row>
    <row r="370" spans="1:72" x14ac:dyDescent="0.3">
      <c r="A370" s="8">
        <v>369</v>
      </c>
      <c r="B370" s="1">
        <v>326</v>
      </c>
      <c r="C370" t="s">
        <v>12118</v>
      </c>
      <c r="D370" s="1" t="s">
        <v>6921</v>
      </c>
      <c r="E370" s="1" t="s">
        <v>6923</v>
      </c>
      <c r="F370" s="1">
        <v>2023</v>
      </c>
      <c r="G370" s="1" t="s">
        <v>6924</v>
      </c>
      <c r="H370" s="1" t="str">
        <f>HYPERLINK("http://dx.doi.org/10.1111/odi.14340","http://dx.doi.org/10.1111/odi.14340")</f>
        <v>http://dx.doi.org/10.1111/odi.14340</v>
      </c>
      <c r="I370" s="1" t="s">
        <v>6927</v>
      </c>
      <c r="J370" s="1" t="s">
        <v>6925</v>
      </c>
      <c r="K370" s="1" t="s">
        <v>42</v>
      </c>
      <c r="L370" s="1" t="s">
        <v>56</v>
      </c>
    </row>
    <row r="371" spans="1:72" x14ac:dyDescent="0.3">
      <c r="A371" s="8">
        <v>370</v>
      </c>
      <c r="B371" s="1">
        <v>328</v>
      </c>
      <c r="C371" t="s">
        <v>12118</v>
      </c>
      <c r="D371" s="1" t="s">
        <v>7844</v>
      </c>
      <c r="E371" s="1" t="s">
        <v>7847</v>
      </c>
      <c r="F371" s="1">
        <v>2022</v>
      </c>
      <c r="G371" s="1" t="s">
        <v>7848</v>
      </c>
      <c r="H371" s="1" t="s">
        <v>1507</v>
      </c>
      <c r="I371" s="1" t="s">
        <v>7853</v>
      </c>
      <c r="J371" s="1" t="s">
        <v>1507</v>
      </c>
      <c r="K371" s="1" t="s">
        <v>42</v>
      </c>
      <c r="L371" s="1" t="s">
        <v>5552</v>
      </c>
    </row>
    <row r="372" spans="1:72" x14ac:dyDescent="0.3">
      <c r="A372" s="8">
        <v>371</v>
      </c>
      <c r="B372" s="1">
        <v>329</v>
      </c>
      <c r="C372" t="s">
        <v>12118</v>
      </c>
      <c r="D372" s="1" t="s">
        <v>4411</v>
      </c>
      <c r="E372" s="1" t="s">
        <v>4413</v>
      </c>
      <c r="F372" s="1">
        <v>2023</v>
      </c>
      <c r="G372" s="1" t="s">
        <v>4414</v>
      </c>
      <c r="H372" s="1" t="str">
        <f>HYPERLINK("http://dx.doi.org/10.1038/s43856-023-00334-5","http://dx.doi.org/10.1038/s43856-023-00334-5")</f>
        <v>http://dx.doi.org/10.1038/s43856-023-00334-5</v>
      </c>
      <c r="I372" s="1" t="s">
        <v>4416</v>
      </c>
      <c r="J372" s="1" t="s">
        <v>1507</v>
      </c>
      <c r="K372" s="1" t="s">
        <v>42</v>
      </c>
      <c r="L372" s="1" t="s">
        <v>56</v>
      </c>
    </row>
    <row r="373" spans="1:72" x14ac:dyDescent="0.3">
      <c r="A373" s="8">
        <v>372</v>
      </c>
      <c r="B373" s="1">
        <v>330</v>
      </c>
      <c r="C373" t="s">
        <v>12118</v>
      </c>
      <c r="D373" s="1" t="s">
        <v>15168</v>
      </c>
      <c r="E373" s="1" t="s">
        <v>15170</v>
      </c>
      <c r="F373" s="1">
        <v>2023</v>
      </c>
      <c r="G373" s="1" t="s">
        <v>15092</v>
      </c>
      <c r="H373" s="1" t="str">
        <f>HYPERLINK("http://dx.doi.org/10.1145/3583780.3615017","http://dx.doi.org/10.1145/3583780.3615017")</f>
        <v>http://dx.doi.org/10.1145/3583780.3615017</v>
      </c>
      <c r="I373" s="1" t="s">
        <v>15172</v>
      </c>
      <c r="J373" s="1" t="s">
        <v>15171</v>
      </c>
      <c r="K373" s="1" t="s">
        <v>42</v>
      </c>
      <c r="L373" s="1" t="s">
        <v>5552</v>
      </c>
    </row>
    <row r="374" spans="1:72" x14ac:dyDescent="0.3">
      <c r="A374" s="8">
        <v>373</v>
      </c>
      <c r="B374" s="1">
        <v>331</v>
      </c>
      <c r="C374" t="s">
        <v>12118</v>
      </c>
      <c r="D374" s="1" t="s">
        <v>3819</v>
      </c>
      <c r="E374" s="1" t="s">
        <v>3821</v>
      </c>
      <c r="F374" s="1">
        <v>2023</v>
      </c>
      <c r="G374" s="1" t="s">
        <v>3822</v>
      </c>
      <c r="H374" s="1" t="str">
        <f>HYPERLINK("http://dx.doi.org/10.1016/j.knosys.2023.110957","http://dx.doi.org/10.1016/j.knosys.2023.110957")</f>
        <v>http://dx.doi.org/10.1016/j.knosys.2023.110957</v>
      </c>
      <c r="I374" s="1" t="s">
        <v>3824</v>
      </c>
      <c r="J374" s="1" t="s">
        <v>3823</v>
      </c>
      <c r="K374" s="1" t="s">
        <v>42</v>
      </c>
      <c r="L374" s="1" t="s">
        <v>56</v>
      </c>
    </row>
    <row r="375" spans="1:72" x14ac:dyDescent="0.3">
      <c r="A375" s="8">
        <v>374</v>
      </c>
      <c r="B375" s="1">
        <v>332</v>
      </c>
      <c r="C375" t="s">
        <v>12118</v>
      </c>
      <c r="D375" s="1" t="s">
        <v>8108</v>
      </c>
      <c r="E375" s="1" t="s">
        <v>8110</v>
      </c>
      <c r="F375" s="1">
        <v>2021</v>
      </c>
      <c r="G375" s="1" t="s">
        <v>8111</v>
      </c>
      <c r="H375" s="1" t="str">
        <f>HYPERLINK("http://dx.doi.org/10.3390/molecules26226831","http://dx.doi.org/10.3390/molecules26226831")</f>
        <v>http://dx.doi.org/10.3390/molecules26226831</v>
      </c>
      <c r="I375" s="1" t="s">
        <v>8114</v>
      </c>
      <c r="J375" s="1" t="s">
        <v>8112</v>
      </c>
      <c r="K375" s="1" t="s">
        <v>42</v>
      </c>
      <c r="L375" s="1" t="s">
        <v>56</v>
      </c>
    </row>
    <row r="376" spans="1:72" x14ac:dyDescent="0.3">
      <c r="A376" s="8">
        <v>375</v>
      </c>
      <c r="B376" s="1">
        <v>333</v>
      </c>
      <c r="C376" t="s">
        <v>12118</v>
      </c>
      <c r="D376" s="1" t="s">
        <v>6131</v>
      </c>
      <c r="E376" s="1" t="s">
        <v>6133</v>
      </c>
      <c r="F376" s="1">
        <v>2023</v>
      </c>
      <c r="G376" s="1" t="s">
        <v>6014</v>
      </c>
      <c r="H376" s="1" t="str">
        <f>HYPERLINK("http://dx.doi.org/10.1109/ASE56229.2023.00089","http://dx.doi.org/10.1109/ASE56229.2023.00089")</f>
        <v>http://dx.doi.org/10.1109/ASE56229.2023.00089</v>
      </c>
      <c r="I376" s="1" t="s">
        <v>6135</v>
      </c>
      <c r="J376" s="1" t="s">
        <v>6134</v>
      </c>
      <c r="K376" s="1" t="s">
        <v>42</v>
      </c>
      <c r="L376" s="1" t="s">
        <v>5552</v>
      </c>
    </row>
    <row r="377" spans="1:72" x14ac:dyDescent="0.3">
      <c r="A377" s="8">
        <v>376</v>
      </c>
      <c r="B377" s="1">
        <v>334</v>
      </c>
      <c r="C377" t="s">
        <v>12118</v>
      </c>
      <c r="D377" s="1" t="s">
        <v>8922</v>
      </c>
      <c r="E377" s="1" t="s">
        <v>8924</v>
      </c>
      <c r="F377" s="1">
        <v>2021</v>
      </c>
      <c r="G377" s="1" t="s">
        <v>8925</v>
      </c>
      <c r="H377" s="1" t="str">
        <f>HYPERLINK("http://dx.doi.org/10.1021/acs.oprd.0c00529","http://dx.doi.org/10.1021/acs.oprd.0c00529")</f>
        <v>http://dx.doi.org/10.1021/acs.oprd.0c00529</v>
      </c>
      <c r="I377" s="1" t="s">
        <v>8928</v>
      </c>
      <c r="J377" s="1" t="s">
        <v>8926</v>
      </c>
      <c r="K377" s="1" t="s">
        <v>42</v>
      </c>
      <c r="L377" s="1" t="s">
        <v>56</v>
      </c>
    </row>
    <row r="378" spans="1:72" x14ac:dyDescent="0.3">
      <c r="A378" s="8">
        <v>377</v>
      </c>
      <c r="B378" s="1">
        <v>336</v>
      </c>
      <c r="C378" t="s">
        <v>12118</v>
      </c>
      <c r="D378" s="1" t="s">
        <v>2042</v>
      </c>
      <c r="E378" s="1" t="s">
        <v>2044</v>
      </c>
      <c r="F378" s="1">
        <v>2023</v>
      </c>
      <c r="G378" s="1" t="s">
        <v>2045</v>
      </c>
      <c r="H378" s="1" t="str">
        <f>HYPERLINK("http://dx.doi.org/10.1080/17538947.2023.2278895","http://dx.doi.org/10.1080/17538947.2023.2278895")</f>
        <v>http://dx.doi.org/10.1080/17538947.2023.2278895</v>
      </c>
      <c r="I378" s="1" t="s">
        <v>2047</v>
      </c>
      <c r="J378" s="1" t="s">
        <v>2046</v>
      </c>
      <c r="K378" s="1" t="s">
        <v>42</v>
      </c>
      <c r="L378" s="1" t="s">
        <v>56</v>
      </c>
    </row>
    <row r="379" spans="1:72" x14ac:dyDescent="0.3">
      <c r="A379" s="8">
        <v>378</v>
      </c>
      <c r="B379" s="1">
        <v>338</v>
      </c>
      <c r="C379" t="s">
        <v>12118</v>
      </c>
      <c r="D379" s="1" t="s">
        <v>11068</v>
      </c>
      <c r="E379" s="1" t="s">
        <v>11070</v>
      </c>
      <c r="F379" s="1">
        <v>2019</v>
      </c>
      <c r="G379" s="1" t="s">
        <v>4452</v>
      </c>
      <c r="H379" s="1" t="str">
        <f>HYPERLINK("http://dx.doi.org/10.1007/s40858-018-0254-9","http://dx.doi.org/10.1007/s40858-018-0254-9")</f>
        <v>http://dx.doi.org/10.1007/s40858-018-0254-9</v>
      </c>
      <c r="I379" s="1" t="s">
        <v>11073</v>
      </c>
      <c r="J379" s="1" t="s">
        <v>11071</v>
      </c>
      <c r="K379" s="1" t="s">
        <v>42</v>
      </c>
      <c r="L379" s="1" t="s">
        <v>56</v>
      </c>
    </row>
    <row r="380" spans="1:72" x14ac:dyDescent="0.3">
      <c r="A380" s="8">
        <v>379</v>
      </c>
      <c r="B380" s="1">
        <v>339</v>
      </c>
      <c r="C380" t="s">
        <v>12118</v>
      </c>
      <c r="D380" s="1" t="s">
        <v>9512</v>
      </c>
      <c r="E380" s="1" t="s">
        <v>9514</v>
      </c>
      <c r="F380" s="1">
        <v>2020</v>
      </c>
      <c r="G380" s="1" t="s">
        <v>9515</v>
      </c>
      <c r="H380" s="1" t="s">
        <v>1507</v>
      </c>
      <c r="I380" s="1" t="s">
        <v>9517</v>
      </c>
      <c r="J380" s="1" t="s">
        <v>1507</v>
      </c>
      <c r="K380" s="1" t="s">
        <v>42</v>
      </c>
      <c r="L380" s="1" t="s">
        <v>56</v>
      </c>
    </row>
    <row r="381" spans="1:72" x14ac:dyDescent="0.3">
      <c r="A381" s="8">
        <v>380</v>
      </c>
      <c r="B381" s="1">
        <v>340</v>
      </c>
      <c r="C381" t="s">
        <v>12118</v>
      </c>
      <c r="D381" s="1" t="s">
        <v>3956</v>
      </c>
      <c r="E381" s="1" t="s">
        <v>3958</v>
      </c>
      <c r="F381" s="1">
        <v>2023</v>
      </c>
      <c r="G381" s="1" t="s">
        <v>3959</v>
      </c>
      <c r="H381" s="1" t="str">
        <f>HYPERLINK("http://dx.doi.org/10.1016/j.clsr.2023.105864","http://dx.doi.org/10.1016/j.clsr.2023.105864")</f>
        <v>http://dx.doi.org/10.1016/j.clsr.2023.105864</v>
      </c>
      <c r="I381" s="1" t="s">
        <v>3962</v>
      </c>
      <c r="J381" s="1" t="s">
        <v>3960</v>
      </c>
      <c r="K381" s="1" t="s">
        <v>42</v>
      </c>
      <c r="L381" s="1" t="s">
        <v>56</v>
      </c>
    </row>
    <row r="382" spans="1:72" x14ac:dyDescent="0.3">
      <c r="A382" s="8">
        <v>381</v>
      </c>
      <c r="B382">
        <v>109</v>
      </c>
      <c r="C382" t="s">
        <v>12204</v>
      </c>
      <c r="D382" t="s">
        <v>12408</v>
      </c>
      <c r="E382" t="s">
        <v>1187</v>
      </c>
      <c r="F382">
        <v>2023</v>
      </c>
      <c r="G382" t="s">
        <v>1188</v>
      </c>
      <c r="H382" t="s">
        <v>1189</v>
      </c>
      <c r="I382" t="s">
        <v>1192</v>
      </c>
      <c r="J382" t="s">
        <v>1193</v>
      </c>
      <c r="K382" t="s">
        <v>42</v>
      </c>
      <c r="L382" t="s">
        <v>56</v>
      </c>
      <c r="BB382" s="6"/>
      <c r="BC382" s="6"/>
      <c r="BD382" s="6"/>
      <c r="BE382" s="6"/>
      <c r="BF382" s="6"/>
      <c r="BG382" s="6"/>
      <c r="BH382" s="6"/>
      <c r="BI382" s="6"/>
      <c r="BJ382" s="6"/>
      <c r="BK382" s="6"/>
      <c r="BL382" s="6"/>
      <c r="BM382" s="6"/>
      <c r="BN382" s="6"/>
      <c r="BO382" s="6"/>
      <c r="BP382" s="6"/>
      <c r="BQ382" s="6"/>
      <c r="BR382" s="6"/>
      <c r="BS382" s="6"/>
      <c r="BT382" s="6"/>
    </row>
    <row r="383" spans="1:72" x14ac:dyDescent="0.3">
      <c r="A383" s="8">
        <v>382</v>
      </c>
      <c r="B383" s="1">
        <v>342</v>
      </c>
      <c r="C383" t="s">
        <v>12118</v>
      </c>
      <c r="D383" s="1" t="s">
        <v>4878</v>
      </c>
      <c r="E383" s="1" t="s">
        <v>1187</v>
      </c>
      <c r="F383" s="1">
        <v>2023</v>
      </c>
      <c r="G383" s="1" t="s">
        <v>4880</v>
      </c>
      <c r="H383" s="1" t="str">
        <f>HYPERLINK("http://dx.doi.org/10.3389/fcomm.2023.1129082","http://dx.doi.org/10.3389/fcomm.2023.1129082")</f>
        <v>http://dx.doi.org/10.3389/fcomm.2023.1129082</v>
      </c>
      <c r="I383" s="1" t="s">
        <v>4883</v>
      </c>
      <c r="J383" s="1" t="s">
        <v>4881</v>
      </c>
      <c r="K383" s="1" t="s">
        <v>42</v>
      </c>
      <c r="L383" s="1" t="s">
        <v>56</v>
      </c>
    </row>
    <row r="384" spans="1:72" x14ac:dyDescent="0.3">
      <c r="A384" s="8">
        <v>383</v>
      </c>
      <c r="B384">
        <v>110</v>
      </c>
      <c r="C384" t="s">
        <v>12204</v>
      </c>
      <c r="D384" t="s">
        <v>12725</v>
      </c>
      <c r="E384" t="s">
        <v>806</v>
      </c>
      <c r="F384">
        <v>2023</v>
      </c>
      <c r="G384" t="s">
        <v>807</v>
      </c>
      <c r="H384" t="s">
        <v>809</v>
      </c>
      <c r="I384" t="s">
        <v>812</v>
      </c>
      <c r="J384" t="s">
        <v>813</v>
      </c>
      <c r="K384" t="s">
        <v>42</v>
      </c>
      <c r="L384" t="s">
        <v>12252</v>
      </c>
    </row>
    <row r="385" spans="1:12" x14ac:dyDescent="0.3">
      <c r="A385" s="8">
        <v>384</v>
      </c>
      <c r="B385" s="1">
        <v>343</v>
      </c>
      <c r="C385" t="s">
        <v>12118</v>
      </c>
      <c r="D385" s="1" t="s">
        <v>11122</v>
      </c>
      <c r="E385" s="1" t="s">
        <v>11124</v>
      </c>
      <c r="F385" s="1">
        <v>2019</v>
      </c>
      <c r="G385" s="1" t="s">
        <v>11125</v>
      </c>
      <c r="H385" s="1" t="str">
        <f>HYPERLINK("http://dx.doi.org/10.1017/S2047102518000298","http://dx.doi.org/10.1017/S2047102518000298")</f>
        <v>http://dx.doi.org/10.1017/S2047102518000298</v>
      </c>
      <c r="I385" s="1" t="s">
        <v>11128</v>
      </c>
      <c r="J385" s="1" t="s">
        <v>11126</v>
      </c>
      <c r="K385" s="1" t="s">
        <v>42</v>
      </c>
      <c r="L385" s="1" t="s">
        <v>56</v>
      </c>
    </row>
    <row r="386" spans="1:12" x14ac:dyDescent="0.3">
      <c r="A386" s="8">
        <v>385</v>
      </c>
      <c r="B386" s="1">
        <v>344</v>
      </c>
      <c r="C386" t="s">
        <v>12118</v>
      </c>
      <c r="D386" s="1" t="s">
        <v>11144</v>
      </c>
      <c r="E386" s="1" t="s">
        <v>11146</v>
      </c>
      <c r="F386" s="1">
        <v>2019</v>
      </c>
      <c r="G386" s="1" t="s">
        <v>11147</v>
      </c>
      <c r="H386" s="1" t="str">
        <f>HYPERLINK("http://dx.doi.org/10.1007/s10973-019-08079-x","http://dx.doi.org/10.1007/s10973-019-08079-x")</f>
        <v>http://dx.doi.org/10.1007/s10973-019-08079-x</v>
      </c>
      <c r="I386" s="1" t="s">
        <v>11150</v>
      </c>
      <c r="J386" s="1" t="s">
        <v>11148</v>
      </c>
      <c r="K386" s="1" t="s">
        <v>42</v>
      </c>
      <c r="L386" s="1" t="s">
        <v>56</v>
      </c>
    </row>
    <row r="387" spans="1:12" x14ac:dyDescent="0.3">
      <c r="A387" s="8">
        <v>386</v>
      </c>
      <c r="B387" s="1">
        <v>345</v>
      </c>
      <c r="C387" t="s">
        <v>12118</v>
      </c>
      <c r="D387" s="1" t="s">
        <v>2156</v>
      </c>
      <c r="E387" s="1" t="s">
        <v>2158</v>
      </c>
      <c r="F387" s="1">
        <v>2023</v>
      </c>
      <c r="G387" s="1" t="s">
        <v>2159</v>
      </c>
      <c r="H387" s="1" t="str">
        <f>HYPERLINK("http://dx.doi.org/10.1038/s41746-023-00952-2","http://dx.doi.org/10.1038/s41746-023-00952-2")</f>
        <v>http://dx.doi.org/10.1038/s41746-023-00952-2</v>
      </c>
      <c r="I387" s="1" t="s">
        <v>2161</v>
      </c>
      <c r="J387" s="1" t="s">
        <v>1507</v>
      </c>
      <c r="K387" s="1" t="s">
        <v>42</v>
      </c>
      <c r="L387" s="1" t="s">
        <v>56</v>
      </c>
    </row>
    <row r="388" spans="1:12" x14ac:dyDescent="0.3">
      <c r="A388" s="8">
        <v>387</v>
      </c>
      <c r="B388" s="1">
        <v>346</v>
      </c>
      <c r="C388" t="s">
        <v>12118</v>
      </c>
      <c r="D388" s="1" t="s">
        <v>10349</v>
      </c>
      <c r="E388" s="1" t="s">
        <v>10351</v>
      </c>
      <c r="F388" s="1">
        <v>2020</v>
      </c>
      <c r="G388" s="1" t="s">
        <v>7982</v>
      </c>
      <c r="H388" s="1" t="str">
        <f>HYPERLINK("http://dx.doi.org/10.1093/jxb/erz409","http://dx.doi.org/10.1093/jxb/erz409")</f>
        <v>http://dx.doi.org/10.1093/jxb/erz409</v>
      </c>
      <c r="I388" s="1" t="s">
        <v>10354</v>
      </c>
      <c r="J388" s="1" t="s">
        <v>10352</v>
      </c>
      <c r="K388" s="1" t="s">
        <v>42</v>
      </c>
      <c r="L388" s="1" t="s">
        <v>56</v>
      </c>
    </row>
    <row r="389" spans="1:12" x14ac:dyDescent="0.3">
      <c r="A389" s="8">
        <v>388</v>
      </c>
      <c r="B389" s="1">
        <v>347</v>
      </c>
      <c r="C389" t="s">
        <v>12118</v>
      </c>
      <c r="D389" s="1" t="s">
        <v>9245</v>
      </c>
      <c r="E389" s="1" t="s">
        <v>9247</v>
      </c>
      <c r="F389" s="1">
        <v>2021</v>
      </c>
      <c r="G389" s="1" t="s">
        <v>9248</v>
      </c>
      <c r="H389" s="1" t="s">
        <v>1507</v>
      </c>
      <c r="I389" s="1" t="s">
        <v>9250</v>
      </c>
      <c r="J389" s="1" t="s">
        <v>1507</v>
      </c>
      <c r="K389" s="1" t="s">
        <v>42</v>
      </c>
      <c r="L389" s="1" t="s">
        <v>56</v>
      </c>
    </row>
    <row r="390" spans="1:12" x14ac:dyDescent="0.3">
      <c r="A390" s="8">
        <v>389</v>
      </c>
      <c r="B390">
        <v>111</v>
      </c>
      <c r="C390" t="s">
        <v>12204</v>
      </c>
      <c r="D390" t="s">
        <v>12530</v>
      </c>
      <c r="E390" t="s">
        <v>1025</v>
      </c>
      <c r="F390">
        <v>2023</v>
      </c>
      <c r="G390" t="s">
        <v>1026</v>
      </c>
      <c r="H390" t="s">
        <v>1027</v>
      </c>
      <c r="I390" t="s">
        <v>12527</v>
      </c>
      <c r="J390" t="s">
        <v>1030</v>
      </c>
      <c r="K390" t="s">
        <v>42</v>
      </c>
      <c r="L390" t="s">
        <v>12252</v>
      </c>
    </row>
    <row r="391" spans="1:12" x14ac:dyDescent="0.3">
      <c r="A391" s="8">
        <v>390</v>
      </c>
      <c r="B391" s="1">
        <v>349</v>
      </c>
      <c r="C391" t="s">
        <v>12118</v>
      </c>
      <c r="D391" s="1" t="s">
        <v>10547</v>
      </c>
      <c r="E391" s="1" t="s">
        <v>10549</v>
      </c>
      <c r="F391" s="1">
        <v>2019</v>
      </c>
      <c r="G391" s="1" t="s">
        <v>10550</v>
      </c>
      <c r="H391" s="1" t="str">
        <f>HYPERLINK("http://dx.doi.org/10.1007/s00265-019-2766-9","http://dx.doi.org/10.1007/s00265-019-2766-9")</f>
        <v>http://dx.doi.org/10.1007/s00265-019-2766-9</v>
      </c>
      <c r="I391" s="1" t="s">
        <v>10553</v>
      </c>
      <c r="J391" s="1" t="s">
        <v>10551</v>
      </c>
      <c r="K391" s="1" t="s">
        <v>42</v>
      </c>
      <c r="L391" s="1" t="s">
        <v>56</v>
      </c>
    </row>
    <row r="392" spans="1:12" x14ac:dyDescent="0.3">
      <c r="A392" s="8">
        <v>391</v>
      </c>
      <c r="B392" s="1">
        <v>350</v>
      </c>
      <c r="C392" t="s">
        <v>12118</v>
      </c>
      <c r="D392" s="1" t="s">
        <v>9775</v>
      </c>
      <c r="E392" s="1" t="s">
        <v>9777</v>
      </c>
      <c r="F392" s="1">
        <v>2020</v>
      </c>
      <c r="G392" s="1" t="s">
        <v>9778</v>
      </c>
      <c r="H392" s="1" t="str">
        <f>HYPERLINK("http://dx.doi.org/10.1016/j.celrep.2020.107725","http://dx.doi.org/10.1016/j.celrep.2020.107725")</f>
        <v>http://dx.doi.org/10.1016/j.celrep.2020.107725</v>
      </c>
      <c r="I392" s="1" t="s">
        <v>9780</v>
      </c>
      <c r="J392" s="1" t="s">
        <v>1507</v>
      </c>
      <c r="K392" s="1" t="s">
        <v>42</v>
      </c>
      <c r="L392" s="1" t="s">
        <v>56</v>
      </c>
    </row>
    <row r="393" spans="1:12" x14ac:dyDescent="0.3">
      <c r="A393" s="8">
        <v>392</v>
      </c>
      <c r="B393" s="1">
        <v>351</v>
      </c>
      <c r="C393" t="s">
        <v>12118</v>
      </c>
      <c r="D393" s="1" t="s">
        <v>2251</v>
      </c>
      <c r="E393" s="1" t="s">
        <v>2253</v>
      </c>
      <c r="F393" s="1">
        <v>2023</v>
      </c>
      <c r="G393" s="1" t="s">
        <v>2254</v>
      </c>
      <c r="H393" s="1" t="str">
        <f>HYPERLINK("http://dx.doi.org/10.3390/fi15120375","http://dx.doi.org/10.3390/fi15120375")</f>
        <v>http://dx.doi.org/10.3390/fi15120375</v>
      </c>
      <c r="I393" s="1" t="s">
        <v>2257</v>
      </c>
      <c r="J393" s="1" t="s">
        <v>2255</v>
      </c>
      <c r="K393" s="1" t="s">
        <v>42</v>
      </c>
      <c r="L393" s="1" t="s">
        <v>56</v>
      </c>
    </row>
    <row r="394" spans="1:12" x14ac:dyDescent="0.3">
      <c r="A394" s="8">
        <v>393</v>
      </c>
      <c r="B394" s="1">
        <v>352</v>
      </c>
      <c r="C394" t="s">
        <v>12118</v>
      </c>
      <c r="D394" s="1" t="s">
        <v>6145</v>
      </c>
      <c r="E394" s="1" t="s">
        <v>6147</v>
      </c>
      <c r="F394" s="1">
        <v>2023</v>
      </c>
      <c r="G394" s="1" t="s">
        <v>6148</v>
      </c>
      <c r="H394" s="1" t="str">
        <f>HYPERLINK("http://dx.doi.org/10.1145/3603269.3610856","http://dx.doi.org/10.1145/3603269.3610856")</f>
        <v>http://dx.doi.org/10.1145/3603269.3610856</v>
      </c>
      <c r="I394" s="1" t="s">
        <v>6154</v>
      </c>
      <c r="J394" s="1" t="s">
        <v>6153</v>
      </c>
      <c r="K394" s="1" t="s">
        <v>42</v>
      </c>
      <c r="L394" s="1" t="s">
        <v>5552</v>
      </c>
    </row>
    <row r="395" spans="1:12" x14ac:dyDescent="0.3">
      <c r="A395" s="8">
        <v>394</v>
      </c>
      <c r="B395" s="1">
        <v>353</v>
      </c>
      <c r="C395" t="s">
        <v>12118</v>
      </c>
      <c r="D395" s="1" t="s">
        <v>7383</v>
      </c>
      <c r="E395" s="1" t="s">
        <v>7385</v>
      </c>
      <c r="F395" s="1">
        <v>2022</v>
      </c>
      <c r="G395" s="1" t="s">
        <v>7386</v>
      </c>
      <c r="H395" s="1" t="str">
        <f>HYPERLINK("http://dx.doi.org/10.1016/j.stemcr.2022.01.015","http://dx.doi.org/10.1016/j.stemcr.2022.01.015")</f>
        <v>http://dx.doi.org/10.1016/j.stemcr.2022.01.015</v>
      </c>
      <c r="I395" s="1" t="s">
        <v>7388</v>
      </c>
      <c r="J395" s="1" t="s">
        <v>1507</v>
      </c>
      <c r="K395" s="1" t="s">
        <v>42</v>
      </c>
      <c r="L395" s="1" t="s">
        <v>56</v>
      </c>
    </row>
    <row r="396" spans="1:12" x14ac:dyDescent="0.3">
      <c r="A396" s="8">
        <v>395</v>
      </c>
      <c r="B396" s="1">
        <v>354</v>
      </c>
      <c r="C396" t="s">
        <v>12118</v>
      </c>
      <c r="D396" s="1" t="s">
        <v>15185</v>
      </c>
      <c r="E396" s="1" t="s">
        <v>15188</v>
      </c>
      <c r="F396" s="1">
        <v>2023</v>
      </c>
      <c r="G396" s="1" t="s">
        <v>15189</v>
      </c>
      <c r="H396" s="1" t="str">
        <f>HYPERLINK("http://dx.doi.org/10.1145/3639233.3639353","http://dx.doi.org/10.1145/3639233.3639353")</f>
        <v>http://dx.doi.org/10.1145/3639233.3639353</v>
      </c>
      <c r="I396" s="1" t="s">
        <v>15194</v>
      </c>
      <c r="J396" s="1" t="s">
        <v>15193</v>
      </c>
      <c r="K396" s="1" t="s">
        <v>42</v>
      </c>
      <c r="L396" s="1" t="s">
        <v>5552</v>
      </c>
    </row>
    <row r="397" spans="1:12" x14ac:dyDescent="0.3">
      <c r="A397" s="8">
        <v>396</v>
      </c>
      <c r="B397" s="1">
        <v>355</v>
      </c>
      <c r="C397" t="s">
        <v>12118</v>
      </c>
      <c r="D397" s="1" t="s">
        <v>5429</v>
      </c>
      <c r="E397" s="1" t="s">
        <v>5431</v>
      </c>
      <c r="F397" s="1">
        <v>2023</v>
      </c>
      <c r="G397" s="1" t="s">
        <v>5432</v>
      </c>
      <c r="H397" s="1" t="str">
        <f>HYPERLINK("http://dx.doi.org/10.1038/s41587-022-01618-2","http://dx.doi.org/10.1038/s41587-022-01618-2")</f>
        <v>http://dx.doi.org/10.1038/s41587-022-01618-2</v>
      </c>
      <c r="I397" s="1" t="s">
        <v>5434</v>
      </c>
      <c r="J397" s="1" t="s">
        <v>1507</v>
      </c>
      <c r="K397" s="1" t="s">
        <v>42</v>
      </c>
      <c r="L397" s="1" t="s">
        <v>56</v>
      </c>
    </row>
    <row r="398" spans="1:12" x14ac:dyDescent="0.3">
      <c r="A398" s="8">
        <v>397</v>
      </c>
      <c r="B398" s="1">
        <v>356</v>
      </c>
      <c r="C398" t="s">
        <v>12118</v>
      </c>
      <c r="D398" s="1" t="s">
        <v>2268</v>
      </c>
      <c r="E398" s="1" t="s">
        <v>2270</v>
      </c>
      <c r="F398" s="1">
        <v>2023</v>
      </c>
      <c r="G398" s="1" t="s">
        <v>2200</v>
      </c>
      <c r="H398" s="1" t="str">
        <f>HYPERLINK("http://dx.doi.org/10.3390/informatics10040084","http://dx.doi.org/10.3390/informatics10040084")</f>
        <v>http://dx.doi.org/10.3390/informatics10040084</v>
      </c>
      <c r="I398" s="1" t="s">
        <v>2273</v>
      </c>
      <c r="J398" s="1" t="s">
        <v>2271</v>
      </c>
      <c r="K398" s="1" t="s">
        <v>42</v>
      </c>
      <c r="L398" s="1" t="s">
        <v>56</v>
      </c>
    </row>
    <row r="399" spans="1:12" x14ac:dyDescent="0.3">
      <c r="A399" s="8">
        <v>398</v>
      </c>
      <c r="B399" s="1">
        <v>357</v>
      </c>
      <c r="C399" t="s">
        <v>12118</v>
      </c>
      <c r="D399" s="1" t="s">
        <v>4487</v>
      </c>
      <c r="E399" s="1" t="s">
        <v>4489</v>
      </c>
      <c r="F399" s="1">
        <v>2023</v>
      </c>
      <c r="G399" s="1" t="s">
        <v>4490</v>
      </c>
      <c r="H399" s="1" t="str">
        <f>HYPERLINK("http://dx.doi.org/10.1016/j.hal.2023.102478","http://dx.doi.org/10.1016/j.hal.2023.102478")</f>
        <v>http://dx.doi.org/10.1016/j.hal.2023.102478</v>
      </c>
      <c r="I399" s="1" t="s">
        <v>4493</v>
      </c>
      <c r="J399" s="1" t="s">
        <v>4491</v>
      </c>
      <c r="K399" s="1" t="s">
        <v>42</v>
      </c>
      <c r="L399" s="1" t="s">
        <v>56</v>
      </c>
    </row>
    <row r="400" spans="1:12" x14ac:dyDescent="0.3">
      <c r="A400" s="8">
        <v>399</v>
      </c>
      <c r="B400">
        <v>112</v>
      </c>
      <c r="C400" t="s">
        <v>12204</v>
      </c>
      <c r="D400" t="s">
        <v>12709</v>
      </c>
      <c r="E400" t="s">
        <v>849</v>
      </c>
      <c r="F400">
        <v>2023</v>
      </c>
      <c r="G400" t="s">
        <v>127</v>
      </c>
      <c r="H400" t="s">
        <v>851</v>
      </c>
      <c r="I400" t="s">
        <v>854</v>
      </c>
      <c r="J400" t="s">
        <v>855</v>
      </c>
      <c r="K400" t="s">
        <v>42</v>
      </c>
      <c r="L400" t="s">
        <v>12252</v>
      </c>
    </row>
    <row r="401" spans="1:12" x14ac:dyDescent="0.3">
      <c r="A401" s="8">
        <v>400</v>
      </c>
      <c r="B401" s="1">
        <v>358</v>
      </c>
      <c r="C401" t="s">
        <v>12118</v>
      </c>
      <c r="D401" s="1" t="s">
        <v>15205</v>
      </c>
      <c r="E401" s="1" t="s">
        <v>15208</v>
      </c>
      <c r="F401" s="1">
        <v>2023</v>
      </c>
      <c r="G401" s="1" t="s">
        <v>15209</v>
      </c>
      <c r="H401" s="1" t="str">
        <f>HYPERLINK("http://dx.doi.org/10.1007/978-3-031-48060-7_14","http://dx.doi.org/10.1007/978-3-031-48060-7_14")</f>
        <v>http://dx.doi.org/10.1007/978-3-031-48060-7_14</v>
      </c>
      <c r="I401" s="1" t="s">
        <v>15214</v>
      </c>
      <c r="J401" s="1" t="s">
        <v>15213</v>
      </c>
      <c r="K401" s="1" t="s">
        <v>42</v>
      </c>
      <c r="L401" s="1" t="s">
        <v>5552</v>
      </c>
    </row>
    <row r="402" spans="1:12" x14ac:dyDescent="0.3">
      <c r="A402" s="8">
        <v>401</v>
      </c>
      <c r="B402" s="1">
        <v>359</v>
      </c>
      <c r="C402" t="s">
        <v>12118</v>
      </c>
      <c r="D402" s="1" t="s">
        <v>12015</v>
      </c>
      <c r="E402" s="1" t="s">
        <v>12017</v>
      </c>
      <c r="F402" s="1">
        <v>2018</v>
      </c>
      <c r="G402" s="1" t="s">
        <v>12018</v>
      </c>
      <c r="H402" s="1" t="str">
        <f>HYPERLINK("http://dx.doi.org/10.1109/SIBGRAPI.2018.00061","http://dx.doi.org/10.1109/SIBGRAPI.2018.00061")</f>
        <v>http://dx.doi.org/10.1109/SIBGRAPI.2018.00061</v>
      </c>
      <c r="I402" s="1" t="s">
        <v>12024</v>
      </c>
      <c r="J402" s="1" t="s">
        <v>1507</v>
      </c>
      <c r="K402" s="1" t="s">
        <v>42</v>
      </c>
      <c r="L402" s="1" t="s">
        <v>5552</v>
      </c>
    </row>
    <row r="403" spans="1:12" x14ac:dyDescent="0.3">
      <c r="A403" s="8">
        <v>402</v>
      </c>
      <c r="B403" s="1">
        <v>360</v>
      </c>
      <c r="C403" t="s">
        <v>12118</v>
      </c>
      <c r="D403" s="1" t="s">
        <v>4836</v>
      </c>
      <c r="E403" s="1" t="s">
        <v>4838</v>
      </c>
      <c r="F403" s="1">
        <v>2023</v>
      </c>
      <c r="G403" s="1" t="s">
        <v>1657</v>
      </c>
      <c r="H403" s="1" t="str">
        <f>HYPERLINK("http://dx.doi.org/10.2196/46924","http://dx.doi.org/10.2196/46924")</f>
        <v>http://dx.doi.org/10.2196/46924</v>
      </c>
      <c r="I403" s="1" t="s">
        <v>4840</v>
      </c>
      <c r="J403" s="1" t="s">
        <v>4839</v>
      </c>
      <c r="K403" s="1" t="s">
        <v>42</v>
      </c>
      <c r="L403" s="1" t="s">
        <v>56</v>
      </c>
    </row>
    <row r="404" spans="1:12" x14ac:dyDescent="0.3">
      <c r="A404" s="8">
        <v>403</v>
      </c>
      <c r="B404" s="1">
        <v>361</v>
      </c>
      <c r="C404" t="s">
        <v>12118</v>
      </c>
      <c r="D404" s="1" t="s">
        <v>6167</v>
      </c>
      <c r="E404" s="1" t="s">
        <v>6169</v>
      </c>
      <c r="F404" s="1">
        <v>2023</v>
      </c>
      <c r="G404" s="1" t="s">
        <v>6170</v>
      </c>
      <c r="H404" s="1" t="str">
        <f>HYPERLINK("http://dx.doi.org/10.1145/3626111.3628183","http://dx.doi.org/10.1145/3626111.3628183")</f>
        <v>http://dx.doi.org/10.1145/3626111.3628183</v>
      </c>
      <c r="I404" s="1" t="s">
        <v>6177</v>
      </c>
      <c r="J404" s="1" t="s">
        <v>6175</v>
      </c>
      <c r="K404" s="1" t="s">
        <v>42</v>
      </c>
      <c r="L404" s="1" t="s">
        <v>5552</v>
      </c>
    </row>
    <row r="405" spans="1:12" x14ac:dyDescent="0.3">
      <c r="A405" s="8">
        <v>404</v>
      </c>
      <c r="B405" s="1">
        <v>363</v>
      </c>
      <c r="C405" t="s">
        <v>12118</v>
      </c>
      <c r="D405" s="1" t="s">
        <v>10625</v>
      </c>
      <c r="E405" s="1" t="s">
        <v>10627</v>
      </c>
      <c r="F405" s="1">
        <v>2019</v>
      </c>
      <c r="G405" s="1" t="s">
        <v>10628</v>
      </c>
      <c r="H405" s="1" t="str">
        <f>HYPERLINK("http://dx.doi.org/10.1016/j.nbd.2019.104506","http://dx.doi.org/10.1016/j.nbd.2019.104506")</f>
        <v>http://dx.doi.org/10.1016/j.nbd.2019.104506</v>
      </c>
      <c r="I405" s="1" t="s">
        <v>10631</v>
      </c>
      <c r="J405" s="1" t="s">
        <v>10629</v>
      </c>
      <c r="K405" s="1" t="s">
        <v>42</v>
      </c>
      <c r="L405" s="1" t="s">
        <v>56</v>
      </c>
    </row>
    <row r="406" spans="1:12" x14ac:dyDescent="0.3">
      <c r="A406" s="8">
        <v>405</v>
      </c>
      <c r="B406" s="1">
        <v>364</v>
      </c>
      <c r="C406" t="s">
        <v>12118</v>
      </c>
      <c r="D406" s="1" t="s">
        <v>11634</v>
      </c>
      <c r="E406" s="1" t="s">
        <v>11636</v>
      </c>
      <c r="F406" s="1">
        <v>2018</v>
      </c>
      <c r="G406" s="1" t="s">
        <v>11637</v>
      </c>
      <c r="H406" s="1" t="str">
        <f>HYPERLINK("http://dx.doi.org/10.1016/j.cellimm.2018.01.018","http://dx.doi.org/10.1016/j.cellimm.2018.01.018")</f>
        <v>http://dx.doi.org/10.1016/j.cellimm.2018.01.018</v>
      </c>
      <c r="I406" s="1" t="s">
        <v>11640</v>
      </c>
      <c r="J406" s="1" t="s">
        <v>11638</v>
      </c>
      <c r="K406" s="1" t="s">
        <v>42</v>
      </c>
      <c r="L406" s="1" t="s">
        <v>56</v>
      </c>
    </row>
    <row r="407" spans="1:12" x14ac:dyDescent="0.3">
      <c r="A407" s="8">
        <v>406</v>
      </c>
      <c r="B407" s="1">
        <v>365</v>
      </c>
      <c r="C407" t="s">
        <v>12118</v>
      </c>
      <c r="D407" s="1" t="s">
        <v>9328</v>
      </c>
      <c r="E407" s="1" t="s">
        <v>9330</v>
      </c>
      <c r="F407" s="1">
        <v>2020</v>
      </c>
      <c r="G407" s="1" t="s">
        <v>3251</v>
      </c>
      <c r="H407" s="1" t="str">
        <f>HYPERLINK("http://dx.doi.org/10.1073/pnas.2010738117","http://dx.doi.org/10.1073/pnas.2010738117")</f>
        <v>http://dx.doi.org/10.1073/pnas.2010738117</v>
      </c>
      <c r="I407" s="1" t="s">
        <v>9333</v>
      </c>
      <c r="J407" s="1" t="s">
        <v>9331</v>
      </c>
      <c r="K407" s="1" t="s">
        <v>42</v>
      </c>
      <c r="L407" s="1" t="s">
        <v>56</v>
      </c>
    </row>
    <row r="408" spans="1:12" x14ac:dyDescent="0.3">
      <c r="A408" s="8">
        <v>407</v>
      </c>
      <c r="B408" s="1">
        <v>366</v>
      </c>
      <c r="C408" t="s">
        <v>12118</v>
      </c>
      <c r="D408" s="1" t="s">
        <v>3732</v>
      </c>
      <c r="E408" s="1" t="s">
        <v>3734</v>
      </c>
      <c r="F408" s="1">
        <v>2023</v>
      </c>
      <c r="G408" s="1" t="s">
        <v>3735</v>
      </c>
      <c r="H408" s="1" t="str">
        <f>HYPERLINK("http://dx.doi.org/10.1002/tea.21903","http://dx.doi.org/10.1002/tea.21903")</f>
        <v>http://dx.doi.org/10.1002/tea.21903</v>
      </c>
      <c r="I408" s="1" t="s">
        <v>3738</v>
      </c>
      <c r="J408" s="1" t="s">
        <v>3736</v>
      </c>
      <c r="K408" s="1" t="s">
        <v>42</v>
      </c>
      <c r="L408" s="1" t="s">
        <v>1509</v>
      </c>
    </row>
    <row r="409" spans="1:12" x14ac:dyDescent="0.3">
      <c r="A409" s="8">
        <v>408</v>
      </c>
      <c r="B409" s="1">
        <v>367</v>
      </c>
      <c r="C409" t="s">
        <v>12118</v>
      </c>
      <c r="D409" s="1" t="s">
        <v>7258</v>
      </c>
      <c r="E409" s="1" t="s">
        <v>7260</v>
      </c>
      <c r="F409" s="1">
        <v>2022</v>
      </c>
      <c r="G409" s="1" t="s">
        <v>7261</v>
      </c>
      <c r="H409" s="1" t="str">
        <f>HYPERLINK("http://dx.doi.org/10.1016/j.ceca.2022.102582","http://dx.doi.org/10.1016/j.ceca.2022.102582")</f>
        <v>http://dx.doi.org/10.1016/j.ceca.2022.102582</v>
      </c>
      <c r="I409" s="1" t="s">
        <v>7263</v>
      </c>
      <c r="J409" s="1" t="s">
        <v>1507</v>
      </c>
      <c r="K409" s="1" t="s">
        <v>42</v>
      </c>
      <c r="L409" s="1" t="s">
        <v>56</v>
      </c>
    </row>
    <row r="410" spans="1:12" x14ac:dyDescent="0.3">
      <c r="A410" s="8">
        <v>409</v>
      </c>
      <c r="B410" s="1">
        <v>368</v>
      </c>
      <c r="C410" t="s">
        <v>12118</v>
      </c>
      <c r="D410" s="1" t="s">
        <v>10647</v>
      </c>
      <c r="E410" s="1" t="s">
        <v>10649</v>
      </c>
      <c r="F410" s="1">
        <v>2019</v>
      </c>
      <c r="G410" s="1" t="s">
        <v>10187</v>
      </c>
      <c r="H410" s="1" t="str">
        <f>HYPERLINK("http://dx.doi.org/10.1021/acs.jpcc.9b06180","http://dx.doi.org/10.1021/acs.jpcc.9b06180")</f>
        <v>http://dx.doi.org/10.1021/acs.jpcc.9b06180</v>
      </c>
      <c r="I410" s="1" t="s">
        <v>10651</v>
      </c>
      <c r="J410" s="1" t="s">
        <v>1507</v>
      </c>
      <c r="K410" s="1" t="s">
        <v>42</v>
      </c>
      <c r="L410" s="1" t="s">
        <v>56</v>
      </c>
    </row>
    <row r="411" spans="1:12" x14ac:dyDescent="0.3">
      <c r="A411" s="8">
        <v>410</v>
      </c>
      <c r="B411" s="1">
        <v>369</v>
      </c>
      <c r="C411" t="s">
        <v>12118</v>
      </c>
      <c r="D411" s="1" t="s">
        <v>8251</v>
      </c>
      <c r="E411" s="1" t="s">
        <v>8253</v>
      </c>
      <c r="F411" s="1">
        <v>2021</v>
      </c>
      <c r="G411" s="1" t="s">
        <v>8254</v>
      </c>
      <c r="H411" s="1" t="str">
        <f>HYPERLINK("http://dx.doi.org/10.1016/j.bmcl.2021.128313","http://dx.doi.org/10.1016/j.bmcl.2021.128313")</f>
        <v>http://dx.doi.org/10.1016/j.bmcl.2021.128313</v>
      </c>
      <c r="I411" s="1" t="s">
        <v>8257</v>
      </c>
      <c r="J411" s="1" t="s">
        <v>8255</v>
      </c>
      <c r="K411" s="1" t="s">
        <v>42</v>
      </c>
      <c r="L411" s="1" t="s">
        <v>56</v>
      </c>
    </row>
    <row r="412" spans="1:12" x14ac:dyDescent="0.3">
      <c r="A412" s="8">
        <v>411</v>
      </c>
      <c r="B412" s="1">
        <v>370</v>
      </c>
      <c r="C412" t="s">
        <v>12118</v>
      </c>
      <c r="D412" s="1" t="s">
        <v>4853</v>
      </c>
      <c r="E412" s="1" t="s">
        <v>4855</v>
      </c>
      <c r="F412" s="1">
        <v>2023</v>
      </c>
      <c r="G412" s="1" t="s">
        <v>4856</v>
      </c>
      <c r="H412" s="1" t="str">
        <f>HYPERLINK("http://dx.doi.org/10.1037/ebs0000328","http://dx.doi.org/10.1037/ebs0000328")</f>
        <v>http://dx.doi.org/10.1037/ebs0000328</v>
      </c>
      <c r="I412" s="1" t="s">
        <v>4859</v>
      </c>
      <c r="J412" s="1" t="s">
        <v>4857</v>
      </c>
      <c r="K412" s="1" t="s">
        <v>42</v>
      </c>
      <c r="L412" s="1" t="s">
        <v>1509</v>
      </c>
    </row>
    <row r="413" spans="1:12" x14ac:dyDescent="0.3">
      <c r="A413" s="8">
        <v>412</v>
      </c>
      <c r="B413" s="1">
        <v>371</v>
      </c>
      <c r="C413" t="s">
        <v>12118</v>
      </c>
      <c r="D413" s="1" t="s">
        <v>9795</v>
      </c>
      <c r="E413" s="1" t="s">
        <v>9797</v>
      </c>
      <c r="F413" s="1">
        <v>2020</v>
      </c>
      <c r="G413" s="1" t="s">
        <v>9798</v>
      </c>
      <c r="H413" s="1" t="str">
        <f>HYPERLINK("http://dx.doi.org/10.1097/SLA.0000000000003084","http://dx.doi.org/10.1097/SLA.0000000000003084")</f>
        <v>http://dx.doi.org/10.1097/SLA.0000000000003084</v>
      </c>
      <c r="I413" s="1" t="s">
        <v>9800</v>
      </c>
      <c r="J413" s="1" t="s">
        <v>9799</v>
      </c>
      <c r="K413" s="1" t="s">
        <v>42</v>
      </c>
      <c r="L413" s="1" t="s">
        <v>56</v>
      </c>
    </row>
    <row r="414" spans="1:12" x14ac:dyDescent="0.3">
      <c r="A414" s="8">
        <v>413</v>
      </c>
      <c r="B414" s="1">
        <v>372</v>
      </c>
      <c r="C414" t="s">
        <v>12118</v>
      </c>
      <c r="D414" s="1" t="s">
        <v>12039</v>
      </c>
      <c r="E414" s="1" t="s">
        <v>12041</v>
      </c>
      <c r="F414" s="1">
        <v>2018</v>
      </c>
      <c r="G414" s="1" t="s">
        <v>11888</v>
      </c>
      <c r="H414" s="1" t="s">
        <v>1507</v>
      </c>
      <c r="I414" s="1" t="s">
        <v>12043</v>
      </c>
      <c r="J414" s="1" t="s">
        <v>1507</v>
      </c>
      <c r="K414" s="1" t="s">
        <v>42</v>
      </c>
      <c r="L414" s="1" t="s">
        <v>56</v>
      </c>
    </row>
    <row r="415" spans="1:12" x14ac:dyDescent="0.3">
      <c r="A415" s="8">
        <v>414</v>
      </c>
      <c r="B415" s="1">
        <v>373</v>
      </c>
      <c r="C415" t="s">
        <v>12118</v>
      </c>
      <c r="D415" s="1" t="s">
        <v>11716</v>
      </c>
      <c r="E415" s="1" t="s">
        <v>11718</v>
      </c>
      <c r="F415" s="1">
        <v>2018</v>
      </c>
      <c r="G415" s="1" t="s">
        <v>11719</v>
      </c>
      <c r="H415" s="1" t="str">
        <f>HYPERLINK("http://dx.doi.org/10.3389/fvets.2018.00066","http://dx.doi.org/10.3389/fvets.2018.00066")</f>
        <v>http://dx.doi.org/10.3389/fvets.2018.00066</v>
      </c>
      <c r="I415" s="1" t="s">
        <v>11722</v>
      </c>
      <c r="J415" s="1" t="s">
        <v>11720</v>
      </c>
      <c r="K415" s="1" t="s">
        <v>42</v>
      </c>
      <c r="L415" s="1" t="s">
        <v>56</v>
      </c>
    </row>
    <row r="416" spans="1:12" x14ac:dyDescent="0.3">
      <c r="A416" s="8">
        <v>415</v>
      </c>
      <c r="B416">
        <v>116</v>
      </c>
      <c r="C416" t="s">
        <v>12204</v>
      </c>
      <c r="D416" t="s">
        <v>13476</v>
      </c>
      <c r="E416" t="s">
        <v>571</v>
      </c>
      <c r="F416">
        <v>2023</v>
      </c>
      <c r="G416" t="s">
        <v>572</v>
      </c>
      <c r="H416" t="s">
        <v>573</v>
      </c>
      <c r="I416" t="s">
        <v>576</v>
      </c>
      <c r="J416" t="s">
        <v>577</v>
      </c>
      <c r="K416" t="s">
        <v>42</v>
      </c>
      <c r="L416" t="s">
        <v>56</v>
      </c>
    </row>
    <row r="417" spans="1:72" x14ac:dyDescent="0.3">
      <c r="A417" s="8">
        <v>416</v>
      </c>
      <c r="B417" s="1">
        <v>374</v>
      </c>
      <c r="C417" t="s">
        <v>12118</v>
      </c>
      <c r="D417" s="1" t="s">
        <v>4258</v>
      </c>
      <c r="E417" s="1" t="s">
        <v>571</v>
      </c>
      <c r="F417" s="1">
        <v>2023</v>
      </c>
      <c r="G417" s="1" t="s">
        <v>4260</v>
      </c>
      <c r="H417" s="1" t="str">
        <f>HYPERLINK("http://dx.doi.org/10.1123/ijspp.2023-0109","http://dx.doi.org/10.1123/ijspp.2023-0109")</f>
        <v>http://dx.doi.org/10.1123/ijspp.2023-0109</v>
      </c>
      <c r="I417" s="1" t="s">
        <v>4261</v>
      </c>
      <c r="J417" s="1" t="s">
        <v>577</v>
      </c>
      <c r="K417" s="1" t="s">
        <v>42</v>
      </c>
      <c r="L417" s="1" t="s">
        <v>56</v>
      </c>
    </row>
    <row r="418" spans="1:72" x14ac:dyDescent="0.3">
      <c r="A418" s="8">
        <v>417</v>
      </c>
      <c r="B418">
        <v>118</v>
      </c>
      <c r="C418" t="s">
        <v>12204</v>
      </c>
      <c r="D418" t="s">
        <v>13177</v>
      </c>
      <c r="E418" t="s">
        <v>304</v>
      </c>
      <c r="F418">
        <v>2023</v>
      </c>
      <c r="G418" t="s">
        <v>305</v>
      </c>
      <c r="H418" t="s">
        <v>306</v>
      </c>
      <c r="I418" t="s">
        <v>309</v>
      </c>
      <c r="J418" t="s">
        <v>310</v>
      </c>
      <c r="K418" t="s">
        <v>42</v>
      </c>
      <c r="L418" t="s">
        <v>56</v>
      </c>
    </row>
    <row r="419" spans="1:72" x14ac:dyDescent="0.3">
      <c r="A419" s="8">
        <v>418</v>
      </c>
      <c r="B419" s="1">
        <v>377</v>
      </c>
      <c r="C419" t="s">
        <v>12118</v>
      </c>
      <c r="D419" s="1" t="s">
        <v>9532</v>
      </c>
      <c r="E419" s="1" t="s">
        <v>9534</v>
      </c>
      <c r="F419" s="1">
        <v>2020</v>
      </c>
      <c r="G419" s="1" t="s">
        <v>9535</v>
      </c>
      <c r="H419" s="1" t="str">
        <f>HYPERLINK("http://dx.doi.org/10.1163/22119000-12340191","http://dx.doi.org/10.1163/22119000-12340191")</f>
        <v>http://dx.doi.org/10.1163/22119000-12340191</v>
      </c>
      <c r="I419" s="1" t="s">
        <v>9538</v>
      </c>
      <c r="J419" s="1" t="s">
        <v>9536</v>
      </c>
      <c r="K419" s="1" t="s">
        <v>42</v>
      </c>
      <c r="L419" s="1" t="s">
        <v>56</v>
      </c>
    </row>
    <row r="420" spans="1:72" x14ac:dyDescent="0.3">
      <c r="A420" s="8">
        <v>419</v>
      </c>
      <c r="B420" s="1">
        <v>378</v>
      </c>
      <c r="C420" t="s">
        <v>12118</v>
      </c>
      <c r="D420" s="1" t="s">
        <v>9815</v>
      </c>
      <c r="E420" s="1" t="s">
        <v>9817</v>
      </c>
      <c r="F420" s="1">
        <v>2020</v>
      </c>
      <c r="G420" s="1" t="s">
        <v>9818</v>
      </c>
      <c r="H420" s="1" t="str">
        <f>HYPERLINK("http://dx.doi.org/10.1016/j.jsxm.2020.02.018","http://dx.doi.org/10.1016/j.jsxm.2020.02.018")</f>
        <v>http://dx.doi.org/10.1016/j.jsxm.2020.02.018</v>
      </c>
      <c r="I420" s="1" t="s">
        <v>9821</v>
      </c>
      <c r="J420" s="1" t="s">
        <v>9819</v>
      </c>
      <c r="K420" s="1" t="s">
        <v>42</v>
      </c>
      <c r="L420" s="1" t="s">
        <v>56</v>
      </c>
    </row>
    <row r="421" spans="1:72" x14ac:dyDescent="0.3">
      <c r="A421" s="8">
        <v>420</v>
      </c>
      <c r="B421" s="1">
        <v>380</v>
      </c>
      <c r="C421" t="s">
        <v>12118</v>
      </c>
      <c r="D421" s="1" t="s">
        <v>3552</v>
      </c>
      <c r="E421" s="1" t="s">
        <v>3554</v>
      </c>
      <c r="F421" s="1">
        <v>2023</v>
      </c>
      <c r="G421" s="1" t="s">
        <v>3555</v>
      </c>
      <c r="H421" s="1" t="str">
        <f>HYPERLINK("http://dx.doi.org/10.1017/S0021855323000244","http://dx.doi.org/10.1017/S0021855323000244")</f>
        <v>http://dx.doi.org/10.1017/S0021855323000244</v>
      </c>
      <c r="I421" s="1" t="s">
        <v>3557</v>
      </c>
      <c r="J421" s="1" t="s">
        <v>3556</v>
      </c>
      <c r="K421" s="1" t="s">
        <v>42</v>
      </c>
      <c r="L421" s="1" t="s">
        <v>56</v>
      </c>
    </row>
    <row r="422" spans="1:72" x14ac:dyDescent="0.3">
      <c r="A422" s="8">
        <v>421</v>
      </c>
      <c r="B422" s="1">
        <v>381</v>
      </c>
      <c r="C422" t="s">
        <v>12118</v>
      </c>
      <c r="D422" s="1" t="s">
        <v>11536</v>
      </c>
      <c r="E422" s="1" t="s">
        <v>11538</v>
      </c>
      <c r="F422" s="1">
        <v>2018</v>
      </c>
      <c r="G422" s="1" t="s">
        <v>8493</v>
      </c>
      <c r="H422" s="1" t="str">
        <f>HYPERLINK("http://dx.doi.org/10.1016/j.lfs.2018.09.059","http://dx.doi.org/10.1016/j.lfs.2018.09.059")</f>
        <v>http://dx.doi.org/10.1016/j.lfs.2018.09.059</v>
      </c>
      <c r="I422" s="1" t="s">
        <v>11541</v>
      </c>
      <c r="J422" s="1" t="s">
        <v>11539</v>
      </c>
      <c r="K422" s="1" t="s">
        <v>42</v>
      </c>
      <c r="L422" s="1" t="s">
        <v>56</v>
      </c>
    </row>
    <row r="423" spans="1:72" x14ac:dyDescent="0.3">
      <c r="A423" s="8">
        <v>422</v>
      </c>
      <c r="B423" s="1">
        <v>382</v>
      </c>
      <c r="C423" t="s">
        <v>12118</v>
      </c>
      <c r="D423" s="1" t="s">
        <v>7097</v>
      </c>
      <c r="E423" s="1" t="s">
        <v>7099</v>
      </c>
      <c r="F423" s="1">
        <v>2022</v>
      </c>
      <c r="G423" s="1" t="s">
        <v>7100</v>
      </c>
      <c r="H423" s="1" t="str">
        <f>HYPERLINK("http://dx.doi.org/10.1039/d2ra03931a","http://dx.doi.org/10.1039/d2ra03931a")</f>
        <v>http://dx.doi.org/10.1039/d2ra03931a</v>
      </c>
      <c r="I423" s="1" t="s">
        <v>7102</v>
      </c>
      <c r="J423" s="1" t="s">
        <v>1507</v>
      </c>
      <c r="K423" s="1" t="s">
        <v>42</v>
      </c>
      <c r="L423" s="1" t="s">
        <v>56</v>
      </c>
    </row>
    <row r="424" spans="1:72" x14ac:dyDescent="0.3">
      <c r="A424" s="8">
        <v>423</v>
      </c>
      <c r="B424" s="1">
        <v>383</v>
      </c>
      <c r="C424" t="s">
        <v>12118</v>
      </c>
      <c r="D424" s="1" t="s">
        <v>2847</v>
      </c>
      <c r="E424" s="1" t="s">
        <v>2849</v>
      </c>
      <c r="F424" s="1">
        <v>2023</v>
      </c>
      <c r="G424" s="1" t="s">
        <v>2850</v>
      </c>
      <c r="H424" s="1" t="str">
        <f>HYPERLINK("http://dx.doi.org/10.1093/braincomms/fcad318","http://dx.doi.org/10.1093/braincomms/fcad318")</f>
        <v>http://dx.doi.org/10.1093/braincomms/fcad318</v>
      </c>
      <c r="I424" s="1" t="s">
        <v>2853</v>
      </c>
      <c r="J424" s="1" t="s">
        <v>2851</v>
      </c>
      <c r="K424" s="1" t="s">
        <v>42</v>
      </c>
      <c r="L424" s="1" t="s">
        <v>56</v>
      </c>
    </row>
    <row r="425" spans="1:72" x14ac:dyDescent="0.3">
      <c r="A425" s="8">
        <v>424</v>
      </c>
      <c r="B425" s="1">
        <v>384</v>
      </c>
      <c r="C425" t="s">
        <v>12118</v>
      </c>
      <c r="D425" s="1" t="s">
        <v>10130</v>
      </c>
      <c r="E425" s="1" t="s">
        <v>10132</v>
      </c>
      <c r="F425" s="1">
        <v>2020</v>
      </c>
      <c r="G425" s="1" t="s">
        <v>10133</v>
      </c>
      <c r="H425" s="1" t="str">
        <f>HYPERLINK("http://dx.doi.org/10.1016/j.jip.2019.107312","http://dx.doi.org/10.1016/j.jip.2019.107312")</f>
        <v>http://dx.doi.org/10.1016/j.jip.2019.107312</v>
      </c>
      <c r="I425" s="1" t="s">
        <v>10136</v>
      </c>
      <c r="J425" s="1" t="s">
        <v>10134</v>
      </c>
      <c r="K425" s="1" t="s">
        <v>42</v>
      </c>
      <c r="L425" s="1" t="s">
        <v>56</v>
      </c>
    </row>
    <row r="426" spans="1:72" x14ac:dyDescent="0.3">
      <c r="A426" s="8">
        <v>425</v>
      </c>
      <c r="B426" s="1">
        <v>385</v>
      </c>
      <c r="C426" t="s">
        <v>12118</v>
      </c>
      <c r="D426" s="1" t="s">
        <v>14009</v>
      </c>
      <c r="E426" s="1" t="s">
        <v>14011</v>
      </c>
      <c r="F426" s="1">
        <v>2023</v>
      </c>
      <c r="G426" s="1" t="s">
        <v>3083</v>
      </c>
      <c r="H426" s="1" t="str">
        <f>HYPERLINK("http://dx.doi.org/10.7759/cureus.48296","http://dx.doi.org/10.7759/cureus.48296")</f>
        <v>http://dx.doi.org/10.7759/cureus.48296</v>
      </c>
      <c r="I426" s="1" t="s">
        <v>14014</v>
      </c>
      <c r="J426" s="1" t="s">
        <v>14012</v>
      </c>
      <c r="K426" s="1" t="s">
        <v>42</v>
      </c>
      <c r="L426" s="1" t="s">
        <v>56</v>
      </c>
    </row>
    <row r="427" spans="1:72" x14ac:dyDescent="0.3">
      <c r="A427" s="8">
        <v>426</v>
      </c>
      <c r="B427">
        <v>119</v>
      </c>
      <c r="C427" t="s">
        <v>12204</v>
      </c>
      <c r="D427" t="s">
        <v>12467</v>
      </c>
      <c r="E427" t="s">
        <v>977</v>
      </c>
      <c r="F427">
        <v>2023</v>
      </c>
      <c r="G427" t="s">
        <v>335</v>
      </c>
      <c r="H427" t="s">
        <v>978</v>
      </c>
      <c r="I427" t="s">
        <v>981</v>
      </c>
      <c r="J427" t="s">
        <v>982</v>
      </c>
      <c r="K427" t="s">
        <v>42</v>
      </c>
      <c r="L427" t="s">
        <v>56</v>
      </c>
      <c r="BB427" s="6"/>
      <c r="BC427" s="6"/>
      <c r="BD427" s="6"/>
      <c r="BE427" s="6"/>
      <c r="BF427" s="6"/>
      <c r="BG427" s="6"/>
      <c r="BH427" s="6"/>
      <c r="BI427" s="6"/>
      <c r="BJ427" s="6"/>
      <c r="BK427" s="6"/>
      <c r="BL427" s="6"/>
      <c r="BM427" s="6"/>
      <c r="BN427" s="6"/>
      <c r="BO427" s="6"/>
      <c r="BP427" s="6"/>
      <c r="BQ427" s="6"/>
      <c r="BR427" s="6"/>
      <c r="BS427" s="6"/>
      <c r="BT427" s="6"/>
    </row>
    <row r="428" spans="1:72" x14ac:dyDescent="0.3">
      <c r="A428" s="8">
        <v>427</v>
      </c>
      <c r="B428" s="1">
        <v>386</v>
      </c>
      <c r="C428" t="s">
        <v>12118</v>
      </c>
      <c r="D428" s="1" t="s">
        <v>4138</v>
      </c>
      <c r="E428" s="1" t="s">
        <v>4140</v>
      </c>
      <c r="F428" s="1">
        <v>2023</v>
      </c>
      <c r="G428" s="1" t="s">
        <v>1562</v>
      </c>
      <c r="H428" s="1" t="str">
        <f>HYPERLINK("http://dx.doi.org/10.3389/feduc.2023.1250461","http://dx.doi.org/10.3389/feduc.2023.1250461")</f>
        <v>http://dx.doi.org/10.3389/feduc.2023.1250461</v>
      </c>
      <c r="I428" s="1" t="s">
        <v>4143</v>
      </c>
      <c r="J428" s="1" t="s">
        <v>4141</v>
      </c>
      <c r="K428" s="1" t="s">
        <v>42</v>
      </c>
      <c r="L428" s="1" t="s">
        <v>56</v>
      </c>
    </row>
    <row r="429" spans="1:72" x14ac:dyDescent="0.3">
      <c r="A429" s="8">
        <v>428</v>
      </c>
      <c r="B429" s="1">
        <v>387</v>
      </c>
      <c r="C429" t="s">
        <v>12118</v>
      </c>
      <c r="D429" s="1" t="s">
        <v>10005</v>
      </c>
      <c r="E429" s="1" t="s">
        <v>10007</v>
      </c>
      <c r="F429" s="1">
        <v>2020</v>
      </c>
      <c r="G429" s="1" t="s">
        <v>10008</v>
      </c>
      <c r="H429" s="1" t="str">
        <f>HYPERLINK("http://dx.doi.org/10.1111/mmi.14497","http://dx.doi.org/10.1111/mmi.14497")</f>
        <v>http://dx.doi.org/10.1111/mmi.14497</v>
      </c>
      <c r="I429" s="1" t="s">
        <v>10011</v>
      </c>
      <c r="J429" s="1" t="s">
        <v>10009</v>
      </c>
      <c r="K429" s="1" t="s">
        <v>42</v>
      </c>
      <c r="L429" s="1" t="s">
        <v>56</v>
      </c>
    </row>
    <row r="430" spans="1:72" x14ac:dyDescent="0.3">
      <c r="A430" s="8">
        <v>429</v>
      </c>
      <c r="B430" s="1">
        <v>388</v>
      </c>
      <c r="C430" t="s">
        <v>12118</v>
      </c>
      <c r="D430" s="1" t="s">
        <v>4153</v>
      </c>
      <c r="E430" s="1" t="s">
        <v>4155</v>
      </c>
      <c r="F430" s="1">
        <v>2023</v>
      </c>
      <c r="G430" s="1" t="s">
        <v>4156</v>
      </c>
      <c r="H430" s="1" t="str">
        <f>HYPERLINK("http://dx.doi.org/10.3389/fneur.2023.1225223","http://dx.doi.org/10.3389/fneur.2023.1225223")</f>
        <v>http://dx.doi.org/10.3389/fneur.2023.1225223</v>
      </c>
      <c r="I430" s="1" t="s">
        <v>4158</v>
      </c>
      <c r="J430" s="1" t="s">
        <v>4157</v>
      </c>
      <c r="K430" s="1" t="s">
        <v>42</v>
      </c>
      <c r="L430" s="1" t="s">
        <v>56</v>
      </c>
    </row>
    <row r="431" spans="1:72" x14ac:dyDescent="0.3">
      <c r="A431" s="8">
        <v>430</v>
      </c>
      <c r="B431">
        <v>120</v>
      </c>
      <c r="C431" t="s">
        <v>12204</v>
      </c>
      <c r="D431" t="s">
        <v>12889</v>
      </c>
      <c r="E431" t="s">
        <v>12887</v>
      </c>
      <c r="F431">
        <v>2023</v>
      </c>
      <c r="G431" t="s">
        <v>475</v>
      </c>
      <c r="H431" t="s">
        <v>477</v>
      </c>
      <c r="I431" t="s">
        <v>480</v>
      </c>
      <c r="J431" t="s">
        <v>481</v>
      </c>
      <c r="K431" t="s">
        <v>12881</v>
      </c>
      <c r="L431" t="s">
        <v>56</v>
      </c>
    </row>
    <row r="432" spans="1:72" x14ac:dyDescent="0.3">
      <c r="A432" s="8">
        <v>431</v>
      </c>
      <c r="B432" s="1">
        <v>389</v>
      </c>
      <c r="C432" t="s">
        <v>12118</v>
      </c>
      <c r="D432" s="1" t="s">
        <v>15223</v>
      </c>
      <c r="E432" s="1" t="s">
        <v>12137</v>
      </c>
      <c r="F432" s="1">
        <v>2023</v>
      </c>
      <c r="G432" s="1" t="s">
        <v>15225</v>
      </c>
      <c r="H432" s="1" t="str">
        <f>HYPERLINK("http://dx.doi.org/10.30827/relieve.v29i2.29295","http://dx.doi.org/10.30827/relieve.v29i2.29295")</f>
        <v>http://dx.doi.org/10.30827/relieve.v29i2.29295</v>
      </c>
      <c r="I432" s="1" t="s">
        <v>15228</v>
      </c>
      <c r="J432" s="1" t="s">
        <v>15226</v>
      </c>
      <c r="K432" s="1" t="s">
        <v>42</v>
      </c>
      <c r="L432" s="1" t="s">
        <v>56</v>
      </c>
    </row>
    <row r="433" spans="1:78" x14ac:dyDescent="0.3">
      <c r="A433" s="8">
        <v>432</v>
      </c>
      <c r="B433" s="1">
        <v>390</v>
      </c>
      <c r="C433" t="s">
        <v>12118</v>
      </c>
      <c r="D433" s="1" t="s">
        <v>3574</v>
      </c>
      <c r="E433" s="1" t="s">
        <v>3576</v>
      </c>
      <c r="F433" s="1">
        <v>2023</v>
      </c>
      <c r="G433" s="1" t="s">
        <v>3577</v>
      </c>
      <c r="H433" s="1" t="s">
        <v>1507</v>
      </c>
      <c r="I433" s="1" t="s">
        <v>3579</v>
      </c>
      <c r="J433" s="1" t="s">
        <v>3578</v>
      </c>
      <c r="K433" s="1" t="s">
        <v>42</v>
      </c>
      <c r="L433" s="1" t="s">
        <v>56</v>
      </c>
    </row>
    <row r="434" spans="1:78" x14ac:dyDescent="0.3">
      <c r="A434" s="8">
        <v>433</v>
      </c>
      <c r="B434" s="1">
        <v>391</v>
      </c>
      <c r="C434" t="s">
        <v>12118</v>
      </c>
      <c r="D434" s="1" t="s">
        <v>8880</v>
      </c>
      <c r="E434" s="1" t="s">
        <v>8882</v>
      </c>
      <c r="F434" s="1">
        <v>2021</v>
      </c>
      <c r="G434" s="1" t="s">
        <v>8883</v>
      </c>
      <c r="H434" s="1" t="str">
        <f>HYPERLINK("http://dx.doi.org/10.1016/j.cropro.2021.105618","http://dx.doi.org/10.1016/j.cropro.2021.105618")</f>
        <v>http://dx.doi.org/10.1016/j.cropro.2021.105618</v>
      </c>
      <c r="I434" s="1" t="s">
        <v>8886</v>
      </c>
      <c r="J434" s="1" t="s">
        <v>8884</v>
      </c>
      <c r="K434" s="1" t="s">
        <v>42</v>
      </c>
      <c r="L434" s="1" t="s">
        <v>56</v>
      </c>
    </row>
    <row r="435" spans="1:78" x14ac:dyDescent="0.3">
      <c r="A435" s="8">
        <v>434</v>
      </c>
      <c r="B435" s="1">
        <v>392</v>
      </c>
      <c r="C435" t="s">
        <v>12118</v>
      </c>
      <c r="D435" s="1" t="s">
        <v>5265</v>
      </c>
      <c r="E435" s="1" t="s">
        <v>5267</v>
      </c>
      <c r="F435" s="1">
        <v>2023</v>
      </c>
      <c r="G435" s="1" t="s">
        <v>5268</v>
      </c>
      <c r="H435" s="1" t="str">
        <f>HYPERLINK("http://dx.doi.org/10.1155/2023/7104852","http://dx.doi.org/10.1155/2023/7104852")</f>
        <v>http://dx.doi.org/10.1155/2023/7104852</v>
      </c>
      <c r="I435" s="1" t="s">
        <v>5270</v>
      </c>
      <c r="J435" s="1" t="s">
        <v>1507</v>
      </c>
      <c r="K435" s="1" t="s">
        <v>42</v>
      </c>
      <c r="L435" s="1" t="s">
        <v>56</v>
      </c>
    </row>
    <row r="436" spans="1:78" x14ac:dyDescent="0.3">
      <c r="A436" s="8">
        <v>435</v>
      </c>
      <c r="B436">
        <v>121</v>
      </c>
      <c r="C436" t="s">
        <v>12204</v>
      </c>
      <c r="D436" t="s">
        <v>112</v>
      </c>
      <c r="E436" t="s">
        <v>114</v>
      </c>
      <c r="F436">
        <v>2023</v>
      </c>
      <c r="G436" t="s">
        <v>115</v>
      </c>
      <c r="H436" t="s">
        <v>116</v>
      </c>
      <c r="I436" t="s">
        <v>12850</v>
      </c>
      <c r="J436" t="s">
        <v>120</v>
      </c>
      <c r="K436" t="s">
        <v>42</v>
      </c>
      <c r="L436" t="s">
        <v>12252</v>
      </c>
      <c r="BZ436" s="6"/>
    </row>
    <row r="437" spans="1:78" x14ac:dyDescent="0.3">
      <c r="A437" s="8">
        <v>436</v>
      </c>
      <c r="B437" s="1">
        <v>393</v>
      </c>
      <c r="C437" t="s">
        <v>12118</v>
      </c>
      <c r="D437" s="1" t="s">
        <v>15243</v>
      </c>
      <c r="E437" s="1" t="s">
        <v>114</v>
      </c>
      <c r="F437" s="1">
        <v>2023</v>
      </c>
      <c r="G437" s="1" t="s">
        <v>15245</v>
      </c>
      <c r="H437" s="1" t="str">
        <f>HYPERLINK("http://dx.doi.org/10.1109/WI-IAT59888.2023.00088","http://dx.doi.org/10.1109/WI-IAT59888.2023.00088")</f>
        <v>http://dx.doi.org/10.1109/WI-IAT59888.2023.00088</v>
      </c>
      <c r="I437" s="1" t="s">
        <v>15251</v>
      </c>
      <c r="J437" s="1" t="s">
        <v>15250</v>
      </c>
      <c r="K437" s="1" t="s">
        <v>42</v>
      </c>
      <c r="L437" s="1" t="s">
        <v>5552</v>
      </c>
    </row>
    <row r="438" spans="1:78" x14ac:dyDescent="0.3">
      <c r="A438" s="8">
        <v>437</v>
      </c>
      <c r="B438" s="1">
        <v>394</v>
      </c>
      <c r="C438" t="s">
        <v>12118</v>
      </c>
      <c r="D438" s="1" t="s">
        <v>10707</v>
      </c>
      <c r="E438" s="1" t="s">
        <v>10709</v>
      </c>
      <c r="F438" s="1">
        <v>2020</v>
      </c>
      <c r="G438" s="1" t="s">
        <v>10710</v>
      </c>
      <c r="H438" s="1" t="str">
        <f>HYPERLINK("http://dx.doi.org/10.1002/smll.201902889","http://dx.doi.org/10.1002/smll.201902889")</f>
        <v>http://dx.doi.org/10.1002/smll.201902889</v>
      </c>
      <c r="I438" s="1" t="s">
        <v>10713</v>
      </c>
      <c r="J438" s="1" t="s">
        <v>10711</v>
      </c>
      <c r="K438" s="1" t="s">
        <v>42</v>
      </c>
      <c r="L438" s="1" t="s">
        <v>56</v>
      </c>
    </row>
    <row r="439" spans="1:78" x14ac:dyDescent="0.3">
      <c r="A439" s="8">
        <v>438</v>
      </c>
      <c r="B439" s="1">
        <v>395</v>
      </c>
      <c r="C439" t="s">
        <v>12118</v>
      </c>
      <c r="D439" s="1" t="s">
        <v>9836</v>
      </c>
      <c r="E439" s="1" t="s">
        <v>9838</v>
      </c>
      <c r="F439" s="1">
        <v>2020</v>
      </c>
      <c r="G439" s="1" t="s">
        <v>9839</v>
      </c>
      <c r="H439" s="1" t="s">
        <v>1507</v>
      </c>
      <c r="I439" s="1" t="s">
        <v>9842</v>
      </c>
      <c r="J439" s="1" t="s">
        <v>9840</v>
      </c>
      <c r="K439" s="1" t="s">
        <v>42</v>
      </c>
      <c r="L439" s="1" t="s">
        <v>56</v>
      </c>
    </row>
    <row r="440" spans="1:78" x14ac:dyDescent="0.3">
      <c r="A440" s="8">
        <v>439</v>
      </c>
      <c r="B440" s="1">
        <v>396</v>
      </c>
      <c r="C440" t="s">
        <v>12118</v>
      </c>
      <c r="D440" s="1" t="s">
        <v>2917</v>
      </c>
      <c r="E440" s="1" t="s">
        <v>2919</v>
      </c>
      <c r="F440" s="1">
        <v>2023</v>
      </c>
      <c r="G440" s="1" t="s">
        <v>2874</v>
      </c>
      <c r="H440" s="1" t="str">
        <f>HYPERLINK("http://dx.doi.org/10.1016/j.jacr.2023.06.008","http://dx.doi.org/10.1016/j.jacr.2023.06.008")</f>
        <v>http://dx.doi.org/10.1016/j.jacr.2023.06.008</v>
      </c>
      <c r="I440" s="1" t="s">
        <v>2921</v>
      </c>
      <c r="J440" s="1" t="s">
        <v>2920</v>
      </c>
      <c r="K440" s="1" t="s">
        <v>42</v>
      </c>
      <c r="L440" s="1" t="s">
        <v>56</v>
      </c>
    </row>
    <row r="441" spans="1:78" x14ac:dyDescent="0.3">
      <c r="A441" s="8">
        <v>440</v>
      </c>
      <c r="B441" s="1">
        <v>397</v>
      </c>
      <c r="C441" t="s">
        <v>12118</v>
      </c>
      <c r="D441" s="1" t="s">
        <v>10027</v>
      </c>
      <c r="E441" s="1" t="s">
        <v>10029</v>
      </c>
      <c r="F441" s="1">
        <v>2020</v>
      </c>
      <c r="G441" s="1" t="s">
        <v>10030</v>
      </c>
      <c r="H441" s="1" t="s">
        <v>1507</v>
      </c>
      <c r="I441" s="1" t="s">
        <v>10032</v>
      </c>
      <c r="J441" s="1" t="s">
        <v>10031</v>
      </c>
      <c r="K441" s="1" t="s">
        <v>42</v>
      </c>
      <c r="L441" s="1" t="s">
        <v>56</v>
      </c>
    </row>
    <row r="442" spans="1:78" x14ac:dyDescent="0.3">
      <c r="A442" s="8">
        <v>441</v>
      </c>
      <c r="B442" s="1">
        <v>398</v>
      </c>
      <c r="C442" t="s">
        <v>12118</v>
      </c>
      <c r="D442" s="1" t="s">
        <v>9489</v>
      </c>
      <c r="E442" s="1" t="s">
        <v>9491</v>
      </c>
      <c r="F442" s="1">
        <v>2021</v>
      </c>
      <c r="G442" s="1" t="s">
        <v>9492</v>
      </c>
      <c r="H442" s="1" t="str">
        <f>HYPERLINK("http://dx.doi.org/10.1111/ijfs.14833","http://dx.doi.org/10.1111/ijfs.14833")</f>
        <v>http://dx.doi.org/10.1111/ijfs.14833</v>
      </c>
      <c r="I442" s="1" t="s">
        <v>9495</v>
      </c>
      <c r="J442" s="1" t="s">
        <v>9493</v>
      </c>
      <c r="K442" s="1" t="s">
        <v>42</v>
      </c>
      <c r="L442" s="1" t="s">
        <v>56</v>
      </c>
    </row>
    <row r="443" spans="1:78" x14ac:dyDescent="0.3">
      <c r="A443" s="8">
        <v>442</v>
      </c>
      <c r="B443">
        <v>122</v>
      </c>
      <c r="C443" t="s">
        <v>12204</v>
      </c>
      <c r="D443" t="s">
        <v>12444</v>
      </c>
      <c r="E443" t="s">
        <v>1418</v>
      </c>
      <c r="F443">
        <v>2023</v>
      </c>
      <c r="G443" t="s">
        <v>1419</v>
      </c>
      <c r="H443" t="s">
        <v>1420</v>
      </c>
      <c r="I443" t="s">
        <v>12441</v>
      </c>
      <c r="J443" t="s">
        <v>1423</v>
      </c>
      <c r="K443" t="s">
        <v>42</v>
      </c>
      <c r="L443" t="s">
        <v>12252</v>
      </c>
    </row>
    <row r="444" spans="1:78" x14ac:dyDescent="0.3">
      <c r="A444" s="8">
        <v>443</v>
      </c>
      <c r="B444" s="1">
        <v>399</v>
      </c>
      <c r="C444" t="s">
        <v>12118</v>
      </c>
      <c r="D444" s="1" t="s">
        <v>6186</v>
      </c>
      <c r="E444" s="1" t="s">
        <v>6188</v>
      </c>
      <c r="F444" s="1">
        <v>2023</v>
      </c>
      <c r="G444" s="1" t="s">
        <v>6189</v>
      </c>
      <c r="H444" s="1" t="str">
        <f>HYPERLINK("http://dx.doi.org/10.1109/SEENG59157.2023.00010","http://dx.doi.org/10.1109/SEENG59157.2023.00010")</f>
        <v>http://dx.doi.org/10.1109/SEENG59157.2023.00010</v>
      </c>
      <c r="I444" s="1" t="s">
        <v>6194</v>
      </c>
      <c r="J444" s="1" t="s">
        <v>6193</v>
      </c>
      <c r="K444" s="1" t="s">
        <v>42</v>
      </c>
      <c r="L444" s="1" t="s">
        <v>5552</v>
      </c>
    </row>
    <row r="445" spans="1:78" x14ac:dyDescent="0.3">
      <c r="A445" s="8">
        <v>444</v>
      </c>
      <c r="B445" s="1">
        <v>400</v>
      </c>
      <c r="C445" t="s">
        <v>12118</v>
      </c>
      <c r="D445" s="1" t="s">
        <v>8388</v>
      </c>
      <c r="E445" s="1" t="s">
        <v>8390</v>
      </c>
      <c r="F445" s="1">
        <v>2021</v>
      </c>
      <c r="G445" s="1" t="s">
        <v>8391</v>
      </c>
      <c r="H445" s="1" t="str">
        <f>HYPERLINK("http://dx.doi.org/10.1007/s13201-021-01445-x","http://dx.doi.org/10.1007/s13201-021-01445-x")</f>
        <v>http://dx.doi.org/10.1007/s13201-021-01445-x</v>
      </c>
      <c r="I445" s="1" t="s">
        <v>8393</v>
      </c>
      <c r="J445" s="1" t="s">
        <v>8392</v>
      </c>
      <c r="K445" s="1" t="s">
        <v>42</v>
      </c>
      <c r="L445" s="1" t="s">
        <v>56</v>
      </c>
    </row>
    <row r="446" spans="1:78" x14ac:dyDescent="0.3">
      <c r="A446" s="8">
        <v>445</v>
      </c>
      <c r="B446">
        <v>123</v>
      </c>
      <c r="C446" t="s">
        <v>12204</v>
      </c>
      <c r="D446" t="s">
        <v>12780</v>
      </c>
      <c r="E446" t="s">
        <v>223</v>
      </c>
      <c r="F446">
        <v>2023</v>
      </c>
      <c r="G446" t="s">
        <v>224</v>
      </c>
      <c r="H446" t="s">
        <v>225</v>
      </c>
      <c r="I446" t="s">
        <v>228</v>
      </c>
      <c r="K446" t="s">
        <v>42</v>
      </c>
      <c r="L446" t="s">
        <v>56</v>
      </c>
    </row>
    <row r="447" spans="1:78" x14ac:dyDescent="0.3">
      <c r="A447" s="8">
        <v>446</v>
      </c>
      <c r="B447" s="1">
        <v>403</v>
      </c>
      <c r="C447" t="s">
        <v>12118</v>
      </c>
      <c r="D447" s="1" t="s">
        <v>4082</v>
      </c>
      <c r="E447" s="1" t="s">
        <v>4084</v>
      </c>
      <c r="F447" s="1">
        <v>2023</v>
      </c>
      <c r="G447" s="1" t="s">
        <v>3146</v>
      </c>
      <c r="H447" s="1" t="str">
        <f>HYPERLINK("http://dx.doi.org/10.1016/j.frl.2023.104333","http://dx.doi.org/10.1016/j.frl.2023.104333")</f>
        <v>http://dx.doi.org/10.1016/j.frl.2023.104333</v>
      </c>
      <c r="I447" s="1" t="s">
        <v>4087</v>
      </c>
      <c r="J447" s="1" t="s">
        <v>4085</v>
      </c>
      <c r="K447" s="1" t="s">
        <v>42</v>
      </c>
      <c r="L447" s="1" t="s">
        <v>56</v>
      </c>
    </row>
    <row r="448" spans="1:78" x14ac:dyDescent="0.3">
      <c r="A448" s="8">
        <v>447</v>
      </c>
      <c r="B448" s="1">
        <v>404</v>
      </c>
      <c r="C448" t="s">
        <v>12118</v>
      </c>
      <c r="D448" s="1" t="s">
        <v>14144</v>
      </c>
      <c r="E448" s="1" t="s">
        <v>14146</v>
      </c>
      <c r="F448" s="1">
        <v>2023</v>
      </c>
      <c r="G448" s="1" t="s">
        <v>14147</v>
      </c>
      <c r="H448" s="1" t="str">
        <f>HYPERLINK("http://dx.doi.org/10.20339/PhS.6s-23.003","http://dx.doi.org/10.20339/PhS.6s-23.003")</f>
        <v>http://dx.doi.org/10.20339/PhS.6s-23.003</v>
      </c>
      <c r="I448" s="1" t="s">
        <v>14150</v>
      </c>
      <c r="J448" s="1" t="s">
        <v>14149</v>
      </c>
      <c r="K448" s="1" t="s">
        <v>14148</v>
      </c>
      <c r="L448" s="1" t="s">
        <v>56</v>
      </c>
    </row>
    <row r="449" spans="1:12" x14ac:dyDescent="0.3">
      <c r="A449" s="8">
        <v>448</v>
      </c>
      <c r="B449" s="1">
        <v>405</v>
      </c>
      <c r="C449" t="s">
        <v>12118</v>
      </c>
      <c r="D449" s="1" t="s">
        <v>6203</v>
      </c>
      <c r="E449" s="1" t="s">
        <v>6206</v>
      </c>
      <c r="F449" s="1">
        <v>2023</v>
      </c>
      <c r="G449" s="1" t="s">
        <v>6207</v>
      </c>
      <c r="H449" s="1" t="str">
        <f>HYPERLINK("http://dx.doi.org/10.1007/978-3-031-29956-8_14","http://dx.doi.org/10.1007/978-3-031-29956-8_14")</f>
        <v>http://dx.doi.org/10.1007/978-3-031-29956-8_14</v>
      </c>
      <c r="I449" s="1" t="s">
        <v>6213</v>
      </c>
      <c r="J449" s="1" t="s">
        <v>6212</v>
      </c>
      <c r="K449" s="1" t="s">
        <v>42</v>
      </c>
      <c r="L449" s="1" t="s">
        <v>5552</v>
      </c>
    </row>
    <row r="450" spans="1:12" x14ac:dyDescent="0.3">
      <c r="A450" s="8">
        <v>449</v>
      </c>
      <c r="B450" s="1">
        <v>406</v>
      </c>
      <c r="C450" t="s">
        <v>12118</v>
      </c>
      <c r="D450" s="1" t="s">
        <v>2359</v>
      </c>
      <c r="E450" s="1" t="s">
        <v>2361</v>
      </c>
      <c r="F450" s="1">
        <v>2023</v>
      </c>
      <c r="G450" s="1" t="s">
        <v>2362</v>
      </c>
      <c r="H450" s="1" t="str">
        <f>HYPERLINK("http://dx.doi.org/10.1021/acscatal.3c04956","http://dx.doi.org/10.1021/acscatal.3c04956")</f>
        <v>http://dx.doi.org/10.1021/acscatal.3c04956</v>
      </c>
      <c r="I450" s="1" t="s">
        <v>2365</v>
      </c>
      <c r="J450" s="1" t="s">
        <v>2363</v>
      </c>
      <c r="K450" s="1" t="s">
        <v>42</v>
      </c>
      <c r="L450" s="1" t="s">
        <v>56</v>
      </c>
    </row>
    <row r="451" spans="1:12" x14ac:dyDescent="0.3">
      <c r="A451" s="8">
        <v>450</v>
      </c>
      <c r="B451" s="1">
        <v>407</v>
      </c>
      <c r="C451" t="s">
        <v>12118</v>
      </c>
      <c r="D451" s="1" t="s">
        <v>5335</v>
      </c>
      <c r="E451" s="1" t="s">
        <v>5337</v>
      </c>
      <c r="F451" s="1">
        <v>2023</v>
      </c>
      <c r="G451" s="1" t="s">
        <v>3555</v>
      </c>
      <c r="H451" s="1" t="str">
        <f>HYPERLINK("http://dx.doi.org/10.1017/S0021855323000049","http://dx.doi.org/10.1017/S0021855323000049")</f>
        <v>http://dx.doi.org/10.1017/S0021855323000049</v>
      </c>
      <c r="I451" s="1" t="s">
        <v>5339</v>
      </c>
      <c r="J451" s="1" t="s">
        <v>5338</v>
      </c>
      <c r="K451" s="1" t="s">
        <v>42</v>
      </c>
      <c r="L451" s="1" t="s">
        <v>56</v>
      </c>
    </row>
    <row r="452" spans="1:12" x14ac:dyDescent="0.3">
      <c r="A452" s="8">
        <v>451</v>
      </c>
      <c r="B452" s="1">
        <v>408</v>
      </c>
      <c r="C452" t="s">
        <v>12118</v>
      </c>
      <c r="D452" s="1" t="s">
        <v>11370</v>
      </c>
      <c r="E452" s="1" t="s">
        <v>11372</v>
      </c>
      <c r="F452" s="1">
        <v>2019</v>
      </c>
      <c r="G452" s="1" t="s">
        <v>11373</v>
      </c>
      <c r="H452" s="1" t="str">
        <f>HYPERLINK("http://dx.doi.org/10.1080/17441048.2019.1684917","http://dx.doi.org/10.1080/17441048.2019.1684917")</f>
        <v>http://dx.doi.org/10.1080/17441048.2019.1684917</v>
      </c>
      <c r="I452" s="1" t="s">
        <v>11376</v>
      </c>
      <c r="J452" s="1" t="s">
        <v>11374</v>
      </c>
      <c r="K452" s="1" t="s">
        <v>42</v>
      </c>
      <c r="L452" s="1" t="s">
        <v>56</v>
      </c>
    </row>
    <row r="453" spans="1:12" x14ac:dyDescent="0.3">
      <c r="A453" s="8">
        <v>452</v>
      </c>
      <c r="B453">
        <v>125</v>
      </c>
      <c r="C453" t="s">
        <v>12204</v>
      </c>
      <c r="D453" t="s">
        <v>12980</v>
      </c>
      <c r="E453" t="s">
        <v>12978</v>
      </c>
      <c r="F453">
        <v>2023</v>
      </c>
      <c r="G453" t="s">
        <v>12977</v>
      </c>
      <c r="H453" t="s">
        <v>12976</v>
      </c>
      <c r="I453" t="s">
        <v>12972</v>
      </c>
      <c r="J453" t="s">
        <v>12971</v>
      </c>
      <c r="K453" t="s">
        <v>42</v>
      </c>
      <c r="L453" t="s">
        <v>56</v>
      </c>
    </row>
    <row r="454" spans="1:12" x14ac:dyDescent="0.3">
      <c r="A454" s="8">
        <v>453</v>
      </c>
      <c r="B454">
        <v>126</v>
      </c>
      <c r="C454" t="s">
        <v>12204</v>
      </c>
      <c r="D454" t="s">
        <v>786</v>
      </c>
      <c r="E454" t="s">
        <v>788</v>
      </c>
      <c r="F454">
        <v>2023</v>
      </c>
      <c r="G454" t="s">
        <v>383</v>
      </c>
      <c r="I454" t="s">
        <v>790</v>
      </c>
      <c r="J454" t="s">
        <v>791</v>
      </c>
      <c r="K454" t="s">
        <v>42</v>
      </c>
      <c r="L454" t="s">
        <v>12252</v>
      </c>
    </row>
    <row r="455" spans="1:12" x14ac:dyDescent="0.3">
      <c r="A455" s="8">
        <v>454</v>
      </c>
      <c r="B455" s="1">
        <v>410</v>
      </c>
      <c r="C455" t="s">
        <v>12118</v>
      </c>
      <c r="D455" s="1" t="s">
        <v>3594</v>
      </c>
      <c r="E455" s="1" t="s">
        <v>3596</v>
      </c>
      <c r="F455" s="1">
        <v>2023</v>
      </c>
      <c r="G455" s="1" t="s">
        <v>3597</v>
      </c>
      <c r="H455" s="1" t="str">
        <f>HYPERLINK("http://dx.doi.org/10.29271/jcpsp.2023.10.1198","http://dx.doi.org/10.29271/jcpsp.2023.10.1198")</f>
        <v>http://dx.doi.org/10.29271/jcpsp.2023.10.1198</v>
      </c>
      <c r="I455" s="1" t="s">
        <v>3599</v>
      </c>
      <c r="J455" s="1" t="s">
        <v>3598</v>
      </c>
      <c r="K455" s="1" t="s">
        <v>42</v>
      </c>
      <c r="L455" s="1" t="s">
        <v>56</v>
      </c>
    </row>
    <row r="456" spans="1:12" x14ac:dyDescent="0.3">
      <c r="A456" s="8">
        <v>455</v>
      </c>
      <c r="B456" s="1">
        <v>411</v>
      </c>
      <c r="C456" t="s">
        <v>12118</v>
      </c>
      <c r="D456" s="1" t="s">
        <v>10888</v>
      </c>
      <c r="E456" s="1" t="s">
        <v>10890</v>
      </c>
      <c r="F456" s="1">
        <v>2019</v>
      </c>
      <c r="G456" s="1" t="s">
        <v>3297</v>
      </c>
      <c r="H456" s="1" t="str">
        <f>HYPERLINK("http://dx.doi.org/10.1038/s41598-019-45364-z","http://dx.doi.org/10.1038/s41598-019-45364-z")</f>
        <v>http://dx.doi.org/10.1038/s41598-019-45364-z</v>
      </c>
      <c r="I456" s="1" t="s">
        <v>10892</v>
      </c>
      <c r="J456" s="1" t="s">
        <v>1507</v>
      </c>
      <c r="K456" s="1" t="s">
        <v>42</v>
      </c>
      <c r="L456" s="1" t="s">
        <v>56</v>
      </c>
    </row>
    <row r="457" spans="1:12" x14ac:dyDescent="0.3">
      <c r="A457" s="8">
        <v>456</v>
      </c>
      <c r="B457">
        <v>127</v>
      </c>
      <c r="C457" t="s">
        <v>12204</v>
      </c>
      <c r="D457" t="s">
        <v>13568</v>
      </c>
      <c r="E457" t="s">
        <v>704</v>
      </c>
      <c r="F457">
        <v>2023</v>
      </c>
      <c r="G457" t="s">
        <v>705</v>
      </c>
      <c r="H457" t="s">
        <v>706</v>
      </c>
      <c r="I457" t="s">
        <v>709</v>
      </c>
      <c r="J457" t="s">
        <v>710</v>
      </c>
      <c r="K457" t="s">
        <v>42</v>
      </c>
      <c r="L457" t="s">
        <v>56</v>
      </c>
    </row>
    <row r="458" spans="1:12" x14ac:dyDescent="0.3">
      <c r="A458" s="8">
        <v>457</v>
      </c>
      <c r="B458">
        <v>128</v>
      </c>
      <c r="C458" t="s">
        <v>12204</v>
      </c>
      <c r="D458" t="s">
        <v>13660</v>
      </c>
      <c r="E458" t="s">
        <v>423</v>
      </c>
      <c r="F458">
        <v>2023</v>
      </c>
      <c r="G458" t="s">
        <v>424</v>
      </c>
      <c r="H458" t="s">
        <v>425</v>
      </c>
      <c r="I458" t="s">
        <v>428</v>
      </c>
      <c r="J458" t="s">
        <v>429</v>
      </c>
      <c r="K458" t="s">
        <v>42</v>
      </c>
      <c r="L458" t="s">
        <v>56</v>
      </c>
    </row>
    <row r="459" spans="1:12" x14ac:dyDescent="0.3">
      <c r="A459" s="8">
        <v>458</v>
      </c>
      <c r="B459" s="1">
        <v>412</v>
      </c>
      <c r="C459" t="s">
        <v>12118</v>
      </c>
      <c r="D459" s="1" t="s">
        <v>8713</v>
      </c>
      <c r="E459" s="1" t="s">
        <v>8715</v>
      </c>
      <c r="F459" s="1">
        <v>2021</v>
      </c>
      <c r="G459" s="1" t="s">
        <v>3555</v>
      </c>
      <c r="H459" s="1" t="str">
        <f>HYPERLINK("http://dx.doi.org/10.1017/S0021855321000036","http://dx.doi.org/10.1017/S0021855321000036")</f>
        <v>http://dx.doi.org/10.1017/S0021855321000036</v>
      </c>
      <c r="I459" s="1" t="s">
        <v>8717</v>
      </c>
      <c r="J459" s="1" t="s">
        <v>8716</v>
      </c>
      <c r="K459" s="1" t="s">
        <v>42</v>
      </c>
      <c r="L459" s="1" t="s">
        <v>56</v>
      </c>
    </row>
    <row r="460" spans="1:12" x14ac:dyDescent="0.3">
      <c r="A460" s="8">
        <v>459</v>
      </c>
      <c r="B460" s="1">
        <v>413</v>
      </c>
      <c r="C460" t="s">
        <v>12118</v>
      </c>
      <c r="D460" s="1" t="s">
        <v>4984</v>
      </c>
      <c r="E460" s="1" t="s">
        <v>4986</v>
      </c>
      <c r="F460" s="1">
        <v>2023</v>
      </c>
      <c r="G460" s="1" t="s">
        <v>4987</v>
      </c>
      <c r="H460" s="1" t="str">
        <f>HYPERLINK("http://dx.doi.org/10.7717/peerj-cs.1377","http://dx.doi.org/10.7717/peerj-cs.1377")</f>
        <v>http://dx.doi.org/10.7717/peerj-cs.1377</v>
      </c>
      <c r="I460" s="1" t="s">
        <v>4990</v>
      </c>
      <c r="J460" s="1" t="s">
        <v>4988</v>
      </c>
      <c r="K460" s="1" t="s">
        <v>42</v>
      </c>
      <c r="L460" s="1" t="s">
        <v>56</v>
      </c>
    </row>
    <row r="461" spans="1:12" x14ac:dyDescent="0.3">
      <c r="A461" s="8">
        <v>460</v>
      </c>
      <c r="B461" s="1">
        <v>414</v>
      </c>
      <c r="C461" t="s">
        <v>12118</v>
      </c>
      <c r="D461" s="1" t="s">
        <v>9855</v>
      </c>
      <c r="E461" s="1" t="s">
        <v>9857</v>
      </c>
      <c r="F461" s="1">
        <v>2020</v>
      </c>
      <c r="G461" s="1" t="s">
        <v>4064</v>
      </c>
      <c r="H461" s="1" t="str">
        <f>HYPERLINK("http://dx.doi.org/10.1016/j.autcon.2020.103163","http://dx.doi.org/10.1016/j.autcon.2020.103163")</f>
        <v>http://dx.doi.org/10.1016/j.autcon.2020.103163</v>
      </c>
      <c r="I461" s="1" t="s">
        <v>9860</v>
      </c>
      <c r="J461" s="1" t="s">
        <v>9858</v>
      </c>
      <c r="K461" s="1" t="s">
        <v>42</v>
      </c>
      <c r="L461" s="1" t="s">
        <v>56</v>
      </c>
    </row>
    <row r="462" spans="1:12" x14ac:dyDescent="0.3">
      <c r="A462" s="8">
        <v>461</v>
      </c>
      <c r="B462" s="1">
        <v>415</v>
      </c>
      <c r="C462" t="s">
        <v>12118</v>
      </c>
      <c r="D462" s="1" t="s">
        <v>15260</v>
      </c>
      <c r="E462" s="1" t="s">
        <v>15262</v>
      </c>
      <c r="F462" s="1">
        <v>2023</v>
      </c>
      <c r="G462" s="1" t="s">
        <v>15263</v>
      </c>
      <c r="H462" s="1" t="str">
        <f>HYPERLINK("http://dx.doi.org/10.1109/ICTAI59109.2023.00018","http://dx.doi.org/10.1109/ICTAI59109.2023.00018")</f>
        <v>http://dx.doi.org/10.1109/ICTAI59109.2023.00018</v>
      </c>
      <c r="I462" s="1" t="s">
        <v>15270</v>
      </c>
      <c r="J462" s="1" t="s">
        <v>15269</v>
      </c>
      <c r="K462" s="1" t="s">
        <v>42</v>
      </c>
      <c r="L462" s="1" t="s">
        <v>5552</v>
      </c>
    </row>
    <row r="463" spans="1:12" x14ac:dyDescent="0.3">
      <c r="A463" s="8">
        <v>462</v>
      </c>
      <c r="B463" s="1">
        <v>416</v>
      </c>
      <c r="C463" t="s">
        <v>12118</v>
      </c>
      <c r="D463" s="1" t="s">
        <v>8537</v>
      </c>
      <c r="E463" s="1" t="s">
        <v>8539</v>
      </c>
      <c r="F463" s="1">
        <v>2021</v>
      </c>
      <c r="G463" s="1" t="s">
        <v>8540</v>
      </c>
      <c r="H463" s="1" t="str">
        <f>HYPERLINK("http://dx.doi.org/10.1002/ecs2.3552","http://dx.doi.org/10.1002/ecs2.3552")</f>
        <v>http://dx.doi.org/10.1002/ecs2.3552</v>
      </c>
      <c r="I463" s="1" t="s">
        <v>8543</v>
      </c>
      <c r="J463" s="1" t="s">
        <v>8541</v>
      </c>
      <c r="K463" s="1" t="s">
        <v>42</v>
      </c>
      <c r="L463" s="1" t="s">
        <v>56</v>
      </c>
    </row>
    <row r="464" spans="1:12" x14ac:dyDescent="0.3">
      <c r="A464" s="8">
        <v>463</v>
      </c>
      <c r="B464" s="1">
        <v>417</v>
      </c>
      <c r="C464" t="s">
        <v>12118</v>
      </c>
      <c r="D464" s="1" t="s">
        <v>9731</v>
      </c>
      <c r="E464" s="1" t="s">
        <v>9733</v>
      </c>
      <c r="F464" s="1">
        <v>2020</v>
      </c>
      <c r="G464" s="1" t="s">
        <v>9734</v>
      </c>
      <c r="H464" s="1" t="str">
        <f>HYPERLINK("http://dx.doi.org/10.1002/hep4.1533","http://dx.doi.org/10.1002/hep4.1533")</f>
        <v>http://dx.doi.org/10.1002/hep4.1533</v>
      </c>
      <c r="I464" s="1" t="s">
        <v>9736</v>
      </c>
      <c r="J464" s="1" t="s">
        <v>1507</v>
      </c>
      <c r="K464" s="1" t="s">
        <v>42</v>
      </c>
      <c r="L464" s="1" t="s">
        <v>56</v>
      </c>
    </row>
    <row r="465" spans="1:78" x14ac:dyDescent="0.3">
      <c r="A465" s="8">
        <v>464</v>
      </c>
      <c r="B465" s="1">
        <v>418</v>
      </c>
      <c r="C465" t="s">
        <v>12118</v>
      </c>
      <c r="D465" s="1" t="s">
        <v>5010</v>
      </c>
      <c r="E465" s="1" t="s">
        <v>5012</v>
      </c>
      <c r="F465" s="1">
        <v>2023</v>
      </c>
      <c r="G465" s="1" t="s">
        <v>5013</v>
      </c>
      <c r="H465" s="1" t="str">
        <f>HYPERLINK("http://dx.doi.org/10.3390/app13095771","http://dx.doi.org/10.3390/app13095771")</f>
        <v>http://dx.doi.org/10.3390/app13095771</v>
      </c>
      <c r="I465" s="1" t="s">
        <v>5015</v>
      </c>
      <c r="J465" s="1" t="s">
        <v>5014</v>
      </c>
      <c r="K465" s="1" t="s">
        <v>42</v>
      </c>
      <c r="L465" s="1" t="s">
        <v>56</v>
      </c>
    </row>
    <row r="466" spans="1:78" x14ac:dyDescent="0.3">
      <c r="A466" s="8">
        <v>465</v>
      </c>
      <c r="B466" s="1">
        <v>419</v>
      </c>
      <c r="C466" t="s">
        <v>12118</v>
      </c>
      <c r="D466" s="1" t="s">
        <v>12049</v>
      </c>
      <c r="E466" s="1" t="s">
        <v>12051</v>
      </c>
      <c r="F466" s="1">
        <v>2018</v>
      </c>
      <c r="G466" s="1" t="s">
        <v>11888</v>
      </c>
      <c r="H466" s="1" t="s">
        <v>1507</v>
      </c>
      <c r="I466" s="1" t="s">
        <v>12052</v>
      </c>
      <c r="J466" s="1" t="s">
        <v>1507</v>
      </c>
      <c r="K466" s="1" t="s">
        <v>42</v>
      </c>
      <c r="L466" s="1" t="s">
        <v>56</v>
      </c>
    </row>
    <row r="467" spans="1:78" x14ac:dyDescent="0.3">
      <c r="A467" s="8">
        <v>466</v>
      </c>
      <c r="B467" s="1">
        <v>420</v>
      </c>
      <c r="C467" t="s">
        <v>12118</v>
      </c>
      <c r="D467" s="1" t="s">
        <v>3614</v>
      </c>
      <c r="E467" s="1" t="s">
        <v>3616</v>
      </c>
      <c r="F467" s="1">
        <v>2023</v>
      </c>
      <c r="G467" s="1" t="s">
        <v>1617</v>
      </c>
      <c r="H467" s="1" t="str">
        <f>HYPERLINK("http://dx.doi.org/10.3390/electronics12193996","http://dx.doi.org/10.3390/electronics12193996")</f>
        <v>http://dx.doi.org/10.3390/electronics12193996</v>
      </c>
      <c r="I467" s="1" t="s">
        <v>3619</v>
      </c>
      <c r="J467" s="1" t="s">
        <v>3617</v>
      </c>
      <c r="K467" s="1" t="s">
        <v>42</v>
      </c>
      <c r="L467" s="1" t="s">
        <v>56</v>
      </c>
    </row>
    <row r="468" spans="1:78" x14ac:dyDescent="0.3">
      <c r="A468" s="8">
        <v>467</v>
      </c>
      <c r="B468" s="1">
        <v>421</v>
      </c>
      <c r="C468" t="s">
        <v>12118</v>
      </c>
      <c r="D468" s="1" t="s">
        <v>10929</v>
      </c>
      <c r="E468" s="1" t="s">
        <v>10931</v>
      </c>
      <c r="F468" s="1">
        <v>2019</v>
      </c>
      <c r="G468" s="1" t="s">
        <v>2502</v>
      </c>
      <c r="H468" s="1" t="str">
        <f>HYPERLINK("http://dx.doi.org/10.1186/s12909-019-1621-z","http://dx.doi.org/10.1186/s12909-019-1621-z")</f>
        <v>http://dx.doi.org/10.1186/s12909-019-1621-z</v>
      </c>
      <c r="I468" s="1" t="s">
        <v>10934</v>
      </c>
      <c r="J468" s="1" t="s">
        <v>10932</v>
      </c>
      <c r="K468" s="1" t="s">
        <v>42</v>
      </c>
      <c r="L468" s="1" t="s">
        <v>56</v>
      </c>
    </row>
    <row r="469" spans="1:78" x14ac:dyDescent="0.3">
      <c r="A469" s="8">
        <v>468</v>
      </c>
      <c r="B469" s="1">
        <v>422</v>
      </c>
      <c r="C469" t="s">
        <v>12118</v>
      </c>
      <c r="D469" s="1" t="s">
        <v>3472</v>
      </c>
      <c r="E469" s="1" t="s">
        <v>3474</v>
      </c>
      <c r="F469" s="1">
        <v>2023</v>
      </c>
      <c r="G469" s="1" t="s">
        <v>3475</v>
      </c>
      <c r="H469" s="1" t="str">
        <f>HYPERLINK("http://dx.doi.org/10.1038/s42256-023-00720-7","http://dx.doi.org/10.1038/s42256-023-00720-7")</f>
        <v>http://dx.doi.org/10.1038/s42256-023-00720-7</v>
      </c>
      <c r="I469" s="1" t="s">
        <v>3477</v>
      </c>
      <c r="J469" s="1" t="s">
        <v>1507</v>
      </c>
      <c r="K469" s="1" t="s">
        <v>42</v>
      </c>
      <c r="L469" s="1" t="s">
        <v>56</v>
      </c>
    </row>
    <row r="470" spans="1:78" x14ac:dyDescent="0.3">
      <c r="A470" s="8">
        <v>469</v>
      </c>
      <c r="B470" s="1">
        <v>423</v>
      </c>
      <c r="C470" t="s">
        <v>12118</v>
      </c>
      <c r="D470" s="1" t="s">
        <v>10151</v>
      </c>
      <c r="E470" s="1" t="s">
        <v>10153</v>
      </c>
      <c r="F470" s="1">
        <v>2020</v>
      </c>
      <c r="G470" s="1" t="s">
        <v>9087</v>
      </c>
      <c r="H470" s="1" t="str">
        <f>HYPERLINK("http://dx.doi.org/10.3390/ijms21030977","http://dx.doi.org/10.3390/ijms21030977")</f>
        <v>http://dx.doi.org/10.3390/ijms21030977</v>
      </c>
      <c r="I470" s="1" t="s">
        <v>10156</v>
      </c>
      <c r="J470" s="1" t="s">
        <v>10154</v>
      </c>
      <c r="K470" s="1" t="s">
        <v>42</v>
      </c>
      <c r="L470" s="1" t="s">
        <v>56</v>
      </c>
    </row>
    <row r="471" spans="1:78" x14ac:dyDescent="0.3">
      <c r="A471" s="8">
        <v>470</v>
      </c>
      <c r="B471">
        <v>129</v>
      </c>
      <c r="C471" t="s">
        <v>12204</v>
      </c>
      <c r="D471" t="s">
        <v>13716</v>
      </c>
      <c r="E471" t="s">
        <v>13714</v>
      </c>
      <c r="F471">
        <v>2023</v>
      </c>
      <c r="G471" t="s">
        <v>636</v>
      </c>
      <c r="H471" t="s">
        <v>13713</v>
      </c>
      <c r="I471" t="s">
        <v>13709</v>
      </c>
      <c r="J471" t="s">
        <v>13708</v>
      </c>
      <c r="K471" t="s">
        <v>42</v>
      </c>
      <c r="L471" t="s">
        <v>12252</v>
      </c>
    </row>
    <row r="472" spans="1:78" x14ac:dyDescent="0.3">
      <c r="A472" s="8">
        <v>471</v>
      </c>
      <c r="B472" s="1">
        <v>424</v>
      </c>
      <c r="C472" t="s">
        <v>12118</v>
      </c>
      <c r="D472" s="1" t="s">
        <v>9679</v>
      </c>
      <c r="E472" s="1" t="s">
        <v>9681</v>
      </c>
      <c r="F472" s="1">
        <v>2020</v>
      </c>
      <c r="G472" s="1" t="s">
        <v>9682</v>
      </c>
      <c r="H472" s="1" t="str">
        <f>HYPERLINK("http://dx.doi.org/10.1093/jwelb/jwaa027","http://dx.doi.org/10.1093/jwelb/jwaa027")</f>
        <v>http://dx.doi.org/10.1093/jwelb/jwaa027</v>
      </c>
      <c r="I472" s="1" t="s">
        <v>9683</v>
      </c>
      <c r="J472" s="1" t="s">
        <v>1507</v>
      </c>
      <c r="K472" s="1" t="s">
        <v>42</v>
      </c>
      <c r="L472" s="1" t="s">
        <v>56</v>
      </c>
    </row>
    <row r="473" spans="1:78" x14ac:dyDescent="0.3">
      <c r="A473" s="8">
        <v>472</v>
      </c>
      <c r="B473">
        <v>130</v>
      </c>
      <c r="C473" t="s">
        <v>12204</v>
      </c>
      <c r="D473" t="s">
        <v>13635</v>
      </c>
      <c r="E473" t="s">
        <v>433</v>
      </c>
      <c r="F473">
        <v>2023</v>
      </c>
      <c r="G473" t="s">
        <v>434</v>
      </c>
      <c r="H473" t="s">
        <v>435</v>
      </c>
      <c r="I473" t="s">
        <v>438</v>
      </c>
      <c r="K473" t="s">
        <v>42</v>
      </c>
      <c r="L473" t="s">
        <v>56</v>
      </c>
      <c r="BH473" s="6"/>
      <c r="BI473" s="6"/>
      <c r="BJ473" s="6"/>
      <c r="BK473" s="6" t="s">
        <v>311</v>
      </c>
      <c r="BL473" s="6"/>
      <c r="BM473" s="6"/>
      <c r="BN473" s="6"/>
      <c r="BO473" s="6"/>
      <c r="BP473" s="6" t="s">
        <v>312</v>
      </c>
      <c r="BQ473" s="6"/>
      <c r="BR473" s="6"/>
      <c r="BS473" s="6"/>
      <c r="BT473" s="6" t="s">
        <v>42</v>
      </c>
      <c r="BU473" s="6" t="s">
        <v>313</v>
      </c>
      <c r="BV473" s="6" t="s">
        <v>56</v>
      </c>
      <c r="BW473" s="6" t="s">
        <v>45</v>
      </c>
      <c r="BX473" s="6" t="s">
        <v>12349</v>
      </c>
      <c r="BY473" s="6" t="s">
        <v>46</v>
      </c>
      <c r="BZ473" s="6" t="s">
        <v>333</v>
      </c>
    </row>
    <row r="474" spans="1:78" x14ac:dyDescent="0.3">
      <c r="A474" s="8">
        <v>473</v>
      </c>
      <c r="B474" s="1">
        <v>425</v>
      </c>
      <c r="C474" t="s">
        <v>12118</v>
      </c>
      <c r="D474" s="1" t="s">
        <v>9084</v>
      </c>
      <c r="E474" s="1" t="s">
        <v>9086</v>
      </c>
      <c r="F474" s="1">
        <v>2021</v>
      </c>
      <c r="G474" s="1" t="s">
        <v>9087</v>
      </c>
      <c r="H474" s="1" t="str">
        <f>HYPERLINK("http://dx.doi.org/10.3390/ijms22042026","http://dx.doi.org/10.3390/ijms22042026")</f>
        <v>http://dx.doi.org/10.3390/ijms22042026</v>
      </c>
      <c r="I474" s="1" t="s">
        <v>9090</v>
      </c>
      <c r="J474" s="1" t="s">
        <v>9088</v>
      </c>
      <c r="K474" s="1" t="s">
        <v>42</v>
      </c>
      <c r="L474" s="1" t="s">
        <v>56</v>
      </c>
    </row>
    <row r="475" spans="1:78" x14ac:dyDescent="0.3">
      <c r="A475" s="8">
        <v>474</v>
      </c>
      <c r="B475" s="1">
        <v>426</v>
      </c>
      <c r="C475" t="s">
        <v>12118</v>
      </c>
      <c r="D475" s="1" t="s">
        <v>9967</v>
      </c>
      <c r="E475" s="1" t="s">
        <v>9969</v>
      </c>
      <c r="F475" s="1">
        <v>2020</v>
      </c>
      <c r="G475" s="1" t="s">
        <v>7217</v>
      </c>
      <c r="H475" s="1" t="str">
        <f>HYPERLINK("http://dx.doi.org/10.2807/1560-7917.ES.2020.25.16.2000421","http://dx.doi.org/10.2807/1560-7917.ES.2020.25.16.2000421")</f>
        <v>http://dx.doi.org/10.2807/1560-7917.ES.2020.25.16.2000421</v>
      </c>
      <c r="I475" s="1" t="s">
        <v>9971</v>
      </c>
      <c r="J475" s="1" t="s">
        <v>1507</v>
      </c>
      <c r="K475" s="1" t="s">
        <v>42</v>
      </c>
      <c r="L475" s="1" t="s">
        <v>56</v>
      </c>
    </row>
    <row r="476" spans="1:78" x14ac:dyDescent="0.3">
      <c r="A476" s="8">
        <v>475</v>
      </c>
      <c r="B476" s="1">
        <v>427</v>
      </c>
      <c r="C476" t="s">
        <v>12118</v>
      </c>
      <c r="D476" s="1" t="s">
        <v>4216</v>
      </c>
      <c r="E476" s="1" t="s">
        <v>4218</v>
      </c>
      <c r="F476" s="1">
        <v>2023</v>
      </c>
      <c r="G476" s="1" t="s">
        <v>4219</v>
      </c>
      <c r="H476" s="1" t="str">
        <f>HYPERLINK("http://dx.doi.org/10.1021/acs.jcim.3c00817","http://dx.doi.org/10.1021/acs.jcim.3c00817")</f>
        <v>http://dx.doi.org/10.1021/acs.jcim.3c00817</v>
      </c>
      <c r="I476" s="1" t="s">
        <v>4221</v>
      </c>
      <c r="J476" s="1" t="s">
        <v>1507</v>
      </c>
      <c r="K476" s="1" t="s">
        <v>42</v>
      </c>
      <c r="L476" s="1" t="s">
        <v>56</v>
      </c>
    </row>
    <row r="477" spans="1:78" x14ac:dyDescent="0.3">
      <c r="A477" s="8">
        <v>476</v>
      </c>
      <c r="B477">
        <v>131</v>
      </c>
      <c r="C477" t="s">
        <v>12204</v>
      </c>
      <c r="D477" t="s">
        <v>794</v>
      </c>
      <c r="E477" t="s">
        <v>796</v>
      </c>
      <c r="F477">
        <v>2023</v>
      </c>
      <c r="G477" t="s">
        <v>797</v>
      </c>
      <c r="H477" t="s">
        <v>798</v>
      </c>
      <c r="I477" t="s">
        <v>801</v>
      </c>
      <c r="J477" t="s">
        <v>802</v>
      </c>
      <c r="K477" t="s">
        <v>42</v>
      </c>
      <c r="L477" t="s">
        <v>56</v>
      </c>
    </row>
    <row r="478" spans="1:78" x14ac:dyDescent="0.3">
      <c r="A478" s="8">
        <v>477</v>
      </c>
      <c r="B478" s="1">
        <v>428</v>
      </c>
      <c r="C478" t="s">
        <v>12118</v>
      </c>
      <c r="D478" s="1" t="s">
        <v>6232</v>
      </c>
      <c r="E478" s="1" t="s">
        <v>796</v>
      </c>
      <c r="F478" s="1">
        <v>2023</v>
      </c>
      <c r="G478" s="1" t="s">
        <v>5740</v>
      </c>
      <c r="H478" s="1" t="str">
        <f>HYPERLINK("http://dx.doi.org/10.53761/1.20.02.07","http://dx.doi.org/10.53761/1.20.02.07")</f>
        <v>http://dx.doi.org/10.53761/1.20.02.07</v>
      </c>
      <c r="I478" s="1" t="s">
        <v>6236</v>
      </c>
      <c r="J478" s="1" t="s">
        <v>6234</v>
      </c>
      <c r="K478" s="1" t="s">
        <v>42</v>
      </c>
      <c r="L478" s="1" t="s">
        <v>56</v>
      </c>
    </row>
    <row r="479" spans="1:78" x14ac:dyDescent="0.3">
      <c r="A479" s="8">
        <v>478</v>
      </c>
      <c r="B479">
        <v>132</v>
      </c>
      <c r="C479" t="s">
        <v>12204</v>
      </c>
      <c r="D479" t="s">
        <v>12413</v>
      </c>
      <c r="E479" t="s">
        <v>1309</v>
      </c>
      <c r="F479">
        <v>2023</v>
      </c>
      <c r="G479" t="s">
        <v>1310</v>
      </c>
      <c r="H479" t="s">
        <v>1312</v>
      </c>
      <c r="I479" t="s">
        <v>1315</v>
      </c>
      <c r="J479" t="s">
        <v>1316</v>
      </c>
      <c r="K479" t="s">
        <v>42</v>
      </c>
      <c r="L479" t="s">
        <v>12262</v>
      </c>
      <c r="BU479" s="6"/>
      <c r="BV479" s="6"/>
      <c r="BW479" s="6"/>
      <c r="BX479" s="6"/>
      <c r="BY479" s="6"/>
    </row>
    <row r="480" spans="1:78" x14ac:dyDescent="0.3">
      <c r="A480" s="8">
        <v>479</v>
      </c>
      <c r="B480" s="1">
        <v>430</v>
      </c>
      <c r="C480" t="s">
        <v>12118</v>
      </c>
      <c r="D480" s="1" t="s">
        <v>11166</v>
      </c>
      <c r="E480" s="1" t="s">
        <v>11168</v>
      </c>
      <c r="F480" s="1">
        <v>2019</v>
      </c>
      <c r="G480" s="1" t="s">
        <v>11110</v>
      </c>
      <c r="H480" s="1" t="s">
        <v>1507</v>
      </c>
      <c r="I480" s="1" t="s">
        <v>11169</v>
      </c>
      <c r="J480" s="1" t="s">
        <v>1507</v>
      </c>
      <c r="K480" s="1" t="s">
        <v>42</v>
      </c>
      <c r="L480" s="1" t="s">
        <v>56</v>
      </c>
    </row>
    <row r="481" spans="1:77" x14ac:dyDescent="0.3">
      <c r="A481" s="8">
        <v>480</v>
      </c>
      <c r="B481" s="1">
        <v>431</v>
      </c>
      <c r="C481" t="s">
        <v>12118</v>
      </c>
      <c r="D481" s="1" t="s">
        <v>6242</v>
      </c>
      <c r="E481" s="1" t="s">
        <v>6244</v>
      </c>
      <c r="F481" s="1">
        <v>2023</v>
      </c>
      <c r="G481" s="1" t="s">
        <v>6245</v>
      </c>
      <c r="H481" s="1" t="s">
        <v>1507</v>
      </c>
      <c r="I481" s="1" t="s">
        <v>6248</v>
      </c>
      <c r="J481" s="1" t="s">
        <v>6246</v>
      </c>
      <c r="K481" s="1" t="s">
        <v>42</v>
      </c>
      <c r="L481" s="1" t="s">
        <v>56</v>
      </c>
    </row>
    <row r="482" spans="1:77" x14ac:dyDescent="0.3">
      <c r="A482" s="8">
        <v>481</v>
      </c>
      <c r="B482" s="1">
        <v>432</v>
      </c>
      <c r="C482" t="s">
        <v>12118</v>
      </c>
      <c r="D482" s="1" t="s">
        <v>11391</v>
      </c>
      <c r="E482" s="1" t="s">
        <v>11393</v>
      </c>
      <c r="F482" s="1">
        <v>2019</v>
      </c>
      <c r="G482" s="1" t="s">
        <v>11394</v>
      </c>
      <c r="H482" s="1" t="s">
        <v>1507</v>
      </c>
      <c r="I482" s="1" t="s">
        <v>11397</v>
      </c>
      <c r="J482" s="1" t="s">
        <v>11395</v>
      </c>
      <c r="K482" s="1" t="s">
        <v>11324</v>
      </c>
      <c r="L482" s="1" t="s">
        <v>56</v>
      </c>
    </row>
    <row r="483" spans="1:77" x14ac:dyDescent="0.3">
      <c r="A483" s="8">
        <v>482</v>
      </c>
      <c r="B483" s="1">
        <v>433</v>
      </c>
      <c r="C483" t="s">
        <v>12118</v>
      </c>
      <c r="D483" s="1" t="s">
        <v>15283</v>
      </c>
      <c r="E483" s="1" t="s">
        <v>15285</v>
      </c>
      <c r="F483" s="1">
        <v>2023</v>
      </c>
      <c r="G483" s="1" t="s">
        <v>15286</v>
      </c>
      <c r="H483" s="1" t="str">
        <f>HYPERLINK("http://dx.doi.org/10.1145/3583133.3596401","http://dx.doi.org/10.1145/3583133.3596401")</f>
        <v>http://dx.doi.org/10.1145/3583133.3596401</v>
      </c>
      <c r="I483" s="1" t="s">
        <v>15292</v>
      </c>
      <c r="J483" s="1" t="s">
        <v>15291</v>
      </c>
      <c r="K483" s="1" t="s">
        <v>42</v>
      </c>
      <c r="L483" s="1" t="s">
        <v>5552</v>
      </c>
    </row>
    <row r="484" spans="1:77" x14ac:dyDescent="0.3">
      <c r="A484" s="8">
        <v>483</v>
      </c>
      <c r="B484">
        <v>133</v>
      </c>
      <c r="C484" t="s">
        <v>12204</v>
      </c>
      <c r="D484" t="s">
        <v>12223</v>
      </c>
      <c r="E484" t="s">
        <v>1073</v>
      </c>
      <c r="F484">
        <v>2018</v>
      </c>
      <c r="G484" t="s">
        <v>1074</v>
      </c>
      <c r="H484" t="s">
        <v>1075</v>
      </c>
      <c r="I484" t="s">
        <v>1078</v>
      </c>
      <c r="J484" t="s">
        <v>1079</v>
      </c>
      <c r="K484" t="s">
        <v>42</v>
      </c>
      <c r="L484" t="s">
        <v>56</v>
      </c>
    </row>
    <row r="485" spans="1:77" x14ac:dyDescent="0.3">
      <c r="A485" s="8">
        <v>484</v>
      </c>
      <c r="B485" s="1">
        <v>434</v>
      </c>
      <c r="C485" t="s">
        <v>12118</v>
      </c>
      <c r="D485" s="1" t="s">
        <v>3630</v>
      </c>
      <c r="E485" s="1" t="s">
        <v>3632</v>
      </c>
      <c r="F485" s="1">
        <v>2023</v>
      </c>
      <c r="G485" s="1" t="s">
        <v>3633</v>
      </c>
      <c r="H485" s="1" t="str">
        <f>HYPERLINK("http://dx.doi.org/10.3390/jcm12196390","http://dx.doi.org/10.3390/jcm12196390")</f>
        <v>http://dx.doi.org/10.3390/jcm12196390</v>
      </c>
      <c r="I485" s="1" t="s">
        <v>3635</v>
      </c>
      <c r="J485" s="1" t="s">
        <v>3634</v>
      </c>
      <c r="K485" s="1" t="s">
        <v>42</v>
      </c>
      <c r="L485" s="1" t="s">
        <v>56</v>
      </c>
    </row>
    <row r="486" spans="1:77" x14ac:dyDescent="0.3">
      <c r="A486" s="8">
        <v>485</v>
      </c>
      <c r="B486">
        <v>134</v>
      </c>
      <c r="C486" t="s">
        <v>12204</v>
      </c>
      <c r="D486" t="s">
        <v>12827</v>
      </c>
      <c r="E486" t="s">
        <v>539</v>
      </c>
      <c r="F486">
        <v>2023</v>
      </c>
      <c r="G486" t="s">
        <v>540</v>
      </c>
      <c r="H486" t="s">
        <v>541</v>
      </c>
      <c r="I486" t="s">
        <v>544</v>
      </c>
      <c r="J486" t="s">
        <v>545</v>
      </c>
      <c r="K486" t="s">
        <v>42</v>
      </c>
      <c r="L486" t="s">
        <v>12252</v>
      </c>
      <c r="BU486" s="6"/>
      <c r="BV486" s="6"/>
      <c r="BW486" s="6"/>
      <c r="BX486" s="6"/>
      <c r="BY486" s="6"/>
    </row>
    <row r="487" spans="1:77" x14ac:dyDescent="0.3">
      <c r="A487" s="8">
        <v>486</v>
      </c>
      <c r="B487" s="1">
        <v>435</v>
      </c>
      <c r="C487" t="s">
        <v>12118</v>
      </c>
      <c r="D487" s="1" t="s">
        <v>5205</v>
      </c>
      <c r="E487" s="1" t="s">
        <v>5207</v>
      </c>
      <c r="F487" s="1">
        <v>2023</v>
      </c>
      <c r="G487" s="1" t="s">
        <v>5208</v>
      </c>
      <c r="H487" s="1" t="str">
        <f>HYPERLINK("http://dx.doi.org/10.3390/buildings13040857","http://dx.doi.org/10.3390/buildings13040857")</f>
        <v>http://dx.doi.org/10.3390/buildings13040857</v>
      </c>
      <c r="I487" s="1" t="s">
        <v>5210</v>
      </c>
      <c r="J487" s="1" t="s">
        <v>5209</v>
      </c>
      <c r="K487" s="1" t="s">
        <v>42</v>
      </c>
      <c r="L487" s="1" t="s">
        <v>56</v>
      </c>
    </row>
    <row r="488" spans="1:77" x14ac:dyDescent="0.3">
      <c r="A488" s="8">
        <v>487</v>
      </c>
      <c r="B488" s="1">
        <v>437</v>
      </c>
      <c r="C488" t="s">
        <v>12118</v>
      </c>
      <c r="D488" s="1" t="s">
        <v>6265</v>
      </c>
      <c r="E488" s="1" t="s">
        <v>6267</v>
      </c>
      <c r="F488" s="1">
        <v>2023</v>
      </c>
      <c r="G488" s="1" t="s">
        <v>6268</v>
      </c>
      <c r="H488" s="1" t="str">
        <f>HYPERLINK("http://dx.doi.org/10.1109/HOTI59126.2023.00022","http://dx.doi.org/10.1109/HOTI59126.2023.00022")</f>
        <v>http://dx.doi.org/10.1109/HOTI59126.2023.00022</v>
      </c>
      <c r="I488" s="1" t="s">
        <v>6275</v>
      </c>
      <c r="J488" s="1" t="s">
        <v>6274</v>
      </c>
      <c r="K488" s="1" t="s">
        <v>42</v>
      </c>
      <c r="L488" s="1" t="s">
        <v>5552</v>
      </c>
    </row>
    <row r="489" spans="1:77" x14ac:dyDescent="0.3">
      <c r="A489" s="8">
        <v>488</v>
      </c>
      <c r="B489" s="1">
        <v>438</v>
      </c>
      <c r="C489" t="s">
        <v>12118</v>
      </c>
      <c r="D489" s="1" t="s">
        <v>8188</v>
      </c>
      <c r="E489" s="1" t="s">
        <v>8190</v>
      </c>
      <c r="F489" s="1">
        <v>2021</v>
      </c>
      <c r="G489" s="1" t="s">
        <v>8191</v>
      </c>
      <c r="H489" s="1" t="s">
        <v>1507</v>
      </c>
      <c r="I489" s="1" t="s">
        <v>8194</v>
      </c>
      <c r="J489" s="1" t="s">
        <v>8192</v>
      </c>
      <c r="K489" s="1" t="s">
        <v>42</v>
      </c>
      <c r="L489" s="1" t="s">
        <v>56</v>
      </c>
    </row>
    <row r="490" spans="1:77" x14ac:dyDescent="0.3">
      <c r="A490" s="8">
        <v>489</v>
      </c>
      <c r="B490">
        <v>135</v>
      </c>
      <c r="C490" t="s">
        <v>12204</v>
      </c>
      <c r="D490" t="s">
        <v>13263</v>
      </c>
      <c r="E490" t="s">
        <v>757</v>
      </c>
      <c r="F490">
        <v>2023</v>
      </c>
      <c r="G490" t="s">
        <v>366</v>
      </c>
      <c r="H490" t="s">
        <v>759</v>
      </c>
      <c r="I490" t="s">
        <v>761</v>
      </c>
      <c r="K490" t="s">
        <v>42</v>
      </c>
      <c r="L490" t="s">
        <v>56</v>
      </c>
    </row>
    <row r="491" spans="1:77" x14ac:dyDescent="0.3">
      <c r="A491" s="8">
        <v>490</v>
      </c>
      <c r="B491" s="1">
        <v>440</v>
      </c>
      <c r="C491" t="s">
        <v>12118</v>
      </c>
      <c r="D491" s="1" t="s">
        <v>4761</v>
      </c>
      <c r="E491" s="1" t="s">
        <v>4763</v>
      </c>
      <c r="F491" s="1">
        <v>2023</v>
      </c>
      <c r="G491" s="1" t="s">
        <v>4595</v>
      </c>
      <c r="H491" s="1" t="s">
        <v>1507</v>
      </c>
      <c r="I491" s="1" t="s">
        <v>4764</v>
      </c>
      <c r="J491" s="1" t="s">
        <v>1507</v>
      </c>
      <c r="K491" s="1" t="s">
        <v>42</v>
      </c>
      <c r="L491" s="1" t="s">
        <v>56</v>
      </c>
    </row>
    <row r="492" spans="1:77" x14ac:dyDescent="0.3">
      <c r="A492" s="8">
        <v>491</v>
      </c>
      <c r="B492" s="1">
        <v>442</v>
      </c>
      <c r="C492" t="s">
        <v>12118</v>
      </c>
      <c r="D492" s="1" t="s">
        <v>2930</v>
      </c>
      <c r="E492" s="1" t="s">
        <v>2932</v>
      </c>
      <c r="F492" s="1">
        <v>2023</v>
      </c>
      <c r="G492" s="1" t="s">
        <v>2874</v>
      </c>
      <c r="H492" s="1" t="str">
        <f>HYPERLINK("http://dx.doi.org/10.1016/j.jacr.2023.05.003","http://dx.doi.org/10.1016/j.jacr.2023.05.003")</f>
        <v>http://dx.doi.org/10.1016/j.jacr.2023.05.003</v>
      </c>
      <c r="I492" s="1" t="s">
        <v>2935</v>
      </c>
      <c r="J492" s="1" t="s">
        <v>2933</v>
      </c>
      <c r="K492" s="1" t="s">
        <v>42</v>
      </c>
      <c r="L492" s="1" t="s">
        <v>56</v>
      </c>
    </row>
    <row r="493" spans="1:77" x14ac:dyDescent="0.3">
      <c r="A493" s="8">
        <v>492</v>
      </c>
      <c r="B493">
        <v>137</v>
      </c>
      <c r="C493" t="s">
        <v>12204</v>
      </c>
      <c r="D493" t="s">
        <v>13173</v>
      </c>
      <c r="E493" t="s">
        <v>442</v>
      </c>
      <c r="F493">
        <v>2023</v>
      </c>
      <c r="G493" t="s">
        <v>305</v>
      </c>
      <c r="H493" t="s">
        <v>443</v>
      </c>
      <c r="I493" t="s">
        <v>446</v>
      </c>
      <c r="J493" t="s">
        <v>447</v>
      </c>
      <c r="K493" t="s">
        <v>42</v>
      </c>
      <c r="L493" t="s">
        <v>56</v>
      </c>
    </row>
    <row r="494" spans="1:77" x14ac:dyDescent="0.3">
      <c r="A494" s="8">
        <v>493</v>
      </c>
      <c r="B494">
        <v>138</v>
      </c>
      <c r="C494" t="s">
        <v>12204</v>
      </c>
      <c r="D494" t="s">
        <v>13313</v>
      </c>
      <c r="E494" t="s">
        <v>365</v>
      </c>
      <c r="F494">
        <v>2023</v>
      </c>
      <c r="G494" t="s">
        <v>366</v>
      </c>
      <c r="H494" t="s">
        <v>368</v>
      </c>
      <c r="I494" t="s">
        <v>371</v>
      </c>
      <c r="K494" t="s">
        <v>42</v>
      </c>
      <c r="L494" t="s">
        <v>56</v>
      </c>
    </row>
    <row r="495" spans="1:77" x14ac:dyDescent="0.3">
      <c r="A495" s="8">
        <v>494</v>
      </c>
      <c r="B495" s="1">
        <v>443</v>
      </c>
      <c r="C495" t="s">
        <v>12118</v>
      </c>
      <c r="D495" s="1" t="s">
        <v>4593</v>
      </c>
      <c r="E495" s="1" t="s">
        <v>365</v>
      </c>
      <c r="F495" s="1">
        <v>2023</v>
      </c>
      <c r="G495" s="1" t="s">
        <v>4595</v>
      </c>
      <c r="H495" s="1" t="str">
        <f>HYPERLINK("http://dx.doi.org/10.1148/radiol.230970","http://dx.doi.org/10.1148/radiol.230970")</f>
        <v>http://dx.doi.org/10.1148/radiol.230970</v>
      </c>
      <c r="I495" s="1" t="s">
        <v>4597</v>
      </c>
      <c r="J495" s="1" t="s">
        <v>1507</v>
      </c>
      <c r="K495" s="1" t="s">
        <v>42</v>
      </c>
      <c r="L495" s="1" t="s">
        <v>56</v>
      </c>
    </row>
    <row r="496" spans="1:77" x14ac:dyDescent="0.3">
      <c r="A496" s="8">
        <v>495</v>
      </c>
      <c r="B496" s="1">
        <v>444</v>
      </c>
      <c r="C496" t="s">
        <v>12118</v>
      </c>
      <c r="D496" s="1" t="s">
        <v>6822</v>
      </c>
      <c r="E496" s="1" t="s">
        <v>6824</v>
      </c>
      <c r="F496" s="1">
        <v>2022</v>
      </c>
      <c r="G496" s="1" t="s">
        <v>6825</v>
      </c>
      <c r="H496" s="1" t="str">
        <f>HYPERLINK("http://dx.doi.org/10.1186/s12889-022-14444-7","http://dx.doi.org/10.1186/s12889-022-14444-7")</f>
        <v>http://dx.doi.org/10.1186/s12889-022-14444-7</v>
      </c>
      <c r="I496" s="1" t="s">
        <v>6828</v>
      </c>
      <c r="J496" s="1" t="s">
        <v>6826</v>
      </c>
      <c r="K496" s="1" t="s">
        <v>42</v>
      </c>
      <c r="L496" s="1" t="s">
        <v>56</v>
      </c>
    </row>
    <row r="497" spans="1:78" x14ac:dyDescent="0.3">
      <c r="A497" s="8">
        <v>496</v>
      </c>
      <c r="B497">
        <v>139</v>
      </c>
      <c r="C497" t="s">
        <v>12204</v>
      </c>
      <c r="D497" t="s">
        <v>13525</v>
      </c>
      <c r="E497" t="s">
        <v>590</v>
      </c>
      <c r="F497">
        <v>2023</v>
      </c>
      <c r="G497" t="s">
        <v>591</v>
      </c>
      <c r="H497" t="s">
        <v>592</v>
      </c>
      <c r="I497" t="s">
        <v>595</v>
      </c>
      <c r="J497" t="s">
        <v>596</v>
      </c>
      <c r="K497" t="s">
        <v>42</v>
      </c>
      <c r="L497" t="s">
        <v>12252</v>
      </c>
      <c r="BH497" s="6"/>
      <c r="BI497" s="6"/>
      <c r="BJ497" s="6"/>
      <c r="BK497" s="6"/>
      <c r="BL497" s="6"/>
      <c r="BM497" s="6"/>
      <c r="BN497" s="6"/>
      <c r="BO497" s="6"/>
      <c r="BP497" s="6"/>
      <c r="BQ497" s="6"/>
      <c r="BR497" s="6"/>
      <c r="BS497" s="6"/>
      <c r="BT497" s="6"/>
      <c r="BU497" s="6"/>
      <c r="BV497" s="6"/>
      <c r="BW497" s="6"/>
      <c r="BX497" s="6"/>
      <c r="BY497" s="6"/>
      <c r="BZ497" s="6"/>
    </row>
    <row r="498" spans="1:78" x14ac:dyDescent="0.3">
      <c r="A498" s="8">
        <v>497</v>
      </c>
      <c r="B498">
        <v>140</v>
      </c>
      <c r="C498" t="s">
        <v>12204</v>
      </c>
      <c r="D498" t="s">
        <v>12786</v>
      </c>
      <c r="E498" t="s">
        <v>617</v>
      </c>
      <c r="F498">
        <v>2023</v>
      </c>
      <c r="G498" t="s">
        <v>618</v>
      </c>
      <c r="H498" t="s">
        <v>619</v>
      </c>
      <c r="I498" t="s">
        <v>622</v>
      </c>
      <c r="J498" t="s">
        <v>623</v>
      </c>
      <c r="K498" t="s">
        <v>42</v>
      </c>
      <c r="L498" t="s">
        <v>56</v>
      </c>
      <c r="BB498" s="6"/>
      <c r="BC498" s="6"/>
      <c r="BD498" s="6"/>
      <c r="BE498" s="6"/>
      <c r="BF498" s="6"/>
      <c r="BG498" s="6"/>
      <c r="BH498" s="6"/>
      <c r="BI498" s="6"/>
      <c r="BJ498" s="6"/>
      <c r="BK498" s="6"/>
      <c r="BL498" s="6"/>
      <c r="BM498" s="6"/>
      <c r="BN498" s="6"/>
      <c r="BO498" s="6"/>
      <c r="BP498" s="6"/>
      <c r="BQ498" s="6"/>
      <c r="BR498" s="6"/>
      <c r="BS498" s="6"/>
      <c r="BT498" s="6"/>
    </row>
    <row r="499" spans="1:78" x14ac:dyDescent="0.3">
      <c r="A499" s="8">
        <v>498</v>
      </c>
      <c r="B499" s="1">
        <v>445</v>
      </c>
      <c r="C499" t="s">
        <v>12118</v>
      </c>
      <c r="D499" s="1" t="s">
        <v>1935</v>
      </c>
      <c r="E499" s="1" t="s">
        <v>1937</v>
      </c>
      <c r="F499" s="1">
        <v>2023</v>
      </c>
      <c r="G499" s="1" t="s">
        <v>1938</v>
      </c>
      <c r="H499" s="1" t="str">
        <f>HYPERLINK("http://dx.doi.org/10.3389/fmed.2023.1296615","http://dx.doi.org/10.3389/fmed.2023.1296615")</f>
        <v>http://dx.doi.org/10.3389/fmed.2023.1296615</v>
      </c>
      <c r="I499" s="1" t="s">
        <v>1940</v>
      </c>
      <c r="J499" s="1" t="s">
        <v>1939</v>
      </c>
      <c r="K499" s="1" t="s">
        <v>42</v>
      </c>
      <c r="L499" s="1" t="s">
        <v>56</v>
      </c>
    </row>
    <row r="500" spans="1:78" x14ac:dyDescent="0.3">
      <c r="A500" s="8">
        <v>499</v>
      </c>
      <c r="B500" s="1">
        <v>446</v>
      </c>
      <c r="C500" t="s">
        <v>12118</v>
      </c>
      <c r="D500" s="1" t="s">
        <v>3649</v>
      </c>
      <c r="E500" s="1" t="s">
        <v>3651</v>
      </c>
      <c r="F500" s="1">
        <v>2023</v>
      </c>
      <c r="G500" s="1" t="s">
        <v>3652</v>
      </c>
      <c r="H500" s="1" t="str">
        <f>HYPERLINK("http://dx.doi.org/10.1136/bmjhci-2023-100830","http://dx.doi.org/10.1136/bmjhci-2023-100830")</f>
        <v>http://dx.doi.org/10.1136/bmjhci-2023-100830</v>
      </c>
      <c r="I500" s="1" t="s">
        <v>3654</v>
      </c>
      <c r="J500" s="1" t="s">
        <v>3653</v>
      </c>
      <c r="K500" s="1" t="s">
        <v>42</v>
      </c>
      <c r="L500" s="1" t="s">
        <v>56</v>
      </c>
    </row>
    <row r="501" spans="1:78" x14ac:dyDescent="0.3">
      <c r="A501" s="8">
        <v>500</v>
      </c>
      <c r="B501" s="1">
        <v>447</v>
      </c>
      <c r="C501" t="s">
        <v>12118</v>
      </c>
      <c r="D501" s="1" t="s">
        <v>4651</v>
      </c>
      <c r="E501" s="1" t="s">
        <v>4653</v>
      </c>
      <c r="F501" s="1">
        <v>2023</v>
      </c>
      <c r="G501" s="1" t="s">
        <v>3083</v>
      </c>
      <c r="H501" s="1" t="str">
        <f>HYPERLINK("http://dx.doi.org/10.7759/cureus.40546","http://dx.doi.org/10.7759/cureus.40546")</f>
        <v>http://dx.doi.org/10.7759/cureus.40546</v>
      </c>
      <c r="I501" s="1" t="s">
        <v>4655</v>
      </c>
      <c r="J501" s="1" t="s">
        <v>4654</v>
      </c>
      <c r="K501" s="1" t="s">
        <v>42</v>
      </c>
      <c r="L501" s="1" t="s">
        <v>56</v>
      </c>
    </row>
    <row r="502" spans="1:78" x14ac:dyDescent="0.3">
      <c r="A502" s="8">
        <v>501</v>
      </c>
      <c r="B502" s="1">
        <v>448</v>
      </c>
      <c r="C502" t="s">
        <v>12118</v>
      </c>
      <c r="D502" s="1" t="s">
        <v>3168</v>
      </c>
      <c r="E502" s="1" t="s">
        <v>3170</v>
      </c>
      <c r="F502" s="1">
        <v>2023</v>
      </c>
      <c r="G502" s="1" t="s">
        <v>3171</v>
      </c>
      <c r="H502" s="1" t="str">
        <f>HYPERLINK("http://dx.doi.org/10.1177/00905917231200826","http://dx.doi.org/10.1177/00905917231200826")</f>
        <v>http://dx.doi.org/10.1177/00905917231200826</v>
      </c>
      <c r="I502" s="1" t="s">
        <v>3174</v>
      </c>
      <c r="J502" s="1" t="s">
        <v>3172</v>
      </c>
      <c r="K502" s="1" t="s">
        <v>42</v>
      </c>
      <c r="L502" s="1" t="s">
        <v>1509</v>
      </c>
    </row>
    <row r="503" spans="1:78" x14ac:dyDescent="0.3">
      <c r="A503" s="8">
        <v>502</v>
      </c>
      <c r="B503" s="1">
        <v>449</v>
      </c>
      <c r="C503" t="s">
        <v>12118</v>
      </c>
      <c r="D503" s="1" t="s">
        <v>5412</v>
      </c>
      <c r="E503" s="1" t="s">
        <v>5414</v>
      </c>
      <c r="F503" s="1">
        <v>2023</v>
      </c>
      <c r="G503" s="1" t="s">
        <v>1999</v>
      </c>
      <c r="H503" s="1" t="str">
        <f>HYPERLINK("http://dx.doi.org/10.1371/journal.pone.0281581","http://dx.doi.org/10.1371/journal.pone.0281581")</f>
        <v>http://dx.doi.org/10.1371/journal.pone.0281581</v>
      </c>
      <c r="I503" s="1" t="s">
        <v>5415</v>
      </c>
      <c r="J503" s="1" t="s">
        <v>1507</v>
      </c>
      <c r="K503" s="1" t="s">
        <v>42</v>
      </c>
      <c r="L503" s="1" t="s">
        <v>56</v>
      </c>
    </row>
    <row r="504" spans="1:78" x14ac:dyDescent="0.3">
      <c r="A504" s="8">
        <v>503</v>
      </c>
      <c r="B504" s="1">
        <v>450</v>
      </c>
      <c r="C504" t="s">
        <v>12118</v>
      </c>
      <c r="D504" s="1" t="s">
        <v>10571</v>
      </c>
      <c r="E504" s="1" t="s">
        <v>10573</v>
      </c>
      <c r="F504" s="1">
        <v>2019</v>
      </c>
      <c r="G504" s="1" t="s">
        <v>10574</v>
      </c>
      <c r="H504" s="1" t="str">
        <f>HYPERLINK("http://dx.doi.org/10.1007/s42161-019-00281-y","http://dx.doi.org/10.1007/s42161-019-00281-y")</f>
        <v>http://dx.doi.org/10.1007/s42161-019-00281-y</v>
      </c>
      <c r="I504" s="1" t="s">
        <v>10577</v>
      </c>
      <c r="J504" s="1" t="s">
        <v>10575</v>
      </c>
      <c r="K504" s="1" t="s">
        <v>42</v>
      </c>
      <c r="L504" s="1" t="s">
        <v>56</v>
      </c>
    </row>
    <row r="505" spans="1:78" x14ac:dyDescent="0.3">
      <c r="A505" s="8">
        <v>504</v>
      </c>
      <c r="B505" s="1">
        <v>451</v>
      </c>
      <c r="C505" t="s">
        <v>12118</v>
      </c>
      <c r="D505" s="1" t="s">
        <v>9265</v>
      </c>
      <c r="E505" s="1" t="s">
        <v>9268</v>
      </c>
      <c r="F505" s="1">
        <v>2021</v>
      </c>
      <c r="G505" s="1" t="s">
        <v>9269</v>
      </c>
      <c r="H505" s="1" t="str">
        <f>HYPERLINK("http://dx.doi.org/10.3233/SHTI210261","http://dx.doi.org/10.3233/SHTI210261")</f>
        <v>http://dx.doi.org/10.3233/SHTI210261</v>
      </c>
      <c r="I505" s="1" t="s">
        <v>9275</v>
      </c>
      <c r="J505" s="1" t="s">
        <v>9274</v>
      </c>
      <c r="K505" s="1" t="s">
        <v>42</v>
      </c>
      <c r="L505" s="1" t="s">
        <v>5552</v>
      </c>
    </row>
    <row r="506" spans="1:78" x14ac:dyDescent="0.3">
      <c r="A506" s="8">
        <v>505</v>
      </c>
      <c r="B506" s="1">
        <v>452</v>
      </c>
      <c r="C506" t="s">
        <v>12118</v>
      </c>
      <c r="D506" s="1" t="s">
        <v>6968</v>
      </c>
      <c r="E506" s="1" t="s">
        <v>6970</v>
      </c>
      <c r="F506" s="1">
        <v>2022</v>
      </c>
      <c r="G506" s="1" t="s">
        <v>6971</v>
      </c>
      <c r="H506" s="1" t="str">
        <f>HYPERLINK("http://dx.doi.org/10.1103/PhysRevB.106.115301","http://dx.doi.org/10.1103/PhysRevB.106.115301")</f>
        <v>http://dx.doi.org/10.1103/PhysRevB.106.115301</v>
      </c>
      <c r="I506" s="1" t="s">
        <v>6973</v>
      </c>
      <c r="J506" s="1" t="s">
        <v>1507</v>
      </c>
      <c r="K506" s="1" t="s">
        <v>42</v>
      </c>
      <c r="L506" s="1" t="s">
        <v>56</v>
      </c>
    </row>
    <row r="507" spans="1:78" x14ac:dyDescent="0.3">
      <c r="A507" s="8">
        <v>506</v>
      </c>
      <c r="B507" s="1">
        <v>453</v>
      </c>
      <c r="C507" t="s">
        <v>12118</v>
      </c>
      <c r="D507" s="1" t="s">
        <v>13917</v>
      </c>
      <c r="E507" s="1" t="s">
        <v>13651</v>
      </c>
      <c r="F507" s="1">
        <v>2023</v>
      </c>
      <c r="G507" s="1" t="s">
        <v>13919</v>
      </c>
      <c r="H507" s="1" t="str">
        <f>HYPERLINK("http://dx.doi.org/10.2519/jospt.2023.12000","http://dx.doi.org/10.2519/jospt.2023.12000")</f>
        <v>http://dx.doi.org/10.2519/jospt.2023.12000</v>
      </c>
      <c r="I507" s="1" t="s">
        <v>13920</v>
      </c>
      <c r="J507" s="1" t="s">
        <v>13644</v>
      </c>
      <c r="K507" s="1" t="s">
        <v>42</v>
      </c>
      <c r="L507" s="1" t="s">
        <v>56</v>
      </c>
    </row>
    <row r="508" spans="1:78" x14ac:dyDescent="0.3">
      <c r="A508" s="8">
        <v>507</v>
      </c>
      <c r="B508" s="1">
        <v>454</v>
      </c>
      <c r="C508" t="s">
        <v>12118</v>
      </c>
      <c r="D508" s="1" t="s">
        <v>9556</v>
      </c>
      <c r="E508" s="1" t="s">
        <v>9558</v>
      </c>
      <c r="F508" s="1">
        <v>2020</v>
      </c>
      <c r="G508" s="1" t="s">
        <v>9559</v>
      </c>
      <c r="H508" s="1" t="s">
        <v>1507</v>
      </c>
      <c r="I508" s="1" t="s">
        <v>9561</v>
      </c>
      <c r="J508" s="1" t="s">
        <v>1507</v>
      </c>
      <c r="K508" s="1" t="s">
        <v>42</v>
      </c>
      <c r="L508" s="1" t="s">
        <v>56</v>
      </c>
    </row>
    <row r="509" spans="1:78" x14ac:dyDescent="0.3">
      <c r="A509" s="8">
        <v>508</v>
      </c>
      <c r="B509" s="1">
        <v>455</v>
      </c>
      <c r="C509" t="s">
        <v>12118</v>
      </c>
      <c r="D509" s="1" t="s">
        <v>7041</v>
      </c>
      <c r="E509" s="1" t="s">
        <v>7043</v>
      </c>
      <c r="F509" s="1">
        <v>2022</v>
      </c>
      <c r="G509" s="1" t="s">
        <v>5244</v>
      </c>
      <c r="H509" s="1" t="str">
        <f>HYPERLINK("http://dx.doi.org/10.1021/acs.energyfuels.2c02122","http://dx.doi.org/10.1021/acs.energyfuels.2c02122")</f>
        <v>http://dx.doi.org/10.1021/acs.energyfuels.2c02122</v>
      </c>
      <c r="I509" s="1" t="s">
        <v>7045</v>
      </c>
      <c r="J509" s="1" t="s">
        <v>1507</v>
      </c>
      <c r="K509" s="1" t="s">
        <v>42</v>
      </c>
      <c r="L509" s="1" t="s">
        <v>56</v>
      </c>
    </row>
    <row r="510" spans="1:78" x14ac:dyDescent="0.3">
      <c r="A510" s="8">
        <v>509</v>
      </c>
      <c r="B510" s="1">
        <v>457</v>
      </c>
      <c r="C510" t="s">
        <v>12118</v>
      </c>
      <c r="D510" s="1" t="s">
        <v>15826</v>
      </c>
      <c r="E510" s="1" t="s">
        <v>10049</v>
      </c>
      <c r="F510" s="1">
        <v>2020</v>
      </c>
      <c r="G510" s="1" t="s">
        <v>10050</v>
      </c>
      <c r="H510" s="1" t="str">
        <f>HYPERLINK("http://dx.doi.org/10.1128/MRA.00169-20","http://dx.doi.org/10.1128/MRA.00169-20")</f>
        <v>http://dx.doi.org/10.1128/MRA.00169-20</v>
      </c>
      <c r="I510" s="1" t="s">
        <v>10052</v>
      </c>
      <c r="J510" s="1" t="s">
        <v>1507</v>
      </c>
      <c r="K510" s="1" t="s">
        <v>42</v>
      </c>
      <c r="L510" s="1" t="s">
        <v>10051</v>
      </c>
    </row>
    <row r="511" spans="1:78" x14ac:dyDescent="0.3">
      <c r="A511" s="8">
        <v>510</v>
      </c>
      <c r="B511" s="1">
        <v>458</v>
      </c>
      <c r="C511" t="s">
        <v>12118</v>
      </c>
      <c r="D511" s="1" t="s">
        <v>15325</v>
      </c>
      <c r="E511" s="1" t="s">
        <v>15327</v>
      </c>
      <c r="F511" s="1">
        <v>2023</v>
      </c>
      <c r="G511" s="1" t="s">
        <v>15092</v>
      </c>
      <c r="H511" s="1" t="str">
        <f>HYPERLINK("http://dx.doi.org/10.1145/3583780.3615311","http://dx.doi.org/10.1145/3583780.3615311")</f>
        <v>http://dx.doi.org/10.1145/3583780.3615311</v>
      </c>
      <c r="I511" s="1" t="s">
        <v>15329</v>
      </c>
      <c r="J511" s="1" t="s">
        <v>15328</v>
      </c>
      <c r="K511" s="1" t="s">
        <v>42</v>
      </c>
      <c r="L511" s="1" t="s">
        <v>5552</v>
      </c>
    </row>
    <row r="512" spans="1:78" x14ac:dyDescent="0.3">
      <c r="A512" s="8">
        <v>511</v>
      </c>
      <c r="B512" s="1">
        <v>459</v>
      </c>
      <c r="C512" t="s">
        <v>12118</v>
      </c>
      <c r="D512" s="1" t="s">
        <v>11084</v>
      </c>
      <c r="E512" s="1" t="s">
        <v>11086</v>
      </c>
      <c r="F512" s="1">
        <v>2019</v>
      </c>
      <c r="G512" s="1" t="s">
        <v>11087</v>
      </c>
      <c r="H512" s="1" t="str">
        <f>HYPERLINK("http://dx.doi.org/10.1007/s12046-019-1058-4","http://dx.doi.org/10.1007/s12046-019-1058-4")</f>
        <v>http://dx.doi.org/10.1007/s12046-019-1058-4</v>
      </c>
      <c r="I512" s="1" t="s">
        <v>11090</v>
      </c>
      <c r="J512" s="1" t="s">
        <v>11088</v>
      </c>
      <c r="K512" s="1" t="s">
        <v>42</v>
      </c>
      <c r="L512" s="1" t="s">
        <v>56</v>
      </c>
    </row>
    <row r="513" spans="1:12" x14ac:dyDescent="0.3">
      <c r="A513" s="8">
        <v>512</v>
      </c>
      <c r="B513" s="1">
        <v>460</v>
      </c>
      <c r="C513" t="s">
        <v>12118</v>
      </c>
      <c r="D513" s="1" t="s">
        <v>5095</v>
      </c>
      <c r="E513" s="1" t="s">
        <v>5097</v>
      </c>
      <c r="F513" s="1">
        <v>2023</v>
      </c>
      <c r="G513" s="1" t="s">
        <v>5098</v>
      </c>
      <c r="H513" s="1" t="str">
        <f>HYPERLINK("http://dx.doi.org/10.1016/j.compfluid.2023.105896","http://dx.doi.org/10.1016/j.compfluid.2023.105896")</f>
        <v>http://dx.doi.org/10.1016/j.compfluid.2023.105896</v>
      </c>
      <c r="I513" s="1" t="s">
        <v>5101</v>
      </c>
      <c r="J513" s="1" t="s">
        <v>5099</v>
      </c>
      <c r="K513" s="1" t="s">
        <v>42</v>
      </c>
      <c r="L513" s="1" t="s">
        <v>56</v>
      </c>
    </row>
    <row r="514" spans="1:12" x14ac:dyDescent="0.3">
      <c r="A514" s="8">
        <v>513</v>
      </c>
      <c r="B514" s="1">
        <v>462</v>
      </c>
      <c r="C514" t="s">
        <v>12118</v>
      </c>
      <c r="D514" s="1" t="s">
        <v>6291</v>
      </c>
      <c r="E514" s="1" t="s">
        <v>6293</v>
      </c>
      <c r="F514" s="1">
        <v>2023</v>
      </c>
      <c r="G514" s="1" t="s">
        <v>6294</v>
      </c>
      <c r="H514" s="1" t="str">
        <f>HYPERLINK("http://dx.doi.org/10.1145/3578337.3605144","http://dx.doi.org/10.1145/3578337.3605144")</f>
        <v>http://dx.doi.org/10.1145/3578337.3605144</v>
      </c>
      <c r="I514" s="1" t="s">
        <v>6298</v>
      </c>
      <c r="J514" s="1" t="s">
        <v>6297</v>
      </c>
      <c r="K514" s="1" t="s">
        <v>42</v>
      </c>
      <c r="L514" s="1" t="s">
        <v>5552</v>
      </c>
    </row>
    <row r="515" spans="1:12" x14ac:dyDescent="0.3">
      <c r="A515" s="8">
        <v>514</v>
      </c>
      <c r="B515">
        <v>143</v>
      </c>
      <c r="C515" t="s">
        <v>12204</v>
      </c>
      <c r="D515" t="s">
        <v>12541</v>
      </c>
      <c r="E515" t="s">
        <v>1057</v>
      </c>
      <c r="F515">
        <v>2023</v>
      </c>
      <c r="G515" t="s">
        <v>996</v>
      </c>
      <c r="H515" t="s">
        <v>1059</v>
      </c>
      <c r="I515" t="s">
        <v>1062</v>
      </c>
      <c r="J515" t="s">
        <v>1063</v>
      </c>
      <c r="K515" t="s">
        <v>42</v>
      </c>
      <c r="L515" t="s">
        <v>56</v>
      </c>
    </row>
    <row r="516" spans="1:12" x14ac:dyDescent="0.3">
      <c r="A516" s="8">
        <v>515</v>
      </c>
      <c r="B516" s="1">
        <v>463</v>
      </c>
      <c r="C516" t="s">
        <v>12118</v>
      </c>
      <c r="D516" s="1" t="s">
        <v>6307</v>
      </c>
      <c r="E516" s="1" t="s">
        <v>1057</v>
      </c>
      <c r="F516" s="1">
        <v>2023</v>
      </c>
      <c r="G516" s="1" t="s">
        <v>5976</v>
      </c>
      <c r="H516" s="1" t="str">
        <f>HYPERLINK("http://dx.doi.org/10.2196/48254","http://dx.doi.org/10.2196/48254")</f>
        <v>http://dx.doi.org/10.2196/48254</v>
      </c>
      <c r="I516" s="1" t="s">
        <v>6311</v>
      </c>
      <c r="J516" s="1" t="s">
        <v>6309</v>
      </c>
      <c r="K516" s="1" t="s">
        <v>42</v>
      </c>
      <c r="L516" s="1" t="s">
        <v>56</v>
      </c>
    </row>
    <row r="517" spans="1:12" x14ac:dyDescent="0.3">
      <c r="A517" s="8">
        <v>516</v>
      </c>
      <c r="B517" s="1">
        <v>465</v>
      </c>
      <c r="C517" t="s">
        <v>12118</v>
      </c>
      <c r="D517" s="1" t="s">
        <v>6803</v>
      </c>
      <c r="E517" s="1" t="s">
        <v>6805</v>
      </c>
      <c r="F517" s="1">
        <v>2022</v>
      </c>
      <c r="G517" s="1" t="s">
        <v>3251</v>
      </c>
      <c r="H517" s="1" t="str">
        <f>HYPERLINK("http://dx.doi.org/10.1073/pnas.2211715119","http://dx.doi.org/10.1073/pnas.2211715119")</f>
        <v>http://dx.doi.org/10.1073/pnas.2211715119</v>
      </c>
      <c r="I517" s="1" t="s">
        <v>6808</v>
      </c>
      <c r="J517" s="1" t="s">
        <v>6806</v>
      </c>
      <c r="K517" s="1" t="s">
        <v>42</v>
      </c>
      <c r="L517" s="1" t="s">
        <v>56</v>
      </c>
    </row>
    <row r="518" spans="1:12" x14ac:dyDescent="0.3">
      <c r="A518" s="8">
        <v>517</v>
      </c>
      <c r="B518" s="1">
        <v>466</v>
      </c>
      <c r="C518" t="s">
        <v>12118</v>
      </c>
      <c r="D518" s="1" t="s">
        <v>10428</v>
      </c>
      <c r="E518" s="1" t="s">
        <v>10430</v>
      </c>
      <c r="F518" s="1">
        <v>2019</v>
      </c>
      <c r="G518" s="1" t="s">
        <v>10431</v>
      </c>
      <c r="H518" s="1" t="str">
        <f>HYPERLINK("http://dx.doi.org/10.1186/s12884-019-2602-2","http://dx.doi.org/10.1186/s12884-019-2602-2")</f>
        <v>http://dx.doi.org/10.1186/s12884-019-2602-2</v>
      </c>
      <c r="I518" s="1" t="s">
        <v>10434</v>
      </c>
      <c r="J518" s="1" t="s">
        <v>10432</v>
      </c>
      <c r="K518" s="1" t="s">
        <v>42</v>
      </c>
      <c r="L518" s="1" t="s">
        <v>56</v>
      </c>
    </row>
    <row r="519" spans="1:12" x14ac:dyDescent="0.3">
      <c r="A519" s="8">
        <v>518</v>
      </c>
      <c r="B519" s="1">
        <v>467</v>
      </c>
      <c r="C519" t="s">
        <v>12118</v>
      </c>
      <c r="D519" s="1" t="s">
        <v>15340</v>
      </c>
      <c r="E519" s="1" t="s">
        <v>15343</v>
      </c>
      <c r="F519" s="1">
        <v>2023</v>
      </c>
      <c r="G519" s="1" t="s">
        <v>15344</v>
      </c>
      <c r="H519" s="1" t="str">
        <f>HYPERLINK("http://dx.doi.org/10.1007/978-3-031-44198-1_34","http://dx.doi.org/10.1007/978-3-031-44198-1_34")</f>
        <v>http://dx.doi.org/10.1007/978-3-031-44198-1_34</v>
      </c>
      <c r="I519" s="1" t="s">
        <v>15348</v>
      </c>
      <c r="J519" s="1" t="s">
        <v>15347</v>
      </c>
      <c r="K519" s="1" t="s">
        <v>42</v>
      </c>
      <c r="L519" s="1" t="s">
        <v>5552</v>
      </c>
    </row>
    <row r="520" spans="1:12" x14ac:dyDescent="0.3">
      <c r="A520" s="8">
        <v>519</v>
      </c>
      <c r="B520">
        <v>144</v>
      </c>
      <c r="C520" t="s">
        <v>12204</v>
      </c>
      <c r="D520" t="s">
        <v>13371</v>
      </c>
      <c r="E520" t="s">
        <v>33</v>
      </c>
      <c r="F520">
        <v>2023</v>
      </c>
      <c r="G520" t="s">
        <v>34</v>
      </c>
      <c r="H520" t="s">
        <v>35</v>
      </c>
      <c r="I520" t="s">
        <v>38</v>
      </c>
      <c r="J520" t="s">
        <v>39</v>
      </c>
      <c r="K520" t="s">
        <v>42</v>
      </c>
      <c r="L520" t="s">
        <v>12252</v>
      </c>
    </row>
    <row r="521" spans="1:12" x14ac:dyDescent="0.3">
      <c r="A521" s="8">
        <v>520</v>
      </c>
      <c r="B521" s="1">
        <v>468</v>
      </c>
      <c r="C521" t="s">
        <v>12118</v>
      </c>
      <c r="D521" s="1" t="s">
        <v>6318</v>
      </c>
      <c r="E521" s="1" t="s">
        <v>33</v>
      </c>
      <c r="F521" s="1">
        <v>2023</v>
      </c>
      <c r="G521" s="1" t="s">
        <v>6114</v>
      </c>
      <c r="H521" s="1" t="str">
        <f>HYPERLINK("http://dx.doi.org/10.1145/3568813.3600142","http://dx.doi.org/10.1145/3568813.3600142")</f>
        <v>http://dx.doi.org/10.1145/3568813.3600142</v>
      </c>
      <c r="I521" s="1" t="s">
        <v>6321</v>
      </c>
      <c r="J521" s="1" t="s">
        <v>6320</v>
      </c>
      <c r="K521" s="1" t="s">
        <v>42</v>
      </c>
      <c r="L521" s="1" t="s">
        <v>5552</v>
      </c>
    </row>
    <row r="522" spans="1:12" x14ac:dyDescent="0.3">
      <c r="A522" s="8">
        <v>521</v>
      </c>
      <c r="B522" s="1">
        <v>469</v>
      </c>
      <c r="C522" t="s">
        <v>12118</v>
      </c>
      <c r="D522" s="1" t="s">
        <v>10815</v>
      </c>
      <c r="E522" s="1" t="s">
        <v>10817</v>
      </c>
      <c r="F522" s="1">
        <v>2019</v>
      </c>
      <c r="G522" s="1" t="s">
        <v>8666</v>
      </c>
      <c r="H522" s="1" t="str">
        <f>HYPERLINK("http://dx.doi.org/10.1172/jci.insight.122998","http://dx.doi.org/10.1172/jci.insight.122998")</f>
        <v>http://dx.doi.org/10.1172/jci.insight.122998</v>
      </c>
      <c r="I522" s="1" t="s">
        <v>10819</v>
      </c>
      <c r="J522" s="1" t="s">
        <v>1507</v>
      </c>
      <c r="K522" s="1" t="s">
        <v>42</v>
      </c>
      <c r="L522" s="1" t="s">
        <v>56</v>
      </c>
    </row>
    <row r="523" spans="1:12" x14ac:dyDescent="0.3">
      <c r="A523" s="8">
        <v>522</v>
      </c>
      <c r="B523" s="1">
        <v>470</v>
      </c>
      <c r="C523" t="s">
        <v>12118</v>
      </c>
      <c r="D523" s="1" t="s">
        <v>7278</v>
      </c>
      <c r="E523" s="1" t="s">
        <v>7280</v>
      </c>
      <c r="F523" s="1">
        <v>2022</v>
      </c>
      <c r="G523" s="1" t="s">
        <v>7281</v>
      </c>
      <c r="H523" s="1" t="str">
        <f>HYPERLINK("http://dx.doi.org/10.1021/acsearthspacechem.2c00017","http://dx.doi.org/10.1021/acsearthspacechem.2c00017")</f>
        <v>http://dx.doi.org/10.1021/acsearthspacechem.2c00017</v>
      </c>
      <c r="I523" s="1" t="s">
        <v>7284</v>
      </c>
      <c r="J523" s="1" t="s">
        <v>7282</v>
      </c>
      <c r="K523" s="1" t="s">
        <v>42</v>
      </c>
      <c r="L523" s="1" t="s">
        <v>56</v>
      </c>
    </row>
    <row r="524" spans="1:12" x14ac:dyDescent="0.3">
      <c r="A524" s="8">
        <v>523</v>
      </c>
      <c r="B524" s="1">
        <v>471</v>
      </c>
      <c r="C524" t="s">
        <v>12118</v>
      </c>
      <c r="D524" s="1" t="s">
        <v>5139</v>
      </c>
      <c r="E524" s="1" t="s">
        <v>5141</v>
      </c>
      <c r="F524" s="1">
        <v>2023</v>
      </c>
      <c r="G524" s="1" t="s">
        <v>5142</v>
      </c>
      <c r="H524" s="1" t="str">
        <f>HYPERLINK("http://dx.doi.org/10.1007/s10796-023-10375-9","http://dx.doi.org/10.1007/s10796-023-10375-9")</f>
        <v>http://dx.doi.org/10.1007/s10796-023-10375-9</v>
      </c>
      <c r="I524" s="1" t="s">
        <v>5145</v>
      </c>
      <c r="J524" s="1" t="s">
        <v>5143</v>
      </c>
      <c r="K524" s="1" t="s">
        <v>42</v>
      </c>
      <c r="L524" s="1" t="s">
        <v>1509</v>
      </c>
    </row>
    <row r="525" spans="1:12" x14ac:dyDescent="0.3">
      <c r="A525" s="8">
        <v>524</v>
      </c>
      <c r="B525" s="1">
        <v>472</v>
      </c>
      <c r="C525" t="s">
        <v>12118</v>
      </c>
      <c r="D525" s="1" t="s">
        <v>7459</v>
      </c>
      <c r="E525" s="1" t="s">
        <v>7461</v>
      </c>
      <c r="F525" s="1">
        <v>2022</v>
      </c>
      <c r="G525" s="1" t="s">
        <v>3475</v>
      </c>
      <c r="H525" s="1" t="str">
        <f>HYPERLINK("http://dx.doi.org/10.1038/s42256-022-00458-8","http://dx.doi.org/10.1038/s42256-022-00458-8")</f>
        <v>http://dx.doi.org/10.1038/s42256-022-00458-8</v>
      </c>
      <c r="I525" s="1" t="s">
        <v>7462</v>
      </c>
      <c r="J525" s="1" t="s">
        <v>1507</v>
      </c>
      <c r="K525" s="1" t="s">
        <v>42</v>
      </c>
      <c r="L525" s="1" t="s">
        <v>56</v>
      </c>
    </row>
    <row r="526" spans="1:12" x14ac:dyDescent="0.3">
      <c r="A526" s="8">
        <v>525</v>
      </c>
      <c r="B526" s="1">
        <v>473</v>
      </c>
      <c r="C526" t="s">
        <v>12118</v>
      </c>
      <c r="D526" s="1" t="s">
        <v>6327</v>
      </c>
      <c r="E526" s="1" t="s">
        <v>6330</v>
      </c>
      <c r="F526" s="1">
        <v>2023</v>
      </c>
      <c r="G526" s="1" t="s">
        <v>6331</v>
      </c>
      <c r="H526" s="1" t="str">
        <f>HYPERLINK("http://dx.doi.org/10.1007/978-3-031-43996-4_27","http://dx.doi.org/10.1007/978-3-031-43996-4_27")</f>
        <v>http://dx.doi.org/10.1007/978-3-031-43996-4_27</v>
      </c>
      <c r="I526" s="1" t="s">
        <v>6335</v>
      </c>
      <c r="J526" s="1" t="s">
        <v>1507</v>
      </c>
      <c r="K526" s="1" t="s">
        <v>42</v>
      </c>
      <c r="L526" s="1" t="s">
        <v>5552</v>
      </c>
    </row>
    <row r="527" spans="1:12" x14ac:dyDescent="0.3">
      <c r="A527" s="8">
        <v>526</v>
      </c>
      <c r="B527" s="1">
        <v>474</v>
      </c>
      <c r="C527" t="s">
        <v>12118</v>
      </c>
      <c r="D527" s="1" t="s">
        <v>2439</v>
      </c>
      <c r="E527" s="1" t="s">
        <v>2441</v>
      </c>
      <c r="F527" s="1">
        <v>2023</v>
      </c>
      <c r="G527" s="1" t="s">
        <v>2442</v>
      </c>
      <c r="H527" s="1" t="str">
        <f>HYPERLINK("http://dx.doi.org/10.1016/j.heliyon.2023.e22457","http://dx.doi.org/10.1016/j.heliyon.2023.e22457")</f>
        <v>http://dx.doi.org/10.1016/j.heliyon.2023.e22457</v>
      </c>
      <c r="I527" s="1" t="s">
        <v>2443</v>
      </c>
      <c r="J527" s="1" t="s">
        <v>1507</v>
      </c>
      <c r="K527" s="1" t="s">
        <v>42</v>
      </c>
      <c r="L527" s="1" t="s">
        <v>56</v>
      </c>
    </row>
    <row r="528" spans="1:12" x14ac:dyDescent="0.3">
      <c r="A528" s="8">
        <v>527</v>
      </c>
      <c r="B528">
        <v>145</v>
      </c>
      <c r="C528" t="s">
        <v>12204</v>
      </c>
      <c r="D528" t="s">
        <v>13588</v>
      </c>
      <c r="E528" t="s">
        <v>729</v>
      </c>
      <c r="F528">
        <v>2023</v>
      </c>
      <c r="G528" t="s">
        <v>636</v>
      </c>
      <c r="H528" t="s">
        <v>730</v>
      </c>
      <c r="I528" t="s">
        <v>733</v>
      </c>
      <c r="J528" t="s">
        <v>734</v>
      </c>
      <c r="K528" t="s">
        <v>42</v>
      </c>
      <c r="L528" t="s">
        <v>12252</v>
      </c>
    </row>
    <row r="529" spans="1:12" x14ac:dyDescent="0.3">
      <c r="A529" s="8">
        <v>528</v>
      </c>
      <c r="B529" s="1">
        <v>475</v>
      </c>
      <c r="C529" t="s">
        <v>12118</v>
      </c>
      <c r="D529" s="1" t="s">
        <v>7961</v>
      </c>
      <c r="E529" s="1" t="s">
        <v>7963</v>
      </c>
      <c r="F529" s="1">
        <v>2022</v>
      </c>
      <c r="G529" s="1" t="s">
        <v>7964</v>
      </c>
      <c r="H529" s="1" t="str">
        <f>HYPERLINK("http://dx.doi.org/10.1016/j.chemosphere.2021.132652","http://dx.doi.org/10.1016/j.chemosphere.2021.132652")</f>
        <v>http://dx.doi.org/10.1016/j.chemosphere.2021.132652</v>
      </c>
      <c r="I529" s="1" t="s">
        <v>7967</v>
      </c>
      <c r="J529" s="1" t="s">
        <v>7965</v>
      </c>
      <c r="K529" s="1" t="s">
        <v>42</v>
      </c>
      <c r="L529" s="1" t="s">
        <v>56</v>
      </c>
    </row>
    <row r="530" spans="1:12" x14ac:dyDescent="0.3">
      <c r="A530" s="8">
        <v>529</v>
      </c>
      <c r="B530" s="1">
        <v>476</v>
      </c>
      <c r="C530" t="s">
        <v>12118</v>
      </c>
      <c r="D530" s="1" t="s">
        <v>8990</v>
      </c>
      <c r="E530" s="1" t="s">
        <v>8992</v>
      </c>
      <c r="F530" s="1">
        <v>2021</v>
      </c>
      <c r="G530" s="1" t="s">
        <v>7964</v>
      </c>
      <c r="H530" s="1" t="str">
        <f>HYPERLINK("http://dx.doi.org/10.1016/j.chemosphere.2021.129928","http://dx.doi.org/10.1016/j.chemosphere.2021.129928")</f>
        <v>http://dx.doi.org/10.1016/j.chemosphere.2021.129928</v>
      </c>
      <c r="I530" s="1" t="s">
        <v>8995</v>
      </c>
      <c r="J530" s="1" t="s">
        <v>8993</v>
      </c>
      <c r="K530" s="1" t="s">
        <v>42</v>
      </c>
      <c r="L530" s="1" t="s">
        <v>56</v>
      </c>
    </row>
    <row r="531" spans="1:12" x14ac:dyDescent="0.3">
      <c r="A531" s="8">
        <v>530</v>
      </c>
      <c r="B531" s="1">
        <v>477</v>
      </c>
      <c r="C531" t="s">
        <v>12118</v>
      </c>
      <c r="D531" s="1" t="s">
        <v>4431</v>
      </c>
      <c r="E531" s="1" t="s">
        <v>4433</v>
      </c>
      <c r="F531" s="1">
        <v>2023</v>
      </c>
      <c r="G531" s="1" t="s">
        <v>1999</v>
      </c>
      <c r="H531" s="1" t="str">
        <f>HYPERLINK("http://dx.doi.org/10.1371/journal.pone.0288768","http://dx.doi.org/10.1371/journal.pone.0288768")</f>
        <v>http://dx.doi.org/10.1371/journal.pone.0288768</v>
      </c>
      <c r="I531" s="1" t="s">
        <v>4435</v>
      </c>
      <c r="J531" s="1" t="s">
        <v>1507</v>
      </c>
      <c r="K531" s="1" t="s">
        <v>42</v>
      </c>
      <c r="L531" s="1" t="s">
        <v>56</v>
      </c>
    </row>
    <row r="532" spans="1:12" x14ac:dyDescent="0.3">
      <c r="A532" s="8">
        <v>531</v>
      </c>
      <c r="B532" s="1">
        <v>478</v>
      </c>
      <c r="C532" t="s">
        <v>12118</v>
      </c>
      <c r="D532" s="1" t="s">
        <v>6349</v>
      </c>
      <c r="E532" s="1" t="s">
        <v>6351</v>
      </c>
      <c r="F532" s="1">
        <v>2023</v>
      </c>
      <c r="G532" s="1" t="s">
        <v>5976</v>
      </c>
      <c r="H532" s="1" t="str">
        <f>HYPERLINK("http://dx.doi.org/10.2196/53466","http://dx.doi.org/10.2196/53466")</f>
        <v>http://dx.doi.org/10.2196/53466</v>
      </c>
      <c r="I532" s="1" t="s">
        <v>6354</v>
      </c>
      <c r="J532" s="1" t="s">
        <v>6352</v>
      </c>
      <c r="K532" s="1" t="s">
        <v>42</v>
      </c>
      <c r="L532" s="1" t="s">
        <v>56</v>
      </c>
    </row>
    <row r="533" spans="1:12" x14ac:dyDescent="0.3">
      <c r="A533" s="8">
        <v>532</v>
      </c>
      <c r="B533" s="1">
        <v>479</v>
      </c>
      <c r="C533" t="s">
        <v>12118</v>
      </c>
      <c r="D533" s="1" t="s">
        <v>5351</v>
      </c>
      <c r="E533" s="1" t="s">
        <v>5353</v>
      </c>
      <c r="F533" s="1">
        <v>2023</v>
      </c>
      <c r="G533" s="1" t="s">
        <v>5013</v>
      </c>
      <c r="H533" s="1" t="str">
        <f>HYPERLINK("http://dx.doi.org/10.3390/app13052892","http://dx.doi.org/10.3390/app13052892")</f>
        <v>http://dx.doi.org/10.3390/app13052892</v>
      </c>
      <c r="I533" s="1" t="s">
        <v>5355</v>
      </c>
      <c r="J533" s="1" t="s">
        <v>5354</v>
      </c>
      <c r="K533" s="1" t="s">
        <v>42</v>
      </c>
      <c r="L533" s="1" t="s">
        <v>56</v>
      </c>
    </row>
    <row r="534" spans="1:12" x14ac:dyDescent="0.3">
      <c r="A534" s="8">
        <v>533</v>
      </c>
      <c r="B534" s="1">
        <v>480</v>
      </c>
      <c r="C534" t="s">
        <v>12118</v>
      </c>
      <c r="D534" s="1" t="s">
        <v>9598</v>
      </c>
      <c r="E534" s="1" t="s">
        <v>9600</v>
      </c>
      <c r="F534" s="1">
        <v>2020</v>
      </c>
      <c r="G534" s="1" t="s">
        <v>8155</v>
      </c>
      <c r="H534" s="1" t="str">
        <f>HYPERLINK("http://dx.doi.org/10.1016/j.psyneuen.2020.104733","http://dx.doi.org/10.1016/j.psyneuen.2020.104733")</f>
        <v>http://dx.doi.org/10.1016/j.psyneuen.2020.104733</v>
      </c>
      <c r="I534" s="1" t="s">
        <v>9603</v>
      </c>
      <c r="J534" s="1" t="s">
        <v>9601</v>
      </c>
      <c r="K534" s="1" t="s">
        <v>42</v>
      </c>
      <c r="L534" s="1" t="s">
        <v>56</v>
      </c>
    </row>
    <row r="535" spans="1:12" x14ac:dyDescent="0.3">
      <c r="A535" s="8">
        <v>534</v>
      </c>
      <c r="B535" s="1">
        <v>481</v>
      </c>
      <c r="C535" t="s">
        <v>12118</v>
      </c>
      <c r="D535" s="1" t="s">
        <v>8152</v>
      </c>
      <c r="E535" s="1" t="s">
        <v>8154</v>
      </c>
      <c r="F535" s="1">
        <v>2021</v>
      </c>
      <c r="G535" s="1" t="s">
        <v>8155</v>
      </c>
      <c r="H535" s="1" t="str">
        <f>HYPERLINK("http://dx.doi.org/10.1016/j.psyneuen.2021.105431","http://dx.doi.org/10.1016/j.psyneuen.2021.105431")</f>
        <v>http://dx.doi.org/10.1016/j.psyneuen.2021.105431</v>
      </c>
      <c r="I535" s="1" t="s">
        <v>8158</v>
      </c>
      <c r="J535" s="1" t="s">
        <v>8156</v>
      </c>
      <c r="K535" s="1" t="s">
        <v>42</v>
      </c>
      <c r="L535" s="1" t="s">
        <v>56</v>
      </c>
    </row>
    <row r="536" spans="1:12" x14ac:dyDescent="0.3">
      <c r="A536" s="8">
        <v>535</v>
      </c>
      <c r="B536" s="1">
        <v>482</v>
      </c>
      <c r="C536" t="s">
        <v>12118</v>
      </c>
      <c r="D536" s="1" t="s">
        <v>7486</v>
      </c>
      <c r="E536" s="1" t="s">
        <v>7488</v>
      </c>
      <c r="F536" s="1">
        <v>2022</v>
      </c>
      <c r="G536" s="1" t="s">
        <v>7489</v>
      </c>
      <c r="H536" s="1" t="str">
        <f>HYPERLINK("http://dx.doi.org/10.1177/09567976211036075","http://dx.doi.org/10.1177/09567976211036075")</f>
        <v>http://dx.doi.org/10.1177/09567976211036075</v>
      </c>
      <c r="I536" s="1" t="s">
        <v>7492</v>
      </c>
      <c r="J536" s="1" t="s">
        <v>7490</v>
      </c>
      <c r="K536" s="1" t="s">
        <v>42</v>
      </c>
      <c r="L536" s="1" t="s">
        <v>56</v>
      </c>
    </row>
    <row r="537" spans="1:12" x14ac:dyDescent="0.3">
      <c r="A537" s="8">
        <v>536</v>
      </c>
      <c r="B537" s="1">
        <v>483</v>
      </c>
      <c r="C537" t="s">
        <v>12118</v>
      </c>
      <c r="D537" s="1" t="s">
        <v>1954</v>
      </c>
      <c r="E537" s="1" t="s">
        <v>1956</v>
      </c>
      <c r="F537" s="1">
        <v>2023</v>
      </c>
      <c r="G537" s="1" t="s">
        <v>1957</v>
      </c>
      <c r="H537" s="1" t="str">
        <f>HYPERLINK("http://dx.doi.org/10.1111/all.15976","http://dx.doi.org/10.1111/all.15976")</f>
        <v>http://dx.doi.org/10.1111/all.15976</v>
      </c>
      <c r="I537" s="1" t="s">
        <v>1507</v>
      </c>
      <c r="J537" s="1" t="s">
        <v>1507</v>
      </c>
      <c r="K537" s="1" t="s">
        <v>42</v>
      </c>
      <c r="L537" s="1" t="s">
        <v>1509</v>
      </c>
    </row>
    <row r="538" spans="1:12" x14ac:dyDescent="0.3">
      <c r="A538" s="8">
        <v>537</v>
      </c>
      <c r="B538" s="1">
        <v>484</v>
      </c>
      <c r="C538" t="s">
        <v>12118</v>
      </c>
      <c r="D538" s="1" t="s">
        <v>9918</v>
      </c>
      <c r="E538" s="1" t="s">
        <v>9920</v>
      </c>
      <c r="F538" s="1">
        <v>2020</v>
      </c>
      <c r="G538" s="1" t="s">
        <v>1760</v>
      </c>
      <c r="H538" s="1" t="str">
        <f>HYPERLINK("http://dx.doi.org/10.1038/s41586-020-2342-5","http://dx.doi.org/10.1038/s41586-020-2342-5")</f>
        <v>http://dx.doi.org/10.1038/s41586-020-2342-5</v>
      </c>
      <c r="I538" s="1" t="s">
        <v>9922</v>
      </c>
      <c r="J538" s="1" t="s">
        <v>1507</v>
      </c>
      <c r="K538" s="1" t="s">
        <v>42</v>
      </c>
      <c r="L538" s="1" t="s">
        <v>56</v>
      </c>
    </row>
    <row r="539" spans="1:12" x14ac:dyDescent="0.3">
      <c r="A539" s="8">
        <v>538</v>
      </c>
      <c r="B539" s="1">
        <v>487</v>
      </c>
      <c r="C539" t="s">
        <v>12118</v>
      </c>
      <c r="D539" s="1" t="s">
        <v>11677</v>
      </c>
      <c r="E539" s="1" t="s">
        <v>11679</v>
      </c>
      <c r="F539" s="1">
        <v>2018</v>
      </c>
      <c r="G539" s="1" t="s">
        <v>11413</v>
      </c>
      <c r="H539" s="1" t="str">
        <f>HYPERLINK("http://dx.doi.org/10.2514/1.C034696","http://dx.doi.org/10.2514/1.C034696")</f>
        <v>http://dx.doi.org/10.2514/1.C034696</v>
      </c>
      <c r="I539" s="1" t="s">
        <v>11686</v>
      </c>
      <c r="J539" s="1" t="s">
        <v>1507</v>
      </c>
      <c r="K539" s="1" t="s">
        <v>42</v>
      </c>
      <c r="L539" s="1" t="s">
        <v>11680</v>
      </c>
    </row>
    <row r="540" spans="1:12" x14ac:dyDescent="0.3">
      <c r="A540" s="8">
        <v>539</v>
      </c>
      <c r="B540" s="1">
        <v>488</v>
      </c>
      <c r="C540" t="s">
        <v>12118</v>
      </c>
      <c r="D540" s="1" t="s">
        <v>11410</v>
      </c>
      <c r="E540" s="1" t="s">
        <v>11412</v>
      </c>
      <c r="F540" s="1">
        <v>2019</v>
      </c>
      <c r="G540" s="1" t="s">
        <v>11413</v>
      </c>
      <c r="H540" s="1" t="str">
        <f>HYPERLINK("http://dx.doi.org/10.2514/1.C034978","http://dx.doi.org/10.2514/1.C034978")</f>
        <v>http://dx.doi.org/10.2514/1.C034978</v>
      </c>
      <c r="I540" s="1" t="s">
        <v>11415</v>
      </c>
      <c r="J540" s="1" t="s">
        <v>1507</v>
      </c>
      <c r="K540" s="1" t="s">
        <v>42</v>
      </c>
      <c r="L540" s="1" t="s">
        <v>56</v>
      </c>
    </row>
    <row r="541" spans="1:12" x14ac:dyDescent="0.3">
      <c r="A541" s="8">
        <v>540</v>
      </c>
      <c r="B541">
        <v>146</v>
      </c>
      <c r="C541" t="s">
        <v>12204</v>
      </c>
      <c r="D541" t="s">
        <v>12697</v>
      </c>
      <c r="E541" t="s">
        <v>1119</v>
      </c>
      <c r="F541">
        <v>2023</v>
      </c>
      <c r="G541" t="s">
        <v>383</v>
      </c>
      <c r="I541" t="s">
        <v>12694</v>
      </c>
      <c r="J541" t="s">
        <v>1123</v>
      </c>
      <c r="K541" t="s">
        <v>42</v>
      </c>
      <c r="L541" t="s">
        <v>12252</v>
      </c>
    </row>
    <row r="542" spans="1:12" x14ac:dyDescent="0.3">
      <c r="A542" s="8">
        <v>541</v>
      </c>
      <c r="B542" s="1">
        <v>489</v>
      </c>
      <c r="C542" t="s">
        <v>12118</v>
      </c>
      <c r="D542" s="1" t="s">
        <v>9933</v>
      </c>
      <c r="E542" s="1" t="s">
        <v>9935</v>
      </c>
      <c r="F542" s="1">
        <v>2020</v>
      </c>
      <c r="G542" s="1" t="s">
        <v>1760</v>
      </c>
      <c r="H542" s="1" t="str">
        <f>HYPERLINK("http://dx.doi.org/10.1038/s41586-020-2334-5","http://dx.doi.org/10.1038/s41586-020-2334-5")</f>
        <v>http://dx.doi.org/10.1038/s41586-020-2334-5</v>
      </c>
      <c r="I542" s="1" t="s">
        <v>9936</v>
      </c>
      <c r="J542" s="1" t="s">
        <v>1507</v>
      </c>
      <c r="K542" s="1" t="s">
        <v>42</v>
      </c>
      <c r="L542" s="1" t="s">
        <v>56</v>
      </c>
    </row>
    <row r="543" spans="1:12" x14ac:dyDescent="0.3">
      <c r="A543" s="8">
        <v>542</v>
      </c>
      <c r="B543" s="1">
        <v>490</v>
      </c>
      <c r="C543" t="s">
        <v>12118</v>
      </c>
      <c r="D543" s="1" t="s">
        <v>9474</v>
      </c>
      <c r="E543" s="1" t="s">
        <v>9476</v>
      </c>
      <c r="F543" s="1">
        <v>2020</v>
      </c>
      <c r="G543" s="1" t="s">
        <v>8043</v>
      </c>
      <c r="H543" s="1" t="str">
        <f>HYPERLINK("http://dx.doi.org/10.1186/s10020-020-00224-9","http://dx.doi.org/10.1186/s10020-020-00224-9")</f>
        <v>http://dx.doi.org/10.1186/s10020-020-00224-9</v>
      </c>
      <c r="I543" s="1" t="s">
        <v>9479</v>
      </c>
      <c r="J543" s="1" t="s">
        <v>9477</v>
      </c>
      <c r="K543" s="1" t="s">
        <v>42</v>
      </c>
      <c r="L543" s="1" t="s">
        <v>56</v>
      </c>
    </row>
    <row r="544" spans="1:12" x14ac:dyDescent="0.3">
      <c r="A544" s="8">
        <v>543</v>
      </c>
      <c r="B544" s="1">
        <v>491</v>
      </c>
      <c r="C544" t="s">
        <v>12118</v>
      </c>
      <c r="D544" s="1" t="s">
        <v>9715</v>
      </c>
      <c r="E544" s="1" t="s">
        <v>9717</v>
      </c>
      <c r="F544" s="1">
        <v>2020</v>
      </c>
      <c r="G544" s="1" t="s">
        <v>8043</v>
      </c>
      <c r="H544" s="1" t="str">
        <f>HYPERLINK("http://dx.doi.org/10.1186/s10020-020-00177-z","http://dx.doi.org/10.1186/s10020-020-00177-z")</f>
        <v>http://dx.doi.org/10.1186/s10020-020-00177-z</v>
      </c>
      <c r="I544" s="1" t="s">
        <v>9720</v>
      </c>
      <c r="J544" s="1" t="s">
        <v>9718</v>
      </c>
      <c r="K544" s="1" t="s">
        <v>42</v>
      </c>
      <c r="L544" s="1" t="s">
        <v>56</v>
      </c>
    </row>
    <row r="545" spans="1:12" x14ac:dyDescent="0.3">
      <c r="A545" s="8">
        <v>544</v>
      </c>
      <c r="B545">
        <v>148</v>
      </c>
      <c r="C545" t="s">
        <v>12204</v>
      </c>
      <c r="D545" t="s">
        <v>521</v>
      </c>
      <c r="E545" t="s">
        <v>522</v>
      </c>
      <c r="F545">
        <v>2023</v>
      </c>
      <c r="G545" t="s">
        <v>523</v>
      </c>
      <c r="H545" t="s">
        <v>524</v>
      </c>
      <c r="I545" t="s">
        <v>526</v>
      </c>
      <c r="J545" t="s">
        <v>527</v>
      </c>
      <c r="K545" t="s">
        <v>42</v>
      </c>
      <c r="L545" t="s">
        <v>56</v>
      </c>
    </row>
    <row r="546" spans="1:12" x14ac:dyDescent="0.3">
      <c r="A546" s="8">
        <v>545</v>
      </c>
      <c r="B546" s="1">
        <v>492</v>
      </c>
      <c r="C546" t="s">
        <v>12118</v>
      </c>
      <c r="D546" s="1" t="s">
        <v>4771</v>
      </c>
      <c r="E546" s="1" t="s">
        <v>522</v>
      </c>
      <c r="F546" s="1">
        <v>2023</v>
      </c>
      <c r="G546" s="1" t="s">
        <v>4773</v>
      </c>
      <c r="H546" s="1" t="str">
        <f>HYPERLINK("http://dx.doi.org/10.1215/00029831-10575035","http://dx.doi.org/10.1215/00029831-10575035")</f>
        <v>http://dx.doi.org/10.1215/00029831-10575035</v>
      </c>
      <c r="I546" s="1" t="s">
        <v>4775</v>
      </c>
      <c r="J546" s="1" t="s">
        <v>4774</v>
      </c>
      <c r="K546" s="1" t="s">
        <v>42</v>
      </c>
      <c r="L546" s="1" t="s">
        <v>56</v>
      </c>
    </row>
    <row r="547" spans="1:12" x14ac:dyDescent="0.3">
      <c r="A547" s="8">
        <v>546</v>
      </c>
      <c r="B547" s="1">
        <v>493</v>
      </c>
      <c r="C547" t="s">
        <v>12118</v>
      </c>
      <c r="D547" s="1" t="s">
        <v>10365</v>
      </c>
      <c r="E547" s="1" t="s">
        <v>10368</v>
      </c>
      <c r="F547" s="1">
        <v>2020</v>
      </c>
      <c r="G547" s="1" t="s">
        <v>10369</v>
      </c>
      <c r="H547" s="1" t="s">
        <v>1507</v>
      </c>
      <c r="I547" s="1" t="s">
        <v>10374</v>
      </c>
      <c r="J547" s="1" t="s">
        <v>10373</v>
      </c>
      <c r="K547" s="1" t="s">
        <v>42</v>
      </c>
      <c r="L547" s="1" t="s">
        <v>5552</v>
      </c>
    </row>
    <row r="548" spans="1:12" x14ac:dyDescent="0.3">
      <c r="A548" s="8">
        <v>547</v>
      </c>
      <c r="B548" s="1">
        <v>494</v>
      </c>
      <c r="C548" t="s">
        <v>12118</v>
      </c>
      <c r="D548" s="1" t="s">
        <v>2285</v>
      </c>
      <c r="E548" s="1" t="s">
        <v>2287</v>
      </c>
      <c r="F548" s="1">
        <v>2023</v>
      </c>
      <c r="G548" s="1" t="s">
        <v>2288</v>
      </c>
      <c r="H548" s="1" t="str">
        <f>HYPERLINK("http://dx.doi.org/10.1128/jvi.01369-23","http://dx.doi.org/10.1128/jvi.01369-23")</f>
        <v>http://dx.doi.org/10.1128/jvi.01369-23</v>
      </c>
      <c r="I548" s="1" t="s">
        <v>2291</v>
      </c>
      <c r="J548" s="1" t="s">
        <v>2289</v>
      </c>
      <c r="K548" s="1" t="s">
        <v>42</v>
      </c>
      <c r="L548" s="1" t="s">
        <v>56</v>
      </c>
    </row>
    <row r="549" spans="1:12" x14ac:dyDescent="0.3">
      <c r="A549" s="8">
        <v>548</v>
      </c>
      <c r="B549" s="1">
        <v>495</v>
      </c>
      <c r="C549" t="s">
        <v>12118</v>
      </c>
      <c r="D549" s="1" t="s">
        <v>10477</v>
      </c>
      <c r="E549" s="1" t="s">
        <v>10479</v>
      </c>
      <c r="F549" s="1">
        <v>2019</v>
      </c>
      <c r="G549" s="1" t="s">
        <v>2288</v>
      </c>
      <c r="H549" s="1" t="str">
        <f>HYPERLINK("http://dx.doi.org/10.1128/JVI.01236-19","http://dx.doi.org/10.1128/JVI.01236-19")</f>
        <v>http://dx.doi.org/10.1128/JVI.01236-19</v>
      </c>
      <c r="I549" s="1" t="s">
        <v>10482</v>
      </c>
      <c r="J549" s="1" t="s">
        <v>10480</v>
      </c>
      <c r="K549" s="1" t="s">
        <v>42</v>
      </c>
      <c r="L549" s="1" t="s">
        <v>56</v>
      </c>
    </row>
    <row r="550" spans="1:12" x14ac:dyDescent="0.3">
      <c r="A550" s="8">
        <v>549</v>
      </c>
      <c r="B550" s="1">
        <v>496</v>
      </c>
      <c r="C550" t="s">
        <v>12118</v>
      </c>
      <c r="D550" s="1" t="s">
        <v>9895</v>
      </c>
      <c r="E550" s="1" t="s">
        <v>9897</v>
      </c>
      <c r="F550" s="1">
        <v>2020</v>
      </c>
      <c r="G550" s="1" t="s">
        <v>9898</v>
      </c>
      <c r="H550" s="1" t="str">
        <f>HYPERLINK("http://dx.doi.org/10.1016/j.jmmm.2020.166532","http://dx.doi.org/10.1016/j.jmmm.2020.166532")</f>
        <v>http://dx.doi.org/10.1016/j.jmmm.2020.166532</v>
      </c>
      <c r="I550" s="1" t="s">
        <v>9901</v>
      </c>
      <c r="J550" s="1" t="s">
        <v>9899</v>
      </c>
      <c r="K550" s="1" t="s">
        <v>42</v>
      </c>
      <c r="L550" s="1" t="s">
        <v>56</v>
      </c>
    </row>
    <row r="551" spans="1:12" x14ac:dyDescent="0.3">
      <c r="A551" s="8">
        <v>550</v>
      </c>
      <c r="B551" s="1">
        <v>497</v>
      </c>
      <c r="C551" t="s">
        <v>12118</v>
      </c>
      <c r="D551" s="1" t="s">
        <v>4018</v>
      </c>
      <c r="E551" s="1" t="s">
        <v>4020</v>
      </c>
      <c r="F551" s="1">
        <v>2023</v>
      </c>
      <c r="G551" s="1" t="s">
        <v>4021</v>
      </c>
      <c r="H551" s="1" t="str">
        <f>HYPERLINK("http://dx.doi.org/10.1016/j.jksuci.2023.101675","http://dx.doi.org/10.1016/j.jksuci.2023.101675")</f>
        <v>http://dx.doi.org/10.1016/j.jksuci.2023.101675</v>
      </c>
      <c r="I551" s="1" t="s">
        <v>4024</v>
      </c>
      <c r="J551" s="1" t="s">
        <v>4022</v>
      </c>
      <c r="K551" s="1" t="s">
        <v>42</v>
      </c>
      <c r="L551" s="1" t="s">
        <v>56</v>
      </c>
    </row>
    <row r="552" spans="1:12" x14ac:dyDescent="0.3">
      <c r="A552" s="8">
        <v>551</v>
      </c>
      <c r="B552">
        <v>149</v>
      </c>
      <c r="C552" t="s">
        <v>12204</v>
      </c>
      <c r="D552" t="s">
        <v>12580</v>
      </c>
      <c r="E552" t="s">
        <v>1247</v>
      </c>
      <c r="F552">
        <v>2023</v>
      </c>
      <c r="G552" t="s">
        <v>127</v>
      </c>
      <c r="H552" t="s">
        <v>1249</v>
      </c>
      <c r="I552" t="s">
        <v>1252</v>
      </c>
      <c r="J552" t="s">
        <v>1253</v>
      </c>
      <c r="K552" t="s">
        <v>42</v>
      </c>
      <c r="L552" t="s">
        <v>12252</v>
      </c>
    </row>
    <row r="553" spans="1:12" x14ac:dyDescent="0.3">
      <c r="A553" s="8">
        <v>552</v>
      </c>
      <c r="B553" s="1">
        <v>498</v>
      </c>
      <c r="C553" t="s">
        <v>12118</v>
      </c>
      <c r="D553" s="1" t="s">
        <v>6363</v>
      </c>
      <c r="E553" s="1" t="s">
        <v>6366</v>
      </c>
      <c r="F553" s="1">
        <v>2023</v>
      </c>
      <c r="G553" s="1" t="s">
        <v>6367</v>
      </c>
      <c r="H553" s="1" t="str">
        <f>HYPERLINK("http://dx.doi.org/10.1007/978-3-031-42608-7_16","http://dx.doi.org/10.1007/978-3-031-42608-7_16")</f>
        <v>http://dx.doi.org/10.1007/978-3-031-42608-7_16</v>
      </c>
      <c r="I553" s="1" t="s">
        <v>6373</v>
      </c>
      <c r="J553" s="1" t="s">
        <v>1253</v>
      </c>
      <c r="K553" s="1" t="s">
        <v>42</v>
      </c>
      <c r="L553" s="1" t="s">
        <v>5552</v>
      </c>
    </row>
    <row r="554" spans="1:12" x14ac:dyDescent="0.3">
      <c r="A554" s="8">
        <v>553</v>
      </c>
      <c r="B554" s="1">
        <v>499</v>
      </c>
      <c r="C554" t="s">
        <v>12118</v>
      </c>
      <c r="D554" s="1" t="s">
        <v>12056</v>
      </c>
      <c r="E554" s="1" t="s">
        <v>12058</v>
      </c>
      <c r="F554" s="1">
        <v>2018</v>
      </c>
      <c r="G554" s="1" t="s">
        <v>12059</v>
      </c>
      <c r="H554" s="1" t="str">
        <f>HYPERLINK("http://dx.doi.org/10.1080/15592294.2018.1518100","http://dx.doi.org/10.1080/15592294.2018.1518100")</f>
        <v>http://dx.doi.org/10.1080/15592294.2018.1518100</v>
      </c>
      <c r="I554" s="1" t="s">
        <v>12062</v>
      </c>
      <c r="J554" s="1" t="s">
        <v>12060</v>
      </c>
      <c r="K554" s="1" t="s">
        <v>42</v>
      </c>
      <c r="L554" s="1" t="s">
        <v>56</v>
      </c>
    </row>
    <row r="555" spans="1:12" x14ac:dyDescent="0.3">
      <c r="A555" s="8">
        <v>554</v>
      </c>
      <c r="B555" s="1">
        <v>500</v>
      </c>
      <c r="C555" t="s">
        <v>12118</v>
      </c>
      <c r="D555" s="1" t="s">
        <v>8019</v>
      </c>
      <c r="E555" s="1" t="s">
        <v>8021</v>
      </c>
      <c r="F555" s="1">
        <v>2021</v>
      </c>
      <c r="G555" s="1" t="s">
        <v>8022</v>
      </c>
      <c r="H555" s="1" t="str">
        <f>HYPERLINK("http://dx.doi.org/10.1186/s13148-021-01171-w","http://dx.doi.org/10.1186/s13148-021-01171-w")</f>
        <v>http://dx.doi.org/10.1186/s13148-021-01171-w</v>
      </c>
      <c r="I555" s="1" t="s">
        <v>8024</v>
      </c>
      <c r="J555" s="1" t="s">
        <v>1507</v>
      </c>
      <c r="K555" s="1" t="s">
        <v>42</v>
      </c>
      <c r="L555" s="1" t="s">
        <v>56</v>
      </c>
    </row>
    <row r="556" spans="1:12" x14ac:dyDescent="0.3">
      <c r="A556" s="8">
        <v>555</v>
      </c>
      <c r="B556">
        <v>150</v>
      </c>
      <c r="C556" t="s">
        <v>12204</v>
      </c>
      <c r="D556" t="s">
        <v>12906</v>
      </c>
      <c r="E556" t="s">
        <v>95</v>
      </c>
      <c r="F556">
        <v>2023</v>
      </c>
      <c r="G556" t="s">
        <v>96</v>
      </c>
      <c r="I556" t="s">
        <v>99</v>
      </c>
      <c r="K556" t="s">
        <v>42</v>
      </c>
      <c r="L556" t="s">
        <v>12252</v>
      </c>
    </row>
    <row r="557" spans="1:12" x14ac:dyDescent="0.3">
      <c r="A557" s="8">
        <v>556</v>
      </c>
      <c r="B557" s="1">
        <v>501</v>
      </c>
      <c r="C557" t="s">
        <v>12118</v>
      </c>
      <c r="D557" s="1" t="s">
        <v>11435</v>
      </c>
      <c r="E557" s="1" t="s">
        <v>11437</v>
      </c>
      <c r="F557" s="1">
        <v>2019</v>
      </c>
      <c r="G557" s="1" t="s">
        <v>11438</v>
      </c>
      <c r="H557" s="1" t="str">
        <f>HYPERLINK("http://dx.doi.org/10.1007/s00227-018-3452-6","http://dx.doi.org/10.1007/s00227-018-3452-6")</f>
        <v>http://dx.doi.org/10.1007/s00227-018-3452-6</v>
      </c>
      <c r="I557" s="1" t="s">
        <v>11440</v>
      </c>
      <c r="J557" s="1" t="s">
        <v>1507</v>
      </c>
      <c r="K557" s="1" t="s">
        <v>42</v>
      </c>
      <c r="L557" s="1" t="s">
        <v>56</v>
      </c>
    </row>
    <row r="558" spans="1:12" x14ac:dyDescent="0.3">
      <c r="A558" s="8">
        <v>557</v>
      </c>
      <c r="B558" s="1">
        <v>502</v>
      </c>
      <c r="C558" t="s">
        <v>12118</v>
      </c>
      <c r="D558" s="1" t="s">
        <v>12076</v>
      </c>
      <c r="E558" s="1" t="s">
        <v>12078</v>
      </c>
      <c r="F558" s="1">
        <v>2018</v>
      </c>
      <c r="G558" s="1" t="s">
        <v>11438</v>
      </c>
      <c r="H558" s="1" t="str">
        <f>HYPERLINK("http://dx.doi.org/10.1007/s00227-017-3269-8","http://dx.doi.org/10.1007/s00227-017-3269-8")</f>
        <v>http://dx.doi.org/10.1007/s00227-017-3269-8</v>
      </c>
      <c r="I558" s="1" t="s">
        <v>12080</v>
      </c>
      <c r="J558" s="1" t="s">
        <v>1507</v>
      </c>
      <c r="K558" s="1" t="s">
        <v>42</v>
      </c>
      <c r="L558" s="1" t="s">
        <v>56</v>
      </c>
    </row>
    <row r="559" spans="1:12" x14ac:dyDescent="0.3">
      <c r="A559" s="8">
        <v>558</v>
      </c>
      <c r="B559" s="1">
        <v>503</v>
      </c>
      <c r="C559" t="s">
        <v>12118</v>
      </c>
      <c r="D559" s="1" t="s">
        <v>7359</v>
      </c>
      <c r="E559" s="1" t="s">
        <v>7361</v>
      </c>
      <c r="F559" s="1">
        <v>2022</v>
      </c>
      <c r="G559" s="1" t="s">
        <v>7362</v>
      </c>
      <c r="H559" s="1" t="str">
        <f>HYPERLINK("http://dx.doi.org/10.1007/s11063-022-10772-2","http://dx.doi.org/10.1007/s11063-022-10772-2")</f>
        <v>http://dx.doi.org/10.1007/s11063-022-10772-2</v>
      </c>
      <c r="I559" s="1" t="s">
        <v>7365</v>
      </c>
      <c r="J559" s="1" t="s">
        <v>7363</v>
      </c>
      <c r="K559" s="1" t="s">
        <v>42</v>
      </c>
      <c r="L559" s="1" t="s">
        <v>56</v>
      </c>
    </row>
    <row r="560" spans="1:12" x14ac:dyDescent="0.3">
      <c r="A560" s="8">
        <v>559</v>
      </c>
      <c r="B560" s="1">
        <v>504</v>
      </c>
      <c r="C560" t="s">
        <v>12118</v>
      </c>
      <c r="D560" s="1" t="s">
        <v>5117</v>
      </c>
      <c r="E560" s="1" t="s">
        <v>5119</v>
      </c>
      <c r="F560" s="1">
        <v>2022</v>
      </c>
      <c r="G560" s="1" t="s">
        <v>5120</v>
      </c>
      <c r="H560" s="1" t="str">
        <f>HYPERLINK("http://dx.doi.org/10.1080/1460728x.2023.2206291","http://dx.doi.org/10.1080/1460728x.2023.2206291")</f>
        <v>http://dx.doi.org/10.1080/1460728x.2023.2206291</v>
      </c>
      <c r="I560" s="1" t="s">
        <v>5123</v>
      </c>
      <c r="J560" s="1" t="s">
        <v>5121</v>
      </c>
      <c r="K560" s="1" t="s">
        <v>42</v>
      </c>
      <c r="L560" s="1" t="s">
        <v>56</v>
      </c>
    </row>
    <row r="561" spans="1:12" x14ac:dyDescent="0.3">
      <c r="A561" s="8">
        <v>560</v>
      </c>
      <c r="B561">
        <v>151</v>
      </c>
      <c r="C561" t="s">
        <v>12204</v>
      </c>
      <c r="D561" t="s">
        <v>12423</v>
      </c>
      <c r="E561" t="s">
        <v>1391</v>
      </c>
      <c r="F561">
        <v>2023</v>
      </c>
      <c r="G561" t="s">
        <v>383</v>
      </c>
      <c r="I561" t="s">
        <v>1394</v>
      </c>
      <c r="J561" t="s">
        <v>1395</v>
      </c>
      <c r="K561" t="s">
        <v>42</v>
      </c>
      <c r="L561" t="s">
        <v>12252</v>
      </c>
    </row>
    <row r="562" spans="1:12" x14ac:dyDescent="0.3">
      <c r="A562" s="8">
        <v>561</v>
      </c>
      <c r="B562" s="1">
        <v>506</v>
      </c>
      <c r="C562" t="s">
        <v>12118</v>
      </c>
      <c r="D562" s="1" t="s">
        <v>9295</v>
      </c>
      <c r="E562" s="1" t="s">
        <v>9297</v>
      </c>
      <c r="F562" s="1">
        <v>2021</v>
      </c>
      <c r="G562" s="1" t="s">
        <v>9298</v>
      </c>
      <c r="H562" s="1" t="str">
        <f>HYPERLINK("http://dx.doi.org/10.1016/j.chb.2020.106486","http://dx.doi.org/10.1016/j.chb.2020.106486")</f>
        <v>http://dx.doi.org/10.1016/j.chb.2020.106486</v>
      </c>
      <c r="I562" s="1" t="s">
        <v>9300</v>
      </c>
      <c r="J562" s="1" t="s">
        <v>1507</v>
      </c>
      <c r="K562" s="1" t="s">
        <v>42</v>
      </c>
      <c r="L562" s="1" t="s">
        <v>56</v>
      </c>
    </row>
    <row r="563" spans="1:12" x14ac:dyDescent="0.3">
      <c r="A563" s="8">
        <v>562</v>
      </c>
      <c r="B563" s="1">
        <v>507</v>
      </c>
      <c r="C563" t="s">
        <v>12118</v>
      </c>
      <c r="D563" s="1" t="s">
        <v>7074</v>
      </c>
      <c r="E563" s="1" t="s">
        <v>7076</v>
      </c>
      <c r="F563" s="1">
        <v>2022</v>
      </c>
      <c r="G563" s="1" t="s">
        <v>7077</v>
      </c>
      <c r="H563" s="1" t="str">
        <f>HYPERLINK("http://dx.doi.org/10.1021/acs.jctc.2c00256","http://dx.doi.org/10.1021/acs.jctc.2c00256")</f>
        <v>http://dx.doi.org/10.1021/acs.jctc.2c00256</v>
      </c>
      <c r="I563" s="1" t="s">
        <v>7079</v>
      </c>
      <c r="J563" s="1" t="s">
        <v>1507</v>
      </c>
      <c r="K563" s="1" t="s">
        <v>42</v>
      </c>
      <c r="L563" s="1" t="s">
        <v>56</v>
      </c>
    </row>
    <row r="564" spans="1:12" x14ac:dyDescent="0.3">
      <c r="A564" s="8">
        <v>563</v>
      </c>
      <c r="B564" s="1">
        <v>509</v>
      </c>
      <c r="C564" t="s">
        <v>12118</v>
      </c>
      <c r="D564" s="1" t="s">
        <v>8000</v>
      </c>
      <c r="E564" s="1" t="s">
        <v>8002</v>
      </c>
      <c r="F564" s="1">
        <v>2021</v>
      </c>
      <c r="G564" s="1" t="s">
        <v>8003</v>
      </c>
      <c r="H564" s="1" t="str">
        <f>HYPERLINK("http://dx.doi.org/10.1093/jiplp/jpab128","http://dx.doi.org/10.1093/jiplp/jpab128")</f>
        <v>http://dx.doi.org/10.1093/jiplp/jpab128</v>
      </c>
      <c r="I564" s="1" t="s">
        <v>1507</v>
      </c>
      <c r="J564" s="1" t="s">
        <v>1507</v>
      </c>
      <c r="K564" s="1" t="s">
        <v>42</v>
      </c>
      <c r="L564" s="1" t="s">
        <v>56</v>
      </c>
    </row>
    <row r="565" spans="1:12" x14ac:dyDescent="0.3">
      <c r="A565" s="8">
        <v>564</v>
      </c>
      <c r="B565" s="1">
        <v>510</v>
      </c>
      <c r="C565" t="s">
        <v>12118</v>
      </c>
      <c r="D565" s="1" t="s">
        <v>6383</v>
      </c>
      <c r="E565" s="1" t="s">
        <v>6385</v>
      </c>
      <c r="F565" s="1">
        <v>2023</v>
      </c>
      <c r="G565" s="1" t="s">
        <v>6386</v>
      </c>
      <c r="H565" s="1" t="str">
        <f>HYPERLINK("http://dx.doi.org/10.1145/3593856.3595910","http://dx.doi.org/10.1145/3593856.3595910")</f>
        <v>http://dx.doi.org/10.1145/3593856.3595910</v>
      </c>
      <c r="I565" s="1" t="s">
        <v>6393</v>
      </c>
      <c r="J565" s="1" t="s">
        <v>6392</v>
      </c>
      <c r="K565" s="1" t="s">
        <v>42</v>
      </c>
      <c r="L565" s="1" t="s">
        <v>5552</v>
      </c>
    </row>
    <row r="566" spans="1:12" x14ac:dyDescent="0.3">
      <c r="A566" s="8">
        <v>565</v>
      </c>
      <c r="B566" s="1">
        <v>511</v>
      </c>
      <c r="C566" t="s">
        <v>12118</v>
      </c>
      <c r="D566" s="1" t="s">
        <v>8407</v>
      </c>
      <c r="E566" s="1" t="s">
        <v>8409</v>
      </c>
      <c r="F566" s="1">
        <v>2021</v>
      </c>
      <c r="G566" s="1" t="s">
        <v>8410</v>
      </c>
      <c r="H566" s="1" t="str">
        <f>HYPERLINK("http://dx.doi.org/10.1063/4.0000087","http://dx.doi.org/10.1063/4.0000087")</f>
        <v>http://dx.doi.org/10.1063/4.0000087</v>
      </c>
      <c r="I566" s="1" t="s">
        <v>8412</v>
      </c>
      <c r="J566" s="1" t="s">
        <v>1507</v>
      </c>
      <c r="K566" s="1" t="s">
        <v>42</v>
      </c>
      <c r="L566" s="1" t="s">
        <v>56</v>
      </c>
    </row>
    <row r="567" spans="1:12" x14ac:dyDescent="0.3">
      <c r="A567" s="8">
        <v>566</v>
      </c>
      <c r="B567" s="1">
        <v>512</v>
      </c>
      <c r="C567" t="s">
        <v>12118</v>
      </c>
      <c r="D567" s="1" t="s">
        <v>6403</v>
      </c>
      <c r="E567" s="1" t="s">
        <v>6406</v>
      </c>
      <c r="F567" s="1">
        <v>2023</v>
      </c>
      <c r="G567" s="1" t="s">
        <v>6407</v>
      </c>
      <c r="H567" s="1" t="str">
        <f>HYPERLINK("http://dx.doi.org/10.1145/3588432.3591558","http://dx.doi.org/10.1145/3588432.3591558")</f>
        <v>http://dx.doi.org/10.1145/3588432.3591558</v>
      </c>
      <c r="I567" s="1" t="s">
        <v>6414</v>
      </c>
      <c r="J567" s="1" t="s">
        <v>6412</v>
      </c>
      <c r="K567" s="1" t="s">
        <v>42</v>
      </c>
      <c r="L567" s="1" t="s">
        <v>5552</v>
      </c>
    </row>
    <row r="568" spans="1:12" x14ac:dyDescent="0.3">
      <c r="A568" s="8">
        <v>567</v>
      </c>
      <c r="B568" s="1">
        <v>513</v>
      </c>
      <c r="C568" t="s">
        <v>12118</v>
      </c>
      <c r="D568" s="1" t="s">
        <v>6844</v>
      </c>
      <c r="E568" s="1" t="s">
        <v>6846</v>
      </c>
      <c r="F568" s="1">
        <v>2023</v>
      </c>
      <c r="G568" s="1" t="s">
        <v>6847</v>
      </c>
      <c r="H568" s="1" t="str">
        <f>HYPERLINK("http://dx.doi.org/10.1016/j.fuel.2022.126283","http://dx.doi.org/10.1016/j.fuel.2022.126283")</f>
        <v>http://dx.doi.org/10.1016/j.fuel.2022.126283</v>
      </c>
      <c r="I568" s="1" t="s">
        <v>6850</v>
      </c>
      <c r="J568" s="1" t="s">
        <v>6848</v>
      </c>
      <c r="K568" s="1" t="s">
        <v>42</v>
      </c>
      <c r="L568" s="1" t="s">
        <v>56</v>
      </c>
    </row>
    <row r="569" spans="1:12" x14ac:dyDescent="0.3">
      <c r="A569" s="8">
        <v>568</v>
      </c>
      <c r="B569">
        <v>152</v>
      </c>
      <c r="C569" t="s">
        <v>12204</v>
      </c>
      <c r="D569" t="s">
        <v>12921</v>
      </c>
      <c r="E569" t="s">
        <v>256</v>
      </c>
      <c r="F569">
        <v>2023</v>
      </c>
      <c r="G569" t="s">
        <v>257</v>
      </c>
      <c r="H569" t="s">
        <v>258</v>
      </c>
      <c r="I569" t="s">
        <v>261</v>
      </c>
      <c r="J569" t="s">
        <v>262</v>
      </c>
      <c r="K569" t="s">
        <v>42</v>
      </c>
      <c r="L569" t="s">
        <v>12252</v>
      </c>
    </row>
    <row r="570" spans="1:12" x14ac:dyDescent="0.3">
      <c r="A570" s="8">
        <v>569</v>
      </c>
      <c r="B570">
        <v>153</v>
      </c>
      <c r="C570" t="s">
        <v>12204</v>
      </c>
      <c r="D570" t="s">
        <v>912</v>
      </c>
      <c r="E570" t="s">
        <v>913</v>
      </c>
      <c r="F570">
        <v>2019</v>
      </c>
      <c r="G570" t="s">
        <v>914</v>
      </c>
      <c r="H570" t="s">
        <v>915</v>
      </c>
      <c r="I570" t="s">
        <v>918</v>
      </c>
      <c r="K570" t="s">
        <v>42</v>
      </c>
      <c r="L570" t="s">
        <v>12252</v>
      </c>
    </row>
    <row r="571" spans="1:12" x14ac:dyDescent="0.3">
      <c r="A571" s="8">
        <v>570</v>
      </c>
      <c r="B571" s="1">
        <v>514</v>
      </c>
      <c r="C571" t="s">
        <v>12118</v>
      </c>
      <c r="D571" s="1" t="s">
        <v>11457</v>
      </c>
      <c r="E571" s="1" t="s">
        <v>913</v>
      </c>
      <c r="F571" s="1">
        <v>2019</v>
      </c>
      <c r="G571" s="1" t="s">
        <v>11460</v>
      </c>
      <c r="H571" s="1" t="str">
        <f>HYPERLINK("http://dx.doi.org/10.1088/1742-6596/1171/1/012004","http://dx.doi.org/10.1088/1742-6596/1171/1/012004")</f>
        <v>http://dx.doi.org/10.1088/1742-6596/1171/1/012004</v>
      </c>
      <c r="I571" s="1" t="s">
        <v>11466</v>
      </c>
      <c r="J571" s="1" t="s">
        <v>1507</v>
      </c>
      <c r="K571" s="1" t="s">
        <v>42</v>
      </c>
      <c r="L571" s="1" t="s">
        <v>5552</v>
      </c>
    </row>
    <row r="572" spans="1:12" x14ac:dyDescent="0.3">
      <c r="A572" s="8">
        <v>571</v>
      </c>
      <c r="B572" s="1">
        <v>515</v>
      </c>
      <c r="C572" t="s">
        <v>12118</v>
      </c>
      <c r="D572" s="1" t="s">
        <v>8278</v>
      </c>
      <c r="E572" s="1" t="s">
        <v>8280</v>
      </c>
      <c r="F572" s="1">
        <v>2021</v>
      </c>
      <c r="G572" s="1" t="s">
        <v>8281</v>
      </c>
      <c r="H572" s="1" t="str">
        <f>HYPERLINK("http://dx.doi.org/10.1016/j.asr.2021.06.034","http://dx.doi.org/10.1016/j.asr.2021.06.034")</f>
        <v>http://dx.doi.org/10.1016/j.asr.2021.06.034</v>
      </c>
      <c r="I572" s="1" t="s">
        <v>8284</v>
      </c>
      <c r="J572" s="1" t="s">
        <v>8282</v>
      </c>
      <c r="K572" s="1" t="s">
        <v>42</v>
      </c>
      <c r="L572" s="1" t="s">
        <v>56</v>
      </c>
    </row>
    <row r="573" spans="1:12" x14ac:dyDescent="0.3">
      <c r="A573" s="8">
        <v>572</v>
      </c>
      <c r="B573" s="1">
        <v>516</v>
      </c>
      <c r="C573" t="s">
        <v>12118</v>
      </c>
      <c r="D573" s="1" t="s">
        <v>7865</v>
      </c>
      <c r="E573" s="1" t="s">
        <v>7867</v>
      </c>
      <c r="F573" s="1">
        <v>2022</v>
      </c>
      <c r="G573" s="1" t="s">
        <v>7650</v>
      </c>
      <c r="H573" s="1" t="s">
        <v>1507</v>
      </c>
      <c r="I573" s="1" t="s">
        <v>7868</v>
      </c>
      <c r="J573" s="1" t="s">
        <v>1507</v>
      </c>
      <c r="K573" s="1" t="s">
        <v>42</v>
      </c>
      <c r="L573" s="1" t="s">
        <v>5552</v>
      </c>
    </row>
    <row r="574" spans="1:12" x14ac:dyDescent="0.3">
      <c r="A574" s="8">
        <v>573</v>
      </c>
      <c r="B574" s="1">
        <v>517</v>
      </c>
      <c r="C574" t="s">
        <v>12118</v>
      </c>
      <c r="D574" s="1" t="s">
        <v>11773</v>
      </c>
      <c r="E574" s="1" t="s">
        <v>11775</v>
      </c>
      <c r="F574" s="1">
        <v>2018</v>
      </c>
      <c r="G574" s="1" t="s">
        <v>11776</v>
      </c>
      <c r="H574" s="1" t="str">
        <f>HYPERLINK("http://dx.doi.org/10.1122/1.5017674","http://dx.doi.org/10.1122/1.5017674")</f>
        <v>http://dx.doi.org/10.1122/1.5017674</v>
      </c>
      <c r="I574" s="1" t="s">
        <v>11778</v>
      </c>
      <c r="J574" s="1" t="s">
        <v>1507</v>
      </c>
      <c r="K574" s="1" t="s">
        <v>42</v>
      </c>
      <c r="L574" s="1" t="s">
        <v>56</v>
      </c>
    </row>
    <row r="575" spans="1:12" x14ac:dyDescent="0.3">
      <c r="A575" s="8">
        <v>574</v>
      </c>
      <c r="B575" s="1">
        <v>518</v>
      </c>
      <c r="C575" t="s">
        <v>12118</v>
      </c>
      <c r="D575" s="1" t="s">
        <v>10164</v>
      </c>
      <c r="E575" s="1" t="s">
        <v>10166</v>
      </c>
      <c r="F575" s="1">
        <v>2020</v>
      </c>
      <c r="G575" s="1" t="s">
        <v>10167</v>
      </c>
      <c r="H575" s="1" t="str">
        <f>HYPERLINK("http://dx.doi.org/10.1016/j.jcjq.2019.11.004","http://dx.doi.org/10.1016/j.jcjq.2019.11.004")</f>
        <v>http://dx.doi.org/10.1016/j.jcjq.2019.11.004</v>
      </c>
      <c r="I575" s="1" t="s">
        <v>10169</v>
      </c>
      <c r="J575" s="1" t="s">
        <v>1507</v>
      </c>
      <c r="K575" s="1" t="s">
        <v>42</v>
      </c>
      <c r="L575" s="1" t="s">
        <v>56</v>
      </c>
    </row>
    <row r="576" spans="1:12" x14ac:dyDescent="0.3">
      <c r="A576" s="8">
        <v>575</v>
      </c>
      <c r="B576">
        <v>154</v>
      </c>
      <c r="C576" t="s">
        <v>12204</v>
      </c>
      <c r="D576" t="s">
        <v>12844</v>
      </c>
      <c r="E576" t="s">
        <v>163</v>
      </c>
      <c r="F576">
        <v>2023</v>
      </c>
      <c r="G576" t="s">
        <v>164</v>
      </c>
      <c r="H576" t="s">
        <v>165</v>
      </c>
      <c r="I576" t="s">
        <v>12841</v>
      </c>
      <c r="J576" t="s">
        <v>169</v>
      </c>
      <c r="K576" t="s">
        <v>42</v>
      </c>
      <c r="L576" t="s">
        <v>12252</v>
      </c>
    </row>
    <row r="577" spans="1:72" x14ac:dyDescent="0.3">
      <c r="A577" s="8">
        <v>576</v>
      </c>
      <c r="B577" s="1">
        <v>519</v>
      </c>
      <c r="C577" t="s">
        <v>12118</v>
      </c>
      <c r="D577" s="1" t="s">
        <v>11795</v>
      </c>
      <c r="E577" s="1" t="s">
        <v>11797</v>
      </c>
      <c r="F577" s="1">
        <v>2018</v>
      </c>
      <c r="G577" s="1" t="s">
        <v>11798</v>
      </c>
      <c r="H577" s="1" t="str">
        <f>HYPERLINK("http://dx.doi.org/10.1093/cid/cix900","http://dx.doi.org/10.1093/cid/cix900")</f>
        <v>http://dx.doi.org/10.1093/cid/cix900</v>
      </c>
      <c r="I577" s="1" t="s">
        <v>11801</v>
      </c>
      <c r="J577" s="1" t="s">
        <v>11799</v>
      </c>
      <c r="K577" s="1" t="s">
        <v>42</v>
      </c>
      <c r="L577" s="1" t="s">
        <v>56</v>
      </c>
    </row>
    <row r="578" spans="1:72" x14ac:dyDescent="0.3">
      <c r="A578" s="8">
        <v>577</v>
      </c>
      <c r="B578" s="1">
        <v>520</v>
      </c>
      <c r="C578" t="s">
        <v>12118</v>
      </c>
      <c r="D578" s="1" t="s">
        <v>6426</v>
      </c>
      <c r="E578" s="1" t="s">
        <v>6429</v>
      </c>
      <c r="F578" s="1">
        <v>2023</v>
      </c>
      <c r="G578" s="1" t="s">
        <v>6430</v>
      </c>
      <c r="H578" s="1" t="str">
        <f>HYPERLINK("http://dx.doi.org/10.1007/978-3-031-38499-8_29","http://dx.doi.org/10.1007/978-3-031-38499-8_29")</f>
        <v>http://dx.doi.org/10.1007/978-3-031-38499-8_29</v>
      </c>
      <c r="I578" s="1" t="s">
        <v>6436</v>
      </c>
      <c r="J578" s="1" t="s">
        <v>1507</v>
      </c>
      <c r="K578" s="1" t="s">
        <v>42</v>
      </c>
      <c r="L578" s="1" t="s">
        <v>5552</v>
      </c>
    </row>
    <row r="579" spans="1:72" x14ac:dyDescent="0.3">
      <c r="A579" s="8">
        <v>578</v>
      </c>
      <c r="B579">
        <v>155</v>
      </c>
      <c r="C579" t="s">
        <v>12204</v>
      </c>
      <c r="D579" t="s">
        <v>12768</v>
      </c>
      <c r="E579" t="s">
        <v>81</v>
      </c>
      <c r="F579">
        <v>2023</v>
      </c>
      <c r="G579" t="s">
        <v>82</v>
      </c>
      <c r="H579" t="s">
        <v>83</v>
      </c>
      <c r="I579" t="s">
        <v>86</v>
      </c>
      <c r="K579" t="s">
        <v>42</v>
      </c>
      <c r="L579" t="s">
        <v>12252</v>
      </c>
    </row>
    <row r="580" spans="1:72" x14ac:dyDescent="0.3">
      <c r="A580" s="8">
        <v>579</v>
      </c>
      <c r="B580" s="1">
        <v>521</v>
      </c>
      <c r="C580" t="s">
        <v>12118</v>
      </c>
      <c r="D580" s="1" t="s">
        <v>6446</v>
      </c>
      <c r="E580" s="1" t="s">
        <v>81</v>
      </c>
      <c r="F580" s="1">
        <v>2023</v>
      </c>
      <c r="G580" s="1" t="s">
        <v>6448</v>
      </c>
      <c r="H580" s="1" t="str">
        <f>HYPERLINK("http://dx.doi.org/10.1109/APSIPAASC58517.2023.10317226","http://dx.doi.org/10.1109/APSIPAASC58517.2023.10317226")</f>
        <v>http://dx.doi.org/10.1109/APSIPAASC58517.2023.10317226</v>
      </c>
      <c r="I580" s="1" t="s">
        <v>6453</v>
      </c>
      <c r="J580" s="1" t="s">
        <v>1507</v>
      </c>
      <c r="K580" s="1" t="s">
        <v>42</v>
      </c>
      <c r="L580" s="1" t="s">
        <v>5552</v>
      </c>
    </row>
    <row r="581" spans="1:72" x14ac:dyDescent="0.3">
      <c r="A581" s="8">
        <v>580</v>
      </c>
      <c r="B581" s="1">
        <v>522</v>
      </c>
      <c r="C581" t="s">
        <v>12118</v>
      </c>
      <c r="D581" s="1" t="s">
        <v>3019</v>
      </c>
      <c r="E581" s="1" t="s">
        <v>3021</v>
      </c>
      <c r="F581" s="1">
        <v>2023</v>
      </c>
      <c r="G581" s="1" t="s">
        <v>3022</v>
      </c>
      <c r="H581" s="1" t="str">
        <f>HYPERLINK("http://dx.doi.org/10.1016/j.xops.2023.100394","http://dx.doi.org/10.1016/j.xops.2023.100394")</f>
        <v>http://dx.doi.org/10.1016/j.xops.2023.100394</v>
      </c>
      <c r="I581" s="1" t="s">
        <v>3023</v>
      </c>
      <c r="J581" s="1" t="s">
        <v>1507</v>
      </c>
      <c r="K581" s="1" t="s">
        <v>42</v>
      </c>
      <c r="L581" s="1" t="s">
        <v>56</v>
      </c>
    </row>
    <row r="582" spans="1:72" x14ac:dyDescent="0.3">
      <c r="A582" s="8">
        <v>581</v>
      </c>
      <c r="B582" s="1">
        <v>523</v>
      </c>
      <c r="C582" t="s">
        <v>12118</v>
      </c>
      <c r="D582" s="1" t="s">
        <v>15372</v>
      </c>
      <c r="E582" s="1" t="s">
        <v>15375</v>
      </c>
      <c r="F582" s="1">
        <v>2023</v>
      </c>
      <c r="G582" s="1" t="s">
        <v>15376</v>
      </c>
      <c r="H582" s="1" t="str">
        <f>HYPERLINK("http://dx.doi.org/10.1007/978-3-031-47240-4_19","http://dx.doi.org/10.1007/978-3-031-47240-4_19")</f>
        <v>http://dx.doi.org/10.1007/978-3-031-47240-4_19</v>
      </c>
      <c r="I582" s="1" t="s">
        <v>15381</v>
      </c>
      <c r="J582" s="1" t="s">
        <v>15380</v>
      </c>
      <c r="K582" s="1" t="s">
        <v>42</v>
      </c>
      <c r="L582" s="1" t="s">
        <v>5552</v>
      </c>
    </row>
    <row r="583" spans="1:72" x14ac:dyDescent="0.3">
      <c r="A583" s="8">
        <v>582</v>
      </c>
      <c r="B583" s="1">
        <v>524</v>
      </c>
      <c r="C583" t="s">
        <v>12118</v>
      </c>
      <c r="D583" s="1" t="s">
        <v>15395</v>
      </c>
      <c r="E583" s="1" t="s">
        <v>15397</v>
      </c>
      <c r="F583" s="1">
        <v>2023</v>
      </c>
      <c r="G583" s="1" t="s">
        <v>15398</v>
      </c>
      <c r="H583" s="1" t="str">
        <f>HYPERLINK("http://dx.doi.org/10.1109/ICCV51070.2023.00285","http://dx.doi.org/10.1109/ICCV51070.2023.00285")</f>
        <v>http://dx.doi.org/10.1109/ICCV51070.2023.00285</v>
      </c>
      <c r="I583" s="1" t="s">
        <v>15404</v>
      </c>
      <c r="J583" s="1" t="s">
        <v>1507</v>
      </c>
      <c r="K583" s="1" t="s">
        <v>42</v>
      </c>
      <c r="L583" s="1" t="s">
        <v>5552</v>
      </c>
    </row>
    <row r="584" spans="1:72" x14ac:dyDescent="0.3">
      <c r="A584" s="8">
        <v>583</v>
      </c>
      <c r="B584" s="1">
        <v>525</v>
      </c>
      <c r="C584" t="s">
        <v>12118</v>
      </c>
      <c r="D584" s="1" t="s">
        <v>6889</v>
      </c>
      <c r="E584" s="1" t="s">
        <v>6891</v>
      </c>
      <c r="F584" s="1">
        <v>2022</v>
      </c>
      <c r="G584" s="1" t="s">
        <v>6892</v>
      </c>
      <c r="H584" s="1" t="str">
        <f>HYPERLINK("http://dx.doi.org/10.1021/acs.est.2c01973","http://dx.doi.org/10.1021/acs.est.2c01973")</f>
        <v>http://dx.doi.org/10.1021/acs.est.2c01973</v>
      </c>
      <c r="I584" s="1" t="s">
        <v>6895</v>
      </c>
      <c r="J584" s="1" t="s">
        <v>6893</v>
      </c>
      <c r="K584" s="1" t="s">
        <v>42</v>
      </c>
      <c r="L584" s="1" t="s">
        <v>56</v>
      </c>
    </row>
    <row r="585" spans="1:72" x14ac:dyDescent="0.3">
      <c r="A585" s="8">
        <v>584</v>
      </c>
      <c r="B585" s="1">
        <v>526</v>
      </c>
      <c r="C585" t="s">
        <v>12118</v>
      </c>
      <c r="D585" s="1" t="s">
        <v>9368</v>
      </c>
      <c r="E585" s="1" t="s">
        <v>9370</v>
      </c>
      <c r="F585" s="1">
        <v>2020</v>
      </c>
      <c r="G585" s="1" t="s">
        <v>9371</v>
      </c>
      <c r="H585" s="1" t="str">
        <f>HYPERLINK("http://dx.doi.org/10.1021/acs.inorgchem.0c03014","http://dx.doi.org/10.1021/acs.inorgchem.0c03014")</f>
        <v>http://dx.doi.org/10.1021/acs.inorgchem.0c03014</v>
      </c>
      <c r="I585" s="1" t="s">
        <v>9373</v>
      </c>
      <c r="J585" s="1" t="s">
        <v>1507</v>
      </c>
      <c r="K585" s="1" t="s">
        <v>42</v>
      </c>
      <c r="L585" s="1" t="s">
        <v>56</v>
      </c>
    </row>
    <row r="586" spans="1:72" x14ac:dyDescent="0.3">
      <c r="A586" s="8">
        <v>585</v>
      </c>
      <c r="B586">
        <v>156</v>
      </c>
      <c r="C586" t="s">
        <v>12204</v>
      </c>
      <c r="D586" t="s">
        <v>13675</v>
      </c>
      <c r="E586" t="s">
        <v>243</v>
      </c>
      <c r="F586">
        <v>2023</v>
      </c>
      <c r="G586" t="s">
        <v>244</v>
      </c>
      <c r="H586" t="s">
        <v>245</v>
      </c>
      <c r="I586" t="s">
        <v>248</v>
      </c>
      <c r="J586" t="s">
        <v>249</v>
      </c>
      <c r="K586" t="s">
        <v>42</v>
      </c>
      <c r="L586" t="s">
        <v>56</v>
      </c>
    </row>
    <row r="587" spans="1:72" x14ac:dyDescent="0.3">
      <c r="A587" s="8">
        <v>586</v>
      </c>
      <c r="B587" s="1">
        <v>527</v>
      </c>
      <c r="C587" t="s">
        <v>12118</v>
      </c>
      <c r="D587" s="1" t="s">
        <v>2311</v>
      </c>
      <c r="E587" s="1" t="s">
        <v>243</v>
      </c>
      <c r="F587" s="1">
        <v>2023</v>
      </c>
      <c r="G587" s="1" t="s">
        <v>2200</v>
      </c>
      <c r="H587" s="1" t="str">
        <f>HYPERLINK("http://dx.doi.org/10.3390/informatics10040081","http://dx.doi.org/10.3390/informatics10040081")</f>
        <v>http://dx.doi.org/10.3390/informatics10040081</v>
      </c>
      <c r="I587" s="1" t="s">
        <v>2314</v>
      </c>
      <c r="J587" s="1" t="s">
        <v>2313</v>
      </c>
      <c r="K587" s="1" t="s">
        <v>42</v>
      </c>
      <c r="L587" s="1" t="s">
        <v>56</v>
      </c>
    </row>
    <row r="588" spans="1:72" x14ac:dyDescent="0.3">
      <c r="A588" s="8">
        <v>587</v>
      </c>
      <c r="B588" s="1">
        <v>528</v>
      </c>
      <c r="C588" t="s">
        <v>12118</v>
      </c>
      <c r="D588" s="1" t="s">
        <v>11554</v>
      </c>
      <c r="E588" s="1" t="s">
        <v>11556</v>
      </c>
      <c r="F588" s="1">
        <v>2018</v>
      </c>
      <c r="G588" s="1" t="s">
        <v>11557</v>
      </c>
      <c r="H588" s="1" t="str">
        <f>HYPERLINK("http://dx.doi.org/10.1038/s41564-018-0240-5","http://dx.doi.org/10.1038/s41564-018-0240-5")</f>
        <v>http://dx.doi.org/10.1038/s41564-018-0240-5</v>
      </c>
      <c r="I588" s="1" t="s">
        <v>11559</v>
      </c>
      <c r="J588" s="1" t="s">
        <v>1507</v>
      </c>
      <c r="K588" s="1" t="s">
        <v>42</v>
      </c>
      <c r="L588" s="1" t="s">
        <v>56</v>
      </c>
    </row>
    <row r="589" spans="1:72" x14ac:dyDescent="0.3">
      <c r="A589" s="8">
        <v>588</v>
      </c>
      <c r="B589" s="1">
        <v>529</v>
      </c>
      <c r="C589" t="s">
        <v>12118</v>
      </c>
      <c r="D589" s="1" t="s">
        <v>7876</v>
      </c>
      <c r="E589" s="1" t="s">
        <v>7879</v>
      </c>
      <c r="F589" s="1">
        <v>2022</v>
      </c>
      <c r="G589" s="1" t="s">
        <v>7880</v>
      </c>
      <c r="H589" s="1" t="str">
        <f>HYPERLINK("http://dx.doi.org/10.1109/CVPR52688.2022.01739","http://dx.doi.org/10.1109/CVPR52688.2022.01739")</f>
        <v>http://dx.doi.org/10.1109/CVPR52688.2022.01739</v>
      </c>
      <c r="I589" s="1" t="s">
        <v>7883</v>
      </c>
      <c r="J589" s="1" t="s">
        <v>1507</v>
      </c>
      <c r="K589" s="1" t="s">
        <v>42</v>
      </c>
      <c r="L589" s="1" t="s">
        <v>5552</v>
      </c>
    </row>
    <row r="590" spans="1:72" x14ac:dyDescent="0.3">
      <c r="A590" s="8">
        <v>589</v>
      </c>
      <c r="B590">
        <v>157</v>
      </c>
      <c r="C590" t="s">
        <v>12204</v>
      </c>
      <c r="D590" t="s">
        <v>903</v>
      </c>
      <c r="E590" t="s">
        <v>904</v>
      </c>
      <c r="F590">
        <v>2023</v>
      </c>
      <c r="G590" t="s">
        <v>287</v>
      </c>
      <c r="H590" t="s">
        <v>905</v>
      </c>
      <c r="I590" t="s">
        <v>908</v>
      </c>
      <c r="J590" t="s">
        <v>909</v>
      </c>
      <c r="K590" t="s">
        <v>42</v>
      </c>
      <c r="L590" t="s">
        <v>56</v>
      </c>
      <c r="BB590" s="6"/>
      <c r="BC590" s="6"/>
      <c r="BD590" s="6"/>
      <c r="BE590" s="6"/>
      <c r="BF590" s="6"/>
      <c r="BG590" s="6"/>
      <c r="BH590" s="6"/>
      <c r="BI590" s="6"/>
      <c r="BJ590" s="6"/>
      <c r="BK590" s="6"/>
      <c r="BL590" s="6"/>
      <c r="BM590" s="6"/>
      <c r="BN590" s="6"/>
      <c r="BO590" s="6"/>
      <c r="BP590" s="6"/>
      <c r="BQ590" s="6"/>
      <c r="BR590" s="6"/>
      <c r="BS590" s="6"/>
      <c r="BT590" s="6"/>
    </row>
    <row r="591" spans="1:72" x14ac:dyDescent="0.3">
      <c r="A591" s="8">
        <v>590</v>
      </c>
      <c r="B591" s="1">
        <v>530</v>
      </c>
      <c r="C591" t="s">
        <v>12118</v>
      </c>
      <c r="D591" s="1" t="s">
        <v>4359</v>
      </c>
      <c r="E591" s="1" t="s">
        <v>904</v>
      </c>
      <c r="F591" s="1">
        <v>2023</v>
      </c>
      <c r="G591" s="1" t="s">
        <v>3577</v>
      </c>
      <c r="H591" s="1" t="s">
        <v>1507</v>
      </c>
      <c r="I591" s="1" t="s">
        <v>4362</v>
      </c>
      <c r="J591" s="1" t="s">
        <v>4361</v>
      </c>
      <c r="K591" s="1" t="s">
        <v>42</v>
      </c>
      <c r="L591" s="1" t="s">
        <v>56</v>
      </c>
    </row>
    <row r="592" spans="1:72" x14ac:dyDescent="0.3">
      <c r="A592" s="8">
        <v>591</v>
      </c>
      <c r="B592">
        <v>158</v>
      </c>
      <c r="C592" t="s">
        <v>12204</v>
      </c>
      <c r="D592" t="s">
        <v>12390</v>
      </c>
      <c r="E592" t="s">
        <v>1377</v>
      </c>
      <c r="F592">
        <v>2023</v>
      </c>
      <c r="G592" t="s">
        <v>996</v>
      </c>
      <c r="H592" t="s">
        <v>1379</v>
      </c>
      <c r="I592" t="s">
        <v>1382</v>
      </c>
      <c r="J592" t="s">
        <v>1383</v>
      </c>
      <c r="K592" t="s">
        <v>42</v>
      </c>
      <c r="L592" t="s">
        <v>56</v>
      </c>
      <c r="BB592" s="6"/>
      <c r="BC592" s="6"/>
      <c r="BD592" s="6"/>
      <c r="BE592" s="6"/>
      <c r="BF592" s="6"/>
      <c r="BG592" s="6"/>
      <c r="BH592" s="6"/>
      <c r="BI592" s="6"/>
      <c r="BJ592" s="6"/>
      <c r="BK592" s="6"/>
      <c r="BL592" s="6"/>
      <c r="BM592" s="6"/>
      <c r="BN592" s="6"/>
      <c r="BO592" s="6"/>
      <c r="BP592" s="6"/>
      <c r="BQ592" s="6"/>
      <c r="BR592" s="6"/>
      <c r="BS592" s="6"/>
      <c r="BT592" s="6"/>
    </row>
    <row r="593" spans="1:78" x14ac:dyDescent="0.3">
      <c r="A593" s="8">
        <v>592</v>
      </c>
      <c r="B593" s="1">
        <v>531</v>
      </c>
      <c r="C593" t="s">
        <v>12118</v>
      </c>
      <c r="D593" s="1" t="s">
        <v>3213</v>
      </c>
      <c r="E593" s="1" t="s">
        <v>3215</v>
      </c>
      <c r="F593" s="1">
        <v>2023</v>
      </c>
      <c r="G593" s="1" t="s">
        <v>1657</v>
      </c>
      <c r="H593" s="1" t="str">
        <f>HYPERLINK("http://dx.doi.org/10.2196/49949","http://dx.doi.org/10.2196/49949")</f>
        <v>http://dx.doi.org/10.2196/49949</v>
      </c>
      <c r="I593" s="1" t="s">
        <v>3218</v>
      </c>
      <c r="J593" s="1" t="s">
        <v>3216</v>
      </c>
      <c r="K593" s="1" t="s">
        <v>42</v>
      </c>
      <c r="L593" s="1" t="s">
        <v>56</v>
      </c>
    </row>
    <row r="594" spans="1:78" x14ac:dyDescent="0.3">
      <c r="A594" s="8">
        <v>593</v>
      </c>
      <c r="B594" s="1">
        <v>532</v>
      </c>
      <c r="C594" t="s">
        <v>12118</v>
      </c>
      <c r="D594" s="1" t="s">
        <v>5049</v>
      </c>
      <c r="E594" s="1" t="s">
        <v>5051</v>
      </c>
      <c r="F594" s="1">
        <v>2023</v>
      </c>
      <c r="G594" s="1" t="s">
        <v>5052</v>
      </c>
      <c r="H594" s="1" t="str">
        <f>HYPERLINK("http://dx.doi.org/10.1353/hrq.2023.0015","http://dx.doi.org/10.1353/hrq.2023.0015")</f>
        <v>http://dx.doi.org/10.1353/hrq.2023.0015</v>
      </c>
      <c r="I594" s="1" t="s">
        <v>5054</v>
      </c>
      <c r="J594" s="1" t="s">
        <v>1507</v>
      </c>
      <c r="K594" s="1" t="s">
        <v>42</v>
      </c>
      <c r="L594" s="1" t="s">
        <v>56</v>
      </c>
    </row>
    <row r="595" spans="1:78" x14ac:dyDescent="0.3">
      <c r="A595" s="8">
        <v>594</v>
      </c>
      <c r="B595">
        <v>159</v>
      </c>
      <c r="C595" t="s">
        <v>12204</v>
      </c>
      <c r="D595" t="s">
        <v>13306</v>
      </c>
      <c r="E595" t="s">
        <v>316</v>
      </c>
      <c r="F595">
        <v>2023</v>
      </c>
      <c r="G595" t="s">
        <v>317</v>
      </c>
      <c r="H595" t="s">
        <v>318</v>
      </c>
      <c r="I595" t="s">
        <v>321</v>
      </c>
      <c r="J595" t="s">
        <v>322</v>
      </c>
      <c r="K595" t="s">
        <v>42</v>
      </c>
      <c r="L595" t="s">
        <v>56</v>
      </c>
    </row>
    <row r="596" spans="1:78" x14ac:dyDescent="0.3">
      <c r="A596" s="8">
        <v>595</v>
      </c>
      <c r="B596">
        <v>160</v>
      </c>
      <c r="C596" t="s">
        <v>12204</v>
      </c>
      <c r="D596" t="s">
        <v>12437</v>
      </c>
      <c r="E596" t="s">
        <v>1228</v>
      </c>
      <c r="F596">
        <v>2023</v>
      </c>
      <c r="G596" t="s">
        <v>1229</v>
      </c>
      <c r="H596" t="s">
        <v>1230</v>
      </c>
      <c r="I596" t="s">
        <v>1233</v>
      </c>
      <c r="J596" t="s">
        <v>1234</v>
      </c>
      <c r="K596" t="s">
        <v>42</v>
      </c>
      <c r="L596" t="s">
        <v>12262</v>
      </c>
    </row>
    <row r="597" spans="1:78" x14ac:dyDescent="0.3">
      <c r="A597" s="8">
        <v>596</v>
      </c>
      <c r="B597" s="1">
        <v>534</v>
      </c>
      <c r="C597" t="s">
        <v>12118</v>
      </c>
      <c r="D597" s="1" t="s">
        <v>8813</v>
      </c>
      <c r="E597" s="1" t="s">
        <v>8815</v>
      </c>
      <c r="F597" s="1">
        <v>2021</v>
      </c>
      <c r="G597" s="1" t="s">
        <v>8816</v>
      </c>
      <c r="H597" s="1" t="str">
        <f>HYPERLINK("http://dx.doi.org/10.1016/j.oceano.2020.11.004","http://dx.doi.org/10.1016/j.oceano.2020.11.004")</f>
        <v>http://dx.doi.org/10.1016/j.oceano.2020.11.004</v>
      </c>
      <c r="I597" s="1" t="s">
        <v>8818</v>
      </c>
      <c r="J597" s="1" t="s">
        <v>8817</v>
      </c>
      <c r="K597" s="1" t="s">
        <v>42</v>
      </c>
      <c r="L597" s="1" t="s">
        <v>56</v>
      </c>
    </row>
    <row r="598" spans="1:78" x14ac:dyDescent="0.3">
      <c r="A598" s="8">
        <v>597</v>
      </c>
      <c r="B598" s="1">
        <v>535</v>
      </c>
      <c r="C598" t="s">
        <v>12118</v>
      </c>
      <c r="D598" s="1" t="s">
        <v>1819</v>
      </c>
      <c r="E598" s="1" t="s">
        <v>1821</v>
      </c>
      <c r="F598" s="1">
        <v>2023</v>
      </c>
      <c r="G598" s="1" t="s">
        <v>1822</v>
      </c>
      <c r="H598" s="1" t="str">
        <f>HYPERLINK("http://dx.doi.org/10.1111/btp.13290","http://dx.doi.org/10.1111/btp.13290")</f>
        <v>http://dx.doi.org/10.1111/btp.13290</v>
      </c>
      <c r="I598" s="1" t="s">
        <v>1825</v>
      </c>
      <c r="J598" s="1" t="s">
        <v>1823</v>
      </c>
      <c r="K598" s="1" t="s">
        <v>42</v>
      </c>
      <c r="L598" s="1" t="s">
        <v>1509</v>
      </c>
    </row>
    <row r="599" spans="1:78" x14ac:dyDescent="0.3">
      <c r="A599" s="8">
        <v>598</v>
      </c>
      <c r="B599">
        <v>161</v>
      </c>
      <c r="C599" t="s">
        <v>12204</v>
      </c>
      <c r="D599" t="s">
        <v>13560</v>
      </c>
      <c r="E599" t="s">
        <v>13558</v>
      </c>
      <c r="F599">
        <v>2023</v>
      </c>
      <c r="G599" t="s">
        <v>13557</v>
      </c>
      <c r="H599" t="s">
        <v>6482</v>
      </c>
      <c r="I599" t="s">
        <v>13553</v>
      </c>
      <c r="J599" t="s">
        <v>13552</v>
      </c>
      <c r="K599" t="s">
        <v>42</v>
      </c>
      <c r="L599" t="s">
        <v>56</v>
      </c>
    </row>
    <row r="600" spans="1:78" x14ac:dyDescent="0.3">
      <c r="A600" s="8">
        <v>599</v>
      </c>
      <c r="B600" s="1">
        <v>536</v>
      </c>
      <c r="C600" t="s">
        <v>12118</v>
      </c>
      <c r="D600" s="1" t="s">
        <v>6463</v>
      </c>
      <c r="E600" s="1" t="s">
        <v>6465</v>
      </c>
      <c r="F600" s="1">
        <v>2023</v>
      </c>
      <c r="G600" s="1" t="s">
        <v>6466</v>
      </c>
      <c r="H600" s="1" t="str">
        <f>HYPERLINK("http://dx.doi.org/10.18089/tms.2023.190402","http://dx.doi.org/10.18089/tms.2023.190402")</f>
        <v>http://dx.doi.org/10.18089/tms.2023.190402</v>
      </c>
      <c r="I600" s="1" t="s">
        <v>6469</v>
      </c>
      <c r="J600" s="1" t="s">
        <v>6467</v>
      </c>
      <c r="K600" s="1" t="s">
        <v>42</v>
      </c>
      <c r="L600" s="1" t="s">
        <v>56</v>
      </c>
    </row>
    <row r="601" spans="1:78" x14ac:dyDescent="0.3">
      <c r="A601" s="8">
        <v>600</v>
      </c>
      <c r="B601">
        <v>162</v>
      </c>
      <c r="C601" t="s">
        <v>12204</v>
      </c>
      <c r="D601" t="s">
        <v>13299</v>
      </c>
      <c r="E601" t="s">
        <v>214</v>
      </c>
      <c r="F601">
        <v>2023</v>
      </c>
      <c r="G601" t="s">
        <v>215</v>
      </c>
      <c r="H601" t="s">
        <v>216</v>
      </c>
      <c r="I601" t="s">
        <v>219</v>
      </c>
      <c r="J601" t="s">
        <v>220</v>
      </c>
      <c r="K601" t="s">
        <v>42</v>
      </c>
      <c r="L601" t="s">
        <v>56</v>
      </c>
    </row>
    <row r="602" spans="1:78" x14ac:dyDescent="0.3">
      <c r="A602" s="8">
        <v>601</v>
      </c>
      <c r="B602" s="1">
        <v>537</v>
      </c>
      <c r="C602" t="s">
        <v>12118</v>
      </c>
      <c r="D602" s="1" t="s">
        <v>4926</v>
      </c>
      <c r="E602" s="1" t="s">
        <v>4928</v>
      </c>
      <c r="F602" s="1">
        <v>2023</v>
      </c>
      <c r="G602" s="1" t="s">
        <v>4929</v>
      </c>
      <c r="H602" s="1" t="str">
        <f>HYPERLINK("http://dx.doi.org/10.1111/1756-185X.14749","http://dx.doi.org/10.1111/1756-185X.14749")</f>
        <v>http://dx.doi.org/10.1111/1756-185X.14749</v>
      </c>
      <c r="I602" s="1" t="s">
        <v>4930</v>
      </c>
      <c r="J602" s="1" t="s">
        <v>220</v>
      </c>
      <c r="K602" s="1" t="s">
        <v>42</v>
      </c>
      <c r="L602" s="1" t="s">
        <v>56</v>
      </c>
    </row>
    <row r="603" spans="1:78" x14ac:dyDescent="0.3">
      <c r="A603" s="8">
        <v>602</v>
      </c>
      <c r="B603" s="1">
        <v>538</v>
      </c>
      <c r="C603" t="s">
        <v>12118</v>
      </c>
      <c r="D603" s="1" t="s">
        <v>6487</v>
      </c>
      <c r="E603" s="1" t="s">
        <v>6489</v>
      </c>
      <c r="F603" s="1">
        <v>2023</v>
      </c>
      <c r="G603" s="1" t="s">
        <v>6490</v>
      </c>
      <c r="H603" s="1" t="str">
        <f>HYPERLINK("http://dx.doi.org/10.4025/actasciagron.v45i1.56160","http://dx.doi.org/10.4025/actasciagron.v45i1.56160")</f>
        <v>http://dx.doi.org/10.4025/actasciagron.v45i1.56160</v>
      </c>
      <c r="I603" s="1" t="s">
        <v>6493</v>
      </c>
      <c r="J603" s="1" t="s">
        <v>6491</v>
      </c>
      <c r="K603" s="1" t="s">
        <v>42</v>
      </c>
      <c r="L603" s="1" t="s">
        <v>56</v>
      </c>
    </row>
    <row r="604" spans="1:78" x14ac:dyDescent="0.3">
      <c r="A604" s="8">
        <v>603</v>
      </c>
      <c r="B604" s="1">
        <v>539</v>
      </c>
      <c r="C604" t="s">
        <v>12118</v>
      </c>
      <c r="D604" s="1" t="s">
        <v>2681</v>
      </c>
      <c r="E604" s="1" t="s">
        <v>2683</v>
      </c>
      <c r="F604" s="1">
        <v>2023</v>
      </c>
      <c r="G604" s="1" t="s">
        <v>2684</v>
      </c>
      <c r="H604" s="1" t="str">
        <f>HYPERLINK("http://dx.doi.org/10.1002/icd.2478","http://dx.doi.org/10.1002/icd.2478")</f>
        <v>http://dx.doi.org/10.1002/icd.2478</v>
      </c>
      <c r="I604" s="1" t="s">
        <v>2686</v>
      </c>
      <c r="J604" s="1" t="s">
        <v>1507</v>
      </c>
      <c r="K604" s="1" t="s">
        <v>42</v>
      </c>
      <c r="L604" s="1" t="s">
        <v>56</v>
      </c>
    </row>
    <row r="605" spans="1:78" x14ac:dyDescent="0.3">
      <c r="A605" s="8">
        <v>604</v>
      </c>
      <c r="B605" s="1">
        <v>540</v>
      </c>
      <c r="C605" t="s">
        <v>12118</v>
      </c>
      <c r="D605" s="1" t="s">
        <v>5366</v>
      </c>
      <c r="E605" s="1" t="s">
        <v>5368</v>
      </c>
      <c r="F605" s="1">
        <v>2023</v>
      </c>
      <c r="G605" s="1" t="s">
        <v>5369</v>
      </c>
      <c r="H605" s="1" t="str">
        <f>HYPERLINK("http://dx.doi.org/10.1055/s-0043-1761280","http://dx.doi.org/10.1055/s-0043-1761280")</f>
        <v>http://dx.doi.org/10.1055/s-0043-1761280</v>
      </c>
      <c r="I605" s="1" t="s">
        <v>5372</v>
      </c>
      <c r="J605" s="1" t="s">
        <v>5370</v>
      </c>
      <c r="K605" s="1" t="s">
        <v>42</v>
      </c>
      <c r="L605" s="1" t="s">
        <v>1509</v>
      </c>
    </row>
    <row r="606" spans="1:78" x14ac:dyDescent="0.3">
      <c r="A606" s="8">
        <v>605</v>
      </c>
      <c r="B606">
        <v>163</v>
      </c>
      <c r="C606" t="s">
        <v>12204</v>
      </c>
      <c r="D606" t="s">
        <v>12484</v>
      </c>
      <c r="E606" t="s">
        <v>1408</v>
      </c>
      <c r="F606">
        <v>2023</v>
      </c>
      <c r="G606" t="s">
        <v>1409</v>
      </c>
      <c r="H606" t="s">
        <v>1410</v>
      </c>
      <c r="I606" t="s">
        <v>1413</v>
      </c>
      <c r="J606" t="s">
        <v>1414</v>
      </c>
      <c r="K606" t="s">
        <v>42</v>
      </c>
      <c r="L606" t="s">
        <v>56</v>
      </c>
      <c r="BZ606" s="6"/>
    </row>
    <row r="607" spans="1:78" x14ac:dyDescent="0.3">
      <c r="A607" s="8">
        <v>606</v>
      </c>
      <c r="B607" s="1">
        <v>542</v>
      </c>
      <c r="C607" t="s">
        <v>12118</v>
      </c>
      <c r="D607" s="1" t="s">
        <v>3373</v>
      </c>
      <c r="E607" s="1" t="s">
        <v>3375</v>
      </c>
      <c r="F607" s="1">
        <v>2023</v>
      </c>
      <c r="G607" s="1" t="s">
        <v>3376</v>
      </c>
      <c r="H607" s="1" t="str">
        <f>HYPERLINK("http://dx.doi.org/10.1002/prep.202300109","http://dx.doi.org/10.1002/prep.202300109")</f>
        <v>http://dx.doi.org/10.1002/prep.202300109</v>
      </c>
      <c r="I607" s="1" t="s">
        <v>3378</v>
      </c>
      <c r="J607" s="1" t="s">
        <v>3377</v>
      </c>
      <c r="K607" s="1" t="s">
        <v>42</v>
      </c>
      <c r="L607" s="1" t="s">
        <v>1509</v>
      </c>
    </row>
    <row r="608" spans="1:78" x14ac:dyDescent="0.3">
      <c r="A608" s="8">
        <v>607</v>
      </c>
      <c r="B608">
        <v>164</v>
      </c>
      <c r="C608" t="s">
        <v>12204</v>
      </c>
      <c r="D608" t="s">
        <v>12336</v>
      </c>
      <c r="E608" t="s">
        <v>1203</v>
      </c>
      <c r="F608">
        <v>2022</v>
      </c>
      <c r="G608" t="s">
        <v>1204</v>
      </c>
      <c r="H608" t="s">
        <v>1206</v>
      </c>
      <c r="I608" t="s">
        <v>12333</v>
      </c>
      <c r="J608" t="s">
        <v>1209</v>
      </c>
      <c r="K608" t="s">
        <v>42</v>
      </c>
      <c r="L608" t="s">
        <v>56</v>
      </c>
    </row>
    <row r="609" spans="1:78" x14ac:dyDescent="0.3">
      <c r="A609" s="8">
        <v>608</v>
      </c>
      <c r="B609" s="1">
        <v>543</v>
      </c>
      <c r="C609" t="s">
        <v>12118</v>
      </c>
      <c r="D609" s="1" t="s">
        <v>7172</v>
      </c>
      <c r="E609" s="1" t="s">
        <v>7174</v>
      </c>
      <c r="F609" s="1">
        <v>2022</v>
      </c>
      <c r="G609" s="1" t="s">
        <v>7175</v>
      </c>
      <c r="H609" s="1" t="str">
        <f>HYPERLINK("http://dx.doi.org/10.1136/bmjdrc-2022-002765","http://dx.doi.org/10.1136/bmjdrc-2022-002765")</f>
        <v>http://dx.doi.org/10.1136/bmjdrc-2022-002765</v>
      </c>
      <c r="I609" s="1" t="s">
        <v>7177</v>
      </c>
      <c r="J609" s="1" t="s">
        <v>1507</v>
      </c>
      <c r="K609" s="1" t="s">
        <v>42</v>
      </c>
      <c r="L609" s="1" t="s">
        <v>56</v>
      </c>
    </row>
    <row r="610" spans="1:78" x14ac:dyDescent="0.3">
      <c r="A610" s="8">
        <v>609</v>
      </c>
      <c r="B610" s="1">
        <v>544</v>
      </c>
      <c r="C610" t="s">
        <v>12118</v>
      </c>
      <c r="D610" s="1" t="s">
        <v>11483</v>
      </c>
      <c r="E610" s="1" t="s">
        <v>11485</v>
      </c>
      <c r="F610" s="1">
        <v>2019</v>
      </c>
      <c r="G610" s="1" t="s">
        <v>11486</v>
      </c>
      <c r="H610" s="1" t="str">
        <f>HYPERLINK("http://dx.doi.org/10.1590/rbz4820180131","http://dx.doi.org/10.1590/rbz4820180131")</f>
        <v>http://dx.doi.org/10.1590/rbz4820180131</v>
      </c>
      <c r="I610" s="1" t="s">
        <v>11489</v>
      </c>
      <c r="J610" s="1" t="s">
        <v>11487</v>
      </c>
      <c r="K610" s="1" t="s">
        <v>42</v>
      </c>
      <c r="L610" s="1" t="s">
        <v>56</v>
      </c>
    </row>
    <row r="611" spans="1:78" x14ac:dyDescent="0.3">
      <c r="A611" s="8">
        <v>610</v>
      </c>
      <c r="B611" s="1">
        <v>545</v>
      </c>
      <c r="C611" t="s">
        <v>12118</v>
      </c>
      <c r="D611" s="1" t="s">
        <v>6515</v>
      </c>
      <c r="E611" s="1" t="s">
        <v>6517</v>
      </c>
      <c r="F611" s="1">
        <v>2023</v>
      </c>
      <c r="G611" s="1" t="s">
        <v>6518</v>
      </c>
      <c r="H611" s="1" t="str">
        <f>HYPERLINK("http://dx.doi.org/10.2196/51873","http://dx.doi.org/10.2196/51873")</f>
        <v>http://dx.doi.org/10.2196/51873</v>
      </c>
      <c r="I611" s="1" t="s">
        <v>6520</v>
      </c>
      <c r="J611" s="1" t="s">
        <v>6519</v>
      </c>
      <c r="K611" s="1" t="s">
        <v>42</v>
      </c>
      <c r="L611" s="1" t="s">
        <v>56</v>
      </c>
    </row>
    <row r="612" spans="1:78" x14ac:dyDescent="0.3">
      <c r="A612" s="8">
        <v>611</v>
      </c>
      <c r="B612" s="1">
        <v>546</v>
      </c>
      <c r="C612" t="s">
        <v>12118</v>
      </c>
      <c r="D612" s="1" t="s">
        <v>10790</v>
      </c>
      <c r="E612" s="1" t="s">
        <v>10792</v>
      </c>
      <c r="F612" s="1">
        <v>2019</v>
      </c>
      <c r="G612" s="1" t="s">
        <v>10793</v>
      </c>
      <c r="H612" s="1" t="str">
        <f>HYPERLINK("http://dx.doi.org/10.21577/0103-5053.20190083","http://dx.doi.org/10.21577/0103-5053.20190083")</f>
        <v>http://dx.doi.org/10.21577/0103-5053.20190083</v>
      </c>
      <c r="I612" s="1" t="s">
        <v>10796</v>
      </c>
      <c r="J612" s="1" t="s">
        <v>10794</v>
      </c>
      <c r="K612" s="1" t="s">
        <v>42</v>
      </c>
      <c r="L612" s="1" t="s">
        <v>56</v>
      </c>
    </row>
    <row r="613" spans="1:78" x14ac:dyDescent="0.3">
      <c r="A613" s="8">
        <v>612</v>
      </c>
      <c r="B613" s="1">
        <v>547</v>
      </c>
      <c r="C613" t="s">
        <v>12118</v>
      </c>
      <c r="D613" s="1" t="s">
        <v>10387</v>
      </c>
      <c r="E613" s="1" t="s">
        <v>10390</v>
      </c>
      <c r="F613" s="1">
        <v>2020</v>
      </c>
      <c r="G613" s="1" t="s">
        <v>10391</v>
      </c>
      <c r="H613" s="1" t="str">
        <f>HYPERLINK("http://dx.doi.org/10.3233/FAIA200603","http://dx.doi.org/10.3233/FAIA200603")</f>
        <v>http://dx.doi.org/10.3233/FAIA200603</v>
      </c>
      <c r="I613" s="1" t="s">
        <v>10399</v>
      </c>
      <c r="J613" s="1" t="s">
        <v>10398</v>
      </c>
      <c r="K613" s="1" t="s">
        <v>42</v>
      </c>
      <c r="L613" s="1" t="s">
        <v>5552</v>
      </c>
    </row>
    <row r="614" spans="1:78" x14ac:dyDescent="0.3">
      <c r="A614" s="8">
        <v>613</v>
      </c>
      <c r="B614">
        <v>165</v>
      </c>
      <c r="C614" t="s">
        <v>12204</v>
      </c>
      <c r="D614" t="s">
        <v>12822</v>
      </c>
      <c r="E614" t="s">
        <v>656</v>
      </c>
      <c r="F614">
        <v>2023</v>
      </c>
      <c r="G614" t="s">
        <v>540</v>
      </c>
      <c r="H614" t="s">
        <v>657</v>
      </c>
      <c r="I614" t="s">
        <v>660</v>
      </c>
      <c r="J614" t="s">
        <v>661</v>
      </c>
      <c r="K614" t="s">
        <v>42</v>
      </c>
      <c r="L614" t="s">
        <v>12252</v>
      </c>
    </row>
    <row r="615" spans="1:78" x14ac:dyDescent="0.3">
      <c r="A615" s="8">
        <v>614</v>
      </c>
      <c r="B615" s="1">
        <v>548</v>
      </c>
      <c r="C615" t="s">
        <v>12118</v>
      </c>
      <c r="D615" s="1" t="s">
        <v>15422</v>
      </c>
      <c r="E615" s="1" t="s">
        <v>15424</v>
      </c>
      <c r="F615" s="1">
        <v>2023</v>
      </c>
      <c r="G615" s="1" t="s">
        <v>15425</v>
      </c>
      <c r="H615" s="1" t="s">
        <v>1507</v>
      </c>
      <c r="I615" s="1" t="s">
        <v>15431</v>
      </c>
      <c r="J615" s="1" t="s">
        <v>15430</v>
      </c>
      <c r="K615" s="1" t="s">
        <v>42</v>
      </c>
      <c r="L615" s="1" t="s">
        <v>5552</v>
      </c>
    </row>
    <row r="616" spans="1:78" x14ac:dyDescent="0.3">
      <c r="A616" s="8">
        <v>615</v>
      </c>
      <c r="B616" s="1">
        <v>549</v>
      </c>
      <c r="C616" t="s">
        <v>12118</v>
      </c>
      <c r="D616" s="1" t="s">
        <v>10415</v>
      </c>
      <c r="E616" s="1" t="s">
        <v>10417</v>
      </c>
      <c r="F616" s="1">
        <v>2020</v>
      </c>
      <c r="G616" s="1" t="s">
        <v>10418</v>
      </c>
      <c r="H616" s="1" t="s">
        <v>1507</v>
      </c>
      <c r="I616" s="1" t="s">
        <v>10419</v>
      </c>
      <c r="J616" s="1" t="s">
        <v>1507</v>
      </c>
      <c r="K616" s="1" t="s">
        <v>42</v>
      </c>
      <c r="L616" s="1" t="s">
        <v>56</v>
      </c>
    </row>
    <row r="617" spans="1:78" x14ac:dyDescent="0.3">
      <c r="A617" s="8">
        <v>616</v>
      </c>
      <c r="B617" s="1">
        <v>550</v>
      </c>
      <c r="C617" t="s">
        <v>12118</v>
      </c>
      <c r="D617" s="1" t="s">
        <v>8663</v>
      </c>
      <c r="E617" s="1" t="s">
        <v>8665</v>
      </c>
      <c r="F617" s="1">
        <v>2021</v>
      </c>
      <c r="G617" s="1" t="s">
        <v>8666</v>
      </c>
      <c r="H617" s="1" t="str">
        <f>HYPERLINK("http://dx.doi.org/10.1172/jci.insight.147832","http://dx.doi.org/10.1172/jci.insight.147832")</f>
        <v>http://dx.doi.org/10.1172/jci.insight.147832</v>
      </c>
      <c r="I617" s="1" t="s">
        <v>8668</v>
      </c>
      <c r="J617" s="1" t="s">
        <v>1507</v>
      </c>
      <c r="K617" s="1" t="s">
        <v>42</v>
      </c>
      <c r="L617" s="1" t="s">
        <v>56</v>
      </c>
    </row>
    <row r="618" spans="1:78" x14ac:dyDescent="0.3">
      <c r="A618" s="8">
        <v>617</v>
      </c>
      <c r="B618" s="1">
        <v>551</v>
      </c>
      <c r="C618" t="s">
        <v>12118</v>
      </c>
      <c r="D618" s="1" t="s">
        <v>11178</v>
      </c>
      <c r="E618" s="1" t="s">
        <v>11180</v>
      </c>
      <c r="F618" s="1">
        <v>2019</v>
      </c>
      <c r="G618" s="1" t="s">
        <v>11181</v>
      </c>
      <c r="H618" s="1" t="s">
        <v>1507</v>
      </c>
      <c r="I618" s="1" t="s">
        <v>11183</v>
      </c>
      <c r="J618" s="1" t="s">
        <v>1507</v>
      </c>
      <c r="K618" s="1" t="s">
        <v>42</v>
      </c>
      <c r="L618" s="1" t="s">
        <v>56</v>
      </c>
    </row>
    <row r="619" spans="1:78" x14ac:dyDescent="0.3">
      <c r="A619" s="8">
        <v>618</v>
      </c>
      <c r="B619" s="1">
        <v>553</v>
      </c>
      <c r="C619" t="s">
        <v>12118</v>
      </c>
      <c r="D619" s="1" t="s">
        <v>2321</v>
      </c>
      <c r="E619" s="1" t="s">
        <v>2323</v>
      </c>
      <c r="F619" s="1">
        <v>2023</v>
      </c>
      <c r="G619" s="1" t="s">
        <v>2324</v>
      </c>
      <c r="H619" s="1" t="s">
        <v>1507</v>
      </c>
      <c r="I619" s="1" t="s">
        <v>2325</v>
      </c>
      <c r="J619" s="1" t="s">
        <v>1507</v>
      </c>
      <c r="K619" s="1" t="s">
        <v>42</v>
      </c>
      <c r="L619" s="1" t="s">
        <v>56</v>
      </c>
    </row>
    <row r="620" spans="1:78" x14ac:dyDescent="0.3">
      <c r="A620" s="8">
        <v>619</v>
      </c>
      <c r="B620">
        <v>167</v>
      </c>
      <c r="C620" t="s">
        <v>12204</v>
      </c>
      <c r="D620" t="s">
        <v>12928</v>
      </c>
      <c r="E620" t="s">
        <v>334</v>
      </c>
      <c r="F620">
        <v>2023</v>
      </c>
      <c r="G620" t="s">
        <v>335</v>
      </c>
      <c r="H620" t="s">
        <v>336</v>
      </c>
      <c r="I620" t="s">
        <v>338</v>
      </c>
      <c r="J620" t="s">
        <v>339</v>
      </c>
      <c r="K620" t="s">
        <v>42</v>
      </c>
      <c r="L620" t="s">
        <v>56</v>
      </c>
    </row>
    <row r="621" spans="1:78" x14ac:dyDescent="0.3">
      <c r="A621" s="8">
        <v>620</v>
      </c>
      <c r="B621">
        <v>168</v>
      </c>
      <c r="C621" t="s">
        <v>12204</v>
      </c>
      <c r="D621" t="s">
        <v>12615</v>
      </c>
      <c r="E621" t="s">
        <v>1084</v>
      </c>
      <c r="F621">
        <v>2023</v>
      </c>
      <c r="G621" t="s">
        <v>1085</v>
      </c>
      <c r="I621" t="s">
        <v>1088</v>
      </c>
      <c r="K621" t="s">
        <v>42</v>
      </c>
      <c r="L621" t="s">
        <v>12252</v>
      </c>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row>
    <row r="622" spans="1:78" x14ac:dyDescent="0.3">
      <c r="A622" s="8">
        <v>621</v>
      </c>
      <c r="B622" s="1">
        <v>554</v>
      </c>
      <c r="C622" t="s">
        <v>12118</v>
      </c>
      <c r="D622" s="1" t="s">
        <v>6994</v>
      </c>
      <c r="E622" s="1" t="s">
        <v>6996</v>
      </c>
      <c r="F622" s="1">
        <v>2022</v>
      </c>
      <c r="G622" s="1" t="s">
        <v>6997</v>
      </c>
      <c r="H622" s="1" t="s">
        <v>1507</v>
      </c>
      <c r="I622" s="1" t="s">
        <v>6999</v>
      </c>
      <c r="J622" s="1" t="s">
        <v>6998</v>
      </c>
      <c r="K622" s="1" t="s">
        <v>42</v>
      </c>
      <c r="L622" s="1" t="s">
        <v>56</v>
      </c>
    </row>
    <row r="623" spans="1:78" x14ac:dyDescent="0.3">
      <c r="A623" s="8">
        <v>622</v>
      </c>
      <c r="B623" s="1">
        <v>555</v>
      </c>
      <c r="C623" t="s">
        <v>12118</v>
      </c>
      <c r="D623" s="1" t="s">
        <v>7940</v>
      </c>
      <c r="E623" s="1" t="s">
        <v>7942</v>
      </c>
      <c r="F623" s="1">
        <v>2022</v>
      </c>
      <c r="G623" s="1" t="s">
        <v>7943</v>
      </c>
      <c r="H623" s="1" t="str">
        <f>HYPERLINK("http://dx.doi.org/10.1039/d1cp04076f","http://dx.doi.org/10.1039/d1cp04076f")</f>
        <v>http://dx.doi.org/10.1039/d1cp04076f</v>
      </c>
      <c r="I623" s="1" t="s">
        <v>7945</v>
      </c>
      <c r="J623" s="1" t="s">
        <v>1507</v>
      </c>
      <c r="K623" s="1" t="s">
        <v>42</v>
      </c>
      <c r="L623" s="1" t="s">
        <v>56</v>
      </c>
    </row>
    <row r="624" spans="1:78" x14ac:dyDescent="0.3">
      <c r="A624" s="8">
        <v>623</v>
      </c>
      <c r="B624" s="1">
        <v>556</v>
      </c>
      <c r="C624" t="s">
        <v>12118</v>
      </c>
      <c r="D624" s="1" t="s">
        <v>2477</v>
      </c>
      <c r="E624" s="1" t="s">
        <v>2479</v>
      </c>
      <c r="F624" s="1">
        <v>2023</v>
      </c>
      <c r="G624" s="1" t="s">
        <v>2480</v>
      </c>
      <c r="H624" s="1" t="str">
        <f>HYPERLINK("http://dx.doi.org/10.1007/s11196-023-10068-1","http://dx.doi.org/10.1007/s11196-023-10068-1")</f>
        <v>http://dx.doi.org/10.1007/s11196-023-10068-1</v>
      </c>
      <c r="I624" s="1" t="s">
        <v>2482</v>
      </c>
      <c r="J624" s="1" t="s">
        <v>2481</v>
      </c>
      <c r="K624" s="1" t="s">
        <v>42</v>
      </c>
      <c r="L624" s="1" t="s">
        <v>1509</v>
      </c>
    </row>
    <row r="625" spans="1:78" x14ac:dyDescent="0.3">
      <c r="A625" s="8">
        <v>624</v>
      </c>
      <c r="B625" s="1">
        <v>558</v>
      </c>
      <c r="C625" t="s">
        <v>12118</v>
      </c>
      <c r="D625" s="1" t="s">
        <v>8040</v>
      </c>
      <c r="E625" s="1" t="s">
        <v>8042</v>
      </c>
      <c r="F625" s="1">
        <v>2021</v>
      </c>
      <c r="G625" s="1" t="s">
        <v>8043</v>
      </c>
      <c r="H625" s="1" t="str">
        <f>HYPERLINK("http://dx.doi.org/10.1186/s10020-021-00334-y","http://dx.doi.org/10.1186/s10020-021-00334-y")</f>
        <v>http://dx.doi.org/10.1186/s10020-021-00334-y</v>
      </c>
      <c r="I625" s="1" t="s">
        <v>8046</v>
      </c>
      <c r="J625" s="1" t="s">
        <v>8044</v>
      </c>
      <c r="K625" s="1" t="s">
        <v>42</v>
      </c>
      <c r="L625" s="1" t="s">
        <v>56</v>
      </c>
    </row>
    <row r="626" spans="1:78" x14ac:dyDescent="0.3">
      <c r="A626" s="8">
        <v>625</v>
      </c>
      <c r="B626" s="1">
        <v>559</v>
      </c>
      <c r="C626" t="s">
        <v>12118</v>
      </c>
      <c r="D626" s="1" t="s">
        <v>6535</v>
      </c>
      <c r="E626" s="1" t="s">
        <v>6537</v>
      </c>
      <c r="F626" s="1">
        <v>2023</v>
      </c>
      <c r="G626" s="1" t="s">
        <v>6538</v>
      </c>
      <c r="H626" s="1" t="str">
        <f>HYPERLINK("http://dx.doi.org/10.1177/18344909231213958","http://dx.doi.org/10.1177/18344909231213958")</f>
        <v>http://dx.doi.org/10.1177/18344909231213958</v>
      </c>
      <c r="I626" s="1" t="s">
        <v>6540</v>
      </c>
      <c r="J626" s="1" t="s">
        <v>6539</v>
      </c>
      <c r="K626" s="1" t="s">
        <v>42</v>
      </c>
      <c r="L626" s="1" t="s">
        <v>56</v>
      </c>
    </row>
    <row r="627" spans="1:78" x14ac:dyDescent="0.3">
      <c r="A627" s="8">
        <v>626</v>
      </c>
      <c r="B627" s="1">
        <v>560</v>
      </c>
      <c r="C627" t="s">
        <v>12118</v>
      </c>
      <c r="D627" s="1" t="s">
        <v>7894</v>
      </c>
      <c r="E627" s="1" t="s">
        <v>7897</v>
      </c>
      <c r="F627" s="1">
        <v>2022</v>
      </c>
      <c r="G627" s="1" t="s">
        <v>7898</v>
      </c>
      <c r="H627" s="1" t="str">
        <f>HYPERLINK("http://dx.doi.org/10.1007/978-3-031-11644-5_13","http://dx.doi.org/10.1007/978-3-031-11644-5_13")</f>
        <v>http://dx.doi.org/10.1007/978-3-031-11644-5_13</v>
      </c>
      <c r="I627" s="1" t="s">
        <v>7904</v>
      </c>
      <c r="J627" s="1" t="s">
        <v>1507</v>
      </c>
      <c r="K627" s="1" t="s">
        <v>42</v>
      </c>
      <c r="L627" s="1" t="s">
        <v>5552</v>
      </c>
    </row>
    <row r="628" spans="1:78" x14ac:dyDescent="0.3">
      <c r="A628" s="8">
        <v>627</v>
      </c>
      <c r="B628" s="1">
        <v>561</v>
      </c>
      <c r="C628" t="s">
        <v>12118</v>
      </c>
      <c r="D628" s="1" t="s">
        <v>15443</v>
      </c>
      <c r="E628" s="1" t="s">
        <v>15445</v>
      </c>
      <c r="F628" s="1">
        <v>2023</v>
      </c>
      <c r="G628" s="1" t="s">
        <v>15092</v>
      </c>
      <c r="H628" s="1" t="str">
        <f>HYPERLINK("http://dx.doi.org/10.1145/3583780.3614993","http://dx.doi.org/10.1145/3583780.3614993")</f>
        <v>http://dx.doi.org/10.1145/3583780.3614993</v>
      </c>
      <c r="I628" s="1" t="s">
        <v>15447</v>
      </c>
      <c r="J628" s="1" t="s">
        <v>15446</v>
      </c>
      <c r="K628" s="1" t="s">
        <v>42</v>
      </c>
      <c r="L628" s="1" t="s">
        <v>5552</v>
      </c>
    </row>
    <row r="629" spans="1:78" x14ac:dyDescent="0.3">
      <c r="A629" s="8">
        <v>628</v>
      </c>
      <c r="B629" s="1">
        <v>562</v>
      </c>
      <c r="C629" t="s">
        <v>12118</v>
      </c>
      <c r="D629" s="1" t="s">
        <v>15457</v>
      </c>
      <c r="E629" s="1" t="s">
        <v>15459</v>
      </c>
      <c r="F629" s="1">
        <v>2023</v>
      </c>
      <c r="G629" s="1" t="s">
        <v>15263</v>
      </c>
      <c r="H629" s="1" t="str">
        <f>HYPERLINK("http://dx.doi.org/10.1109/ICTAI59109.2023.00124","http://dx.doi.org/10.1109/ICTAI59109.2023.00124")</f>
        <v>http://dx.doi.org/10.1109/ICTAI59109.2023.00124</v>
      </c>
      <c r="I629" s="1" t="s">
        <v>15461</v>
      </c>
      <c r="J629" s="1" t="s">
        <v>15460</v>
      </c>
      <c r="K629" s="1" t="s">
        <v>42</v>
      </c>
      <c r="L629" s="1" t="s">
        <v>5552</v>
      </c>
    </row>
    <row r="630" spans="1:78" x14ac:dyDescent="0.3">
      <c r="A630" s="8">
        <v>629</v>
      </c>
      <c r="B630" s="1">
        <v>563</v>
      </c>
      <c r="C630" t="s">
        <v>12118</v>
      </c>
      <c r="D630" s="1" t="s">
        <v>8837</v>
      </c>
      <c r="E630" s="1" t="s">
        <v>8839</v>
      </c>
      <c r="F630" s="1">
        <v>2021</v>
      </c>
      <c r="G630" s="1" t="s">
        <v>8840</v>
      </c>
      <c r="H630" s="1" t="s">
        <v>1507</v>
      </c>
      <c r="I630" s="1" t="s">
        <v>8841</v>
      </c>
      <c r="J630" s="1" t="s">
        <v>1507</v>
      </c>
      <c r="K630" s="1" t="s">
        <v>42</v>
      </c>
      <c r="L630" s="1" t="s">
        <v>56</v>
      </c>
    </row>
    <row r="631" spans="1:78" x14ac:dyDescent="0.3">
      <c r="A631" s="8">
        <v>630</v>
      </c>
      <c r="B631">
        <v>169</v>
      </c>
      <c r="C631" t="s">
        <v>12204</v>
      </c>
      <c r="D631" t="s">
        <v>12640</v>
      </c>
      <c r="E631" t="s">
        <v>818</v>
      </c>
      <c r="F631">
        <v>2023</v>
      </c>
      <c r="G631" t="s">
        <v>819</v>
      </c>
      <c r="H631" t="s">
        <v>820</v>
      </c>
      <c r="I631" t="s">
        <v>823</v>
      </c>
      <c r="J631" t="s">
        <v>824</v>
      </c>
      <c r="K631" t="s">
        <v>42</v>
      </c>
      <c r="L631" t="s">
        <v>56</v>
      </c>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row>
    <row r="632" spans="1:78" x14ac:dyDescent="0.3">
      <c r="A632" s="8">
        <v>631</v>
      </c>
      <c r="B632" s="1">
        <v>564</v>
      </c>
      <c r="C632" t="s">
        <v>12118</v>
      </c>
      <c r="D632" s="1" t="s">
        <v>1713</v>
      </c>
      <c r="E632" s="1" t="s">
        <v>1715</v>
      </c>
      <c r="F632" s="1">
        <v>2023</v>
      </c>
      <c r="G632" s="1" t="s">
        <v>1716</v>
      </c>
      <c r="H632" s="1" t="str">
        <f>HYPERLINK("http://dx.doi.org/10.1007/s40979-023-00146-z","http://dx.doi.org/10.1007/s40979-023-00146-z")</f>
        <v>http://dx.doi.org/10.1007/s40979-023-00146-z</v>
      </c>
      <c r="I632" s="1" t="s">
        <v>1718</v>
      </c>
      <c r="J632" s="1" t="s">
        <v>1717</v>
      </c>
      <c r="K632" s="1" t="s">
        <v>42</v>
      </c>
      <c r="L632" s="1" t="s">
        <v>56</v>
      </c>
    </row>
    <row r="633" spans="1:78" x14ac:dyDescent="0.3">
      <c r="A633" s="8">
        <v>632</v>
      </c>
      <c r="B633" s="1">
        <v>565</v>
      </c>
      <c r="C633" t="s">
        <v>12118</v>
      </c>
      <c r="D633" s="1" t="s">
        <v>7301</v>
      </c>
      <c r="E633" s="1" t="s">
        <v>7303</v>
      </c>
      <c r="F633" s="1">
        <v>2022</v>
      </c>
      <c r="G633" s="1" t="s">
        <v>7304</v>
      </c>
      <c r="H633" s="1" t="str">
        <f>HYPERLINK("http://dx.doi.org/10.1108/IJSE-02-2021-0114","http://dx.doi.org/10.1108/IJSE-02-2021-0114")</f>
        <v>http://dx.doi.org/10.1108/IJSE-02-2021-0114</v>
      </c>
      <c r="I633" s="1" t="s">
        <v>7307</v>
      </c>
      <c r="J633" s="1" t="s">
        <v>7305</v>
      </c>
      <c r="K633" s="1" t="s">
        <v>42</v>
      </c>
      <c r="L633" s="1" t="s">
        <v>56</v>
      </c>
    </row>
    <row r="634" spans="1:78" x14ac:dyDescent="0.3">
      <c r="A634" s="8">
        <v>633</v>
      </c>
      <c r="B634" s="1">
        <v>567</v>
      </c>
      <c r="C634" t="s">
        <v>12118</v>
      </c>
      <c r="D634" s="1" t="s">
        <v>2341</v>
      </c>
      <c r="E634" s="1" t="s">
        <v>2343</v>
      </c>
      <c r="F634" s="1">
        <v>2023</v>
      </c>
      <c r="G634" s="1" t="s">
        <v>2344</v>
      </c>
      <c r="H634" s="1" t="str">
        <f>HYPERLINK("http://dx.doi.org/10.3390/f14122412","http://dx.doi.org/10.3390/f14122412")</f>
        <v>http://dx.doi.org/10.3390/f14122412</v>
      </c>
      <c r="I634" s="1" t="s">
        <v>2347</v>
      </c>
      <c r="J634" s="1" t="s">
        <v>2345</v>
      </c>
      <c r="K634" s="1" t="s">
        <v>42</v>
      </c>
      <c r="L634" s="1" t="s">
        <v>56</v>
      </c>
    </row>
    <row r="635" spans="1:78" x14ac:dyDescent="0.3">
      <c r="A635" s="8">
        <v>634</v>
      </c>
      <c r="B635" s="1">
        <v>568</v>
      </c>
      <c r="C635" t="s">
        <v>12118</v>
      </c>
      <c r="D635" s="1" t="s">
        <v>2959</v>
      </c>
      <c r="E635" s="1" t="s">
        <v>2961</v>
      </c>
      <c r="F635" s="1">
        <v>2023</v>
      </c>
      <c r="G635" s="1" t="s">
        <v>2962</v>
      </c>
      <c r="H635" s="1" t="str">
        <f>HYPERLINK("http://dx.doi.org/10.1016/j.ajp.2023.103808","http://dx.doi.org/10.1016/j.ajp.2023.103808")</f>
        <v>http://dx.doi.org/10.1016/j.ajp.2023.103808</v>
      </c>
      <c r="I635" s="1" t="s">
        <v>2964</v>
      </c>
      <c r="J635" s="1" t="s">
        <v>2963</v>
      </c>
      <c r="K635" s="1" t="s">
        <v>42</v>
      </c>
      <c r="L635" s="1" t="s">
        <v>56</v>
      </c>
    </row>
    <row r="636" spans="1:78" x14ac:dyDescent="0.3">
      <c r="A636" s="8">
        <v>635</v>
      </c>
      <c r="B636">
        <v>170</v>
      </c>
      <c r="C636" t="s">
        <v>12204</v>
      </c>
      <c r="D636" t="s">
        <v>12489</v>
      </c>
      <c r="E636" t="s">
        <v>1153</v>
      </c>
      <c r="F636">
        <v>2023</v>
      </c>
      <c r="G636" t="s">
        <v>1154</v>
      </c>
      <c r="H636" t="s">
        <v>1155</v>
      </c>
      <c r="I636" t="s">
        <v>1158</v>
      </c>
      <c r="J636" t="s">
        <v>1159</v>
      </c>
      <c r="K636" t="s">
        <v>42</v>
      </c>
      <c r="L636" t="s">
        <v>56</v>
      </c>
      <c r="BU636" s="6"/>
      <c r="BV636" s="6"/>
      <c r="BW636" s="6"/>
      <c r="BX636" s="6"/>
      <c r="BY636" s="6"/>
      <c r="BZ636" s="6"/>
    </row>
    <row r="637" spans="1:78" x14ac:dyDescent="0.3">
      <c r="A637" s="8">
        <v>636</v>
      </c>
      <c r="B637">
        <v>171</v>
      </c>
      <c r="C637" t="s">
        <v>12204</v>
      </c>
      <c r="D637" t="s">
        <v>12557</v>
      </c>
      <c r="E637" t="s">
        <v>1142</v>
      </c>
      <c r="F637">
        <v>2023</v>
      </c>
      <c r="G637" t="s">
        <v>1143</v>
      </c>
      <c r="H637" t="s">
        <v>1144</v>
      </c>
      <c r="I637" t="s">
        <v>1147</v>
      </c>
      <c r="J637" t="s">
        <v>1148</v>
      </c>
      <c r="K637" t="s">
        <v>42</v>
      </c>
      <c r="L637" t="s">
        <v>56</v>
      </c>
      <c r="BU637" s="6"/>
      <c r="BV637" s="6"/>
      <c r="BW637" s="6"/>
      <c r="BX637" s="6"/>
      <c r="BY637" s="6"/>
    </row>
    <row r="638" spans="1:78" x14ac:dyDescent="0.3">
      <c r="A638" s="8">
        <v>637</v>
      </c>
      <c r="B638">
        <v>172</v>
      </c>
      <c r="C638" t="s">
        <v>12204</v>
      </c>
      <c r="D638" t="s">
        <v>13356</v>
      </c>
      <c r="E638" t="s">
        <v>204</v>
      </c>
      <c r="F638">
        <v>2023</v>
      </c>
      <c r="G638" t="s">
        <v>205</v>
      </c>
      <c r="H638" t="s">
        <v>206</v>
      </c>
      <c r="I638" t="s">
        <v>209</v>
      </c>
      <c r="J638" t="s">
        <v>210</v>
      </c>
      <c r="K638" t="s">
        <v>42</v>
      </c>
      <c r="L638" t="s">
        <v>56</v>
      </c>
    </row>
    <row r="639" spans="1:78" x14ac:dyDescent="0.3">
      <c r="A639" s="8">
        <v>638</v>
      </c>
      <c r="B639" s="1">
        <v>569</v>
      </c>
      <c r="C639" t="s">
        <v>12118</v>
      </c>
      <c r="D639" s="1" t="s">
        <v>4276</v>
      </c>
      <c r="E639" s="1" t="s">
        <v>204</v>
      </c>
      <c r="F639" s="1">
        <v>2023</v>
      </c>
      <c r="G639" s="1" t="s">
        <v>4278</v>
      </c>
      <c r="H639" s="1" t="str">
        <f>HYPERLINK("http://dx.doi.org/10.1093/glycob/cwad064","http://dx.doi.org/10.1093/glycob/cwad064")</f>
        <v>http://dx.doi.org/10.1093/glycob/cwad064</v>
      </c>
      <c r="I639" s="1" t="s">
        <v>4279</v>
      </c>
      <c r="J639" s="1" t="s">
        <v>210</v>
      </c>
      <c r="K639" s="1" t="s">
        <v>42</v>
      </c>
      <c r="L639" s="1" t="s">
        <v>56</v>
      </c>
    </row>
    <row r="640" spans="1:78" x14ac:dyDescent="0.3">
      <c r="A640" s="8">
        <v>639</v>
      </c>
      <c r="B640" s="1">
        <v>570</v>
      </c>
      <c r="C640" t="s">
        <v>12118</v>
      </c>
      <c r="D640" s="1" t="s">
        <v>2539</v>
      </c>
      <c r="E640" s="1" t="s">
        <v>2541</v>
      </c>
      <c r="F640" s="1">
        <v>2023</v>
      </c>
      <c r="G640" s="1" t="s">
        <v>1538</v>
      </c>
      <c r="H640" s="1" t="str">
        <f>HYPERLINK("http://dx.doi.org/10.1162/tacl_a_00608","http://dx.doi.org/10.1162/tacl_a_00608")</f>
        <v>http://dx.doi.org/10.1162/tacl_a_00608</v>
      </c>
      <c r="I640" s="1" t="s">
        <v>2542</v>
      </c>
      <c r="J640" s="1" t="s">
        <v>1507</v>
      </c>
      <c r="K640" s="1" t="s">
        <v>42</v>
      </c>
      <c r="L640" s="1" t="s">
        <v>56</v>
      </c>
    </row>
    <row r="641" spans="1:12" x14ac:dyDescent="0.3">
      <c r="A641" s="8">
        <v>640</v>
      </c>
      <c r="B641" s="1">
        <v>571</v>
      </c>
      <c r="C641" t="s">
        <v>12118</v>
      </c>
      <c r="D641" s="1" t="s">
        <v>5222</v>
      </c>
      <c r="E641" s="1" t="s">
        <v>5224</v>
      </c>
      <c r="F641" s="1">
        <v>2023</v>
      </c>
      <c r="G641" s="1" t="s">
        <v>2811</v>
      </c>
      <c r="H641" s="1" t="str">
        <f>HYPERLINK("http://dx.doi.org/10.1111/cogs.13254","http://dx.doi.org/10.1111/cogs.13254")</f>
        <v>http://dx.doi.org/10.1111/cogs.13254</v>
      </c>
      <c r="I641" s="1" t="s">
        <v>5227</v>
      </c>
      <c r="J641" s="1" t="s">
        <v>5225</v>
      </c>
      <c r="K641" s="1" t="s">
        <v>42</v>
      </c>
      <c r="L641" s="1" t="s">
        <v>56</v>
      </c>
    </row>
    <row r="642" spans="1:12" x14ac:dyDescent="0.3">
      <c r="A642" s="8">
        <v>641</v>
      </c>
      <c r="B642" s="1">
        <v>572</v>
      </c>
      <c r="C642" t="s">
        <v>12118</v>
      </c>
      <c r="D642" s="1" t="s">
        <v>15471</v>
      </c>
      <c r="E642" s="1" t="s">
        <v>15473</v>
      </c>
      <c r="F642" s="1">
        <v>2023</v>
      </c>
      <c r="G642" s="1" t="s">
        <v>15474</v>
      </c>
      <c r="H642" s="1" t="str">
        <f>HYPERLINK("http://dx.doi.org/10.15219/em100.1617","http://dx.doi.org/10.15219/em100.1617")</f>
        <v>http://dx.doi.org/10.15219/em100.1617</v>
      </c>
      <c r="I642" s="1" t="s">
        <v>15477</v>
      </c>
      <c r="J642" s="1" t="s">
        <v>15476</v>
      </c>
      <c r="K642" s="1" t="s">
        <v>15475</v>
      </c>
      <c r="L642" s="1" t="s">
        <v>56</v>
      </c>
    </row>
    <row r="643" spans="1:12" x14ac:dyDescent="0.3">
      <c r="A643" s="8">
        <v>642</v>
      </c>
      <c r="B643" s="1">
        <v>574</v>
      </c>
      <c r="C643" t="s">
        <v>12118</v>
      </c>
      <c r="D643" s="1" t="s">
        <v>8063</v>
      </c>
      <c r="E643" s="1" t="s">
        <v>8065</v>
      </c>
      <c r="F643" s="1">
        <v>2022</v>
      </c>
      <c r="G643" s="1" t="s">
        <v>8066</v>
      </c>
      <c r="H643" s="1" t="str">
        <f>HYPERLINK("http://dx.doi.org/10.1016/j.canlet.2021.10.039","http://dx.doi.org/10.1016/j.canlet.2021.10.039")</f>
        <v>http://dx.doi.org/10.1016/j.canlet.2021.10.039</v>
      </c>
      <c r="I643" s="1" t="s">
        <v>8069</v>
      </c>
      <c r="J643" s="1" t="s">
        <v>8067</v>
      </c>
      <c r="K643" s="1" t="s">
        <v>42</v>
      </c>
      <c r="L643" s="1" t="s">
        <v>56</v>
      </c>
    </row>
    <row r="644" spans="1:12" x14ac:dyDescent="0.3">
      <c r="A644" s="8">
        <v>643</v>
      </c>
      <c r="B644" s="1">
        <v>575</v>
      </c>
      <c r="C644" t="s">
        <v>12118</v>
      </c>
      <c r="D644" s="1" t="s">
        <v>10090</v>
      </c>
      <c r="E644" s="1" t="s">
        <v>10092</v>
      </c>
      <c r="F644" s="1">
        <v>2020</v>
      </c>
      <c r="G644" s="1" t="s">
        <v>10093</v>
      </c>
      <c r="H644" s="1" t="str">
        <f>HYPERLINK("http://dx.doi.org/10.1007/s00894-020-4310-2","http://dx.doi.org/10.1007/s00894-020-4310-2")</f>
        <v>http://dx.doi.org/10.1007/s00894-020-4310-2</v>
      </c>
      <c r="I644" s="1" t="s">
        <v>10095</v>
      </c>
      <c r="J644" s="1" t="s">
        <v>10094</v>
      </c>
      <c r="K644" s="1" t="s">
        <v>42</v>
      </c>
      <c r="L644" s="1" t="s">
        <v>56</v>
      </c>
    </row>
    <row r="645" spans="1:12" x14ac:dyDescent="0.3">
      <c r="A645" s="8">
        <v>644</v>
      </c>
      <c r="B645" s="1">
        <v>577</v>
      </c>
      <c r="C645" t="s">
        <v>12118</v>
      </c>
      <c r="D645" s="1" t="s">
        <v>10945</v>
      </c>
      <c r="E645" s="1" t="s">
        <v>11840</v>
      </c>
      <c r="F645" s="1">
        <v>2018</v>
      </c>
      <c r="G645" s="1" t="s">
        <v>10948</v>
      </c>
      <c r="H645" s="1" t="str">
        <f>HYPERLINK("http://dx.doi.org/10.1103/PhysRevFluids.3.031101","http://dx.doi.org/10.1103/PhysRevFluids.3.031101")</f>
        <v>http://dx.doi.org/10.1103/PhysRevFluids.3.031101</v>
      </c>
      <c r="I645" s="1" t="s">
        <v>11842</v>
      </c>
      <c r="J645" s="1" t="s">
        <v>1507</v>
      </c>
      <c r="K645" s="1" t="s">
        <v>42</v>
      </c>
      <c r="L645" s="1" t="s">
        <v>56</v>
      </c>
    </row>
    <row r="646" spans="1:12" x14ac:dyDescent="0.3">
      <c r="A646" s="8">
        <v>645</v>
      </c>
      <c r="B646" s="1">
        <v>576</v>
      </c>
      <c r="C646" t="s">
        <v>12118</v>
      </c>
      <c r="D646" s="1" t="s">
        <v>10945</v>
      </c>
      <c r="E646" s="1" t="s">
        <v>10947</v>
      </c>
      <c r="F646" s="1">
        <v>2019</v>
      </c>
      <c r="G646" s="1" t="s">
        <v>10948</v>
      </c>
      <c r="H646" s="1" t="str">
        <f>HYPERLINK("http://dx.doi.org/10.1103/PhysRevFluids.4.063101","http://dx.doi.org/10.1103/PhysRevFluids.4.063101")</f>
        <v>http://dx.doi.org/10.1103/PhysRevFluids.4.063101</v>
      </c>
      <c r="I646" s="1" t="s">
        <v>10950</v>
      </c>
      <c r="J646" s="1" t="s">
        <v>1507</v>
      </c>
      <c r="K646" s="1" t="s">
        <v>42</v>
      </c>
      <c r="L646" s="1" t="s">
        <v>56</v>
      </c>
    </row>
    <row r="647" spans="1:12" x14ac:dyDescent="0.3">
      <c r="A647" s="8">
        <v>646</v>
      </c>
      <c r="B647" s="1">
        <v>578</v>
      </c>
      <c r="C647" t="s">
        <v>12118</v>
      </c>
      <c r="D647" s="1" t="s">
        <v>9578</v>
      </c>
      <c r="E647" s="1" t="s">
        <v>9580</v>
      </c>
      <c r="F647" s="1">
        <v>2020</v>
      </c>
      <c r="G647" s="1" t="s">
        <v>9581</v>
      </c>
      <c r="H647" s="1" t="str">
        <f>HYPERLINK("http://dx.doi.org/10.3389/fpsyg.2020.02230","http://dx.doi.org/10.3389/fpsyg.2020.02230")</f>
        <v>http://dx.doi.org/10.3389/fpsyg.2020.02230</v>
      </c>
      <c r="I647" s="1" t="s">
        <v>9584</v>
      </c>
      <c r="J647" s="1" t="s">
        <v>9582</v>
      </c>
      <c r="K647" s="1" t="s">
        <v>42</v>
      </c>
      <c r="L647" s="1" t="s">
        <v>56</v>
      </c>
    </row>
    <row r="648" spans="1:12" x14ac:dyDescent="0.3">
      <c r="A648" s="8">
        <v>647</v>
      </c>
      <c r="B648" s="1">
        <v>579</v>
      </c>
      <c r="C648" t="s">
        <v>12118</v>
      </c>
      <c r="D648" s="1" t="s">
        <v>8604</v>
      </c>
      <c r="E648" s="1" t="s">
        <v>8606</v>
      </c>
      <c r="F648" s="1">
        <v>2023</v>
      </c>
      <c r="G648" s="1" t="s">
        <v>1508</v>
      </c>
      <c r="H648" s="1" t="str">
        <f>HYPERLINK("http://dx.doi.org/10.1007/s12144-021-01836-y","http://dx.doi.org/10.1007/s12144-021-01836-y")</f>
        <v>http://dx.doi.org/10.1007/s12144-021-01836-y</v>
      </c>
      <c r="I648" s="1" t="s">
        <v>8609</v>
      </c>
      <c r="J648" s="1" t="s">
        <v>8607</v>
      </c>
      <c r="K648" s="1" t="s">
        <v>42</v>
      </c>
      <c r="L648" s="1" t="s">
        <v>56</v>
      </c>
    </row>
    <row r="649" spans="1:12" x14ac:dyDescent="0.3">
      <c r="A649" s="8">
        <v>648</v>
      </c>
      <c r="B649" s="1">
        <v>580</v>
      </c>
      <c r="C649" t="s">
        <v>12118</v>
      </c>
      <c r="D649" s="1" t="s">
        <v>9122</v>
      </c>
      <c r="E649" s="1" t="s">
        <v>9124</v>
      </c>
      <c r="F649" s="1">
        <v>2022</v>
      </c>
      <c r="G649" s="1" t="s">
        <v>1508</v>
      </c>
      <c r="H649" s="1" t="str">
        <f>HYPERLINK("http://dx.doi.org/10.1007/s12144-020-01230-0","http://dx.doi.org/10.1007/s12144-020-01230-0")</f>
        <v>http://dx.doi.org/10.1007/s12144-020-01230-0</v>
      </c>
      <c r="I649" s="1" t="s">
        <v>9127</v>
      </c>
      <c r="J649" s="1" t="s">
        <v>9125</v>
      </c>
      <c r="K649" s="1" t="s">
        <v>42</v>
      </c>
      <c r="L649" s="1" t="s">
        <v>56</v>
      </c>
    </row>
    <row r="650" spans="1:12" x14ac:dyDescent="0.3">
      <c r="A650" s="8">
        <v>649</v>
      </c>
      <c r="B650" s="1">
        <v>581</v>
      </c>
      <c r="C650" t="s">
        <v>12118</v>
      </c>
      <c r="D650" s="1" t="s">
        <v>10591</v>
      </c>
      <c r="E650" s="1" t="s">
        <v>10593</v>
      </c>
      <c r="F650" s="1">
        <v>2019</v>
      </c>
      <c r="G650" s="1" t="s">
        <v>8410</v>
      </c>
      <c r="H650" s="1" t="str">
        <f>HYPERLINK("http://dx.doi.org/10.1063/1.5132692","http://dx.doi.org/10.1063/1.5132692")</f>
        <v>http://dx.doi.org/10.1063/1.5132692</v>
      </c>
      <c r="I650" s="1" t="s">
        <v>10595</v>
      </c>
      <c r="J650" s="1" t="s">
        <v>1507</v>
      </c>
      <c r="K650" s="1" t="s">
        <v>42</v>
      </c>
      <c r="L650" s="1" t="s">
        <v>56</v>
      </c>
    </row>
    <row r="651" spans="1:12" x14ac:dyDescent="0.3">
      <c r="A651" s="8">
        <v>650</v>
      </c>
      <c r="B651">
        <v>173</v>
      </c>
      <c r="C651" t="s">
        <v>12204</v>
      </c>
      <c r="D651" t="s">
        <v>13034</v>
      </c>
      <c r="E651" t="s">
        <v>13032</v>
      </c>
      <c r="F651">
        <v>2023</v>
      </c>
      <c r="G651" t="s">
        <v>13031</v>
      </c>
      <c r="H651" t="s">
        <v>13030</v>
      </c>
      <c r="I651" t="s">
        <v>13026</v>
      </c>
      <c r="J651" t="s">
        <v>13025</v>
      </c>
      <c r="K651" t="s">
        <v>42</v>
      </c>
      <c r="L651" t="s">
        <v>12252</v>
      </c>
    </row>
    <row r="652" spans="1:12" x14ac:dyDescent="0.3">
      <c r="A652" s="8">
        <v>651</v>
      </c>
      <c r="B652" s="1">
        <v>582</v>
      </c>
      <c r="C652" t="s">
        <v>12118</v>
      </c>
      <c r="D652" s="1" t="s">
        <v>14226</v>
      </c>
      <c r="E652" s="1" t="s">
        <v>14228</v>
      </c>
      <c r="F652" s="1">
        <v>2023</v>
      </c>
      <c r="G652" s="1" t="s">
        <v>1760</v>
      </c>
      <c r="H652" s="1" t="str">
        <f>HYPERLINK("http://dx.doi.org/10.1038/s41586-023-06631-2","http://dx.doi.org/10.1038/s41586-023-06631-2")</f>
        <v>http://dx.doi.org/10.1038/s41586-023-06631-2</v>
      </c>
      <c r="I652" s="1" t="s">
        <v>14230</v>
      </c>
      <c r="J652" s="1" t="s">
        <v>1507</v>
      </c>
      <c r="K652" s="1" t="s">
        <v>42</v>
      </c>
      <c r="L652" s="1" t="s">
        <v>56</v>
      </c>
    </row>
    <row r="653" spans="1:12" x14ac:dyDescent="0.3">
      <c r="A653" s="8">
        <v>652</v>
      </c>
      <c r="B653" s="1">
        <v>583</v>
      </c>
      <c r="C653" t="s">
        <v>12118</v>
      </c>
      <c r="D653" s="1" t="s">
        <v>7019</v>
      </c>
      <c r="E653" s="1" t="s">
        <v>7021</v>
      </c>
      <c r="F653" s="1">
        <v>2022</v>
      </c>
      <c r="G653" s="1" t="s">
        <v>7022</v>
      </c>
      <c r="H653" s="1" t="str">
        <f>HYPERLINK("http://dx.doi.org/10.1016/j.envint.2022.107484","http://dx.doi.org/10.1016/j.envint.2022.107484")</f>
        <v>http://dx.doi.org/10.1016/j.envint.2022.107484</v>
      </c>
      <c r="I653" s="1" t="s">
        <v>7025</v>
      </c>
      <c r="J653" s="1" t="s">
        <v>7023</v>
      </c>
      <c r="K653" s="1" t="s">
        <v>42</v>
      </c>
      <c r="L653" s="1" t="s">
        <v>56</v>
      </c>
    </row>
    <row r="654" spans="1:12" x14ac:dyDescent="0.3">
      <c r="A654" s="8">
        <v>653</v>
      </c>
      <c r="B654" s="1">
        <v>584</v>
      </c>
      <c r="C654" t="s">
        <v>12118</v>
      </c>
      <c r="D654" s="1" t="s">
        <v>11195</v>
      </c>
      <c r="E654" s="1" t="s">
        <v>11197</v>
      </c>
      <c r="F654" s="1">
        <v>2019</v>
      </c>
      <c r="G654" s="1" t="s">
        <v>7563</v>
      </c>
      <c r="H654" s="1" t="str">
        <f>HYPERLINK("http://dx.doi.org/10.1038/s41467-018-08245-z","http://dx.doi.org/10.1038/s41467-018-08245-z")</f>
        <v>http://dx.doi.org/10.1038/s41467-018-08245-z</v>
      </c>
      <c r="I654" s="1" t="s">
        <v>11199</v>
      </c>
      <c r="J654" s="1" t="s">
        <v>1507</v>
      </c>
      <c r="K654" s="1" t="s">
        <v>42</v>
      </c>
      <c r="L654" s="1" t="s">
        <v>56</v>
      </c>
    </row>
    <row r="655" spans="1:12" x14ac:dyDescent="0.3">
      <c r="A655" s="8">
        <v>654</v>
      </c>
      <c r="B655" s="1">
        <v>585</v>
      </c>
      <c r="C655" t="s">
        <v>12118</v>
      </c>
      <c r="D655" s="1" t="s">
        <v>6554</v>
      </c>
      <c r="E655" s="1" t="s">
        <v>6556</v>
      </c>
      <c r="F655" s="1">
        <v>2023</v>
      </c>
      <c r="G655" s="1" t="s">
        <v>6557</v>
      </c>
      <c r="H655" s="1" t="str">
        <f>HYPERLINK("http://dx.doi.org/10.1109/VTC2023-Fall60731.2023.10333403","http://dx.doi.org/10.1109/VTC2023-Fall60731.2023.10333403")</f>
        <v>http://dx.doi.org/10.1109/VTC2023-Fall60731.2023.10333403</v>
      </c>
      <c r="I655" s="1" t="s">
        <v>6565</v>
      </c>
      <c r="J655" s="1" t="s">
        <v>6563</v>
      </c>
      <c r="K655" s="1" t="s">
        <v>42</v>
      </c>
      <c r="L655" s="1" t="s">
        <v>5552</v>
      </c>
    </row>
    <row r="656" spans="1:12" x14ac:dyDescent="0.3">
      <c r="A656" s="8">
        <v>655</v>
      </c>
      <c r="B656" s="1">
        <v>586</v>
      </c>
      <c r="C656" t="s">
        <v>12118</v>
      </c>
      <c r="D656" s="1" t="s">
        <v>8472</v>
      </c>
      <c r="E656" s="1" t="s">
        <v>8474</v>
      </c>
      <c r="F656" s="1">
        <v>2021</v>
      </c>
      <c r="G656" s="1" t="s">
        <v>7141</v>
      </c>
      <c r="H656" s="1" t="str">
        <f>HYPERLINK("http://dx.doi.org/10.1016/j.scitotenv.2021.148000","http://dx.doi.org/10.1016/j.scitotenv.2021.148000")</f>
        <v>http://dx.doi.org/10.1016/j.scitotenv.2021.148000</v>
      </c>
      <c r="I656" s="1" t="s">
        <v>8477</v>
      </c>
      <c r="J656" s="1" t="s">
        <v>8475</v>
      </c>
      <c r="K656" s="1" t="s">
        <v>42</v>
      </c>
      <c r="L656" s="1" t="s">
        <v>56</v>
      </c>
    </row>
    <row r="657" spans="1:78" x14ac:dyDescent="0.3">
      <c r="A657" s="8">
        <v>656</v>
      </c>
      <c r="B657" s="1">
        <v>587</v>
      </c>
      <c r="C657" t="s">
        <v>12118</v>
      </c>
      <c r="D657" s="1" t="s">
        <v>8301</v>
      </c>
      <c r="E657" s="1" t="s">
        <v>8303</v>
      </c>
      <c r="F657" s="1">
        <v>2021</v>
      </c>
      <c r="G657" s="1" t="s">
        <v>8304</v>
      </c>
      <c r="H657" s="1" t="str">
        <f>HYPERLINK("http://dx.doi.org/10.1093/nar/gkab660","http://dx.doi.org/10.1093/nar/gkab660")</f>
        <v>http://dx.doi.org/10.1093/nar/gkab660</v>
      </c>
      <c r="I657" s="1" t="s">
        <v>8306</v>
      </c>
      <c r="J657" s="1" t="s">
        <v>1507</v>
      </c>
      <c r="K657" s="1" t="s">
        <v>42</v>
      </c>
      <c r="L657" s="1" t="s">
        <v>56</v>
      </c>
    </row>
    <row r="658" spans="1:78" x14ac:dyDescent="0.3">
      <c r="A658" s="8">
        <v>657</v>
      </c>
      <c r="B658" s="1">
        <v>588</v>
      </c>
      <c r="C658" t="s">
        <v>12118</v>
      </c>
      <c r="D658" s="1" t="s">
        <v>10184</v>
      </c>
      <c r="E658" s="1" t="s">
        <v>10186</v>
      </c>
      <c r="F658" s="1">
        <v>2020</v>
      </c>
      <c r="G658" s="1" t="s">
        <v>10187</v>
      </c>
      <c r="H658" s="1" t="str">
        <f>HYPERLINK("http://dx.doi.org/10.1021/acs.jpcc.0c00055","http://dx.doi.org/10.1021/acs.jpcc.0c00055")</f>
        <v>http://dx.doi.org/10.1021/acs.jpcc.0c00055</v>
      </c>
      <c r="I658" s="1" t="s">
        <v>10189</v>
      </c>
      <c r="J658" s="1" t="s">
        <v>1507</v>
      </c>
      <c r="K658" s="1" t="s">
        <v>42</v>
      </c>
      <c r="L658" s="1" t="s">
        <v>56</v>
      </c>
    </row>
    <row r="659" spans="1:78" x14ac:dyDescent="0.3">
      <c r="A659" s="8">
        <v>658</v>
      </c>
      <c r="B659" s="1">
        <v>589</v>
      </c>
      <c r="C659" t="s">
        <v>12118</v>
      </c>
      <c r="D659" s="1" t="s">
        <v>11209</v>
      </c>
      <c r="E659" s="1" t="s">
        <v>11211</v>
      </c>
      <c r="F659" s="1">
        <v>2019</v>
      </c>
      <c r="G659" s="1" t="s">
        <v>10187</v>
      </c>
      <c r="H659" s="1" t="str">
        <f>HYPERLINK("http://dx.doi.org/10.1021/acs.jpcc.8b10837","http://dx.doi.org/10.1021/acs.jpcc.8b10837")</f>
        <v>http://dx.doi.org/10.1021/acs.jpcc.8b10837</v>
      </c>
      <c r="I659" s="1" t="s">
        <v>11213</v>
      </c>
      <c r="J659" s="1" t="s">
        <v>1507</v>
      </c>
      <c r="K659" s="1" t="s">
        <v>42</v>
      </c>
      <c r="L659" s="1" t="s">
        <v>56</v>
      </c>
    </row>
    <row r="660" spans="1:78" x14ac:dyDescent="0.3">
      <c r="A660" s="8">
        <v>659</v>
      </c>
      <c r="B660" s="1">
        <v>590</v>
      </c>
      <c r="C660" t="s">
        <v>12118</v>
      </c>
      <c r="D660" s="1" t="s">
        <v>8558</v>
      </c>
      <c r="E660" s="1" t="s">
        <v>8560</v>
      </c>
      <c r="F660" s="1">
        <v>2021</v>
      </c>
      <c r="G660" s="1" t="s">
        <v>8561</v>
      </c>
      <c r="H660" s="1" t="str">
        <f>HYPERLINK("http://dx.doi.org/10.1007/s10921-021-00773-x","http://dx.doi.org/10.1007/s10921-021-00773-x")</f>
        <v>http://dx.doi.org/10.1007/s10921-021-00773-x</v>
      </c>
      <c r="I660" s="1" t="s">
        <v>8563</v>
      </c>
      <c r="J660" s="1" t="s">
        <v>8562</v>
      </c>
      <c r="K660" s="1" t="s">
        <v>42</v>
      </c>
      <c r="L660" s="1" t="s">
        <v>56</v>
      </c>
    </row>
    <row r="661" spans="1:78" x14ac:dyDescent="0.3">
      <c r="A661" s="8">
        <v>660</v>
      </c>
      <c r="B661" s="1">
        <v>591</v>
      </c>
      <c r="C661" t="s">
        <v>12118</v>
      </c>
      <c r="D661" s="1" t="s">
        <v>6579</v>
      </c>
      <c r="E661" s="1" t="s">
        <v>6581</v>
      </c>
      <c r="F661" s="1">
        <v>2023</v>
      </c>
      <c r="G661" s="1" t="s">
        <v>6014</v>
      </c>
      <c r="H661" s="1" t="str">
        <f>HYPERLINK("http://dx.doi.org/10.1109/ASE56229.2023.00096","http://dx.doi.org/10.1109/ASE56229.2023.00096")</f>
        <v>http://dx.doi.org/10.1109/ASE56229.2023.00096</v>
      </c>
      <c r="I661" s="1" t="s">
        <v>6583</v>
      </c>
      <c r="J661" s="1" t="s">
        <v>6582</v>
      </c>
      <c r="K661" s="1" t="s">
        <v>42</v>
      </c>
      <c r="L661" s="1" t="s">
        <v>5552</v>
      </c>
    </row>
    <row r="662" spans="1:78" x14ac:dyDescent="0.3">
      <c r="A662" s="8">
        <v>661</v>
      </c>
      <c r="B662" s="1">
        <v>593</v>
      </c>
      <c r="C662" t="s">
        <v>12118</v>
      </c>
      <c r="D662" s="1" t="s">
        <v>7979</v>
      </c>
      <c r="E662" s="1" t="s">
        <v>7981</v>
      </c>
      <c r="F662" s="1">
        <v>2022</v>
      </c>
      <c r="G662" s="1" t="s">
        <v>7982</v>
      </c>
      <c r="H662" s="1" t="str">
        <f>HYPERLINK("http://dx.doi.org/10.1093/jxb/erab430","http://dx.doi.org/10.1093/jxb/erab430")</f>
        <v>http://dx.doi.org/10.1093/jxb/erab430</v>
      </c>
      <c r="I662" s="1" t="s">
        <v>7985</v>
      </c>
      <c r="J662" s="1" t="s">
        <v>7983</v>
      </c>
      <c r="K662" s="1" t="s">
        <v>42</v>
      </c>
      <c r="L662" s="1" t="s">
        <v>56</v>
      </c>
    </row>
    <row r="663" spans="1:78" x14ac:dyDescent="0.3">
      <c r="A663" s="8">
        <v>662</v>
      </c>
      <c r="B663" s="1">
        <v>594</v>
      </c>
      <c r="C663" t="s">
        <v>12118</v>
      </c>
      <c r="D663" s="1" t="s">
        <v>3231</v>
      </c>
      <c r="E663" s="1" t="s">
        <v>3233</v>
      </c>
      <c r="F663" s="1">
        <v>2023</v>
      </c>
      <c r="G663" s="1" t="s">
        <v>1999</v>
      </c>
      <c r="H663" s="1" t="str">
        <f>HYPERLINK("http://dx.doi.org/10.1371/journal.pone.0292903","http://dx.doi.org/10.1371/journal.pone.0292903")</f>
        <v>http://dx.doi.org/10.1371/journal.pone.0292903</v>
      </c>
      <c r="I663" s="1" t="s">
        <v>3235</v>
      </c>
      <c r="J663" s="1" t="s">
        <v>1507</v>
      </c>
      <c r="K663" s="1" t="s">
        <v>42</v>
      </c>
      <c r="L663" s="1" t="s">
        <v>56</v>
      </c>
    </row>
    <row r="664" spans="1:78" x14ac:dyDescent="0.3">
      <c r="A664" s="8">
        <v>663</v>
      </c>
      <c r="B664">
        <v>174</v>
      </c>
      <c r="C664" t="s">
        <v>12204</v>
      </c>
      <c r="D664" t="s">
        <v>12858</v>
      </c>
      <c r="E664" t="s">
        <v>675</v>
      </c>
      <c r="F664">
        <v>2023</v>
      </c>
      <c r="G664" t="s">
        <v>676</v>
      </c>
      <c r="H664" t="s">
        <v>677</v>
      </c>
      <c r="I664" t="s">
        <v>680</v>
      </c>
      <c r="J664" t="s">
        <v>681</v>
      </c>
      <c r="K664" t="s">
        <v>42</v>
      </c>
      <c r="L664" t="s">
        <v>12252</v>
      </c>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row>
    <row r="665" spans="1:78" x14ac:dyDescent="0.3">
      <c r="A665" s="8">
        <v>664</v>
      </c>
      <c r="B665">
        <v>175</v>
      </c>
      <c r="C665" t="s">
        <v>12204</v>
      </c>
      <c r="D665" t="s">
        <v>12309</v>
      </c>
      <c r="E665" t="s">
        <v>1093</v>
      </c>
      <c r="F665">
        <v>2021</v>
      </c>
      <c r="G665" t="s">
        <v>1094</v>
      </c>
      <c r="H665" t="s">
        <v>1095</v>
      </c>
      <c r="I665" t="s">
        <v>1098</v>
      </c>
      <c r="J665" t="s">
        <v>1099</v>
      </c>
      <c r="K665" t="s">
        <v>42</v>
      </c>
      <c r="L665" t="s">
        <v>56</v>
      </c>
    </row>
    <row r="666" spans="1:78" x14ac:dyDescent="0.3">
      <c r="A666" s="8">
        <v>665</v>
      </c>
      <c r="B666" s="1">
        <v>595</v>
      </c>
      <c r="C666" t="s">
        <v>12118</v>
      </c>
      <c r="D666" s="1" t="s">
        <v>8235</v>
      </c>
      <c r="E666" s="1" t="s">
        <v>8237</v>
      </c>
      <c r="F666" s="1">
        <v>2021</v>
      </c>
      <c r="G666" s="1" t="s">
        <v>8238</v>
      </c>
      <c r="H666" s="1" t="str">
        <f>HYPERLINK("http://dx.doi.org/10.3390/biom11091268","http://dx.doi.org/10.3390/biom11091268")</f>
        <v>http://dx.doi.org/10.3390/biom11091268</v>
      </c>
      <c r="I666" s="1" t="s">
        <v>8241</v>
      </c>
      <c r="J666" s="1" t="s">
        <v>8239</v>
      </c>
      <c r="K666" s="1" t="s">
        <v>42</v>
      </c>
      <c r="L666" s="1" t="s">
        <v>56</v>
      </c>
    </row>
    <row r="667" spans="1:78" x14ac:dyDescent="0.3">
      <c r="A667" s="8">
        <v>666</v>
      </c>
      <c r="B667" s="1">
        <v>596</v>
      </c>
      <c r="C667" t="s">
        <v>12118</v>
      </c>
      <c r="D667" s="1" t="s">
        <v>15491</v>
      </c>
      <c r="E667" s="1" t="s">
        <v>15494</v>
      </c>
      <c r="F667" s="1">
        <v>2023</v>
      </c>
      <c r="G667" s="1" t="s">
        <v>15495</v>
      </c>
      <c r="H667" s="1" t="str">
        <f>HYPERLINK("http://dx.doi.org/10.1145/3615890.3628538","http://dx.doi.org/10.1145/3615890.3628538")</f>
        <v>http://dx.doi.org/10.1145/3615890.3628538</v>
      </c>
      <c r="I667" s="1" t="s">
        <v>15501</v>
      </c>
      <c r="J667" s="1" t="s">
        <v>15499</v>
      </c>
      <c r="K667" s="1" t="s">
        <v>42</v>
      </c>
      <c r="L667" s="1" t="s">
        <v>5552</v>
      </c>
    </row>
    <row r="668" spans="1:78" x14ac:dyDescent="0.3">
      <c r="A668" s="8">
        <v>667</v>
      </c>
      <c r="B668" s="1">
        <v>597</v>
      </c>
      <c r="C668" t="s">
        <v>12118</v>
      </c>
      <c r="D668" s="1" t="s">
        <v>4368</v>
      </c>
      <c r="E668" s="1" t="s">
        <v>4370</v>
      </c>
      <c r="F668" s="1">
        <v>2023</v>
      </c>
      <c r="G668" s="1" t="s">
        <v>4371</v>
      </c>
      <c r="H668" s="1" t="str">
        <f>HYPERLINK("http://dx.doi.org/10.1016/j.saa.2023.123170","http://dx.doi.org/10.1016/j.saa.2023.123170")</f>
        <v>http://dx.doi.org/10.1016/j.saa.2023.123170</v>
      </c>
      <c r="I668" s="1" t="s">
        <v>4374</v>
      </c>
      <c r="J668" s="1" t="s">
        <v>4372</v>
      </c>
      <c r="K668" s="1" t="s">
        <v>42</v>
      </c>
      <c r="L668" s="1" t="s">
        <v>56</v>
      </c>
    </row>
    <row r="669" spans="1:78" x14ac:dyDescent="0.3">
      <c r="A669" s="8">
        <v>668</v>
      </c>
      <c r="B669" s="1">
        <v>598</v>
      </c>
      <c r="C669" t="s">
        <v>12118</v>
      </c>
      <c r="D669" s="1" t="s">
        <v>6593</v>
      </c>
      <c r="E669" s="1" t="s">
        <v>6595</v>
      </c>
      <c r="F669" s="1">
        <v>2023</v>
      </c>
      <c r="G669" s="1" t="s">
        <v>6596</v>
      </c>
      <c r="H669" s="1" t="s">
        <v>1507</v>
      </c>
      <c r="I669" s="1" t="s">
        <v>6599</v>
      </c>
      <c r="J669" s="1" t="s">
        <v>6597</v>
      </c>
      <c r="K669" s="1" t="s">
        <v>42</v>
      </c>
      <c r="L669" s="1" t="s">
        <v>56</v>
      </c>
    </row>
    <row r="670" spans="1:78" x14ac:dyDescent="0.3">
      <c r="A670" s="8">
        <v>669</v>
      </c>
      <c r="B670" s="1">
        <v>599</v>
      </c>
      <c r="C670" t="s">
        <v>12118</v>
      </c>
      <c r="D670" s="1" t="s">
        <v>10999</v>
      </c>
      <c r="E670" s="1" t="s">
        <v>11001</v>
      </c>
      <c r="F670" s="1">
        <v>2019</v>
      </c>
      <c r="G670" s="1" t="s">
        <v>11002</v>
      </c>
      <c r="H670" s="1" t="str">
        <f>HYPERLINK("http://dx.doi.org/10.1089/zeb.2019.1731","http://dx.doi.org/10.1089/zeb.2019.1731")</f>
        <v>http://dx.doi.org/10.1089/zeb.2019.1731</v>
      </c>
      <c r="I670" s="1" t="s">
        <v>11005</v>
      </c>
      <c r="J670" s="1" t="s">
        <v>11003</v>
      </c>
      <c r="K670" s="1" t="s">
        <v>42</v>
      </c>
      <c r="L670" s="1" t="s">
        <v>56</v>
      </c>
    </row>
    <row r="671" spans="1:78" x14ac:dyDescent="0.3">
      <c r="A671" s="8">
        <v>670</v>
      </c>
      <c r="B671">
        <v>176</v>
      </c>
      <c r="C671" t="s">
        <v>12204</v>
      </c>
      <c r="D671" t="s">
        <v>12996</v>
      </c>
      <c r="E671" t="s">
        <v>12994</v>
      </c>
      <c r="F671">
        <v>2023</v>
      </c>
      <c r="G671" t="s">
        <v>12984</v>
      </c>
      <c r="H671" t="s">
        <v>12993</v>
      </c>
      <c r="I671" t="s">
        <v>12989</v>
      </c>
      <c r="J671" t="s">
        <v>12988</v>
      </c>
      <c r="K671" t="s">
        <v>42</v>
      </c>
      <c r="L671" t="s">
        <v>12252</v>
      </c>
    </row>
    <row r="672" spans="1:78" x14ac:dyDescent="0.3">
      <c r="A672" s="8">
        <v>671</v>
      </c>
      <c r="B672" s="1">
        <v>600</v>
      </c>
      <c r="C672" t="s">
        <v>12118</v>
      </c>
      <c r="D672" s="1" t="s">
        <v>4790</v>
      </c>
      <c r="E672" s="1" t="s">
        <v>4792</v>
      </c>
      <c r="F672" s="1">
        <v>2023</v>
      </c>
      <c r="G672" s="1" t="s">
        <v>4793</v>
      </c>
      <c r="H672" s="1" t="s">
        <v>1507</v>
      </c>
      <c r="I672" s="1" t="s">
        <v>4796</v>
      </c>
      <c r="J672" s="1" t="s">
        <v>4794</v>
      </c>
      <c r="K672" s="1" t="s">
        <v>42</v>
      </c>
      <c r="L672" s="1" t="s">
        <v>56</v>
      </c>
    </row>
    <row r="673" spans="1:12" x14ac:dyDescent="0.3">
      <c r="A673" s="8">
        <v>672</v>
      </c>
      <c r="B673" s="1">
        <v>601</v>
      </c>
      <c r="C673" t="s">
        <v>12118</v>
      </c>
      <c r="D673" s="1" t="s">
        <v>15512</v>
      </c>
      <c r="E673" s="1" t="s">
        <v>15514</v>
      </c>
      <c r="F673" s="1">
        <v>2023</v>
      </c>
      <c r="G673" s="1" t="s">
        <v>14946</v>
      </c>
      <c r="H673" s="1" t="str">
        <f>HYPERLINK("http://dx.doi.org/10.1145/3580305.3599832","http://dx.doi.org/10.1145/3580305.3599832")</f>
        <v>http://dx.doi.org/10.1145/3580305.3599832</v>
      </c>
      <c r="I673" s="1" t="s">
        <v>15516</v>
      </c>
      <c r="J673" s="1" t="s">
        <v>15515</v>
      </c>
      <c r="K673" s="1" t="s">
        <v>42</v>
      </c>
      <c r="L673" s="1" t="s">
        <v>5552</v>
      </c>
    </row>
    <row r="674" spans="1:12" x14ac:dyDescent="0.3">
      <c r="A674" s="8">
        <v>673</v>
      </c>
      <c r="B674" s="1">
        <v>602</v>
      </c>
      <c r="C674" t="s">
        <v>12118</v>
      </c>
      <c r="D674" s="1" t="s">
        <v>6615</v>
      </c>
      <c r="E674" s="1" t="s">
        <v>6618</v>
      </c>
      <c r="F674" s="1">
        <v>2023</v>
      </c>
      <c r="G674" s="1" t="s">
        <v>6619</v>
      </c>
      <c r="H674" s="1" t="str">
        <f>HYPERLINK("http://dx.doi.org/10.1145/3611643.3616350","http://dx.doi.org/10.1145/3611643.3616350")</f>
        <v>http://dx.doi.org/10.1145/3611643.3616350</v>
      </c>
      <c r="I674" s="1" t="s">
        <v>6625</v>
      </c>
      <c r="J674" s="1" t="s">
        <v>6624</v>
      </c>
      <c r="K674" s="1" t="s">
        <v>42</v>
      </c>
      <c r="L674" s="1" t="s">
        <v>5552</v>
      </c>
    </row>
    <row r="675" spans="1:12" x14ac:dyDescent="0.3">
      <c r="A675" s="8">
        <v>674</v>
      </c>
      <c r="B675" s="1">
        <v>603</v>
      </c>
      <c r="C675" t="s">
        <v>12118</v>
      </c>
      <c r="D675" s="1" t="s">
        <v>7918</v>
      </c>
      <c r="E675" s="1" t="s">
        <v>7920</v>
      </c>
      <c r="F675" s="1">
        <v>2022</v>
      </c>
      <c r="G675" s="1" t="s">
        <v>7921</v>
      </c>
      <c r="H675" s="1" t="str">
        <f>HYPERLINK("http://dx.doi.org/10.1145/3551349.3556955","http://dx.doi.org/10.1145/3551349.3556955")</f>
        <v>http://dx.doi.org/10.1145/3551349.3556955</v>
      </c>
      <c r="I675" s="1" t="s">
        <v>7928</v>
      </c>
      <c r="J675" s="1" t="s">
        <v>7927</v>
      </c>
      <c r="K675" s="1" t="s">
        <v>42</v>
      </c>
      <c r="L675" s="1" t="s">
        <v>5552</v>
      </c>
    </row>
    <row r="676" spans="1:12" x14ac:dyDescent="0.3">
      <c r="A676" s="8">
        <v>675</v>
      </c>
      <c r="B676" s="1">
        <v>604</v>
      </c>
      <c r="C676" t="s">
        <v>12118</v>
      </c>
      <c r="D676" s="1" t="s">
        <v>10608</v>
      </c>
      <c r="E676" s="1" t="s">
        <v>10610</v>
      </c>
      <c r="F676" s="1">
        <v>2019</v>
      </c>
      <c r="G676" s="1" t="s">
        <v>7563</v>
      </c>
      <c r="H676" s="1" t="str">
        <f>HYPERLINK("http://dx.doi.org/10.1038/s41467-019-12887-y","http://dx.doi.org/10.1038/s41467-019-12887-y")</f>
        <v>http://dx.doi.org/10.1038/s41467-019-12887-y</v>
      </c>
      <c r="I676" s="1" t="s">
        <v>10612</v>
      </c>
      <c r="J676" s="1" t="s">
        <v>1507</v>
      </c>
      <c r="K676" s="1" t="s">
        <v>42</v>
      </c>
      <c r="L676" s="1" t="s">
        <v>56</v>
      </c>
    </row>
    <row r="677" spans="1:12" x14ac:dyDescent="0.3">
      <c r="A677" s="8">
        <v>676</v>
      </c>
      <c r="B677" s="1">
        <v>606</v>
      </c>
      <c r="C677" t="s">
        <v>12118</v>
      </c>
      <c r="D677" s="1" t="s">
        <v>10508</v>
      </c>
      <c r="E677" s="1" t="s">
        <v>10510</v>
      </c>
      <c r="F677" s="1">
        <v>2019</v>
      </c>
      <c r="G677" s="1" t="s">
        <v>10511</v>
      </c>
      <c r="H677" s="1" t="str">
        <f>HYPERLINK("http://dx.doi.org/10.1039/c9sc03455b","http://dx.doi.org/10.1039/c9sc03455b")</f>
        <v>http://dx.doi.org/10.1039/c9sc03455b</v>
      </c>
      <c r="I677" s="1" t="s">
        <v>10513</v>
      </c>
      <c r="J677" s="1" t="s">
        <v>1507</v>
      </c>
      <c r="K677" s="1" t="s">
        <v>42</v>
      </c>
      <c r="L677" s="1" t="s">
        <v>56</v>
      </c>
    </row>
    <row r="678" spans="1:12" x14ac:dyDescent="0.3">
      <c r="A678" s="8">
        <v>677</v>
      </c>
      <c r="B678" s="1">
        <v>607</v>
      </c>
      <c r="C678" t="s">
        <v>12118</v>
      </c>
      <c r="D678" s="1" t="s">
        <v>8352</v>
      </c>
      <c r="E678" s="1" t="s">
        <v>8354</v>
      </c>
      <c r="F678" s="1">
        <v>2021</v>
      </c>
      <c r="G678" s="1" t="s">
        <v>4793</v>
      </c>
      <c r="H678" s="1" t="str">
        <f>HYPERLINK("http://dx.doi.org/10.4337/qmjip.2021.03.05","http://dx.doi.org/10.4337/qmjip.2021.03.05")</f>
        <v>http://dx.doi.org/10.4337/qmjip.2021.03.05</v>
      </c>
      <c r="I678" s="1" t="s">
        <v>8356</v>
      </c>
      <c r="J678" s="1" t="s">
        <v>8355</v>
      </c>
      <c r="K678" s="1" t="s">
        <v>42</v>
      </c>
      <c r="L678" s="1" t="s">
        <v>56</v>
      </c>
    </row>
    <row r="679" spans="1:12" x14ac:dyDescent="0.3">
      <c r="A679" s="8">
        <v>678</v>
      </c>
      <c r="B679" s="1">
        <v>608</v>
      </c>
      <c r="C679" t="s">
        <v>12118</v>
      </c>
      <c r="D679" s="1" t="s">
        <v>6638</v>
      </c>
      <c r="E679" s="1" t="s">
        <v>6641</v>
      </c>
      <c r="F679" s="1">
        <v>2023</v>
      </c>
      <c r="G679" s="1" t="s">
        <v>6642</v>
      </c>
      <c r="H679" s="1" t="str">
        <f>HYPERLINK("http://dx.doi.org/10.1109/COMPSAC57700.2023.00275","http://dx.doi.org/10.1109/COMPSAC57700.2023.00275")</f>
        <v>http://dx.doi.org/10.1109/COMPSAC57700.2023.00275</v>
      </c>
      <c r="I679" s="1" t="s">
        <v>6650</v>
      </c>
      <c r="J679" s="1" t="s">
        <v>6649</v>
      </c>
      <c r="K679" s="1" t="s">
        <v>42</v>
      </c>
      <c r="L679" s="1" t="s">
        <v>5552</v>
      </c>
    </row>
    <row r="680" spans="1:12" x14ac:dyDescent="0.3">
      <c r="A680" s="8">
        <v>679</v>
      </c>
      <c r="B680" s="1">
        <v>609</v>
      </c>
      <c r="C680" t="s">
        <v>12118</v>
      </c>
      <c r="D680" s="1" t="s">
        <v>10223</v>
      </c>
      <c r="E680" s="1" t="s">
        <v>10225</v>
      </c>
      <c r="F680" s="1">
        <v>2020</v>
      </c>
      <c r="G680" s="1" t="s">
        <v>10226</v>
      </c>
      <c r="H680" s="1" t="str">
        <f>HYPERLINK("http://dx.doi.org/10.1155/2020/7605140","http://dx.doi.org/10.1155/2020/7605140")</f>
        <v>http://dx.doi.org/10.1155/2020/7605140</v>
      </c>
      <c r="I680" s="1" t="s">
        <v>10228</v>
      </c>
      <c r="J680" s="1" t="s">
        <v>1507</v>
      </c>
      <c r="K680" s="1" t="s">
        <v>42</v>
      </c>
      <c r="L680" s="1" t="s">
        <v>56</v>
      </c>
    </row>
    <row r="681" spans="1:12" x14ac:dyDescent="0.3">
      <c r="A681" s="8">
        <v>680</v>
      </c>
      <c r="B681" s="1">
        <v>611</v>
      </c>
      <c r="C681" t="s">
        <v>12118</v>
      </c>
      <c r="D681" s="1" t="s">
        <v>3435</v>
      </c>
      <c r="E681" s="1" t="s">
        <v>3437</v>
      </c>
      <c r="F681" s="1">
        <v>2023</v>
      </c>
      <c r="G681" s="1" t="s">
        <v>3438</v>
      </c>
      <c r="H681" s="1" t="str">
        <f>HYPERLINK("http://dx.doi.org/10.1038/s41541-023-00745-4","http://dx.doi.org/10.1038/s41541-023-00745-4")</f>
        <v>http://dx.doi.org/10.1038/s41541-023-00745-4</v>
      </c>
      <c r="I681" s="1" t="s">
        <v>3439</v>
      </c>
      <c r="J681" s="1" t="s">
        <v>1507</v>
      </c>
      <c r="K681" s="1" t="s">
        <v>42</v>
      </c>
      <c r="L681" s="1" t="s">
        <v>56</v>
      </c>
    </row>
    <row r="682" spans="1:12" x14ac:dyDescent="0.3">
      <c r="A682" s="8">
        <v>681</v>
      </c>
      <c r="B682" s="1">
        <v>612</v>
      </c>
      <c r="C682" t="s">
        <v>12118</v>
      </c>
      <c r="D682" s="1" t="s">
        <v>15528</v>
      </c>
      <c r="E682" s="1" t="s">
        <v>15530</v>
      </c>
      <c r="F682" s="1">
        <v>2023</v>
      </c>
      <c r="G682" s="1" t="s">
        <v>14946</v>
      </c>
      <c r="H682" s="1" t="str">
        <f>HYPERLINK("http://dx.doi.org/10.1145/3580305.3599850","http://dx.doi.org/10.1145/3580305.3599850")</f>
        <v>http://dx.doi.org/10.1145/3580305.3599850</v>
      </c>
      <c r="I682" s="1" t="s">
        <v>15532</v>
      </c>
      <c r="J682" s="1" t="s">
        <v>15531</v>
      </c>
      <c r="K682" s="1" t="s">
        <v>42</v>
      </c>
      <c r="L682" s="1" t="s">
        <v>5552</v>
      </c>
    </row>
    <row r="683" spans="1:12" x14ac:dyDescent="0.3">
      <c r="A683" s="8">
        <v>682</v>
      </c>
      <c r="B683" s="1">
        <v>613</v>
      </c>
      <c r="C683" t="s">
        <v>12118</v>
      </c>
      <c r="D683" s="1" t="s">
        <v>4061</v>
      </c>
      <c r="E683" s="1" t="s">
        <v>4063</v>
      </c>
      <c r="F683" s="1">
        <v>2023</v>
      </c>
      <c r="G683" s="1" t="s">
        <v>4064</v>
      </c>
      <c r="H683" s="1" t="str">
        <f>HYPERLINK("http://dx.doi.org/10.1016/j.autcon.2023.105067","http://dx.doi.org/10.1016/j.autcon.2023.105067")</f>
        <v>http://dx.doi.org/10.1016/j.autcon.2023.105067</v>
      </c>
      <c r="I683" s="1" t="s">
        <v>4067</v>
      </c>
      <c r="J683" s="1" t="s">
        <v>4065</v>
      </c>
      <c r="K683" s="1" t="s">
        <v>42</v>
      </c>
      <c r="L683" s="1" t="s">
        <v>56</v>
      </c>
    </row>
    <row r="684" spans="1:12" x14ac:dyDescent="0.3">
      <c r="A684" s="8">
        <v>683</v>
      </c>
      <c r="B684" s="1">
        <v>614</v>
      </c>
      <c r="C684" t="s">
        <v>12118</v>
      </c>
      <c r="D684" s="1" t="s">
        <v>3919</v>
      </c>
      <c r="E684" s="1" t="s">
        <v>3921</v>
      </c>
      <c r="F684" s="1">
        <v>2023</v>
      </c>
      <c r="G684" s="1" t="s">
        <v>3922</v>
      </c>
      <c r="H684" s="1" t="str">
        <f>HYPERLINK("http://dx.doi.org/10.1126/sciadv.adg3469","http://dx.doi.org/10.1126/sciadv.adg3469")</f>
        <v>http://dx.doi.org/10.1126/sciadv.adg3469</v>
      </c>
      <c r="I684" s="1" t="s">
        <v>3924</v>
      </c>
      <c r="J684" s="1" t="s">
        <v>1507</v>
      </c>
      <c r="K684" s="1" t="s">
        <v>42</v>
      </c>
      <c r="L684" s="1" t="s">
        <v>56</v>
      </c>
    </row>
    <row r="685" spans="1:12" x14ac:dyDescent="0.3">
      <c r="A685" s="8">
        <v>684</v>
      </c>
      <c r="B685" s="1">
        <v>615</v>
      </c>
      <c r="C685" t="s">
        <v>12118</v>
      </c>
      <c r="D685" s="1" t="s">
        <v>7473</v>
      </c>
      <c r="E685" s="1" t="s">
        <v>7475</v>
      </c>
      <c r="F685" s="1">
        <v>2022</v>
      </c>
      <c r="G685" s="1" t="s">
        <v>7141</v>
      </c>
      <c r="H685" s="1" t="str">
        <f>HYPERLINK("http://dx.doi.org/10.1016/j.scitotenv.2022.153687","http://dx.doi.org/10.1016/j.scitotenv.2022.153687")</f>
        <v>http://dx.doi.org/10.1016/j.scitotenv.2022.153687</v>
      </c>
      <c r="I685" s="1" t="s">
        <v>7477</v>
      </c>
      <c r="J685" s="1" t="s">
        <v>7476</v>
      </c>
      <c r="K685" s="1" t="s">
        <v>42</v>
      </c>
      <c r="L685" s="1" t="s">
        <v>56</v>
      </c>
    </row>
    <row r="686" spans="1:12" x14ac:dyDescent="0.3">
      <c r="A686" s="8">
        <v>685</v>
      </c>
      <c r="B686" s="1">
        <v>616</v>
      </c>
      <c r="C686" t="s">
        <v>12118</v>
      </c>
      <c r="D686" s="1" t="s">
        <v>7138</v>
      </c>
      <c r="E686" s="1" t="s">
        <v>7140</v>
      </c>
      <c r="F686" s="1">
        <v>2022</v>
      </c>
      <c r="G686" s="1" t="s">
        <v>7141</v>
      </c>
      <c r="H686" s="1" t="str">
        <f>HYPERLINK("http://dx.doi.org/10.1016/j.scitotenv.2022.157121","http://dx.doi.org/10.1016/j.scitotenv.2022.157121")</f>
        <v>http://dx.doi.org/10.1016/j.scitotenv.2022.157121</v>
      </c>
      <c r="I686" s="1" t="s">
        <v>7144</v>
      </c>
      <c r="J686" s="1" t="s">
        <v>7142</v>
      </c>
      <c r="K686" s="1" t="s">
        <v>42</v>
      </c>
      <c r="L686" s="1" t="s">
        <v>56</v>
      </c>
    </row>
    <row r="687" spans="1:12" x14ac:dyDescent="0.3">
      <c r="A687" s="8">
        <v>686</v>
      </c>
      <c r="B687" s="1">
        <v>617</v>
      </c>
      <c r="C687" t="s">
        <v>12118</v>
      </c>
      <c r="D687" s="1" t="s">
        <v>3710</v>
      </c>
      <c r="E687" s="1" t="s">
        <v>3712</v>
      </c>
      <c r="F687" s="1">
        <v>2023</v>
      </c>
      <c r="G687" s="1" t="s">
        <v>3713</v>
      </c>
      <c r="H687" s="1" t="str">
        <f>HYPERLINK("http://dx.doi.org/10.1016/j.watres.2023.120594","http://dx.doi.org/10.1016/j.watres.2023.120594")</f>
        <v>http://dx.doi.org/10.1016/j.watres.2023.120594</v>
      </c>
      <c r="I687" s="1" t="s">
        <v>3715</v>
      </c>
      <c r="J687" s="1" t="s">
        <v>3714</v>
      </c>
      <c r="K687" s="1" t="s">
        <v>42</v>
      </c>
      <c r="L687" s="1" t="s">
        <v>56</v>
      </c>
    </row>
    <row r="688" spans="1:12" x14ac:dyDescent="0.3">
      <c r="A688" s="8">
        <v>687</v>
      </c>
      <c r="B688" s="1">
        <v>618</v>
      </c>
      <c r="C688" t="s">
        <v>12118</v>
      </c>
      <c r="D688" s="1" t="s">
        <v>8211</v>
      </c>
      <c r="E688" s="1" t="s">
        <v>8213</v>
      </c>
      <c r="F688" s="1">
        <v>2021</v>
      </c>
      <c r="G688" s="1" t="s">
        <v>8214</v>
      </c>
      <c r="H688" s="1" t="str">
        <f>HYPERLINK("http://dx.doi.org/10.1093/pcp/pcab125","http://dx.doi.org/10.1093/pcp/pcab125")</f>
        <v>http://dx.doi.org/10.1093/pcp/pcab125</v>
      </c>
      <c r="I688" s="1" t="s">
        <v>8217</v>
      </c>
      <c r="J688" s="1" t="s">
        <v>8215</v>
      </c>
      <c r="K688" s="1" t="s">
        <v>42</v>
      </c>
      <c r="L688" s="1" t="s">
        <v>56</v>
      </c>
    </row>
    <row r="689" spans="1:77" x14ac:dyDescent="0.3">
      <c r="A689" s="8">
        <v>688</v>
      </c>
      <c r="B689" s="1">
        <v>619</v>
      </c>
      <c r="C689" t="s">
        <v>12118</v>
      </c>
      <c r="D689" s="1" t="s">
        <v>4239</v>
      </c>
      <c r="E689" s="1" t="s">
        <v>4241</v>
      </c>
      <c r="F689" s="1">
        <v>2023</v>
      </c>
      <c r="G689" s="1" t="s">
        <v>4242</v>
      </c>
      <c r="H689" s="1" t="str">
        <f>HYPERLINK("http://dx.doi.org/10.1021/jacs.3c05819","http://dx.doi.org/10.1021/jacs.3c05819")</f>
        <v>http://dx.doi.org/10.1021/jacs.3c05819</v>
      </c>
      <c r="I689" s="1" t="s">
        <v>4244</v>
      </c>
      <c r="J689" s="1" t="s">
        <v>1507</v>
      </c>
      <c r="K689" s="1" t="s">
        <v>42</v>
      </c>
      <c r="L689" s="1" t="s">
        <v>56</v>
      </c>
    </row>
    <row r="690" spans="1:77" x14ac:dyDescent="0.3">
      <c r="A690" s="8">
        <v>689</v>
      </c>
      <c r="B690" s="1">
        <v>620</v>
      </c>
      <c r="C690" t="s">
        <v>12118</v>
      </c>
      <c r="D690" s="1" t="s">
        <v>2617</v>
      </c>
      <c r="E690" s="1" t="s">
        <v>2619</v>
      </c>
      <c r="F690" s="1">
        <v>2023</v>
      </c>
      <c r="G690" s="1" t="s">
        <v>2620</v>
      </c>
      <c r="H690" s="1" t="str">
        <f>HYPERLINK("http://dx.doi.org/10.1021/acscentsci.3c01087","http://dx.doi.org/10.1021/acscentsci.3c01087")</f>
        <v>http://dx.doi.org/10.1021/acscentsci.3c01087</v>
      </c>
      <c r="I690" s="1" t="s">
        <v>2622</v>
      </c>
      <c r="J690" s="1" t="s">
        <v>1507</v>
      </c>
      <c r="K690" s="1" t="s">
        <v>42</v>
      </c>
      <c r="L690" s="1" t="s">
        <v>56</v>
      </c>
    </row>
    <row r="691" spans="1:77" x14ac:dyDescent="0.3">
      <c r="A691" s="8">
        <v>690</v>
      </c>
      <c r="B691" s="1">
        <v>621</v>
      </c>
      <c r="C691" t="s">
        <v>12118</v>
      </c>
      <c r="D691" s="1" t="s">
        <v>5313</v>
      </c>
      <c r="E691" s="1" t="s">
        <v>5315</v>
      </c>
      <c r="F691" s="1">
        <v>2023</v>
      </c>
      <c r="G691" s="1" t="s">
        <v>5316</v>
      </c>
      <c r="H691" s="1" t="str">
        <f>HYPERLINK("http://dx.doi.org/10.1007/s11694-023-01873-0","http://dx.doi.org/10.1007/s11694-023-01873-0")</f>
        <v>http://dx.doi.org/10.1007/s11694-023-01873-0</v>
      </c>
      <c r="I691" s="1" t="s">
        <v>5319</v>
      </c>
      <c r="J691" s="1" t="s">
        <v>5317</v>
      </c>
      <c r="K691" s="1" t="s">
        <v>42</v>
      </c>
      <c r="L691" s="1" t="s">
        <v>56</v>
      </c>
    </row>
    <row r="692" spans="1:77" x14ac:dyDescent="0.3">
      <c r="A692" s="8">
        <v>691</v>
      </c>
      <c r="B692" s="1">
        <v>623</v>
      </c>
      <c r="C692" t="s">
        <v>12118</v>
      </c>
      <c r="D692" s="1" t="s">
        <v>6664</v>
      </c>
      <c r="E692" s="1" t="s">
        <v>6666</v>
      </c>
      <c r="F692" s="1">
        <v>2023</v>
      </c>
      <c r="G692" s="1" t="s">
        <v>6170</v>
      </c>
      <c r="H692" s="1" t="str">
        <f>HYPERLINK("http://dx.doi.org/10.1145/3626111.3628212","http://dx.doi.org/10.1145/3626111.3628212")</f>
        <v>http://dx.doi.org/10.1145/3626111.3628212</v>
      </c>
      <c r="I692" s="1" t="s">
        <v>6668</v>
      </c>
      <c r="J692" s="1" t="s">
        <v>6667</v>
      </c>
      <c r="K692" s="1" t="s">
        <v>42</v>
      </c>
      <c r="L692" s="1" t="s">
        <v>5552</v>
      </c>
    </row>
    <row r="693" spans="1:77" x14ac:dyDescent="0.3">
      <c r="A693" s="8">
        <v>692</v>
      </c>
      <c r="B693" s="1">
        <v>624</v>
      </c>
      <c r="C693" t="s">
        <v>12118</v>
      </c>
      <c r="D693" s="1" t="s">
        <v>8444</v>
      </c>
      <c r="E693" s="1" t="s">
        <v>8446</v>
      </c>
      <c r="F693" s="1">
        <v>2021</v>
      </c>
      <c r="G693" s="1" t="s">
        <v>3251</v>
      </c>
      <c r="H693" s="1" t="str">
        <f>HYPERLINK("http://dx.doi.org/10.1073/pnas.2103984118","http://dx.doi.org/10.1073/pnas.2103984118")</f>
        <v>http://dx.doi.org/10.1073/pnas.2103984118</v>
      </c>
      <c r="I693" s="1" t="s">
        <v>8449</v>
      </c>
      <c r="J693" s="1" t="s">
        <v>8447</v>
      </c>
      <c r="K693" s="1" t="s">
        <v>42</v>
      </c>
      <c r="L693" s="1" t="s">
        <v>56</v>
      </c>
    </row>
    <row r="694" spans="1:77" x14ac:dyDescent="0.3">
      <c r="A694" s="8">
        <v>693</v>
      </c>
      <c r="B694">
        <v>177</v>
      </c>
      <c r="C694" t="s">
        <v>12204</v>
      </c>
      <c r="D694" t="s">
        <v>12835</v>
      </c>
      <c r="E694" t="s">
        <v>141</v>
      </c>
      <c r="F694">
        <v>2023</v>
      </c>
      <c r="G694" t="s">
        <v>142</v>
      </c>
      <c r="H694" t="s">
        <v>143</v>
      </c>
      <c r="I694" t="s">
        <v>146</v>
      </c>
      <c r="J694" t="s">
        <v>147</v>
      </c>
      <c r="K694" t="s">
        <v>42</v>
      </c>
      <c r="L694" t="s">
        <v>12252</v>
      </c>
      <c r="BU694" s="6"/>
      <c r="BV694" s="6"/>
      <c r="BW694" s="6"/>
      <c r="BX694" s="6"/>
      <c r="BY694" s="6"/>
    </row>
    <row r="695" spans="1:77" x14ac:dyDescent="0.3">
      <c r="A695" s="8">
        <v>694</v>
      </c>
      <c r="B695" s="1">
        <v>625</v>
      </c>
      <c r="C695" t="s">
        <v>12118</v>
      </c>
      <c r="D695" s="1" t="s">
        <v>9316</v>
      </c>
      <c r="E695" s="1" t="s">
        <v>9318</v>
      </c>
      <c r="F695" s="1">
        <v>2021</v>
      </c>
      <c r="G695" s="1" t="s">
        <v>7697</v>
      </c>
      <c r="H695" s="1" t="s">
        <v>1507</v>
      </c>
      <c r="I695" s="1" t="s">
        <v>9319</v>
      </c>
      <c r="J695" s="1" t="s">
        <v>1507</v>
      </c>
      <c r="K695" s="1" t="s">
        <v>42</v>
      </c>
      <c r="L695" s="1" t="s">
        <v>56</v>
      </c>
    </row>
    <row r="696" spans="1:77" x14ac:dyDescent="0.3">
      <c r="A696" s="8">
        <v>695</v>
      </c>
      <c r="B696" s="1">
        <v>626</v>
      </c>
      <c r="C696" t="s">
        <v>12118</v>
      </c>
      <c r="D696" s="1" t="s">
        <v>6674</v>
      </c>
      <c r="E696" s="1" t="s">
        <v>6676</v>
      </c>
      <c r="F696" s="1">
        <v>2023</v>
      </c>
      <c r="G696" s="1" t="s">
        <v>6677</v>
      </c>
      <c r="H696" s="1" t="str">
        <f>HYPERLINK("http://dx.doi.org/10.1145/3586182.3625121","http://dx.doi.org/10.1145/3586182.3625121")</f>
        <v>http://dx.doi.org/10.1145/3586182.3625121</v>
      </c>
      <c r="I696" s="1" t="s">
        <v>6682</v>
      </c>
      <c r="J696" s="1" t="s">
        <v>6681</v>
      </c>
      <c r="K696" s="1" t="s">
        <v>42</v>
      </c>
      <c r="L696" s="1" t="s">
        <v>5552</v>
      </c>
    </row>
    <row r="697" spans="1:77" x14ac:dyDescent="0.3">
      <c r="A697" s="8">
        <v>696</v>
      </c>
      <c r="B697" s="1">
        <v>627</v>
      </c>
      <c r="C697" t="s">
        <v>12118</v>
      </c>
      <c r="D697" s="1" t="s">
        <v>11507</v>
      </c>
      <c r="E697" s="1" t="s">
        <v>11510</v>
      </c>
      <c r="F697" s="1">
        <v>2019</v>
      </c>
      <c r="G697" s="1" t="s">
        <v>11511</v>
      </c>
      <c r="H697" s="1" t="str">
        <f>HYPERLINK("http://dx.doi.org/10.1007/978-3-030-11935-5_28","http://dx.doi.org/10.1007/978-3-030-11935-5_28")</f>
        <v>http://dx.doi.org/10.1007/978-3-030-11935-5_28</v>
      </c>
      <c r="I697" s="1" t="s">
        <v>11519</v>
      </c>
      <c r="J697" s="1" t="s">
        <v>11517</v>
      </c>
      <c r="K697" s="1" t="s">
        <v>42</v>
      </c>
      <c r="L697" s="1" t="s">
        <v>5552</v>
      </c>
    </row>
    <row r="698" spans="1:77" x14ac:dyDescent="0.3">
      <c r="A698" s="8">
        <v>697</v>
      </c>
      <c r="B698" s="1">
        <v>628</v>
      </c>
      <c r="C698" t="s">
        <v>12118</v>
      </c>
      <c r="D698" s="1" t="s">
        <v>1733</v>
      </c>
      <c r="E698" s="1" t="s">
        <v>1735</v>
      </c>
      <c r="F698" s="1">
        <v>2023</v>
      </c>
      <c r="G698" s="1" t="s">
        <v>1736</v>
      </c>
      <c r="H698" s="1" t="str">
        <f>HYPERLINK("http://dx.doi.org/10.1080/10447318.2023.2295725","http://dx.doi.org/10.1080/10447318.2023.2295725")</f>
        <v>http://dx.doi.org/10.1080/10447318.2023.2295725</v>
      </c>
      <c r="I698" s="1" t="s">
        <v>1738</v>
      </c>
      <c r="J698" s="1" t="s">
        <v>1737</v>
      </c>
      <c r="K698" s="1" t="s">
        <v>42</v>
      </c>
      <c r="L698" s="1" t="s">
        <v>1509</v>
      </c>
    </row>
    <row r="699" spans="1:77" x14ac:dyDescent="0.3">
      <c r="A699" s="8">
        <v>698</v>
      </c>
      <c r="B699" s="1">
        <v>629</v>
      </c>
      <c r="C699" t="s">
        <v>12118</v>
      </c>
      <c r="D699" s="1" t="s">
        <v>6756</v>
      </c>
      <c r="E699" s="1" t="s">
        <v>6758</v>
      </c>
      <c r="F699" s="1">
        <v>2022</v>
      </c>
      <c r="G699" s="1" t="s">
        <v>6759</v>
      </c>
      <c r="H699" s="1" t="str">
        <f>HYPERLINK("http://dx.doi.org/10.1088/2058-6272/aca00a","http://dx.doi.org/10.1088/2058-6272/aca00a")</f>
        <v>http://dx.doi.org/10.1088/2058-6272/aca00a</v>
      </c>
      <c r="I699" s="1" t="s">
        <v>6762</v>
      </c>
      <c r="J699" s="1" t="s">
        <v>6760</v>
      </c>
      <c r="K699" s="1" t="s">
        <v>42</v>
      </c>
      <c r="L699" s="1" t="s">
        <v>56</v>
      </c>
    </row>
    <row r="1048576" spans="2:2" x14ac:dyDescent="0.3">
      <c r="B1048576">
        <f>SUM(B2:B1048575)</f>
        <v>189086</v>
      </c>
    </row>
  </sheetData>
  <autoFilter ref="A1:BZ1" xr:uid="{F11861F2-DD74-439C-A719-81C2E8B7079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55A73-776E-4FE2-B38E-2B8AB35FEAC0}">
  <dimension ref="A1:BZ699"/>
  <sheetViews>
    <sheetView topLeftCell="A621" workbookViewId="0">
      <selection activeCell="A661" sqref="A1:A1048576"/>
    </sheetView>
  </sheetViews>
  <sheetFormatPr baseColWidth="10" defaultRowHeight="14.4" x14ac:dyDescent="0.3"/>
  <cols>
    <col min="1" max="1" width="5.5546875" customWidth="1"/>
    <col min="2" max="2" width="6" customWidth="1"/>
    <col min="3" max="3" width="5.6640625" customWidth="1"/>
    <col min="4" max="4" width="5" customWidth="1"/>
    <col min="5" max="5" width="50.6640625" customWidth="1"/>
    <col min="12" max="12" width="30.109375" customWidth="1"/>
    <col min="16" max="16" width="22.21875" customWidth="1"/>
  </cols>
  <sheetData>
    <row r="1" spans="1:12" x14ac:dyDescent="0.3">
      <c r="A1" t="s">
        <v>16065</v>
      </c>
      <c r="B1" t="s">
        <v>16064</v>
      </c>
      <c r="C1" t="s">
        <v>1445</v>
      </c>
      <c r="D1" t="s">
        <v>0</v>
      </c>
      <c r="E1" t="s">
        <v>2</v>
      </c>
      <c r="F1" t="s">
        <v>3</v>
      </c>
      <c r="G1" t="s">
        <v>4</v>
      </c>
      <c r="H1" t="s">
        <v>12</v>
      </c>
      <c r="I1" t="s">
        <v>16</v>
      </c>
      <c r="J1" t="s">
        <v>17</v>
      </c>
      <c r="K1" t="s">
        <v>26</v>
      </c>
      <c r="L1" t="s">
        <v>28</v>
      </c>
    </row>
    <row r="2" spans="1:12" x14ac:dyDescent="0.3">
      <c r="A2" s="1">
        <v>1</v>
      </c>
      <c r="B2" t="s">
        <v>12118</v>
      </c>
      <c r="C2">
        <v>1</v>
      </c>
      <c r="D2" s="1" t="s">
        <v>5519</v>
      </c>
      <c r="E2" s="1" t="s">
        <v>5521</v>
      </c>
      <c r="F2" s="1">
        <v>2023</v>
      </c>
      <c r="G2" s="1" t="s">
        <v>5522</v>
      </c>
      <c r="H2" s="1" t="str">
        <f>HYPERLINK("http://dx.doi.org/10.1590/0034-7167-2022-0366","http://dx.doi.org/10.1590/0034-7167-2022-0366")</f>
        <v>http://dx.doi.org/10.1590/0034-7167-2022-0366</v>
      </c>
      <c r="I2" s="1" t="s">
        <v>5525</v>
      </c>
      <c r="J2" s="1" t="s">
        <v>5523</v>
      </c>
      <c r="K2" s="1" t="s">
        <v>42</v>
      </c>
      <c r="L2" s="1" t="s">
        <v>56</v>
      </c>
    </row>
    <row r="3" spans="1:12" x14ac:dyDescent="0.3">
      <c r="A3" s="1">
        <v>2</v>
      </c>
      <c r="B3" t="s">
        <v>12118</v>
      </c>
      <c r="C3">
        <v>2</v>
      </c>
      <c r="D3" s="1" t="s">
        <v>14164</v>
      </c>
      <c r="E3" s="1" t="s">
        <v>14166</v>
      </c>
      <c r="F3" s="1">
        <v>2023</v>
      </c>
      <c r="G3" s="1" t="s">
        <v>3251</v>
      </c>
      <c r="H3" s="1" t="str">
        <f>HYPERLINK("http://dx.doi.org/10.1073/pnas.2313790120","http://dx.doi.org/10.1073/pnas.2313790120")</f>
        <v>http://dx.doi.org/10.1073/pnas.2313790120</v>
      </c>
      <c r="I3" s="1" t="s">
        <v>14169</v>
      </c>
      <c r="J3" s="1" t="s">
        <v>14167</v>
      </c>
      <c r="K3" s="1" t="s">
        <v>42</v>
      </c>
      <c r="L3" s="1" t="s">
        <v>56</v>
      </c>
    </row>
    <row r="4" spans="1:12" x14ac:dyDescent="0.3">
      <c r="A4" s="1">
        <v>3</v>
      </c>
      <c r="B4" t="s">
        <v>12118</v>
      </c>
      <c r="C4">
        <v>3</v>
      </c>
      <c r="D4" s="1" t="s">
        <v>11225</v>
      </c>
      <c r="E4" s="1" t="s">
        <v>11227</v>
      </c>
      <c r="F4" s="1">
        <v>2019</v>
      </c>
      <c r="G4" s="1" t="s">
        <v>11228</v>
      </c>
      <c r="H4" s="1" t="s">
        <v>1507</v>
      </c>
      <c r="I4" s="1" t="s">
        <v>11229</v>
      </c>
      <c r="J4" s="1" t="s">
        <v>1507</v>
      </c>
      <c r="K4" s="1" t="s">
        <v>42</v>
      </c>
      <c r="L4" s="1" t="s">
        <v>56</v>
      </c>
    </row>
    <row r="5" spans="1:12" x14ac:dyDescent="0.3">
      <c r="A5" s="1">
        <v>4</v>
      </c>
      <c r="B5" t="s">
        <v>12118</v>
      </c>
      <c r="C5">
        <v>4</v>
      </c>
      <c r="D5" s="1" t="s">
        <v>1866</v>
      </c>
      <c r="E5" s="1" t="s">
        <v>1868</v>
      </c>
      <c r="F5" s="1">
        <v>2023</v>
      </c>
      <c r="G5" s="1" t="s">
        <v>1869</v>
      </c>
      <c r="H5" s="1" t="str">
        <f>HYPERLINK("http://dx.doi.org/10.1038/s41540-023-00324-2","http://dx.doi.org/10.1038/s41540-023-00324-2")</f>
        <v>http://dx.doi.org/10.1038/s41540-023-00324-2</v>
      </c>
      <c r="I5" s="1" t="s">
        <v>1870</v>
      </c>
      <c r="J5" s="1" t="s">
        <v>1507</v>
      </c>
      <c r="K5" s="1" t="s">
        <v>42</v>
      </c>
      <c r="L5" s="1" t="s">
        <v>56</v>
      </c>
    </row>
    <row r="6" spans="1:12" x14ac:dyDescent="0.3">
      <c r="A6" s="1">
        <v>5</v>
      </c>
      <c r="B6" t="s">
        <v>12118</v>
      </c>
      <c r="C6">
        <v>5</v>
      </c>
      <c r="D6" s="1" t="s">
        <v>5031</v>
      </c>
      <c r="E6" s="1" t="s">
        <v>5033</v>
      </c>
      <c r="F6" s="1">
        <v>2023</v>
      </c>
      <c r="G6" s="1" t="s">
        <v>5034</v>
      </c>
      <c r="H6" s="1" t="str">
        <f>HYPERLINK("http://dx.doi.org/10.3366/ajicl.2023.0441","http://dx.doi.org/10.3366/ajicl.2023.0441")</f>
        <v>http://dx.doi.org/10.3366/ajicl.2023.0441</v>
      </c>
      <c r="I6" s="1" t="s">
        <v>1507</v>
      </c>
      <c r="J6" s="1" t="s">
        <v>1507</v>
      </c>
      <c r="K6" s="1" t="s">
        <v>42</v>
      </c>
      <c r="L6" s="1" t="s">
        <v>56</v>
      </c>
    </row>
    <row r="7" spans="1:12" x14ac:dyDescent="0.3">
      <c r="A7" s="1">
        <v>7</v>
      </c>
      <c r="B7" t="s">
        <v>12118</v>
      </c>
      <c r="C7">
        <v>7</v>
      </c>
      <c r="D7" s="1" t="s">
        <v>4611</v>
      </c>
      <c r="E7" s="1" t="s">
        <v>4613</v>
      </c>
      <c r="F7" s="1">
        <v>2023</v>
      </c>
      <c r="G7" s="1" t="s">
        <v>4614</v>
      </c>
      <c r="H7" s="1" t="str">
        <f>HYPERLINK("http://dx.doi.org/10.1007/s12559-023-10165-0","http://dx.doi.org/10.1007/s12559-023-10165-0")</f>
        <v>http://dx.doi.org/10.1007/s12559-023-10165-0</v>
      </c>
      <c r="I7" s="1" t="s">
        <v>4617</v>
      </c>
      <c r="J7" s="1" t="s">
        <v>4615</v>
      </c>
      <c r="K7" s="1" t="s">
        <v>42</v>
      </c>
      <c r="L7" s="1" t="s">
        <v>56</v>
      </c>
    </row>
    <row r="8" spans="1:12" x14ac:dyDescent="0.3">
      <c r="A8" s="1">
        <v>8</v>
      </c>
      <c r="B8" t="s">
        <v>12118</v>
      </c>
      <c r="C8">
        <v>8</v>
      </c>
      <c r="D8" s="1" t="s">
        <v>5547</v>
      </c>
      <c r="E8" s="1" t="s">
        <v>5550</v>
      </c>
      <c r="F8" s="1">
        <v>2023</v>
      </c>
      <c r="G8" s="1" t="s">
        <v>5551</v>
      </c>
      <c r="H8" s="1" t="str">
        <f>HYPERLINK("http://dx.doi.org/10.1145/3593434.3593468","http://dx.doi.org/10.1145/3593434.3593468")</f>
        <v>http://dx.doi.org/10.1145/3593434.3593468</v>
      </c>
      <c r="I8" s="1" t="s">
        <v>5557</v>
      </c>
      <c r="J8" s="1" t="s">
        <v>5556</v>
      </c>
      <c r="K8" s="1" t="s">
        <v>42</v>
      </c>
      <c r="L8" s="1" t="s">
        <v>5552</v>
      </c>
    </row>
    <row r="9" spans="1:12" x14ac:dyDescent="0.3">
      <c r="A9" s="1">
        <v>9</v>
      </c>
      <c r="B9" t="s">
        <v>12118</v>
      </c>
      <c r="C9">
        <v>9</v>
      </c>
      <c r="D9" s="1" t="s">
        <v>7626</v>
      </c>
      <c r="E9" s="1" t="s">
        <v>7628</v>
      </c>
      <c r="F9" s="1">
        <v>2022</v>
      </c>
      <c r="G9" s="1" t="s">
        <v>7629</v>
      </c>
      <c r="H9" s="1" t="str">
        <f>HYPERLINK("http://dx.doi.org/10.1007/s40808-021-01292-4","http://dx.doi.org/10.1007/s40808-021-01292-4")</f>
        <v>http://dx.doi.org/10.1007/s40808-021-01292-4</v>
      </c>
      <c r="I9" s="1" t="s">
        <v>7632</v>
      </c>
      <c r="J9" s="1" t="s">
        <v>7630</v>
      </c>
      <c r="K9" s="1" t="s">
        <v>42</v>
      </c>
      <c r="L9" s="1" t="s">
        <v>56</v>
      </c>
    </row>
    <row r="10" spans="1:12" x14ac:dyDescent="0.3">
      <c r="A10" s="1">
        <v>10</v>
      </c>
      <c r="B10" t="s">
        <v>12118</v>
      </c>
      <c r="C10">
        <v>10</v>
      </c>
      <c r="D10" s="1" t="s">
        <v>7510</v>
      </c>
      <c r="E10" s="1" t="s">
        <v>7512</v>
      </c>
      <c r="F10" s="1">
        <v>2022</v>
      </c>
      <c r="G10" s="1" t="s">
        <v>7513</v>
      </c>
      <c r="H10" s="1" t="str">
        <f>HYPERLINK("http://dx.doi.org/10.1063/5.0082085","http://dx.doi.org/10.1063/5.0082085")</f>
        <v>http://dx.doi.org/10.1063/5.0082085</v>
      </c>
      <c r="I10" s="1" t="s">
        <v>7514</v>
      </c>
      <c r="J10" s="1" t="s">
        <v>1507</v>
      </c>
      <c r="K10" s="1" t="s">
        <v>42</v>
      </c>
      <c r="L10" s="1" t="s">
        <v>56</v>
      </c>
    </row>
    <row r="11" spans="1:12" x14ac:dyDescent="0.3">
      <c r="A11">
        <v>10</v>
      </c>
      <c r="B11" t="s">
        <v>12204</v>
      </c>
      <c r="C11">
        <v>6</v>
      </c>
      <c r="D11" t="s">
        <v>12897</v>
      </c>
      <c r="E11" t="s">
        <v>382</v>
      </c>
      <c r="F11">
        <v>2023</v>
      </c>
      <c r="G11" t="s">
        <v>383</v>
      </c>
      <c r="I11" t="s">
        <v>386</v>
      </c>
      <c r="J11" t="s">
        <v>387</v>
      </c>
      <c r="K11" t="s">
        <v>42</v>
      </c>
      <c r="L11" t="s">
        <v>12252</v>
      </c>
    </row>
    <row r="12" spans="1:12" x14ac:dyDescent="0.3">
      <c r="A12">
        <v>11</v>
      </c>
      <c r="B12" t="s">
        <v>12204</v>
      </c>
      <c r="C12">
        <v>11</v>
      </c>
      <c r="D12" t="s">
        <v>13462</v>
      </c>
      <c r="E12" t="s">
        <v>415</v>
      </c>
      <c r="F12">
        <v>2023</v>
      </c>
      <c r="G12" t="s">
        <v>416</v>
      </c>
      <c r="H12" t="s">
        <v>417</v>
      </c>
      <c r="I12" t="s">
        <v>419</v>
      </c>
      <c r="J12" t="s">
        <v>420</v>
      </c>
      <c r="K12" t="s">
        <v>42</v>
      </c>
      <c r="L12" t="s">
        <v>56</v>
      </c>
    </row>
    <row r="13" spans="1:12" x14ac:dyDescent="0.3">
      <c r="A13">
        <v>12</v>
      </c>
      <c r="B13" t="s">
        <v>12204</v>
      </c>
      <c r="C13">
        <v>20</v>
      </c>
      <c r="D13" t="s">
        <v>12635</v>
      </c>
      <c r="E13" t="s">
        <v>1134</v>
      </c>
      <c r="F13">
        <v>2023</v>
      </c>
      <c r="G13" t="s">
        <v>383</v>
      </c>
      <c r="I13" t="s">
        <v>1137</v>
      </c>
      <c r="J13" t="s">
        <v>1138</v>
      </c>
      <c r="K13" t="s">
        <v>42</v>
      </c>
      <c r="L13" t="s">
        <v>12252</v>
      </c>
    </row>
    <row r="14" spans="1:12" x14ac:dyDescent="0.3">
      <c r="A14" s="1">
        <v>12</v>
      </c>
      <c r="B14" t="s">
        <v>12118</v>
      </c>
      <c r="C14">
        <v>13</v>
      </c>
      <c r="D14" s="1" t="s">
        <v>5573</v>
      </c>
      <c r="E14" s="1" t="s">
        <v>5575</v>
      </c>
      <c r="F14" s="1">
        <v>2023</v>
      </c>
      <c r="G14" s="1" t="s">
        <v>5576</v>
      </c>
      <c r="H14" s="1" t="str">
        <f>HYPERLINK("http://dx.doi.org/10.1145/3539618.3591960","http://dx.doi.org/10.1145/3539618.3591960")</f>
        <v>http://dx.doi.org/10.1145/3539618.3591960</v>
      </c>
      <c r="I14" s="1" t="s">
        <v>5582</v>
      </c>
      <c r="J14" s="1" t="s">
        <v>5581</v>
      </c>
      <c r="K14" s="1" t="s">
        <v>42</v>
      </c>
      <c r="L14" s="1" t="s">
        <v>5552</v>
      </c>
    </row>
    <row r="15" spans="1:12" x14ac:dyDescent="0.3">
      <c r="A15" s="1">
        <v>13</v>
      </c>
      <c r="B15" t="s">
        <v>12118</v>
      </c>
      <c r="C15">
        <v>14</v>
      </c>
      <c r="D15" s="1" t="s">
        <v>5594</v>
      </c>
      <c r="E15" s="1" t="s">
        <v>5596</v>
      </c>
      <c r="F15" s="1">
        <v>2023</v>
      </c>
      <c r="G15" s="1" t="s">
        <v>5576</v>
      </c>
      <c r="H15" s="1" t="str">
        <f>HYPERLINK("http://dx.doi.org/10.1145/3539618.3591913","http://dx.doi.org/10.1145/3539618.3591913")</f>
        <v>http://dx.doi.org/10.1145/3539618.3591913</v>
      </c>
      <c r="I15" s="1" t="s">
        <v>5598</v>
      </c>
      <c r="J15" s="1" t="s">
        <v>5597</v>
      </c>
      <c r="K15" s="1" t="s">
        <v>42</v>
      </c>
      <c r="L15" s="1" t="s">
        <v>5552</v>
      </c>
    </row>
    <row r="16" spans="1:12" x14ac:dyDescent="0.3">
      <c r="A16" s="1">
        <v>14</v>
      </c>
      <c r="B16" t="s">
        <v>12118</v>
      </c>
      <c r="C16">
        <v>15</v>
      </c>
      <c r="D16" s="1" t="s">
        <v>7646</v>
      </c>
      <c r="E16" s="1" t="s">
        <v>7649</v>
      </c>
      <c r="F16" s="1">
        <v>2022</v>
      </c>
      <c r="G16" s="1" t="s">
        <v>7650</v>
      </c>
      <c r="H16" s="1" t="s">
        <v>1507</v>
      </c>
      <c r="I16" s="1" t="s">
        <v>7655</v>
      </c>
      <c r="J16" s="1" t="s">
        <v>1507</v>
      </c>
      <c r="K16" s="1" t="s">
        <v>42</v>
      </c>
      <c r="L16" s="1" t="s">
        <v>5552</v>
      </c>
    </row>
    <row r="17" spans="1:12" x14ac:dyDescent="0.3">
      <c r="A17">
        <v>14</v>
      </c>
      <c r="B17" t="s">
        <v>12204</v>
      </c>
      <c r="C17">
        <v>22</v>
      </c>
      <c r="D17" t="s">
        <v>12546</v>
      </c>
      <c r="E17" t="s">
        <v>1005</v>
      </c>
      <c r="F17">
        <v>2023</v>
      </c>
      <c r="G17" t="s">
        <v>1006</v>
      </c>
      <c r="H17" t="s">
        <v>1007</v>
      </c>
      <c r="I17" t="s">
        <v>1010</v>
      </c>
      <c r="J17" t="s">
        <v>1011</v>
      </c>
      <c r="K17" t="s">
        <v>42</v>
      </c>
      <c r="L17" t="s">
        <v>56</v>
      </c>
    </row>
    <row r="18" spans="1:12" x14ac:dyDescent="0.3">
      <c r="A18" s="1">
        <v>15</v>
      </c>
      <c r="B18" t="s">
        <v>12118</v>
      </c>
      <c r="C18">
        <v>16</v>
      </c>
      <c r="D18" s="1" t="s">
        <v>11869</v>
      </c>
      <c r="E18" s="1" t="s">
        <v>11872</v>
      </c>
      <c r="F18" s="1">
        <v>2018</v>
      </c>
      <c r="G18" s="1" t="s">
        <v>11873</v>
      </c>
      <c r="H18" s="1" t="s">
        <v>1507</v>
      </c>
      <c r="I18" s="1" t="s">
        <v>1507</v>
      </c>
      <c r="J18" s="1" t="s">
        <v>1507</v>
      </c>
      <c r="K18" s="1" t="s">
        <v>42</v>
      </c>
      <c r="L18" s="1" t="s">
        <v>5888</v>
      </c>
    </row>
    <row r="19" spans="1:12" x14ac:dyDescent="0.3">
      <c r="A19">
        <v>15</v>
      </c>
      <c r="B19" t="s">
        <v>12204</v>
      </c>
      <c r="C19">
        <v>32</v>
      </c>
      <c r="D19" t="s">
        <v>12964</v>
      </c>
      <c r="E19" t="s">
        <v>12962</v>
      </c>
      <c r="F19">
        <v>2023</v>
      </c>
      <c r="G19" t="s">
        <v>12961</v>
      </c>
      <c r="H19" t="s">
        <v>12959</v>
      </c>
      <c r="I19" t="s">
        <v>12955</v>
      </c>
      <c r="J19" t="s">
        <v>12954</v>
      </c>
      <c r="K19" t="s">
        <v>42</v>
      </c>
      <c r="L19" t="s">
        <v>12252</v>
      </c>
    </row>
    <row r="20" spans="1:12" x14ac:dyDescent="0.3">
      <c r="A20">
        <v>16</v>
      </c>
      <c r="B20" t="s">
        <v>12204</v>
      </c>
      <c r="C20">
        <v>33</v>
      </c>
      <c r="D20" t="s">
        <v>12913</v>
      </c>
      <c r="E20" t="s">
        <v>266</v>
      </c>
      <c r="F20">
        <v>2023</v>
      </c>
      <c r="G20" t="s">
        <v>267</v>
      </c>
      <c r="H20" t="s">
        <v>268</v>
      </c>
      <c r="I20" t="s">
        <v>271</v>
      </c>
      <c r="J20" t="s">
        <v>272</v>
      </c>
      <c r="K20" t="s">
        <v>42</v>
      </c>
      <c r="L20" t="s">
        <v>56</v>
      </c>
    </row>
    <row r="21" spans="1:12" x14ac:dyDescent="0.3">
      <c r="A21" s="1">
        <v>16</v>
      </c>
      <c r="B21" t="s">
        <v>12118</v>
      </c>
      <c r="C21">
        <v>17</v>
      </c>
      <c r="D21" s="1" t="s">
        <v>9613</v>
      </c>
      <c r="E21" s="1" t="s">
        <v>9615</v>
      </c>
      <c r="F21" s="1">
        <v>2022</v>
      </c>
      <c r="G21" s="1" t="s">
        <v>9616</v>
      </c>
      <c r="H21" s="1" t="str">
        <f>HYPERLINK("http://dx.doi.org/10.1080/03610926.2020.1811870","http://dx.doi.org/10.1080/03610926.2020.1811870")</f>
        <v>http://dx.doi.org/10.1080/03610926.2020.1811870</v>
      </c>
      <c r="I21" s="1" t="s">
        <v>9619</v>
      </c>
      <c r="J21" s="1" t="s">
        <v>9617</v>
      </c>
      <c r="K21" s="1" t="s">
        <v>42</v>
      </c>
      <c r="L21" s="1" t="s">
        <v>56</v>
      </c>
    </row>
    <row r="22" spans="1:12" x14ac:dyDescent="0.3">
      <c r="A22" s="1">
        <v>17</v>
      </c>
      <c r="B22" t="s">
        <v>12118</v>
      </c>
      <c r="C22">
        <v>18</v>
      </c>
      <c r="D22" s="1" t="s">
        <v>11025</v>
      </c>
      <c r="E22" s="1" t="s">
        <v>11027</v>
      </c>
      <c r="F22" s="1">
        <v>2020</v>
      </c>
      <c r="G22" s="1" t="s">
        <v>9616</v>
      </c>
      <c r="H22" s="1" t="str">
        <f>HYPERLINK("http://dx.doi.org/10.1080/03610926.2019.1620781","http://dx.doi.org/10.1080/03610926.2019.1620781")</f>
        <v>http://dx.doi.org/10.1080/03610926.2019.1620781</v>
      </c>
      <c r="I22" s="1" t="s">
        <v>11029</v>
      </c>
      <c r="J22" s="1" t="s">
        <v>9617</v>
      </c>
      <c r="K22" s="1" t="s">
        <v>42</v>
      </c>
      <c r="L22" s="1" t="s">
        <v>56</v>
      </c>
    </row>
    <row r="23" spans="1:12" x14ac:dyDescent="0.3">
      <c r="A23">
        <v>18</v>
      </c>
      <c r="B23" t="s">
        <v>12204</v>
      </c>
      <c r="C23">
        <v>40</v>
      </c>
      <c r="D23" t="s">
        <v>12232</v>
      </c>
      <c r="E23" t="s">
        <v>1427</v>
      </c>
      <c r="F23">
        <v>2018</v>
      </c>
      <c r="G23" t="s">
        <v>1428</v>
      </c>
      <c r="H23" t="s">
        <v>1429</v>
      </c>
      <c r="I23" t="s">
        <v>1431</v>
      </c>
      <c r="J23" t="s">
        <v>1432</v>
      </c>
      <c r="K23" t="s">
        <v>42</v>
      </c>
      <c r="L23" t="s">
        <v>56</v>
      </c>
    </row>
    <row r="24" spans="1:12" x14ac:dyDescent="0.3">
      <c r="A24" s="1">
        <v>18</v>
      </c>
      <c r="B24" t="s">
        <v>12118</v>
      </c>
      <c r="C24">
        <v>19</v>
      </c>
      <c r="D24" s="1" t="s">
        <v>8685</v>
      </c>
      <c r="E24" s="1" t="s">
        <v>8687</v>
      </c>
      <c r="F24" s="1">
        <v>2021</v>
      </c>
      <c r="G24" s="1" t="s">
        <v>1609</v>
      </c>
      <c r="H24" s="1" t="str">
        <f>HYPERLINK("http://dx.doi.org/10.3390/math9101102","http://dx.doi.org/10.3390/math9101102")</f>
        <v>http://dx.doi.org/10.3390/math9101102</v>
      </c>
      <c r="I24" s="1" t="s">
        <v>8690</v>
      </c>
      <c r="J24" s="1" t="s">
        <v>8688</v>
      </c>
      <c r="K24" s="1" t="s">
        <v>42</v>
      </c>
      <c r="L24" s="1" t="s">
        <v>56</v>
      </c>
    </row>
    <row r="25" spans="1:12" x14ac:dyDescent="0.3">
      <c r="A25">
        <v>19</v>
      </c>
      <c r="B25" t="s">
        <v>12204</v>
      </c>
      <c r="C25">
        <v>43</v>
      </c>
      <c r="D25" t="s">
        <v>13627</v>
      </c>
      <c r="E25" t="s">
        <v>104</v>
      </c>
      <c r="F25">
        <v>2023</v>
      </c>
      <c r="G25" t="s">
        <v>105</v>
      </c>
      <c r="H25" t="s">
        <v>106</v>
      </c>
      <c r="I25" t="s">
        <v>108</v>
      </c>
      <c r="J25" t="s">
        <v>109</v>
      </c>
      <c r="K25" t="s">
        <v>42</v>
      </c>
      <c r="L25" t="s">
        <v>56</v>
      </c>
    </row>
    <row r="26" spans="1:12" x14ac:dyDescent="0.3">
      <c r="A26" s="1">
        <v>19</v>
      </c>
      <c r="B26" t="s">
        <v>12118</v>
      </c>
      <c r="C26">
        <v>21</v>
      </c>
      <c r="D26" s="1" t="s">
        <v>4393</v>
      </c>
      <c r="E26" s="1" t="s">
        <v>4395</v>
      </c>
      <c r="F26" s="1">
        <v>2023</v>
      </c>
      <c r="G26" s="1" t="s">
        <v>4396</v>
      </c>
      <c r="H26" s="1" t="str">
        <f>HYPERLINK("http://dx.doi.org/10.1016/j.sapharm.2023.05.016","http://dx.doi.org/10.1016/j.sapharm.2023.05.016")</f>
        <v>http://dx.doi.org/10.1016/j.sapharm.2023.05.016</v>
      </c>
      <c r="I26" s="1" t="s">
        <v>4399</v>
      </c>
      <c r="J26" s="1" t="s">
        <v>4397</v>
      </c>
      <c r="K26" s="1" t="s">
        <v>42</v>
      </c>
      <c r="L26" s="1" t="s">
        <v>56</v>
      </c>
    </row>
    <row r="27" spans="1:12" x14ac:dyDescent="0.3">
      <c r="A27" s="1">
        <v>20</v>
      </c>
      <c r="B27" t="s">
        <v>12118</v>
      </c>
      <c r="C27">
        <v>23</v>
      </c>
      <c r="D27" s="1" t="s">
        <v>4692</v>
      </c>
      <c r="E27" s="1" t="s">
        <v>4694</v>
      </c>
      <c r="F27" s="1">
        <v>2023</v>
      </c>
      <c r="G27" s="1" t="s">
        <v>4695</v>
      </c>
      <c r="H27" s="1" t="str">
        <f>HYPERLINK("http://dx.doi.org/10.1002/naaq.10290","http://dx.doi.org/10.1002/naaq.10290")</f>
        <v>http://dx.doi.org/10.1002/naaq.10290</v>
      </c>
      <c r="I27" s="1" t="s">
        <v>4697</v>
      </c>
      <c r="J27" s="1" t="s">
        <v>1507</v>
      </c>
      <c r="K27" s="1" t="s">
        <v>42</v>
      </c>
      <c r="L27" s="1" t="s">
        <v>1509</v>
      </c>
    </row>
    <row r="28" spans="1:12" x14ac:dyDescent="0.3">
      <c r="A28" s="1">
        <v>21</v>
      </c>
      <c r="B28" t="s">
        <v>12118</v>
      </c>
      <c r="C28">
        <v>24</v>
      </c>
      <c r="D28" s="1" t="s">
        <v>11244</v>
      </c>
      <c r="E28" s="1" t="s">
        <v>11246</v>
      </c>
      <c r="F28" s="1">
        <v>2019</v>
      </c>
      <c r="G28" s="1" t="s">
        <v>11247</v>
      </c>
      <c r="H28" s="1" t="str">
        <f>HYPERLINK("http://dx.doi.org/10.1017/S0020589318000398","http://dx.doi.org/10.1017/S0020589318000398")</f>
        <v>http://dx.doi.org/10.1017/S0020589318000398</v>
      </c>
      <c r="I28" s="1" t="s">
        <v>11249</v>
      </c>
      <c r="J28" s="1" t="s">
        <v>11248</v>
      </c>
      <c r="K28" s="1" t="s">
        <v>42</v>
      </c>
      <c r="L28" s="1" t="s">
        <v>56</v>
      </c>
    </row>
    <row r="29" spans="1:12" x14ac:dyDescent="0.3">
      <c r="A29">
        <v>21</v>
      </c>
      <c r="B29" t="s">
        <v>12204</v>
      </c>
      <c r="C29">
        <v>49</v>
      </c>
      <c r="D29" t="s">
        <v>183</v>
      </c>
      <c r="E29" t="s">
        <v>184</v>
      </c>
      <c r="F29">
        <v>2023</v>
      </c>
      <c r="G29" t="s">
        <v>185</v>
      </c>
      <c r="H29" t="s">
        <v>186</v>
      </c>
      <c r="I29" t="s">
        <v>189</v>
      </c>
      <c r="J29" t="s">
        <v>190</v>
      </c>
      <c r="K29" t="s">
        <v>42</v>
      </c>
      <c r="L29" t="s">
        <v>12252</v>
      </c>
    </row>
    <row r="30" spans="1:12" x14ac:dyDescent="0.3">
      <c r="A30" s="1">
        <v>22</v>
      </c>
      <c r="B30" t="s">
        <v>12118</v>
      </c>
      <c r="C30">
        <v>25</v>
      </c>
      <c r="D30" s="1" t="s">
        <v>11264</v>
      </c>
      <c r="E30" s="1" t="s">
        <v>11266</v>
      </c>
      <c r="F30" s="1">
        <v>2019</v>
      </c>
      <c r="G30" s="1" t="s">
        <v>11267</v>
      </c>
      <c r="H30" s="1" t="s">
        <v>1507</v>
      </c>
      <c r="I30" s="1" t="s">
        <v>11269</v>
      </c>
      <c r="J30" s="1" t="s">
        <v>1507</v>
      </c>
      <c r="K30" s="1" t="s">
        <v>42</v>
      </c>
      <c r="L30" s="1" t="s">
        <v>56</v>
      </c>
    </row>
    <row r="31" spans="1:12" x14ac:dyDescent="0.3">
      <c r="A31">
        <v>22</v>
      </c>
      <c r="B31" t="s">
        <v>12204</v>
      </c>
      <c r="C31">
        <v>52</v>
      </c>
      <c r="D31" t="s">
        <v>12535</v>
      </c>
      <c r="E31" t="s">
        <v>1048</v>
      </c>
      <c r="F31">
        <v>2023</v>
      </c>
      <c r="G31" t="s">
        <v>252</v>
      </c>
      <c r="H31" t="s">
        <v>1049</v>
      </c>
      <c r="I31" t="s">
        <v>1052</v>
      </c>
      <c r="J31" t="s">
        <v>1053</v>
      </c>
      <c r="K31" t="s">
        <v>42</v>
      </c>
      <c r="L31" t="s">
        <v>56</v>
      </c>
    </row>
    <row r="32" spans="1:12" x14ac:dyDescent="0.3">
      <c r="A32" s="1">
        <v>23</v>
      </c>
      <c r="B32" t="s">
        <v>12118</v>
      </c>
      <c r="C32">
        <v>26</v>
      </c>
      <c r="D32" s="1" t="s">
        <v>9345</v>
      </c>
      <c r="E32" s="1" t="s">
        <v>9347</v>
      </c>
      <c r="F32" s="1">
        <v>2021</v>
      </c>
      <c r="G32" s="1" t="s">
        <v>9348</v>
      </c>
      <c r="H32" s="1" t="str">
        <f>HYPERLINK("http://dx.doi.org/10.1007/s10980-020-01161-y","http://dx.doi.org/10.1007/s10980-020-01161-y")</f>
        <v>http://dx.doi.org/10.1007/s10980-020-01161-y</v>
      </c>
      <c r="I32" s="1" t="s">
        <v>9351</v>
      </c>
      <c r="J32" s="1" t="s">
        <v>9349</v>
      </c>
      <c r="K32" s="1" t="s">
        <v>42</v>
      </c>
      <c r="L32" s="1" t="s">
        <v>56</v>
      </c>
    </row>
    <row r="33" spans="1:12" x14ac:dyDescent="0.3">
      <c r="A33">
        <v>23</v>
      </c>
      <c r="B33" t="s">
        <v>12204</v>
      </c>
      <c r="C33">
        <v>56</v>
      </c>
      <c r="D33" t="s">
        <v>13255</v>
      </c>
      <c r="E33" t="s">
        <v>723</v>
      </c>
      <c r="F33">
        <v>2023</v>
      </c>
      <c r="G33" t="s">
        <v>366</v>
      </c>
      <c r="H33" t="s">
        <v>725</v>
      </c>
      <c r="I33" t="s">
        <v>727</v>
      </c>
      <c r="K33" t="s">
        <v>42</v>
      </c>
      <c r="L33" t="s">
        <v>56</v>
      </c>
    </row>
    <row r="34" spans="1:12" x14ac:dyDescent="0.3">
      <c r="A34" s="1">
        <v>24</v>
      </c>
      <c r="B34" t="s">
        <v>12118</v>
      </c>
      <c r="C34">
        <v>27</v>
      </c>
      <c r="D34" s="1" t="s">
        <v>3248</v>
      </c>
      <c r="E34" s="1" t="s">
        <v>3250</v>
      </c>
      <c r="F34" s="1">
        <v>2023</v>
      </c>
      <c r="G34" s="1" t="s">
        <v>3251</v>
      </c>
      <c r="H34" s="1" t="str">
        <f>HYPERLINK("http://dx.doi.org/10.1073/pnas.2311627120","http://dx.doi.org/10.1073/pnas.2311627120")</f>
        <v>http://dx.doi.org/10.1073/pnas.2311627120</v>
      </c>
      <c r="I34" s="1" t="s">
        <v>3254</v>
      </c>
      <c r="J34" s="1" t="s">
        <v>3252</v>
      </c>
      <c r="K34" s="1" t="s">
        <v>42</v>
      </c>
      <c r="L34" s="1" t="s">
        <v>56</v>
      </c>
    </row>
    <row r="35" spans="1:12" x14ac:dyDescent="0.3">
      <c r="A35">
        <v>25</v>
      </c>
      <c r="B35" t="s">
        <v>12204</v>
      </c>
      <c r="C35">
        <v>66</v>
      </c>
      <c r="D35" t="s">
        <v>12794</v>
      </c>
      <c r="E35" t="s">
        <v>639</v>
      </c>
      <c r="F35">
        <v>2023</v>
      </c>
      <c r="G35" t="s">
        <v>383</v>
      </c>
      <c r="I35" t="s">
        <v>642</v>
      </c>
      <c r="J35" t="s">
        <v>643</v>
      </c>
      <c r="K35" t="s">
        <v>42</v>
      </c>
      <c r="L35" t="s">
        <v>12252</v>
      </c>
    </row>
    <row r="36" spans="1:12" x14ac:dyDescent="0.3">
      <c r="A36" s="1">
        <v>26</v>
      </c>
      <c r="B36" t="s">
        <v>12118</v>
      </c>
      <c r="C36">
        <v>28</v>
      </c>
      <c r="D36" s="1" t="s">
        <v>9871</v>
      </c>
      <c r="E36" s="1" t="s">
        <v>9873</v>
      </c>
      <c r="F36" s="1">
        <v>2021</v>
      </c>
      <c r="G36" s="1" t="s">
        <v>9874</v>
      </c>
      <c r="H36" s="1" t="str">
        <f>HYPERLINK("http://dx.doi.org/10.1007/s12237-020-00765-6","http://dx.doi.org/10.1007/s12237-020-00765-6")</f>
        <v>http://dx.doi.org/10.1007/s12237-020-00765-6</v>
      </c>
      <c r="I36" s="1" t="s">
        <v>9877</v>
      </c>
      <c r="J36" s="1" t="s">
        <v>9875</v>
      </c>
      <c r="K36" s="1" t="s">
        <v>42</v>
      </c>
      <c r="L36" s="1" t="s">
        <v>56</v>
      </c>
    </row>
    <row r="37" spans="1:12" x14ac:dyDescent="0.3">
      <c r="A37">
        <v>26</v>
      </c>
      <c r="B37" t="s">
        <v>12204</v>
      </c>
      <c r="C37">
        <v>73</v>
      </c>
      <c r="D37" t="s">
        <v>13054</v>
      </c>
      <c r="E37" t="s">
        <v>13052</v>
      </c>
      <c r="F37">
        <v>2023</v>
      </c>
      <c r="G37" t="s">
        <v>13051</v>
      </c>
      <c r="H37" t="s">
        <v>13050</v>
      </c>
      <c r="I37" t="s">
        <v>13046</v>
      </c>
      <c r="J37" t="s">
        <v>13045</v>
      </c>
      <c r="K37" t="s">
        <v>42</v>
      </c>
      <c r="L37" t="s">
        <v>56</v>
      </c>
    </row>
    <row r="38" spans="1:12" x14ac:dyDescent="0.3">
      <c r="A38">
        <v>27</v>
      </c>
      <c r="B38" t="s">
        <v>12204</v>
      </c>
      <c r="C38">
        <v>74</v>
      </c>
      <c r="D38" t="s">
        <v>12250</v>
      </c>
      <c r="E38" t="s">
        <v>868</v>
      </c>
      <c r="F38">
        <v>2019</v>
      </c>
      <c r="G38" t="s">
        <v>831</v>
      </c>
      <c r="H38" t="s">
        <v>869</v>
      </c>
      <c r="I38" t="s">
        <v>872</v>
      </c>
      <c r="J38" t="s">
        <v>873</v>
      </c>
      <c r="K38" t="s">
        <v>42</v>
      </c>
      <c r="L38" t="s">
        <v>56</v>
      </c>
    </row>
    <row r="39" spans="1:12" x14ac:dyDescent="0.3">
      <c r="A39" s="1">
        <v>28</v>
      </c>
      <c r="B39" t="s">
        <v>12118</v>
      </c>
      <c r="C39">
        <v>29</v>
      </c>
      <c r="D39" s="1" t="s">
        <v>10964</v>
      </c>
      <c r="E39" s="1" t="s">
        <v>10966</v>
      </c>
      <c r="F39" s="1">
        <v>2019</v>
      </c>
      <c r="G39" s="1" t="s">
        <v>3555</v>
      </c>
      <c r="H39" s="1" t="str">
        <f>HYPERLINK("http://dx.doi.org/10.1017/S0021855319000196","http://dx.doi.org/10.1017/S0021855319000196")</f>
        <v>http://dx.doi.org/10.1017/S0021855319000196</v>
      </c>
      <c r="I39" s="1" t="s">
        <v>10968</v>
      </c>
      <c r="J39" s="1" t="s">
        <v>10967</v>
      </c>
      <c r="K39" s="1" t="s">
        <v>42</v>
      </c>
      <c r="L39" s="1" t="s">
        <v>56</v>
      </c>
    </row>
    <row r="40" spans="1:12" x14ac:dyDescent="0.3">
      <c r="A40">
        <v>28</v>
      </c>
      <c r="B40" t="s">
        <v>12204</v>
      </c>
      <c r="C40">
        <v>79</v>
      </c>
      <c r="D40" t="s">
        <v>404</v>
      </c>
      <c r="E40" t="s">
        <v>405</v>
      </c>
      <c r="F40">
        <v>2023</v>
      </c>
      <c r="G40" t="s">
        <v>406</v>
      </c>
      <c r="H40" t="s">
        <v>407</v>
      </c>
      <c r="I40" t="s">
        <v>410</v>
      </c>
      <c r="J40" t="s">
        <v>411</v>
      </c>
      <c r="K40" t="s">
        <v>42</v>
      </c>
      <c r="L40" t="s">
        <v>56</v>
      </c>
    </row>
    <row r="41" spans="1:12" x14ac:dyDescent="0.3">
      <c r="A41">
        <v>29</v>
      </c>
      <c r="B41" t="s">
        <v>12204</v>
      </c>
      <c r="C41">
        <v>80</v>
      </c>
      <c r="D41" t="s">
        <v>404</v>
      </c>
      <c r="E41" t="s">
        <v>1015</v>
      </c>
      <c r="F41">
        <v>2021</v>
      </c>
      <c r="G41" t="s">
        <v>1016</v>
      </c>
      <c r="H41" t="s">
        <v>1017</v>
      </c>
      <c r="I41" t="s">
        <v>1020</v>
      </c>
      <c r="J41" t="s">
        <v>1021</v>
      </c>
      <c r="K41" t="s">
        <v>42</v>
      </c>
      <c r="L41" t="s">
        <v>56</v>
      </c>
    </row>
    <row r="42" spans="1:12" x14ac:dyDescent="0.3">
      <c r="A42" s="1">
        <v>29</v>
      </c>
      <c r="B42" t="s">
        <v>12118</v>
      </c>
      <c r="C42">
        <v>30</v>
      </c>
      <c r="D42" s="1" t="s">
        <v>10964</v>
      </c>
      <c r="E42" s="1" t="s">
        <v>11041</v>
      </c>
      <c r="F42" s="1">
        <v>2019</v>
      </c>
      <c r="G42" s="1" t="s">
        <v>5034</v>
      </c>
      <c r="H42" s="1" t="str">
        <f>HYPERLINK("http://dx.doi.org/10.3366/ajicl.2019.0272","http://dx.doi.org/10.3366/ajicl.2019.0272")</f>
        <v>http://dx.doi.org/10.3366/ajicl.2019.0272</v>
      </c>
      <c r="I42" s="1" t="s">
        <v>1507</v>
      </c>
      <c r="J42" s="1" t="s">
        <v>1507</v>
      </c>
      <c r="K42" s="1" t="s">
        <v>42</v>
      </c>
      <c r="L42" s="1" t="s">
        <v>56</v>
      </c>
    </row>
    <row r="43" spans="1:12" x14ac:dyDescent="0.3">
      <c r="A43">
        <v>30</v>
      </c>
      <c r="B43" t="s">
        <v>12204</v>
      </c>
      <c r="C43">
        <v>83</v>
      </c>
      <c r="D43" t="s">
        <v>13288</v>
      </c>
      <c r="E43" t="s">
        <v>467</v>
      </c>
      <c r="F43">
        <v>2023</v>
      </c>
      <c r="G43" t="s">
        <v>305</v>
      </c>
      <c r="H43" t="s">
        <v>468</v>
      </c>
      <c r="I43" t="s">
        <v>471</v>
      </c>
      <c r="J43" t="s">
        <v>472</v>
      </c>
      <c r="K43" t="s">
        <v>42</v>
      </c>
      <c r="L43" t="s">
        <v>56</v>
      </c>
    </row>
    <row r="44" spans="1:12" x14ac:dyDescent="0.3">
      <c r="A44" s="1">
        <v>30</v>
      </c>
      <c r="B44" t="s">
        <v>12118</v>
      </c>
      <c r="C44">
        <v>31</v>
      </c>
      <c r="D44" s="1" t="s">
        <v>10964</v>
      </c>
      <c r="E44" s="1" t="s">
        <v>11109</v>
      </c>
      <c r="F44" s="1">
        <v>2019</v>
      </c>
      <c r="G44" s="1" t="s">
        <v>11110</v>
      </c>
      <c r="H44" s="1" t="s">
        <v>1507</v>
      </c>
      <c r="I44" s="1" t="s">
        <v>11111</v>
      </c>
      <c r="J44" s="1" t="s">
        <v>1507</v>
      </c>
      <c r="K44" s="1" t="s">
        <v>42</v>
      </c>
      <c r="L44" s="1" t="s">
        <v>56</v>
      </c>
    </row>
    <row r="45" spans="1:12" x14ac:dyDescent="0.3">
      <c r="A45" s="1">
        <v>31</v>
      </c>
      <c r="B45" t="s">
        <v>12118</v>
      </c>
      <c r="C45">
        <v>34</v>
      </c>
      <c r="D45" s="1" t="s">
        <v>5607</v>
      </c>
      <c r="E45" s="1" t="s">
        <v>266</v>
      </c>
      <c r="F45" s="1">
        <v>2023</v>
      </c>
      <c r="G45" s="1" t="s">
        <v>5609</v>
      </c>
      <c r="H45" s="1" t="str">
        <f>HYPERLINK("http://dx.doi.org/10.3991/ijep.v13i8.45621","http://dx.doi.org/10.3991/ijep.v13i8.45621")</f>
        <v>http://dx.doi.org/10.3991/ijep.v13i8.45621</v>
      </c>
      <c r="I45" s="1" t="s">
        <v>5611</v>
      </c>
      <c r="J45" s="1" t="s">
        <v>5610</v>
      </c>
      <c r="K45" s="1" t="s">
        <v>42</v>
      </c>
      <c r="L45" s="1" t="s">
        <v>56</v>
      </c>
    </row>
    <row r="46" spans="1:12" x14ac:dyDescent="0.3">
      <c r="A46">
        <v>31</v>
      </c>
      <c r="B46" t="s">
        <v>12204</v>
      </c>
      <c r="C46">
        <v>94</v>
      </c>
      <c r="D46" t="s">
        <v>13233</v>
      </c>
      <c r="E46" t="s">
        <v>693</v>
      </c>
      <c r="F46">
        <v>2023</v>
      </c>
      <c r="G46" t="s">
        <v>694</v>
      </c>
      <c r="H46" t="s">
        <v>695</v>
      </c>
      <c r="I46" t="s">
        <v>698</v>
      </c>
      <c r="J46" t="s">
        <v>699</v>
      </c>
      <c r="K46" t="s">
        <v>42</v>
      </c>
      <c r="L46" t="s">
        <v>56</v>
      </c>
    </row>
    <row r="47" spans="1:12" x14ac:dyDescent="0.3">
      <c r="A47" s="1">
        <v>32</v>
      </c>
      <c r="B47" t="s">
        <v>12118</v>
      </c>
      <c r="C47">
        <v>35</v>
      </c>
      <c r="D47" s="1" t="s">
        <v>8513</v>
      </c>
      <c r="E47" s="1" t="s">
        <v>8515</v>
      </c>
      <c r="F47" s="1">
        <v>2021</v>
      </c>
      <c r="G47" s="1" t="s">
        <v>8516</v>
      </c>
      <c r="H47" s="1" t="str">
        <f>HYPERLINK("http://dx.doi.org/10.14202/vetworld.2021.1638-1643","http://dx.doi.org/10.14202/vetworld.2021.1638-1643")</f>
        <v>http://dx.doi.org/10.14202/vetworld.2021.1638-1643</v>
      </c>
      <c r="I47" s="1" t="s">
        <v>8519</v>
      </c>
      <c r="J47" s="1" t="s">
        <v>8517</v>
      </c>
      <c r="K47" s="1" t="s">
        <v>42</v>
      </c>
      <c r="L47" s="1" t="s">
        <v>56</v>
      </c>
    </row>
    <row r="48" spans="1:12" x14ac:dyDescent="0.3">
      <c r="A48">
        <v>32</v>
      </c>
      <c r="B48" t="s">
        <v>12204</v>
      </c>
      <c r="C48">
        <v>104</v>
      </c>
      <c r="D48" t="s">
        <v>13438</v>
      </c>
      <c r="E48" t="s">
        <v>646</v>
      </c>
      <c r="F48">
        <v>2023</v>
      </c>
      <c r="G48" t="s">
        <v>647</v>
      </c>
      <c r="H48" t="s">
        <v>648</v>
      </c>
      <c r="I48" t="s">
        <v>651</v>
      </c>
      <c r="J48" t="s">
        <v>652</v>
      </c>
      <c r="K48" t="s">
        <v>42</v>
      </c>
      <c r="L48" t="s">
        <v>56</v>
      </c>
    </row>
    <row r="49" spans="1:78" x14ac:dyDescent="0.3">
      <c r="A49">
        <v>33</v>
      </c>
      <c r="B49" t="s">
        <v>12204</v>
      </c>
      <c r="C49">
        <v>105</v>
      </c>
      <c r="D49" t="s">
        <v>13344</v>
      </c>
      <c r="E49" t="s">
        <v>581</v>
      </c>
      <c r="F49">
        <v>2023</v>
      </c>
      <c r="G49" t="s">
        <v>486</v>
      </c>
      <c r="H49" t="s">
        <v>584</v>
      </c>
      <c r="I49" t="s">
        <v>587</v>
      </c>
      <c r="K49" t="s">
        <v>42</v>
      </c>
      <c r="L49" t="s">
        <v>56</v>
      </c>
    </row>
    <row r="50" spans="1:78" x14ac:dyDescent="0.3">
      <c r="A50">
        <v>34</v>
      </c>
      <c r="B50" t="s">
        <v>12204</v>
      </c>
      <c r="C50">
        <v>107</v>
      </c>
      <c r="D50" t="s">
        <v>12244</v>
      </c>
      <c r="E50" t="s">
        <v>839</v>
      </c>
      <c r="F50">
        <v>2019</v>
      </c>
      <c r="G50" t="s">
        <v>840</v>
      </c>
      <c r="I50" t="s">
        <v>844</v>
      </c>
      <c r="J50" t="s">
        <v>845</v>
      </c>
      <c r="K50" t="s">
        <v>42</v>
      </c>
      <c r="L50" t="s">
        <v>56</v>
      </c>
    </row>
    <row r="51" spans="1:78" x14ac:dyDescent="0.3">
      <c r="A51">
        <v>35</v>
      </c>
      <c r="B51" t="s">
        <v>12204</v>
      </c>
      <c r="C51">
        <v>114</v>
      </c>
      <c r="D51" t="s">
        <v>12946</v>
      </c>
      <c r="E51" t="s">
        <v>195</v>
      </c>
      <c r="F51">
        <v>2023</v>
      </c>
      <c r="G51" t="s">
        <v>196</v>
      </c>
      <c r="H51" t="s">
        <v>197</v>
      </c>
      <c r="I51" t="s">
        <v>12943</v>
      </c>
      <c r="J51" t="s">
        <v>201</v>
      </c>
      <c r="K51" t="s">
        <v>42</v>
      </c>
      <c r="L51" t="s">
        <v>12252</v>
      </c>
    </row>
    <row r="52" spans="1:78" x14ac:dyDescent="0.3">
      <c r="A52" s="1">
        <v>36</v>
      </c>
      <c r="B52" t="s">
        <v>12118</v>
      </c>
      <c r="C52">
        <v>36</v>
      </c>
      <c r="D52" s="1" t="s">
        <v>7579</v>
      </c>
      <c r="E52" s="1" t="s">
        <v>7581</v>
      </c>
      <c r="F52" s="1">
        <v>2022</v>
      </c>
      <c r="G52" s="1" t="s">
        <v>6825</v>
      </c>
      <c r="H52" s="1" t="str">
        <f>HYPERLINK("http://dx.doi.org/10.1186/s12889-022-12595-1","http://dx.doi.org/10.1186/s12889-022-12595-1")</f>
        <v>http://dx.doi.org/10.1186/s12889-022-12595-1</v>
      </c>
      <c r="I52" s="1" t="s">
        <v>7584</v>
      </c>
      <c r="J52" s="1" t="s">
        <v>7582</v>
      </c>
      <c r="K52" s="1" t="s">
        <v>42</v>
      </c>
      <c r="L52" s="1" t="s">
        <v>56</v>
      </c>
    </row>
    <row r="53" spans="1:78" x14ac:dyDescent="0.3">
      <c r="A53">
        <v>36</v>
      </c>
      <c r="B53" t="s">
        <v>12204</v>
      </c>
      <c r="C53">
        <v>116</v>
      </c>
      <c r="D53" t="s">
        <v>13494</v>
      </c>
      <c r="E53" t="s">
        <v>714</v>
      </c>
      <c r="F53">
        <v>2023</v>
      </c>
      <c r="G53" t="s">
        <v>715</v>
      </c>
      <c r="H53" t="s">
        <v>716</v>
      </c>
      <c r="I53" t="s">
        <v>718</v>
      </c>
      <c r="J53" t="s">
        <v>719</v>
      </c>
      <c r="K53" t="s">
        <v>42</v>
      </c>
      <c r="L53" t="s">
        <v>56</v>
      </c>
      <c r="BK53" t="s">
        <v>311</v>
      </c>
      <c r="BP53" t="s">
        <v>312</v>
      </c>
      <c r="BT53" t="s">
        <v>42</v>
      </c>
      <c r="BU53" t="s">
        <v>313</v>
      </c>
      <c r="BV53" t="s">
        <v>56</v>
      </c>
      <c r="BW53" t="s">
        <v>45</v>
      </c>
      <c r="BX53" t="s">
        <v>12349</v>
      </c>
      <c r="BY53" t="s">
        <v>46</v>
      </c>
      <c r="BZ53" t="s">
        <v>333</v>
      </c>
    </row>
    <row r="54" spans="1:78" x14ac:dyDescent="0.3">
      <c r="A54" s="1">
        <v>37</v>
      </c>
      <c r="B54" t="s">
        <v>12118</v>
      </c>
      <c r="C54">
        <v>37</v>
      </c>
      <c r="D54" s="1" t="s">
        <v>9138</v>
      </c>
      <c r="E54" s="1" t="s">
        <v>9140</v>
      </c>
      <c r="F54" s="1">
        <v>2021</v>
      </c>
      <c r="G54" s="1" t="s">
        <v>9141</v>
      </c>
      <c r="H54" s="1" t="s">
        <v>1507</v>
      </c>
      <c r="I54" s="1" t="s">
        <v>9145</v>
      </c>
      <c r="J54" s="1" t="s">
        <v>1507</v>
      </c>
      <c r="K54" s="1" t="s">
        <v>42</v>
      </c>
      <c r="L54" s="1" t="s">
        <v>5552</v>
      </c>
    </row>
    <row r="55" spans="1:78" x14ac:dyDescent="0.3">
      <c r="A55">
        <v>37</v>
      </c>
      <c r="B55" t="s">
        <v>12204</v>
      </c>
      <c r="C55">
        <v>118</v>
      </c>
      <c r="D55" t="s">
        <v>13284</v>
      </c>
      <c r="E55" t="s">
        <v>58</v>
      </c>
      <c r="F55">
        <v>2023</v>
      </c>
      <c r="G55" t="s">
        <v>59</v>
      </c>
      <c r="H55" t="s">
        <v>60</v>
      </c>
      <c r="I55" t="s">
        <v>13281</v>
      </c>
      <c r="J55" t="s">
        <v>63</v>
      </c>
      <c r="K55" t="s">
        <v>42</v>
      </c>
      <c r="L55" t="s">
        <v>12252</v>
      </c>
    </row>
    <row r="56" spans="1:78" x14ac:dyDescent="0.3">
      <c r="A56" s="1">
        <v>38</v>
      </c>
      <c r="B56" t="s">
        <v>12118</v>
      </c>
      <c r="C56">
        <v>38</v>
      </c>
      <c r="D56" s="1" t="s">
        <v>4101</v>
      </c>
      <c r="E56" s="1" t="s">
        <v>4103</v>
      </c>
      <c r="F56" s="1">
        <v>2023</v>
      </c>
      <c r="G56" s="1" t="s">
        <v>4104</v>
      </c>
      <c r="H56" s="1" t="str">
        <f>HYPERLINK("http://dx.doi.org/10.1017/S1351324923000438","http://dx.doi.org/10.1017/S1351324923000438")</f>
        <v>http://dx.doi.org/10.1017/S1351324923000438</v>
      </c>
      <c r="I56" s="1" t="s">
        <v>4107</v>
      </c>
      <c r="J56" s="1" t="s">
        <v>4105</v>
      </c>
      <c r="K56" s="1" t="s">
        <v>42</v>
      </c>
      <c r="L56" s="1" t="s">
        <v>1509</v>
      </c>
    </row>
    <row r="57" spans="1:78" x14ac:dyDescent="0.3">
      <c r="A57">
        <v>38</v>
      </c>
      <c r="B57" t="s">
        <v>12204</v>
      </c>
      <c r="C57">
        <v>123</v>
      </c>
      <c r="D57" t="s">
        <v>12703</v>
      </c>
      <c r="E57" t="s">
        <v>933</v>
      </c>
      <c r="F57">
        <v>2023</v>
      </c>
      <c r="G57" t="s">
        <v>934</v>
      </c>
      <c r="H57" t="s">
        <v>935</v>
      </c>
      <c r="I57" t="s">
        <v>938</v>
      </c>
      <c r="J57" t="s">
        <v>939</v>
      </c>
      <c r="K57" t="s">
        <v>42</v>
      </c>
      <c r="L57" t="s">
        <v>56</v>
      </c>
    </row>
    <row r="58" spans="1:78" x14ac:dyDescent="0.3">
      <c r="A58" s="1">
        <v>39</v>
      </c>
      <c r="B58" t="s">
        <v>12118</v>
      </c>
      <c r="C58">
        <v>39</v>
      </c>
      <c r="D58" s="1" t="s">
        <v>10748</v>
      </c>
      <c r="E58" s="1" t="s">
        <v>10750</v>
      </c>
      <c r="F58" s="1">
        <v>2019</v>
      </c>
      <c r="G58" s="1" t="s">
        <v>10751</v>
      </c>
      <c r="H58" s="1" t="str">
        <f>HYPERLINK("http://dx.doi.org/10.1017/lsi.2018.12","http://dx.doi.org/10.1017/lsi.2018.12")</f>
        <v>http://dx.doi.org/10.1017/lsi.2018.12</v>
      </c>
      <c r="I58" s="1" t="s">
        <v>10753</v>
      </c>
      <c r="J58" s="1" t="s">
        <v>1507</v>
      </c>
      <c r="K58" s="1" t="s">
        <v>42</v>
      </c>
      <c r="L58" s="1" t="s">
        <v>56</v>
      </c>
    </row>
    <row r="59" spans="1:78" x14ac:dyDescent="0.3">
      <c r="A59">
        <v>39</v>
      </c>
      <c r="B59" t="s">
        <v>12204</v>
      </c>
      <c r="C59">
        <v>126</v>
      </c>
      <c r="D59" t="s">
        <v>12357</v>
      </c>
      <c r="E59" t="s">
        <v>1221</v>
      </c>
      <c r="F59">
        <v>2023</v>
      </c>
      <c r="G59" t="s">
        <v>797</v>
      </c>
      <c r="H59" t="s">
        <v>1222</v>
      </c>
      <c r="I59" t="s">
        <v>1225</v>
      </c>
      <c r="J59" t="s">
        <v>1226</v>
      </c>
      <c r="K59" t="s">
        <v>42</v>
      </c>
      <c r="L59" t="s">
        <v>56</v>
      </c>
    </row>
    <row r="60" spans="1:78" x14ac:dyDescent="0.3">
      <c r="A60">
        <v>40</v>
      </c>
      <c r="B60" t="s">
        <v>12204</v>
      </c>
      <c r="C60">
        <v>127</v>
      </c>
      <c r="D60" t="s">
        <v>12403</v>
      </c>
      <c r="E60" t="s">
        <v>1285</v>
      </c>
      <c r="F60">
        <v>2023</v>
      </c>
      <c r="G60" t="s">
        <v>797</v>
      </c>
      <c r="H60" t="s">
        <v>1286</v>
      </c>
      <c r="I60" t="s">
        <v>1289</v>
      </c>
      <c r="J60" t="s">
        <v>1290</v>
      </c>
      <c r="K60" t="s">
        <v>42</v>
      </c>
      <c r="L60" t="s">
        <v>56</v>
      </c>
    </row>
    <row r="61" spans="1:78" x14ac:dyDescent="0.3">
      <c r="A61" s="1">
        <v>40</v>
      </c>
      <c r="B61" t="s">
        <v>12118</v>
      </c>
      <c r="C61">
        <v>41</v>
      </c>
      <c r="D61" s="1" t="s">
        <v>5627</v>
      </c>
      <c r="E61" s="1" t="s">
        <v>5630</v>
      </c>
      <c r="F61" s="1">
        <v>2023</v>
      </c>
      <c r="G61" s="1" t="s">
        <v>5631</v>
      </c>
      <c r="H61" s="1" t="str">
        <f>HYPERLINK("http://dx.doi.org/10.1109/CAI54212.2023.00118","http://dx.doi.org/10.1109/CAI54212.2023.00118")</f>
        <v>http://dx.doi.org/10.1109/CAI54212.2023.00118</v>
      </c>
      <c r="I61" s="1" t="s">
        <v>5637</v>
      </c>
      <c r="J61" s="1" t="s">
        <v>5636</v>
      </c>
      <c r="K61" s="1" t="s">
        <v>42</v>
      </c>
      <c r="L61" s="1" t="s">
        <v>5552</v>
      </c>
    </row>
    <row r="62" spans="1:78" x14ac:dyDescent="0.3">
      <c r="A62" s="1">
        <v>41</v>
      </c>
      <c r="B62" t="s">
        <v>12118</v>
      </c>
      <c r="C62">
        <v>42</v>
      </c>
      <c r="D62" s="1" t="s">
        <v>2871</v>
      </c>
      <c r="E62" s="1" t="s">
        <v>2873</v>
      </c>
      <c r="F62" s="1">
        <v>2023</v>
      </c>
      <c r="G62" s="1" t="s">
        <v>2874</v>
      </c>
      <c r="H62" s="1" t="str">
        <f>HYPERLINK("http://dx.doi.org/10.1016/j.jacr.2023.06.009","http://dx.doi.org/10.1016/j.jacr.2023.06.009")</f>
        <v>http://dx.doi.org/10.1016/j.jacr.2023.06.009</v>
      </c>
      <c r="I62" s="1" t="s">
        <v>2877</v>
      </c>
      <c r="J62" s="1" t="s">
        <v>2875</v>
      </c>
      <c r="K62" s="1" t="s">
        <v>42</v>
      </c>
      <c r="L62" s="1" t="s">
        <v>56</v>
      </c>
    </row>
    <row r="63" spans="1:78" x14ac:dyDescent="0.3">
      <c r="A63">
        <v>42</v>
      </c>
      <c r="B63" t="s">
        <v>12204</v>
      </c>
      <c r="C63">
        <v>131</v>
      </c>
      <c r="D63" t="s">
        <v>12815</v>
      </c>
      <c r="E63" t="s">
        <v>233</v>
      </c>
      <c r="F63">
        <v>2023</v>
      </c>
      <c r="G63" t="s">
        <v>234</v>
      </c>
      <c r="H63" t="s">
        <v>235</v>
      </c>
      <c r="I63" t="s">
        <v>238</v>
      </c>
      <c r="J63" t="s">
        <v>239</v>
      </c>
      <c r="K63" t="s">
        <v>42</v>
      </c>
      <c r="L63" t="s">
        <v>56</v>
      </c>
    </row>
    <row r="64" spans="1:78" x14ac:dyDescent="0.3">
      <c r="A64" s="1">
        <v>43</v>
      </c>
      <c r="B64" t="s">
        <v>12118</v>
      </c>
      <c r="C64">
        <v>45</v>
      </c>
      <c r="D64" s="1" t="s">
        <v>11816</v>
      </c>
      <c r="E64" s="1" t="s">
        <v>11818</v>
      </c>
      <c r="F64" s="1">
        <v>2018</v>
      </c>
      <c r="G64" s="1" t="s">
        <v>11819</v>
      </c>
      <c r="H64" s="1" t="str">
        <f>HYPERLINK("http://dx.doi.org/10.1105/tpc.17.00947","http://dx.doi.org/10.1105/tpc.17.00947")</f>
        <v>http://dx.doi.org/10.1105/tpc.17.00947</v>
      </c>
      <c r="I64" s="1" t="s">
        <v>1507</v>
      </c>
      <c r="J64" s="1" t="s">
        <v>1507</v>
      </c>
      <c r="K64" s="1" t="s">
        <v>42</v>
      </c>
      <c r="L64" s="1" t="s">
        <v>56</v>
      </c>
    </row>
    <row r="65" spans="1:12" x14ac:dyDescent="0.3">
      <c r="A65">
        <v>43</v>
      </c>
      <c r="B65" t="s">
        <v>12204</v>
      </c>
      <c r="C65">
        <v>143</v>
      </c>
      <c r="D65" t="s">
        <v>664</v>
      </c>
      <c r="E65" t="s">
        <v>665</v>
      </c>
      <c r="F65">
        <v>2023</v>
      </c>
      <c r="G65" t="s">
        <v>666</v>
      </c>
      <c r="H65" t="s">
        <v>667</v>
      </c>
      <c r="I65" t="s">
        <v>670</v>
      </c>
      <c r="J65" t="s">
        <v>671</v>
      </c>
      <c r="K65" t="s">
        <v>42</v>
      </c>
      <c r="L65" t="s">
        <v>56</v>
      </c>
    </row>
    <row r="66" spans="1:12" x14ac:dyDescent="0.3">
      <c r="A66" s="1">
        <v>44</v>
      </c>
      <c r="B66" t="s">
        <v>12118</v>
      </c>
      <c r="C66">
        <v>46</v>
      </c>
      <c r="D66" s="1" t="s">
        <v>9656</v>
      </c>
      <c r="E66" s="1" t="s">
        <v>9658</v>
      </c>
      <c r="F66" s="1">
        <v>2020</v>
      </c>
      <c r="G66" s="1" t="s">
        <v>9659</v>
      </c>
      <c r="H66" s="1" t="str">
        <f>HYPERLINK("http://dx.doi.org/10.1016/j.clnu.2019.10.032","http://dx.doi.org/10.1016/j.clnu.2019.10.032")</f>
        <v>http://dx.doi.org/10.1016/j.clnu.2019.10.032</v>
      </c>
      <c r="I66" s="1" t="s">
        <v>9662</v>
      </c>
      <c r="J66" s="1" t="s">
        <v>9660</v>
      </c>
      <c r="K66" s="1" t="s">
        <v>42</v>
      </c>
      <c r="L66" s="1" t="s">
        <v>56</v>
      </c>
    </row>
    <row r="67" spans="1:12" x14ac:dyDescent="0.3">
      <c r="A67">
        <v>44</v>
      </c>
      <c r="B67" t="s">
        <v>12204</v>
      </c>
      <c r="C67">
        <v>145</v>
      </c>
      <c r="D67" t="s">
        <v>13501</v>
      </c>
      <c r="E67" t="s">
        <v>13499</v>
      </c>
      <c r="F67">
        <v>2023</v>
      </c>
      <c r="G67" t="s">
        <v>48</v>
      </c>
      <c r="H67" t="s">
        <v>49</v>
      </c>
      <c r="I67" t="s">
        <v>52</v>
      </c>
      <c r="J67" t="s">
        <v>53</v>
      </c>
      <c r="K67" t="s">
        <v>55</v>
      </c>
      <c r="L67" t="s">
        <v>56</v>
      </c>
    </row>
    <row r="68" spans="1:12" x14ac:dyDescent="0.3">
      <c r="A68" s="1">
        <v>45</v>
      </c>
      <c r="B68" t="s">
        <v>12118</v>
      </c>
      <c r="C68">
        <v>47</v>
      </c>
      <c r="D68" s="1" t="s">
        <v>4965</v>
      </c>
      <c r="E68" s="1" t="s">
        <v>69</v>
      </c>
      <c r="F68" s="1">
        <v>2023</v>
      </c>
      <c r="G68" s="1" t="s">
        <v>4967</v>
      </c>
      <c r="H68" s="1" t="str">
        <f>HYPERLINK("http://dx.doi.org/10.1111/bjet.13336","http://dx.doi.org/10.1111/bjet.13336")</f>
        <v>http://dx.doi.org/10.1111/bjet.13336</v>
      </c>
      <c r="I68" s="1" t="s">
        <v>4969</v>
      </c>
      <c r="J68" s="1" t="s">
        <v>75</v>
      </c>
      <c r="K68" s="1" t="s">
        <v>42</v>
      </c>
      <c r="L68" s="1" t="s">
        <v>1509</v>
      </c>
    </row>
    <row r="69" spans="1:12" x14ac:dyDescent="0.3">
      <c r="A69" s="1">
        <v>46</v>
      </c>
      <c r="B69" t="s">
        <v>12118</v>
      </c>
      <c r="C69">
        <v>48</v>
      </c>
      <c r="D69" s="1" t="s">
        <v>10769</v>
      </c>
      <c r="E69" s="1" t="s">
        <v>10771</v>
      </c>
      <c r="F69" s="1">
        <v>2019</v>
      </c>
      <c r="G69" s="1" t="s">
        <v>10772</v>
      </c>
      <c r="H69" s="1" t="str">
        <f>HYPERLINK("http://dx.doi.org/10.1038/s41567-019-0505-9","http://dx.doi.org/10.1038/s41567-019-0505-9")</f>
        <v>http://dx.doi.org/10.1038/s41567-019-0505-9</v>
      </c>
      <c r="I69" s="1" t="s">
        <v>10774</v>
      </c>
      <c r="J69" s="1" t="s">
        <v>1507</v>
      </c>
      <c r="K69" s="1" t="s">
        <v>42</v>
      </c>
      <c r="L69" s="1" t="s">
        <v>56</v>
      </c>
    </row>
    <row r="70" spans="1:12" x14ac:dyDescent="0.3">
      <c r="A70" s="1">
        <v>47</v>
      </c>
      <c r="B70" t="s">
        <v>12118</v>
      </c>
      <c r="C70">
        <v>50</v>
      </c>
      <c r="D70" s="1" t="s">
        <v>8749</v>
      </c>
      <c r="E70" s="1" t="s">
        <v>8751</v>
      </c>
      <c r="F70" s="1">
        <v>2021</v>
      </c>
      <c r="G70" s="1" t="s">
        <v>8752</v>
      </c>
      <c r="H70" s="1" t="str">
        <f>HYPERLINK("http://dx.doi.org/10.3389/fphar.2021.651497","http://dx.doi.org/10.3389/fphar.2021.651497")</f>
        <v>http://dx.doi.org/10.3389/fphar.2021.651497</v>
      </c>
      <c r="I70" s="1" t="s">
        <v>8755</v>
      </c>
      <c r="J70" s="1" t="s">
        <v>8753</v>
      </c>
      <c r="K70" s="1" t="s">
        <v>42</v>
      </c>
      <c r="L70" s="1" t="s">
        <v>56</v>
      </c>
    </row>
    <row r="71" spans="1:12" x14ac:dyDescent="0.3">
      <c r="A71" s="1">
        <v>48</v>
      </c>
      <c r="B71" t="s">
        <v>12118</v>
      </c>
      <c r="C71">
        <v>51</v>
      </c>
      <c r="D71" s="1" t="s">
        <v>3036</v>
      </c>
      <c r="E71" s="1" t="s">
        <v>3038</v>
      </c>
      <c r="F71" s="1">
        <v>2023</v>
      </c>
      <c r="G71" s="1" t="s">
        <v>3039</v>
      </c>
      <c r="H71" s="1" t="str">
        <f>HYPERLINK("http://dx.doi.org/10.1177/10597123231206604","http://dx.doi.org/10.1177/10597123231206604")</f>
        <v>http://dx.doi.org/10.1177/10597123231206604</v>
      </c>
      <c r="I71" s="1" t="s">
        <v>3042</v>
      </c>
      <c r="J71" s="1" t="s">
        <v>3040</v>
      </c>
      <c r="K71" s="1" t="s">
        <v>42</v>
      </c>
      <c r="L71" s="1" t="s">
        <v>1509</v>
      </c>
    </row>
    <row r="72" spans="1:12" x14ac:dyDescent="0.3">
      <c r="A72">
        <v>48</v>
      </c>
      <c r="B72" t="s">
        <v>12204</v>
      </c>
      <c r="C72">
        <v>173</v>
      </c>
      <c r="D72" t="s">
        <v>12399</v>
      </c>
      <c r="E72" t="s">
        <v>1319</v>
      </c>
      <c r="F72">
        <v>2023</v>
      </c>
      <c r="G72" t="s">
        <v>797</v>
      </c>
      <c r="H72" t="s">
        <v>1320</v>
      </c>
      <c r="I72" t="s">
        <v>1323</v>
      </c>
      <c r="J72" t="s">
        <v>1324</v>
      </c>
      <c r="K72" t="s">
        <v>42</v>
      </c>
      <c r="L72" t="s">
        <v>56</v>
      </c>
    </row>
    <row r="73" spans="1:12" x14ac:dyDescent="0.3">
      <c r="A73" s="1">
        <v>49</v>
      </c>
      <c r="B73" t="s">
        <v>12118</v>
      </c>
      <c r="C73">
        <v>53</v>
      </c>
      <c r="D73" s="1" t="s">
        <v>4122</v>
      </c>
      <c r="E73" s="1" t="s">
        <v>4124</v>
      </c>
      <c r="F73" s="1">
        <v>2023</v>
      </c>
      <c r="G73" s="1" t="s">
        <v>3315</v>
      </c>
      <c r="H73" s="1" t="str">
        <f>HYPERLINK("http://dx.doi.org/10.1001/jamanetworkopen.2023.30320","http://dx.doi.org/10.1001/jamanetworkopen.2023.30320")</f>
        <v>http://dx.doi.org/10.1001/jamanetworkopen.2023.30320</v>
      </c>
      <c r="I73" s="1" t="s">
        <v>4125</v>
      </c>
      <c r="J73" s="1" t="s">
        <v>1507</v>
      </c>
      <c r="K73" s="1" t="s">
        <v>42</v>
      </c>
      <c r="L73" s="1" t="s">
        <v>56</v>
      </c>
    </row>
    <row r="74" spans="1:12" x14ac:dyDescent="0.3">
      <c r="A74">
        <v>49</v>
      </c>
      <c r="B74" t="s">
        <v>12204</v>
      </c>
      <c r="C74">
        <v>176</v>
      </c>
      <c r="D74" t="s">
        <v>1356</v>
      </c>
      <c r="E74" t="s">
        <v>1357</v>
      </c>
      <c r="F74">
        <v>2019</v>
      </c>
      <c r="G74" t="s">
        <v>1358</v>
      </c>
      <c r="H74" t="s">
        <v>1359</v>
      </c>
      <c r="I74" t="s">
        <v>1362</v>
      </c>
      <c r="J74" t="s">
        <v>1363</v>
      </c>
      <c r="K74" t="s">
        <v>42</v>
      </c>
      <c r="L74" t="s">
        <v>56</v>
      </c>
    </row>
    <row r="75" spans="1:12" x14ac:dyDescent="0.3">
      <c r="A75">
        <v>50</v>
      </c>
      <c r="B75" t="s">
        <v>12204</v>
      </c>
      <c r="C75">
        <v>180</v>
      </c>
      <c r="D75" t="s">
        <v>13621</v>
      </c>
      <c r="E75" t="s">
        <v>515</v>
      </c>
      <c r="F75">
        <v>2023</v>
      </c>
      <c r="G75" t="s">
        <v>105</v>
      </c>
      <c r="H75" t="s">
        <v>516</v>
      </c>
      <c r="I75" t="s">
        <v>518</v>
      </c>
      <c r="J75" t="s">
        <v>519</v>
      </c>
      <c r="K75" t="s">
        <v>42</v>
      </c>
      <c r="L75" t="s">
        <v>56</v>
      </c>
    </row>
    <row r="76" spans="1:12" x14ac:dyDescent="0.3">
      <c r="A76" s="1">
        <v>50</v>
      </c>
      <c r="B76" t="s">
        <v>12118</v>
      </c>
      <c r="C76">
        <v>54</v>
      </c>
      <c r="D76" s="1" t="s">
        <v>10245</v>
      </c>
      <c r="E76" s="1" t="s">
        <v>10247</v>
      </c>
      <c r="F76" s="1">
        <v>2020</v>
      </c>
      <c r="G76" s="1" t="s">
        <v>10248</v>
      </c>
      <c r="H76" s="1" t="s">
        <v>1507</v>
      </c>
      <c r="I76" s="1" t="s">
        <v>10250</v>
      </c>
      <c r="J76" s="1" t="s">
        <v>10249</v>
      </c>
      <c r="K76" s="1" t="s">
        <v>42</v>
      </c>
      <c r="L76" s="1" t="s">
        <v>56</v>
      </c>
    </row>
    <row r="77" spans="1:12" x14ac:dyDescent="0.3">
      <c r="A77" s="1">
        <v>51</v>
      </c>
      <c r="B77" t="s">
        <v>12118</v>
      </c>
      <c r="C77">
        <v>55</v>
      </c>
      <c r="D77" s="1" t="s">
        <v>14823</v>
      </c>
      <c r="E77" s="1" t="s">
        <v>14826</v>
      </c>
      <c r="F77" s="1">
        <v>2023</v>
      </c>
      <c r="G77" s="1" t="s">
        <v>14827</v>
      </c>
      <c r="H77" s="1" t="str">
        <f>HYPERLINK("http://dx.doi.org/10.1145/3589132.3625625","http://dx.doi.org/10.1145/3589132.3625625")</f>
        <v>http://dx.doi.org/10.1145/3589132.3625625</v>
      </c>
      <c r="I77" s="1" t="s">
        <v>14832</v>
      </c>
      <c r="J77" s="1" t="s">
        <v>14831</v>
      </c>
      <c r="K77" s="1" t="s">
        <v>42</v>
      </c>
      <c r="L77" s="1" t="s">
        <v>5552</v>
      </c>
    </row>
    <row r="78" spans="1:12" x14ac:dyDescent="0.3">
      <c r="A78">
        <v>51</v>
      </c>
      <c r="B78" t="s">
        <v>12204</v>
      </c>
      <c r="C78">
        <v>184</v>
      </c>
      <c r="D78" t="s">
        <v>13490</v>
      </c>
      <c r="E78" t="s">
        <v>628</v>
      </c>
      <c r="F78">
        <v>2023</v>
      </c>
      <c r="G78" t="s">
        <v>629</v>
      </c>
      <c r="H78" t="s">
        <v>630</v>
      </c>
      <c r="I78" t="s">
        <v>13487</v>
      </c>
      <c r="J78" t="s">
        <v>633</v>
      </c>
      <c r="K78" t="s">
        <v>42</v>
      </c>
      <c r="L78" t="s">
        <v>56</v>
      </c>
    </row>
    <row r="79" spans="1:12" x14ac:dyDescent="0.3">
      <c r="A79">
        <v>52</v>
      </c>
      <c r="B79" t="s">
        <v>12204</v>
      </c>
      <c r="C79">
        <v>185</v>
      </c>
      <c r="D79" t="s">
        <v>12605</v>
      </c>
      <c r="E79" t="s">
        <v>1337</v>
      </c>
      <c r="F79">
        <v>2023</v>
      </c>
      <c r="G79" t="s">
        <v>127</v>
      </c>
      <c r="H79" t="s">
        <v>1339</v>
      </c>
      <c r="I79" t="s">
        <v>1342</v>
      </c>
      <c r="J79" t="s">
        <v>1343</v>
      </c>
      <c r="K79" t="s">
        <v>42</v>
      </c>
      <c r="L79" t="s">
        <v>12252</v>
      </c>
    </row>
    <row r="80" spans="1:12" x14ac:dyDescent="0.3">
      <c r="A80" s="1">
        <v>54</v>
      </c>
      <c r="B80" t="s">
        <v>12118</v>
      </c>
      <c r="C80">
        <v>59</v>
      </c>
      <c r="D80" s="1" t="s">
        <v>10728</v>
      </c>
      <c r="E80" s="1" t="s">
        <v>10730</v>
      </c>
      <c r="F80" s="1">
        <v>2019</v>
      </c>
      <c r="G80" s="1" t="s">
        <v>10731</v>
      </c>
      <c r="H80" s="1" t="str">
        <f>HYPERLINK("http://dx.doi.org/10.1002/xrs.3110","http://dx.doi.org/10.1002/xrs.3110")</f>
        <v>http://dx.doi.org/10.1002/xrs.3110</v>
      </c>
      <c r="I80" s="1" t="s">
        <v>10733</v>
      </c>
      <c r="J80" s="1" t="s">
        <v>1507</v>
      </c>
      <c r="K80" s="1" t="s">
        <v>42</v>
      </c>
      <c r="L80" s="1" t="s">
        <v>56</v>
      </c>
    </row>
    <row r="81" spans="1:12" x14ac:dyDescent="0.3">
      <c r="A81">
        <v>55</v>
      </c>
      <c r="B81" t="s">
        <v>12204</v>
      </c>
      <c r="C81">
        <v>194</v>
      </c>
      <c r="D81" t="s">
        <v>829</v>
      </c>
      <c r="E81" t="s">
        <v>830</v>
      </c>
      <c r="F81">
        <v>2018</v>
      </c>
      <c r="G81" t="s">
        <v>831</v>
      </c>
      <c r="H81" t="s">
        <v>832</v>
      </c>
      <c r="I81" t="s">
        <v>835</v>
      </c>
      <c r="J81" t="s">
        <v>836</v>
      </c>
      <c r="K81" t="s">
        <v>42</v>
      </c>
      <c r="L81" t="s">
        <v>56</v>
      </c>
    </row>
    <row r="82" spans="1:12" x14ac:dyDescent="0.3">
      <c r="A82">
        <v>56</v>
      </c>
      <c r="B82" t="s">
        <v>12204</v>
      </c>
      <c r="C82">
        <v>203</v>
      </c>
      <c r="D82" t="s">
        <v>12718</v>
      </c>
      <c r="E82" t="s">
        <v>12716</v>
      </c>
      <c r="F82">
        <v>2023</v>
      </c>
      <c r="G82" t="s">
        <v>923</v>
      </c>
      <c r="H82" t="s">
        <v>924</v>
      </c>
      <c r="I82" t="s">
        <v>927</v>
      </c>
      <c r="J82" t="s">
        <v>928</v>
      </c>
      <c r="K82" t="s">
        <v>12712</v>
      </c>
      <c r="L82" t="s">
        <v>56</v>
      </c>
    </row>
    <row r="83" spans="1:12" x14ac:dyDescent="0.3">
      <c r="A83" s="1">
        <v>56</v>
      </c>
      <c r="B83" t="s">
        <v>12118</v>
      </c>
      <c r="C83">
        <v>60</v>
      </c>
      <c r="D83" s="1" t="s">
        <v>3080</v>
      </c>
      <c r="E83" s="1" t="s">
        <v>3082</v>
      </c>
      <c r="F83" s="1">
        <v>2023</v>
      </c>
      <c r="G83" s="1" t="s">
        <v>3083</v>
      </c>
      <c r="H83" s="1" t="str">
        <f>HYPERLINK("http://dx.doi.org/10.7759/cureus.47468","http://dx.doi.org/10.7759/cureus.47468")</f>
        <v>http://dx.doi.org/10.7759/cureus.47468</v>
      </c>
      <c r="I83" s="1" t="s">
        <v>3085</v>
      </c>
      <c r="J83" s="1" t="s">
        <v>3084</v>
      </c>
      <c r="K83" s="1" t="s">
        <v>42</v>
      </c>
      <c r="L83" s="1" t="s">
        <v>56</v>
      </c>
    </row>
    <row r="84" spans="1:12" x14ac:dyDescent="0.3">
      <c r="A84" s="1">
        <v>57</v>
      </c>
      <c r="B84" t="s">
        <v>12118</v>
      </c>
      <c r="C84">
        <v>61</v>
      </c>
      <c r="D84" s="1" t="s">
        <v>11885</v>
      </c>
      <c r="E84" s="1" t="s">
        <v>11887</v>
      </c>
      <c r="F84" s="1">
        <v>2018</v>
      </c>
      <c r="G84" s="1" t="s">
        <v>11888</v>
      </c>
      <c r="H84" s="1" t="s">
        <v>1507</v>
      </c>
      <c r="I84" s="1" t="s">
        <v>11890</v>
      </c>
      <c r="J84" s="1" t="s">
        <v>1507</v>
      </c>
      <c r="K84" s="1" t="s">
        <v>42</v>
      </c>
      <c r="L84" s="1" t="s">
        <v>56</v>
      </c>
    </row>
    <row r="85" spans="1:12" x14ac:dyDescent="0.3">
      <c r="A85">
        <v>57</v>
      </c>
      <c r="B85" t="s">
        <v>12204</v>
      </c>
      <c r="C85">
        <v>204</v>
      </c>
      <c r="D85" t="s">
        <v>12683</v>
      </c>
      <c r="E85" t="s">
        <v>1298</v>
      </c>
      <c r="F85">
        <v>2023</v>
      </c>
      <c r="G85" t="s">
        <v>1299</v>
      </c>
      <c r="H85" t="s">
        <v>1301</v>
      </c>
      <c r="I85" t="s">
        <v>1304</v>
      </c>
      <c r="J85" t="s">
        <v>1305</v>
      </c>
      <c r="K85" t="s">
        <v>42</v>
      </c>
      <c r="L85" t="s">
        <v>56</v>
      </c>
    </row>
    <row r="86" spans="1:12" x14ac:dyDescent="0.3">
      <c r="A86">
        <v>58</v>
      </c>
      <c r="B86" t="s">
        <v>12204</v>
      </c>
      <c r="C86">
        <v>209</v>
      </c>
      <c r="D86" t="s">
        <v>13349</v>
      </c>
      <c r="E86" t="s">
        <v>173</v>
      </c>
      <c r="F86">
        <v>2023</v>
      </c>
      <c r="G86" t="s">
        <v>174</v>
      </c>
      <c r="H86" t="s">
        <v>175</v>
      </c>
      <c r="I86" t="s">
        <v>178</v>
      </c>
      <c r="J86" t="s">
        <v>179</v>
      </c>
      <c r="K86" t="s">
        <v>42</v>
      </c>
      <c r="L86" t="s">
        <v>56</v>
      </c>
    </row>
    <row r="87" spans="1:12" x14ac:dyDescent="0.3">
      <c r="A87" s="1">
        <v>58</v>
      </c>
      <c r="B87" t="s">
        <v>12118</v>
      </c>
      <c r="C87">
        <v>62</v>
      </c>
      <c r="D87" s="1" t="s">
        <v>1996</v>
      </c>
      <c r="E87" s="1" t="s">
        <v>1998</v>
      </c>
      <c r="F87" s="1">
        <v>2023</v>
      </c>
      <c r="G87" s="1" t="s">
        <v>1999</v>
      </c>
      <c r="H87" s="1" t="str">
        <f>HYPERLINK("http://dx.doi.org/10.1371/journal.pone.0295383","http://dx.doi.org/10.1371/journal.pone.0295383")</f>
        <v>http://dx.doi.org/10.1371/journal.pone.0295383</v>
      </c>
      <c r="I87" s="1" t="s">
        <v>2001</v>
      </c>
      <c r="J87" s="1" t="s">
        <v>1507</v>
      </c>
      <c r="K87" s="1" t="s">
        <v>42</v>
      </c>
      <c r="L87" s="1" t="s">
        <v>56</v>
      </c>
    </row>
    <row r="88" spans="1:12" x14ac:dyDescent="0.3">
      <c r="A88" s="1">
        <v>59</v>
      </c>
      <c r="B88" t="s">
        <v>12118</v>
      </c>
      <c r="C88">
        <v>63</v>
      </c>
      <c r="D88" s="1" t="s">
        <v>9982</v>
      </c>
      <c r="E88" s="1" t="s">
        <v>9984</v>
      </c>
      <c r="F88" s="1">
        <v>2020</v>
      </c>
      <c r="G88" s="1" t="s">
        <v>9985</v>
      </c>
      <c r="H88" s="1" t="str">
        <f>HYPERLINK("http://dx.doi.org/10.1016/j.jad.2020.01.078","http://dx.doi.org/10.1016/j.jad.2020.01.078")</f>
        <v>http://dx.doi.org/10.1016/j.jad.2020.01.078</v>
      </c>
      <c r="I88" s="1" t="s">
        <v>9988</v>
      </c>
      <c r="J88" s="1" t="s">
        <v>9986</v>
      </c>
      <c r="K88" s="1" t="s">
        <v>42</v>
      </c>
      <c r="L88" s="1" t="s">
        <v>56</v>
      </c>
    </row>
    <row r="89" spans="1:12" x14ac:dyDescent="0.3">
      <c r="A89" s="1">
        <v>60</v>
      </c>
      <c r="B89" t="s">
        <v>12118</v>
      </c>
      <c r="C89">
        <v>64</v>
      </c>
      <c r="D89" s="1" t="s">
        <v>7402</v>
      </c>
      <c r="E89" s="1" t="s">
        <v>7404</v>
      </c>
      <c r="F89" s="1">
        <v>2022</v>
      </c>
      <c r="G89" s="1" t="s">
        <v>7405</v>
      </c>
      <c r="H89" s="1" t="str">
        <f>HYPERLINK("http://dx.doi.org/10.1016/j.diagmicrobio.2021.115597","http://dx.doi.org/10.1016/j.diagmicrobio.2021.115597")</f>
        <v>http://dx.doi.org/10.1016/j.diagmicrobio.2021.115597</v>
      </c>
      <c r="I89" s="1" t="s">
        <v>7408</v>
      </c>
      <c r="J89" s="1" t="s">
        <v>7406</v>
      </c>
      <c r="K89" s="1" t="s">
        <v>42</v>
      </c>
      <c r="L89" s="1" t="s">
        <v>56</v>
      </c>
    </row>
    <row r="90" spans="1:12" x14ac:dyDescent="0.3">
      <c r="A90">
        <v>60</v>
      </c>
      <c r="B90" t="s">
        <v>12204</v>
      </c>
      <c r="C90">
        <v>214</v>
      </c>
      <c r="D90" t="s">
        <v>12628</v>
      </c>
      <c r="E90" t="s">
        <v>1111</v>
      </c>
      <c r="F90">
        <v>2023</v>
      </c>
      <c r="G90" t="s">
        <v>383</v>
      </c>
      <c r="I90" t="s">
        <v>1114</v>
      </c>
      <c r="J90" t="s">
        <v>1115</v>
      </c>
      <c r="K90" t="s">
        <v>42</v>
      </c>
      <c r="L90" t="s">
        <v>12252</v>
      </c>
    </row>
    <row r="91" spans="1:12" x14ac:dyDescent="0.3">
      <c r="A91">
        <v>61</v>
      </c>
      <c r="B91" t="s">
        <v>12204</v>
      </c>
      <c r="C91">
        <v>221</v>
      </c>
      <c r="D91" t="s">
        <v>12653</v>
      </c>
      <c r="E91" t="s">
        <v>1385</v>
      </c>
      <c r="F91">
        <v>2023</v>
      </c>
      <c r="G91" t="s">
        <v>383</v>
      </c>
      <c r="I91" t="s">
        <v>12649</v>
      </c>
      <c r="J91" t="s">
        <v>1387</v>
      </c>
      <c r="K91" t="s">
        <v>42</v>
      </c>
      <c r="L91" t="s">
        <v>12252</v>
      </c>
    </row>
    <row r="92" spans="1:12" x14ac:dyDescent="0.3">
      <c r="A92" s="1">
        <v>61</v>
      </c>
      <c r="B92" t="s">
        <v>12118</v>
      </c>
      <c r="C92">
        <v>65</v>
      </c>
      <c r="D92" s="1" t="s">
        <v>10450</v>
      </c>
      <c r="E92" s="1" t="s">
        <v>10452</v>
      </c>
      <c r="F92" s="1">
        <v>2019</v>
      </c>
      <c r="G92" s="1" t="s">
        <v>2159</v>
      </c>
      <c r="H92" s="1" t="str">
        <f>HYPERLINK("http://dx.doi.org/10.1038/s41746-019-0210-1","http://dx.doi.org/10.1038/s41746-019-0210-1")</f>
        <v>http://dx.doi.org/10.1038/s41746-019-0210-1</v>
      </c>
      <c r="I92" s="1" t="s">
        <v>10454</v>
      </c>
      <c r="J92" s="1" t="s">
        <v>1507</v>
      </c>
      <c r="K92" s="1" t="s">
        <v>42</v>
      </c>
      <c r="L92" s="1" t="s">
        <v>56</v>
      </c>
    </row>
    <row r="93" spans="1:12" x14ac:dyDescent="0.3">
      <c r="A93">
        <v>62</v>
      </c>
      <c r="B93" t="s">
        <v>12204</v>
      </c>
      <c r="C93">
        <v>222</v>
      </c>
      <c r="D93" t="s">
        <v>12504</v>
      </c>
      <c r="E93" t="s">
        <v>1267</v>
      </c>
      <c r="F93">
        <v>2023</v>
      </c>
      <c r="G93" t="s">
        <v>127</v>
      </c>
      <c r="H93" t="s">
        <v>1269</v>
      </c>
      <c r="I93" t="s">
        <v>1271</v>
      </c>
      <c r="J93" t="s">
        <v>1272</v>
      </c>
      <c r="K93" t="s">
        <v>42</v>
      </c>
      <c r="L93" t="s">
        <v>12252</v>
      </c>
    </row>
    <row r="94" spans="1:12" x14ac:dyDescent="0.3">
      <c r="A94" s="1">
        <v>62</v>
      </c>
      <c r="B94" t="s">
        <v>12118</v>
      </c>
      <c r="C94">
        <v>67</v>
      </c>
      <c r="D94" s="1" t="s">
        <v>1757</v>
      </c>
      <c r="E94" s="1" t="s">
        <v>1759</v>
      </c>
      <c r="F94" s="1">
        <v>2023</v>
      </c>
      <c r="G94" s="1" t="s">
        <v>1760</v>
      </c>
      <c r="H94" s="1" t="str">
        <f>HYPERLINK("http://dx.doi.org/10.1038/s41586-023-06792-0","http://dx.doi.org/10.1038/s41586-023-06792-0")</f>
        <v>http://dx.doi.org/10.1038/s41586-023-06792-0</v>
      </c>
      <c r="I94" s="1" t="s">
        <v>1761</v>
      </c>
      <c r="J94" s="1" t="s">
        <v>1507</v>
      </c>
      <c r="K94" s="1" t="s">
        <v>42</v>
      </c>
      <c r="L94" s="1" t="s">
        <v>56</v>
      </c>
    </row>
    <row r="95" spans="1:12" x14ac:dyDescent="0.3">
      <c r="A95" s="1">
        <v>63</v>
      </c>
      <c r="B95" t="s">
        <v>12118</v>
      </c>
      <c r="C95">
        <v>68</v>
      </c>
      <c r="D95" s="1" t="s">
        <v>7671</v>
      </c>
      <c r="E95" s="1" t="s">
        <v>7673</v>
      </c>
      <c r="F95" s="1">
        <v>2022</v>
      </c>
      <c r="G95" s="1" t="s">
        <v>7674</v>
      </c>
      <c r="H95" s="1" t="str">
        <f>HYPERLINK("http://dx.doi.org/10.1371/journal.pbio.3001527","http://dx.doi.org/10.1371/journal.pbio.3001527")</f>
        <v>http://dx.doi.org/10.1371/journal.pbio.3001527</v>
      </c>
      <c r="I95" s="1" t="s">
        <v>7676</v>
      </c>
      <c r="J95" s="1" t="s">
        <v>1507</v>
      </c>
      <c r="K95" s="1" t="s">
        <v>42</v>
      </c>
      <c r="L95" s="1" t="s">
        <v>56</v>
      </c>
    </row>
    <row r="96" spans="1:12" x14ac:dyDescent="0.3">
      <c r="A96">
        <v>63</v>
      </c>
      <c r="B96" t="s">
        <v>12204</v>
      </c>
      <c r="C96">
        <v>225</v>
      </c>
      <c r="D96" t="s">
        <v>12804</v>
      </c>
      <c r="E96" t="s">
        <v>508</v>
      </c>
      <c r="F96">
        <v>2023</v>
      </c>
      <c r="G96" t="s">
        <v>383</v>
      </c>
      <c r="I96" t="s">
        <v>511</v>
      </c>
      <c r="J96" t="s">
        <v>512</v>
      </c>
      <c r="K96" t="s">
        <v>42</v>
      </c>
      <c r="L96" t="s">
        <v>12252</v>
      </c>
    </row>
    <row r="97" spans="1:12" x14ac:dyDescent="0.3">
      <c r="A97">
        <v>64</v>
      </c>
      <c r="B97" t="s">
        <v>12204</v>
      </c>
      <c r="C97">
        <v>228</v>
      </c>
      <c r="D97" t="s">
        <v>12810</v>
      </c>
      <c r="E97" t="s">
        <v>559</v>
      </c>
      <c r="F97">
        <v>2023</v>
      </c>
      <c r="G97" t="s">
        <v>560</v>
      </c>
      <c r="H97" t="s">
        <v>562</v>
      </c>
      <c r="I97" t="s">
        <v>565</v>
      </c>
      <c r="J97" t="s">
        <v>566</v>
      </c>
      <c r="K97" t="s">
        <v>42</v>
      </c>
      <c r="L97" t="s">
        <v>56</v>
      </c>
    </row>
    <row r="98" spans="1:12" x14ac:dyDescent="0.3">
      <c r="A98" s="1">
        <v>64</v>
      </c>
      <c r="B98" t="s">
        <v>12118</v>
      </c>
      <c r="C98">
        <v>69</v>
      </c>
      <c r="D98" s="1" t="s">
        <v>7426</v>
      </c>
      <c r="E98" s="1" t="s">
        <v>7428</v>
      </c>
      <c r="F98" s="1">
        <v>2022</v>
      </c>
      <c r="G98" s="1" t="s">
        <v>7429</v>
      </c>
      <c r="H98" s="1" t="str">
        <f>HYPERLINK("http://dx.doi.org/10.1002/cplu.202200049","http://dx.doi.org/10.1002/cplu.202200049")</f>
        <v>http://dx.doi.org/10.1002/cplu.202200049</v>
      </c>
      <c r="I98" s="1" t="s">
        <v>7431</v>
      </c>
      <c r="J98" s="1" t="s">
        <v>7430</v>
      </c>
      <c r="K98" s="1" t="s">
        <v>42</v>
      </c>
      <c r="L98" s="1" t="s">
        <v>56</v>
      </c>
    </row>
    <row r="99" spans="1:12" x14ac:dyDescent="0.3">
      <c r="A99">
        <v>65</v>
      </c>
      <c r="B99" t="s">
        <v>12204</v>
      </c>
      <c r="C99">
        <v>230</v>
      </c>
      <c r="D99" t="s">
        <v>12395</v>
      </c>
      <c r="E99" t="s">
        <v>1065</v>
      </c>
      <c r="F99">
        <v>2023</v>
      </c>
      <c r="G99" t="s">
        <v>996</v>
      </c>
      <c r="H99" t="s">
        <v>1067</v>
      </c>
      <c r="I99" t="s">
        <v>1070</v>
      </c>
      <c r="J99" t="s">
        <v>1071</v>
      </c>
      <c r="K99" t="s">
        <v>42</v>
      </c>
      <c r="L99" t="s">
        <v>56</v>
      </c>
    </row>
    <row r="100" spans="1:12" x14ac:dyDescent="0.3">
      <c r="A100" s="1">
        <v>65</v>
      </c>
      <c r="B100" t="s">
        <v>12118</v>
      </c>
      <c r="C100">
        <v>70</v>
      </c>
      <c r="D100" s="1" t="s">
        <v>5496</v>
      </c>
      <c r="E100" s="1" t="s">
        <v>5498</v>
      </c>
      <c r="F100" s="1">
        <v>2023</v>
      </c>
      <c r="G100" s="1" t="s">
        <v>5499</v>
      </c>
      <c r="H100" s="1" t="str">
        <f>HYPERLINK("http://dx.doi.org/10.1016/j.idm.2022.12.005","http://dx.doi.org/10.1016/j.idm.2022.12.005")</f>
        <v>http://dx.doi.org/10.1016/j.idm.2022.12.005</v>
      </c>
      <c r="I100" s="1" t="s">
        <v>5502</v>
      </c>
      <c r="J100" s="1" t="s">
        <v>5500</v>
      </c>
      <c r="K100" s="1" t="s">
        <v>42</v>
      </c>
      <c r="L100" s="1" t="s">
        <v>56</v>
      </c>
    </row>
    <row r="101" spans="1:12" x14ac:dyDescent="0.3">
      <c r="A101" s="1">
        <v>66</v>
      </c>
      <c r="B101" t="s">
        <v>12118</v>
      </c>
      <c r="C101">
        <v>71</v>
      </c>
      <c r="D101" s="1" t="s">
        <v>2175</v>
      </c>
      <c r="E101" s="1" t="s">
        <v>2177</v>
      </c>
      <c r="F101" s="1">
        <v>2023</v>
      </c>
      <c r="G101" s="1" t="s">
        <v>2178</v>
      </c>
      <c r="H101" s="1" t="str">
        <f>HYPERLINK("http://dx.doi.org/10.1007/s10846-023-01991-3","http://dx.doi.org/10.1007/s10846-023-01991-3")</f>
        <v>http://dx.doi.org/10.1007/s10846-023-01991-3</v>
      </c>
      <c r="I101" s="1" t="s">
        <v>2180</v>
      </c>
      <c r="J101" s="1" t="s">
        <v>2179</v>
      </c>
      <c r="K101" s="1" t="s">
        <v>42</v>
      </c>
      <c r="L101" s="1" t="s">
        <v>56</v>
      </c>
    </row>
    <row r="102" spans="1:12" x14ac:dyDescent="0.3">
      <c r="A102" s="1">
        <v>67</v>
      </c>
      <c r="B102" t="s">
        <v>12118</v>
      </c>
      <c r="C102">
        <v>72</v>
      </c>
      <c r="D102" s="1" t="s">
        <v>11283</v>
      </c>
      <c r="E102" s="1" t="s">
        <v>11285</v>
      </c>
      <c r="F102" s="1">
        <v>2019</v>
      </c>
      <c r="G102" s="1" t="s">
        <v>11228</v>
      </c>
      <c r="H102" s="1" t="s">
        <v>1507</v>
      </c>
      <c r="I102" s="1" t="s">
        <v>1507</v>
      </c>
      <c r="J102" s="1" t="s">
        <v>1507</v>
      </c>
      <c r="K102" s="1" t="s">
        <v>42</v>
      </c>
      <c r="L102" s="1" t="s">
        <v>56</v>
      </c>
    </row>
    <row r="103" spans="1:12" ht="13.8" customHeight="1" x14ac:dyDescent="0.3">
      <c r="A103">
        <v>67</v>
      </c>
      <c r="B103" t="s">
        <v>12204</v>
      </c>
      <c r="C103">
        <v>240</v>
      </c>
      <c r="D103" t="s">
        <v>13701</v>
      </c>
      <c r="E103" t="s">
        <v>293</v>
      </c>
      <c r="F103">
        <v>2023</v>
      </c>
      <c r="G103" t="s">
        <v>294</v>
      </c>
      <c r="H103" t="s">
        <v>295</v>
      </c>
      <c r="I103" t="s">
        <v>297</v>
      </c>
      <c r="J103" t="s">
        <v>298</v>
      </c>
      <c r="K103" t="s">
        <v>42</v>
      </c>
      <c r="L103" t="s">
        <v>56</v>
      </c>
    </row>
    <row r="104" spans="1:12" x14ac:dyDescent="0.3">
      <c r="A104">
        <v>68</v>
      </c>
      <c r="B104" t="s">
        <v>12204</v>
      </c>
      <c r="C104">
        <v>244</v>
      </c>
      <c r="D104" t="s">
        <v>12775</v>
      </c>
      <c r="E104" t="s">
        <v>531</v>
      </c>
      <c r="F104">
        <v>2023</v>
      </c>
      <c r="G104" t="s">
        <v>335</v>
      </c>
      <c r="H104" t="s">
        <v>532</v>
      </c>
      <c r="I104" t="s">
        <v>535</v>
      </c>
      <c r="J104" t="s">
        <v>536</v>
      </c>
      <c r="K104" t="s">
        <v>42</v>
      </c>
      <c r="L104" t="s">
        <v>56</v>
      </c>
    </row>
    <row r="105" spans="1:12" x14ac:dyDescent="0.3">
      <c r="A105">
        <v>69</v>
      </c>
      <c r="B105" t="s">
        <v>12204</v>
      </c>
      <c r="C105">
        <v>247</v>
      </c>
      <c r="D105" t="s">
        <v>12662</v>
      </c>
      <c r="E105" t="s">
        <v>1170</v>
      </c>
      <c r="F105">
        <v>2023</v>
      </c>
      <c r="G105" t="s">
        <v>797</v>
      </c>
      <c r="H105" t="s">
        <v>1171</v>
      </c>
      <c r="I105" t="s">
        <v>1174</v>
      </c>
      <c r="J105" t="s">
        <v>1175</v>
      </c>
      <c r="K105" t="s">
        <v>42</v>
      </c>
      <c r="L105" t="s">
        <v>56</v>
      </c>
    </row>
    <row r="106" spans="1:12" x14ac:dyDescent="0.3">
      <c r="A106" s="1">
        <v>71</v>
      </c>
      <c r="B106" t="s">
        <v>12118</v>
      </c>
      <c r="C106">
        <v>76</v>
      </c>
      <c r="D106" s="1" t="s">
        <v>11046</v>
      </c>
      <c r="E106" s="1" t="s">
        <v>11048</v>
      </c>
      <c r="F106" s="1">
        <v>2019</v>
      </c>
      <c r="G106" s="1" t="s">
        <v>11049</v>
      </c>
      <c r="H106" s="1" t="str">
        <f>HYPERLINK("http://dx.doi.org/10.1002/ece3.5192","http://dx.doi.org/10.1002/ece3.5192")</f>
        <v>http://dx.doi.org/10.1002/ece3.5192</v>
      </c>
      <c r="I106" s="1" t="s">
        <v>11052</v>
      </c>
      <c r="J106" s="1" t="s">
        <v>11050</v>
      </c>
      <c r="K106" s="1" t="s">
        <v>42</v>
      </c>
      <c r="L106" s="1" t="s">
        <v>56</v>
      </c>
    </row>
    <row r="107" spans="1:12" x14ac:dyDescent="0.3">
      <c r="A107" s="1">
        <v>72</v>
      </c>
      <c r="B107" t="s">
        <v>12118</v>
      </c>
      <c r="C107">
        <v>77</v>
      </c>
      <c r="D107" s="1" t="s">
        <v>3274</v>
      </c>
      <c r="E107" s="1" t="s">
        <v>3276</v>
      </c>
      <c r="F107" s="1">
        <v>2023</v>
      </c>
      <c r="G107" s="1" t="s">
        <v>3277</v>
      </c>
      <c r="H107" s="1" t="str">
        <f>HYPERLINK("http://dx.doi.org/10.1007/s10472-023-09894-7","http://dx.doi.org/10.1007/s10472-023-09894-7")</f>
        <v>http://dx.doi.org/10.1007/s10472-023-09894-7</v>
      </c>
      <c r="I107" s="1" t="s">
        <v>3279</v>
      </c>
      <c r="J107" s="1" t="s">
        <v>3278</v>
      </c>
      <c r="K107" s="1" t="s">
        <v>42</v>
      </c>
      <c r="L107" s="1" t="s">
        <v>1509</v>
      </c>
    </row>
    <row r="108" spans="1:12" x14ac:dyDescent="0.3">
      <c r="A108">
        <v>72</v>
      </c>
      <c r="B108" t="s">
        <v>12204</v>
      </c>
      <c r="C108">
        <v>258</v>
      </c>
      <c r="D108" t="s">
        <v>1213</v>
      </c>
      <c r="E108" t="s">
        <v>1214</v>
      </c>
      <c r="F108">
        <v>2023</v>
      </c>
      <c r="G108" t="s">
        <v>1215</v>
      </c>
      <c r="H108" t="s">
        <v>1216</v>
      </c>
      <c r="I108" t="s">
        <v>1218</v>
      </c>
      <c r="K108" t="s">
        <v>42</v>
      </c>
      <c r="L108" t="s">
        <v>12262</v>
      </c>
    </row>
    <row r="109" spans="1:12" x14ac:dyDescent="0.3">
      <c r="A109">
        <v>73</v>
      </c>
      <c r="B109" t="s">
        <v>12204</v>
      </c>
      <c r="C109">
        <v>260</v>
      </c>
      <c r="D109" t="s">
        <v>13482</v>
      </c>
      <c r="E109" t="s">
        <v>485</v>
      </c>
      <c r="F109">
        <v>2023</v>
      </c>
      <c r="G109" t="s">
        <v>486</v>
      </c>
      <c r="H109" t="s">
        <v>489</v>
      </c>
      <c r="I109" t="s">
        <v>492</v>
      </c>
      <c r="K109" t="s">
        <v>42</v>
      </c>
      <c r="L109" t="s">
        <v>56</v>
      </c>
    </row>
    <row r="110" spans="1:12" x14ac:dyDescent="0.3">
      <c r="A110" s="1">
        <v>73</v>
      </c>
      <c r="B110" t="s">
        <v>12118</v>
      </c>
      <c r="C110">
        <v>78</v>
      </c>
      <c r="D110" s="1" t="s">
        <v>7321</v>
      </c>
      <c r="E110" s="1" t="s">
        <v>7323</v>
      </c>
      <c r="F110" s="1">
        <v>2022</v>
      </c>
      <c r="G110" s="1" t="s">
        <v>3922</v>
      </c>
      <c r="H110" s="1" t="str">
        <f>HYPERLINK("http://dx.doi.org/10.1126/sciadv.abl5209","http://dx.doi.org/10.1126/sciadv.abl5209")</f>
        <v>http://dx.doi.org/10.1126/sciadv.abl5209</v>
      </c>
      <c r="I110" s="1" t="s">
        <v>7325</v>
      </c>
      <c r="J110" s="1" t="s">
        <v>1507</v>
      </c>
      <c r="K110" s="1" t="s">
        <v>42</v>
      </c>
      <c r="L110" s="1" t="s">
        <v>56</v>
      </c>
    </row>
    <row r="111" spans="1:12" x14ac:dyDescent="0.3">
      <c r="A111">
        <v>74</v>
      </c>
      <c r="B111" t="s">
        <v>12204</v>
      </c>
      <c r="C111">
        <v>269</v>
      </c>
      <c r="D111" t="s">
        <v>13017</v>
      </c>
      <c r="E111" t="s">
        <v>13015</v>
      </c>
      <c r="F111">
        <v>2023</v>
      </c>
      <c r="G111" t="s">
        <v>13014</v>
      </c>
      <c r="H111" t="s">
        <v>13013</v>
      </c>
      <c r="I111" t="s">
        <v>13009</v>
      </c>
      <c r="J111" t="s">
        <v>13008</v>
      </c>
      <c r="K111" t="s">
        <v>42</v>
      </c>
      <c r="L111" t="s">
        <v>12252</v>
      </c>
    </row>
    <row r="112" spans="1:12" x14ac:dyDescent="0.3">
      <c r="A112">
        <v>75</v>
      </c>
      <c r="B112" t="s">
        <v>12204</v>
      </c>
      <c r="C112">
        <v>270</v>
      </c>
      <c r="D112" t="s">
        <v>12667</v>
      </c>
      <c r="E112" t="s">
        <v>995</v>
      </c>
      <c r="F112">
        <v>2023</v>
      </c>
      <c r="G112" t="s">
        <v>996</v>
      </c>
      <c r="H112" t="s">
        <v>998</v>
      </c>
      <c r="I112" t="s">
        <v>1001</v>
      </c>
      <c r="J112" t="s">
        <v>1002</v>
      </c>
      <c r="K112" t="s">
        <v>42</v>
      </c>
      <c r="L112" t="s">
        <v>56</v>
      </c>
    </row>
    <row r="113" spans="1:12" x14ac:dyDescent="0.3">
      <c r="A113" s="1">
        <v>75</v>
      </c>
      <c r="B113" t="s">
        <v>12118</v>
      </c>
      <c r="C113">
        <v>81</v>
      </c>
      <c r="D113" s="1" t="s">
        <v>4510</v>
      </c>
      <c r="E113" s="1" t="s">
        <v>8176</v>
      </c>
      <c r="F113" s="1">
        <v>2021</v>
      </c>
      <c r="G113" s="1" t="s">
        <v>5077</v>
      </c>
      <c r="H113" s="1" t="str">
        <f>HYPERLINK("http://dx.doi.org/10.1016/j.system.2021.102645","http://dx.doi.org/10.1016/j.system.2021.102645")</f>
        <v>http://dx.doi.org/10.1016/j.system.2021.102645</v>
      </c>
      <c r="I113" s="1" t="s">
        <v>8179</v>
      </c>
      <c r="J113" s="1" t="s">
        <v>8177</v>
      </c>
      <c r="K113" s="1" t="s">
        <v>42</v>
      </c>
      <c r="L113" s="1" t="s">
        <v>56</v>
      </c>
    </row>
    <row r="114" spans="1:12" x14ac:dyDescent="0.3">
      <c r="A114">
        <v>76</v>
      </c>
      <c r="B114" t="s">
        <v>12204</v>
      </c>
      <c r="C114">
        <v>271</v>
      </c>
      <c r="D114" t="s">
        <v>12495</v>
      </c>
      <c r="E114" t="s">
        <v>966</v>
      </c>
      <c r="F114">
        <v>2023</v>
      </c>
      <c r="G114" t="s">
        <v>967</v>
      </c>
      <c r="H114" t="s">
        <v>968</v>
      </c>
      <c r="I114" t="s">
        <v>971</v>
      </c>
      <c r="J114" t="s">
        <v>972</v>
      </c>
      <c r="K114" t="s">
        <v>42</v>
      </c>
      <c r="L114" t="s">
        <v>56</v>
      </c>
    </row>
    <row r="115" spans="1:12" x14ac:dyDescent="0.3">
      <c r="A115" s="1">
        <v>76</v>
      </c>
      <c r="B115" t="s">
        <v>12118</v>
      </c>
      <c r="C115">
        <v>84</v>
      </c>
      <c r="D115" s="1" t="s">
        <v>11903</v>
      </c>
      <c r="E115" s="1" t="s">
        <v>11906</v>
      </c>
      <c r="F115" s="1">
        <v>2018</v>
      </c>
      <c r="G115" s="1" t="s">
        <v>11907</v>
      </c>
      <c r="H115" s="1" t="str">
        <f>HYPERLINK("http://dx.doi.org/10.1007/978-3-319-70479-1_15","http://dx.doi.org/10.1007/978-3-319-70479-1_15")</f>
        <v>http://dx.doi.org/10.1007/978-3-319-70479-1_15</v>
      </c>
      <c r="I115" s="1" t="s">
        <v>1507</v>
      </c>
      <c r="J115" s="1" t="s">
        <v>1507</v>
      </c>
      <c r="K115" s="1" t="s">
        <v>42</v>
      </c>
      <c r="L115" s="1" t="s">
        <v>5888</v>
      </c>
    </row>
    <row r="116" spans="1:12" x14ac:dyDescent="0.3">
      <c r="A116">
        <v>77</v>
      </c>
      <c r="B116" t="s">
        <v>12204</v>
      </c>
      <c r="C116">
        <v>279</v>
      </c>
      <c r="D116" t="s">
        <v>13581</v>
      </c>
      <c r="E116" t="s">
        <v>600</v>
      </c>
      <c r="F116">
        <v>2023</v>
      </c>
      <c r="G116" t="s">
        <v>601</v>
      </c>
      <c r="H116" t="s">
        <v>603</v>
      </c>
      <c r="I116" t="s">
        <v>605</v>
      </c>
      <c r="J116" t="s">
        <v>606</v>
      </c>
      <c r="K116" t="s">
        <v>42</v>
      </c>
      <c r="L116" t="s">
        <v>56</v>
      </c>
    </row>
    <row r="117" spans="1:12" x14ac:dyDescent="0.3">
      <c r="A117" s="1">
        <v>77</v>
      </c>
      <c r="B117" t="s">
        <v>12118</v>
      </c>
      <c r="C117">
        <v>85</v>
      </c>
      <c r="D117" s="1" t="s">
        <v>6695</v>
      </c>
      <c r="E117" s="1" t="s">
        <v>6697</v>
      </c>
      <c r="F117" s="1">
        <v>2022</v>
      </c>
      <c r="G117" s="1" t="s">
        <v>6698</v>
      </c>
      <c r="H117" s="1" t="str">
        <f>HYPERLINK("http://dx.doi.org/10.1080/09712119.2022.2147184","http://dx.doi.org/10.1080/09712119.2022.2147184")</f>
        <v>http://dx.doi.org/10.1080/09712119.2022.2147184</v>
      </c>
      <c r="I117" s="1" t="s">
        <v>6701</v>
      </c>
      <c r="J117" s="1" t="s">
        <v>6699</v>
      </c>
      <c r="K117" s="1" t="s">
        <v>42</v>
      </c>
      <c r="L117" s="1" t="s">
        <v>56</v>
      </c>
    </row>
    <row r="118" spans="1:12" x14ac:dyDescent="0.3">
      <c r="A118">
        <v>78</v>
      </c>
      <c r="B118" t="s">
        <v>12204</v>
      </c>
      <c r="C118">
        <v>286</v>
      </c>
      <c r="D118" t="s">
        <v>13615</v>
      </c>
      <c r="E118" t="s">
        <v>553</v>
      </c>
      <c r="F118">
        <v>2023</v>
      </c>
      <c r="G118" t="s">
        <v>124</v>
      </c>
      <c r="H118" t="s">
        <v>554</v>
      </c>
      <c r="I118" t="s">
        <v>557</v>
      </c>
      <c r="K118" t="s">
        <v>42</v>
      </c>
      <c r="L118" t="s">
        <v>56</v>
      </c>
    </row>
    <row r="119" spans="1:12" x14ac:dyDescent="0.3">
      <c r="A119">
        <v>80</v>
      </c>
      <c r="B119" t="s">
        <v>12204</v>
      </c>
      <c r="C119">
        <v>290</v>
      </c>
      <c r="D119" t="s">
        <v>13293</v>
      </c>
      <c r="E119" t="s">
        <v>610</v>
      </c>
      <c r="F119">
        <v>2023</v>
      </c>
      <c r="G119" t="s">
        <v>305</v>
      </c>
      <c r="H119" t="s">
        <v>611</v>
      </c>
      <c r="I119" t="s">
        <v>614</v>
      </c>
      <c r="J119" t="s">
        <v>615</v>
      </c>
      <c r="K119" t="s">
        <v>42</v>
      </c>
      <c r="L119" t="s">
        <v>56</v>
      </c>
    </row>
    <row r="120" spans="1:12" x14ac:dyDescent="0.3">
      <c r="A120" s="1">
        <v>80</v>
      </c>
      <c r="B120" t="s">
        <v>12118</v>
      </c>
      <c r="C120">
        <v>86</v>
      </c>
      <c r="D120" s="1" t="s">
        <v>4449</v>
      </c>
      <c r="E120" s="1" t="s">
        <v>4451</v>
      </c>
      <c r="F120" s="1">
        <v>2023</v>
      </c>
      <c r="G120" s="1" t="s">
        <v>4452</v>
      </c>
      <c r="H120" s="1" t="str">
        <f>HYPERLINK("http://dx.doi.org/10.1007/s40858-023-00594-5","http://dx.doi.org/10.1007/s40858-023-00594-5")</f>
        <v>http://dx.doi.org/10.1007/s40858-023-00594-5</v>
      </c>
      <c r="I120" s="1" t="s">
        <v>4455</v>
      </c>
      <c r="J120" s="1" t="s">
        <v>4453</v>
      </c>
      <c r="K120" s="1" t="s">
        <v>42</v>
      </c>
      <c r="L120" s="1" t="s">
        <v>1509</v>
      </c>
    </row>
    <row r="121" spans="1:12" x14ac:dyDescent="0.3">
      <c r="A121">
        <v>81</v>
      </c>
      <c r="B121" t="s">
        <v>12204</v>
      </c>
      <c r="C121">
        <v>291</v>
      </c>
      <c r="D121" t="s">
        <v>13224</v>
      </c>
      <c r="E121" t="s">
        <v>152</v>
      </c>
      <c r="F121">
        <v>2023</v>
      </c>
      <c r="G121" t="s">
        <v>153</v>
      </c>
      <c r="H121" t="s">
        <v>154</v>
      </c>
      <c r="I121" t="s">
        <v>157</v>
      </c>
      <c r="J121" t="s">
        <v>158</v>
      </c>
      <c r="K121" t="s">
        <v>42</v>
      </c>
      <c r="L121" t="s">
        <v>56</v>
      </c>
    </row>
    <row r="122" spans="1:12" x14ac:dyDescent="0.3">
      <c r="A122">
        <v>83</v>
      </c>
      <c r="B122" t="s">
        <v>12204</v>
      </c>
      <c r="C122">
        <v>292</v>
      </c>
      <c r="D122" t="s">
        <v>12762</v>
      </c>
      <c r="E122" t="s">
        <v>1327</v>
      </c>
      <c r="F122">
        <v>2023</v>
      </c>
      <c r="G122" t="s">
        <v>1328</v>
      </c>
      <c r="H122" t="s">
        <v>1329</v>
      </c>
      <c r="I122" t="s">
        <v>1332</v>
      </c>
      <c r="J122" t="s">
        <v>1333</v>
      </c>
      <c r="K122" t="s">
        <v>42</v>
      </c>
      <c r="L122" t="s">
        <v>12252</v>
      </c>
    </row>
    <row r="123" spans="1:12" x14ac:dyDescent="0.3">
      <c r="A123" s="1">
        <v>83</v>
      </c>
      <c r="B123" t="s">
        <v>12118</v>
      </c>
      <c r="C123">
        <v>87</v>
      </c>
      <c r="D123" s="1" t="s">
        <v>8771</v>
      </c>
      <c r="E123" s="1" t="s">
        <v>8773</v>
      </c>
      <c r="F123" s="1">
        <v>2021</v>
      </c>
      <c r="G123" s="1" t="s">
        <v>8774</v>
      </c>
      <c r="H123" s="1" t="s">
        <v>1507</v>
      </c>
      <c r="I123" s="1" t="s">
        <v>8776</v>
      </c>
      <c r="J123" s="1" t="s">
        <v>1507</v>
      </c>
      <c r="K123" s="1" t="s">
        <v>42</v>
      </c>
      <c r="L123" s="1" t="s">
        <v>56</v>
      </c>
    </row>
    <row r="124" spans="1:12" x14ac:dyDescent="0.3">
      <c r="A124" s="1">
        <v>84</v>
      </c>
      <c r="B124" t="s">
        <v>12118</v>
      </c>
      <c r="C124">
        <v>88</v>
      </c>
      <c r="D124" s="1" t="s">
        <v>14868</v>
      </c>
      <c r="E124" s="1" t="s">
        <v>14870</v>
      </c>
      <c r="F124" s="1">
        <v>2023</v>
      </c>
      <c r="G124" s="1" t="s">
        <v>14871</v>
      </c>
      <c r="H124" s="1" t="str">
        <f>HYPERLINK("http://dx.doi.org/10.1109/ICDL55364.2023.10364374","http://dx.doi.org/10.1109/ICDL55364.2023.10364374")</f>
        <v>http://dx.doi.org/10.1109/ICDL55364.2023.10364374</v>
      </c>
      <c r="I124" s="1" t="s">
        <v>14875</v>
      </c>
      <c r="J124" s="1" t="s">
        <v>1507</v>
      </c>
      <c r="K124" s="1" t="s">
        <v>42</v>
      </c>
      <c r="L124" s="1" t="s">
        <v>5552</v>
      </c>
    </row>
    <row r="125" spans="1:12" x14ac:dyDescent="0.3">
      <c r="A125" s="1">
        <v>85</v>
      </c>
      <c r="B125" t="s">
        <v>12118</v>
      </c>
      <c r="C125">
        <v>89</v>
      </c>
      <c r="D125" s="1" t="s">
        <v>11591</v>
      </c>
      <c r="E125" s="1" t="s">
        <v>11593</v>
      </c>
      <c r="F125" s="1">
        <v>2018</v>
      </c>
      <c r="G125" s="1" t="s">
        <v>7674</v>
      </c>
      <c r="H125" s="1" t="str">
        <f>HYPERLINK("http://dx.doi.org/10.1371/journal.pbio.2005513","http://dx.doi.org/10.1371/journal.pbio.2005513")</f>
        <v>http://dx.doi.org/10.1371/journal.pbio.2005513</v>
      </c>
      <c r="I125" s="1" t="s">
        <v>11595</v>
      </c>
      <c r="J125" s="1" t="s">
        <v>1507</v>
      </c>
      <c r="K125" s="1" t="s">
        <v>42</v>
      </c>
      <c r="L125" s="1" t="s">
        <v>56</v>
      </c>
    </row>
    <row r="126" spans="1:12" x14ac:dyDescent="0.3">
      <c r="A126">
        <v>85</v>
      </c>
      <c r="B126" t="s">
        <v>12204</v>
      </c>
      <c r="C126">
        <v>300</v>
      </c>
      <c r="D126" t="s">
        <v>12522</v>
      </c>
      <c r="E126" t="s">
        <v>12520</v>
      </c>
      <c r="F126">
        <v>2023</v>
      </c>
      <c r="G126" t="s">
        <v>12520</v>
      </c>
      <c r="H126" t="s">
        <v>12519</v>
      </c>
      <c r="I126" t="s">
        <v>12516</v>
      </c>
      <c r="K126" t="s">
        <v>42</v>
      </c>
      <c r="L126" t="s">
        <v>12512</v>
      </c>
    </row>
    <row r="127" spans="1:12" x14ac:dyDescent="0.3">
      <c r="A127">
        <v>86</v>
      </c>
      <c r="B127" t="s">
        <v>12204</v>
      </c>
      <c r="C127">
        <v>304</v>
      </c>
      <c r="D127" t="s">
        <v>12462</v>
      </c>
      <c r="E127" t="s">
        <v>1238</v>
      </c>
      <c r="F127">
        <v>2023</v>
      </c>
      <c r="G127" t="s">
        <v>91</v>
      </c>
      <c r="H127" t="s">
        <v>1240</v>
      </c>
      <c r="I127" t="s">
        <v>1243</v>
      </c>
      <c r="J127" t="s">
        <v>1244</v>
      </c>
      <c r="K127" t="s">
        <v>42</v>
      </c>
      <c r="L127" t="s">
        <v>12252</v>
      </c>
    </row>
    <row r="128" spans="1:12" x14ac:dyDescent="0.3">
      <c r="A128" s="1">
        <v>87</v>
      </c>
      <c r="B128" t="s">
        <v>12118</v>
      </c>
      <c r="C128">
        <v>90</v>
      </c>
      <c r="D128" s="1" t="s">
        <v>5241</v>
      </c>
      <c r="E128" s="1" t="s">
        <v>5243</v>
      </c>
      <c r="F128" s="1">
        <v>2023</v>
      </c>
      <c r="G128" s="1" t="s">
        <v>5244</v>
      </c>
      <c r="H128" s="1" t="str">
        <f>HYPERLINK("http://dx.doi.org/10.1021/acs.energyfuels.2c04274","http://dx.doi.org/10.1021/acs.energyfuels.2c04274")</f>
        <v>http://dx.doi.org/10.1021/acs.energyfuels.2c04274</v>
      </c>
      <c r="I128" s="1" t="s">
        <v>5246</v>
      </c>
      <c r="J128" s="1" t="s">
        <v>1507</v>
      </c>
      <c r="K128" s="1" t="s">
        <v>42</v>
      </c>
      <c r="L128" s="1" t="s">
        <v>56</v>
      </c>
    </row>
    <row r="129" spans="1:12" x14ac:dyDescent="0.3">
      <c r="A129">
        <v>87</v>
      </c>
      <c r="B129" t="s">
        <v>12204</v>
      </c>
      <c r="C129">
        <v>306</v>
      </c>
      <c r="D129" t="s">
        <v>12749</v>
      </c>
      <c r="E129" t="s">
        <v>497</v>
      </c>
      <c r="F129">
        <v>2023</v>
      </c>
      <c r="G129" t="s">
        <v>498</v>
      </c>
      <c r="I129" t="s">
        <v>502</v>
      </c>
      <c r="J129" t="s">
        <v>503</v>
      </c>
      <c r="K129" t="s">
        <v>42</v>
      </c>
      <c r="L129" t="s">
        <v>12252</v>
      </c>
    </row>
    <row r="130" spans="1:12" x14ac:dyDescent="0.3">
      <c r="A130">
        <v>88</v>
      </c>
      <c r="B130" t="s">
        <v>12204</v>
      </c>
      <c r="C130">
        <v>308</v>
      </c>
      <c r="D130" t="s">
        <v>12239</v>
      </c>
      <c r="E130" t="s">
        <v>895</v>
      </c>
      <c r="F130">
        <v>2018</v>
      </c>
      <c r="G130" t="s">
        <v>896</v>
      </c>
      <c r="H130" t="s">
        <v>897</v>
      </c>
      <c r="I130" t="s">
        <v>899</v>
      </c>
      <c r="J130" t="s">
        <v>900</v>
      </c>
      <c r="K130" t="s">
        <v>42</v>
      </c>
      <c r="L130" t="s">
        <v>56</v>
      </c>
    </row>
    <row r="131" spans="1:12" x14ac:dyDescent="0.3">
      <c r="A131">
        <v>89</v>
      </c>
      <c r="B131" t="s">
        <v>12204</v>
      </c>
      <c r="C131">
        <v>311</v>
      </c>
      <c r="D131" t="s">
        <v>12348</v>
      </c>
      <c r="E131" t="s">
        <v>943</v>
      </c>
      <c r="F131">
        <v>2023</v>
      </c>
      <c r="G131" t="s">
        <v>944</v>
      </c>
      <c r="H131" t="s">
        <v>945</v>
      </c>
      <c r="I131" t="s">
        <v>948</v>
      </c>
      <c r="J131" t="s">
        <v>949</v>
      </c>
      <c r="K131" t="s">
        <v>42</v>
      </c>
      <c r="L131" t="s">
        <v>56</v>
      </c>
    </row>
    <row r="132" spans="1:12" x14ac:dyDescent="0.3">
      <c r="A132">
        <v>90</v>
      </c>
      <c r="B132" t="s">
        <v>12204</v>
      </c>
      <c r="C132">
        <v>316</v>
      </c>
      <c r="D132" t="s">
        <v>1126</v>
      </c>
      <c r="E132" t="s">
        <v>1127</v>
      </c>
      <c r="F132">
        <v>2021</v>
      </c>
      <c r="G132" t="s">
        <v>1016</v>
      </c>
      <c r="H132" t="s">
        <v>1128</v>
      </c>
      <c r="I132" t="s">
        <v>1131</v>
      </c>
      <c r="J132" t="s">
        <v>1132</v>
      </c>
      <c r="K132" t="s">
        <v>42</v>
      </c>
      <c r="L132" t="s">
        <v>56</v>
      </c>
    </row>
    <row r="133" spans="1:12" x14ac:dyDescent="0.3">
      <c r="A133" s="1">
        <v>90</v>
      </c>
      <c r="B133" t="s">
        <v>12118</v>
      </c>
      <c r="C133">
        <v>91</v>
      </c>
      <c r="D133" s="1" t="s">
        <v>11656</v>
      </c>
      <c r="E133" s="1" t="s">
        <v>11658</v>
      </c>
      <c r="F133" s="1">
        <v>2018</v>
      </c>
      <c r="G133" s="1" t="s">
        <v>11659</v>
      </c>
      <c r="H133" s="1" t="s">
        <v>1507</v>
      </c>
      <c r="I133" s="1" t="s">
        <v>11661</v>
      </c>
      <c r="J133" s="1" t="s">
        <v>1507</v>
      </c>
      <c r="K133" s="1" t="s">
        <v>42</v>
      </c>
      <c r="L133" s="1" t="s">
        <v>56</v>
      </c>
    </row>
    <row r="134" spans="1:12" x14ac:dyDescent="0.3">
      <c r="A134">
        <v>91</v>
      </c>
      <c r="B134" t="s">
        <v>12204</v>
      </c>
      <c r="C134">
        <v>321</v>
      </c>
      <c r="D134" t="s">
        <v>12343</v>
      </c>
      <c r="E134" t="s">
        <v>1292</v>
      </c>
      <c r="F134">
        <v>2022</v>
      </c>
      <c r="G134" t="s">
        <v>896</v>
      </c>
      <c r="H134" t="s">
        <v>1293</v>
      </c>
      <c r="I134" t="s">
        <v>1295</v>
      </c>
      <c r="J134" t="s">
        <v>1296</v>
      </c>
      <c r="K134" t="s">
        <v>42</v>
      </c>
      <c r="L134" t="s">
        <v>56</v>
      </c>
    </row>
    <row r="135" spans="1:12" x14ac:dyDescent="0.3">
      <c r="A135" s="1">
        <v>91</v>
      </c>
      <c r="B135" t="s">
        <v>12118</v>
      </c>
      <c r="C135">
        <v>92</v>
      </c>
      <c r="D135" s="1" t="s">
        <v>8727</v>
      </c>
      <c r="E135" s="1" t="s">
        <v>8729</v>
      </c>
      <c r="F135" s="1">
        <v>2021</v>
      </c>
      <c r="G135" s="1" t="s">
        <v>8730</v>
      </c>
      <c r="H135" s="1" t="str">
        <f>HYPERLINK("http://dx.doi.org/10.1093/jla/laaa004","http://dx.doi.org/10.1093/jla/laaa004")</f>
        <v>http://dx.doi.org/10.1093/jla/laaa004</v>
      </c>
      <c r="I135" s="1" t="s">
        <v>8732</v>
      </c>
      <c r="J135" s="1" t="s">
        <v>1507</v>
      </c>
      <c r="K135" s="1" t="s">
        <v>42</v>
      </c>
      <c r="L135" s="1" t="s">
        <v>56</v>
      </c>
    </row>
    <row r="136" spans="1:12" x14ac:dyDescent="0.3">
      <c r="A136">
        <v>92</v>
      </c>
      <c r="B136" t="s">
        <v>12204</v>
      </c>
      <c r="C136">
        <v>323</v>
      </c>
      <c r="D136" t="s">
        <v>13318</v>
      </c>
      <c r="E136" t="s">
        <v>456</v>
      </c>
      <c r="F136">
        <v>2023</v>
      </c>
      <c r="G136" t="s">
        <v>457</v>
      </c>
      <c r="H136" t="s">
        <v>458</v>
      </c>
      <c r="I136" t="s">
        <v>461</v>
      </c>
      <c r="J136" t="s">
        <v>462</v>
      </c>
      <c r="K136" t="s">
        <v>42</v>
      </c>
      <c r="L136" t="s">
        <v>56</v>
      </c>
    </row>
    <row r="137" spans="1:12" x14ac:dyDescent="0.3">
      <c r="A137">
        <v>93</v>
      </c>
      <c r="B137" t="s">
        <v>12204</v>
      </c>
      <c r="C137">
        <v>329</v>
      </c>
      <c r="D137" t="s">
        <v>1346</v>
      </c>
      <c r="E137" t="s">
        <v>1347</v>
      </c>
      <c r="F137">
        <v>2023</v>
      </c>
      <c r="G137" t="s">
        <v>1348</v>
      </c>
      <c r="H137" t="s">
        <v>1349</v>
      </c>
      <c r="I137" t="s">
        <v>1352</v>
      </c>
      <c r="J137" t="s">
        <v>1353</v>
      </c>
      <c r="K137" t="s">
        <v>42</v>
      </c>
      <c r="L137" t="s">
        <v>56</v>
      </c>
    </row>
    <row r="138" spans="1:12" x14ac:dyDescent="0.3">
      <c r="A138" s="1">
        <v>93</v>
      </c>
      <c r="B138" t="s">
        <v>12118</v>
      </c>
      <c r="C138">
        <v>93</v>
      </c>
      <c r="D138" s="1" t="s">
        <v>9033</v>
      </c>
      <c r="E138" s="1" t="s">
        <v>9035</v>
      </c>
      <c r="F138" s="1">
        <v>2021</v>
      </c>
      <c r="G138" s="1" t="s">
        <v>9036</v>
      </c>
      <c r="H138" s="1" t="s">
        <v>1507</v>
      </c>
      <c r="I138" s="1" t="s">
        <v>9038</v>
      </c>
      <c r="J138" s="1" t="s">
        <v>9037</v>
      </c>
      <c r="K138" s="1" t="s">
        <v>42</v>
      </c>
      <c r="L138" s="1" t="s">
        <v>56</v>
      </c>
    </row>
    <row r="139" spans="1:12" x14ac:dyDescent="0.3">
      <c r="A139">
        <v>94</v>
      </c>
      <c r="B139" t="s">
        <v>12204</v>
      </c>
      <c r="C139">
        <v>335</v>
      </c>
      <c r="D139" t="s">
        <v>13274</v>
      </c>
      <c r="E139" t="s">
        <v>276</v>
      </c>
      <c r="F139">
        <v>2023</v>
      </c>
      <c r="G139" t="s">
        <v>277</v>
      </c>
      <c r="I139" t="s">
        <v>280</v>
      </c>
      <c r="K139" t="s">
        <v>42</v>
      </c>
      <c r="L139" t="s">
        <v>12252</v>
      </c>
    </row>
    <row r="140" spans="1:12" x14ac:dyDescent="0.3">
      <c r="A140">
        <v>95</v>
      </c>
      <c r="B140" t="s">
        <v>12204</v>
      </c>
      <c r="C140">
        <v>340</v>
      </c>
      <c r="D140" t="s">
        <v>13572</v>
      </c>
      <c r="E140" t="s">
        <v>748</v>
      </c>
      <c r="F140">
        <v>2023</v>
      </c>
      <c r="G140" t="s">
        <v>749</v>
      </c>
      <c r="H140" t="s">
        <v>750</v>
      </c>
      <c r="I140" t="s">
        <v>753</v>
      </c>
      <c r="J140" t="s">
        <v>754</v>
      </c>
      <c r="K140" t="s">
        <v>42</v>
      </c>
      <c r="L140" t="s">
        <v>56</v>
      </c>
    </row>
    <row r="141" spans="1:12" x14ac:dyDescent="0.3">
      <c r="A141" s="1">
        <v>95</v>
      </c>
      <c r="B141" t="s">
        <v>12118</v>
      </c>
      <c r="C141">
        <v>96</v>
      </c>
      <c r="D141" s="1" t="s">
        <v>11926</v>
      </c>
      <c r="E141" s="1" t="s">
        <v>11928</v>
      </c>
      <c r="F141" s="1">
        <v>2018</v>
      </c>
      <c r="G141" s="1" t="s">
        <v>11929</v>
      </c>
      <c r="H141" s="1" t="s">
        <v>1507</v>
      </c>
      <c r="I141" s="1" t="s">
        <v>11932</v>
      </c>
      <c r="J141" s="1" t="s">
        <v>11930</v>
      </c>
      <c r="K141" s="1" t="s">
        <v>42</v>
      </c>
      <c r="L141" s="1" t="s">
        <v>56</v>
      </c>
    </row>
    <row r="142" spans="1:12" x14ac:dyDescent="0.3">
      <c r="A142" s="1">
        <v>96</v>
      </c>
      <c r="B142" t="s">
        <v>12118</v>
      </c>
      <c r="C142">
        <v>97</v>
      </c>
      <c r="D142" s="1" t="s">
        <v>5653</v>
      </c>
      <c r="E142" s="1" t="s">
        <v>5655</v>
      </c>
      <c r="F142" s="1">
        <v>2023</v>
      </c>
      <c r="G142" s="1" t="s">
        <v>5656</v>
      </c>
      <c r="H142" s="1" t="str">
        <f>HYPERLINK("http://dx.doi.org/10.1145/3627106.3627196","http://dx.doi.org/10.1145/3627106.3627196")</f>
        <v>http://dx.doi.org/10.1145/3627106.3627196</v>
      </c>
      <c r="I142" s="1" t="s">
        <v>5662</v>
      </c>
      <c r="J142" s="1" t="s">
        <v>5661</v>
      </c>
      <c r="K142" s="1" t="s">
        <v>42</v>
      </c>
      <c r="L142" s="1" t="s">
        <v>5552</v>
      </c>
    </row>
    <row r="143" spans="1:12" x14ac:dyDescent="0.3">
      <c r="A143">
        <v>96</v>
      </c>
      <c r="B143" t="s">
        <v>12204</v>
      </c>
      <c r="C143">
        <v>341</v>
      </c>
      <c r="D143" t="s">
        <v>12935</v>
      </c>
      <c r="E143" t="s">
        <v>767</v>
      </c>
      <c r="F143">
        <v>2023</v>
      </c>
      <c r="G143" t="s">
        <v>768</v>
      </c>
      <c r="I143" t="s">
        <v>771</v>
      </c>
      <c r="K143" t="s">
        <v>42</v>
      </c>
      <c r="L143" t="s">
        <v>12252</v>
      </c>
    </row>
    <row r="144" spans="1:12" x14ac:dyDescent="0.3">
      <c r="A144">
        <v>97</v>
      </c>
      <c r="B144" t="s">
        <v>12204</v>
      </c>
      <c r="C144">
        <v>343</v>
      </c>
      <c r="D144" t="s">
        <v>13184</v>
      </c>
      <c r="E144" t="s">
        <v>355</v>
      </c>
      <c r="F144">
        <v>2023</v>
      </c>
      <c r="G144" t="s">
        <v>356</v>
      </c>
      <c r="H144" t="s">
        <v>357</v>
      </c>
      <c r="I144" t="s">
        <v>360</v>
      </c>
      <c r="J144" t="s">
        <v>361</v>
      </c>
      <c r="K144" t="s">
        <v>42</v>
      </c>
      <c r="L144" t="s">
        <v>12252</v>
      </c>
    </row>
    <row r="145" spans="1:12" x14ac:dyDescent="0.3">
      <c r="A145" s="1">
        <v>97</v>
      </c>
      <c r="B145" t="s">
        <v>12118</v>
      </c>
      <c r="C145">
        <v>98</v>
      </c>
      <c r="D145" s="1" t="s">
        <v>13807</v>
      </c>
      <c r="E145" s="1" t="s">
        <v>13809</v>
      </c>
      <c r="F145" s="1">
        <v>2023</v>
      </c>
      <c r="G145" s="1" t="s">
        <v>3251</v>
      </c>
      <c r="H145" s="1" t="str">
        <f>HYPERLINK("http://dx.doi.org/10.1073/pnas.2316205120","http://dx.doi.org/10.1073/pnas.2316205120")</f>
        <v>http://dx.doi.org/10.1073/pnas.2316205120</v>
      </c>
      <c r="I145" s="1" t="s">
        <v>13812</v>
      </c>
      <c r="J145" s="1" t="s">
        <v>13810</v>
      </c>
      <c r="K145" s="1" t="s">
        <v>42</v>
      </c>
      <c r="L145" s="1" t="s">
        <v>56</v>
      </c>
    </row>
    <row r="146" spans="1:12" x14ac:dyDescent="0.3">
      <c r="A146">
        <v>98</v>
      </c>
      <c r="B146" t="s">
        <v>12204</v>
      </c>
      <c r="C146">
        <v>344</v>
      </c>
      <c r="D146" t="s">
        <v>13546</v>
      </c>
      <c r="E146" t="s">
        <v>131</v>
      </c>
      <c r="F146">
        <v>2023</v>
      </c>
      <c r="G146" t="s">
        <v>132</v>
      </c>
      <c r="H146" t="s">
        <v>133</v>
      </c>
      <c r="I146" t="s">
        <v>136</v>
      </c>
      <c r="J146" t="s">
        <v>137</v>
      </c>
      <c r="K146" t="s">
        <v>42</v>
      </c>
      <c r="L146" t="s">
        <v>12252</v>
      </c>
    </row>
    <row r="147" spans="1:12" x14ac:dyDescent="0.3">
      <c r="A147" s="1">
        <v>98</v>
      </c>
      <c r="B147" t="s">
        <v>12118</v>
      </c>
      <c r="C147">
        <v>99</v>
      </c>
      <c r="D147" s="1" t="s">
        <v>9156</v>
      </c>
      <c r="E147" s="1" t="s">
        <v>9158</v>
      </c>
      <c r="F147" s="1">
        <v>2021</v>
      </c>
      <c r="G147" s="1" t="s">
        <v>1625</v>
      </c>
      <c r="H147" s="1" t="str">
        <f>HYPERLINK("http://dx.doi.org/10.1109/ACCESS.2021.3100299","http://dx.doi.org/10.1109/ACCESS.2021.3100299")</f>
        <v>http://dx.doi.org/10.1109/ACCESS.2021.3100299</v>
      </c>
      <c r="I147" s="1" t="s">
        <v>9160</v>
      </c>
      <c r="J147" s="1" t="s">
        <v>9159</v>
      </c>
      <c r="K147" s="1" t="s">
        <v>42</v>
      </c>
      <c r="L147" s="1" t="s">
        <v>56</v>
      </c>
    </row>
    <row r="148" spans="1:12" x14ac:dyDescent="0.3">
      <c r="A148" s="1">
        <v>99</v>
      </c>
      <c r="B148" t="s">
        <v>12118</v>
      </c>
      <c r="C148">
        <v>100</v>
      </c>
      <c r="D148" s="1" t="s">
        <v>11309</v>
      </c>
      <c r="E148" s="1" t="s">
        <v>11311</v>
      </c>
      <c r="F148" s="1">
        <v>2019</v>
      </c>
      <c r="G148" s="1" t="s">
        <v>7697</v>
      </c>
      <c r="H148" s="1" t="s">
        <v>1507</v>
      </c>
      <c r="I148" s="1" t="s">
        <v>11312</v>
      </c>
      <c r="J148" s="1" t="s">
        <v>1507</v>
      </c>
      <c r="K148" s="1" t="s">
        <v>42</v>
      </c>
      <c r="L148" s="1" t="s">
        <v>56</v>
      </c>
    </row>
    <row r="149" spans="1:12" x14ac:dyDescent="0.3">
      <c r="A149">
        <v>99</v>
      </c>
      <c r="B149" t="s">
        <v>12204</v>
      </c>
      <c r="C149">
        <v>347</v>
      </c>
      <c r="D149" t="s">
        <v>12565</v>
      </c>
      <c r="E149" t="s">
        <v>1257</v>
      </c>
      <c r="F149">
        <v>2023</v>
      </c>
      <c r="G149" t="s">
        <v>1258</v>
      </c>
      <c r="H149" t="s">
        <v>1259</v>
      </c>
      <c r="I149" t="s">
        <v>12562</v>
      </c>
      <c r="J149" t="s">
        <v>1263</v>
      </c>
      <c r="K149" t="s">
        <v>42</v>
      </c>
      <c r="L149" t="s">
        <v>12252</v>
      </c>
    </row>
    <row r="150" spans="1:12" x14ac:dyDescent="0.3">
      <c r="A150">
        <v>100</v>
      </c>
      <c r="B150" t="s">
        <v>12204</v>
      </c>
      <c r="C150">
        <v>349</v>
      </c>
      <c r="D150" t="s">
        <v>13325</v>
      </c>
      <c r="E150" t="s">
        <v>685</v>
      </c>
      <c r="F150">
        <v>2023</v>
      </c>
      <c r="G150" t="s">
        <v>686</v>
      </c>
      <c r="H150" t="s">
        <v>687</v>
      </c>
      <c r="I150" t="s">
        <v>13322</v>
      </c>
      <c r="K150" t="s">
        <v>42</v>
      </c>
      <c r="L150" t="s">
        <v>56</v>
      </c>
    </row>
    <row r="151" spans="1:12" x14ac:dyDescent="0.3">
      <c r="A151" s="1">
        <v>100</v>
      </c>
      <c r="B151" t="s">
        <v>12118</v>
      </c>
      <c r="C151">
        <v>101</v>
      </c>
      <c r="D151" s="1" t="s">
        <v>7694</v>
      </c>
      <c r="E151" s="1" t="s">
        <v>7696</v>
      </c>
      <c r="F151" s="1">
        <v>2022</v>
      </c>
      <c r="G151" s="1" t="s">
        <v>7697</v>
      </c>
      <c r="H151" s="1" t="s">
        <v>1507</v>
      </c>
      <c r="I151" s="1" t="s">
        <v>7699</v>
      </c>
      <c r="J151" s="1" t="s">
        <v>1507</v>
      </c>
      <c r="K151" s="1" t="s">
        <v>42</v>
      </c>
      <c r="L151" s="1" t="s">
        <v>56</v>
      </c>
    </row>
    <row r="152" spans="1:12" x14ac:dyDescent="0.3">
      <c r="A152" s="1">
        <v>101</v>
      </c>
      <c r="B152" t="s">
        <v>12118</v>
      </c>
      <c r="C152">
        <v>102</v>
      </c>
      <c r="D152" s="1" t="s">
        <v>1697</v>
      </c>
      <c r="E152" s="1" t="s">
        <v>1699</v>
      </c>
      <c r="F152" s="1">
        <v>2023</v>
      </c>
      <c r="G152" s="1" t="s">
        <v>1657</v>
      </c>
      <c r="H152" s="1" t="str">
        <f>HYPERLINK("http://dx.doi.org/10.2196/51229","http://dx.doi.org/10.2196/51229")</f>
        <v>http://dx.doi.org/10.2196/51229</v>
      </c>
      <c r="I152" s="1" t="s">
        <v>1701</v>
      </c>
      <c r="J152" s="1" t="s">
        <v>1700</v>
      </c>
      <c r="K152" s="1" t="s">
        <v>42</v>
      </c>
      <c r="L152" s="1" t="s">
        <v>56</v>
      </c>
    </row>
    <row r="153" spans="1:12" x14ac:dyDescent="0.3">
      <c r="A153">
        <v>101</v>
      </c>
      <c r="B153" t="s">
        <v>12204</v>
      </c>
      <c r="C153">
        <v>353</v>
      </c>
      <c r="D153" t="s">
        <v>13377</v>
      </c>
      <c r="E153" t="s">
        <v>449</v>
      </c>
      <c r="F153">
        <v>2023</v>
      </c>
      <c r="G153" t="s">
        <v>34</v>
      </c>
      <c r="H153" t="s">
        <v>450</v>
      </c>
      <c r="I153" t="s">
        <v>452</v>
      </c>
      <c r="J153" t="s">
        <v>453</v>
      </c>
      <c r="K153" t="s">
        <v>42</v>
      </c>
      <c r="L153" t="s">
        <v>12252</v>
      </c>
    </row>
    <row r="154" spans="1:12" x14ac:dyDescent="0.3">
      <c r="A154">
        <v>102</v>
      </c>
      <c r="B154" t="s">
        <v>12204</v>
      </c>
      <c r="C154">
        <v>356</v>
      </c>
      <c r="D154" t="s">
        <v>13668</v>
      </c>
      <c r="E154" t="s">
        <v>344</v>
      </c>
      <c r="F154">
        <v>2023</v>
      </c>
      <c r="G154" t="s">
        <v>345</v>
      </c>
      <c r="H154" t="s">
        <v>346</v>
      </c>
      <c r="I154" t="s">
        <v>349</v>
      </c>
      <c r="J154" t="s">
        <v>350</v>
      </c>
      <c r="K154" t="s">
        <v>42</v>
      </c>
      <c r="L154" t="s">
        <v>56</v>
      </c>
    </row>
    <row r="155" spans="1:12" x14ac:dyDescent="0.3">
      <c r="A155" s="1">
        <v>102</v>
      </c>
      <c r="B155" t="s">
        <v>12118</v>
      </c>
      <c r="C155">
        <v>103</v>
      </c>
      <c r="D155" s="1" t="s">
        <v>7214</v>
      </c>
      <c r="E155" s="1" t="s">
        <v>7216</v>
      </c>
      <c r="F155" s="1">
        <v>2022</v>
      </c>
      <c r="G155" s="1" t="s">
        <v>7217</v>
      </c>
      <c r="H155" s="1" t="str">
        <f>HYPERLINK("http://dx.doi.org/10.2807/1560-7917.ES.2022.27.18.2200178","http://dx.doi.org/10.2807/1560-7917.ES.2022.27.18.2200178")</f>
        <v>http://dx.doi.org/10.2807/1560-7917.ES.2022.27.18.2200178</v>
      </c>
      <c r="I155" s="1" t="s">
        <v>7218</v>
      </c>
      <c r="J155" s="1" t="s">
        <v>1507</v>
      </c>
      <c r="K155" s="1" t="s">
        <v>42</v>
      </c>
      <c r="L155" s="1" t="s">
        <v>56</v>
      </c>
    </row>
    <row r="156" spans="1:12" x14ac:dyDescent="0.3">
      <c r="A156">
        <v>103</v>
      </c>
      <c r="B156" t="s">
        <v>12204</v>
      </c>
      <c r="C156">
        <v>361</v>
      </c>
      <c r="D156" t="s">
        <v>13081</v>
      </c>
      <c r="E156" t="s">
        <v>13079</v>
      </c>
      <c r="F156">
        <v>2023</v>
      </c>
      <c r="G156" t="s">
        <v>13078</v>
      </c>
      <c r="H156" t="s">
        <v>13077</v>
      </c>
      <c r="I156" t="s">
        <v>13073</v>
      </c>
      <c r="J156" t="s">
        <v>13072</v>
      </c>
      <c r="K156" t="s">
        <v>55</v>
      </c>
      <c r="L156" t="s">
        <v>12252</v>
      </c>
    </row>
    <row r="157" spans="1:12" x14ac:dyDescent="0.3">
      <c r="A157">
        <v>104</v>
      </c>
      <c r="B157" t="s">
        <v>12204</v>
      </c>
      <c r="C157">
        <v>362</v>
      </c>
      <c r="D157" t="s">
        <v>12745</v>
      </c>
      <c r="E157" t="s">
        <v>1104</v>
      </c>
      <c r="F157">
        <v>2023</v>
      </c>
      <c r="G157" t="s">
        <v>498</v>
      </c>
      <c r="I157" t="s">
        <v>1107</v>
      </c>
      <c r="J157" t="s">
        <v>1108</v>
      </c>
      <c r="K157" t="s">
        <v>42</v>
      </c>
      <c r="L157" t="s">
        <v>12252</v>
      </c>
    </row>
    <row r="158" spans="1:12" x14ac:dyDescent="0.3">
      <c r="A158" s="1">
        <v>104</v>
      </c>
      <c r="B158" t="s">
        <v>12118</v>
      </c>
      <c r="C158">
        <v>106</v>
      </c>
      <c r="D158" s="1" t="s">
        <v>5674</v>
      </c>
      <c r="E158" s="1" t="s">
        <v>5676</v>
      </c>
      <c r="F158" s="1">
        <v>2023</v>
      </c>
      <c r="G158" s="1" t="s">
        <v>5677</v>
      </c>
      <c r="H158" s="1" t="str">
        <f>HYPERLINK("http://dx.doi.org/10.1145/3604930.3605705","http://dx.doi.org/10.1145/3604930.3605705")</f>
        <v>http://dx.doi.org/10.1145/3604930.3605705</v>
      </c>
      <c r="I158" s="1" t="s">
        <v>5684</v>
      </c>
      <c r="J158" s="1" t="s">
        <v>5683</v>
      </c>
      <c r="K158" s="1" t="s">
        <v>42</v>
      </c>
      <c r="L158" s="1" t="s">
        <v>5552</v>
      </c>
    </row>
    <row r="159" spans="1:12" x14ac:dyDescent="0.3">
      <c r="A159">
        <v>105</v>
      </c>
      <c r="B159" t="s">
        <v>12204</v>
      </c>
      <c r="C159">
        <v>365</v>
      </c>
      <c r="D159" t="s">
        <v>12480</v>
      </c>
      <c r="E159" t="s">
        <v>1163</v>
      </c>
      <c r="F159">
        <v>2023</v>
      </c>
      <c r="G159" t="s">
        <v>996</v>
      </c>
      <c r="H159" t="s">
        <v>1165</v>
      </c>
      <c r="I159" t="s">
        <v>1167</v>
      </c>
      <c r="J159" t="s">
        <v>1168</v>
      </c>
      <c r="K159" t="s">
        <v>42</v>
      </c>
      <c r="L159" t="s">
        <v>56</v>
      </c>
    </row>
    <row r="160" spans="1:12" x14ac:dyDescent="0.3">
      <c r="A160" s="1">
        <v>105</v>
      </c>
      <c r="B160" t="s">
        <v>12118</v>
      </c>
      <c r="C160">
        <v>108</v>
      </c>
      <c r="D160" s="1" t="s">
        <v>10979</v>
      </c>
      <c r="E160" s="1" t="s">
        <v>10981</v>
      </c>
      <c r="F160" s="1">
        <v>2019</v>
      </c>
      <c r="G160" s="1" t="s">
        <v>10982</v>
      </c>
      <c r="H160" s="1" t="str">
        <f>HYPERLINK("http://dx.doi.org/10.22055/RALS.2019.14672","http://dx.doi.org/10.22055/RALS.2019.14672")</f>
        <v>http://dx.doi.org/10.22055/RALS.2019.14672</v>
      </c>
      <c r="I160" s="1" t="s">
        <v>10984</v>
      </c>
      <c r="J160" s="1" t="s">
        <v>10983</v>
      </c>
      <c r="K160" s="1" t="s">
        <v>42</v>
      </c>
      <c r="L160" s="1" t="s">
        <v>56</v>
      </c>
    </row>
    <row r="161" spans="1:12" x14ac:dyDescent="0.3">
      <c r="A161" s="1">
        <v>106</v>
      </c>
      <c r="B161" t="s">
        <v>12118</v>
      </c>
      <c r="C161">
        <v>109</v>
      </c>
      <c r="D161" s="1" t="s">
        <v>9020</v>
      </c>
      <c r="E161" s="1" t="s">
        <v>9022</v>
      </c>
      <c r="F161" s="1">
        <v>2021</v>
      </c>
      <c r="G161" s="1" t="s">
        <v>5166</v>
      </c>
      <c r="H161" s="1" t="str">
        <f>HYPERLINK("http://dx.doi.org/10.1108/JMLC-10-2020-0120","http://dx.doi.org/10.1108/JMLC-10-2020-0120")</f>
        <v>http://dx.doi.org/10.1108/JMLC-10-2020-0120</v>
      </c>
      <c r="I161" s="1" t="s">
        <v>9024</v>
      </c>
      <c r="J161" s="1" t="s">
        <v>9023</v>
      </c>
      <c r="K161" s="1" t="s">
        <v>42</v>
      </c>
      <c r="L161" s="1" t="s">
        <v>56</v>
      </c>
    </row>
    <row r="162" spans="1:12" x14ac:dyDescent="0.3">
      <c r="A162">
        <v>106</v>
      </c>
      <c r="B162" t="s">
        <v>12204</v>
      </c>
      <c r="C162">
        <v>366</v>
      </c>
      <c r="D162" t="s">
        <v>12327</v>
      </c>
      <c r="E162" t="s">
        <v>1035</v>
      </c>
      <c r="F162">
        <v>2022</v>
      </c>
      <c r="G162" t="s">
        <v>1036</v>
      </c>
      <c r="I162" t="s">
        <v>1039</v>
      </c>
      <c r="K162" t="s">
        <v>42</v>
      </c>
      <c r="L162" t="s">
        <v>12252</v>
      </c>
    </row>
    <row r="163" spans="1:12" x14ac:dyDescent="0.3">
      <c r="A163">
        <v>107</v>
      </c>
      <c r="B163" t="s">
        <v>12204</v>
      </c>
      <c r="C163">
        <v>367</v>
      </c>
      <c r="D163" t="s">
        <v>12739</v>
      </c>
      <c r="E163" t="s">
        <v>876</v>
      </c>
      <c r="F163">
        <v>2023</v>
      </c>
      <c r="G163" t="s">
        <v>877</v>
      </c>
      <c r="H163" t="s">
        <v>878</v>
      </c>
      <c r="I163" t="s">
        <v>12736</v>
      </c>
      <c r="J163" t="s">
        <v>882</v>
      </c>
      <c r="K163" t="s">
        <v>42</v>
      </c>
      <c r="L163" t="s">
        <v>12252</v>
      </c>
    </row>
    <row r="164" spans="1:12" x14ac:dyDescent="0.3">
      <c r="A164" s="1">
        <v>107</v>
      </c>
      <c r="B164" t="s">
        <v>12118</v>
      </c>
      <c r="C164">
        <v>111</v>
      </c>
      <c r="D164" s="1" t="s">
        <v>5163</v>
      </c>
      <c r="E164" s="1" t="s">
        <v>5165</v>
      </c>
      <c r="F164" s="1">
        <v>2023</v>
      </c>
      <c r="G164" s="1" t="s">
        <v>5166</v>
      </c>
      <c r="H164" s="1" t="str">
        <f>HYPERLINK("http://dx.doi.org/10.1108/JMLC-01-2023-0016","http://dx.doi.org/10.1108/JMLC-01-2023-0016")</f>
        <v>http://dx.doi.org/10.1108/JMLC-01-2023-0016</v>
      </c>
      <c r="I164" s="1" t="s">
        <v>5168</v>
      </c>
      <c r="J164" s="1" t="s">
        <v>5167</v>
      </c>
      <c r="K164" s="1" t="s">
        <v>42</v>
      </c>
      <c r="L164" s="1" t="s">
        <v>56</v>
      </c>
    </row>
    <row r="165" spans="1:12" x14ac:dyDescent="0.3">
      <c r="A165" s="1">
        <v>108</v>
      </c>
      <c r="B165" t="s">
        <v>12118</v>
      </c>
      <c r="C165">
        <v>112</v>
      </c>
      <c r="D165" s="1" t="s">
        <v>5163</v>
      </c>
      <c r="E165" s="1" t="s">
        <v>5306</v>
      </c>
      <c r="F165" s="1">
        <v>2023</v>
      </c>
      <c r="G165" s="1" t="s">
        <v>5166</v>
      </c>
      <c r="H165" s="1" t="str">
        <f>HYPERLINK("http://dx.doi.org/10.1108/JMLC-01-2023-0004","http://dx.doi.org/10.1108/JMLC-01-2023-0004")</f>
        <v>http://dx.doi.org/10.1108/JMLC-01-2023-0004</v>
      </c>
      <c r="I165" s="1" t="s">
        <v>5308</v>
      </c>
      <c r="J165" s="1" t="s">
        <v>5307</v>
      </c>
      <c r="K165" s="1" t="s">
        <v>42</v>
      </c>
      <c r="L165" s="1" t="s">
        <v>56</v>
      </c>
    </row>
    <row r="166" spans="1:12" x14ac:dyDescent="0.3">
      <c r="A166">
        <v>108</v>
      </c>
      <c r="B166" t="s">
        <v>12204</v>
      </c>
      <c r="C166">
        <v>368</v>
      </c>
      <c r="D166" t="s">
        <v>12384</v>
      </c>
      <c r="E166" t="s">
        <v>888</v>
      </c>
      <c r="F166">
        <v>2023</v>
      </c>
      <c r="G166" t="s">
        <v>252</v>
      </c>
      <c r="H166" t="s">
        <v>889</v>
      </c>
      <c r="I166" t="s">
        <v>892</v>
      </c>
      <c r="J166" t="s">
        <v>893</v>
      </c>
      <c r="K166" t="s">
        <v>42</v>
      </c>
      <c r="L166" t="s">
        <v>56</v>
      </c>
    </row>
    <row r="167" spans="1:12" x14ac:dyDescent="0.3">
      <c r="A167">
        <v>109</v>
      </c>
      <c r="B167" t="s">
        <v>12204</v>
      </c>
      <c r="C167">
        <v>381</v>
      </c>
      <c r="D167" t="s">
        <v>12408</v>
      </c>
      <c r="E167" t="s">
        <v>1187</v>
      </c>
      <c r="F167">
        <v>2023</v>
      </c>
      <c r="G167" t="s">
        <v>1188</v>
      </c>
      <c r="H167" t="s">
        <v>1189</v>
      </c>
      <c r="I167" t="s">
        <v>1192</v>
      </c>
      <c r="J167" t="s">
        <v>1193</v>
      </c>
      <c r="K167" t="s">
        <v>42</v>
      </c>
      <c r="L167" t="s">
        <v>56</v>
      </c>
    </row>
    <row r="168" spans="1:12" x14ac:dyDescent="0.3">
      <c r="A168" s="1">
        <v>109</v>
      </c>
      <c r="B168" t="s">
        <v>12118</v>
      </c>
      <c r="C168">
        <v>110</v>
      </c>
      <c r="D168" s="1" t="s">
        <v>5163</v>
      </c>
      <c r="E168" s="1" t="s">
        <v>6913</v>
      </c>
      <c r="F168" s="1">
        <v>2022</v>
      </c>
      <c r="G168" s="1" t="s">
        <v>5166</v>
      </c>
      <c r="H168" s="1" t="str">
        <f>HYPERLINK("http://dx.doi.org/10.1108/JMLC-07-2022-0102","http://dx.doi.org/10.1108/JMLC-07-2022-0102")</f>
        <v>http://dx.doi.org/10.1108/JMLC-07-2022-0102</v>
      </c>
      <c r="I168" s="1" t="s">
        <v>6915</v>
      </c>
      <c r="J168" s="1" t="s">
        <v>6914</v>
      </c>
      <c r="K168" s="1" t="s">
        <v>42</v>
      </c>
      <c r="L168" s="1" t="s">
        <v>56</v>
      </c>
    </row>
    <row r="169" spans="1:12" x14ac:dyDescent="0.3">
      <c r="A169">
        <v>110</v>
      </c>
      <c r="B169" t="s">
        <v>12204</v>
      </c>
      <c r="C169">
        <v>383</v>
      </c>
      <c r="D169" t="s">
        <v>12725</v>
      </c>
      <c r="E169" t="s">
        <v>806</v>
      </c>
      <c r="F169">
        <v>2023</v>
      </c>
      <c r="G169" t="s">
        <v>807</v>
      </c>
      <c r="H169" t="s">
        <v>809</v>
      </c>
      <c r="I169" t="s">
        <v>812</v>
      </c>
      <c r="J169" t="s">
        <v>813</v>
      </c>
      <c r="K169" t="s">
        <v>42</v>
      </c>
      <c r="L169" t="s">
        <v>12252</v>
      </c>
    </row>
    <row r="170" spans="1:12" x14ac:dyDescent="0.3">
      <c r="A170" s="1">
        <v>111</v>
      </c>
      <c r="B170" t="s">
        <v>12118</v>
      </c>
      <c r="C170">
        <v>113</v>
      </c>
      <c r="D170" s="1" t="s">
        <v>2499</v>
      </c>
      <c r="E170" s="1" t="s">
        <v>2501</v>
      </c>
      <c r="F170" s="1">
        <v>2023</v>
      </c>
      <c r="G170" s="1" t="s">
        <v>2502</v>
      </c>
      <c r="H170" s="1" t="str">
        <f>HYPERLINK("http://dx.doi.org/10.1186/s12909-023-04832-x","http://dx.doi.org/10.1186/s12909-023-04832-x")</f>
        <v>http://dx.doi.org/10.1186/s12909-023-04832-x</v>
      </c>
      <c r="I170" s="1" t="s">
        <v>2504</v>
      </c>
      <c r="J170" s="1" t="s">
        <v>2503</v>
      </c>
      <c r="K170" s="1" t="s">
        <v>42</v>
      </c>
      <c r="L170" s="1" t="s">
        <v>56</v>
      </c>
    </row>
    <row r="171" spans="1:12" x14ac:dyDescent="0.3">
      <c r="A171">
        <v>111</v>
      </c>
      <c r="B171" t="s">
        <v>12204</v>
      </c>
      <c r="C171">
        <v>389</v>
      </c>
      <c r="D171" t="s">
        <v>12530</v>
      </c>
      <c r="E171" t="s">
        <v>1025</v>
      </c>
      <c r="F171">
        <v>2023</v>
      </c>
      <c r="G171" t="s">
        <v>1026</v>
      </c>
      <c r="H171" t="s">
        <v>1027</v>
      </c>
      <c r="I171" t="s">
        <v>12527</v>
      </c>
      <c r="J171" t="s">
        <v>1030</v>
      </c>
      <c r="K171" t="s">
        <v>42</v>
      </c>
      <c r="L171" t="s">
        <v>12252</v>
      </c>
    </row>
    <row r="172" spans="1:12" x14ac:dyDescent="0.3">
      <c r="A172">
        <v>112</v>
      </c>
      <c r="B172" t="s">
        <v>12204</v>
      </c>
      <c r="C172">
        <v>399</v>
      </c>
      <c r="D172" t="s">
        <v>12709</v>
      </c>
      <c r="E172" t="s">
        <v>849</v>
      </c>
      <c r="F172">
        <v>2023</v>
      </c>
      <c r="G172" t="s">
        <v>127</v>
      </c>
      <c r="H172" t="s">
        <v>851</v>
      </c>
      <c r="I172" t="s">
        <v>854</v>
      </c>
      <c r="J172" t="s">
        <v>855</v>
      </c>
      <c r="K172" t="s">
        <v>42</v>
      </c>
      <c r="L172" t="s">
        <v>12252</v>
      </c>
    </row>
    <row r="173" spans="1:12" x14ac:dyDescent="0.3">
      <c r="A173" s="1">
        <v>112</v>
      </c>
      <c r="B173" t="s">
        <v>12118</v>
      </c>
      <c r="C173">
        <v>115</v>
      </c>
      <c r="D173" s="1" t="s">
        <v>6739</v>
      </c>
      <c r="E173" s="1" t="s">
        <v>6741</v>
      </c>
      <c r="F173" s="1">
        <v>2023</v>
      </c>
      <c r="G173" s="1" t="s">
        <v>4943</v>
      </c>
      <c r="H173" s="1" t="str">
        <f>HYPERLINK("http://dx.doi.org/10.5551/jat.63389","http://dx.doi.org/10.5551/jat.63389")</f>
        <v>http://dx.doi.org/10.5551/jat.63389</v>
      </c>
      <c r="I173" s="1" t="s">
        <v>6744</v>
      </c>
      <c r="J173" s="1" t="s">
        <v>6742</v>
      </c>
      <c r="K173" s="1" t="s">
        <v>42</v>
      </c>
      <c r="L173" s="1" t="s">
        <v>56</v>
      </c>
    </row>
    <row r="174" spans="1:12" x14ac:dyDescent="0.3">
      <c r="A174" s="1">
        <v>114</v>
      </c>
      <c r="B174" t="s">
        <v>12118</v>
      </c>
      <c r="C174">
        <v>119</v>
      </c>
      <c r="D174" s="1" t="s">
        <v>5698</v>
      </c>
      <c r="E174" s="1" t="s">
        <v>58</v>
      </c>
      <c r="F174" s="1">
        <v>2023</v>
      </c>
      <c r="G174" s="1" t="s">
        <v>5700</v>
      </c>
      <c r="H174" s="1" t="str">
        <f>HYPERLINK("http://dx.doi.org/10.1145/3587102.3588814","http://dx.doi.org/10.1145/3587102.3588814")</f>
        <v>http://dx.doi.org/10.1145/3587102.3588814</v>
      </c>
      <c r="I174" s="1" t="s">
        <v>5707</v>
      </c>
      <c r="J174" s="1" t="s">
        <v>5706</v>
      </c>
      <c r="K174" s="1" t="s">
        <v>42</v>
      </c>
      <c r="L174" s="1" t="s">
        <v>5552</v>
      </c>
    </row>
    <row r="175" spans="1:12" x14ac:dyDescent="0.3">
      <c r="A175" s="1">
        <v>115</v>
      </c>
      <c r="B175" t="s">
        <v>12118</v>
      </c>
      <c r="C175">
        <v>120</v>
      </c>
      <c r="D175" s="1" t="s">
        <v>4813</v>
      </c>
      <c r="E175" s="1" t="s">
        <v>4815</v>
      </c>
      <c r="F175" s="1">
        <v>2023</v>
      </c>
      <c r="G175" s="1" t="s">
        <v>4816</v>
      </c>
      <c r="H175" s="1" t="str">
        <f>HYPERLINK("http://dx.doi.org/10.1002/ps.7557","http://dx.doi.org/10.1002/ps.7557")</f>
        <v>http://dx.doi.org/10.1002/ps.7557</v>
      </c>
      <c r="I175" s="1" t="s">
        <v>4819</v>
      </c>
      <c r="J175" s="1" t="s">
        <v>4817</v>
      </c>
      <c r="K175" s="1" t="s">
        <v>42</v>
      </c>
      <c r="L175" s="1" t="s">
        <v>56</v>
      </c>
    </row>
    <row r="176" spans="1:12" x14ac:dyDescent="0.3">
      <c r="A176">
        <v>116</v>
      </c>
      <c r="B176" t="s">
        <v>12204</v>
      </c>
      <c r="C176">
        <v>415</v>
      </c>
      <c r="D176" t="s">
        <v>13476</v>
      </c>
      <c r="E176" t="s">
        <v>571</v>
      </c>
      <c r="F176">
        <v>2023</v>
      </c>
      <c r="G176" t="s">
        <v>572</v>
      </c>
      <c r="H176" t="s">
        <v>573</v>
      </c>
      <c r="I176" t="s">
        <v>576</v>
      </c>
      <c r="J176" t="s">
        <v>577</v>
      </c>
      <c r="K176" t="s">
        <v>42</v>
      </c>
      <c r="L176" t="s">
        <v>56</v>
      </c>
    </row>
    <row r="177" spans="1:12" x14ac:dyDescent="0.3">
      <c r="A177" s="1">
        <v>116</v>
      </c>
      <c r="B177" t="s">
        <v>12118</v>
      </c>
      <c r="C177">
        <v>121</v>
      </c>
      <c r="D177" s="1" t="s">
        <v>4635</v>
      </c>
      <c r="E177" s="1" t="s">
        <v>4637</v>
      </c>
      <c r="F177" s="1">
        <v>2023</v>
      </c>
      <c r="G177" s="1" t="s">
        <v>2982</v>
      </c>
      <c r="H177" s="1" t="str">
        <f>HYPERLINK("http://dx.doi.org/10.1007/s00146-023-01710-4","http://dx.doi.org/10.1007/s00146-023-01710-4")</f>
        <v>http://dx.doi.org/10.1007/s00146-023-01710-4</v>
      </c>
      <c r="I177" s="1" t="s">
        <v>4639</v>
      </c>
      <c r="J177" s="1" t="s">
        <v>4638</v>
      </c>
      <c r="K177" s="1" t="s">
        <v>42</v>
      </c>
      <c r="L177" s="1" t="s">
        <v>1509</v>
      </c>
    </row>
    <row r="178" spans="1:12" x14ac:dyDescent="0.3">
      <c r="A178" s="1">
        <v>117</v>
      </c>
      <c r="B178" t="s">
        <v>12118</v>
      </c>
      <c r="C178">
        <v>122</v>
      </c>
      <c r="D178" s="1" t="s">
        <v>4293</v>
      </c>
      <c r="E178" s="1" t="s">
        <v>4295</v>
      </c>
      <c r="F178" s="1">
        <v>2023</v>
      </c>
      <c r="G178" s="1" t="s">
        <v>4296</v>
      </c>
      <c r="H178" s="1" t="str">
        <f>HYPERLINK("http://dx.doi.org/10.3847/1538-4365/acdee1","http://dx.doi.org/10.3847/1538-4365/acdee1")</f>
        <v>http://dx.doi.org/10.3847/1538-4365/acdee1</v>
      </c>
      <c r="I178" s="1" t="s">
        <v>4298</v>
      </c>
      <c r="J178" s="1" t="s">
        <v>1507</v>
      </c>
      <c r="K178" s="1" t="s">
        <v>42</v>
      </c>
      <c r="L178" s="1" t="s">
        <v>56</v>
      </c>
    </row>
    <row r="179" spans="1:12" x14ac:dyDescent="0.3">
      <c r="A179">
        <v>118</v>
      </c>
      <c r="B179" t="s">
        <v>12204</v>
      </c>
      <c r="C179">
        <v>417</v>
      </c>
      <c r="D179" t="s">
        <v>13177</v>
      </c>
      <c r="E179" t="s">
        <v>304</v>
      </c>
      <c r="F179">
        <v>2023</v>
      </c>
      <c r="G179" t="s">
        <v>305</v>
      </c>
      <c r="H179" t="s">
        <v>306</v>
      </c>
      <c r="I179" t="s">
        <v>309</v>
      </c>
      <c r="J179" t="s">
        <v>310</v>
      </c>
      <c r="K179" t="s">
        <v>42</v>
      </c>
      <c r="L179" t="s">
        <v>56</v>
      </c>
    </row>
    <row r="180" spans="1:12" x14ac:dyDescent="0.3">
      <c r="A180" s="1">
        <v>118</v>
      </c>
      <c r="B180" t="s">
        <v>12118</v>
      </c>
      <c r="C180">
        <v>124</v>
      </c>
      <c r="D180" s="1" t="s">
        <v>7117</v>
      </c>
      <c r="E180" s="1" t="s">
        <v>7119</v>
      </c>
      <c r="F180" s="1">
        <v>2022</v>
      </c>
      <c r="G180" s="1" t="s">
        <v>7120</v>
      </c>
      <c r="H180" s="1" t="str">
        <f>HYPERLINK("http://dx.doi.org/10.1016/j.vaccine.2022.05.033","http://dx.doi.org/10.1016/j.vaccine.2022.05.033")</f>
        <v>http://dx.doi.org/10.1016/j.vaccine.2022.05.033</v>
      </c>
      <c r="I180" s="1" t="s">
        <v>7123</v>
      </c>
      <c r="J180" s="1" t="s">
        <v>7121</v>
      </c>
      <c r="K180" s="1" t="s">
        <v>42</v>
      </c>
      <c r="L180" s="1" t="s">
        <v>56</v>
      </c>
    </row>
    <row r="181" spans="1:12" x14ac:dyDescent="0.3">
      <c r="A181">
        <v>121</v>
      </c>
      <c r="B181" t="s">
        <v>12204</v>
      </c>
      <c r="C181">
        <v>435</v>
      </c>
      <c r="D181" t="s">
        <v>112</v>
      </c>
      <c r="E181" t="s">
        <v>114</v>
      </c>
      <c r="F181">
        <v>2023</v>
      </c>
      <c r="G181" t="s">
        <v>115</v>
      </c>
      <c r="H181" t="s">
        <v>116</v>
      </c>
      <c r="I181" t="s">
        <v>12850</v>
      </c>
      <c r="J181" t="s">
        <v>120</v>
      </c>
      <c r="K181" t="s">
        <v>42</v>
      </c>
      <c r="L181" t="s">
        <v>12252</v>
      </c>
    </row>
    <row r="182" spans="1:12" x14ac:dyDescent="0.3">
      <c r="A182" s="1">
        <v>122</v>
      </c>
      <c r="B182" t="s">
        <v>12118</v>
      </c>
      <c r="C182">
        <v>130</v>
      </c>
      <c r="D182" s="1" t="s">
        <v>5737</v>
      </c>
      <c r="E182" s="1" t="s">
        <v>5739</v>
      </c>
      <c r="F182" s="1">
        <v>2023</v>
      </c>
      <c r="G182" s="1" t="s">
        <v>5740</v>
      </c>
      <c r="H182" s="1" t="str">
        <f>HYPERLINK("http://dx.doi.org/10.53761/1.20.7.01","http://dx.doi.org/10.53761/1.20.7.01")</f>
        <v>http://dx.doi.org/10.53761/1.20.7.01</v>
      </c>
      <c r="I182" s="1" t="s">
        <v>5743</v>
      </c>
      <c r="J182" s="1" t="s">
        <v>5741</v>
      </c>
      <c r="K182" s="1" t="s">
        <v>42</v>
      </c>
      <c r="L182" s="1" t="s">
        <v>56</v>
      </c>
    </row>
    <row r="183" spans="1:12" x14ac:dyDescent="0.3">
      <c r="A183">
        <v>122</v>
      </c>
      <c r="B183" t="s">
        <v>12204</v>
      </c>
      <c r="C183">
        <v>442</v>
      </c>
      <c r="D183" t="s">
        <v>12444</v>
      </c>
      <c r="E183" t="s">
        <v>1418</v>
      </c>
      <c r="F183">
        <v>2023</v>
      </c>
      <c r="G183" t="s">
        <v>1419</v>
      </c>
      <c r="H183" t="s">
        <v>1420</v>
      </c>
      <c r="I183" t="s">
        <v>12441</v>
      </c>
      <c r="J183" t="s">
        <v>1423</v>
      </c>
      <c r="K183" t="s">
        <v>42</v>
      </c>
      <c r="L183" t="s">
        <v>12252</v>
      </c>
    </row>
    <row r="184" spans="1:12" x14ac:dyDescent="0.3">
      <c r="A184">
        <v>123</v>
      </c>
      <c r="B184" t="s">
        <v>12204</v>
      </c>
      <c r="C184">
        <v>445</v>
      </c>
      <c r="D184" t="s">
        <v>12780</v>
      </c>
      <c r="E184" t="s">
        <v>223</v>
      </c>
      <c r="F184">
        <v>2023</v>
      </c>
      <c r="G184" t="s">
        <v>224</v>
      </c>
      <c r="H184" t="s">
        <v>225</v>
      </c>
      <c r="I184" t="s">
        <v>228</v>
      </c>
      <c r="K184" t="s">
        <v>42</v>
      </c>
      <c r="L184" t="s">
        <v>56</v>
      </c>
    </row>
    <row r="185" spans="1:12" x14ac:dyDescent="0.3">
      <c r="A185" s="1">
        <v>124</v>
      </c>
      <c r="B185" t="s">
        <v>12118</v>
      </c>
      <c r="C185">
        <v>133</v>
      </c>
      <c r="D185" s="1" t="s">
        <v>4529</v>
      </c>
      <c r="E185" s="1" t="s">
        <v>4531</v>
      </c>
      <c r="F185" s="1">
        <v>2023</v>
      </c>
      <c r="G185" s="1" t="s">
        <v>3083</v>
      </c>
      <c r="H185" s="1" t="str">
        <f>HYPERLINK("http://dx.doi.org/10.7759/cureus.41399","http://dx.doi.org/10.7759/cureus.41399")</f>
        <v>http://dx.doi.org/10.7759/cureus.41399</v>
      </c>
      <c r="I185" s="1" t="s">
        <v>4533</v>
      </c>
      <c r="J185" s="1" t="s">
        <v>4532</v>
      </c>
      <c r="K185" s="1" t="s">
        <v>42</v>
      </c>
      <c r="L185" s="1" t="s">
        <v>56</v>
      </c>
    </row>
    <row r="186" spans="1:12" x14ac:dyDescent="0.3">
      <c r="A186" s="1">
        <v>125</v>
      </c>
      <c r="B186" t="s">
        <v>12118</v>
      </c>
      <c r="C186">
        <v>134</v>
      </c>
      <c r="D186" s="1" t="s">
        <v>2703</v>
      </c>
      <c r="E186" s="1" t="s">
        <v>2705</v>
      </c>
      <c r="F186" s="1">
        <v>2023</v>
      </c>
      <c r="G186" s="1" t="s">
        <v>2706</v>
      </c>
      <c r="H186" s="1" t="str">
        <f>HYPERLINK("http://dx.doi.org/10.1128/jmbe.00153-23","http://dx.doi.org/10.1128/jmbe.00153-23")</f>
        <v>http://dx.doi.org/10.1128/jmbe.00153-23</v>
      </c>
      <c r="I186" s="1" t="s">
        <v>2709</v>
      </c>
      <c r="J186" s="1" t="s">
        <v>2707</v>
      </c>
      <c r="K186" s="1" t="s">
        <v>42</v>
      </c>
      <c r="L186" s="1" t="s">
        <v>56</v>
      </c>
    </row>
    <row r="187" spans="1:12" x14ac:dyDescent="0.3">
      <c r="A187">
        <v>125</v>
      </c>
      <c r="B187" t="s">
        <v>12204</v>
      </c>
      <c r="C187">
        <v>452</v>
      </c>
      <c r="D187" t="s">
        <v>12980</v>
      </c>
      <c r="E187" t="s">
        <v>12978</v>
      </c>
      <c r="F187">
        <v>2023</v>
      </c>
      <c r="G187" t="s">
        <v>12977</v>
      </c>
      <c r="H187" t="s">
        <v>12976</v>
      </c>
      <c r="I187" t="s">
        <v>12972</v>
      </c>
      <c r="J187" t="s">
        <v>12971</v>
      </c>
      <c r="K187" t="s">
        <v>42</v>
      </c>
      <c r="L187" t="s">
        <v>56</v>
      </c>
    </row>
    <row r="188" spans="1:12" x14ac:dyDescent="0.3">
      <c r="A188">
        <v>126</v>
      </c>
      <c r="B188" t="s">
        <v>12204</v>
      </c>
      <c r="C188">
        <v>453</v>
      </c>
      <c r="D188" t="s">
        <v>786</v>
      </c>
      <c r="E188" t="s">
        <v>788</v>
      </c>
      <c r="F188">
        <v>2023</v>
      </c>
      <c r="G188" t="s">
        <v>383</v>
      </c>
      <c r="I188" t="s">
        <v>790</v>
      </c>
      <c r="J188" t="s">
        <v>791</v>
      </c>
      <c r="K188" t="s">
        <v>42</v>
      </c>
      <c r="L188" t="s">
        <v>12252</v>
      </c>
    </row>
    <row r="189" spans="1:12" x14ac:dyDescent="0.3">
      <c r="A189" s="1">
        <v>126</v>
      </c>
      <c r="B189" t="s">
        <v>12118</v>
      </c>
      <c r="C189">
        <v>135</v>
      </c>
      <c r="D189" s="1" t="s">
        <v>10865</v>
      </c>
      <c r="E189" s="1" t="s">
        <v>10867</v>
      </c>
      <c r="F189" s="1">
        <v>2019</v>
      </c>
      <c r="G189" s="1" t="s">
        <v>10868</v>
      </c>
      <c r="H189" s="1" t="str">
        <f>HYPERLINK("http://dx.doi.org/10.1186/s13054-019-2505-7","http://dx.doi.org/10.1186/s13054-019-2505-7")</f>
        <v>http://dx.doi.org/10.1186/s13054-019-2505-7</v>
      </c>
      <c r="I189" s="1" t="s">
        <v>10871</v>
      </c>
      <c r="J189" s="1" t="s">
        <v>10869</v>
      </c>
      <c r="K189" s="1" t="s">
        <v>42</v>
      </c>
      <c r="L189" s="1" t="s">
        <v>56</v>
      </c>
    </row>
    <row r="190" spans="1:12" x14ac:dyDescent="0.3">
      <c r="A190">
        <v>127</v>
      </c>
      <c r="B190" t="s">
        <v>12204</v>
      </c>
      <c r="C190">
        <v>456</v>
      </c>
      <c r="D190" t="s">
        <v>13568</v>
      </c>
      <c r="E190" t="s">
        <v>704</v>
      </c>
      <c r="F190">
        <v>2023</v>
      </c>
      <c r="G190" t="s">
        <v>705</v>
      </c>
      <c r="H190" t="s">
        <v>706</v>
      </c>
      <c r="I190" t="s">
        <v>709</v>
      </c>
      <c r="J190" t="s">
        <v>710</v>
      </c>
      <c r="K190" t="s">
        <v>42</v>
      </c>
      <c r="L190" t="s">
        <v>56</v>
      </c>
    </row>
    <row r="191" spans="1:12" x14ac:dyDescent="0.3">
      <c r="A191">
        <v>128</v>
      </c>
      <c r="B191" t="s">
        <v>12204</v>
      </c>
      <c r="C191">
        <v>457</v>
      </c>
      <c r="D191" t="s">
        <v>13660</v>
      </c>
      <c r="E191" t="s">
        <v>423</v>
      </c>
      <c r="F191">
        <v>2023</v>
      </c>
      <c r="G191" t="s">
        <v>424</v>
      </c>
      <c r="H191" t="s">
        <v>425</v>
      </c>
      <c r="I191" t="s">
        <v>428</v>
      </c>
      <c r="J191" t="s">
        <v>429</v>
      </c>
      <c r="K191" t="s">
        <v>42</v>
      </c>
      <c r="L191" t="s">
        <v>56</v>
      </c>
    </row>
    <row r="192" spans="1:12" x14ac:dyDescent="0.3">
      <c r="A192" s="1">
        <v>128</v>
      </c>
      <c r="B192" t="s">
        <v>12118</v>
      </c>
      <c r="C192">
        <v>136</v>
      </c>
      <c r="D192" s="1" t="s">
        <v>14896</v>
      </c>
      <c r="E192" s="1" t="s">
        <v>14898</v>
      </c>
      <c r="F192" s="1">
        <v>2023</v>
      </c>
      <c r="G192" s="1" t="s">
        <v>14899</v>
      </c>
      <c r="H192" s="1" t="str">
        <f>HYPERLINK("http://dx.doi.org/10.1145/3604915.3610646","http://dx.doi.org/10.1145/3604915.3610646")</f>
        <v>http://dx.doi.org/10.1145/3604915.3610646</v>
      </c>
      <c r="I192" s="1" t="s">
        <v>14903</v>
      </c>
      <c r="J192" s="1" t="s">
        <v>14902</v>
      </c>
      <c r="K192" s="1" t="s">
        <v>42</v>
      </c>
      <c r="L192" s="1" t="s">
        <v>5552</v>
      </c>
    </row>
    <row r="193" spans="1:12" x14ac:dyDescent="0.3">
      <c r="A193">
        <v>129</v>
      </c>
      <c r="B193" t="s">
        <v>12204</v>
      </c>
      <c r="C193">
        <v>470</v>
      </c>
      <c r="D193" t="s">
        <v>13716</v>
      </c>
      <c r="E193" t="s">
        <v>13714</v>
      </c>
      <c r="F193">
        <v>2023</v>
      </c>
      <c r="G193" t="s">
        <v>636</v>
      </c>
      <c r="H193" t="s">
        <v>13713</v>
      </c>
      <c r="I193" t="s">
        <v>13709</v>
      </c>
      <c r="J193" t="s">
        <v>13708</v>
      </c>
      <c r="K193" t="s">
        <v>42</v>
      </c>
      <c r="L193" t="s">
        <v>12252</v>
      </c>
    </row>
    <row r="194" spans="1:12" x14ac:dyDescent="0.3">
      <c r="A194" s="1">
        <v>129</v>
      </c>
      <c r="B194" t="s">
        <v>12118</v>
      </c>
      <c r="C194">
        <v>137</v>
      </c>
      <c r="D194" s="1" t="s">
        <v>7716</v>
      </c>
      <c r="E194" s="1" t="s">
        <v>7718</v>
      </c>
      <c r="F194" s="1">
        <v>2022</v>
      </c>
      <c r="G194" s="1" t="s">
        <v>7719</v>
      </c>
      <c r="H194" s="1" t="str">
        <f>HYPERLINK("http://dx.doi.org/10.1109/HST56032.2022.10025459","http://dx.doi.org/10.1109/HST56032.2022.10025459")</f>
        <v>http://dx.doi.org/10.1109/HST56032.2022.10025459</v>
      </c>
      <c r="I194" s="1" t="s">
        <v>7723</v>
      </c>
      <c r="J194" s="1" t="s">
        <v>1507</v>
      </c>
      <c r="K194" s="1" t="s">
        <v>42</v>
      </c>
      <c r="L194" s="1" t="s">
        <v>5552</v>
      </c>
    </row>
    <row r="195" spans="1:12" x14ac:dyDescent="0.3">
      <c r="A195">
        <v>130</v>
      </c>
      <c r="B195" t="s">
        <v>12204</v>
      </c>
      <c r="C195">
        <v>472</v>
      </c>
      <c r="D195" t="s">
        <v>13635</v>
      </c>
      <c r="E195" t="s">
        <v>433</v>
      </c>
      <c r="F195">
        <v>2023</v>
      </c>
      <c r="G195" t="s">
        <v>434</v>
      </c>
      <c r="H195" t="s">
        <v>435</v>
      </c>
      <c r="I195" t="s">
        <v>438</v>
      </c>
      <c r="K195" t="s">
        <v>42</v>
      </c>
      <c r="L195" t="s">
        <v>56</v>
      </c>
    </row>
    <row r="196" spans="1:12" x14ac:dyDescent="0.3">
      <c r="A196" s="1">
        <v>130</v>
      </c>
      <c r="B196" t="s">
        <v>12118</v>
      </c>
      <c r="C196">
        <v>138</v>
      </c>
      <c r="D196" s="1" t="s">
        <v>5791</v>
      </c>
      <c r="E196" s="1" t="s">
        <v>5793</v>
      </c>
      <c r="F196" s="1">
        <v>2023</v>
      </c>
      <c r="G196" s="1" t="s">
        <v>5794</v>
      </c>
      <c r="H196" s="1" t="str">
        <f>HYPERLINK("http://dx.doi.org/10.1145/3628356.3630117","http://dx.doi.org/10.1145/3628356.3630117")</f>
        <v>http://dx.doi.org/10.1145/3628356.3630117</v>
      </c>
      <c r="I196" s="1" t="s">
        <v>5799</v>
      </c>
      <c r="J196" s="1" t="s">
        <v>5798</v>
      </c>
      <c r="K196" s="1" t="s">
        <v>42</v>
      </c>
      <c r="L196" s="1" t="s">
        <v>5552</v>
      </c>
    </row>
    <row r="197" spans="1:12" x14ac:dyDescent="0.3">
      <c r="A197" s="1">
        <v>131</v>
      </c>
      <c r="B197" t="s">
        <v>12118</v>
      </c>
      <c r="C197">
        <v>139</v>
      </c>
      <c r="D197" s="1" t="s">
        <v>11320</v>
      </c>
      <c r="E197" s="1" t="s">
        <v>11322</v>
      </c>
      <c r="F197" s="1">
        <v>2019</v>
      </c>
      <c r="G197" s="1" t="s">
        <v>11323</v>
      </c>
      <c r="H197" s="1" t="str">
        <f>HYPERLINK("http://dx.doi.org/10.22481/praxis.v15i31.4681","http://dx.doi.org/10.22481/praxis.v15i31.4681")</f>
        <v>http://dx.doi.org/10.22481/praxis.v15i31.4681</v>
      </c>
      <c r="I197" s="1" t="s">
        <v>11326</v>
      </c>
      <c r="J197" s="1" t="s">
        <v>11325</v>
      </c>
      <c r="K197" s="1" t="s">
        <v>11324</v>
      </c>
      <c r="L197" s="1" t="s">
        <v>56</v>
      </c>
    </row>
    <row r="198" spans="1:12" x14ac:dyDescent="0.3">
      <c r="A198">
        <v>131</v>
      </c>
      <c r="B198" t="s">
        <v>12204</v>
      </c>
      <c r="C198">
        <v>476</v>
      </c>
      <c r="D198" t="s">
        <v>794</v>
      </c>
      <c r="E198" t="s">
        <v>796</v>
      </c>
      <c r="F198">
        <v>2023</v>
      </c>
      <c r="G198" t="s">
        <v>797</v>
      </c>
      <c r="H198" t="s">
        <v>798</v>
      </c>
      <c r="I198" t="s">
        <v>801</v>
      </c>
      <c r="J198" t="s">
        <v>802</v>
      </c>
      <c r="K198" t="s">
        <v>42</v>
      </c>
      <c r="L198" t="s">
        <v>56</v>
      </c>
    </row>
    <row r="199" spans="1:12" x14ac:dyDescent="0.3">
      <c r="A199">
        <v>132</v>
      </c>
      <c r="B199" t="s">
        <v>12204</v>
      </c>
      <c r="C199">
        <v>478</v>
      </c>
      <c r="D199" t="s">
        <v>12413</v>
      </c>
      <c r="E199" t="s">
        <v>1309</v>
      </c>
      <c r="F199">
        <v>2023</v>
      </c>
      <c r="G199" t="s">
        <v>1310</v>
      </c>
      <c r="H199" t="s">
        <v>1312</v>
      </c>
      <c r="I199" t="s">
        <v>1315</v>
      </c>
      <c r="J199" t="s">
        <v>1316</v>
      </c>
      <c r="K199" t="s">
        <v>42</v>
      </c>
      <c r="L199" t="s">
        <v>12262</v>
      </c>
    </row>
    <row r="200" spans="1:12" x14ac:dyDescent="0.3">
      <c r="A200" s="1">
        <v>132</v>
      </c>
      <c r="B200" t="s">
        <v>12118</v>
      </c>
      <c r="C200">
        <v>140</v>
      </c>
      <c r="D200" s="1" t="s">
        <v>5190</v>
      </c>
      <c r="E200" s="1" t="s">
        <v>5192</v>
      </c>
      <c r="F200" s="1">
        <v>2023</v>
      </c>
      <c r="G200" s="1" t="s">
        <v>1617</v>
      </c>
      <c r="H200" s="1" t="str">
        <f>HYPERLINK("http://dx.doi.org/10.3390/electronics12071735","http://dx.doi.org/10.3390/electronics12071735")</f>
        <v>http://dx.doi.org/10.3390/electronics12071735</v>
      </c>
      <c r="I200" s="1" t="s">
        <v>5194</v>
      </c>
      <c r="J200" s="1" t="s">
        <v>5193</v>
      </c>
      <c r="K200" s="1" t="s">
        <v>42</v>
      </c>
      <c r="L200" s="1" t="s">
        <v>56</v>
      </c>
    </row>
    <row r="201" spans="1:12" x14ac:dyDescent="0.3">
      <c r="A201">
        <v>133</v>
      </c>
      <c r="B201" t="s">
        <v>12204</v>
      </c>
      <c r="C201">
        <v>483</v>
      </c>
      <c r="D201" t="s">
        <v>12223</v>
      </c>
      <c r="E201" t="s">
        <v>1073</v>
      </c>
      <c r="F201">
        <v>2018</v>
      </c>
      <c r="G201" t="s">
        <v>1074</v>
      </c>
      <c r="H201" t="s">
        <v>1075</v>
      </c>
      <c r="I201" t="s">
        <v>1078</v>
      </c>
      <c r="J201" t="s">
        <v>1079</v>
      </c>
      <c r="K201" t="s">
        <v>42</v>
      </c>
      <c r="L201" t="s">
        <v>56</v>
      </c>
    </row>
    <row r="202" spans="1:12" x14ac:dyDescent="0.3">
      <c r="A202" s="1">
        <v>133</v>
      </c>
      <c r="B202" t="s">
        <v>12118</v>
      </c>
      <c r="C202">
        <v>141</v>
      </c>
      <c r="D202" s="1" t="s">
        <v>4544</v>
      </c>
      <c r="E202" s="1" t="s">
        <v>4546</v>
      </c>
      <c r="F202" s="1">
        <v>2023</v>
      </c>
      <c r="G202" s="1" t="s">
        <v>1617</v>
      </c>
      <c r="H202" s="1" t="str">
        <f>HYPERLINK("http://dx.doi.org/10.3390/electronics12132814","http://dx.doi.org/10.3390/electronics12132814")</f>
        <v>http://dx.doi.org/10.3390/electronics12132814</v>
      </c>
      <c r="I202" s="1" t="s">
        <v>4548</v>
      </c>
      <c r="J202" s="1" t="s">
        <v>4547</v>
      </c>
      <c r="K202" s="1" t="s">
        <v>42</v>
      </c>
      <c r="L202" s="1" t="s">
        <v>56</v>
      </c>
    </row>
    <row r="203" spans="1:12" x14ac:dyDescent="0.3">
      <c r="A203">
        <v>134</v>
      </c>
      <c r="B203" t="s">
        <v>12204</v>
      </c>
      <c r="C203">
        <v>485</v>
      </c>
      <c r="D203" t="s">
        <v>12827</v>
      </c>
      <c r="E203" t="s">
        <v>539</v>
      </c>
      <c r="F203">
        <v>2023</v>
      </c>
      <c r="G203" t="s">
        <v>540</v>
      </c>
      <c r="H203" t="s">
        <v>541</v>
      </c>
      <c r="I203" t="s">
        <v>544</v>
      </c>
      <c r="J203" t="s">
        <v>545</v>
      </c>
      <c r="K203" t="s">
        <v>42</v>
      </c>
      <c r="L203" t="s">
        <v>12252</v>
      </c>
    </row>
    <row r="204" spans="1:12" x14ac:dyDescent="0.3">
      <c r="A204" s="1">
        <v>134</v>
      </c>
      <c r="B204" t="s">
        <v>12118</v>
      </c>
      <c r="C204">
        <v>142</v>
      </c>
      <c r="D204" s="1" t="s">
        <v>7158</v>
      </c>
      <c r="E204" s="1" t="s">
        <v>7160</v>
      </c>
      <c r="F204" s="1">
        <v>2022</v>
      </c>
      <c r="G204" s="1" t="s">
        <v>2324</v>
      </c>
      <c r="H204" s="1" t="s">
        <v>1507</v>
      </c>
      <c r="I204" s="1" t="s">
        <v>7162</v>
      </c>
      <c r="J204" s="1" t="s">
        <v>1507</v>
      </c>
      <c r="K204" s="1" t="s">
        <v>42</v>
      </c>
      <c r="L204" s="1" t="s">
        <v>56</v>
      </c>
    </row>
    <row r="205" spans="1:12" x14ac:dyDescent="0.3">
      <c r="A205">
        <v>135</v>
      </c>
      <c r="B205" t="s">
        <v>12204</v>
      </c>
      <c r="C205">
        <v>489</v>
      </c>
      <c r="D205" t="s">
        <v>13263</v>
      </c>
      <c r="E205" t="s">
        <v>757</v>
      </c>
      <c r="F205">
        <v>2023</v>
      </c>
      <c r="G205" t="s">
        <v>366</v>
      </c>
      <c r="H205" t="s">
        <v>759</v>
      </c>
      <c r="I205" t="s">
        <v>761</v>
      </c>
      <c r="K205" t="s">
        <v>42</v>
      </c>
      <c r="L205" t="s">
        <v>56</v>
      </c>
    </row>
    <row r="206" spans="1:12" x14ac:dyDescent="0.3">
      <c r="A206" s="1">
        <v>136</v>
      </c>
      <c r="B206" t="s">
        <v>12118</v>
      </c>
      <c r="C206">
        <v>146</v>
      </c>
      <c r="D206" s="1" t="s">
        <v>3511</v>
      </c>
      <c r="E206" s="1" t="s">
        <v>3513</v>
      </c>
      <c r="F206" s="1">
        <v>2023</v>
      </c>
      <c r="G206" s="1" t="s">
        <v>3514</v>
      </c>
      <c r="H206" s="1" t="str">
        <f>HYPERLINK("http://dx.doi.org/10.3916/C77-2023-04","http://dx.doi.org/10.3916/C77-2023-04")</f>
        <v>http://dx.doi.org/10.3916/C77-2023-04</v>
      </c>
      <c r="I206" s="1" t="s">
        <v>3516</v>
      </c>
      <c r="J206" s="1" t="s">
        <v>3515</v>
      </c>
      <c r="K206" s="1" t="s">
        <v>55</v>
      </c>
      <c r="L206" s="1" t="s">
        <v>56</v>
      </c>
    </row>
    <row r="207" spans="1:12" x14ac:dyDescent="0.3">
      <c r="A207" s="1">
        <v>137</v>
      </c>
      <c r="B207" t="s">
        <v>12118</v>
      </c>
      <c r="C207">
        <v>147</v>
      </c>
      <c r="D207" s="1" t="s">
        <v>2757</v>
      </c>
      <c r="E207" s="1" t="s">
        <v>2759</v>
      </c>
      <c r="F207" s="1">
        <v>2023</v>
      </c>
      <c r="G207" s="1" t="s">
        <v>2760</v>
      </c>
      <c r="H207" s="1" t="str">
        <f>HYPERLINK("http://dx.doi.org/10.3390/s23229225","http://dx.doi.org/10.3390/s23229225")</f>
        <v>http://dx.doi.org/10.3390/s23229225</v>
      </c>
      <c r="I207" s="1" t="s">
        <v>2762</v>
      </c>
      <c r="J207" s="1" t="s">
        <v>2761</v>
      </c>
      <c r="K207" s="1" t="s">
        <v>42</v>
      </c>
      <c r="L207" s="1" t="s">
        <v>56</v>
      </c>
    </row>
    <row r="208" spans="1:12" x14ac:dyDescent="0.3">
      <c r="A208">
        <v>137</v>
      </c>
      <c r="B208" t="s">
        <v>12204</v>
      </c>
      <c r="C208">
        <v>492</v>
      </c>
      <c r="D208" t="s">
        <v>13173</v>
      </c>
      <c r="E208" t="s">
        <v>442</v>
      </c>
      <c r="F208">
        <v>2023</v>
      </c>
      <c r="G208" t="s">
        <v>305</v>
      </c>
      <c r="H208" t="s">
        <v>443</v>
      </c>
      <c r="I208" t="s">
        <v>446</v>
      </c>
      <c r="J208" t="s">
        <v>447</v>
      </c>
      <c r="K208" t="s">
        <v>42</v>
      </c>
      <c r="L208" t="s">
        <v>56</v>
      </c>
    </row>
    <row r="209" spans="1:12" x14ac:dyDescent="0.3">
      <c r="A209">
        <v>138</v>
      </c>
      <c r="B209" t="s">
        <v>12204</v>
      </c>
      <c r="C209">
        <v>493</v>
      </c>
      <c r="D209" t="s">
        <v>13313</v>
      </c>
      <c r="E209" t="s">
        <v>365</v>
      </c>
      <c r="F209">
        <v>2023</v>
      </c>
      <c r="G209" t="s">
        <v>366</v>
      </c>
      <c r="H209" t="s">
        <v>368</v>
      </c>
      <c r="I209" t="s">
        <v>371</v>
      </c>
      <c r="K209" t="s">
        <v>42</v>
      </c>
      <c r="L209" t="s">
        <v>56</v>
      </c>
    </row>
    <row r="210" spans="1:12" x14ac:dyDescent="0.3">
      <c r="A210" s="1">
        <v>138</v>
      </c>
      <c r="B210" t="s">
        <v>12118</v>
      </c>
      <c r="C210">
        <v>148</v>
      </c>
      <c r="D210" s="1" t="s">
        <v>2757</v>
      </c>
      <c r="E210" s="1" t="s">
        <v>4560</v>
      </c>
      <c r="F210" s="1">
        <v>2023</v>
      </c>
      <c r="G210" s="1" t="s">
        <v>2760</v>
      </c>
      <c r="H210" s="1" t="str">
        <f>HYPERLINK("http://dx.doi.org/10.3390/s23135899","http://dx.doi.org/10.3390/s23135899")</f>
        <v>http://dx.doi.org/10.3390/s23135899</v>
      </c>
      <c r="I210" s="1" t="s">
        <v>4563</v>
      </c>
      <c r="J210" s="1" t="s">
        <v>4561</v>
      </c>
      <c r="K210" s="1" t="s">
        <v>42</v>
      </c>
      <c r="L210" s="1" t="s">
        <v>56</v>
      </c>
    </row>
    <row r="211" spans="1:12" x14ac:dyDescent="0.3">
      <c r="A211" s="1">
        <v>139</v>
      </c>
      <c r="B211" t="s">
        <v>12118</v>
      </c>
      <c r="C211">
        <v>149</v>
      </c>
      <c r="D211" s="1" t="s">
        <v>4724</v>
      </c>
      <c r="E211" s="1" t="s">
        <v>4726</v>
      </c>
      <c r="F211" s="1">
        <v>2023</v>
      </c>
      <c r="G211" s="1" t="s">
        <v>1617</v>
      </c>
      <c r="H211" s="1" t="str">
        <f>HYPERLINK("http://dx.doi.org/10.3390/electronics12122722","http://dx.doi.org/10.3390/electronics12122722")</f>
        <v>http://dx.doi.org/10.3390/electronics12122722</v>
      </c>
      <c r="I211" s="1" t="s">
        <v>4729</v>
      </c>
      <c r="J211" s="1" t="s">
        <v>4727</v>
      </c>
      <c r="K211" s="1" t="s">
        <v>42</v>
      </c>
      <c r="L211" s="1" t="s">
        <v>56</v>
      </c>
    </row>
    <row r="212" spans="1:12" x14ac:dyDescent="0.3">
      <c r="A212">
        <v>139</v>
      </c>
      <c r="B212" t="s">
        <v>12204</v>
      </c>
      <c r="C212">
        <v>496</v>
      </c>
      <c r="D212" t="s">
        <v>13525</v>
      </c>
      <c r="E212" t="s">
        <v>590</v>
      </c>
      <c r="F212">
        <v>2023</v>
      </c>
      <c r="G212" t="s">
        <v>591</v>
      </c>
      <c r="H212" t="s">
        <v>592</v>
      </c>
      <c r="I212" t="s">
        <v>595</v>
      </c>
      <c r="J212" t="s">
        <v>596</v>
      </c>
      <c r="K212" t="s">
        <v>42</v>
      </c>
      <c r="L212" t="s">
        <v>12252</v>
      </c>
    </row>
    <row r="213" spans="1:12" x14ac:dyDescent="0.3">
      <c r="A213">
        <v>140</v>
      </c>
      <c r="B213" t="s">
        <v>12204</v>
      </c>
      <c r="C213">
        <v>497</v>
      </c>
      <c r="D213" t="s">
        <v>12786</v>
      </c>
      <c r="E213" t="s">
        <v>617</v>
      </c>
      <c r="F213">
        <v>2023</v>
      </c>
      <c r="G213" t="s">
        <v>618</v>
      </c>
      <c r="H213" t="s">
        <v>619</v>
      </c>
      <c r="I213" t="s">
        <v>622</v>
      </c>
      <c r="J213" t="s">
        <v>623</v>
      </c>
      <c r="K213" t="s">
        <v>42</v>
      </c>
      <c r="L213" t="s">
        <v>56</v>
      </c>
    </row>
    <row r="214" spans="1:12" x14ac:dyDescent="0.3">
      <c r="A214" s="1">
        <v>140</v>
      </c>
      <c r="B214" t="s">
        <v>12118</v>
      </c>
      <c r="C214">
        <v>151</v>
      </c>
      <c r="D214" s="1" t="s">
        <v>3312</v>
      </c>
      <c r="E214" s="1" t="s">
        <v>3314</v>
      </c>
      <c r="F214" s="1">
        <v>2023</v>
      </c>
      <c r="G214" s="1" t="s">
        <v>3315</v>
      </c>
      <c r="H214" s="1" t="str">
        <f>HYPERLINK("http://dx.doi.org/10.1001/jamanetworkopen.2023.36997","http://dx.doi.org/10.1001/jamanetworkopen.2023.36997")</f>
        <v>http://dx.doi.org/10.1001/jamanetworkopen.2023.36997</v>
      </c>
      <c r="I214" s="1" t="s">
        <v>3317</v>
      </c>
      <c r="J214" s="1" t="s">
        <v>1507</v>
      </c>
      <c r="K214" s="1" t="s">
        <v>42</v>
      </c>
      <c r="L214" s="1" t="s">
        <v>56</v>
      </c>
    </row>
    <row r="215" spans="1:12" x14ac:dyDescent="0.3">
      <c r="A215" s="1">
        <v>141</v>
      </c>
      <c r="B215" t="s">
        <v>12118</v>
      </c>
      <c r="C215">
        <v>152</v>
      </c>
      <c r="D215" s="1" t="s">
        <v>10267</v>
      </c>
      <c r="E215" s="1" t="s">
        <v>10269</v>
      </c>
      <c r="F215" s="1">
        <v>2020</v>
      </c>
      <c r="G215" s="1" t="s">
        <v>10270</v>
      </c>
      <c r="H215" s="1" t="s">
        <v>1507</v>
      </c>
      <c r="I215" s="1" t="s">
        <v>10272</v>
      </c>
      <c r="J215" s="1" t="s">
        <v>1507</v>
      </c>
      <c r="K215" s="1" t="s">
        <v>42</v>
      </c>
      <c r="L215" s="1" t="s">
        <v>56</v>
      </c>
    </row>
    <row r="216" spans="1:12" x14ac:dyDescent="0.3">
      <c r="A216" s="1">
        <v>142</v>
      </c>
      <c r="B216" t="s">
        <v>12118</v>
      </c>
      <c r="C216">
        <v>153</v>
      </c>
      <c r="D216" s="1" t="s">
        <v>2777</v>
      </c>
      <c r="E216" s="1" t="s">
        <v>2779</v>
      </c>
      <c r="F216" s="1">
        <v>2023</v>
      </c>
      <c r="G216" s="1" t="s">
        <v>2780</v>
      </c>
      <c r="H216" s="1" t="str">
        <f>HYPERLINK("http://dx.doi.org/10.1038/s44159-023-00241-5","http://dx.doi.org/10.1038/s44159-023-00241-5")</f>
        <v>http://dx.doi.org/10.1038/s44159-023-00241-5</v>
      </c>
      <c r="I216" s="1" t="s">
        <v>2782</v>
      </c>
      <c r="J216" s="1" t="s">
        <v>1507</v>
      </c>
      <c r="K216" s="1" t="s">
        <v>42</v>
      </c>
      <c r="L216" s="1" t="s">
        <v>56</v>
      </c>
    </row>
    <row r="217" spans="1:12" x14ac:dyDescent="0.3">
      <c r="A217">
        <v>143</v>
      </c>
      <c r="B217" t="s">
        <v>12204</v>
      </c>
      <c r="C217">
        <v>514</v>
      </c>
      <c r="D217" t="s">
        <v>12541</v>
      </c>
      <c r="E217" t="s">
        <v>1057</v>
      </c>
      <c r="F217">
        <v>2023</v>
      </c>
      <c r="G217" t="s">
        <v>996</v>
      </c>
      <c r="H217" t="s">
        <v>1059</v>
      </c>
      <c r="I217" t="s">
        <v>1062</v>
      </c>
      <c r="J217" t="s">
        <v>1063</v>
      </c>
      <c r="K217" t="s">
        <v>42</v>
      </c>
      <c r="L217" t="s">
        <v>56</v>
      </c>
    </row>
    <row r="218" spans="1:12" x14ac:dyDescent="0.3">
      <c r="A218" s="1">
        <v>143</v>
      </c>
      <c r="B218" t="s">
        <v>12118</v>
      </c>
      <c r="C218">
        <v>154</v>
      </c>
      <c r="D218" s="1" t="s">
        <v>3754</v>
      </c>
      <c r="E218" s="1" t="s">
        <v>3756</v>
      </c>
      <c r="F218" s="1">
        <v>2023</v>
      </c>
      <c r="G218" s="1" t="s">
        <v>3757</v>
      </c>
      <c r="H218" s="1" t="str">
        <f>HYPERLINK("http://dx.doi.org/10.34133/research.0189","http://dx.doi.org/10.34133/research.0189")</f>
        <v>http://dx.doi.org/10.34133/research.0189</v>
      </c>
      <c r="I218" s="1" t="s">
        <v>3758</v>
      </c>
      <c r="J218" s="1" t="s">
        <v>1507</v>
      </c>
      <c r="K218" s="1" t="s">
        <v>42</v>
      </c>
      <c r="L218" s="1" t="s">
        <v>56</v>
      </c>
    </row>
    <row r="219" spans="1:12" x14ac:dyDescent="0.3">
      <c r="A219">
        <v>144</v>
      </c>
      <c r="B219" t="s">
        <v>12204</v>
      </c>
      <c r="C219">
        <v>519</v>
      </c>
      <c r="D219" t="s">
        <v>13371</v>
      </c>
      <c r="E219" t="s">
        <v>33</v>
      </c>
      <c r="F219">
        <v>2023</v>
      </c>
      <c r="G219" t="s">
        <v>34</v>
      </c>
      <c r="H219" t="s">
        <v>35</v>
      </c>
      <c r="I219" t="s">
        <v>38</v>
      </c>
      <c r="J219" t="s">
        <v>39</v>
      </c>
      <c r="K219" t="s">
        <v>42</v>
      </c>
      <c r="L219" t="s">
        <v>12252</v>
      </c>
    </row>
    <row r="220" spans="1:12" x14ac:dyDescent="0.3">
      <c r="A220">
        <v>145</v>
      </c>
      <c r="B220" t="s">
        <v>12204</v>
      </c>
      <c r="C220">
        <v>527</v>
      </c>
      <c r="D220" t="s">
        <v>13588</v>
      </c>
      <c r="E220" t="s">
        <v>729</v>
      </c>
      <c r="F220">
        <v>2023</v>
      </c>
      <c r="G220" t="s">
        <v>636</v>
      </c>
      <c r="H220" t="s">
        <v>730</v>
      </c>
      <c r="I220" t="s">
        <v>733</v>
      </c>
      <c r="J220" t="s">
        <v>734</v>
      </c>
      <c r="K220" t="s">
        <v>42</v>
      </c>
      <c r="L220" t="s">
        <v>12252</v>
      </c>
    </row>
    <row r="221" spans="1:12" x14ac:dyDescent="0.3">
      <c r="A221" s="1">
        <v>145</v>
      </c>
      <c r="B221" t="s">
        <v>12118</v>
      </c>
      <c r="C221">
        <v>155</v>
      </c>
      <c r="D221" s="1" t="s">
        <v>7611</v>
      </c>
      <c r="E221" s="1" t="s">
        <v>7613</v>
      </c>
      <c r="F221" s="1">
        <v>2022</v>
      </c>
      <c r="G221" s="1" t="s">
        <v>7141</v>
      </c>
      <c r="H221" s="1" t="str">
        <f>HYPERLINK("http://dx.doi.org/10.1016/j.scitotenv.2022.153250","http://dx.doi.org/10.1016/j.scitotenv.2022.153250")</f>
        <v>http://dx.doi.org/10.1016/j.scitotenv.2022.153250</v>
      </c>
      <c r="I221" s="1" t="s">
        <v>7616</v>
      </c>
      <c r="J221" s="1" t="s">
        <v>7614</v>
      </c>
      <c r="K221" s="1" t="s">
        <v>42</v>
      </c>
      <c r="L221" s="1" t="s">
        <v>56</v>
      </c>
    </row>
    <row r="222" spans="1:12" x14ac:dyDescent="0.3">
      <c r="A222">
        <v>146</v>
      </c>
      <c r="B222" t="s">
        <v>12204</v>
      </c>
      <c r="C222">
        <v>540</v>
      </c>
      <c r="D222" t="s">
        <v>12697</v>
      </c>
      <c r="E222" t="s">
        <v>1119</v>
      </c>
      <c r="F222">
        <v>2023</v>
      </c>
      <c r="G222" t="s">
        <v>383</v>
      </c>
      <c r="I222" t="s">
        <v>12694</v>
      </c>
      <c r="J222" t="s">
        <v>1123</v>
      </c>
      <c r="K222" t="s">
        <v>42</v>
      </c>
      <c r="L222" t="s">
        <v>12252</v>
      </c>
    </row>
    <row r="223" spans="1:12" x14ac:dyDescent="0.3">
      <c r="A223" s="1">
        <v>146</v>
      </c>
      <c r="B223" t="s">
        <v>12118</v>
      </c>
      <c r="C223">
        <v>157</v>
      </c>
      <c r="D223" s="1" t="s">
        <v>5811</v>
      </c>
      <c r="E223" s="1" t="s">
        <v>984</v>
      </c>
      <c r="F223" s="1">
        <v>2023</v>
      </c>
      <c r="G223" s="1" t="s">
        <v>5813</v>
      </c>
      <c r="H223" s="1" t="str">
        <f>HYPERLINK("http://dx.doi.org/10.5114/biolsport.2023.125623","http://dx.doi.org/10.5114/biolsport.2023.125623")</f>
        <v>http://dx.doi.org/10.5114/biolsport.2023.125623</v>
      </c>
      <c r="I223" s="1" t="s">
        <v>5815</v>
      </c>
      <c r="J223" s="1" t="s">
        <v>5814</v>
      </c>
      <c r="K223" s="1" t="s">
        <v>42</v>
      </c>
      <c r="L223" s="1" t="s">
        <v>56</v>
      </c>
    </row>
    <row r="224" spans="1:12" x14ac:dyDescent="0.3">
      <c r="A224" s="1">
        <v>147</v>
      </c>
      <c r="B224" t="s">
        <v>12118</v>
      </c>
      <c r="C224">
        <v>158</v>
      </c>
      <c r="D224" s="1" t="s">
        <v>3190</v>
      </c>
      <c r="E224" s="1" t="s">
        <v>3193</v>
      </c>
      <c r="F224" s="1">
        <v>2023</v>
      </c>
      <c r="G224" s="1" t="s">
        <v>3194</v>
      </c>
      <c r="H224" s="1" t="str">
        <f>HYPERLINK("http://dx.doi.org/10.1186/s12887-023-04262-0","http://dx.doi.org/10.1186/s12887-023-04262-0")</f>
        <v>http://dx.doi.org/10.1186/s12887-023-04262-0</v>
      </c>
      <c r="I224" s="1" t="s">
        <v>3197</v>
      </c>
      <c r="J224" s="1" t="s">
        <v>3195</v>
      </c>
      <c r="K224" s="1" t="s">
        <v>42</v>
      </c>
      <c r="L224" s="1" t="s">
        <v>56</v>
      </c>
    </row>
    <row r="225" spans="1:12" x14ac:dyDescent="0.3">
      <c r="A225" s="1">
        <v>148</v>
      </c>
      <c r="B225" t="s">
        <v>12118</v>
      </c>
      <c r="C225">
        <v>159</v>
      </c>
      <c r="D225" s="1" t="s">
        <v>10529</v>
      </c>
      <c r="E225" s="1" t="s">
        <v>10531</v>
      </c>
      <c r="F225" s="1">
        <v>2019</v>
      </c>
      <c r="G225" s="1" t="s">
        <v>10532</v>
      </c>
      <c r="H225" s="1" t="str">
        <f>HYPERLINK("http://dx.doi.org/10.1016/j.ajhg.2019.09.025","http://dx.doi.org/10.1016/j.ajhg.2019.09.025")</f>
        <v>http://dx.doi.org/10.1016/j.ajhg.2019.09.025</v>
      </c>
      <c r="I225" s="1" t="s">
        <v>10534</v>
      </c>
      <c r="J225" s="1" t="s">
        <v>1507</v>
      </c>
      <c r="K225" s="1" t="s">
        <v>42</v>
      </c>
      <c r="L225" s="1" t="s">
        <v>56</v>
      </c>
    </row>
    <row r="226" spans="1:12" x14ac:dyDescent="0.3">
      <c r="A226">
        <v>150</v>
      </c>
      <c r="B226" t="s">
        <v>12204</v>
      </c>
      <c r="C226">
        <v>555</v>
      </c>
      <c r="D226" t="s">
        <v>12906</v>
      </c>
      <c r="E226" t="s">
        <v>95</v>
      </c>
      <c r="F226">
        <v>2023</v>
      </c>
      <c r="G226" t="s">
        <v>96</v>
      </c>
      <c r="I226" t="s">
        <v>99</v>
      </c>
      <c r="K226" t="s">
        <v>42</v>
      </c>
      <c r="L226" t="s">
        <v>12252</v>
      </c>
    </row>
    <row r="227" spans="1:12" x14ac:dyDescent="0.3">
      <c r="A227" s="1">
        <v>151</v>
      </c>
      <c r="B227" t="s">
        <v>12118</v>
      </c>
      <c r="C227">
        <v>160</v>
      </c>
      <c r="D227" s="1" t="s">
        <v>14920</v>
      </c>
      <c r="E227" s="1" t="s">
        <v>14922</v>
      </c>
      <c r="F227" s="1">
        <v>2023</v>
      </c>
      <c r="G227" s="1" t="s">
        <v>14923</v>
      </c>
      <c r="H227" s="1" t="str">
        <f>HYPERLINK("http://dx.doi.org/10.1145/3591196.3593516","http://dx.doi.org/10.1145/3591196.3593516")</f>
        <v>http://dx.doi.org/10.1145/3591196.3593516</v>
      </c>
      <c r="I227" s="1" t="s">
        <v>14929</v>
      </c>
      <c r="J227" s="1" t="s">
        <v>14927</v>
      </c>
      <c r="K227" s="1" t="s">
        <v>42</v>
      </c>
      <c r="L227" s="1" t="s">
        <v>5552</v>
      </c>
    </row>
    <row r="228" spans="1:12" x14ac:dyDescent="0.3">
      <c r="A228">
        <v>151</v>
      </c>
      <c r="B228" t="s">
        <v>12204</v>
      </c>
      <c r="C228">
        <v>560</v>
      </c>
      <c r="D228" t="s">
        <v>12423</v>
      </c>
      <c r="E228" t="s">
        <v>1391</v>
      </c>
      <c r="F228">
        <v>2023</v>
      </c>
      <c r="G228" t="s">
        <v>383</v>
      </c>
      <c r="I228" t="s">
        <v>1394</v>
      </c>
      <c r="J228" t="s">
        <v>1395</v>
      </c>
      <c r="K228" t="s">
        <v>42</v>
      </c>
      <c r="L228" t="s">
        <v>12252</v>
      </c>
    </row>
    <row r="229" spans="1:12" x14ac:dyDescent="0.3">
      <c r="A229">
        <v>152</v>
      </c>
      <c r="B229" t="s">
        <v>12204</v>
      </c>
      <c r="C229">
        <v>568</v>
      </c>
      <c r="D229" t="s">
        <v>12921</v>
      </c>
      <c r="E229" t="s">
        <v>256</v>
      </c>
      <c r="F229">
        <v>2023</v>
      </c>
      <c r="G229" t="s">
        <v>257</v>
      </c>
      <c r="H229" t="s">
        <v>258</v>
      </c>
      <c r="I229" t="s">
        <v>261</v>
      </c>
      <c r="J229" t="s">
        <v>262</v>
      </c>
      <c r="K229" t="s">
        <v>42</v>
      </c>
      <c r="L229" t="s">
        <v>12252</v>
      </c>
    </row>
    <row r="230" spans="1:12" x14ac:dyDescent="0.3">
      <c r="A230" s="1">
        <v>152</v>
      </c>
      <c r="B230" t="s">
        <v>12118</v>
      </c>
      <c r="C230">
        <v>161</v>
      </c>
      <c r="D230" s="1" t="s">
        <v>11947</v>
      </c>
      <c r="E230" s="1" t="s">
        <v>11949</v>
      </c>
      <c r="F230" s="1">
        <v>2018</v>
      </c>
      <c r="G230" s="1" t="s">
        <v>11950</v>
      </c>
      <c r="H230" s="1" t="str">
        <f>HYPERLINK("http://dx.doi.org/10.1590/1678-4499.2016307","http://dx.doi.org/10.1590/1678-4499.2016307")</f>
        <v>http://dx.doi.org/10.1590/1678-4499.2016307</v>
      </c>
      <c r="I230" s="1" t="s">
        <v>11953</v>
      </c>
      <c r="J230" s="1" t="s">
        <v>11951</v>
      </c>
      <c r="K230" s="1" t="s">
        <v>42</v>
      </c>
      <c r="L230" s="1" t="s">
        <v>56</v>
      </c>
    </row>
    <row r="231" spans="1:12" x14ac:dyDescent="0.3">
      <c r="A231" s="1">
        <v>153</v>
      </c>
      <c r="B231" t="s">
        <v>12118</v>
      </c>
      <c r="C231">
        <v>162</v>
      </c>
      <c r="D231" s="1" t="s">
        <v>9059</v>
      </c>
      <c r="E231" s="1" t="s">
        <v>9061</v>
      </c>
      <c r="F231" s="1">
        <v>2021</v>
      </c>
      <c r="G231" s="1" t="s">
        <v>5034</v>
      </c>
      <c r="H231" s="1" t="str">
        <f>HYPERLINK("http://dx.doi.org/10.3366/ajicl.2021.0348","http://dx.doi.org/10.3366/ajicl.2021.0348")</f>
        <v>http://dx.doi.org/10.3366/ajicl.2021.0348</v>
      </c>
      <c r="I231" s="1" t="s">
        <v>1507</v>
      </c>
      <c r="J231" s="1" t="s">
        <v>1507</v>
      </c>
      <c r="K231" s="1" t="s">
        <v>42</v>
      </c>
      <c r="L231" s="1" t="s">
        <v>56</v>
      </c>
    </row>
    <row r="232" spans="1:12" x14ac:dyDescent="0.3">
      <c r="A232">
        <v>153</v>
      </c>
      <c r="B232" t="s">
        <v>12204</v>
      </c>
      <c r="C232">
        <v>569</v>
      </c>
      <c r="D232" t="s">
        <v>912</v>
      </c>
      <c r="E232" t="s">
        <v>913</v>
      </c>
      <c r="F232">
        <v>2019</v>
      </c>
      <c r="G232" t="s">
        <v>914</v>
      </c>
      <c r="H232" t="s">
        <v>915</v>
      </c>
      <c r="I232" t="s">
        <v>918</v>
      </c>
      <c r="K232" t="s">
        <v>42</v>
      </c>
      <c r="L232" t="s">
        <v>12252</v>
      </c>
    </row>
    <row r="233" spans="1:12" x14ac:dyDescent="0.3">
      <c r="A233">
        <v>154</v>
      </c>
      <c r="B233" t="s">
        <v>12204</v>
      </c>
      <c r="C233">
        <v>575</v>
      </c>
      <c r="D233" t="s">
        <v>12844</v>
      </c>
      <c r="E233" t="s">
        <v>163</v>
      </c>
      <c r="F233">
        <v>2023</v>
      </c>
      <c r="G233" t="s">
        <v>164</v>
      </c>
      <c r="H233" t="s">
        <v>165</v>
      </c>
      <c r="I233" t="s">
        <v>12841</v>
      </c>
      <c r="J233" t="s">
        <v>169</v>
      </c>
      <c r="K233" t="s">
        <v>42</v>
      </c>
      <c r="L233" t="s">
        <v>12252</v>
      </c>
    </row>
    <row r="234" spans="1:12" x14ac:dyDescent="0.3">
      <c r="A234" s="1">
        <v>154</v>
      </c>
      <c r="B234" t="s">
        <v>12118</v>
      </c>
      <c r="C234">
        <v>163</v>
      </c>
      <c r="D234" s="1" t="s">
        <v>10664</v>
      </c>
      <c r="E234" s="1" t="s">
        <v>10666</v>
      </c>
      <c r="F234" s="1">
        <v>2019</v>
      </c>
      <c r="G234" s="1" t="s">
        <v>10667</v>
      </c>
      <c r="H234" s="1" t="str">
        <f>HYPERLINK("http://dx.doi.org/10.1111/1468-2230.12438","http://dx.doi.org/10.1111/1468-2230.12438")</f>
        <v>http://dx.doi.org/10.1111/1468-2230.12438</v>
      </c>
      <c r="I234" s="1" t="s">
        <v>10668</v>
      </c>
      <c r="J234" s="1" t="s">
        <v>1507</v>
      </c>
      <c r="K234" s="1" t="s">
        <v>42</v>
      </c>
      <c r="L234" s="1" t="s">
        <v>56</v>
      </c>
    </row>
    <row r="235" spans="1:12" x14ac:dyDescent="0.3">
      <c r="A235" s="1">
        <v>155</v>
      </c>
      <c r="B235" t="s">
        <v>12118</v>
      </c>
      <c r="C235">
        <v>164</v>
      </c>
      <c r="D235" s="1" t="s">
        <v>3357</v>
      </c>
      <c r="E235" s="1" t="s">
        <v>3359</v>
      </c>
      <c r="F235" s="1">
        <v>2023</v>
      </c>
      <c r="G235" s="1" t="s">
        <v>2874</v>
      </c>
      <c r="H235" s="1" t="str">
        <f>HYPERLINK("http://dx.doi.org/10.1016/j.jacr.2023.07.007","http://dx.doi.org/10.1016/j.jacr.2023.07.007")</f>
        <v>http://dx.doi.org/10.1016/j.jacr.2023.07.007</v>
      </c>
      <c r="I235" s="1" t="s">
        <v>3362</v>
      </c>
      <c r="J235" s="1" t="s">
        <v>3360</v>
      </c>
      <c r="K235" s="1" t="s">
        <v>42</v>
      </c>
      <c r="L235" s="1" t="s">
        <v>56</v>
      </c>
    </row>
    <row r="236" spans="1:12" x14ac:dyDescent="0.3">
      <c r="A236">
        <v>155</v>
      </c>
      <c r="B236" t="s">
        <v>12204</v>
      </c>
      <c r="C236">
        <v>578</v>
      </c>
      <c r="D236" t="s">
        <v>12768</v>
      </c>
      <c r="E236" t="s">
        <v>81</v>
      </c>
      <c r="F236">
        <v>2023</v>
      </c>
      <c r="G236" t="s">
        <v>82</v>
      </c>
      <c r="H236" t="s">
        <v>83</v>
      </c>
      <c r="I236" t="s">
        <v>86</v>
      </c>
      <c r="K236" t="s">
        <v>42</v>
      </c>
      <c r="L236" t="s">
        <v>12252</v>
      </c>
    </row>
    <row r="237" spans="1:12" x14ac:dyDescent="0.3">
      <c r="A237">
        <v>156</v>
      </c>
      <c r="B237" t="s">
        <v>12204</v>
      </c>
      <c r="C237">
        <v>585</v>
      </c>
      <c r="D237" t="s">
        <v>13675</v>
      </c>
      <c r="E237" t="s">
        <v>243</v>
      </c>
      <c r="F237">
        <v>2023</v>
      </c>
      <c r="G237" t="s">
        <v>244</v>
      </c>
      <c r="H237" t="s">
        <v>245</v>
      </c>
      <c r="I237" t="s">
        <v>248</v>
      </c>
      <c r="J237" t="s">
        <v>249</v>
      </c>
      <c r="K237" t="s">
        <v>42</v>
      </c>
      <c r="L237" t="s">
        <v>56</v>
      </c>
    </row>
    <row r="238" spans="1:12" x14ac:dyDescent="0.3">
      <c r="A238" s="1">
        <v>156</v>
      </c>
      <c r="B238" t="s">
        <v>12118</v>
      </c>
      <c r="C238">
        <v>165</v>
      </c>
      <c r="D238" s="1" t="s">
        <v>8642</v>
      </c>
      <c r="E238" s="1" t="s">
        <v>8644</v>
      </c>
      <c r="F238" s="1">
        <v>2021</v>
      </c>
      <c r="G238" s="1" t="s">
        <v>8645</v>
      </c>
      <c r="H238" s="1" t="str">
        <f>HYPERLINK("http://dx.doi.org/10.1093/jicj/mqab019","http://dx.doi.org/10.1093/jicj/mqab019")</f>
        <v>http://dx.doi.org/10.1093/jicj/mqab019</v>
      </c>
      <c r="I238" s="1" t="s">
        <v>8647</v>
      </c>
      <c r="J238" s="1" t="s">
        <v>1507</v>
      </c>
      <c r="K238" s="1" t="s">
        <v>42</v>
      </c>
      <c r="L238" s="1" t="s">
        <v>56</v>
      </c>
    </row>
    <row r="239" spans="1:12" x14ac:dyDescent="0.3">
      <c r="A239">
        <v>157</v>
      </c>
      <c r="B239" t="s">
        <v>12204</v>
      </c>
      <c r="C239">
        <v>589</v>
      </c>
      <c r="D239" t="s">
        <v>903</v>
      </c>
      <c r="E239" t="s">
        <v>904</v>
      </c>
      <c r="F239">
        <v>2023</v>
      </c>
      <c r="G239" t="s">
        <v>287</v>
      </c>
      <c r="H239" t="s">
        <v>905</v>
      </c>
      <c r="I239" t="s">
        <v>908</v>
      </c>
      <c r="J239" t="s">
        <v>909</v>
      </c>
      <c r="K239" t="s">
        <v>42</v>
      </c>
      <c r="L239" t="s">
        <v>56</v>
      </c>
    </row>
    <row r="240" spans="1:12" x14ac:dyDescent="0.3">
      <c r="A240" s="1">
        <v>157</v>
      </c>
      <c r="B240" t="s">
        <v>12118</v>
      </c>
      <c r="C240">
        <v>166</v>
      </c>
      <c r="D240" s="1" t="s">
        <v>8944</v>
      </c>
      <c r="E240" s="1" t="s">
        <v>8946</v>
      </c>
      <c r="F240" s="1">
        <v>2021</v>
      </c>
      <c r="G240" s="1" t="s">
        <v>8947</v>
      </c>
      <c r="H240" s="1" t="str">
        <f>HYPERLINK("http://dx.doi.org/10.1094/PHYTO-07-20-0268-R","http://dx.doi.org/10.1094/PHYTO-07-20-0268-R")</f>
        <v>http://dx.doi.org/10.1094/PHYTO-07-20-0268-R</v>
      </c>
      <c r="I240" s="1" t="s">
        <v>8950</v>
      </c>
      <c r="J240" s="1" t="s">
        <v>8948</v>
      </c>
      <c r="K240" s="1" t="s">
        <v>42</v>
      </c>
      <c r="L240" s="1" t="s">
        <v>56</v>
      </c>
    </row>
    <row r="241" spans="1:12" x14ac:dyDescent="0.3">
      <c r="A241" s="1">
        <v>158</v>
      </c>
      <c r="B241" t="s">
        <v>12118</v>
      </c>
      <c r="C241">
        <v>168</v>
      </c>
      <c r="D241" s="1" t="s">
        <v>14944</v>
      </c>
      <c r="E241" s="1" t="s">
        <v>776</v>
      </c>
      <c r="F241" s="1">
        <v>2023</v>
      </c>
      <c r="G241" s="1" t="s">
        <v>14946</v>
      </c>
      <c r="H241" s="1" t="str">
        <f>HYPERLINK("http://dx.doi.org/10.1145/3580305.3599827","http://dx.doi.org/10.1145/3580305.3599827")</f>
        <v>http://dx.doi.org/10.1145/3580305.3599827</v>
      </c>
      <c r="I241" s="1" t="s">
        <v>14951</v>
      </c>
      <c r="J241" s="1" t="s">
        <v>14950</v>
      </c>
      <c r="K241" s="1" t="s">
        <v>42</v>
      </c>
      <c r="L241" s="1" t="s">
        <v>5552</v>
      </c>
    </row>
    <row r="242" spans="1:12" x14ac:dyDescent="0.3">
      <c r="A242">
        <v>158</v>
      </c>
      <c r="B242" t="s">
        <v>12204</v>
      </c>
      <c r="C242">
        <v>591</v>
      </c>
      <c r="D242" t="s">
        <v>12390</v>
      </c>
      <c r="E242" t="s">
        <v>1377</v>
      </c>
      <c r="F242">
        <v>2023</v>
      </c>
      <c r="G242" t="s">
        <v>996</v>
      </c>
      <c r="H242" t="s">
        <v>1379</v>
      </c>
      <c r="I242" t="s">
        <v>1382</v>
      </c>
      <c r="J242" t="s">
        <v>1383</v>
      </c>
      <c r="K242" t="s">
        <v>42</v>
      </c>
      <c r="L242" t="s">
        <v>56</v>
      </c>
    </row>
    <row r="243" spans="1:12" x14ac:dyDescent="0.3">
      <c r="A243" s="1">
        <v>159</v>
      </c>
      <c r="B243" t="s">
        <v>12118</v>
      </c>
      <c r="C243">
        <v>169</v>
      </c>
      <c r="D243" s="1" t="s">
        <v>8621</v>
      </c>
      <c r="E243" s="1" t="s">
        <v>8623</v>
      </c>
      <c r="F243" s="1">
        <v>2021</v>
      </c>
      <c r="G243" s="1" t="s">
        <v>8624</v>
      </c>
      <c r="H243" s="1" t="str">
        <f>HYPERLINK("http://dx.doi.org/10.1007/s11356-021-14351-1","http://dx.doi.org/10.1007/s11356-021-14351-1")</f>
        <v>http://dx.doi.org/10.1007/s11356-021-14351-1</v>
      </c>
      <c r="I243" s="1" t="s">
        <v>8627</v>
      </c>
      <c r="J243" s="1" t="s">
        <v>8625</v>
      </c>
      <c r="K243" s="1" t="s">
        <v>42</v>
      </c>
      <c r="L243" s="1" t="s">
        <v>56</v>
      </c>
    </row>
    <row r="244" spans="1:12" x14ac:dyDescent="0.3">
      <c r="A244">
        <v>159</v>
      </c>
      <c r="B244" t="s">
        <v>12204</v>
      </c>
      <c r="C244">
        <v>594</v>
      </c>
      <c r="D244" t="s">
        <v>13306</v>
      </c>
      <c r="E244" t="s">
        <v>316</v>
      </c>
      <c r="F244">
        <v>2023</v>
      </c>
      <c r="G244" t="s">
        <v>317</v>
      </c>
      <c r="H244" t="s">
        <v>318</v>
      </c>
      <c r="I244" t="s">
        <v>321</v>
      </c>
      <c r="J244" t="s">
        <v>322</v>
      </c>
      <c r="K244" t="s">
        <v>42</v>
      </c>
      <c r="L244" t="s">
        <v>56</v>
      </c>
    </row>
    <row r="245" spans="1:12" x14ac:dyDescent="0.3">
      <c r="A245" s="1">
        <v>160</v>
      </c>
      <c r="B245" t="s">
        <v>12118</v>
      </c>
      <c r="C245">
        <v>170</v>
      </c>
      <c r="D245" s="1" t="s">
        <v>9454</v>
      </c>
      <c r="E245" s="1" t="s">
        <v>9456</v>
      </c>
      <c r="F245" s="1">
        <v>2020</v>
      </c>
      <c r="G245" s="1" t="s">
        <v>9457</v>
      </c>
      <c r="H245" s="1" t="str">
        <f>HYPERLINK("http://dx.doi.org/10.1094/PDIS-04-20-0714-RE","http://dx.doi.org/10.1094/PDIS-04-20-0714-RE")</f>
        <v>http://dx.doi.org/10.1094/PDIS-04-20-0714-RE</v>
      </c>
      <c r="I245" s="1" t="s">
        <v>9460</v>
      </c>
      <c r="J245" s="1" t="s">
        <v>9458</v>
      </c>
      <c r="K245" s="1" t="s">
        <v>42</v>
      </c>
      <c r="L245" s="1" t="s">
        <v>56</v>
      </c>
    </row>
    <row r="246" spans="1:12" x14ac:dyDescent="0.3">
      <c r="A246">
        <v>160</v>
      </c>
      <c r="B246" t="s">
        <v>12204</v>
      </c>
      <c r="C246">
        <v>595</v>
      </c>
      <c r="D246" t="s">
        <v>12437</v>
      </c>
      <c r="E246" t="s">
        <v>1228</v>
      </c>
      <c r="F246">
        <v>2023</v>
      </c>
      <c r="G246" t="s">
        <v>1229</v>
      </c>
      <c r="H246" t="s">
        <v>1230</v>
      </c>
      <c r="I246" t="s">
        <v>1233</v>
      </c>
      <c r="J246" t="s">
        <v>1234</v>
      </c>
      <c r="K246" t="s">
        <v>42</v>
      </c>
      <c r="L246" t="s">
        <v>12262</v>
      </c>
    </row>
    <row r="247" spans="1:12" x14ac:dyDescent="0.3">
      <c r="A247">
        <v>161</v>
      </c>
      <c r="B247" t="s">
        <v>12204</v>
      </c>
      <c r="C247">
        <v>598</v>
      </c>
      <c r="D247" t="s">
        <v>13560</v>
      </c>
      <c r="E247" t="s">
        <v>13558</v>
      </c>
      <c r="F247">
        <v>2023</v>
      </c>
      <c r="G247" t="s">
        <v>13557</v>
      </c>
      <c r="H247" t="s">
        <v>6482</v>
      </c>
      <c r="I247" t="s">
        <v>13553</v>
      </c>
      <c r="J247" t="s">
        <v>13552</v>
      </c>
      <c r="K247" t="s">
        <v>42</v>
      </c>
      <c r="L247" t="s">
        <v>56</v>
      </c>
    </row>
    <row r="248" spans="1:12" x14ac:dyDescent="0.3">
      <c r="A248" s="1">
        <v>161</v>
      </c>
      <c r="B248" t="s">
        <v>12118</v>
      </c>
      <c r="C248">
        <v>171</v>
      </c>
      <c r="D248" s="1" t="s">
        <v>5289</v>
      </c>
      <c r="E248" s="1" t="s">
        <v>14801</v>
      </c>
      <c r="F248" s="1">
        <v>2023</v>
      </c>
      <c r="G248" s="1" t="s">
        <v>5291</v>
      </c>
      <c r="H248" s="1" t="str">
        <f>HYPERLINK("http://dx.doi.org/10.1016/j.ijinfomgt.2023.102642","http://dx.doi.org/10.1016/j.ijinfomgt.2023.102642")</f>
        <v>http://dx.doi.org/10.1016/j.ijinfomgt.2023.102642</v>
      </c>
      <c r="I248" s="1" t="s">
        <v>5294</v>
      </c>
      <c r="J248" s="1" t="s">
        <v>5292</v>
      </c>
      <c r="K248" s="1" t="s">
        <v>42</v>
      </c>
      <c r="L248" s="1" t="s">
        <v>56</v>
      </c>
    </row>
    <row r="249" spans="1:12" x14ac:dyDescent="0.3">
      <c r="A249">
        <v>162</v>
      </c>
      <c r="B249" t="s">
        <v>12204</v>
      </c>
      <c r="C249">
        <v>600</v>
      </c>
      <c r="D249" t="s">
        <v>13299</v>
      </c>
      <c r="E249" t="s">
        <v>214</v>
      </c>
      <c r="F249">
        <v>2023</v>
      </c>
      <c r="G249" t="s">
        <v>215</v>
      </c>
      <c r="H249" t="s">
        <v>216</v>
      </c>
      <c r="I249" t="s">
        <v>219</v>
      </c>
      <c r="J249" t="s">
        <v>220</v>
      </c>
      <c r="K249" t="s">
        <v>42</v>
      </c>
      <c r="L249" t="s">
        <v>56</v>
      </c>
    </row>
    <row r="250" spans="1:12" x14ac:dyDescent="0.3">
      <c r="A250" s="1">
        <v>162</v>
      </c>
      <c r="B250" t="s">
        <v>12118</v>
      </c>
      <c r="C250">
        <v>172</v>
      </c>
      <c r="D250" s="1" t="s">
        <v>10286</v>
      </c>
      <c r="E250" s="1" t="s">
        <v>10289</v>
      </c>
      <c r="F250" s="1">
        <v>2020</v>
      </c>
      <c r="G250" s="1" t="s">
        <v>10290</v>
      </c>
      <c r="H250" s="1" t="str">
        <f>HYPERLINK("http://dx.doi.org/10.1007/978-3-030-27049-0_6","http://dx.doi.org/10.1007/978-3-030-27049-0_6")</f>
        <v>http://dx.doi.org/10.1007/978-3-030-27049-0_6</v>
      </c>
      <c r="I250" s="1" t="s">
        <v>1507</v>
      </c>
      <c r="J250" s="1" t="s">
        <v>1507</v>
      </c>
      <c r="K250" s="1" t="s">
        <v>42</v>
      </c>
      <c r="L250" s="1" t="s">
        <v>5888</v>
      </c>
    </row>
    <row r="251" spans="1:12" x14ac:dyDescent="0.3">
      <c r="A251">
        <v>163</v>
      </c>
      <c r="B251" t="s">
        <v>12204</v>
      </c>
      <c r="C251">
        <v>605</v>
      </c>
      <c r="D251" t="s">
        <v>12484</v>
      </c>
      <c r="E251" t="s">
        <v>1408</v>
      </c>
      <c r="F251">
        <v>2023</v>
      </c>
      <c r="G251" t="s">
        <v>1409</v>
      </c>
      <c r="H251" t="s">
        <v>1410</v>
      </c>
      <c r="I251" t="s">
        <v>1413</v>
      </c>
      <c r="J251" t="s">
        <v>1414</v>
      </c>
      <c r="K251" t="s">
        <v>42</v>
      </c>
      <c r="L251" t="s">
        <v>56</v>
      </c>
    </row>
    <row r="252" spans="1:12" x14ac:dyDescent="0.3">
      <c r="A252">
        <v>164</v>
      </c>
      <c r="B252" t="s">
        <v>12204</v>
      </c>
      <c r="C252">
        <v>607</v>
      </c>
      <c r="D252" t="s">
        <v>12336</v>
      </c>
      <c r="E252" t="s">
        <v>1203</v>
      </c>
      <c r="F252">
        <v>2022</v>
      </c>
      <c r="G252" t="s">
        <v>1204</v>
      </c>
      <c r="H252" t="s">
        <v>1206</v>
      </c>
      <c r="I252" t="s">
        <v>12333</v>
      </c>
      <c r="J252" t="s">
        <v>1209</v>
      </c>
      <c r="K252" t="s">
        <v>42</v>
      </c>
      <c r="L252" t="s">
        <v>56</v>
      </c>
    </row>
    <row r="253" spans="1:12" x14ac:dyDescent="0.3">
      <c r="A253" s="1">
        <v>164</v>
      </c>
      <c r="B253" t="s">
        <v>12118</v>
      </c>
      <c r="C253">
        <v>175</v>
      </c>
      <c r="D253" s="1" t="s">
        <v>9947</v>
      </c>
      <c r="E253" s="1" t="s">
        <v>9949</v>
      </c>
      <c r="F253" s="1">
        <v>2020</v>
      </c>
      <c r="G253" s="1" t="s">
        <v>9950</v>
      </c>
      <c r="H253" s="1" t="s">
        <v>1507</v>
      </c>
      <c r="I253" s="1" t="s">
        <v>9951</v>
      </c>
      <c r="J253" s="1" t="s">
        <v>1507</v>
      </c>
      <c r="K253" s="1" t="s">
        <v>42</v>
      </c>
      <c r="L253" s="1" t="s">
        <v>56</v>
      </c>
    </row>
    <row r="254" spans="1:12" x14ac:dyDescent="0.3">
      <c r="A254" s="1">
        <v>165</v>
      </c>
      <c r="B254" t="s">
        <v>12118</v>
      </c>
      <c r="C254">
        <v>177</v>
      </c>
      <c r="D254" s="1" t="s">
        <v>10466</v>
      </c>
      <c r="E254" s="1" t="s">
        <v>10468</v>
      </c>
      <c r="F254" s="1">
        <v>2019</v>
      </c>
      <c r="G254" s="1" t="s">
        <v>4793</v>
      </c>
      <c r="H254" s="1" t="str">
        <f>HYPERLINK("http://dx.doi.org/10.4337/qmjip.2019.04.05","http://dx.doi.org/10.4337/qmjip.2019.04.05")</f>
        <v>http://dx.doi.org/10.4337/qmjip.2019.04.05</v>
      </c>
      <c r="I254" s="1" t="s">
        <v>10471</v>
      </c>
      <c r="J254" s="1" t="s">
        <v>10469</v>
      </c>
      <c r="K254" s="1" t="s">
        <v>42</v>
      </c>
      <c r="L254" s="1" t="s">
        <v>56</v>
      </c>
    </row>
    <row r="255" spans="1:12" x14ac:dyDescent="0.3">
      <c r="A255">
        <v>165</v>
      </c>
      <c r="B255" t="s">
        <v>12204</v>
      </c>
      <c r="C255">
        <v>613</v>
      </c>
      <c r="D255" t="s">
        <v>12822</v>
      </c>
      <c r="E255" t="s">
        <v>656</v>
      </c>
      <c r="F255">
        <v>2023</v>
      </c>
      <c r="G255" t="s">
        <v>540</v>
      </c>
      <c r="H255" t="s">
        <v>657</v>
      </c>
      <c r="I255" t="s">
        <v>660</v>
      </c>
      <c r="J255" t="s">
        <v>661</v>
      </c>
      <c r="K255" t="s">
        <v>42</v>
      </c>
      <c r="L255" t="s">
        <v>12252</v>
      </c>
    </row>
    <row r="256" spans="1:12" x14ac:dyDescent="0.3">
      <c r="A256" s="1">
        <v>166</v>
      </c>
      <c r="B256" t="s">
        <v>12118</v>
      </c>
      <c r="C256">
        <v>178</v>
      </c>
      <c r="D256" s="1" t="s">
        <v>3060</v>
      </c>
      <c r="E256" s="1" t="s">
        <v>3062</v>
      </c>
      <c r="F256" s="1">
        <v>2023</v>
      </c>
      <c r="G256" s="1" t="s">
        <v>3063</v>
      </c>
      <c r="H256" s="1" t="str">
        <f>HYPERLINK("http://dx.doi.org/10.1007/s10514-023-10132-6","http://dx.doi.org/10.1007/s10514-023-10132-6")</f>
        <v>http://dx.doi.org/10.1007/s10514-023-10132-6</v>
      </c>
      <c r="I256" s="1" t="s">
        <v>3065</v>
      </c>
      <c r="J256" s="1" t="s">
        <v>3064</v>
      </c>
      <c r="K256" s="1" t="s">
        <v>42</v>
      </c>
      <c r="L256" s="1" t="s">
        <v>56</v>
      </c>
    </row>
    <row r="257" spans="1:12" x14ac:dyDescent="0.3">
      <c r="A257" s="1">
        <v>167</v>
      </c>
      <c r="B257" t="s">
        <v>12118</v>
      </c>
      <c r="C257">
        <v>179</v>
      </c>
      <c r="D257" s="1" t="s">
        <v>9412</v>
      </c>
      <c r="E257" s="1" t="s">
        <v>9414</v>
      </c>
      <c r="F257" s="1">
        <v>2020</v>
      </c>
      <c r="G257" s="1" t="s">
        <v>9415</v>
      </c>
      <c r="H257" s="1" t="str">
        <f>HYPERLINK("http://dx.doi.org/10.3390/microorganisms8111698","http://dx.doi.org/10.3390/microorganisms8111698")</f>
        <v>http://dx.doi.org/10.3390/microorganisms8111698</v>
      </c>
      <c r="I257" s="1" t="s">
        <v>9418</v>
      </c>
      <c r="J257" s="1" t="s">
        <v>9416</v>
      </c>
      <c r="K257" s="1" t="s">
        <v>42</v>
      </c>
      <c r="L257" s="1" t="s">
        <v>56</v>
      </c>
    </row>
    <row r="258" spans="1:12" x14ac:dyDescent="0.3">
      <c r="A258">
        <v>167</v>
      </c>
      <c r="B258" t="s">
        <v>12204</v>
      </c>
      <c r="C258">
        <v>619</v>
      </c>
      <c r="D258" t="s">
        <v>12928</v>
      </c>
      <c r="E258" t="s">
        <v>334</v>
      </c>
      <c r="F258">
        <v>2023</v>
      </c>
      <c r="G258" t="s">
        <v>335</v>
      </c>
      <c r="H258" t="s">
        <v>336</v>
      </c>
      <c r="I258" t="s">
        <v>338</v>
      </c>
      <c r="J258" t="s">
        <v>339</v>
      </c>
      <c r="K258" t="s">
        <v>42</v>
      </c>
      <c r="L258" t="s">
        <v>56</v>
      </c>
    </row>
    <row r="259" spans="1:12" x14ac:dyDescent="0.3">
      <c r="A259" s="1">
        <v>168</v>
      </c>
      <c r="B259" t="s">
        <v>12118</v>
      </c>
      <c r="C259">
        <v>181</v>
      </c>
      <c r="D259" s="1" t="s">
        <v>2946</v>
      </c>
      <c r="E259" s="1" t="s">
        <v>515</v>
      </c>
      <c r="F259" s="1">
        <v>2023</v>
      </c>
      <c r="G259" s="1" t="s">
        <v>2579</v>
      </c>
      <c r="H259" s="1" t="str">
        <f>HYPERLINK("http://dx.doi.org/10.1186/s41239-023-00425-2","http://dx.doi.org/10.1186/s41239-023-00425-2")</f>
        <v>http://dx.doi.org/10.1186/s41239-023-00425-2</v>
      </c>
      <c r="I259" s="1" t="s">
        <v>2949</v>
      </c>
      <c r="J259" s="1" t="s">
        <v>2948</v>
      </c>
      <c r="K259" s="1" t="s">
        <v>42</v>
      </c>
      <c r="L259" s="1" t="s">
        <v>56</v>
      </c>
    </row>
    <row r="260" spans="1:12" x14ac:dyDescent="0.3">
      <c r="A260">
        <v>168</v>
      </c>
      <c r="B260" t="s">
        <v>12204</v>
      </c>
      <c r="C260">
        <v>620</v>
      </c>
      <c r="D260" t="s">
        <v>12615</v>
      </c>
      <c r="E260" t="s">
        <v>1084</v>
      </c>
      <c r="F260">
        <v>2023</v>
      </c>
      <c r="G260" t="s">
        <v>1085</v>
      </c>
      <c r="I260" t="s">
        <v>1088</v>
      </c>
      <c r="K260" t="s">
        <v>42</v>
      </c>
      <c r="L260" t="s">
        <v>12252</v>
      </c>
    </row>
    <row r="261" spans="1:12" x14ac:dyDescent="0.3">
      <c r="A261">
        <v>169</v>
      </c>
      <c r="B261" t="s">
        <v>12204</v>
      </c>
      <c r="C261">
        <v>630</v>
      </c>
      <c r="D261" t="s">
        <v>12640</v>
      </c>
      <c r="E261" t="s">
        <v>818</v>
      </c>
      <c r="F261">
        <v>2023</v>
      </c>
      <c r="G261" t="s">
        <v>819</v>
      </c>
      <c r="H261" t="s">
        <v>820</v>
      </c>
      <c r="I261" t="s">
        <v>823</v>
      </c>
      <c r="J261" t="s">
        <v>824</v>
      </c>
      <c r="K261" t="s">
        <v>42</v>
      </c>
      <c r="L261" t="s">
        <v>56</v>
      </c>
    </row>
    <row r="262" spans="1:12" x14ac:dyDescent="0.3">
      <c r="A262" s="1">
        <v>169</v>
      </c>
      <c r="B262" t="s">
        <v>12118</v>
      </c>
      <c r="C262">
        <v>182</v>
      </c>
      <c r="D262" s="1" t="s">
        <v>9002</v>
      </c>
      <c r="E262" s="1" t="s">
        <v>9004</v>
      </c>
      <c r="F262" s="1">
        <v>2021</v>
      </c>
      <c r="G262" s="1" t="s">
        <v>9005</v>
      </c>
      <c r="H262" s="1" t="str">
        <f>HYPERLINK("http://dx.doi.org/10.1093/jiel/jgab004","http://dx.doi.org/10.1093/jiel/jgab004")</f>
        <v>http://dx.doi.org/10.1093/jiel/jgab004</v>
      </c>
      <c r="I262" s="1" t="s">
        <v>9007</v>
      </c>
      <c r="J262" s="1" t="s">
        <v>1507</v>
      </c>
      <c r="K262" s="1" t="s">
        <v>42</v>
      </c>
      <c r="L262" s="1" t="s">
        <v>56</v>
      </c>
    </row>
    <row r="263" spans="1:12" x14ac:dyDescent="0.3">
      <c r="A263">
        <v>170</v>
      </c>
      <c r="B263" t="s">
        <v>12204</v>
      </c>
      <c r="C263">
        <v>635</v>
      </c>
      <c r="D263" t="s">
        <v>12489</v>
      </c>
      <c r="E263" t="s">
        <v>1153</v>
      </c>
      <c r="F263">
        <v>2023</v>
      </c>
      <c r="G263" t="s">
        <v>1154</v>
      </c>
      <c r="H263" t="s">
        <v>1155</v>
      </c>
      <c r="I263" t="s">
        <v>1158</v>
      </c>
      <c r="J263" t="s">
        <v>1159</v>
      </c>
      <c r="K263" t="s">
        <v>42</v>
      </c>
      <c r="L263" t="s">
        <v>56</v>
      </c>
    </row>
    <row r="264" spans="1:12" x14ac:dyDescent="0.3">
      <c r="A264" s="1">
        <v>171</v>
      </c>
      <c r="B264" t="s">
        <v>12118</v>
      </c>
      <c r="C264">
        <v>183</v>
      </c>
      <c r="D264" s="1" t="s">
        <v>10682</v>
      </c>
      <c r="E264" s="1" t="s">
        <v>10684</v>
      </c>
      <c r="F264" s="1">
        <v>2019</v>
      </c>
      <c r="G264" s="1" t="s">
        <v>2324</v>
      </c>
      <c r="H264" s="1" t="s">
        <v>1507</v>
      </c>
      <c r="I264" s="1" t="s">
        <v>10685</v>
      </c>
      <c r="J264" s="1" t="s">
        <v>1507</v>
      </c>
      <c r="K264" s="1" t="s">
        <v>42</v>
      </c>
      <c r="L264" s="1" t="s">
        <v>56</v>
      </c>
    </row>
    <row r="265" spans="1:12" x14ac:dyDescent="0.3">
      <c r="A265">
        <v>171</v>
      </c>
      <c r="B265" t="s">
        <v>12204</v>
      </c>
      <c r="C265">
        <v>636</v>
      </c>
      <c r="D265" t="s">
        <v>12557</v>
      </c>
      <c r="E265" t="s">
        <v>1142</v>
      </c>
      <c r="F265">
        <v>2023</v>
      </c>
      <c r="G265" t="s">
        <v>1143</v>
      </c>
      <c r="H265" t="s">
        <v>1144</v>
      </c>
      <c r="I265" t="s">
        <v>1147</v>
      </c>
      <c r="J265" t="s">
        <v>1148</v>
      </c>
      <c r="K265" t="s">
        <v>42</v>
      </c>
      <c r="L265" t="s">
        <v>56</v>
      </c>
    </row>
    <row r="266" spans="1:12" x14ac:dyDescent="0.3">
      <c r="A266">
        <v>172</v>
      </c>
      <c r="B266" t="s">
        <v>12204</v>
      </c>
      <c r="C266">
        <v>637</v>
      </c>
      <c r="D266" t="s">
        <v>13356</v>
      </c>
      <c r="E266" t="s">
        <v>204</v>
      </c>
      <c r="F266">
        <v>2023</v>
      </c>
      <c r="G266" t="s">
        <v>205</v>
      </c>
      <c r="H266" t="s">
        <v>206</v>
      </c>
      <c r="I266" t="s">
        <v>209</v>
      </c>
      <c r="J266" t="s">
        <v>210</v>
      </c>
      <c r="K266" t="s">
        <v>42</v>
      </c>
      <c r="L266" t="s">
        <v>56</v>
      </c>
    </row>
    <row r="267" spans="1:12" x14ac:dyDescent="0.3">
      <c r="A267" s="1">
        <v>172</v>
      </c>
      <c r="B267" t="s">
        <v>12118</v>
      </c>
      <c r="C267">
        <v>186</v>
      </c>
      <c r="D267" s="1" t="s">
        <v>9390</v>
      </c>
      <c r="E267" s="1" t="s">
        <v>9392</v>
      </c>
      <c r="F267" s="1">
        <v>2020</v>
      </c>
      <c r="G267" s="1" t="s">
        <v>9393</v>
      </c>
      <c r="H267" s="1" t="str">
        <f>HYPERLINK("http://dx.doi.org/10.1021/acssensors.0c01908","http://dx.doi.org/10.1021/acssensors.0c01908")</f>
        <v>http://dx.doi.org/10.1021/acssensors.0c01908</v>
      </c>
      <c r="I267" s="1" t="s">
        <v>9396</v>
      </c>
      <c r="J267" s="1" t="s">
        <v>9394</v>
      </c>
      <c r="K267" s="1" t="s">
        <v>42</v>
      </c>
      <c r="L267" s="1" t="s">
        <v>56</v>
      </c>
    </row>
    <row r="268" spans="1:12" x14ac:dyDescent="0.3">
      <c r="A268">
        <v>173</v>
      </c>
      <c r="B268" t="s">
        <v>12204</v>
      </c>
      <c r="C268">
        <v>650</v>
      </c>
      <c r="D268" t="s">
        <v>13034</v>
      </c>
      <c r="E268" t="s">
        <v>13032</v>
      </c>
      <c r="F268">
        <v>2023</v>
      </c>
      <c r="G268" t="s">
        <v>13031</v>
      </c>
      <c r="H268" t="s">
        <v>13030</v>
      </c>
      <c r="I268" t="s">
        <v>13026</v>
      </c>
      <c r="J268" t="s">
        <v>13025</v>
      </c>
      <c r="K268" t="s">
        <v>42</v>
      </c>
      <c r="L268" t="s">
        <v>12252</v>
      </c>
    </row>
    <row r="269" spans="1:12" x14ac:dyDescent="0.3">
      <c r="A269" s="1">
        <v>173</v>
      </c>
      <c r="B269" t="s">
        <v>12118</v>
      </c>
      <c r="C269">
        <v>187</v>
      </c>
      <c r="D269" s="1" t="s">
        <v>7444</v>
      </c>
      <c r="E269" s="1" t="s">
        <v>7446</v>
      </c>
      <c r="F269" s="1">
        <v>2022</v>
      </c>
      <c r="G269" s="1" t="s">
        <v>6997</v>
      </c>
      <c r="H269" s="1" t="s">
        <v>1507</v>
      </c>
      <c r="I269" s="1" t="s">
        <v>7449</v>
      </c>
      <c r="J269" s="1" t="s">
        <v>7447</v>
      </c>
      <c r="K269" s="1" t="s">
        <v>42</v>
      </c>
      <c r="L269" s="1" t="s">
        <v>56</v>
      </c>
    </row>
    <row r="270" spans="1:12" x14ac:dyDescent="0.3">
      <c r="A270">
        <v>174</v>
      </c>
      <c r="B270" t="s">
        <v>12204</v>
      </c>
      <c r="C270">
        <v>663</v>
      </c>
      <c r="D270" t="s">
        <v>12858</v>
      </c>
      <c r="E270" t="s">
        <v>675</v>
      </c>
      <c r="F270">
        <v>2023</v>
      </c>
      <c r="G270" t="s">
        <v>676</v>
      </c>
      <c r="H270" t="s">
        <v>677</v>
      </c>
      <c r="I270" t="s">
        <v>680</v>
      </c>
      <c r="J270" t="s">
        <v>681</v>
      </c>
      <c r="K270" t="s">
        <v>42</v>
      </c>
      <c r="L270" t="s">
        <v>12252</v>
      </c>
    </row>
    <row r="271" spans="1:12" x14ac:dyDescent="0.3">
      <c r="A271" s="1">
        <v>174</v>
      </c>
      <c r="B271" t="s">
        <v>12118</v>
      </c>
      <c r="C271">
        <v>189</v>
      </c>
      <c r="D271" s="1" t="s">
        <v>14961</v>
      </c>
      <c r="E271" s="1" t="s">
        <v>14964</v>
      </c>
      <c r="F271" s="1">
        <v>2023</v>
      </c>
      <c r="G271" s="1" t="s">
        <v>14965</v>
      </c>
      <c r="H271" s="1" t="str">
        <f>HYPERLINK("http://dx.doi.org/10.1007/978-981-99-8385-8_14","http://dx.doi.org/10.1007/978-981-99-8385-8_14")</f>
        <v>http://dx.doi.org/10.1007/978-981-99-8385-8_14</v>
      </c>
      <c r="I271" s="1" t="s">
        <v>14971</v>
      </c>
      <c r="J271" s="1" t="s">
        <v>14970</v>
      </c>
      <c r="K271" s="1" t="s">
        <v>42</v>
      </c>
      <c r="L271" s="1" t="s">
        <v>5552</v>
      </c>
    </row>
    <row r="272" spans="1:12" x14ac:dyDescent="0.3">
      <c r="A272" s="1">
        <v>175</v>
      </c>
      <c r="B272" t="s">
        <v>12118</v>
      </c>
      <c r="C272">
        <v>190</v>
      </c>
      <c r="D272" s="1" t="s">
        <v>7736</v>
      </c>
      <c r="E272" s="1" t="s">
        <v>7739</v>
      </c>
      <c r="F272" s="1">
        <v>2022</v>
      </c>
      <c r="G272" s="1" t="s">
        <v>7740</v>
      </c>
      <c r="H272" s="1" t="str">
        <f>HYPERLINK("http://dx.doi.org/10.1007/978-3-031-07312-0_3","http://dx.doi.org/10.1007/978-3-031-07312-0_3")</f>
        <v>http://dx.doi.org/10.1007/978-3-031-07312-0_3</v>
      </c>
      <c r="I272" s="1" t="s">
        <v>7744</v>
      </c>
      <c r="J272" s="1" t="s">
        <v>1507</v>
      </c>
      <c r="K272" s="1" t="s">
        <v>42</v>
      </c>
      <c r="L272" s="1" t="s">
        <v>5552</v>
      </c>
    </row>
    <row r="273" spans="1:12" x14ac:dyDescent="0.3">
      <c r="A273">
        <v>175</v>
      </c>
      <c r="B273" t="s">
        <v>12204</v>
      </c>
      <c r="C273">
        <v>664</v>
      </c>
      <c r="D273" t="s">
        <v>12309</v>
      </c>
      <c r="E273" t="s">
        <v>1093</v>
      </c>
      <c r="F273">
        <v>2021</v>
      </c>
      <c r="G273" t="s">
        <v>1094</v>
      </c>
      <c r="H273" t="s">
        <v>1095</v>
      </c>
      <c r="I273" t="s">
        <v>1098</v>
      </c>
      <c r="J273" t="s">
        <v>1099</v>
      </c>
      <c r="K273" t="s">
        <v>42</v>
      </c>
      <c r="L273" t="s">
        <v>56</v>
      </c>
    </row>
    <row r="274" spans="1:12" x14ac:dyDescent="0.3">
      <c r="A274">
        <v>176</v>
      </c>
      <c r="B274" t="s">
        <v>12204</v>
      </c>
      <c r="C274">
        <v>670</v>
      </c>
      <c r="D274" t="s">
        <v>12996</v>
      </c>
      <c r="E274" t="s">
        <v>12994</v>
      </c>
      <c r="F274">
        <v>2023</v>
      </c>
      <c r="G274" t="s">
        <v>12984</v>
      </c>
      <c r="H274" t="s">
        <v>12993</v>
      </c>
      <c r="I274" t="s">
        <v>12989</v>
      </c>
      <c r="J274" t="s">
        <v>12988</v>
      </c>
      <c r="K274" t="s">
        <v>42</v>
      </c>
      <c r="L274" t="s">
        <v>12252</v>
      </c>
    </row>
    <row r="275" spans="1:12" x14ac:dyDescent="0.3">
      <c r="A275" s="1">
        <v>177</v>
      </c>
      <c r="B275" t="s">
        <v>12118</v>
      </c>
      <c r="C275">
        <v>192</v>
      </c>
      <c r="D275" s="1" t="s">
        <v>2980</v>
      </c>
      <c r="E275" s="1" t="s">
        <v>1177</v>
      </c>
      <c r="F275" s="1">
        <v>2023</v>
      </c>
      <c r="G275" s="1" t="s">
        <v>2982</v>
      </c>
      <c r="H275" s="1" t="str">
        <f>HYPERLINK("http://dx.doi.org/10.1007/s00146-023-01791-1","http://dx.doi.org/10.1007/s00146-023-01791-1")</f>
        <v>http://dx.doi.org/10.1007/s00146-023-01791-1</v>
      </c>
      <c r="I275" s="1" t="s">
        <v>2984</v>
      </c>
      <c r="J275" s="1" t="s">
        <v>2983</v>
      </c>
      <c r="K275" s="1" t="s">
        <v>42</v>
      </c>
      <c r="L275" s="1" t="s">
        <v>1509</v>
      </c>
    </row>
    <row r="276" spans="1:12" x14ac:dyDescent="0.3">
      <c r="A276">
        <v>177</v>
      </c>
      <c r="B276" t="s">
        <v>12204</v>
      </c>
      <c r="C276">
        <v>693</v>
      </c>
      <c r="D276" t="s">
        <v>12835</v>
      </c>
      <c r="E276" t="s">
        <v>141</v>
      </c>
      <c r="F276">
        <v>2023</v>
      </c>
      <c r="G276" t="s">
        <v>142</v>
      </c>
      <c r="H276" t="s">
        <v>143</v>
      </c>
      <c r="I276" t="s">
        <v>146</v>
      </c>
      <c r="J276" t="s">
        <v>147</v>
      </c>
      <c r="K276" t="s">
        <v>42</v>
      </c>
      <c r="L276" t="s">
        <v>12252</v>
      </c>
    </row>
    <row r="277" spans="1:12" x14ac:dyDescent="0.3">
      <c r="A277" s="1">
        <v>178</v>
      </c>
      <c r="B277" t="s">
        <v>12118</v>
      </c>
      <c r="C277">
        <v>193</v>
      </c>
      <c r="D277" s="1" t="s">
        <v>3840</v>
      </c>
      <c r="E277" s="1" t="s">
        <v>3843</v>
      </c>
      <c r="F277" s="1">
        <v>2023</v>
      </c>
      <c r="G277" s="1" t="s">
        <v>3844</v>
      </c>
      <c r="H277" s="1" t="str">
        <f>HYPERLINK("http://dx.doi.org/10.1017/cts.2023.619","http://dx.doi.org/10.1017/cts.2023.619")</f>
        <v>http://dx.doi.org/10.1017/cts.2023.619</v>
      </c>
      <c r="I277" s="1" t="s">
        <v>3846</v>
      </c>
      <c r="J277" s="1" t="s">
        <v>3845</v>
      </c>
      <c r="K277" s="1" t="s">
        <v>42</v>
      </c>
      <c r="L277" s="1" t="s">
        <v>56</v>
      </c>
    </row>
    <row r="278" spans="1:12" x14ac:dyDescent="0.3">
      <c r="A278" s="1">
        <v>179</v>
      </c>
      <c r="B278" t="s">
        <v>12118</v>
      </c>
      <c r="C278">
        <v>195</v>
      </c>
      <c r="D278" s="1" t="s">
        <v>8321</v>
      </c>
      <c r="E278" s="1" t="s">
        <v>8323</v>
      </c>
      <c r="F278" s="1">
        <v>2021</v>
      </c>
      <c r="G278" s="1" t="s">
        <v>4793</v>
      </c>
      <c r="H278" s="1" t="str">
        <f>HYPERLINK("http://dx.doi.org/10.4337/qmjip.2021.03.03","http://dx.doi.org/10.4337/qmjip.2021.03.03")</f>
        <v>http://dx.doi.org/10.4337/qmjip.2021.03.03</v>
      </c>
      <c r="I278" s="1" t="s">
        <v>8325</v>
      </c>
      <c r="J278" s="1" t="s">
        <v>8324</v>
      </c>
      <c r="K278" s="1" t="s">
        <v>42</v>
      </c>
      <c r="L278" s="1" t="s">
        <v>56</v>
      </c>
    </row>
    <row r="279" spans="1:12" x14ac:dyDescent="0.3">
      <c r="A279" s="1">
        <v>180</v>
      </c>
      <c r="B279" t="s">
        <v>12118</v>
      </c>
      <c r="C279">
        <v>196</v>
      </c>
      <c r="D279" s="1" t="s">
        <v>3333</v>
      </c>
      <c r="E279" s="1" t="s">
        <v>3335</v>
      </c>
      <c r="F279" s="1">
        <v>2023</v>
      </c>
      <c r="G279" s="1" t="s">
        <v>3336</v>
      </c>
      <c r="H279" s="1" t="str">
        <f>HYPERLINK("http://dx.doi.org/10.1016/j.isatra.2023.04.025","http://dx.doi.org/10.1016/j.isatra.2023.04.025")</f>
        <v>http://dx.doi.org/10.1016/j.isatra.2023.04.025</v>
      </c>
      <c r="I279" s="1" t="s">
        <v>3339</v>
      </c>
      <c r="J279" s="1" t="s">
        <v>3337</v>
      </c>
      <c r="K279" s="1" t="s">
        <v>42</v>
      </c>
      <c r="L279" s="1" t="s">
        <v>56</v>
      </c>
    </row>
    <row r="280" spans="1:12" x14ac:dyDescent="0.3">
      <c r="A280" s="1">
        <v>181</v>
      </c>
      <c r="B280" t="s">
        <v>12118</v>
      </c>
      <c r="C280">
        <v>197</v>
      </c>
      <c r="D280" s="1" t="s">
        <v>9172</v>
      </c>
      <c r="E280" s="1" t="s">
        <v>9174</v>
      </c>
      <c r="F280" s="1">
        <v>2021</v>
      </c>
      <c r="G280" s="1" t="s">
        <v>9175</v>
      </c>
      <c r="H280" s="1" t="str">
        <f>HYPERLINK("http://dx.doi.org/10.1109/LSP.2021.3107209","http://dx.doi.org/10.1109/LSP.2021.3107209")</f>
        <v>http://dx.doi.org/10.1109/LSP.2021.3107209</v>
      </c>
      <c r="I280" s="1" t="s">
        <v>9177</v>
      </c>
      <c r="J280" s="1" t="s">
        <v>9176</v>
      </c>
      <c r="K280" s="1" t="s">
        <v>42</v>
      </c>
      <c r="L280" s="1" t="s">
        <v>56</v>
      </c>
    </row>
    <row r="281" spans="1:12" x14ac:dyDescent="0.3">
      <c r="A281" s="1">
        <v>182</v>
      </c>
      <c r="B281" t="s">
        <v>12118</v>
      </c>
      <c r="C281">
        <v>198</v>
      </c>
      <c r="D281" s="1" t="s">
        <v>4893</v>
      </c>
      <c r="E281" s="1" t="s">
        <v>4895</v>
      </c>
      <c r="F281" s="1">
        <v>2023</v>
      </c>
      <c r="G281" s="1" t="s">
        <v>3297</v>
      </c>
      <c r="H281" s="1" t="str">
        <f>HYPERLINK("http://dx.doi.org/10.1038/s41598-023-34375-6","http://dx.doi.org/10.1038/s41598-023-34375-6")</f>
        <v>http://dx.doi.org/10.1038/s41598-023-34375-6</v>
      </c>
      <c r="I281" s="1" t="s">
        <v>4896</v>
      </c>
      <c r="J281" s="1" t="s">
        <v>1507</v>
      </c>
      <c r="K281" s="1" t="s">
        <v>42</v>
      </c>
      <c r="L281" s="1" t="s">
        <v>56</v>
      </c>
    </row>
    <row r="282" spans="1:12" x14ac:dyDescent="0.3">
      <c r="A282" s="1">
        <v>183</v>
      </c>
      <c r="B282" t="s">
        <v>12118</v>
      </c>
      <c r="C282">
        <v>199</v>
      </c>
      <c r="D282" s="1" t="s">
        <v>6864</v>
      </c>
      <c r="E282" s="1" t="s">
        <v>6866</v>
      </c>
      <c r="F282" s="1">
        <v>2022</v>
      </c>
      <c r="G282" s="1" t="s">
        <v>6867</v>
      </c>
      <c r="H282" s="1" t="str">
        <f>HYPERLINK("http://dx.doi.org/10.1590/s0102-0536-20220405","http://dx.doi.org/10.1590/s0102-0536-20220405")</f>
        <v>http://dx.doi.org/10.1590/s0102-0536-20220405</v>
      </c>
      <c r="I282" s="1" t="s">
        <v>6869</v>
      </c>
      <c r="J282" s="1" t="s">
        <v>6868</v>
      </c>
      <c r="K282" s="1" t="s">
        <v>42</v>
      </c>
      <c r="L282" s="1" t="s">
        <v>56</v>
      </c>
    </row>
    <row r="283" spans="1:12" x14ac:dyDescent="0.3">
      <c r="A283" s="1">
        <v>184</v>
      </c>
      <c r="B283" t="s">
        <v>12118</v>
      </c>
      <c r="C283">
        <v>200</v>
      </c>
      <c r="D283" s="1" t="s">
        <v>4036</v>
      </c>
      <c r="E283" s="1" t="s">
        <v>4038</v>
      </c>
      <c r="F283" s="1">
        <v>2023</v>
      </c>
      <c r="G283" s="1" t="s">
        <v>4039</v>
      </c>
      <c r="H283" s="1" t="str">
        <f>HYPERLINK("http://dx.doi.org/10.1016/j.scs.2023.104876","http://dx.doi.org/10.1016/j.scs.2023.104876")</f>
        <v>http://dx.doi.org/10.1016/j.scs.2023.104876</v>
      </c>
      <c r="I283" s="1" t="s">
        <v>4042</v>
      </c>
      <c r="J283" s="1" t="s">
        <v>4040</v>
      </c>
      <c r="K283" s="1" t="s">
        <v>42</v>
      </c>
      <c r="L283" s="1" t="s">
        <v>56</v>
      </c>
    </row>
    <row r="284" spans="1:12" x14ac:dyDescent="0.3">
      <c r="A284" s="1">
        <v>185</v>
      </c>
      <c r="B284" t="s">
        <v>12118</v>
      </c>
      <c r="C284">
        <v>201</v>
      </c>
      <c r="D284" s="1" t="s">
        <v>5450</v>
      </c>
      <c r="E284" s="1" t="s">
        <v>5452</v>
      </c>
      <c r="F284" s="1">
        <v>2023</v>
      </c>
      <c r="G284" s="1" t="s">
        <v>5453</v>
      </c>
      <c r="H284" s="1" t="str">
        <f>HYPERLINK("http://dx.doi.org/10.1029/2022GL100005","http://dx.doi.org/10.1029/2022GL100005")</f>
        <v>http://dx.doi.org/10.1029/2022GL100005</v>
      </c>
      <c r="I284" s="1" t="s">
        <v>5456</v>
      </c>
      <c r="J284" s="1" t="s">
        <v>5454</v>
      </c>
      <c r="K284" s="1" t="s">
        <v>42</v>
      </c>
      <c r="L284" s="1" t="s">
        <v>56</v>
      </c>
    </row>
    <row r="285" spans="1:12" x14ac:dyDescent="0.3">
      <c r="A285" s="1">
        <v>187</v>
      </c>
      <c r="B285" t="s">
        <v>12118</v>
      </c>
      <c r="C285">
        <v>202</v>
      </c>
      <c r="D285" s="1" t="s">
        <v>10694</v>
      </c>
      <c r="E285" s="1" t="s">
        <v>10696</v>
      </c>
      <c r="F285" s="1">
        <v>2019</v>
      </c>
      <c r="G285" s="1" t="s">
        <v>2324</v>
      </c>
      <c r="H285" s="1" t="s">
        <v>1507</v>
      </c>
      <c r="I285" s="1" t="s">
        <v>10698</v>
      </c>
      <c r="J285" s="1" t="s">
        <v>1507</v>
      </c>
      <c r="K285" s="1" t="s">
        <v>42</v>
      </c>
      <c r="L285" s="1" t="s">
        <v>56</v>
      </c>
    </row>
    <row r="286" spans="1:12" x14ac:dyDescent="0.3">
      <c r="A286" s="1">
        <v>189</v>
      </c>
      <c r="B286" t="s">
        <v>12118</v>
      </c>
      <c r="C286">
        <v>206</v>
      </c>
      <c r="D286" s="1" t="s">
        <v>5841</v>
      </c>
      <c r="E286" s="1" t="s">
        <v>5843</v>
      </c>
      <c r="F286" s="1">
        <v>2023</v>
      </c>
      <c r="G286" s="1" t="s">
        <v>5844</v>
      </c>
      <c r="H286" s="1" t="str">
        <f>HYPERLINK("http://dx.doi.org/10.1145/3599696.3612895","http://dx.doi.org/10.1145/3599696.3612895")</f>
        <v>http://dx.doi.org/10.1145/3599696.3612895</v>
      </c>
      <c r="I286" s="1" t="s">
        <v>5849</v>
      </c>
      <c r="J286" s="1" t="s">
        <v>5848</v>
      </c>
      <c r="K286" s="1" t="s">
        <v>42</v>
      </c>
      <c r="L286" s="1" t="s">
        <v>5552</v>
      </c>
    </row>
    <row r="287" spans="1:12" x14ac:dyDescent="0.3">
      <c r="A287" s="1">
        <v>190</v>
      </c>
      <c r="B287" t="s">
        <v>12118</v>
      </c>
      <c r="C287">
        <v>207</v>
      </c>
      <c r="D287" s="1" t="s">
        <v>4314</v>
      </c>
      <c r="E287" s="1" t="s">
        <v>4316</v>
      </c>
      <c r="F287" s="1">
        <v>2023</v>
      </c>
      <c r="G287" s="1" t="s">
        <v>4317</v>
      </c>
      <c r="H287" s="1" t="str">
        <f>HYPERLINK("http://dx.doi.org/10.1097/YPG.0000000000000339","http://dx.doi.org/10.1097/YPG.0000000000000339")</f>
        <v>http://dx.doi.org/10.1097/YPG.0000000000000339</v>
      </c>
      <c r="I287" s="1" t="s">
        <v>4320</v>
      </c>
      <c r="J287" s="1" t="s">
        <v>4318</v>
      </c>
      <c r="K287" s="1" t="s">
        <v>42</v>
      </c>
      <c r="L287" s="1" t="s">
        <v>56</v>
      </c>
    </row>
    <row r="288" spans="1:12" x14ac:dyDescent="0.3">
      <c r="A288" s="1">
        <v>191</v>
      </c>
      <c r="B288" t="s">
        <v>12118</v>
      </c>
      <c r="C288">
        <v>208</v>
      </c>
      <c r="D288" s="1" t="s">
        <v>5862</v>
      </c>
      <c r="E288" s="1" t="s">
        <v>5864</v>
      </c>
      <c r="F288" s="1">
        <v>2023</v>
      </c>
      <c r="G288" s="1" t="s">
        <v>5865</v>
      </c>
      <c r="H288" s="1" t="str">
        <f>HYPERLINK("http://dx.doi.org/10.2196/49995","http://dx.doi.org/10.2196/49995")</f>
        <v>http://dx.doi.org/10.2196/49995</v>
      </c>
      <c r="I288" s="1" t="s">
        <v>5867</v>
      </c>
      <c r="J288" s="1" t="s">
        <v>5866</v>
      </c>
      <c r="K288" s="1" t="s">
        <v>42</v>
      </c>
      <c r="L288" s="1" t="s">
        <v>56</v>
      </c>
    </row>
    <row r="289" spans="1:12" x14ac:dyDescent="0.3">
      <c r="A289" s="1">
        <v>193</v>
      </c>
      <c r="B289" t="s">
        <v>12118</v>
      </c>
      <c r="C289">
        <v>211</v>
      </c>
      <c r="D289" s="1" t="s">
        <v>10067</v>
      </c>
      <c r="E289" s="1" t="s">
        <v>10069</v>
      </c>
      <c r="F289" s="1">
        <v>2020</v>
      </c>
      <c r="G289" s="1" t="s">
        <v>10070</v>
      </c>
      <c r="H289" s="1" t="str">
        <f>HYPERLINK("http://dx.doi.org/10.1017/S0021223719000220","http://dx.doi.org/10.1017/S0021223719000220")</f>
        <v>http://dx.doi.org/10.1017/S0021223719000220</v>
      </c>
      <c r="I289" s="1" t="s">
        <v>10073</v>
      </c>
      <c r="J289" s="1" t="s">
        <v>10071</v>
      </c>
      <c r="K289" s="1" t="s">
        <v>42</v>
      </c>
      <c r="L289" s="1" t="s">
        <v>56</v>
      </c>
    </row>
    <row r="290" spans="1:12" x14ac:dyDescent="0.3">
      <c r="A290" s="1">
        <v>195</v>
      </c>
      <c r="B290" t="s">
        <v>12118</v>
      </c>
      <c r="C290">
        <v>212</v>
      </c>
      <c r="D290" s="1" t="s">
        <v>8900</v>
      </c>
      <c r="E290" s="1" t="s">
        <v>8902</v>
      </c>
      <c r="F290" s="1">
        <v>2021</v>
      </c>
      <c r="G290" s="1" t="s">
        <v>8903</v>
      </c>
      <c r="H290" s="1" t="str">
        <f>HYPERLINK("http://dx.doi.org/10.1021/acsnano.0c10897","http://dx.doi.org/10.1021/acsnano.0c10897")</f>
        <v>http://dx.doi.org/10.1021/acsnano.0c10897</v>
      </c>
      <c r="I290" s="1" t="s">
        <v>8906</v>
      </c>
      <c r="J290" s="1" t="s">
        <v>8904</v>
      </c>
      <c r="K290" s="1" t="s">
        <v>42</v>
      </c>
      <c r="L290" s="1" t="s">
        <v>56</v>
      </c>
    </row>
    <row r="291" spans="1:12" x14ac:dyDescent="0.3">
      <c r="A291" s="1">
        <v>196</v>
      </c>
      <c r="B291" t="s">
        <v>12118</v>
      </c>
      <c r="C291">
        <v>213</v>
      </c>
      <c r="D291" s="1" t="s">
        <v>2794</v>
      </c>
      <c r="E291" s="1" t="s">
        <v>2796</v>
      </c>
      <c r="F291" s="1">
        <v>2023</v>
      </c>
      <c r="G291" s="1" t="s">
        <v>1617</v>
      </c>
      <c r="H291" s="1" t="str">
        <f>HYPERLINK("http://dx.doi.org/10.3390/electronics12224694","http://dx.doi.org/10.3390/electronics12224694")</f>
        <v>http://dx.doi.org/10.3390/electronics12224694</v>
      </c>
      <c r="I291" s="1" t="s">
        <v>2798</v>
      </c>
      <c r="J291" s="1" t="s">
        <v>2797</v>
      </c>
      <c r="K291" s="1" t="s">
        <v>42</v>
      </c>
      <c r="L291" s="1" t="s">
        <v>56</v>
      </c>
    </row>
    <row r="292" spans="1:12" x14ac:dyDescent="0.3">
      <c r="A292" s="1">
        <v>197</v>
      </c>
      <c r="B292" t="s">
        <v>12118</v>
      </c>
      <c r="C292">
        <v>215</v>
      </c>
      <c r="D292" s="1" t="s">
        <v>14078</v>
      </c>
      <c r="E292" s="1" t="s">
        <v>14080</v>
      </c>
      <c r="F292" s="1">
        <v>2023</v>
      </c>
      <c r="G292" s="1" t="s">
        <v>14081</v>
      </c>
      <c r="H292" s="1" t="str">
        <f>HYPERLINK("http://dx.doi.org/10.1016/j.freeradbiomed.2023.10.393","http://dx.doi.org/10.1016/j.freeradbiomed.2023.10.393")</f>
        <v>http://dx.doi.org/10.1016/j.freeradbiomed.2023.10.393</v>
      </c>
      <c r="I292" s="1" t="s">
        <v>14084</v>
      </c>
      <c r="J292" s="1" t="s">
        <v>14082</v>
      </c>
      <c r="K292" s="1" t="s">
        <v>42</v>
      </c>
      <c r="L292" s="1" t="s">
        <v>56</v>
      </c>
    </row>
    <row r="293" spans="1:12" x14ac:dyDescent="0.3">
      <c r="A293" s="1">
        <v>198</v>
      </c>
      <c r="B293" t="s">
        <v>12118</v>
      </c>
      <c r="C293">
        <v>216</v>
      </c>
      <c r="D293" s="1" t="s">
        <v>6944</v>
      </c>
      <c r="E293" s="1" t="s">
        <v>6946</v>
      </c>
      <c r="F293" s="1">
        <v>2022</v>
      </c>
      <c r="G293" s="1" t="s">
        <v>6947</v>
      </c>
      <c r="H293" s="1" t="str">
        <f>HYPERLINK("http://dx.doi.org/10.26342/2022-69-13","http://dx.doi.org/10.26342/2022-69-13")</f>
        <v>http://dx.doi.org/10.26342/2022-69-13</v>
      </c>
      <c r="I293" s="1" t="s">
        <v>6949</v>
      </c>
      <c r="J293" s="1" t="s">
        <v>6948</v>
      </c>
      <c r="K293" s="1" t="s">
        <v>42</v>
      </c>
      <c r="L293" s="1" t="s">
        <v>56</v>
      </c>
    </row>
    <row r="294" spans="1:12" x14ac:dyDescent="0.3">
      <c r="A294" s="1">
        <v>199</v>
      </c>
      <c r="B294" t="s">
        <v>12118</v>
      </c>
      <c r="C294">
        <v>217</v>
      </c>
      <c r="D294" s="1" t="s">
        <v>4940</v>
      </c>
      <c r="E294" s="1" t="s">
        <v>4942</v>
      </c>
      <c r="F294" s="1">
        <v>2023</v>
      </c>
      <c r="G294" s="1" t="s">
        <v>4943</v>
      </c>
      <c r="H294" s="1" t="str">
        <f>HYPERLINK("http://dx.doi.org/10.5551/jat.64081","http://dx.doi.org/10.5551/jat.64081")</f>
        <v>http://dx.doi.org/10.5551/jat.64081</v>
      </c>
      <c r="I294" s="1" t="s">
        <v>4946</v>
      </c>
      <c r="J294" s="1" t="s">
        <v>4944</v>
      </c>
      <c r="K294" s="1" t="s">
        <v>42</v>
      </c>
      <c r="L294" s="1" t="s">
        <v>56</v>
      </c>
    </row>
    <row r="295" spans="1:12" x14ac:dyDescent="0.3">
      <c r="A295" s="1">
        <v>200</v>
      </c>
      <c r="B295" t="s">
        <v>12118</v>
      </c>
      <c r="C295">
        <v>218</v>
      </c>
      <c r="D295" s="1" t="s">
        <v>10492</v>
      </c>
      <c r="E295" s="1" t="s">
        <v>10494</v>
      </c>
      <c r="F295" s="1">
        <v>2019</v>
      </c>
      <c r="G295" s="1" t="s">
        <v>7943</v>
      </c>
      <c r="H295" s="1" t="str">
        <f>HYPERLINK("http://dx.doi.org/10.1039/c9cp04032c","http://dx.doi.org/10.1039/c9cp04032c")</f>
        <v>http://dx.doi.org/10.1039/c9cp04032c</v>
      </c>
      <c r="I295" s="1" t="s">
        <v>10496</v>
      </c>
      <c r="J295" s="1" t="s">
        <v>1507</v>
      </c>
      <c r="K295" s="1" t="s">
        <v>42</v>
      </c>
      <c r="L295" s="1" t="s">
        <v>56</v>
      </c>
    </row>
    <row r="296" spans="1:12" x14ac:dyDescent="0.3">
      <c r="A296" s="1">
        <v>201</v>
      </c>
      <c r="B296" t="s">
        <v>12118</v>
      </c>
      <c r="C296">
        <v>219</v>
      </c>
      <c r="D296" s="1" t="s">
        <v>8969</v>
      </c>
      <c r="E296" s="1" t="s">
        <v>8971</v>
      </c>
      <c r="F296" s="1">
        <v>2021</v>
      </c>
      <c r="G296" s="1" t="s">
        <v>8972</v>
      </c>
      <c r="H296" s="1" t="str">
        <f>HYPERLINK("http://dx.doi.org/10.3390/min11030323","http://dx.doi.org/10.3390/min11030323")</f>
        <v>http://dx.doi.org/10.3390/min11030323</v>
      </c>
      <c r="I296" s="1" t="s">
        <v>8975</v>
      </c>
      <c r="J296" s="1" t="s">
        <v>8973</v>
      </c>
      <c r="K296" s="1" t="s">
        <v>42</v>
      </c>
      <c r="L296" s="1" t="s">
        <v>56</v>
      </c>
    </row>
    <row r="297" spans="1:12" x14ac:dyDescent="0.3">
      <c r="A297" s="1">
        <v>202</v>
      </c>
      <c r="B297" t="s">
        <v>12118</v>
      </c>
      <c r="C297">
        <v>220</v>
      </c>
      <c r="D297" s="1" t="s">
        <v>14983</v>
      </c>
      <c r="E297" s="1" t="s">
        <v>14986</v>
      </c>
      <c r="F297" s="1">
        <v>2023</v>
      </c>
      <c r="G297" s="1" t="s">
        <v>14987</v>
      </c>
      <c r="H297" s="1" t="str">
        <f>HYPERLINK("http://dx.doi.org/10.1109/ICDMW60847.2023.00035","http://dx.doi.org/10.1109/ICDMW60847.2023.00035")</f>
        <v>http://dx.doi.org/10.1109/ICDMW60847.2023.00035</v>
      </c>
      <c r="I297" s="1" t="s">
        <v>14994</v>
      </c>
      <c r="J297" s="1" t="s">
        <v>14993</v>
      </c>
      <c r="K297" s="1" t="s">
        <v>42</v>
      </c>
      <c r="L297" s="1" t="s">
        <v>5552</v>
      </c>
    </row>
    <row r="298" spans="1:12" x14ac:dyDescent="0.3">
      <c r="A298" s="1">
        <v>204</v>
      </c>
      <c r="B298" t="s">
        <v>12118</v>
      </c>
      <c r="C298">
        <v>223</v>
      </c>
      <c r="D298" s="1" t="s">
        <v>5392</v>
      </c>
      <c r="E298" s="1" t="s">
        <v>5394</v>
      </c>
      <c r="F298" s="1">
        <v>2023</v>
      </c>
      <c r="G298" s="1" t="s">
        <v>5395</v>
      </c>
      <c r="H298" s="1" t="str">
        <f>HYPERLINK("http://dx.doi.org/10.1016/j.redox.2023.102614","http://dx.doi.org/10.1016/j.redox.2023.102614")</f>
        <v>http://dx.doi.org/10.1016/j.redox.2023.102614</v>
      </c>
      <c r="I298" s="1" t="s">
        <v>5398</v>
      </c>
      <c r="J298" s="1" t="s">
        <v>5396</v>
      </c>
      <c r="K298" s="1" t="s">
        <v>42</v>
      </c>
      <c r="L298" s="1" t="s">
        <v>56</v>
      </c>
    </row>
    <row r="299" spans="1:12" x14ac:dyDescent="0.3">
      <c r="A299" s="1">
        <v>205</v>
      </c>
      <c r="B299" t="s">
        <v>12118</v>
      </c>
      <c r="C299">
        <v>224</v>
      </c>
      <c r="D299" s="1" t="s">
        <v>15764</v>
      </c>
      <c r="E299" s="1" t="s">
        <v>9194</v>
      </c>
      <c r="F299" s="1">
        <v>2021</v>
      </c>
      <c r="G299" s="1" t="s">
        <v>9195</v>
      </c>
      <c r="H299" s="1" t="str">
        <f>HYPERLINK("http://dx.doi.org/10.3390/antiox10010135","http://dx.doi.org/10.3390/antiox10010135")</f>
        <v>http://dx.doi.org/10.3390/antiox10010135</v>
      </c>
      <c r="I299" s="1" t="s">
        <v>9198</v>
      </c>
      <c r="J299" s="1" t="s">
        <v>9196</v>
      </c>
      <c r="K299" s="1" t="s">
        <v>42</v>
      </c>
      <c r="L299" s="1" t="s">
        <v>56</v>
      </c>
    </row>
    <row r="300" spans="1:12" x14ac:dyDescent="0.3">
      <c r="A300" s="1">
        <v>206</v>
      </c>
      <c r="B300" t="s">
        <v>12118</v>
      </c>
      <c r="C300">
        <v>226</v>
      </c>
      <c r="D300" s="1" t="s">
        <v>8858</v>
      </c>
      <c r="E300" s="1" t="s">
        <v>8860</v>
      </c>
      <c r="F300" s="1">
        <v>2021</v>
      </c>
      <c r="G300" s="1" t="s">
        <v>8861</v>
      </c>
      <c r="H300" s="1" t="str">
        <f>HYPERLINK("http://dx.doi.org/10.1007/s40520-021-01835-w","http://dx.doi.org/10.1007/s40520-021-01835-w")</f>
        <v>http://dx.doi.org/10.1007/s40520-021-01835-w</v>
      </c>
      <c r="I300" s="1" t="s">
        <v>8863</v>
      </c>
      <c r="J300" s="1" t="s">
        <v>8862</v>
      </c>
      <c r="K300" s="1" t="s">
        <v>42</v>
      </c>
      <c r="L300" s="1" t="s">
        <v>56</v>
      </c>
    </row>
    <row r="301" spans="1:12" x14ac:dyDescent="0.3">
      <c r="A301" s="1">
        <v>207</v>
      </c>
      <c r="B301" t="s">
        <v>12118</v>
      </c>
      <c r="C301">
        <v>227</v>
      </c>
      <c r="D301" s="1" t="s">
        <v>5883</v>
      </c>
      <c r="E301" s="1" t="s">
        <v>5886</v>
      </c>
      <c r="F301" s="1">
        <v>2023</v>
      </c>
      <c r="G301" s="1" t="s">
        <v>5887</v>
      </c>
      <c r="H301" s="1" t="s">
        <v>1507</v>
      </c>
      <c r="I301" s="1" t="s">
        <v>1507</v>
      </c>
      <c r="J301" s="1" t="s">
        <v>1507</v>
      </c>
      <c r="K301" s="1" t="s">
        <v>42</v>
      </c>
      <c r="L301" s="1" t="s">
        <v>5888</v>
      </c>
    </row>
    <row r="302" spans="1:12" x14ac:dyDescent="0.3">
      <c r="A302" s="1">
        <v>209</v>
      </c>
      <c r="B302" t="s">
        <v>12118</v>
      </c>
      <c r="C302">
        <v>231</v>
      </c>
      <c r="D302" s="1" t="s">
        <v>11342</v>
      </c>
      <c r="E302" s="1" t="s">
        <v>11344</v>
      </c>
      <c r="F302" s="1">
        <v>2019</v>
      </c>
      <c r="G302" s="1" t="s">
        <v>11345</v>
      </c>
      <c r="H302" s="1" t="str">
        <f>HYPERLINK("http://dx.doi.org/10.5334/tilr.135","http://dx.doi.org/10.5334/tilr.135")</f>
        <v>http://dx.doi.org/10.5334/tilr.135</v>
      </c>
      <c r="I302" s="1" t="s">
        <v>11347</v>
      </c>
      <c r="J302" s="1" t="s">
        <v>11346</v>
      </c>
      <c r="K302" s="1" t="s">
        <v>42</v>
      </c>
      <c r="L302" s="1" t="s">
        <v>56</v>
      </c>
    </row>
    <row r="303" spans="1:12" x14ac:dyDescent="0.3">
      <c r="A303" s="1">
        <v>210</v>
      </c>
      <c r="B303" t="s">
        <v>12118</v>
      </c>
      <c r="C303">
        <v>232</v>
      </c>
      <c r="D303" s="1" t="s">
        <v>2197</v>
      </c>
      <c r="E303" s="1" t="s">
        <v>2199</v>
      </c>
      <c r="F303" s="1">
        <v>2023</v>
      </c>
      <c r="G303" s="1" t="s">
        <v>2200</v>
      </c>
      <c r="H303" s="1" t="str">
        <f>HYPERLINK("http://dx.doi.org/10.3390/informatics10040089","http://dx.doi.org/10.3390/informatics10040089")</f>
        <v>http://dx.doi.org/10.3390/informatics10040089</v>
      </c>
      <c r="I303" s="1" t="s">
        <v>2203</v>
      </c>
      <c r="J303" s="1" t="s">
        <v>2201</v>
      </c>
      <c r="K303" s="1" t="s">
        <v>42</v>
      </c>
      <c r="L303" s="1" t="s">
        <v>56</v>
      </c>
    </row>
    <row r="304" spans="1:12" x14ac:dyDescent="0.3">
      <c r="A304" s="1">
        <v>212</v>
      </c>
      <c r="B304" t="s">
        <v>12118</v>
      </c>
      <c r="C304">
        <v>233</v>
      </c>
      <c r="D304" s="1" t="s">
        <v>7757</v>
      </c>
      <c r="E304" s="1" t="s">
        <v>7759</v>
      </c>
      <c r="F304" s="1">
        <v>2022</v>
      </c>
      <c r="G304" s="1" t="s">
        <v>7760</v>
      </c>
      <c r="H304" s="1" t="str">
        <f>HYPERLINK("http://dx.doi.org/10.1145/3517428.3544819","http://dx.doi.org/10.1145/3517428.3544819")</f>
        <v>http://dx.doi.org/10.1145/3517428.3544819</v>
      </c>
      <c r="I304" s="1" t="s">
        <v>7767</v>
      </c>
      <c r="J304" s="1" t="s">
        <v>7765</v>
      </c>
      <c r="K304" s="1" t="s">
        <v>42</v>
      </c>
      <c r="L304" s="1" t="s">
        <v>5552</v>
      </c>
    </row>
    <row r="305" spans="1:12" x14ac:dyDescent="0.3">
      <c r="A305" s="1">
        <v>213</v>
      </c>
      <c r="B305" t="s">
        <v>12118</v>
      </c>
      <c r="C305">
        <v>234</v>
      </c>
      <c r="D305" s="1" t="s">
        <v>15008</v>
      </c>
      <c r="E305" s="1" t="s">
        <v>15011</v>
      </c>
      <c r="F305" s="1">
        <v>2023</v>
      </c>
      <c r="G305" s="1" t="s">
        <v>15012</v>
      </c>
      <c r="H305" s="1" t="str">
        <f>HYPERLINK("http://dx.doi.org/10.3233/FAIA230974","http://dx.doi.org/10.3233/FAIA230974")</f>
        <v>http://dx.doi.org/10.3233/FAIA230974</v>
      </c>
      <c r="I305" s="1" t="s">
        <v>15019</v>
      </c>
      <c r="J305" s="1" t="s">
        <v>15018</v>
      </c>
      <c r="K305" s="1" t="s">
        <v>42</v>
      </c>
      <c r="L305" s="1" t="s">
        <v>5552</v>
      </c>
    </row>
    <row r="306" spans="1:12" x14ac:dyDescent="0.3">
      <c r="A306" s="1">
        <v>214</v>
      </c>
      <c r="B306" t="s">
        <v>12118</v>
      </c>
      <c r="C306">
        <v>235</v>
      </c>
      <c r="D306" s="1" t="s">
        <v>10831</v>
      </c>
      <c r="E306" s="1" t="s">
        <v>10833</v>
      </c>
      <c r="F306" s="1">
        <v>2019</v>
      </c>
      <c r="G306" s="1" t="s">
        <v>10834</v>
      </c>
      <c r="H306" s="1" t="str">
        <f>HYPERLINK("http://dx.doi.org/10.1007/s00439-019-02024-6","http://dx.doi.org/10.1007/s00439-019-02024-6")</f>
        <v>http://dx.doi.org/10.1007/s00439-019-02024-6</v>
      </c>
      <c r="I306" s="1" t="s">
        <v>10836</v>
      </c>
      <c r="J306" s="1" t="s">
        <v>1507</v>
      </c>
      <c r="K306" s="1" t="s">
        <v>42</v>
      </c>
      <c r="L306" s="1" t="s">
        <v>56</v>
      </c>
    </row>
    <row r="307" spans="1:12" x14ac:dyDescent="0.3">
      <c r="A307" s="1">
        <v>215</v>
      </c>
      <c r="B307" t="s">
        <v>12118</v>
      </c>
      <c r="C307">
        <v>236</v>
      </c>
      <c r="D307" s="1" t="s">
        <v>3530</v>
      </c>
      <c r="E307" s="1" t="s">
        <v>3532</v>
      </c>
      <c r="F307" s="1">
        <v>2023</v>
      </c>
      <c r="G307" s="1" t="s">
        <v>3533</v>
      </c>
      <c r="H307" s="1" t="str">
        <f>HYPERLINK("http://dx.doi.org/10.3390/jpm13101502","http://dx.doi.org/10.3390/jpm13101502")</f>
        <v>http://dx.doi.org/10.3390/jpm13101502</v>
      </c>
      <c r="I307" s="1" t="s">
        <v>3536</v>
      </c>
      <c r="J307" s="1" t="s">
        <v>3534</v>
      </c>
      <c r="K307" s="1" t="s">
        <v>42</v>
      </c>
      <c r="L307" s="1" t="s">
        <v>56</v>
      </c>
    </row>
    <row r="308" spans="1:12" x14ac:dyDescent="0.3">
      <c r="A308" s="1">
        <v>216</v>
      </c>
      <c r="B308" t="s">
        <v>12118</v>
      </c>
      <c r="C308">
        <v>237</v>
      </c>
      <c r="D308" s="1" t="s">
        <v>7560</v>
      </c>
      <c r="E308" s="1" t="s">
        <v>7562</v>
      </c>
      <c r="F308" s="1">
        <v>2022</v>
      </c>
      <c r="G308" s="1" t="s">
        <v>7563</v>
      </c>
      <c r="H308" s="1" t="str">
        <f>HYPERLINK("http://dx.doi.org/10.1038/s41467-022-28420-7","http://dx.doi.org/10.1038/s41467-022-28420-7")</f>
        <v>http://dx.doi.org/10.1038/s41467-022-28420-7</v>
      </c>
      <c r="I308" s="1" t="s">
        <v>7565</v>
      </c>
      <c r="J308" s="1" t="s">
        <v>1507</v>
      </c>
      <c r="K308" s="1" t="s">
        <v>42</v>
      </c>
      <c r="L308" s="1" t="s">
        <v>56</v>
      </c>
    </row>
    <row r="309" spans="1:12" x14ac:dyDescent="0.3">
      <c r="A309" s="1">
        <v>217</v>
      </c>
      <c r="B309" t="s">
        <v>12118</v>
      </c>
      <c r="C309">
        <v>238</v>
      </c>
      <c r="D309" s="1" t="s">
        <v>3995</v>
      </c>
      <c r="E309" s="1" t="s">
        <v>3997</v>
      </c>
      <c r="F309" s="1">
        <v>2023</v>
      </c>
      <c r="G309" s="1" t="s">
        <v>3998</v>
      </c>
      <c r="H309" s="1" t="str">
        <f>HYPERLINK("http://dx.doi.org/10.3855/jidc.18738","http://dx.doi.org/10.3855/jidc.18738")</f>
        <v>http://dx.doi.org/10.3855/jidc.18738</v>
      </c>
      <c r="I309" s="1" t="s">
        <v>4000</v>
      </c>
      <c r="J309" s="1" t="s">
        <v>3999</v>
      </c>
      <c r="K309" s="1" t="s">
        <v>42</v>
      </c>
      <c r="L309" s="1" t="s">
        <v>56</v>
      </c>
    </row>
    <row r="310" spans="1:12" x14ac:dyDescent="0.3">
      <c r="A310" s="1">
        <v>218</v>
      </c>
      <c r="B310" t="s">
        <v>12118</v>
      </c>
      <c r="C310">
        <v>239</v>
      </c>
      <c r="D310" s="1" t="s">
        <v>2520</v>
      </c>
      <c r="E310" s="1" t="s">
        <v>2522</v>
      </c>
      <c r="F310" s="1">
        <v>2023</v>
      </c>
      <c r="G310" s="1" t="s">
        <v>2523</v>
      </c>
      <c r="H310" s="1" t="str">
        <f>HYPERLINK("http://dx.doi.org/10.1021/acs.jpclett.3c02398","http://dx.doi.org/10.1021/acs.jpclett.3c02398")</f>
        <v>http://dx.doi.org/10.1021/acs.jpclett.3c02398</v>
      </c>
      <c r="I310" s="1" t="s">
        <v>2525</v>
      </c>
      <c r="J310" s="1" t="s">
        <v>1507</v>
      </c>
      <c r="K310" s="1" t="s">
        <v>42</v>
      </c>
      <c r="L310" s="1" t="s">
        <v>56</v>
      </c>
    </row>
    <row r="311" spans="1:12" x14ac:dyDescent="0.3">
      <c r="A311" s="1">
        <v>219</v>
      </c>
      <c r="B311" t="s">
        <v>12118</v>
      </c>
      <c r="C311">
        <v>241</v>
      </c>
      <c r="D311" s="1" t="s">
        <v>5902</v>
      </c>
      <c r="E311" s="1" t="s">
        <v>5904</v>
      </c>
      <c r="F311" s="1">
        <v>2023</v>
      </c>
      <c r="G311" s="1" t="s">
        <v>5905</v>
      </c>
      <c r="H311" s="1" t="str">
        <f>HYPERLINK("http://dx.doi.org/10.1109/CVPR52729.2023.01046","http://dx.doi.org/10.1109/CVPR52729.2023.01046")</f>
        <v>http://dx.doi.org/10.1109/CVPR52729.2023.01046</v>
      </c>
      <c r="I311" s="1" t="s">
        <v>5911</v>
      </c>
      <c r="J311" s="1" t="s">
        <v>1507</v>
      </c>
      <c r="K311" s="1" t="s">
        <v>42</v>
      </c>
      <c r="L311" s="1" t="s">
        <v>5552</v>
      </c>
    </row>
    <row r="312" spans="1:12" x14ac:dyDescent="0.3">
      <c r="A312" s="1">
        <v>221</v>
      </c>
      <c r="B312" t="s">
        <v>12118</v>
      </c>
      <c r="C312">
        <v>243</v>
      </c>
      <c r="D312" s="1" t="s">
        <v>9637</v>
      </c>
      <c r="E312" s="1" t="s">
        <v>9639</v>
      </c>
      <c r="F312" s="1">
        <v>2020</v>
      </c>
      <c r="G312" s="1" t="s">
        <v>9640</v>
      </c>
      <c r="H312" s="1" t="str">
        <f>HYPERLINK("http://dx.doi.org/10.1038/s41590-020-0773-7","http://dx.doi.org/10.1038/s41590-020-0773-7")</f>
        <v>http://dx.doi.org/10.1038/s41590-020-0773-7</v>
      </c>
      <c r="I312" s="1" t="s">
        <v>9641</v>
      </c>
      <c r="J312" s="1" t="s">
        <v>1507</v>
      </c>
      <c r="K312" s="1" t="s">
        <v>42</v>
      </c>
      <c r="L312" s="1" t="s">
        <v>56</v>
      </c>
    </row>
    <row r="313" spans="1:12" x14ac:dyDescent="0.3">
      <c r="A313" s="1">
        <v>223</v>
      </c>
      <c r="B313" t="s">
        <v>12118</v>
      </c>
      <c r="C313">
        <v>246</v>
      </c>
      <c r="D313" s="1" t="s">
        <v>3398</v>
      </c>
      <c r="E313" s="1" t="s">
        <v>3400</v>
      </c>
      <c r="F313" s="1">
        <v>2023</v>
      </c>
      <c r="G313" s="1" t="s">
        <v>3401</v>
      </c>
      <c r="H313" s="1" t="str">
        <f>HYPERLINK("http://dx.doi.org/10.1038/s43588-023-00527-x","http://dx.doi.org/10.1038/s43588-023-00527-x")</f>
        <v>http://dx.doi.org/10.1038/s43588-023-00527-x</v>
      </c>
      <c r="I313" s="1" t="s">
        <v>3403</v>
      </c>
      <c r="J313" s="1" t="s">
        <v>1507</v>
      </c>
      <c r="K313" s="1" t="s">
        <v>42</v>
      </c>
      <c r="L313" s="1" t="s">
        <v>56</v>
      </c>
    </row>
    <row r="314" spans="1:12" x14ac:dyDescent="0.3">
      <c r="A314" s="1">
        <v>226</v>
      </c>
      <c r="B314" t="s">
        <v>12118</v>
      </c>
      <c r="C314">
        <v>249</v>
      </c>
      <c r="D314" s="1" t="s">
        <v>7338</v>
      </c>
      <c r="E314" s="1" t="s">
        <v>7340</v>
      </c>
      <c r="F314" s="1">
        <v>2022</v>
      </c>
      <c r="G314" s="1" t="s">
        <v>7341</v>
      </c>
      <c r="H314" s="1" t="str">
        <f>HYPERLINK("http://dx.doi.org/10.1007/s00214-022-02886-6","http://dx.doi.org/10.1007/s00214-022-02886-6")</f>
        <v>http://dx.doi.org/10.1007/s00214-022-02886-6</v>
      </c>
      <c r="I314" s="1" t="s">
        <v>7344</v>
      </c>
      <c r="J314" s="1" t="s">
        <v>7342</v>
      </c>
      <c r="K314" s="1" t="s">
        <v>42</v>
      </c>
      <c r="L314" s="1" t="s">
        <v>56</v>
      </c>
    </row>
    <row r="315" spans="1:12" x14ac:dyDescent="0.3">
      <c r="A315" s="1">
        <v>227</v>
      </c>
      <c r="B315" t="s">
        <v>12118</v>
      </c>
      <c r="C315">
        <v>250</v>
      </c>
      <c r="D315" s="1" t="s">
        <v>5936</v>
      </c>
      <c r="E315" s="1" t="s">
        <v>5938</v>
      </c>
      <c r="F315" s="1">
        <v>2023</v>
      </c>
      <c r="G315" s="1" t="s">
        <v>5939</v>
      </c>
      <c r="H315" s="1" t="str">
        <f>HYPERLINK("http://dx.doi.org/10.1145/3593013.3594052","http://dx.doi.org/10.1145/3593013.3594052")</f>
        <v>http://dx.doi.org/10.1145/3593013.3594052</v>
      </c>
      <c r="I315" s="1" t="s">
        <v>5944</v>
      </c>
      <c r="J315" s="1" t="s">
        <v>5943</v>
      </c>
      <c r="K315" s="1" t="s">
        <v>42</v>
      </c>
      <c r="L315" s="1" t="s">
        <v>5552</v>
      </c>
    </row>
    <row r="316" spans="1:12" x14ac:dyDescent="0.3">
      <c r="A316" s="1">
        <v>228</v>
      </c>
      <c r="B316" t="s">
        <v>12118</v>
      </c>
      <c r="C316">
        <v>251</v>
      </c>
      <c r="D316" s="1" t="s">
        <v>7778</v>
      </c>
      <c r="E316" s="1" t="s">
        <v>7781</v>
      </c>
      <c r="F316" s="1">
        <v>2022</v>
      </c>
      <c r="G316" s="1" t="s">
        <v>7782</v>
      </c>
      <c r="H316" s="1" t="str">
        <f>HYPERLINK("http://dx.doi.org/10.4324/9781003025115-4","http://dx.doi.org/10.4324/9781003025115-4")</f>
        <v>http://dx.doi.org/10.4324/9781003025115-4</v>
      </c>
      <c r="I316" s="1" t="s">
        <v>7785</v>
      </c>
      <c r="J316" s="1" t="s">
        <v>1507</v>
      </c>
      <c r="K316" s="1" t="s">
        <v>42</v>
      </c>
      <c r="L316" s="1" t="s">
        <v>5888</v>
      </c>
    </row>
    <row r="317" spans="1:12" x14ac:dyDescent="0.3">
      <c r="A317" s="1">
        <v>229</v>
      </c>
      <c r="B317" t="s">
        <v>12118</v>
      </c>
      <c r="C317">
        <v>252</v>
      </c>
      <c r="D317" s="1" t="s">
        <v>3940</v>
      </c>
      <c r="E317" s="1" t="s">
        <v>3942</v>
      </c>
      <c r="F317" s="1">
        <v>2023</v>
      </c>
      <c r="G317" s="1" t="s">
        <v>2982</v>
      </c>
      <c r="H317" s="1" t="str">
        <f>HYPERLINK("http://dx.doi.org/10.1007/s00146-023-01752-8","http://dx.doi.org/10.1007/s00146-023-01752-8")</f>
        <v>http://dx.doi.org/10.1007/s00146-023-01752-8</v>
      </c>
      <c r="I317" s="1" t="s">
        <v>3944</v>
      </c>
      <c r="J317" s="1" t="s">
        <v>3943</v>
      </c>
      <c r="K317" s="1" t="s">
        <v>42</v>
      </c>
      <c r="L317" s="1" t="s">
        <v>1509</v>
      </c>
    </row>
    <row r="318" spans="1:12" x14ac:dyDescent="0.3">
      <c r="A318" s="1">
        <v>230</v>
      </c>
      <c r="B318" t="s">
        <v>12118</v>
      </c>
      <c r="C318">
        <v>253</v>
      </c>
      <c r="D318" s="1" t="s">
        <v>11973</v>
      </c>
      <c r="E318" s="1" t="s">
        <v>11975</v>
      </c>
      <c r="F318" s="1">
        <v>2018</v>
      </c>
      <c r="G318" s="1" t="s">
        <v>11976</v>
      </c>
      <c r="H318" s="1" t="str">
        <f>HYPERLINK("http://dx.doi.org/10.7727/wimj.2017.222","http://dx.doi.org/10.7727/wimj.2017.222")</f>
        <v>http://dx.doi.org/10.7727/wimj.2017.222</v>
      </c>
      <c r="I318" s="1" t="s">
        <v>11979</v>
      </c>
      <c r="J318" s="1" t="s">
        <v>11977</v>
      </c>
      <c r="K318" s="1" t="s">
        <v>42</v>
      </c>
      <c r="L318" s="1" t="s">
        <v>56</v>
      </c>
    </row>
    <row r="319" spans="1:12" x14ac:dyDescent="0.3">
      <c r="A319" s="1">
        <v>231</v>
      </c>
      <c r="B319" t="s">
        <v>12118</v>
      </c>
      <c r="C319">
        <v>254</v>
      </c>
      <c r="D319" s="1" t="s">
        <v>8702</v>
      </c>
      <c r="E319" s="1" t="s">
        <v>8704</v>
      </c>
      <c r="F319" s="1">
        <v>2021</v>
      </c>
      <c r="G319" s="1" t="s">
        <v>5034</v>
      </c>
      <c r="H319" s="1" t="str">
        <f>HYPERLINK("http://dx.doi.org/10.3366/ajicl.2021.0363","http://dx.doi.org/10.3366/ajicl.2021.0363")</f>
        <v>http://dx.doi.org/10.3366/ajicl.2021.0363</v>
      </c>
      <c r="I319" s="1" t="s">
        <v>1507</v>
      </c>
      <c r="J319" s="1" t="s">
        <v>1507</v>
      </c>
      <c r="K319" s="1" t="s">
        <v>42</v>
      </c>
      <c r="L319" s="1" t="s">
        <v>56</v>
      </c>
    </row>
    <row r="320" spans="1:12" x14ac:dyDescent="0.3">
      <c r="A320" s="1">
        <v>232</v>
      </c>
      <c r="B320" t="s">
        <v>12118</v>
      </c>
      <c r="C320">
        <v>256</v>
      </c>
      <c r="D320" s="1" t="s">
        <v>5959</v>
      </c>
      <c r="E320" s="1" t="s">
        <v>5961</v>
      </c>
      <c r="F320" s="1">
        <v>2023</v>
      </c>
      <c r="G320" s="1" t="s">
        <v>5962</v>
      </c>
      <c r="H320" s="1" t="str">
        <f>HYPERLINK("http://dx.doi.org/10.2196/48808","http://dx.doi.org/10.2196/48808")</f>
        <v>http://dx.doi.org/10.2196/48808</v>
      </c>
      <c r="I320" s="1" t="s">
        <v>5964</v>
      </c>
      <c r="J320" s="1" t="s">
        <v>5963</v>
      </c>
      <c r="K320" s="1" t="s">
        <v>42</v>
      </c>
      <c r="L320" s="1" t="s">
        <v>56</v>
      </c>
    </row>
    <row r="321" spans="1:12" x14ac:dyDescent="0.3">
      <c r="A321" s="1">
        <v>234</v>
      </c>
      <c r="B321" t="s">
        <v>12118</v>
      </c>
      <c r="C321">
        <v>257</v>
      </c>
      <c r="D321" s="1" t="s">
        <v>2084</v>
      </c>
      <c r="E321" s="1" t="s">
        <v>2086</v>
      </c>
      <c r="F321" s="1">
        <v>2023</v>
      </c>
      <c r="G321" s="1" t="s">
        <v>2087</v>
      </c>
      <c r="H321" s="1" t="str">
        <f>HYPERLINK("http://dx.doi.org/10.1007/JHEP12(2023)046","http://dx.doi.org/10.1007/JHEP12(2023)046")</f>
        <v>http://dx.doi.org/10.1007/JHEP12(2023)046</v>
      </c>
      <c r="I321" s="1" t="s">
        <v>2089</v>
      </c>
      <c r="J321" s="1" t="s">
        <v>2088</v>
      </c>
      <c r="K321" s="1" t="s">
        <v>42</v>
      </c>
      <c r="L321" s="1" t="s">
        <v>56</v>
      </c>
    </row>
    <row r="322" spans="1:12" x14ac:dyDescent="0.3">
      <c r="A322" s="1">
        <v>235</v>
      </c>
      <c r="B322" t="s">
        <v>12118</v>
      </c>
      <c r="C322">
        <v>259</v>
      </c>
      <c r="D322" s="1" t="s">
        <v>11694</v>
      </c>
      <c r="E322" s="1" t="s">
        <v>11696</v>
      </c>
      <c r="F322" s="1">
        <v>2018</v>
      </c>
      <c r="G322" s="1" t="s">
        <v>11697</v>
      </c>
      <c r="H322" s="1" t="str">
        <f>HYPERLINK("http://dx.doi.org/10.1089/blr.2018.29073.cmh","http://dx.doi.org/10.1089/blr.2018.29073.cmh")</f>
        <v>http://dx.doi.org/10.1089/blr.2018.29073.cmh</v>
      </c>
      <c r="I322" s="1" t="s">
        <v>11700</v>
      </c>
      <c r="J322" s="1" t="s">
        <v>11698</v>
      </c>
      <c r="K322" s="1" t="s">
        <v>42</v>
      </c>
      <c r="L322" s="1" t="s">
        <v>56</v>
      </c>
    </row>
    <row r="323" spans="1:12" x14ac:dyDescent="0.3">
      <c r="A323" s="1">
        <v>236</v>
      </c>
      <c r="B323" t="s">
        <v>12118</v>
      </c>
      <c r="C323">
        <v>261</v>
      </c>
      <c r="D323" s="1" t="s">
        <v>9106</v>
      </c>
      <c r="E323" s="1" t="s">
        <v>9108</v>
      </c>
      <c r="F323" s="1">
        <v>2021</v>
      </c>
      <c r="G323" s="1" t="s">
        <v>7538</v>
      </c>
      <c r="H323" s="1" t="str">
        <f>HYPERLINK("http://dx.doi.org/10.1021/acsami.0c19465","http://dx.doi.org/10.1021/acsami.0c19465")</f>
        <v>http://dx.doi.org/10.1021/acsami.0c19465</v>
      </c>
      <c r="I323" s="1" t="s">
        <v>9111</v>
      </c>
      <c r="J323" s="1" t="s">
        <v>9109</v>
      </c>
      <c r="K323" s="1" t="s">
        <v>42</v>
      </c>
      <c r="L323" s="1" t="s">
        <v>56</v>
      </c>
    </row>
    <row r="324" spans="1:12" x14ac:dyDescent="0.3">
      <c r="A324" s="1">
        <v>237</v>
      </c>
      <c r="B324" t="s">
        <v>12118</v>
      </c>
      <c r="C324">
        <v>262</v>
      </c>
      <c r="D324" s="1" t="s">
        <v>7535</v>
      </c>
      <c r="E324" s="1" t="s">
        <v>7537</v>
      </c>
      <c r="F324" s="1">
        <v>2022</v>
      </c>
      <c r="G324" s="1" t="s">
        <v>7538</v>
      </c>
      <c r="H324" s="1" t="str">
        <f>HYPERLINK("http://dx.doi.org/10.1021/acsami.1c20872","http://dx.doi.org/10.1021/acsami.1c20872")</f>
        <v>http://dx.doi.org/10.1021/acsami.1c20872</v>
      </c>
      <c r="I324" s="1" t="s">
        <v>7541</v>
      </c>
      <c r="J324" s="1" t="s">
        <v>7539</v>
      </c>
      <c r="K324" s="1" t="s">
        <v>42</v>
      </c>
      <c r="L324" s="1" t="s">
        <v>56</v>
      </c>
    </row>
    <row r="325" spans="1:12" x14ac:dyDescent="0.3">
      <c r="A325" s="1">
        <v>239</v>
      </c>
      <c r="B325" t="s">
        <v>12118</v>
      </c>
      <c r="C325">
        <v>264</v>
      </c>
      <c r="D325" s="1" t="s">
        <v>10904</v>
      </c>
      <c r="E325" s="1" t="s">
        <v>10906</v>
      </c>
      <c r="F325" s="1">
        <v>2019</v>
      </c>
      <c r="G325" s="1" t="s">
        <v>10907</v>
      </c>
      <c r="H325" s="1" t="str">
        <f>HYPERLINK("http://dx.doi.org/10.1080/09654313.2019.1626351","http://dx.doi.org/10.1080/09654313.2019.1626351")</f>
        <v>http://dx.doi.org/10.1080/09654313.2019.1626351</v>
      </c>
      <c r="I325" s="1" t="s">
        <v>10910</v>
      </c>
      <c r="J325" s="1" t="s">
        <v>10908</v>
      </c>
      <c r="K325" s="1" t="s">
        <v>42</v>
      </c>
      <c r="L325" s="1" t="s">
        <v>56</v>
      </c>
    </row>
    <row r="326" spans="1:12" x14ac:dyDescent="0.3">
      <c r="A326" s="1">
        <v>240</v>
      </c>
      <c r="B326" t="s">
        <v>12118</v>
      </c>
      <c r="C326">
        <v>265</v>
      </c>
      <c r="D326" s="1" t="s">
        <v>7798</v>
      </c>
      <c r="E326" s="1" t="s">
        <v>7800</v>
      </c>
      <c r="F326" s="1">
        <v>2022</v>
      </c>
      <c r="G326" s="1" t="s">
        <v>7801</v>
      </c>
      <c r="H326" s="1" t="str">
        <f>HYPERLINK("http://dx.doi.org/10.1145/3560905.3568431","http://dx.doi.org/10.1145/3560905.3568431")</f>
        <v>http://dx.doi.org/10.1145/3560905.3568431</v>
      </c>
      <c r="I326" s="1" t="s">
        <v>7807</v>
      </c>
      <c r="J326" s="1" t="s">
        <v>7806</v>
      </c>
      <c r="K326" s="1" t="s">
        <v>42</v>
      </c>
      <c r="L326" s="1" t="s">
        <v>5552</v>
      </c>
    </row>
    <row r="327" spans="1:12" x14ac:dyDescent="0.3">
      <c r="A327" s="1">
        <v>241</v>
      </c>
      <c r="B327" t="s">
        <v>12118</v>
      </c>
      <c r="C327">
        <v>267</v>
      </c>
      <c r="D327" s="1" t="s">
        <v>10308</v>
      </c>
      <c r="E327" s="1" t="s">
        <v>10310</v>
      </c>
      <c r="F327" s="1">
        <v>2020</v>
      </c>
      <c r="G327" s="1" t="s">
        <v>10311</v>
      </c>
      <c r="H327" s="1" t="str">
        <f>HYPERLINK("http://dx.doi.org/10.22584/nr50.2020.006","http://dx.doi.org/10.22584/nr50.2020.006")</f>
        <v>http://dx.doi.org/10.22584/nr50.2020.006</v>
      </c>
      <c r="I327" s="1" t="s">
        <v>10312</v>
      </c>
      <c r="J327" s="1" t="s">
        <v>1507</v>
      </c>
      <c r="K327" s="1" t="s">
        <v>42</v>
      </c>
      <c r="L327" s="1" t="s">
        <v>56</v>
      </c>
    </row>
    <row r="328" spans="1:12" x14ac:dyDescent="0.3">
      <c r="A328" s="1">
        <v>242</v>
      </c>
      <c r="B328" t="s">
        <v>12118</v>
      </c>
      <c r="C328">
        <v>266</v>
      </c>
      <c r="D328" s="1" t="s">
        <v>10308</v>
      </c>
      <c r="E328" s="1" t="s">
        <v>11363</v>
      </c>
      <c r="F328" s="1">
        <v>2019</v>
      </c>
      <c r="G328" s="1" t="s">
        <v>9248</v>
      </c>
      <c r="H328" s="1" t="s">
        <v>1507</v>
      </c>
      <c r="I328" s="1" t="s">
        <v>11364</v>
      </c>
      <c r="J328" s="1" t="s">
        <v>1507</v>
      </c>
      <c r="K328" s="1" t="s">
        <v>42</v>
      </c>
      <c r="L328" s="1" t="s">
        <v>56</v>
      </c>
    </row>
    <row r="329" spans="1:12" x14ac:dyDescent="0.3">
      <c r="A329" s="1">
        <v>243</v>
      </c>
      <c r="B329" t="s">
        <v>12118</v>
      </c>
      <c r="C329">
        <v>268</v>
      </c>
      <c r="D329" s="1" t="s">
        <v>9431</v>
      </c>
      <c r="E329" s="1" t="s">
        <v>9433</v>
      </c>
      <c r="F329" s="1">
        <v>2020</v>
      </c>
      <c r="G329" s="1" t="s">
        <v>9434</v>
      </c>
      <c r="H329" s="1" t="str">
        <f>HYPERLINK("http://dx.doi.org/10.1016/j.gloplacha.2021.103623","http://dx.doi.org/10.1016/j.gloplacha.2021.103623")</f>
        <v>http://dx.doi.org/10.1016/j.gloplacha.2021.103623</v>
      </c>
      <c r="I329" s="1" t="s">
        <v>9437</v>
      </c>
      <c r="J329" s="1" t="s">
        <v>9435</v>
      </c>
      <c r="K329" s="1" t="s">
        <v>42</v>
      </c>
      <c r="L329" s="1" t="s">
        <v>56</v>
      </c>
    </row>
    <row r="330" spans="1:12" x14ac:dyDescent="0.3">
      <c r="A330" s="1">
        <v>244</v>
      </c>
      <c r="B330" t="s">
        <v>12118</v>
      </c>
      <c r="C330">
        <v>272</v>
      </c>
      <c r="D330" s="1" t="s">
        <v>5475</v>
      </c>
      <c r="E330" s="1" t="s">
        <v>5477</v>
      </c>
      <c r="F330" s="1">
        <v>2023</v>
      </c>
      <c r="G330" s="1" t="s">
        <v>5478</v>
      </c>
      <c r="H330" s="1" t="str">
        <f>HYPERLINK("http://dx.doi.org/10.1111/1911-3846.12832","http://dx.doi.org/10.1111/1911-3846.12832")</f>
        <v>http://dx.doi.org/10.1111/1911-3846.12832</v>
      </c>
      <c r="I330" s="1" t="s">
        <v>5481</v>
      </c>
      <c r="J330" s="1" t="s">
        <v>5479</v>
      </c>
      <c r="K330" s="1" t="s">
        <v>42</v>
      </c>
      <c r="L330" s="1" t="s">
        <v>56</v>
      </c>
    </row>
    <row r="331" spans="1:12" x14ac:dyDescent="0.3">
      <c r="A331" s="1">
        <v>245</v>
      </c>
      <c r="B331" t="s">
        <v>12118</v>
      </c>
      <c r="C331">
        <v>273</v>
      </c>
      <c r="D331" s="1" t="s">
        <v>11852</v>
      </c>
      <c r="E331" s="1" t="s">
        <v>11854</v>
      </c>
      <c r="F331" s="1">
        <v>2018</v>
      </c>
      <c r="G331" s="1" t="s">
        <v>3376</v>
      </c>
      <c r="H331" s="1" t="str">
        <f>HYPERLINK("http://dx.doi.org/10.1002/prep.201700154","http://dx.doi.org/10.1002/prep.201700154")</f>
        <v>http://dx.doi.org/10.1002/prep.201700154</v>
      </c>
      <c r="I331" s="1" t="s">
        <v>11857</v>
      </c>
      <c r="J331" s="1" t="s">
        <v>11855</v>
      </c>
      <c r="K331" s="1" t="s">
        <v>42</v>
      </c>
      <c r="L331" s="1" t="s">
        <v>56</v>
      </c>
    </row>
    <row r="332" spans="1:12" x14ac:dyDescent="0.3">
      <c r="A332" s="1">
        <v>250</v>
      </c>
      <c r="B332" t="s">
        <v>12118</v>
      </c>
      <c r="C332">
        <v>276</v>
      </c>
      <c r="D332" s="1" t="s">
        <v>11994</v>
      </c>
      <c r="E332" s="1" t="s">
        <v>11996</v>
      </c>
      <c r="F332" s="1">
        <v>2018</v>
      </c>
      <c r="G332" s="1" t="s">
        <v>11997</v>
      </c>
      <c r="H332" s="1" t="str">
        <f>HYPERLINK("http://dx.doi.org/10.1108/AEAT-06-2016-0102","http://dx.doi.org/10.1108/AEAT-06-2016-0102")</f>
        <v>http://dx.doi.org/10.1108/AEAT-06-2016-0102</v>
      </c>
      <c r="I332" s="1" t="s">
        <v>11999</v>
      </c>
      <c r="J332" s="1" t="s">
        <v>11998</v>
      </c>
      <c r="K332" s="1" t="s">
        <v>42</v>
      </c>
      <c r="L332" s="1" t="s">
        <v>56</v>
      </c>
    </row>
    <row r="333" spans="1:12" x14ac:dyDescent="0.3">
      <c r="A333" s="1">
        <v>252</v>
      </c>
      <c r="B333" t="s">
        <v>12118</v>
      </c>
      <c r="C333">
        <v>278</v>
      </c>
      <c r="D333" s="1" t="s">
        <v>15052</v>
      </c>
      <c r="E333" s="1" t="s">
        <v>15054</v>
      </c>
      <c r="F333" s="1">
        <v>2023</v>
      </c>
      <c r="G333" s="1" t="s">
        <v>14923</v>
      </c>
      <c r="H333" s="1" t="str">
        <f>HYPERLINK("http://dx.doi.org/10.1145/3591196.3596818","http://dx.doi.org/10.1145/3591196.3596818")</f>
        <v>http://dx.doi.org/10.1145/3591196.3596818</v>
      </c>
      <c r="I333" s="1" t="s">
        <v>15056</v>
      </c>
      <c r="J333" s="1" t="s">
        <v>15055</v>
      </c>
      <c r="K333" s="1" t="s">
        <v>42</v>
      </c>
      <c r="L333" s="1" t="s">
        <v>5552</v>
      </c>
    </row>
    <row r="334" spans="1:12" x14ac:dyDescent="0.3">
      <c r="A334" s="1">
        <v>254</v>
      </c>
      <c r="B334" t="s">
        <v>12118</v>
      </c>
      <c r="C334">
        <v>281</v>
      </c>
      <c r="D334" s="1" t="s">
        <v>4171</v>
      </c>
      <c r="E334" s="1" t="s">
        <v>4173</v>
      </c>
      <c r="F334" s="1">
        <v>2023</v>
      </c>
      <c r="G334" s="1" t="s">
        <v>4174</v>
      </c>
      <c r="H334" s="1" t="str">
        <f>HYPERLINK("http://dx.doi.org/10.1016/j.eswa.2023.121029","http://dx.doi.org/10.1016/j.eswa.2023.121029")</f>
        <v>http://dx.doi.org/10.1016/j.eswa.2023.121029</v>
      </c>
      <c r="I334" s="1" t="s">
        <v>4176</v>
      </c>
      <c r="J334" s="1" t="s">
        <v>4175</v>
      </c>
      <c r="K334" s="1" t="s">
        <v>42</v>
      </c>
      <c r="L334" s="1" t="s">
        <v>56</v>
      </c>
    </row>
    <row r="335" spans="1:12" x14ac:dyDescent="0.3">
      <c r="A335" s="1">
        <v>255</v>
      </c>
      <c r="B335" t="s">
        <v>12118</v>
      </c>
      <c r="C335">
        <v>282</v>
      </c>
      <c r="D335" s="1" t="s">
        <v>9696</v>
      </c>
      <c r="E335" s="1" t="s">
        <v>9698</v>
      </c>
      <c r="F335" s="1">
        <v>2020</v>
      </c>
      <c r="G335" s="1" t="s">
        <v>9699</v>
      </c>
      <c r="H335" s="1" t="str">
        <f>HYPERLINK("http://dx.doi.org/10.1016/S2213-2600(20)30193-4","http://dx.doi.org/10.1016/S2213-2600(20)30193-4")</f>
        <v>http://dx.doi.org/10.1016/S2213-2600(20)30193-4</v>
      </c>
      <c r="I335" s="1" t="s">
        <v>9701</v>
      </c>
      <c r="J335" s="1" t="s">
        <v>1507</v>
      </c>
      <c r="K335" s="1" t="s">
        <v>42</v>
      </c>
      <c r="L335" s="1" t="s">
        <v>56</v>
      </c>
    </row>
    <row r="336" spans="1:12" x14ac:dyDescent="0.3">
      <c r="A336" s="1">
        <v>257</v>
      </c>
      <c r="B336" t="s">
        <v>12118</v>
      </c>
      <c r="C336">
        <v>284</v>
      </c>
      <c r="D336" s="1" t="s">
        <v>4739</v>
      </c>
      <c r="E336" s="1" t="s">
        <v>4741</v>
      </c>
      <c r="F336" s="1">
        <v>2023</v>
      </c>
      <c r="G336" s="1" t="s">
        <v>4742</v>
      </c>
      <c r="H336" s="1" t="str">
        <f>HYPERLINK("http://dx.doi.org/10.3201/eid2906.221680","http://dx.doi.org/10.3201/eid2906.221680")</f>
        <v>http://dx.doi.org/10.3201/eid2906.221680</v>
      </c>
      <c r="I336" s="1" t="s">
        <v>1507</v>
      </c>
      <c r="J336" s="1" t="s">
        <v>1507</v>
      </c>
      <c r="K336" s="1" t="s">
        <v>42</v>
      </c>
      <c r="L336" s="1" t="s">
        <v>56</v>
      </c>
    </row>
    <row r="337" spans="1:12" x14ac:dyDescent="0.3">
      <c r="A337" s="1">
        <v>258</v>
      </c>
      <c r="B337" t="s">
        <v>12118</v>
      </c>
      <c r="C337">
        <v>285</v>
      </c>
      <c r="D337" s="1" t="s">
        <v>7055</v>
      </c>
      <c r="E337" s="1" t="s">
        <v>7057</v>
      </c>
      <c r="F337" s="1">
        <v>2022</v>
      </c>
      <c r="G337" s="1" t="s">
        <v>7058</v>
      </c>
      <c r="H337" s="1" t="str">
        <f>HYPERLINK("http://dx.doi.org/10.1016/j.ebiom.2022.104232","http://dx.doi.org/10.1016/j.ebiom.2022.104232")</f>
        <v>http://dx.doi.org/10.1016/j.ebiom.2022.104232</v>
      </c>
      <c r="I337" s="1" t="s">
        <v>7060</v>
      </c>
      <c r="J337" s="1" t="s">
        <v>7059</v>
      </c>
      <c r="K337" s="1" t="s">
        <v>42</v>
      </c>
      <c r="L337" s="1" t="s">
        <v>56</v>
      </c>
    </row>
    <row r="338" spans="1:12" x14ac:dyDescent="0.3">
      <c r="A338" s="1">
        <v>260</v>
      </c>
      <c r="B338" t="s">
        <v>12118</v>
      </c>
      <c r="C338">
        <v>289</v>
      </c>
      <c r="D338" s="1" t="s">
        <v>2217</v>
      </c>
      <c r="E338" s="1" t="s">
        <v>2219</v>
      </c>
      <c r="F338" s="1">
        <v>2023</v>
      </c>
      <c r="G338" s="1" t="s">
        <v>2220</v>
      </c>
      <c r="H338" s="1" t="str">
        <f>HYPERLINK("http://dx.doi.org/10.3390/bdcc7040182","http://dx.doi.org/10.3390/bdcc7040182")</f>
        <v>http://dx.doi.org/10.3390/bdcc7040182</v>
      </c>
      <c r="I338" s="1" t="s">
        <v>2222</v>
      </c>
      <c r="J338" s="1" t="s">
        <v>2221</v>
      </c>
      <c r="K338" s="1" t="s">
        <v>42</v>
      </c>
      <c r="L338" s="1" t="s">
        <v>56</v>
      </c>
    </row>
    <row r="339" spans="1:12" x14ac:dyDescent="0.3">
      <c r="A339" s="1">
        <v>263</v>
      </c>
      <c r="B339" t="s">
        <v>12118</v>
      </c>
      <c r="C339">
        <v>293</v>
      </c>
      <c r="D339" s="1" t="s">
        <v>7192</v>
      </c>
      <c r="E339" s="1" t="s">
        <v>7195</v>
      </c>
      <c r="F339" s="1">
        <v>2022</v>
      </c>
      <c r="G339" s="1" t="s">
        <v>7196</v>
      </c>
      <c r="H339" s="1" t="str">
        <f>HYPERLINK("http://dx.doi.org/10.1007/s00394-022-02909-9","http://dx.doi.org/10.1007/s00394-022-02909-9")</f>
        <v>http://dx.doi.org/10.1007/s00394-022-02909-9</v>
      </c>
      <c r="I339" s="1" t="s">
        <v>7199</v>
      </c>
      <c r="J339" s="1" t="s">
        <v>7197</v>
      </c>
      <c r="K339" s="1" t="s">
        <v>42</v>
      </c>
      <c r="L339" s="1" t="s">
        <v>56</v>
      </c>
    </row>
    <row r="340" spans="1:12" x14ac:dyDescent="0.3">
      <c r="A340" s="1">
        <v>264</v>
      </c>
      <c r="B340" t="s">
        <v>12118</v>
      </c>
      <c r="C340">
        <v>294</v>
      </c>
      <c r="D340" s="1" t="s">
        <v>3121</v>
      </c>
      <c r="E340" s="1" t="s">
        <v>3123</v>
      </c>
      <c r="F340" s="1">
        <v>2023</v>
      </c>
      <c r="G340" s="1" t="s">
        <v>3124</v>
      </c>
      <c r="H340" s="1" t="str">
        <f>HYPERLINK("http://dx.doi.org/10.1016/j.jasrep.2023.104238","http://dx.doi.org/10.1016/j.jasrep.2023.104238")</f>
        <v>http://dx.doi.org/10.1016/j.jasrep.2023.104238</v>
      </c>
      <c r="I340" s="1" t="s">
        <v>3127</v>
      </c>
      <c r="J340" s="1" t="s">
        <v>3125</v>
      </c>
      <c r="K340" s="1" t="s">
        <v>42</v>
      </c>
      <c r="L340" s="1" t="s">
        <v>56</v>
      </c>
    </row>
    <row r="341" spans="1:12" x14ac:dyDescent="0.3">
      <c r="A341" s="1">
        <v>266</v>
      </c>
      <c r="B341" t="s">
        <v>12118</v>
      </c>
      <c r="C341">
        <v>295</v>
      </c>
      <c r="D341" s="1" t="s">
        <v>7820</v>
      </c>
      <c r="E341" s="1" t="s">
        <v>7823</v>
      </c>
      <c r="F341" s="1">
        <v>2022</v>
      </c>
      <c r="G341" s="1" t="s">
        <v>7824</v>
      </c>
      <c r="H341" s="1" t="str">
        <f>HYPERLINK("http://dx.doi.org/10.1007/978-3-031-19827-4_41","http://dx.doi.org/10.1007/978-3-031-19827-4_41")</f>
        <v>http://dx.doi.org/10.1007/978-3-031-19827-4_41</v>
      </c>
      <c r="I341" s="1" t="s">
        <v>7828</v>
      </c>
      <c r="J341" s="1" t="s">
        <v>1507</v>
      </c>
      <c r="K341" s="1" t="s">
        <v>42</v>
      </c>
      <c r="L341" s="1" t="s">
        <v>5552</v>
      </c>
    </row>
    <row r="342" spans="1:12" x14ac:dyDescent="0.3">
      <c r="A342" s="1">
        <v>267</v>
      </c>
      <c r="B342" t="s">
        <v>12118</v>
      </c>
      <c r="C342">
        <v>296</v>
      </c>
      <c r="D342" s="1" t="s">
        <v>5987</v>
      </c>
      <c r="E342" s="1" t="s">
        <v>5989</v>
      </c>
      <c r="F342" s="1">
        <v>2023</v>
      </c>
      <c r="G342" s="1" t="s">
        <v>5990</v>
      </c>
      <c r="H342" s="1" t="str">
        <f>HYPERLINK("http://dx.doi.org/10.1145/3594536.3595170","http://dx.doi.org/10.1145/3594536.3595170")</f>
        <v>http://dx.doi.org/10.1145/3594536.3595170</v>
      </c>
      <c r="I342" s="1" t="s">
        <v>5997</v>
      </c>
      <c r="J342" s="1" t="s">
        <v>5996</v>
      </c>
      <c r="K342" s="1" t="s">
        <v>42</v>
      </c>
      <c r="L342" s="1" t="s">
        <v>5552</v>
      </c>
    </row>
    <row r="343" spans="1:12" x14ac:dyDescent="0.3">
      <c r="A343" s="1">
        <v>268</v>
      </c>
      <c r="B343" t="s">
        <v>12118</v>
      </c>
      <c r="C343">
        <v>297</v>
      </c>
      <c r="D343" s="1" t="s">
        <v>4678</v>
      </c>
      <c r="E343" s="1" t="s">
        <v>4680</v>
      </c>
      <c r="F343" s="1">
        <v>2023</v>
      </c>
      <c r="G343" s="1" t="s">
        <v>1760</v>
      </c>
      <c r="H343" s="1" t="str">
        <f>HYPERLINK("http://dx.doi.org/10.1038/s41586-023-06160-y","http://dx.doi.org/10.1038/s41586-023-06160-y")</f>
        <v>http://dx.doi.org/10.1038/s41586-023-06160-y</v>
      </c>
      <c r="I343" s="1" t="s">
        <v>4681</v>
      </c>
      <c r="J343" s="1" t="s">
        <v>1507</v>
      </c>
      <c r="K343" s="1" t="s">
        <v>42</v>
      </c>
      <c r="L343" s="1" t="s">
        <v>56</v>
      </c>
    </row>
    <row r="344" spans="1:12" x14ac:dyDescent="0.3">
      <c r="A344" s="1">
        <v>269</v>
      </c>
      <c r="B344" t="s">
        <v>12118</v>
      </c>
      <c r="C344">
        <v>298</v>
      </c>
      <c r="D344" s="1" t="s">
        <v>6011</v>
      </c>
      <c r="E344" s="1" t="s">
        <v>6013</v>
      </c>
      <c r="F344" s="1">
        <v>2023</v>
      </c>
      <c r="G344" s="1" t="s">
        <v>6014</v>
      </c>
      <c r="H344" s="1" t="str">
        <f>HYPERLINK("http://dx.doi.org/10.1109/ASE56229.2023.00040","http://dx.doi.org/10.1109/ASE56229.2023.00040")</f>
        <v>http://dx.doi.org/10.1109/ASE56229.2023.00040</v>
      </c>
      <c r="I344" s="1" t="s">
        <v>6020</v>
      </c>
      <c r="J344" s="1" t="s">
        <v>1507</v>
      </c>
      <c r="K344" s="1" t="s">
        <v>42</v>
      </c>
      <c r="L344" s="1" t="s">
        <v>5552</v>
      </c>
    </row>
    <row r="345" spans="1:12" x14ac:dyDescent="0.3">
      <c r="A345" s="1">
        <v>271</v>
      </c>
      <c r="B345" t="s">
        <v>12118</v>
      </c>
      <c r="C345">
        <v>299</v>
      </c>
      <c r="D345" s="1" t="s">
        <v>6038</v>
      </c>
      <c r="E345" s="1" t="s">
        <v>6040</v>
      </c>
      <c r="F345" s="1">
        <v>2023</v>
      </c>
      <c r="G345" s="1" t="s">
        <v>1625</v>
      </c>
      <c r="H345" s="1" t="str">
        <f>HYPERLINK("http://dx.doi.org/10.1109/ACCESS.2023.3341007","http://dx.doi.org/10.1109/ACCESS.2023.3341007")</f>
        <v>http://dx.doi.org/10.1109/ACCESS.2023.3341007</v>
      </c>
      <c r="I345" s="1" t="s">
        <v>6042</v>
      </c>
      <c r="J345" s="1" t="s">
        <v>6041</v>
      </c>
      <c r="K345" s="1" t="s">
        <v>42</v>
      </c>
      <c r="L345" s="1" t="s">
        <v>56</v>
      </c>
    </row>
    <row r="346" spans="1:12" x14ac:dyDescent="0.3">
      <c r="A346" s="1">
        <v>272</v>
      </c>
      <c r="B346" t="s">
        <v>12118</v>
      </c>
      <c r="C346">
        <v>301</v>
      </c>
      <c r="D346" s="1" t="s">
        <v>8367</v>
      </c>
      <c r="E346" s="1" t="s">
        <v>8369</v>
      </c>
      <c r="F346" s="1">
        <v>2022</v>
      </c>
      <c r="G346" s="1" t="s">
        <v>8370</v>
      </c>
      <c r="H346" s="1" t="str">
        <f>HYPERLINK("http://dx.doi.org/10.1038/s41396-021-01064-z","http://dx.doi.org/10.1038/s41396-021-01064-z")</f>
        <v>http://dx.doi.org/10.1038/s41396-021-01064-z</v>
      </c>
      <c r="I346" s="1" t="s">
        <v>8372</v>
      </c>
      <c r="J346" s="1" t="s">
        <v>1507</v>
      </c>
      <c r="K346" s="1" t="s">
        <v>42</v>
      </c>
      <c r="L346" s="1" t="s">
        <v>56</v>
      </c>
    </row>
    <row r="347" spans="1:12" x14ac:dyDescent="0.3">
      <c r="A347" s="1">
        <v>274</v>
      </c>
      <c r="B347" t="s">
        <v>12118</v>
      </c>
      <c r="C347">
        <v>303</v>
      </c>
      <c r="D347" s="1" t="s">
        <v>8088</v>
      </c>
      <c r="E347" s="1" t="s">
        <v>8090</v>
      </c>
      <c r="F347" s="1">
        <v>2021</v>
      </c>
      <c r="G347" s="1" t="s">
        <v>8091</v>
      </c>
      <c r="H347" s="1" t="str">
        <f>HYPERLINK("http://dx.doi.org/10.1093/jn/nxab300","http://dx.doi.org/10.1093/jn/nxab300")</f>
        <v>http://dx.doi.org/10.1093/jn/nxab300</v>
      </c>
      <c r="I347" s="1" t="s">
        <v>8094</v>
      </c>
      <c r="J347" s="1" t="s">
        <v>8092</v>
      </c>
      <c r="K347" s="1" t="s">
        <v>42</v>
      </c>
      <c r="L347" s="1" t="s">
        <v>56</v>
      </c>
    </row>
    <row r="348" spans="1:12" x14ac:dyDescent="0.3">
      <c r="A348" s="1">
        <v>276</v>
      </c>
      <c r="B348" t="s">
        <v>12118</v>
      </c>
      <c r="C348">
        <v>305</v>
      </c>
      <c r="D348" s="1" t="s">
        <v>15065</v>
      </c>
      <c r="E348" s="1" t="s">
        <v>15067</v>
      </c>
      <c r="F348" s="1">
        <v>2023</v>
      </c>
      <c r="G348" s="1" t="s">
        <v>15068</v>
      </c>
      <c r="H348" s="1" t="str">
        <f>HYPERLINK("http://dx.doi.org/10.1109/VLSI-SoC57769.2023.10321880","http://dx.doi.org/10.1109/VLSI-SoC57769.2023.10321880")</f>
        <v>http://dx.doi.org/10.1109/VLSI-SoC57769.2023.10321880</v>
      </c>
      <c r="I348" s="1" t="s">
        <v>15076</v>
      </c>
      <c r="J348" s="1" t="s">
        <v>15074</v>
      </c>
      <c r="K348" s="1" t="s">
        <v>42</v>
      </c>
      <c r="L348" s="1" t="s">
        <v>5552</v>
      </c>
    </row>
    <row r="349" spans="1:12" x14ac:dyDescent="0.3">
      <c r="A349" s="1">
        <v>277</v>
      </c>
      <c r="B349" t="s">
        <v>12118</v>
      </c>
      <c r="C349">
        <v>307</v>
      </c>
      <c r="D349" s="1" t="s">
        <v>11751</v>
      </c>
      <c r="E349" s="1" t="s">
        <v>11753</v>
      </c>
      <c r="F349" s="1">
        <v>2018</v>
      </c>
      <c r="G349" s="1" t="s">
        <v>11754</v>
      </c>
      <c r="H349" s="1" t="str">
        <f>HYPERLINK("http://dx.doi.org/10.1016/j.jiph.2017.00.022","http://dx.doi.org/10.1016/j.jiph.2017.00.022")</f>
        <v>http://dx.doi.org/10.1016/j.jiph.2017.00.022</v>
      </c>
      <c r="I349" s="1" t="s">
        <v>11757</v>
      </c>
      <c r="J349" s="1" t="s">
        <v>11755</v>
      </c>
      <c r="K349" s="1" t="s">
        <v>42</v>
      </c>
      <c r="L349" s="1" t="s">
        <v>56</v>
      </c>
    </row>
    <row r="350" spans="1:12" x14ac:dyDescent="0.3">
      <c r="A350" s="1">
        <v>278</v>
      </c>
      <c r="B350" t="s">
        <v>12118</v>
      </c>
      <c r="C350">
        <v>309</v>
      </c>
      <c r="D350" s="1" t="s">
        <v>2808</v>
      </c>
      <c r="E350" s="1" t="s">
        <v>2810</v>
      </c>
      <c r="F350" s="1">
        <v>2023</v>
      </c>
      <c r="G350" s="1" t="s">
        <v>2811</v>
      </c>
      <c r="H350" s="1" t="str">
        <f>HYPERLINK("http://dx.doi.org/10.1111/cogs.13386","http://dx.doi.org/10.1111/cogs.13386")</f>
        <v>http://dx.doi.org/10.1111/cogs.13386</v>
      </c>
      <c r="I350" s="1" t="s">
        <v>2814</v>
      </c>
      <c r="J350" s="1" t="s">
        <v>2812</v>
      </c>
      <c r="K350" s="1" t="s">
        <v>42</v>
      </c>
      <c r="L350" s="1" t="s">
        <v>56</v>
      </c>
    </row>
    <row r="351" spans="1:12" x14ac:dyDescent="0.3">
      <c r="A351" s="1">
        <v>279</v>
      </c>
      <c r="B351" t="s">
        <v>12118</v>
      </c>
      <c r="C351">
        <v>310</v>
      </c>
      <c r="D351" s="1" t="s">
        <v>10329</v>
      </c>
      <c r="E351" s="1" t="s">
        <v>10331</v>
      </c>
      <c r="F351" s="1">
        <v>2020</v>
      </c>
      <c r="G351" s="1" t="s">
        <v>10332</v>
      </c>
      <c r="H351" s="1" t="str">
        <f>HYPERLINK("http://dx.doi.org/10.1002/cti2.1107","http://dx.doi.org/10.1002/cti2.1107")</f>
        <v>http://dx.doi.org/10.1002/cti2.1107</v>
      </c>
      <c r="I351" s="1" t="s">
        <v>10335</v>
      </c>
      <c r="J351" s="1" t="s">
        <v>10333</v>
      </c>
      <c r="K351" s="1" t="s">
        <v>42</v>
      </c>
      <c r="L351" s="1" t="s">
        <v>56</v>
      </c>
    </row>
    <row r="352" spans="1:12" x14ac:dyDescent="0.3">
      <c r="A352" s="1">
        <v>280</v>
      </c>
      <c r="B352" t="s">
        <v>12118</v>
      </c>
      <c r="C352">
        <v>312</v>
      </c>
      <c r="D352" s="1" t="s">
        <v>6719</v>
      </c>
      <c r="E352" s="1" t="s">
        <v>943</v>
      </c>
      <c r="F352" s="1">
        <v>2023</v>
      </c>
      <c r="G352" s="1" t="s">
        <v>6721</v>
      </c>
      <c r="H352" s="1" t="str">
        <f>HYPERLINK("http://dx.doi.org/10.1002/jee.20499","http://dx.doi.org/10.1002/jee.20499")</f>
        <v>http://dx.doi.org/10.1002/jee.20499</v>
      </c>
      <c r="I352" s="1" t="s">
        <v>6723</v>
      </c>
      <c r="J352" s="1" t="s">
        <v>949</v>
      </c>
      <c r="K352" s="1" t="s">
        <v>42</v>
      </c>
      <c r="L352" s="1" t="s">
        <v>56</v>
      </c>
    </row>
    <row r="353" spans="1:12" x14ac:dyDescent="0.3">
      <c r="A353" s="1">
        <v>281</v>
      </c>
      <c r="B353" t="s">
        <v>12118</v>
      </c>
      <c r="C353">
        <v>313</v>
      </c>
      <c r="D353" s="1" t="s">
        <v>6051</v>
      </c>
      <c r="E353" s="1" t="s">
        <v>6053</v>
      </c>
      <c r="F353" s="1">
        <v>2023</v>
      </c>
      <c r="G353" s="1" t="s">
        <v>6054</v>
      </c>
      <c r="H353" s="1" t="str">
        <f>HYPERLINK("http://dx.doi.org/10.1145/3544548.3580919","http://dx.doi.org/10.1145/3544548.3580919")</f>
        <v>http://dx.doi.org/10.1145/3544548.3580919</v>
      </c>
      <c r="I353" s="1" t="s">
        <v>6061</v>
      </c>
      <c r="J353" s="1" t="s">
        <v>6059</v>
      </c>
      <c r="K353" s="1" t="s">
        <v>42</v>
      </c>
      <c r="L353" s="1" t="s">
        <v>5552</v>
      </c>
    </row>
    <row r="354" spans="1:12" x14ac:dyDescent="0.3">
      <c r="A354" s="1">
        <v>282</v>
      </c>
      <c r="B354" t="s">
        <v>12118</v>
      </c>
      <c r="C354">
        <v>314</v>
      </c>
      <c r="D354" s="1" t="s">
        <v>6071</v>
      </c>
      <c r="E354" s="1" t="s">
        <v>6073</v>
      </c>
      <c r="F354" s="1">
        <v>2023</v>
      </c>
      <c r="G354" s="1" t="s">
        <v>6074</v>
      </c>
      <c r="H354" s="1" t="str">
        <f>HYPERLINK("http://dx.doi.org/10.5195/lawreview.2023.917","http://dx.doi.org/10.5195/lawreview.2023.917")</f>
        <v>http://dx.doi.org/10.5195/lawreview.2023.917</v>
      </c>
      <c r="I354" s="1" t="s">
        <v>1507</v>
      </c>
      <c r="J354" s="1" t="s">
        <v>1507</v>
      </c>
      <c r="K354" s="1" t="s">
        <v>42</v>
      </c>
      <c r="L354" s="1" t="s">
        <v>56</v>
      </c>
    </row>
    <row r="355" spans="1:12" x14ac:dyDescent="0.3">
      <c r="A355" s="1">
        <v>283</v>
      </c>
      <c r="B355" t="s">
        <v>12118</v>
      </c>
      <c r="C355">
        <v>315</v>
      </c>
      <c r="D355" s="1" t="s">
        <v>10206</v>
      </c>
      <c r="E355" s="1" t="s">
        <v>10208</v>
      </c>
      <c r="F355" s="1">
        <v>2020</v>
      </c>
      <c r="G355" s="1" t="s">
        <v>2087</v>
      </c>
      <c r="H355" s="1" t="str">
        <f>HYPERLINK("http://dx.doi.org/10.1007/JHEP01(2020)146","http://dx.doi.org/10.1007/JHEP01(2020)146")</f>
        <v>http://dx.doi.org/10.1007/JHEP01(2020)146</v>
      </c>
      <c r="I355" s="1" t="s">
        <v>10211</v>
      </c>
      <c r="J355" s="1" t="s">
        <v>10209</v>
      </c>
      <c r="K355" s="1" t="s">
        <v>42</v>
      </c>
      <c r="L355" s="1" t="s">
        <v>56</v>
      </c>
    </row>
    <row r="356" spans="1:12" x14ac:dyDescent="0.3">
      <c r="A356" s="1">
        <v>285</v>
      </c>
      <c r="B356" t="s">
        <v>12118</v>
      </c>
      <c r="C356">
        <v>317</v>
      </c>
      <c r="D356" s="1" t="s">
        <v>8461</v>
      </c>
      <c r="E356" s="1" t="s">
        <v>1127</v>
      </c>
      <c r="F356" s="1">
        <v>2021</v>
      </c>
      <c r="G356" s="1" t="s">
        <v>5077</v>
      </c>
      <c r="H356" s="1" t="str">
        <f>HYPERLINK("http://dx.doi.org/10.1016/j.system.2021.102551","http://dx.doi.org/10.1016/j.system.2021.102551")</f>
        <v>http://dx.doi.org/10.1016/j.system.2021.102551</v>
      </c>
      <c r="I356" s="1" t="s">
        <v>8463</v>
      </c>
      <c r="J356" s="1" t="s">
        <v>1132</v>
      </c>
      <c r="K356" s="1" t="s">
        <v>42</v>
      </c>
      <c r="L356" s="1" t="s">
        <v>56</v>
      </c>
    </row>
    <row r="357" spans="1:12" x14ac:dyDescent="0.3">
      <c r="A357" s="1">
        <v>286</v>
      </c>
      <c r="B357" t="s">
        <v>12118</v>
      </c>
      <c r="C357">
        <v>318</v>
      </c>
      <c r="D357" s="1" t="s">
        <v>4572</v>
      </c>
      <c r="E357" s="1" t="s">
        <v>4574</v>
      </c>
      <c r="F357" s="1">
        <v>2023</v>
      </c>
      <c r="G357" s="1" t="s">
        <v>4575</v>
      </c>
      <c r="H357" s="1" t="str">
        <f>HYPERLINK("http://dx.doi.org/10.3390/su151410828","http://dx.doi.org/10.3390/su151410828")</f>
        <v>http://dx.doi.org/10.3390/su151410828</v>
      </c>
      <c r="I357" s="1" t="s">
        <v>4577</v>
      </c>
      <c r="J357" s="1" t="s">
        <v>4576</v>
      </c>
      <c r="K357" s="1" t="s">
        <v>42</v>
      </c>
      <c r="L357" s="1" t="s">
        <v>56</v>
      </c>
    </row>
    <row r="358" spans="1:12" x14ac:dyDescent="0.3">
      <c r="A358" s="1">
        <v>287</v>
      </c>
      <c r="B358" t="s">
        <v>12118</v>
      </c>
      <c r="C358">
        <v>319</v>
      </c>
      <c r="D358" s="1" t="s">
        <v>8490</v>
      </c>
      <c r="E358" s="1" t="s">
        <v>8492</v>
      </c>
      <c r="F358" s="1">
        <v>2021</v>
      </c>
      <c r="G358" s="1" t="s">
        <v>8493</v>
      </c>
      <c r="H358" s="1" t="str">
        <f>HYPERLINK("http://dx.doi.org/10.1016/j.lfs.2021.119674","http://dx.doi.org/10.1016/j.lfs.2021.119674")</f>
        <v>http://dx.doi.org/10.1016/j.lfs.2021.119674</v>
      </c>
      <c r="I358" s="1" t="s">
        <v>8496</v>
      </c>
      <c r="J358" s="1" t="s">
        <v>8494</v>
      </c>
      <c r="K358" s="1" t="s">
        <v>42</v>
      </c>
      <c r="L358" s="1" t="s">
        <v>56</v>
      </c>
    </row>
    <row r="359" spans="1:12" x14ac:dyDescent="0.3">
      <c r="A359" s="1">
        <v>288</v>
      </c>
      <c r="B359" t="s">
        <v>12118</v>
      </c>
      <c r="C359">
        <v>320</v>
      </c>
      <c r="D359" s="1" t="s">
        <v>3776</v>
      </c>
      <c r="E359" s="1" t="s">
        <v>3778</v>
      </c>
      <c r="F359" s="1">
        <v>2023</v>
      </c>
      <c r="G359" s="1" t="s">
        <v>3779</v>
      </c>
      <c r="H359" s="1" t="str">
        <f>HYPERLINK("http://dx.doi.org/10.1080/14703297.2023.2258842","http://dx.doi.org/10.1080/14703297.2023.2258842")</f>
        <v>http://dx.doi.org/10.1080/14703297.2023.2258842</v>
      </c>
      <c r="I359" s="1" t="s">
        <v>3782</v>
      </c>
      <c r="J359" s="1" t="s">
        <v>3780</v>
      </c>
      <c r="K359" s="1" t="s">
        <v>42</v>
      </c>
      <c r="L359" s="1" t="s">
        <v>1509</v>
      </c>
    </row>
    <row r="360" spans="1:12" x14ac:dyDescent="0.3">
      <c r="A360" s="1">
        <v>289</v>
      </c>
      <c r="B360" t="s">
        <v>12118</v>
      </c>
      <c r="C360">
        <v>322</v>
      </c>
      <c r="D360" s="1" t="s">
        <v>9070</v>
      </c>
      <c r="E360" s="1" t="s">
        <v>9072</v>
      </c>
      <c r="F360" s="1">
        <v>2021</v>
      </c>
      <c r="G360" s="1" t="s">
        <v>3555</v>
      </c>
      <c r="H360" s="1" t="str">
        <f>HYPERLINK("http://dx.doi.org/10.1017/S0021855320000236","http://dx.doi.org/10.1017/S0021855320000236")</f>
        <v>http://dx.doi.org/10.1017/S0021855320000236</v>
      </c>
      <c r="I360" s="1" t="s">
        <v>9074</v>
      </c>
      <c r="J360" s="1" t="s">
        <v>9073</v>
      </c>
      <c r="K360" s="1" t="s">
        <v>42</v>
      </c>
      <c r="L360" s="1" t="s">
        <v>56</v>
      </c>
    </row>
    <row r="361" spans="1:12" x14ac:dyDescent="0.3">
      <c r="A361" s="1">
        <v>290</v>
      </c>
      <c r="B361" t="s">
        <v>12118</v>
      </c>
      <c r="C361">
        <v>324</v>
      </c>
      <c r="D361" s="1" t="s">
        <v>4908</v>
      </c>
      <c r="E361" s="1" t="s">
        <v>4910</v>
      </c>
      <c r="F361" s="1">
        <v>2023</v>
      </c>
      <c r="G361" s="1" t="s">
        <v>4911</v>
      </c>
      <c r="H361" s="1" t="str">
        <f>HYPERLINK("http://dx.doi.org/10.1123/jtpe.2023-0058","http://dx.doi.org/10.1123/jtpe.2023-0058")</f>
        <v>http://dx.doi.org/10.1123/jtpe.2023-0058</v>
      </c>
      <c r="I361" s="1" t="s">
        <v>4914</v>
      </c>
      <c r="J361" s="1" t="s">
        <v>4912</v>
      </c>
      <c r="K361" s="1" t="s">
        <v>42</v>
      </c>
      <c r="L361" s="1" t="s">
        <v>56</v>
      </c>
    </row>
    <row r="362" spans="1:12" x14ac:dyDescent="0.3">
      <c r="A362" s="1">
        <v>291</v>
      </c>
      <c r="B362" t="s">
        <v>12118</v>
      </c>
      <c r="C362">
        <v>325</v>
      </c>
      <c r="D362" s="1" t="s">
        <v>2831</v>
      </c>
      <c r="E362" s="1" t="s">
        <v>2833</v>
      </c>
      <c r="F362" s="1">
        <v>2023</v>
      </c>
      <c r="G362" s="1" t="s">
        <v>1609</v>
      </c>
      <c r="H362" s="1" t="str">
        <f>HYPERLINK("http://dx.doi.org/10.3390/math11214479","http://dx.doi.org/10.3390/math11214479")</f>
        <v>http://dx.doi.org/10.3390/math11214479</v>
      </c>
      <c r="I362" s="1" t="s">
        <v>2835</v>
      </c>
      <c r="J362" s="1" t="s">
        <v>2834</v>
      </c>
      <c r="K362" s="1" t="s">
        <v>42</v>
      </c>
      <c r="L362" s="1" t="s">
        <v>56</v>
      </c>
    </row>
    <row r="363" spans="1:12" x14ac:dyDescent="0.3">
      <c r="A363" s="1">
        <v>293</v>
      </c>
      <c r="B363" t="s">
        <v>12118</v>
      </c>
      <c r="C363">
        <v>326</v>
      </c>
      <c r="D363" s="1" t="s">
        <v>3143</v>
      </c>
      <c r="E363" s="1" t="s">
        <v>3145</v>
      </c>
      <c r="F363" s="1">
        <v>2023</v>
      </c>
      <c r="G363" s="1" t="s">
        <v>3146</v>
      </c>
      <c r="H363" s="1" t="str">
        <f>HYPERLINK("http://dx.doi.org/10.1016/j.frl.2023.104580","http://dx.doi.org/10.1016/j.frl.2023.104580")</f>
        <v>http://dx.doi.org/10.1016/j.frl.2023.104580</v>
      </c>
      <c r="I363" s="1" t="s">
        <v>3148</v>
      </c>
      <c r="J363" s="1" t="s">
        <v>3147</v>
      </c>
      <c r="K363" s="1" t="s">
        <v>42</v>
      </c>
      <c r="L363" s="1" t="s">
        <v>56</v>
      </c>
    </row>
    <row r="364" spans="1:12" x14ac:dyDescent="0.3">
      <c r="A364" s="1">
        <v>294</v>
      </c>
      <c r="B364" t="s">
        <v>12118</v>
      </c>
      <c r="C364">
        <v>327</v>
      </c>
      <c r="D364" s="1" t="s">
        <v>15089</v>
      </c>
      <c r="E364" s="1" t="s">
        <v>15091</v>
      </c>
      <c r="F364" s="1">
        <v>2023</v>
      </c>
      <c r="G364" s="1" t="s">
        <v>15092</v>
      </c>
      <c r="H364" s="1" t="str">
        <f>HYPERLINK("http://dx.doi.org/10.1145/3583780.3615234","http://dx.doi.org/10.1145/3583780.3615234")</f>
        <v>http://dx.doi.org/10.1145/3583780.3615234</v>
      </c>
      <c r="I364" s="1" t="s">
        <v>15098</v>
      </c>
      <c r="J364" s="1" t="s">
        <v>15097</v>
      </c>
      <c r="K364" s="1" t="s">
        <v>42</v>
      </c>
      <c r="L364" s="1" t="s">
        <v>5552</v>
      </c>
    </row>
    <row r="365" spans="1:12" x14ac:dyDescent="0.3">
      <c r="A365" s="1">
        <v>295</v>
      </c>
      <c r="B365" t="s">
        <v>12118</v>
      </c>
      <c r="C365">
        <v>328</v>
      </c>
      <c r="D365" s="1" t="s">
        <v>15111</v>
      </c>
      <c r="E365" s="1" t="s">
        <v>15114</v>
      </c>
      <c r="F365" s="1">
        <v>2023</v>
      </c>
      <c r="G365" s="1" t="s">
        <v>15115</v>
      </c>
      <c r="H365" s="1" t="s">
        <v>1507</v>
      </c>
      <c r="I365" s="1" t="s">
        <v>15120</v>
      </c>
      <c r="J365" s="1" t="s">
        <v>1507</v>
      </c>
      <c r="K365" s="1" t="s">
        <v>42</v>
      </c>
      <c r="L365" s="1" t="s">
        <v>5552</v>
      </c>
    </row>
    <row r="366" spans="1:12" x14ac:dyDescent="0.3">
      <c r="A366" s="1">
        <v>298</v>
      </c>
      <c r="B366" t="s">
        <v>12118</v>
      </c>
      <c r="C366">
        <v>331</v>
      </c>
      <c r="D366" s="1" t="s">
        <v>11607</v>
      </c>
      <c r="E366" s="1" t="s">
        <v>11609</v>
      </c>
      <c r="F366" s="1">
        <v>2018</v>
      </c>
      <c r="G366" s="1" t="s">
        <v>11610</v>
      </c>
      <c r="H366" s="1" t="str">
        <f>HYPERLINK("http://dx.doi.org/10.1016/j.postharvbio.2018.04.018","http://dx.doi.org/10.1016/j.postharvbio.2018.04.018")</f>
        <v>http://dx.doi.org/10.1016/j.postharvbio.2018.04.018</v>
      </c>
      <c r="I366" s="1" t="s">
        <v>11613</v>
      </c>
      <c r="J366" s="1" t="s">
        <v>11611</v>
      </c>
      <c r="K366" s="1" t="s">
        <v>42</v>
      </c>
      <c r="L366" s="1" t="s">
        <v>56</v>
      </c>
    </row>
    <row r="367" spans="1:12" x14ac:dyDescent="0.3">
      <c r="A367" s="1">
        <v>299</v>
      </c>
      <c r="B367" t="s">
        <v>12118</v>
      </c>
      <c r="C367">
        <v>332</v>
      </c>
      <c r="D367" s="1" t="s">
        <v>10115</v>
      </c>
      <c r="E367" s="1" t="s">
        <v>10117</v>
      </c>
      <c r="F367" s="1">
        <v>2020</v>
      </c>
      <c r="G367" s="1" t="s">
        <v>9535</v>
      </c>
      <c r="H367" s="1" t="str">
        <f>HYPERLINK("http://dx.doi.org/10.1163/22119000-12340169","http://dx.doi.org/10.1163/22119000-12340169")</f>
        <v>http://dx.doi.org/10.1163/22119000-12340169</v>
      </c>
      <c r="I367" s="1" t="s">
        <v>10119</v>
      </c>
      <c r="J367" s="1" t="s">
        <v>10118</v>
      </c>
      <c r="K367" s="1" t="s">
        <v>42</v>
      </c>
      <c r="L367" s="1" t="s">
        <v>56</v>
      </c>
    </row>
    <row r="368" spans="1:12" x14ac:dyDescent="0.3">
      <c r="A368" s="1">
        <v>300</v>
      </c>
      <c r="B368" t="s">
        <v>12118</v>
      </c>
      <c r="C368">
        <v>333</v>
      </c>
      <c r="D368" s="1" t="s">
        <v>7236</v>
      </c>
      <c r="E368" s="1" t="s">
        <v>7238</v>
      </c>
      <c r="F368" s="1">
        <v>2022</v>
      </c>
      <c r="G368" s="1" t="s">
        <v>7239</v>
      </c>
      <c r="H368" s="1" t="str">
        <f>HYPERLINK("http://dx.doi.org/10.3390/fib10050039","http://dx.doi.org/10.3390/fib10050039")</f>
        <v>http://dx.doi.org/10.3390/fib10050039</v>
      </c>
      <c r="I368" s="1" t="s">
        <v>7242</v>
      </c>
      <c r="J368" s="1" t="s">
        <v>7240</v>
      </c>
      <c r="K368" s="1" t="s">
        <v>42</v>
      </c>
      <c r="L368" s="1" t="s">
        <v>56</v>
      </c>
    </row>
    <row r="369" spans="1:12" x14ac:dyDescent="0.3">
      <c r="A369" s="1">
        <v>301</v>
      </c>
      <c r="B369" t="s">
        <v>12118</v>
      </c>
      <c r="C369">
        <v>334</v>
      </c>
      <c r="D369" s="1" t="s">
        <v>4663</v>
      </c>
      <c r="E369" s="1" t="s">
        <v>4665</v>
      </c>
      <c r="F369" s="1">
        <v>2023</v>
      </c>
      <c r="G369" s="1" t="s">
        <v>2662</v>
      </c>
      <c r="H369" s="1" t="str">
        <f>HYPERLINK("http://dx.doi.org/10.1016/j.inffus.2023.101861","http://dx.doi.org/10.1016/j.inffus.2023.101861")</f>
        <v>http://dx.doi.org/10.1016/j.inffus.2023.101861</v>
      </c>
      <c r="I369" s="1" t="s">
        <v>4667</v>
      </c>
      <c r="J369" s="1" t="s">
        <v>4666</v>
      </c>
      <c r="K369" s="1" t="s">
        <v>42</v>
      </c>
      <c r="L369" s="1" t="s">
        <v>56</v>
      </c>
    </row>
    <row r="370" spans="1:12" x14ac:dyDescent="0.3">
      <c r="A370" s="1">
        <v>302</v>
      </c>
      <c r="B370" t="s">
        <v>12118</v>
      </c>
      <c r="C370">
        <v>336</v>
      </c>
      <c r="D370" s="1" t="s">
        <v>3669</v>
      </c>
      <c r="E370" s="1" t="s">
        <v>3671</v>
      </c>
      <c r="F370" s="1">
        <v>2023</v>
      </c>
      <c r="G370" s="1" t="s">
        <v>3672</v>
      </c>
      <c r="H370" s="1" t="str">
        <f>HYPERLINK("http://dx.doi.org/10.1016/j.dche.2023.100126","http://dx.doi.org/10.1016/j.dche.2023.100126")</f>
        <v>http://dx.doi.org/10.1016/j.dche.2023.100126</v>
      </c>
      <c r="I370" s="1" t="s">
        <v>3675</v>
      </c>
      <c r="J370" s="1" t="s">
        <v>3673</v>
      </c>
      <c r="K370" s="1" t="s">
        <v>42</v>
      </c>
      <c r="L370" s="1" t="s">
        <v>56</v>
      </c>
    </row>
    <row r="371" spans="1:12" x14ac:dyDescent="0.3">
      <c r="A371" s="1">
        <v>303</v>
      </c>
      <c r="B371" t="s">
        <v>12118</v>
      </c>
      <c r="C371">
        <v>337</v>
      </c>
      <c r="D371" s="1" t="s">
        <v>6780</v>
      </c>
      <c r="E371" s="1" t="s">
        <v>6782</v>
      </c>
      <c r="F371" s="1">
        <v>2022</v>
      </c>
      <c r="G371" s="1" t="s">
        <v>6783</v>
      </c>
      <c r="H371" s="1" t="str">
        <f>HYPERLINK("http://dx.doi.org/10.1021/acs.analchem.2c03972","http://dx.doi.org/10.1021/acs.analchem.2c03972")</f>
        <v>http://dx.doi.org/10.1021/acs.analchem.2c03972</v>
      </c>
      <c r="I371" s="1" t="s">
        <v>6785</v>
      </c>
      <c r="J371" s="1" t="s">
        <v>1507</v>
      </c>
      <c r="K371" s="1" t="s">
        <v>42</v>
      </c>
      <c r="L371" s="1" t="s">
        <v>1509</v>
      </c>
    </row>
    <row r="372" spans="1:12" x14ac:dyDescent="0.3">
      <c r="A372" s="1">
        <v>304</v>
      </c>
      <c r="B372" t="s">
        <v>12118</v>
      </c>
      <c r="C372">
        <v>338</v>
      </c>
      <c r="D372" s="1" t="s">
        <v>8429</v>
      </c>
      <c r="E372" s="1" t="s">
        <v>8431</v>
      </c>
      <c r="F372" s="1">
        <v>2021</v>
      </c>
      <c r="G372" s="1" t="s">
        <v>6783</v>
      </c>
      <c r="H372" s="1" t="str">
        <f>HYPERLINK("http://dx.doi.org/10.1021/acs.analchem.1c01018","http://dx.doi.org/10.1021/acs.analchem.1c01018")</f>
        <v>http://dx.doi.org/10.1021/acs.analchem.1c01018</v>
      </c>
      <c r="I372" s="1" t="s">
        <v>8433</v>
      </c>
      <c r="J372" s="1" t="s">
        <v>1507</v>
      </c>
      <c r="K372" s="1" t="s">
        <v>42</v>
      </c>
      <c r="L372" s="1" t="s">
        <v>56</v>
      </c>
    </row>
    <row r="373" spans="1:12" x14ac:dyDescent="0.3">
      <c r="A373" s="1">
        <v>305</v>
      </c>
      <c r="B373" t="s">
        <v>12118</v>
      </c>
      <c r="C373">
        <v>339</v>
      </c>
      <c r="D373" s="1" t="s">
        <v>2019</v>
      </c>
      <c r="E373" s="1" t="s">
        <v>2021</v>
      </c>
      <c r="F373" s="1">
        <v>2023</v>
      </c>
      <c r="G373" s="1" t="s">
        <v>2022</v>
      </c>
      <c r="H373" s="1" t="str">
        <f>HYPERLINK("http://dx.doi.org/10.1016/j.patter.2023.100865","http://dx.doi.org/10.1016/j.patter.2023.100865")</f>
        <v>http://dx.doi.org/10.1016/j.patter.2023.100865</v>
      </c>
      <c r="I373" s="1" t="s">
        <v>2024</v>
      </c>
      <c r="J373" s="1" t="s">
        <v>1507</v>
      </c>
      <c r="K373" s="1" t="s">
        <v>42</v>
      </c>
      <c r="L373" s="1" t="s">
        <v>56</v>
      </c>
    </row>
    <row r="374" spans="1:12" x14ac:dyDescent="0.3">
      <c r="A374" s="1">
        <v>307</v>
      </c>
      <c r="B374" t="s">
        <v>12118</v>
      </c>
      <c r="C374">
        <v>342</v>
      </c>
      <c r="D374" s="1" t="s">
        <v>8581</v>
      </c>
      <c r="E374" s="1" t="s">
        <v>8583</v>
      </c>
      <c r="F374" s="1">
        <v>2021</v>
      </c>
      <c r="G374" s="1" t="s">
        <v>8584</v>
      </c>
      <c r="H374" s="1" t="str">
        <f>HYPERLINK("http://dx.doi.org/10.11646/zootaxa.4980.1.3","http://dx.doi.org/10.11646/zootaxa.4980.1.3")</f>
        <v>http://dx.doi.org/10.11646/zootaxa.4980.1.3</v>
      </c>
      <c r="I374" s="1" t="s">
        <v>8586</v>
      </c>
      <c r="J374" s="1" t="s">
        <v>8585</v>
      </c>
      <c r="K374" s="1" t="s">
        <v>42</v>
      </c>
      <c r="L374" s="1" t="s">
        <v>56</v>
      </c>
    </row>
    <row r="375" spans="1:12" x14ac:dyDescent="0.3">
      <c r="A375" s="1">
        <v>308</v>
      </c>
      <c r="B375" t="s">
        <v>12118</v>
      </c>
      <c r="C375">
        <v>345</v>
      </c>
      <c r="D375" s="1" t="s">
        <v>11570</v>
      </c>
      <c r="E375" s="1" t="s">
        <v>11572</v>
      </c>
      <c r="F375" s="1">
        <v>2018</v>
      </c>
      <c r="G375" s="1" t="s">
        <v>11573</v>
      </c>
      <c r="H375" s="1" t="str">
        <f>HYPERLINK("http://dx.doi.org/10.1140/epjc/s10052-018-6324-9","http://dx.doi.org/10.1140/epjc/s10052-018-6324-9")</f>
        <v>http://dx.doi.org/10.1140/epjc/s10052-018-6324-9</v>
      </c>
      <c r="I375" s="1" t="s">
        <v>11575</v>
      </c>
      <c r="J375" s="1" t="s">
        <v>1507</v>
      </c>
      <c r="K375" s="1" t="s">
        <v>42</v>
      </c>
      <c r="L375" s="1" t="s">
        <v>56</v>
      </c>
    </row>
    <row r="376" spans="1:12" x14ac:dyDescent="0.3">
      <c r="A376" s="1">
        <v>309</v>
      </c>
      <c r="B376" t="s">
        <v>12118</v>
      </c>
      <c r="C376">
        <v>346</v>
      </c>
      <c r="D376" s="1" t="s">
        <v>11570</v>
      </c>
      <c r="E376" s="1" t="s">
        <v>11738</v>
      </c>
      <c r="F376" s="1">
        <v>2018</v>
      </c>
      <c r="G376" s="1" t="s">
        <v>2087</v>
      </c>
      <c r="H376" s="1" t="str">
        <f>HYPERLINK("http://dx.doi.org/10.1007/JHEP05(2018)009","http://dx.doi.org/10.1007/JHEP05(2018)009")</f>
        <v>http://dx.doi.org/10.1007/JHEP05(2018)009</v>
      </c>
      <c r="I376" s="1" t="s">
        <v>11741</v>
      </c>
      <c r="J376" s="1" t="s">
        <v>11739</v>
      </c>
      <c r="K376" s="1" t="s">
        <v>42</v>
      </c>
      <c r="L376" s="1" t="s">
        <v>56</v>
      </c>
    </row>
    <row r="377" spans="1:12" x14ac:dyDescent="0.3">
      <c r="A377" s="1">
        <v>311</v>
      </c>
      <c r="B377" t="s">
        <v>12118</v>
      </c>
      <c r="C377">
        <v>348</v>
      </c>
      <c r="D377" s="1" t="s">
        <v>6088</v>
      </c>
      <c r="E377" s="1" t="s">
        <v>6091</v>
      </c>
      <c r="F377" s="1">
        <v>2023</v>
      </c>
      <c r="G377" s="1" t="s">
        <v>6092</v>
      </c>
      <c r="H377" s="1" t="str">
        <f>HYPERLINK("http://dx.doi.org/10.1109/ICALT58122.2023.00072","http://dx.doi.org/10.1109/ICALT58122.2023.00072")</f>
        <v>http://dx.doi.org/10.1109/ICALT58122.2023.00072</v>
      </c>
      <c r="I377" s="1" t="s">
        <v>6099</v>
      </c>
      <c r="J377" s="1" t="s">
        <v>6098</v>
      </c>
      <c r="K377" s="1" t="s">
        <v>42</v>
      </c>
      <c r="L377" s="1" t="s">
        <v>5552</v>
      </c>
    </row>
    <row r="378" spans="1:12" x14ac:dyDescent="0.3">
      <c r="A378" s="1">
        <v>313</v>
      </c>
      <c r="B378" t="s">
        <v>12118</v>
      </c>
      <c r="C378">
        <v>351</v>
      </c>
      <c r="D378" s="1" t="s">
        <v>10851</v>
      </c>
      <c r="E378" s="1" t="s">
        <v>10853</v>
      </c>
      <c r="F378" s="1">
        <v>2019</v>
      </c>
      <c r="G378" s="1" t="s">
        <v>10008</v>
      </c>
      <c r="H378" s="1" t="str">
        <f>HYPERLINK("http://dx.doi.org/10.1111/mmi.14256","http://dx.doi.org/10.1111/mmi.14256")</f>
        <v>http://dx.doi.org/10.1111/mmi.14256</v>
      </c>
      <c r="I378" s="1" t="s">
        <v>10855</v>
      </c>
      <c r="J378" s="1" t="s">
        <v>1507</v>
      </c>
      <c r="K378" s="1" t="s">
        <v>42</v>
      </c>
      <c r="L378" s="1" t="s">
        <v>56</v>
      </c>
    </row>
    <row r="379" spans="1:12" x14ac:dyDescent="0.3">
      <c r="A379" s="1">
        <v>314</v>
      </c>
      <c r="B379" t="s">
        <v>12118</v>
      </c>
      <c r="C379">
        <v>352</v>
      </c>
      <c r="D379" s="1" t="s">
        <v>2233</v>
      </c>
      <c r="E379" s="1" t="s">
        <v>2235</v>
      </c>
      <c r="F379" s="1">
        <v>2023</v>
      </c>
      <c r="G379" s="1" t="s">
        <v>2236</v>
      </c>
      <c r="H379" s="1" t="str">
        <f>HYPERLINK("http://dx.doi.org/10.3390/info14120638","http://dx.doi.org/10.3390/info14120638")</f>
        <v>http://dx.doi.org/10.3390/info14120638</v>
      </c>
      <c r="I379" s="1" t="s">
        <v>2238</v>
      </c>
      <c r="J379" s="1" t="s">
        <v>2237</v>
      </c>
      <c r="K379" s="1" t="s">
        <v>42</v>
      </c>
      <c r="L379" s="1" t="s">
        <v>56</v>
      </c>
    </row>
    <row r="380" spans="1:12" x14ac:dyDescent="0.3">
      <c r="A380" s="1">
        <v>316</v>
      </c>
      <c r="B380" t="s">
        <v>12118</v>
      </c>
      <c r="C380">
        <v>354</v>
      </c>
      <c r="D380" s="1" t="s">
        <v>8131</v>
      </c>
      <c r="E380" s="1" t="s">
        <v>8133</v>
      </c>
      <c r="F380" s="1">
        <v>2021</v>
      </c>
      <c r="G380" s="1" t="s">
        <v>8134</v>
      </c>
      <c r="H380" s="1" t="str">
        <f>HYPERLINK("http://dx.doi.org/10.1016/j.eclinm.2021.101174","http://dx.doi.org/10.1016/j.eclinm.2021.101174")</f>
        <v>http://dx.doi.org/10.1016/j.eclinm.2021.101174</v>
      </c>
      <c r="I380" s="1" t="s">
        <v>8137</v>
      </c>
      <c r="J380" s="1" t="s">
        <v>8135</v>
      </c>
      <c r="K380" s="1" t="s">
        <v>42</v>
      </c>
      <c r="L380" s="1" t="s">
        <v>56</v>
      </c>
    </row>
    <row r="381" spans="1:12" x14ac:dyDescent="0.3">
      <c r="A381" s="1">
        <v>318</v>
      </c>
      <c r="B381" t="s">
        <v>12118</v>
      </c>
      <c r="C381">
        <v>357</v>
      </c>
      <c r="D381" s="1" t="s">
        <v>8793</v>
      </c>
      <c r="E381" s="1" t="s">
        <v>8795</v>
      </c>
      <c r="F381" s="1">
        <v>2021</v>
      </c>
      <c r="G381" s="1" t="s">
        <v>8796</v>
      </c>
      <c r="H381" s="1" t="str">
        <f>HYPERLINK("http://dx.doi.org/10.1093/tandt/ttab013","http://dx.doi.org/10.1093/tandt/ttab013")</f>
        <v>http://dx.doi.org/10.1093/tandt/ttab013</v>
      </c>
      <c r="I381" s="1" t="s">
        <v>8797</v>
      </c>
      <c r="J381" s="1" t="s">
        <v>1507</v>
      </c>
      <c r="K381" s="1" t="s">
        <v>42</v>
      </c>
      <c r="L381" s="1" t="s">
        <v>56</v>
      </c>
    </row>
    <row r="382" spans="1:12" x14ac:dyDescent="0.3">
      <c r="A382" s="1">
        <v>319</v>
      </c>
      <c r="B382" t="s">
        <v>12118</v>
      </c>
      <c r="C382">
        <v>358</v>
      </c>
      <c r="D382" s="1" t="s">
        <v>8793</v>
      </c>
      <c r="E382" s="1" t="s">
        <v>9216</v>
      </c>
      <c r="F382" s="1">
        <v>2021</v>
      </c>
      <c r="G382" s="1" t="s">
        <v>7697</v>
      </c>
      <c r="H382" s="1" t="s">
        <v>1507</v>
      </c>
      <c r="I382" s="1" t="s">
        <v>9218</v>
      </c>
      <c r="J382" s="1" t="s">
        <v>1507</v>
      </c>
      <c r="K382" s="1" t="s">
        <v>42</v>
      </c>
      <c r="L382" s="1" t="s">
        <v>56</v>
      </c>
    </row>
    <row r="383" spans="1:12" x14ac:dyDescent="0.3">
      <c r="A383" s="1">
        <v>321</v>
      </c>
      <c r="B383" t="s">
        <v>12118</v>
      </c>
      <c r="C383">
        <v>359</v>
      </c>
      <c r="D383" s="1" t="s">
        <v>15132</v>
      </c>
      <c r="E383" s="1" t="s">
        <v>15134</v>
      </c>
      <c r="F383" s="1">
        <v>2023</v>
      </c>
      <c r="G383" s="1" t="s">
        <v>15135</v>
      </c>
      <c r="H383" s="1" t="str">
        <f>HYPERLINK("http://dx.doi.org/10.1109/HPEC58863.2023.10363534","http://dx.doi.org/10.1109/HPEC58863.2023.10363534")</f>
        <v>http://dx.doi.org/10.1109/HPEC58863.2023.10363534</v>
      </c>
      <c r="I383" s="1" t="s">
        <v>15140</v>
      </c>
      <c r="J383" s="1" t="s">
        <v>15139</v>
      </c>
      <c r="K383" s="1" t="s">
        <v>42</v>
      </c>
      <c r="L383" s="1" t="s">
        <v>5552</v>
      </c>
    </row>
    <row r="384" spans="1:12" x14ac:dyDescent="0.3">
      <c r="A384" s="1">
        <v>322</v>
      </c>
      <c r="B384" t="s">
        <v>12118</v>
      </c>
      <c r="C384">
        <v>360</v>
      </c>
      <c r="D384" s="1" t="s">
        <v>8333</v>
      </c>
      <c r="E384" s="1" t="s">
        <v>8335</v>
      </c>
      <c r="F384" s="1">
        <v>2021</v>
      </c>
      <c r="G384" s="1" t="s">
        <v>8336</v>
      </c>
      <c r="H384" s="1" t="str">
        <f>HYPERLINK("http://dx.doi.org/10.3390/toxins13080564","http://dx.doi.org/10.3390/toxins13080564")</f>
        <v>http://dx.doi.org/10.3390/toxins13080564</v>
      </c>
      <c r="I384" s="1" t="s">
        <v>8339</v>
      </c>
      <c r="J384" s="1" t="s">
        <v>8337</v>
      </c>
      <c r="K384" s="1" t="s">
        <v>42</v>
      </c>
      <c r="L384" s="1" t="s">
        <v>56</v>
      </c>
    </row>
    <row r="385" spans="1:12" x14ac:dyDescent="0.3">
      <c r="A385" s="1">
        <v>323</v>
      </c>
      <c r="B385" t="s">
        <v>12118</v>
      </c>
      <c r="C385">
        <v>363</v>
      </c>
      <c r="D385" s="1" t="s">
        <v>9226</v>
      </c>
      <c r="E385" s="1" t="s">
        <v>9228</v>
      </c>
      <c r="F385" s="1">
        <v>2021</v>
      </c>
      <c r="G385" s="1" t="s">
        <v>9229</v>
      </c>
      <c r="H385" s="1" t="s">
        <v>1507</v>
      </c>
      <c r="I385" s="1" t="s">
        <v>9231</v>
      </c>
      <c r="J385" s="1" t="s">
        <v>1507</v>
      </c>
      <c r="K385" s="1" t="s">
        <v>42</v>
      </c>
      <c r="L385" s="1" t="s">
        <v>56</v>
      </c>
    </row>
    <row r="386" spans="1:12" x14ac:dyDescent="0.3">
      <c r="A386" s="1">
        <v>324</v>
      </c>
      <c r="B386" t="s">
        <v>12118</v>
      </c>
      <c r="C386">
        <v>364</v>
      </c>
      <c r="D386" s="1" t="s">
        <v>9752</v>
      </c>
      <c r="E386" s="1" t="s">
        <v>9754</v>
      </c>
      <c r="F386" s="1">
        <v>2020</v>
      </c>
      <c r="G386" s="1" t="s">
        <v>9755</v>
      </c>
      <c r="H386" s="1" t="str">
        <f>HYPERLINK("http://dx.doi.org/10.1111/irv.12769","http://dx.doi.org/10.1111/irv.12769")</f>
        <v>http://dx.doi.org/10.1111/irv.12769</v>
      </c>
      <c r="I386" s="1" t="s">
        <v>9758</v>
      </c>
      <c r="J386" s="1" t="s">
        <v>9756</v>
      </c>
      <c r="K386" s="1" t="s">
        <v>42</v>
      </c>
      <c r="L386" s="1" t="s">
        <v>56</v>
      </c>
    </row>
    <row r="387" spans="1:12" x14ac:dyDescent="0.3">
      <c r="A387" s="1">
        <v>326</v>
      </c>
      <c r="B387" t="s">
        <v>12118</v>
      </c>
      <c r="C387">
        <v>369</v>
      </c>
      <c r="D387" s="1" t="s">
        <v>6921</v>
      </c>
      <c r="E387" s="1" t="s">
        <v>6923</v>
      </c>
      <c r="F387" s="1">
        <v>2023</v>
      </c>
      <c r="G387" s="1" t="s">
        <v>6924</v>
      </c>
      <c r="H387" s="1" t="str">
        <f>HYPERLINK("http://dx.doi.org/10.1111/odi.14340","http://dx.doi.org/10.1111/odi.14340")</f>
        <v>http://dx.doi.org/10.1111/odi.14340</v>
      </c>
      <c r="I387" s="1" t="s">
        <v>6927</v>
      </c>
      <c r="J387" s="1" t="s">
        <v>6925</v>
      </c>
      <c r="K387" s="1" t="s">
        <v>42</v>
      </c>
      <c r="L387" s="1" t="s">
        <v>56</v>
      </c>
    </row>
    <row r="388" spans="1:12" x14ac:dyDescent="0.3">
      <c r="A388" s="1">
        <v>328</v>
      </c>
      <c r="B388" t="s">
        <v>12118</v>
      </c>
      <c r="C388">
        <v>370</v>
      </c>
      <c r="D388" s="1" t="s">
        <v>7844</v>
      </c>
      <c r="E388" s="1" t="s">
        <v>7847</v>
      </c>
      <c r="F388" s="1">
        <v>2022</v>
      </c>
      <c r="G388" s="1" t="s">
        <v>7848</v>
      </c>
      <c r="H388" s="1" t="s">
        <v>1507</v>
      </c>
      <c r="I388" s="1" t="s">
        <v>7853</v>
      </c>
      <c r="J388" s="1" t="s">
        <v>1507</v>
      </c>
      <c r="K388" s="1" t="s">
        <v>42</v>
      </c>
      <c r="L388" s="1" t="s">
        <v>5552</v>
      </c>
    </row>
    <row r="389" spans="1:12" x14ac:dyDescent="0.3">
      <c r="A389" s="1">
        <v>329</v>
      </c>
      <c r="B389" t="s">
        <v>12118</v>
      </c>
      <c r="C389">
        <v>371</v>
      </c>
      <c r="D389" s="1" t="s">
        <v>4411</v>
      </c>
      <c r="E389" s="1" t="s">
        <v>4413</v>
      </c>
      <c r="F389" s="1">
        <v>2023</v>
      </c>
      <c r="G389" s="1" t="s">
        <v>4414</v>
      </c>
      <c r="H389" s="1" t="str">
        <f>HYPERLINK("http://dx.doi.org/10.1038/s43856-023-00334-5","http://dx.doi.org/10.1038/s43856-023-00334-5")</f>
        <v>http://dx.doi.org/10.1038/s43856-023-00334-5</v>
      </c>
      <c r="I389" s="1" t="s">
        <v>4416</v>
      </c>
      <c r="J389" s="1" t="s">
        <v>1507</v>
      </c>
      <c r="K389" s="1" t="s">
        <v>42</v>
      </c>
      <c r="L389" s="1" t="s">
        <v>56</v>
      </c>
    </row>
    <row r="390" spans="1:12" x14ac:dyDescent="0.3">
      <c r="A390" s="1">
        <v>330</v>
      </c>
      <c r="B390" t="s">
        <v>12118</v>
      </c>
      <c r="C390">
        <v>372</v>
      </c>
      <c r="D390" s="1" t="s">
        <v>15168</v>
      </c>
      <c r="E390" s="1" t="s">
        <v>15170</v>
      </c>
      <c r="F390" s="1">
        <v>2023</v>
      </c>
      <c r="G390" s="1" t="s">
        <v>15092</v>
      </c>
      <c r="H390" s="1" t="str">
        <f>HYPERLINK("http://dx.doi.org/10.1145/3583780.3615017","http://dx.doi.org/10.1145/3583780.3615017")</f>
        <v>http://dx.doi.org/10.1145/3583780.3615017</v>
      </c>
      <c r="I390" s="1" t="s">
        <v>15172</v>
      </c>
      <c r="J390" s="1" t="s">
        <v>15171</v>
      </c>
      <c r="K390" s="1" t="s">
        <v>42</v>
      </c>
      <c r="L390" s="1" t="s">
        <v>5552</v>
      </c>
    </row>
    <row r="391" spans="1:12" x14ac:dyDescent="0.3">
      <c r="A391" s="1">
        <v>331</v>
      </c>
      <c r="B391" t="s">
        <v>12118</v>
      </c>
      <c r="C391">
        <v>373</v>
      </c>
      <c r="D391" s="1" t="s">
        <v>3819</v>
      </c>
      <c r="E391" s="1" t="s">
        <v>3821</v>
      </c>
      <c r="F391" s="1">
        <v>2023</v>
      </c>
      <c r="G391" s="1" t="s">
        <v>3822</v>
      </c>
      <c r="H391" s="1" t="str">
        <f>HYPERLINK("http://dx.doi.org/10.1016/j.knosys.2023.110957","http://dx.doi.org/10.1016/j.knosys.2023.110957")</f>
        <v>http://dx.doi.org/10.1016/j.knosys.2023.110957</v>
      </c>
      <c r="I391" s="1" t="s">
        <v>3824</v>
      </c>
      <c r="J391" s="1" t="s">
        <v>3823</v>
      </c>
      <c r="K391" s="1" t="s">
        <v>42</v>
      </c>
      <c r="L391" s="1" t="s">
        <v>56</v>
      </c>
    </row>
    <row r="392" spans="1:12" x14ac:dyDescent="0.3">
      <c r="A392" s="1">
        <v>332</v>
      </c>
      <c r="B392" t="s">
        <v>12118</v>
      </c>
      <c r="C392">
        <v>374</v>
      </c>
      <c r="D392" s="1" t="s">
        <v>8108</v>
      </c>
      <c r="E392" s="1" t="s">
        <v>8110</v>
      </c>
      <c r="F392" s="1">
        <v>2021</v>
      </c>
      <c r="G392" s="1" t="s">
        <v>8111</v>
      </c>
      <c r="H392" s="1" t="str">
        <f>HYPERLINK("http://dx.doi.org/10.3390/molecules26226831","http://dx.doi.org/10.3390/molecules26226831")</f>
        <v>http://dx.doi.org/10.3390/molecules26226831</v>
      </c>
      <c r="I392" s="1" t="s">
        <v>8114</v>
      </c>
      <c r="J392" s="1" t="s">
        <v>8112</v>
      </c>
      <c r="K392" s="1" t="s">
        <v>42</v>
      </c>
      <c r="L392" s="1" t="s">
        <v>56</v>
      </c>
    </row>
    <row r="393" spans="1:12" x14ac:dyDescent="0.3">
      <c r="A393" s="1">
        <v>333</v>
      </c>
      <c r="B393" t="s">
        <v>12118</v>
      </c>
      <c r="C393">
        <v>375</v>
      </c>
      <c r="D393" s="1" t="s">
        <v>6131</v>
      </c>
      <c r="E393" s="1" t="s">
        <v>6133</v>
      </c>
      <c r="F393" s="1">
        <v>2023</v>
      </c>
      <c r="G393" s="1" t="s">
        <v>6014</v>
      </c>
      <c r="H393" s="1" t="str">
        <f>HYPERLINK("http://dx.doi.org/10.1109/ASE56229.2023.00089","http://dx.doi.org/10.1109/ASE56229.2023.00089")</f>
        <v>http://dx.doi.org/10.1109/ASE56229.2023.00089</v>
      </c>
      <c r="I393" s="1" t="s">
        <v>6135</v>
      </c>
      <c r="J393" s="1" t="s">
        <v>6134</v>
      </c>
      <c r="K393" s="1" t="s">
        <v>42</v>
      </c>
      <c r="L393" s="1" t="s">
        <v>5552</v>
      </c>
    </row>
    <row r="394" spans="1:12" x14ac:dyDescent="0.3">
      <c r="A394" s="1">
        <v>334</v>
      </c>
      <c r="B394" t="s">
        <v>12118</v>
      </c>
      <c r="C394">
        <v>376</v>
      </c>
      <c r="D394" s="1" t="s">
        <v>8922</v>
      </c>
      <c r="E394" s="1" t="s">
        <v>8924</v>
      </c>
      <c r="F394" s="1">
        <v>2021</v>
      </c>
      <c r="G394" s="1" t="s">
        <v>8925</v>
      </c>
      <c r="H394" s="1" t="str">
        <f>HYPERLINK("http://dx.doi.org/10.1021/acs.oprd.0c00529","http://dx.doi.org/10.1021/acs.oprd.0c00529")</f>
        <v>http://dx.doi.org/10.1021/acs.oprd.0c00529</v>
      </c>
      <c r="I394" s="1" t="s">
        <v>8928</v>
      </c>
      <c r="J394" s="1" t="s">
        <v>8926</v>
      </c>
      <c r="K394" s="1" t="s">
        <v>42</v>
      </c>
      <c r="L394" s="1" t="s">
        <v>56</v>
      </c>
    </row>
    <row r="395" spans="1:12" x14ac:dyDescent="0.3">
      <c r="A395" s="1">
        <v>336</v>
      </c>
      <c r="B395" t="s">
        <v>12118</v>
      </c>
      <c r="C395">
        <v>377</v>
      </c>
      <c r="D395" s="1" t="s">
        <v>2042</v>
      </c>
      <c r="E395" s="1" t="s">
        <v>2044</v>
      </c>
      <c r="F395" s="1">
        <v>2023</v>
      </c>
      <c r="G395" s="1" t="s">
        <v>2045</v>
      </c>
      <c r="H395" s="1" t="str">
        <f>HYPERLINK("http://dx.doi.org/10.1080/17538947.2023.2278895","http://dx.doi.org/10.1080/17538947.2023.2278895")</f>
        <v>http://dx.doi.org/10.1080/17538947.2023.2278895</v>
      </c>
      <c r="I395" s="1" t="s">
        <v>2047</v>
      </c>
      <c r="J395" s="1" t="s">
        <v>2046</v>
      </c>
      <c r="K395" s="1" t="s">
        <v>42</v>
      </c>
      <c r="L395" s="1" t="s">
        <v>56</v>
      </c>
    </row>
    <row r="396" spans="1:12" x14ac:dyDescent="0.3">
      <c r="A396" s="1">
        <v>338</v>
      </c>
      <c r="B396" t="s">
        <v>12118</v>
      </c>
      <c r="C396">
        <v>378</v>
      </c>
      <c r="D396" s="1" t="s">
        <v>11068</v>
      </c>
      <c r="E396" s="1" t="s">
        <v>11070</v>
      </c>
      <c r="F396" s="1">
        <v>2019</v>
      </c>
      <c r="G396" s="1" t="s">
        <v>4452</v>
      </c>
      <c r="H396" s="1" t="str">
        <f>HYPERLINK("http://dx.doi.org/10.1007/s40858-018-0254-9","http://dx.doi.org/10.1007/s40858-018-0254-9")</f>
        <v>http://dx.doi.org/10.1007/s40858-018-0254-9</v>
      </c>
      <c r="I396" s="1" t="s">
        <v>11073</v>
      </c>
      <c r="J396" s="1" t="s">
        <v>11071</v>
      </c>
      <c r="K396" s="1" t="s">
        <v>42</v>
      </c>
      <c r="L396" s="1" t="s">
        <v>56</v>
      </c>
    </row>
    <row r="397" spans="1:12" x14ac:dyDescent="0.3">
      <c r="A397" s="1">
        <v>339</v>
      </c>
      <c r="B397" t="s">
        <v>12118</v>
      </c>
      <c r="C397">
        <v>379</v>
      </c>
      <c r="D397" s="1" t="s">
        <v>9512</v>
      </c>
      <c r="E397" s="1" t="s">
        <v>9514</v>
      </c>
      <c r="F397" s="1">
        <v>2020</v>
      </c>
      <c r="G397" s="1" t="s">
        <v>9515</v>
      </c>
      <c r="H397" s="1" t="s">
        <v>1507</v>
      </c>
      <c r="I397" s="1" t="s">
        <v>9517</v>
      </c>
      <c r="J397" s="1" t="s">
        <v>1507</v>
      </c>
      <c r="K397" s="1" t="s">
        <v>42</v>
      </c>
      <c r="L397" s="1" t="s">
        <v>56</v>
      </c>
    </row>
    <row r="398" spans="1:12" x14ac:dyDescent="0.3">
      <c r="A398" s="1">
        <v>340</v>
      </c>
      <c r="B398" t="s">
        <v>12118</v>
      </c>
      <c r="C398">
        <v>380</v>
      </c>
      <c r="D398" s="1" t="s">
        <v>3956</v>
      </c>
      <c r="E398" s="1" t="s">
        <v>3958</v>
      </c>
      <c r="F398" s="1">
        <v>2023</v>
      </c>
      <c r="G398" s="1" t="s">
        <v>3959</v>
      </c>
      <c r="H398" s="1" t="str">
        <f>HYPERLINK("http://dx.doi.org/10.1016/j.clsr.2023.105864","http://dx.doi.org/10.1016/j.clsr.2023.105864")</f>
        <v>http://dx.doi.org/10.1016/j.clsr.2023.105864</v>
      </c>
      <c r="I398" s="1" t="s">
        <v>3962</v>
      </c>
      <c r="J398" s="1" t="s">
        <v>3960</v>
      </c>
      <c r="K398" s="1" t="s">
        <v>42</v>
      </c>
      <c r="L398" s="1" t="s">
        <v>56</v>
      </c>
    </row>
    <row r="399" spans="1:12" x14ac:dyDescent="0.3">
      <c r="A399" s="1">
        <v>343</v>
      </c>
      <c r="B399" t="s">
        <v>12118</v>
      </c>
      <c r="C399">
        <v>384</v>
      </c>
      <c r="D399" s="1" t="s">
        <v>11122</v>
      </c>
      <c r="E399" s="1" t="s">
        <v>11124</v>
      </c>
      <c r="F399" s="1">
        <v>2019</v>
      </c>
      <c r="G399" s="1" t="s">
        <v>11125</v>
      </c>
      <c r="H399" s="1" t="str">
        <f>HYPERLINK("http://dx.doi.org/10.1017/S2047102518000298","http://dx.doi.org/10.1017/S2047102518000298")</f>
        <v>http://dx.doi.org/10.1017/S2047102518000298</v>
      </c>
      <c r="I399" s="1" t="s">
        <v>11128</v>
      </c>
      <c r="J399" s="1" t="s">
        <v>11126</v>
      </c>
      <c r="K399" s="1" t="s">
        <v>42</v>
      </c>
      <c r="L399" s="1" t="s">
        <v>56</v>
      </c>
    </row>
    <row r="400" spans="1:12" x14ac:dyDescent="0.3">
      <c r="A400" s="1">
        <v>344</v>
      </c>
      <c r="B400" t="s">
        <v>12118</v>
      </c>
      <c r="C400">
        <v>385</v>
      </c>
      <c r="D400" s="1" t="s">
        <v>11144</v>
      </c>
      <c r="E400" s="1" t="s">
        <v>11146</v>
      </c>
      <c r="F400" s="1">
        <v>2019</v>
      </c>
      <c r="G400" s="1" t="s">
        <v>11147</v>
      </c>
      <c r="H400" s="1" t="str">
        <f>HYPERLINK("http://dx.doi.org/10.1007/s10973-019-08079-x","http://dx.doi.org/10.1007/s10973-019-08079-x")</f>
        <v>http://dx.doi.org/10.1007/s10973-019-08079-x</v>
      </c>
      <c r="I400" s="1" t="s">
        <v>11150</v>
      </c>
      <c r="J400" s="1" t="s">
        <v>11148</v>
      </c>
      <c r="K400" s="1" t="s">
        <v>42</v>
      </c>
      <c r="L400" s="1" t="s">
        <v>56</v>
      </c>
    </row>
    <row r="401" spans="1:12" x14ac:dyDescent="0.3">
      <c r="A401" s="1">
        <v>345</v>
      </c>
      <c r="B401" t="s">
        <v>12118</v>
      </c>
      <c r="C401">
        <v>386</v>
      </c>
      <c r="D401" s="1" t="s">
        <v>2156</v>
      </c>
      <c r="E401" s="1" t="s">
        <v>2158</v>
      </c>
      <c r="F401" s="1">
        <v>2023</v>
      </c>
      <c r="G401" s="1" t="s">
        <v>2159</v>
      </c>
      <c r="H401" s="1" t="str">
        <f>HYPERLINK("http://dx.doi.org/10.1038/s41746-023-00952-2","http://dx.doi.org/10.1038/s41746-023-00952-2")</f>
        <v>http://dx.doi.org/10.1038/s41746-023-00952-2</v>
      </c>
      <c r="I401" s="1" t="s">
        <v>2161</v>
      </c>
      <c r="J401" s="1" t="s">
        <v>1507</v>
      </c>
      <c r="K401" s="1" t="s">
        <v>42</v>
      </c>
      <c r="L401" s="1" t="s">
        <v>56</v>
      </c>
    </row>
    <row r="402" spans="1:12" x14ac:dyDescent="0.3">
      <c r="A402" s="1">
        <v>346</v>
      </c>
      <c r="B402" t="s">
        <v>12118</v>
      </c>
      <c r="C402">
        <v>387</v>
      </c>
      <c r="D402" s="1" t="s">
        <v>10349</v>
      </c>
      <c r="E402" s="1" t="s">
        <v>10351</v>
      </c>
      <c r="F402" s="1">
        <v>2020</v>
      </c>
      <c r="G402" s="1" t="s">
        <v>7982</v>
      </c>
      <c r="H402" s="1" t="str">
        <f>HYPERLINK("http://dx.doi.org/10.1093/jxb/erz409","http://dx.doi.org/10.1093/jxb/erz409")</f>
        <v>http://dx.doi.org/10.1093/jxb/erz409</v>
      </c>
      <c r="I402" s="1" t="s">
        <v>10354</v>
      </c>
      <c r="J402" s="1" t="s">
        <v>10352</v>
      </c>
      <c r="K402" s="1" t="s">
        <v>42</v>
      </c>
      <c r="L402" s="1" t="s">
        <v>56</v>
      </c>
    </row>
    <row r="403" spans="1:12" x14ac:dyDescent="0.3">
      <c r="A403" s="1">
        <v>347</v>
      </c>
      <c r="B403" t="s">
        <v>12118</v>
      </c>
      <c r="C403">
        <v>388</v>
      </c>
      <c r="D403" s="1" t="s">
        <v>9245</v>
      </c>
      <c r="E403" s="1" t="s">
        <v>9247</v>
      </c>
      <c r="F403" s="1">
        <v>2021</v>
      </c>
      <c r="G403" s="1" t="s">
        <v>9248</v>
      </c>
      <c r="H403" s="1" t="s">
        <v>1507</v>
      </c>
      <c r="I403" s="1" t="s">
        <v>9250</v>
      </c>
      <c r="J403" s="1" t="s">
        <v>1507</v>
      </c>
      <c r="K403" s="1" t="s">
        <v>42</v>
      </c>
      <c r="L403" s="1" t="s">
        <v>56</v>
      </c>
    </row>
    <row r="404" spans="1:12" x14ac:dyDescent="0.3">
      <c r="A404" s="1">
        <v>349</v>
      </c>
      <c r="B404" t="s">
        <v>12118</v>
      </c>
      <c r="C404">
        <v>390</v>
      </c>
      <c r="D404" s="1" t="s">
        <v>10547</v>
      </c>
      <c r="E404" s="1" t="s">
        <v>10549</v>
      </c>
      <c r="F404" s="1">
        <v>2019</v>
      </c>
      <c r="G404" s="1" t="s">
        <v>10550</v>
      </c>
      <c r="H404" s="1" t="str">
        <f>HYPERLINK("http://dx.doi.org/10.1007/s00265-019-2766-9","http://dx.doi.org/10.1007/s00265-019-2766-9")</f>
        <v>http://dx.doi.org/10.1007/s00265-019-2766-9</v>
      </c>
      <c r="I404" s="1" t="s">
        <v>10553</v>
      </c>
      <c r="J404" s="1" t="s">
        <v>10551</v>
      </c>
      <c r="K404" s="1" t="s">
        <v>42</v>
      </c>
      <c r="L404" s="1" t="s">
        <v>56</v>
      </c>
    </row>
    <row r="405" spans="1:12" x14ac:dyDescent="0.3">
      <c r="A405" s="1">
        <v>350</v>
      </c>
      <c r="B405" t="s">
        <v>12118</v>
      </c>
      <c r="C405">
        <v>391</v>
      </c>
      <c r="D405" s="1" t="s">
        <v>9775</v>
      </c>
      <c r="E405" s="1" t="s">
        <v>9777</v>
      </c>
      <c r="F405" s="1">
        <v>2020</v>
      </c>
      <c r="G405" s="1" t="s">
        <v>9778</v>
      </c>
      <c r="H405" s="1" t="str">
        <f>HYPERLINK("http://dx.doi.org/10.1016/j.celrep.2020.107725","http://dx.doi.org/10.1016/j.celrep.2020.107725")</f>
        <v>http://dx.doi.org/10.1016/j.celrep.2020.107725</v>
      </c>
      <c r="I405" s="1" t="s">
        <v>9780</v>
      </c>
      <c r="J405" s="1" t="s">
        <v>1507</v>
      </c>
      <c r="K405" s="1" t="s">
        <v>42</v>
      </c>
      <c r="L405" s="1" t="s">
        <v>56</v>
      </c>
    </row>
    <row r="406" spans="1:12" x14ac:dyDescent="0.3">
      <c r="A406" s="1">
        <v>351</v>
      </c>
      <c r="B406" t="s">
        <v>12118</v>
      </c>
      <c r="C406">
        <v>392</v>
      </c>
      <c r="D406" s="1" t="s">
        <v>2251</v>
      </c>
      <c r="E406" s="1" t="s">
        <v>2253</v>
      </c>
      <c r="F406" s="1">
        <v>2023</v>
      </c>
      <c r="G406" s="1" t="s">
        <v>2254</v>
      </c>
      <c r="H406" s="1" t="str">
        <f>HYPERLINK("http://dx.doi.org/10.3390/fi15120375","http://dx.doi.org/10.3390/fi15120375")</f>
        <v>http://dx.doi.org/10.3390/fi15120375</v>
      </c>
      <c r="I406" s="1" t="s">
        <v>2257</v>
      </c>
      <c r="J406" s="1" t="s">
        <v>2255</v>
      </c>
      <c r="K406" s="1" t="s">
        <v>42</v>
      </c>
      <c r="L406" s="1" t="s">
        <v>56</v>
      </c>
    </row>
    <row r="407" spans="1:12" x14ac:dyDescent="0.3">
      <c r="A407" s="1">
        <v>352</v>
      </c>
      <c r="B407" t="s">
        <v>12118</v>
      </c>
      <c r="C407">
        <v>393</v>
      </c>
      <c r="D407" s="1" t="s">
        <v>6145</v>
      </c>
      <c r="E407" s="1" t="s">
        <v>6147</v>
      </c>
      <c r="F407" s="1">
        <v>2023</v>
      </c>
      <c r="G407" s="1" t="s">
        <v>6148</v>
      </c>
      <c r="H407" s="1" t="str">
        <f>HYPERLINK("http://dx.doi.org/10.1145/3603269.3610856","http://dx.doi.org/10.1145/3603269.3610856")</f>
        <v>http://dx.doi.org/10.1145/3603269.3610856</v>
      </c>
      <c r="I407" s="1" t="s">
        <v>6154</v>
      </c>
      <c r="J407" s="1" t="s">
        <v>6153</v>
      </c>
      <c r="K407" s="1" t="s">
        <v>42</v>
      </c>
      <c r="L407" s="1" t="s">
        <v>5552</v>
      </c>
    </row>
    <row r="408" spans="1:12" x14ac:dyDescent="0.3">
      <c r="A408" s="1">
        <v>353</v>
      </c>
      <c r="B408" t="s">
        <v>12118</v>
      </c>
      <c r="C408">
        <v>394</v>
      </c>
      <c r="D408" s="1" t="s">
        <v>7383</v>
      </c>
      <c r="E408" s="1" t="s">
        <v>7385</v>
      </c>
      <c r="F408" s="1">
        <v>2022</v>
      </c>
      <c r="G408" s="1" t="s">
        <v>7386</v>
      </c>
      <c r="H408" s="1" t="str">
        <f>HYPERLINK("http://dx.doi.org/10.1016/j.stemcr.2022.01.015","http://dx.doi.org/10.1016/j.stemcr.2022.01.015")</f>
        <v>http://dx.doi.org/10.1016/j.stemcr.2022.01.015</v>
      </c>
      <c r="I408" s="1" t="s">
        <v>7388</v>
      </c>
      <c r="J408" s="1" t="s">
        <v>1507</v>
      </c>
      <c r="K408" s="1" t="s">
        <v>42</v>
      </c>
      <c r="L408" s="1" t="s">
        <v>56</v>
      </c>
    </row>
    <row r="409" spans="1:12" x14ac:dyDescent="0.3">
      <c r="A409" s="1">
        <v>354</v>
      </c>
      <c r="B409" t="s">
        <v>12118</v>
      </c>
      <c r="C409">
        <v>395</v>
      </c>
      <c r="D409" s="1" t="s">
        <v>15185</v>
      </c>
      <c r="E409" s="1" t="s">
        <v>15188</v>
      </c>
      <c r="F409" s="1">
        <v>2023</v>
      </c>
      <c r="G409" s="1" t="s">
        <v>15189</v>
      </c>
      <c r="H409" s="1" t="str">
        <f>HYPERLINK("http://dx.doi.org/10.1145/3639233.3639353","http://dx.doi.org/10.1145/3639233.3639353")</f>
        <v>http://dx.doi.org/10.1145/3639233.3639353</v>
      </c>
      <c r="I409" s="1" t="s">
        <v>15194</v>
      </c>
      <c r="J409" s="1" t="s">
        <v>15193</v>
      </c>
      <c r="K409" s="1" t="s">
        <v>42</v>
      </c>
      <c r="L409" s="1" t="s">
        <v>5552</v>
      </c>
    </row>
    <row r="410" spans="1:12" x14ac:dyDescent="0.3">
      <c r="A410" s="1">
        <v>355</v>
      </c>
      <c r="B410" t="s">
        <v>12118</v>
      </c>
      <c r="C410">
        <v>396</v>
      </c>
      <c r="D410" s="1" t="s">
        <v>5429</v>
      </c>
      <c r="E410" s="1" t="s">
        <v>5431</v>
      </c>
      <c r="F410" s="1">
        <v>2023</v>
      </c>
      <c r="G410" s="1" t="s">
        <v>5432</v>
      </c>
      <c r="H410" s="1" t="str">
        <f>HYPERLINK("http://dx.doi.org/10.1038/s41587-022-01618-2","http://dx.doi.org/10.1038/s41587-022-01618-2")</f>
        <v>http://dx.doi.org/10.1038/s41587-022-01618-2</v>
      </c>
      <c r="I410" s="1" t="s">
        <v>5434</v>
      </c>
      <c r="J410" s="1" t="s">
        <v>1507</v>
      </c>
      <c r="K410" s="1" t="s">
        <v>42</v>
      </c>
      <c r="L410" s="1" t="s">
        <v>56</v>
      </c>
    </row>
    <row r="411" spans="1:12" x14ac:dyDescent="0.3">
      <c r="A411" s="1">
        <v>356</v>
      </c>
      <c r="B411" t="s">
        <v>12118</v>
      </c>
      <c r="C411">
        <v>397</v>
      </c>
      <c r="D411" s="1" t="s">
        <v>2268</v>
      </c>
      <c r="E411" s="1" t="s">
        <v>2270</v>
      </c>
      <c r="F411" s="1">
        <v>2023</v>
      </c>
      <c r="G411" s="1" t="s">
        <v>2200</v>
      </c>
      <c r="H411" s="1" t="str">
        <f>HYPERLINK("http://dx.doi.org/10.3390/informatics10040084","http://dx.doi.org/10.3390/informatics10040084")</f>
        <v>http://dx.doi.org/10.3390/informatics10040084</v>
      </c>
      <c r="I411" s="1" t="s">
        <v>2273</v>
      </c>
      <c r="J411" s="1" t="s">
        <v>2271</v>
      </c>
      <c r="K411" s="1" t="s">
        <v>42</v>
      </c>
      <c r="L411" s="1" t="s">
        <v>56</v>
      </c>
    </row>
    <row r="412" spans="1:12" x14ac:dyDescent="0.3">
      <c r="A412" s="1">
        <v>357</v>
      </c>
      <c r="B412" t="s">
        <v>12118</v>
      </c>
      <c r="C412">
        <v>398</v>
      </c>
      <c r="D412" s="1" t="s">
        <v>4487</v>
      </c>
      <c r="E412" s="1" t="s">
        <v>4489</v>
      </c>
      <c r="F412" s="1">
        <v>2023</v>
      </c>
      <c r="G412" s="1" t="s">
        <v>4490</v>
      </c>
      <c r="H412" s="1" t="str">
        <f>HYPERLINK("http://dx.doi.org/10.1016/j.hal.2023.102478","http://dx.doi.org/10.1016/j.hal.2023.102478")</f>
        <v>http://dx.doi.org/10.1016/j.hal.2023.102478</v>
      </c>
      <c r="I412" s="1" t="s">
        <v>4493</v>
      </c>
      <c r="J412" s="1" t="s">
        <v>4491</v>
      </c>
      <c r="K412" s="1" t="s">
        <v>42</v>
      </c>
      <c r="L412" s="1" t="s">
        <v>56</v>
      </c>
    </row>
    <row r="413" spans="1:12" x14ac:dyDescent="0.3">
      <c r="A413" s="1">
        <v>359</v>
      </c>
      <c r="B413" t="s">
        <v>12118</v>
      </c>
      <c r="C413">
        <v>401</v>
      </c>
      <c r="D413" s="1" t="s">
        <v>12015</v>
      </c>
      <c r="E413" s="1" t="s">
        <v>12017</v>
      </c>
      <c r="F413" s="1">
        <v>2018</v>
      </c>
      <c r="G413" s="1" t="s">
        <v>12018</v>
      </c>
      <c r="H413" s="1" t="str">
        <f>HYPERLINK("http://dx.doi.org/10.1109/SIBGRAPI.2018.00061","http://dx.doi.org/10.1109/SIBGRAPI.2018.00061")</f>
        <v>http://dx.doi.org/10.1109/SIBGRAPI.2018.00061</v>
      </c>
      <c r="I413" s="1" t="s">
        <v>12024</v>
      </c>
      <c r="J413" s="1" t="s">
        <v>1507</v>
      </c>
      <c r="K413" s="1" t="s">
        <v>42</v>
      </c>
      <c r="L413" s="1" t="s">
        <v>5552</v>
      </c>
    </row>
    <row r="414" spans="1:12" x14ac:dyDescent="0.3">
      <c r="A414" s="1">
        <v>360</v>
      </c>
      <c r="B414" t="s">
        <v>12118</v>
      </c>
      <c r="C414">
        <v>402</v>
      </c>
      <c r="D414" s="1" t="s">
        <v>4836</v>
      </c>
      <c r="E414" s="1" t="s">
        <v>4838</v>
      </c>
      <c r="F414" s="1">
        <v>2023</v>
      </c>
      <c r="G414" s="1" t="s">
        <v>1657</v>
      </c>
      <c r="H414" s="1" t="str">
        <f>HYPERLINK("http://dx.doi.org/10.2196/46924","http://dx.doi.org/10.2196/46924")</f>
        <v>http://dx.doi.org/10.2196/46924</v>
      </c>
      <c r="I414" s="1" t="s">
        <v>4840</v>
      </c>
      <c r="J414" s="1" t="s">
        <v>4839</v>
      </c>
      <c r="K414" s="1" t="s">
        <v>42</v>
      </c>
      <c r="L414" s="1" t="s">
        <v>56</v>
      </c>
    </row>
    <row r="415" spans="1:12" x14ac:dyDescent="0.3">
      <c r="A415" s="1">
        <v>361</v>
      </c>
      <c r="B415" t="s">
        <v>12118</v>
      </c>
      <c r="C415">
        <v>403</v>
      </c>
      <c r="D415" s="1" t="s">
        <v>6167</v>
      </c>
      <c r="E415" s="1" t="s">
        <v>6169</v>
      </c>
      <c r="F415" s="1">
        <v>2023</v>
      </c>
      <c r="G415" s="1" t="s">
        <v>6170</v>
      </c>
      <c r="H415" s="1" t="str">
        <f>HYPERLINK("http://dx.doi.org/10.1145/3626111.3628183","http://dx.doi.org/10.1145/3626111.3628183")</f>
        <v>http://dx.doi.org/10.1145/3626111.3628183</v>
      </c>
      <c r="I415" s="1" t="s">
        <v>6177</v>
      </c>
      <c r="J415" s="1" t="s">
        <v>6175</v>
      </c>
      <c r="K415" s="1" t="s">
        <v>42</v>
      </c>
      <c r="L415" s="1" t="s">
        <v>5552</v>
      </c>
    </row>
    <row r="416" spans="1:12" x14ac:dyDescent="0.3">
      <c r="A416" s="1">
        <v>363</v>
      </c>
      <c r="B416" t="s">
        <v>12118</v>
      </c>
      <c r="C416">
        <v>404</v>
      </c>
      <c r="D416" s="1" t="s">
        <v>10625</v>
      </c>
      <c r="E416" s="1" t="s">
        <v>10627</v>
      </c>
      <c r="F416" s="1">
        <v>2019</v>
      </c>
      <c r="G416" s="1" t="s">
        <v>10628</v>
      </c>
      <c r="H416" s="1" t="str">
        <f>HYPERLINK("http://dx.doi.org/10.1016/j.nbd.2019.104506","http://dx.doi.org/10.1016/j.nbd.2019.104506")</f>
        <v>http://dx.doi.org/10.1016/j.nbd.2019.104506</v>
      </c>
      <c r="I416" s="1" t="s">
        <v>10631</v>
      </c>
      <c r="J416" s="1" t="s">
        <v>10629</v>
      </c>
      <c r="K416" s="1" t="s">
        <v>42</v>
      </c>
      <c r="L416" s="1" t="s">
        <v>56</v>
      </c>
    </row>
    <row r="417" spans="1:12" x14ac:dyDescent="0.3">
      <c r="A417" s="1">
        <v>364</v>
      </c>
      <c r="B417" t="s">
        <v>12118</v>
      </c>
      <c r="C417">
        <v>405</v>
      </c>
      <c r="D417" s="1" t="s">
        <v>11634</v>
      </c>
      <c r="E417" s="1" t="s">
        <v>11636</v>
      </c>
      <c r="F417" s="1">
        <v>2018</v>
      </c>
      <c r="G417" s="1" t="s">
        <v>11637</v>
      </c>
      <c r="H417" s="1" t="str">
        <f>HYPERLINK("http://dx.doi.org/10.1016/j.cellimm.2018.01.018","http://dx.doi.org/10.1016/j.cellimm.2018.01.018")</f>
        <v>http://dx.doi.org/10.1016/j.cellimm.2018.01.018</v>
      </c>
      <c r="I417" s="1" t="s">
        <v>11640</v>
      </c>
      <c r="J417" s="1" t="s">
        <v>11638</v>
      </c>
      <c r="K417" s="1" t="s">
        <v>42</v>
      </c>
      <c r="L417" s="1" t="s">
        <v>56</v>
      </c>
    </row>
    <row r="418" spans="1:12" x14ac:dyDescent="0.3">
      <c r="A418" s="1">
        <v>365</v>
      </c>
      <c r="B418" t="s">
        <v>12118</v>
      </c>
      <c r="C418">
        <v>406</v>
      </c>
      <c r="D418" s="1" t="s">
        <v>9328</v>
      </c>
      <c r="E418" s="1" t="s">
        <v>9330</v>
      </c>
      <c r="F418" s="1">
        <v>2020</v>
      </c>
      <c r="G418" s="1" t="s">
        <v>3251</v>
      </c>
      <c r="H418" s="1" t="str">
        <f>HYPERLINK("http://dx.doi.org/10.1073/pnas.2010738117","http://dx.doi.org/10.1073/pnas.2010738117")</f>
        <v>http://dx.doi.org/10.1073/pnas.2010738117</v>
      </c>
      <c r="I418" s="1" t="s">
        <v>9333</v>
      </c>
      <c r="J418" s="1" t="s">
        <v>9331</v>
      </c>
      <c r="K418" s="1" t="s">
        <v>42</v>
      </c>
      <c r="L418" s="1" t="s">
        <v>56</v>
      </c>
    </row>
    <row r="419" spans="1:12" x14ac:dyDescent="0.3">
      <c r="A419" s="1">
        <v>366</v>
      </c>
      <c r="B419" t="s">
        <v>12118</v>
      </c>
      <c r="C419">
        <v>407</v>
      </c>
      <c r="D419" s="1" t="s">
        <v>3732</v>
      </c>
      <c r="E419" s="1" t="s">
        <v>3734</v>
      </c>
      <c r="F419" s="1">
        <v>2023</v>
      </c>
      <c r="G419" s="1" t="s">
        <v>3735</v>
      </c>
      <c r="H419" s="1" t="str">
        <f>HYPERLINK("http://dx.doi.org/10.1002/tea.21903","http://dx.doi.org/10.1002/tea.21903")</f>
        <v>http://dx.doi.org/10.1002/tea.21903</v>
      </c>
      <c r="I419" s="1" t="s">
        <v>3738</v>
      </c>
      <c r="J419" s="1" t="s">
        <v>3736</v>
      </c>
      <c r="K419" s="1" t="s">
        <v>42</v>
      </c>
      <c r="L419" s="1" t="s">
        <v>1509</v>
      </c>
    </row>
    <row r="420" spans="1:12" x14ac:dyDescent="0.3">
      <c r="A420" s="1">
        <v>367</v>
      </c>
      <c r="B420" t="s">
        <v>12118</v>
      </c>
      <c r="C420">
        <v>408</v>
      </c>
      <c r="D420" s="1" t="s">
        <v>7258</v>
      </c>
      <c r="E420" s="1" t="s">
        <v>7260</v>
      </c>
      <c r="F420" s="1">
        <v>2022</v>
      </c>
      <c r="G420" s="1" t="s">
        <v>7261</v>
      </c>
      <c r="H420" s="1" t="str">
        <f>HYPERLINK("http://dx.doi.org/10.1016/j.ceca.2022.102582","http://dx.doi.org/10.1016/j.ceca.2022.102582")</f>
        <v>http://dx.doi.org/10.1016/j.ceca.2022.102582</v>
      </c>
      <c r="I420" s="1" t="s">
        <v>7263</v>
      </c>
      <c r="J420" s="1" t="s">
        <v>1507</v>
      </c>
      <c r="K420" s="1" t="s">
        <v>42</v>
      </c>
      <c r="L420" s="1" t="s">
        <v>56</v>
      </c>
    </row>
    <row r="421" spans="1:12" x14ac:dyDescent="0.3">
      <c r="A421" s="1">
        <v>368</v>
      </c>
      <c r="B421" t="s">
        <v>12118</v>
      </c>
      <c r="C421">
        <v>409</v>
      </c>
      <c r="D421" s="1" t="s">
        <v>10647</v>
      </c>
      <c r="E421" s="1" t="s">
        <v>10649</v>
      </c>
      <c r="F421" s="1">
        <v>2019</v>
      </c>
      <c r="G421" s="1" t="s">
        <v>10187</v>
      </c>
      <c r="H421" s="1" t="str">
        <f>HYPERLINK("http://dx.doi.org/10.1021/acs.jpcc.9b06180","http://dx.doi.org/10.1021/acs.jpcc.9b06180")</f>
        <v>http://dx.doi.org/10.1021/acs.jpcc.9b06180</v>
      </c>
      <c r="I421" s="1" t="s">
        <v>10651</v>
      </c>
      <c r="J421" s="1" t="s">
        <v>1507</v>
      </c>
      <c r="K421" s="1" t="s">
        <v>42</v>
      </c>
      <c r="L421" s="1" t="s">
        <v>56</v>
      </c>
    </row>
    <row r="422" spans="1:12" x14ac:dyDescent="0.3">
      <c r="A422" s="1">
        <v>369</v>
      </c>
      <c r="B422" t="s">
        <v>12118</v>
      </c>
      <c r="C422">
        <v>410</v>
      </c>
      <c r="D422" s="1" t="s">
        <v>8251</v>
      </c>
      <c r="E422" s="1" t="s">
        <v>8253</v>
      </c>
      <c r="F422" s="1">
        <v>2021</v>
      </c>
      <c r="G422" s="1" t="s">
        <v>8254</v>
      </c>
      <c r="H422" s="1" t="str">
        <f>HYPERLINK("http://dx.doi.org/10.1016/j.bmcl.2021.128313","http://dx.doi.org/10.1016/j.bmcl.2021.128313")</f>
        <v>http://dx.doi.org/10.1016/j.bmcl.2021.128313</v>
      </c>
      <c r="I422" s="1" t="s">
        <v>8257</v>
      </c>
      <c r="J422" s="1" t="s">
        <v>8255</v>
      </c>
      <c r="K422" s="1" t="s">
        <v>42</v>
      </c>
      <c r="L422" s="1" t="s">
        <v>56</v>
      </c>
    </row>
    <row r="423" spans="1:12" x14ac:dyDescent="0.3">
      <c r="A423" s="1">
        <v>370</v>
      </c>
      <c r="B423" t="s">
        <v>12118</v>
      </c>
      <c r="C423">
        <v>411</v>
      </c>
      <c r="D423" s="1" t="s">
        <v>4853</v>
      </c>
      <c r="E423" s="1" t="s">
        <v>4855</v>
      </c>
      <c r="F423" s="1">
        <v>2023</v>
      </c>
      <c r="G423" s="1" t="s">
        <v>4856</v>
      </c>
      <c r="H423" s="1" t="str">
        <f>HYPERLINK("http://dx.doi.org/10.1037/ebs0000328","http://dx.doi.org/10.1037/ebs0000328")</f>
        <v>http://dx.doi.org/10.1037/ebs0000328</v>
      </c>
      <c r="I423" s="1" t="s">
        <v>4859</v>
      </c>
      <c r="J423" s="1" t="s">
        <v>4857</v>
      </c>
      <c r="K423" s="1" t="s">
        <v>42</v>
      </c>
      <c r="L423" s="1" t="s">
        <v>1509</v>
      </c>
    </row>
    <row r="424" spans="1:12" x14ac:dyDescent="0.3">
      <c r="A424" s="1">
        <v>371</v>
      </c>
      <c r="B424" t="s">
        <v>12118</v>
      </c>
      <c r="C424">
        <v>412</v>
      </c>
      <c r="D424" s="1" t="s">
        <v>9795</v>
      </c>
      <c r="E424" s="1" t="s">
        <v>9797</v>
      </c>
      <c r="F424" s="1">
        <v>2020</v>
      </c>
      <c r="G424" s="1" t="s">
        <v>9798</v>
      </c>
      <c r="H424" s="1" t="str">
        <f>HYPERLINK("http://dx.doi.org/10.1097/SLA.0000000000003084","http://dx.doi.org/10.1097/SLA.0000000000003084")</f>
        <v>http://dx.doi.org/10.1097/SLA.0000000000003084</v>
      </c>
      <c r="I424" s="1" t="s">
        <v>9800</v>
      </c>
      <c r="J424" s="1" t="s">
        <v>9799</v>
      </c>
      <c r="K424" s="1" t="s">
        <v>42</v>
      </c>
      <c r="L424" s="1" t="s">
        <v>56</v>
      </c>
    </row>
    <row r="425" spans="1:12" x14ac:dyDescent="0.3">
      <c r="A425" s="1">
        <v>372</v>
      </c>
      <c r="B425" t="s">
        <v>12118</v>
      </c>
      <c r="C425">
        <v>413</v>
      </c>
      <c r="D425" s="1" t="s">
        <v>12039</v>
      </c>
      <c r="E425" s="1" t="s">
        <v>12041</v>
      </c>
      <c r="F425" s="1">
        <v>2018</v>
      </c>
      <c r="G425" s="1" t="s">
        <v>11888</v>
      </c>
      <c r="H425" s="1" t="s">
        <v>1507</v>
      </c>
      <c r="I425" s="1" t="s">
        <v>12043</v>
      </c>
      <c r="J425" s="1" t="s">
        <v>1507</v>
      </c>
      <c r="K425" s="1" t="s">
        <v>42</v>
      </c>
      <c r="L425" s="1" t="s">
        <v>56</v>
      </c>
    </row>
    <row r="426" spans="1:12" x14ac:dyDescent="0.3">
      <c r="A426" s="1">
        <v>373</v>
      </c>
      <c r="B426" t="s">
        <v>12118</v>
      </c>
      <c r="C426">
        <v>414</v>
      </c>
      <c r="D426" s="1" t="s">
        <v>11716</v>
      </c>
      <c r="E426" s="1" t="s">
        <v>11718</v>
      </c>
      <c r="F426" s="1">
        <v>2018</v>
      </c>
      <c r="G426" s="1" t="s">
        <v>11719</v>
      </c>
      <c r="H426" s="1" t="str">
        <f>HYPERLINK("http://dx.doi.org/10.3389/fvets.2018.00066","http://dx.doi.org/10.3389/fvets.2018.00066")</f>
        <v>http://dx.doi.org/10.3389/fvets.2018.00066</v>
      </c>
      <c r="I426" s="1" t="s">
        <v>11722</v>
      </c>
      <c r="J426" s="1" t="s">
        <v>11720</v>
      </c>
      <c r="K426" s="1" t="s">
        <v>42</v>
      </c>
      <c r="L426" s="1" t="s">
        <v>56</v>
      </c>
    </row>
    <row r="427" spans="1:12" x14ac:dyDescent="0.3">
      <c r="A427" s="1">
        <v>377</v>
      </c>
      <c r="B427" t="s">
        <v>12118</v>
      </c>
      <c r="C427">
        <v>418</v>
      </c>
      <c r="D427" s="1" t="s">
        <v>9532</v>
      </c>
      <c r="E427" s="1" t="s">
        <v>9534</v>
      </c>
      <c r="F427" s="1">
        <v>2020</v>
      </c>
      <c r="G427" s="1" t="s">
        <v>9535</v>
      </c>
      <c r="H427" s="1" t="str">
        <f>HYPERLINK("http://dx.doi.org/10.1163/22119000-12340191","http://dx.doi.org/10.1163/22119000-12340191")</f>
        <v>http://dx.doi.org/10.1163/22119000-12340191</v>
      </c>
      <c r="I427" s="1" t="s">
        <v>9538</v>
      </c>
      <c r="J427" s="1" t="s">
        <v>9536</v>
      </c>
      <c r="K427" s="1" t="s">
        <v>42</v>
      </c>
      <c r="L427" s="1" t="s">
        <v>56</v>
      </c>
    </row>
    <row r="428" spans="1:12" x14ac:dyDescent="0.3">
      <c r="A428" s="1">
        <v>378</v>
      </c>
      <c r="B428" t="s">
        <v>12118</v>
      </c>
      <c r="C428">
        <v>419</v>
      </c>
      <c r="D428" s="1" t="s">
        <v>9815</v>
      </c>
      <c r="E428" s="1" t="s">
        <v>9817</v>
      </c>
      <c r="F428" s="1">
        <v>2020</v>
      </c>
      <c r="G428" s="1" t="s">
        <v>9818</v>
      </c>
      <c r="H428" s="1" t="str">
        <f>HYPERLINK("http://dx.doi.org/10.1016/j.jsxm.2020.02.018","http://dx.doi.org/10.1016/j.jsxm.2020.02.018")</f>
        <v>http://dx.doi.org/10.1016/j.jsxm.2020.02.018</v>
      </c>
      <c r="I428" s="1" t="s">
        <v>9821</v>
      </c>
      <c r="J428" s="1" t="s">
        <v>9819</v>
      </c>
      <c r="K428" s="1" t="s">
        <v>42</v>
      </c>
      <c r="L428" s="1" t="s">
        <v>56</v>
      </c>
    </row>
    <row r="429" spans="1:12" x14ac:dyDescent="0.3">
      <c r="A429" s="1">
        <v>380</v>
      </c>
      <c r="B429" t="s">
        <v>12118</v>
      </c>
      <c r="C429">
        <v>420</v>
      </c>
      <c r="D429" s="1" t="s">
        <v>3552</v>
      </c>
      <c r="E429" s="1" t="s">
        <v>3554</v>
      </c>
      <c r="F429" s="1">
        <v>2023</v>
      </c>
      <c r="G429" s="1" t="s">
        <v>3555</v>
      </c>
      <c r="H429" s="1" t="str">
        <f>HYPERLINK("http://dx.doi.org/10.1017/S0021855323000244","http://dx.doi.org/10.1017/S0021855323000244")</f>
        <v>http://dx.doi.org/10.1017/S0021855323000244</v>
      </c>
      <c r="I429" s="1" t="s">
        <v>3557</v>
      </c>
      <c r="J429" s="1" t="s">
        <v>3556</v>
      </c>
      <c r="K429" s="1" t="s">
        <v>42</v>
      </c>
      <c r="L429" s="1" t="s">
        <v>56</v>
      </c>
    </row>
    <row r="430" spans="1:12" x14ac:dyDescent="0.3">
      <c r="A430" s="1">
        <v>381</v>
      </c>
      <c r="B430" t="s">
        <v>12118</v>
      </c>
      <c r="C430">
        <v>421</v>
      </c>
      <c r="D430" s="1" t="s">
        <v>11536</v>
      </c>
      <c r="E430" s="1" t="s">
        <v>11538</v>
      </c>
      <c r="F430" s="1">
        <v>2018</v>
      </c>
      <c r="G430" s="1" t="s">
        <v>8493</v>
      </c>
      <c r="H430" s="1" t="str">
        <f>HYPERLINK("http://dx.doi.org/10.1016/j.lfs.2018.09.059","http://dx.doi.org/10.1016/j.lfs.2018.09.059")</f>
        <v>http://dx.doi.org/10.1016/j.lfs.2018.09.059</v>
      </c>
      <c r="I430" s="1" t="s">
        <v>11541</v>
      </c>
      <c r="J430" s="1" t="s">
        <v>11539</v>
      </c>
      <c r="K430" s="1" t="s">
        <v>42</v>
      </c>
      <c r="L430" s="1" t="s">
        <v>56</v>
      </c>
    </row>
    <row r="431" spans="1:12" x14ac:dyDescent="0.3">
      <c r="A431" s="1">
        <v>382</v>
      </c>
      <c r="B431" t="s">
        <v>12118</v>
      </c>
      <c r="C431">
        <v>422</v>
      </c>
      <c r="D431" s="1" t="s">
        <v>7097</v>
      </c>
      <c r="E431" s="1" t="s">
        <v>7099</v>
      </c>
      <c r="F431" s="1">
        <v>2022</v>
      </c>
      <c r="G431" s="1" t="s">
        <v>7100</v>
      </c>
      <c r="H431" s="1" t="str">
        <f>HYPERLINK("http://dx.doi.org/10.1039/d2ra03931a","http://dx.doi.org/10.1039/d2ra03931a")</f>
        <v>http://dx.doi.org/10.1039/d2ra03931a</v>
      </c>
      <c r="I431" s="1" t="s">
        <v>7102</v>
      </c>
      <c r="J431" s="1" t="s">
        <v>1507</v>
      </c>
      <c r="K431" s="1" t="s">
        <v>42</v>
      </c>
      <c r="L431" s="1" t="s">
        <v>56</v>
      </c>
    </row>
    <row r="432" spans="1:12" x14ac:dyDescent="0.3">
      <c r="A432" s="1">
        <v>383</v>
      </c>
      <c r="B432" t="s">
        <v>12118</v>
      </c>
      <c r="C432">
        <v>423</v>
      </c>
      <c r="D432" s="1" t="s">
        <v>2847</v>
      </c>
      <c r="E432" s="1" t="s">
        <v>2849</v>
      </c>
      <c r="F432" s="1">
        <v>2023</v>
      </c>
      <c r="G432" s="1" t="s">
        <v>2850</v>
      </c>
      <c r="H432" s="1" t="str">
        <f>HYPERLINK("http://dx.doi.org/10.1093/braincomms/fcad318","http://dx.doi.org/10.1093/braincomms/fcad318")</f>
        <v>http://dx.doi.org/10.1093/braincomms/fcad318</v>
      </c>
      <c r="I432" s="1" t="s">
        <v>2853</v>
      </c>
      <c r="J432" s="1" t="s">
        <v>2851</v>
      </c>
      <c r="K432" s="1" t="s">
        <v>42</v>
      </c>
      <c r="L432" s="1" t="s">
        <v>56</v>
      </c>
    </row>
    <row r="433" spans="1:12" x14ac:dyDescent="0.3">
      <c r="A433" s="1">
        <v>384</v>
      </c>
      <c r="B433" t="s">
        <v>12118</v>
      </c>
      <c r="C433">
        <v>424</v>
      </c>
      <c r="D433" s="1" t="s">
        <v>10130</v>
      </c>
      <c r="E433" s="1" t="s">
        <v>10132</v>
      </c>
      <c r="F433" s="1">
        <v>2020</v>
      </c>
      <c r="G433" s="1" t="s">
        <v>10133</v>
      </c>
      <c r="H433" s="1" t="str">
        <f>HYPERLINK("http://dx.doi.org/10.1016/j.jip.2019.107312","http://dx.doi.org/10.1016/j.jip.2019.107312")</f>
        <v>http://dx.doi.org/10.1016/j.jip.2019.107312</v>
      </c>
      <c r="I433" s="1" t="s">
        <v>10136</v>
      </c>
      <c r="J433" s="1" t="s">
        <v>10134</v>
      </c>
      <c r="K433" s="1" t="s">
        <v>42</v>
      </c>
      <c r="L433" s="1" t="s">
        <v>56</v>
      </c>
    </row>
    <row r="434" spans="1:12" x14ac:dyDescent="0.3">
      <c r="A434" s="1">
        <v>385</v>
      </c>
      <c r="B434" t="s">
        <v>12118</v>
      </c>
      <c r="C434">
        <v>425</v>
      </c>
      <c r="D434" s="1" t="s">
        <v>14009</v>
      </c>
      <c r="E434" s="1" t="s">
        <v>14011</v>
      </c>
      <c r="F434" s="1">
        <v>2023</v>
      </c>
      <c r="G434" s="1" t="s">
        <v>3083</v>
      </c>
      <c r="H434" s="1" t="str">
        <f>HYPERLINK("http://dx.doi.org/10.7759/cureus.48296","http://dx.doi.org/10.7759/cureus.48296")</f>
        <v>http://dx.doi.org/10.7759/cureus.48296</v>
      </c>
      <c r="I434" s="1" t="s">
        <v>14014</v>
      </c>
      <c r="J434" s="1" t="s">
        <v>14012</v>
      </c>
      <c r="K434" s="1" t="s">
        <v>42</v>
      </c>
      <c r="L434" s="1" t="s">
        <v>56</v>
      </c>
    </row>
    <row r="435" spans="1:12" x14ac:dyDescent="0.3">
      <c r="A435" s="1">
        <v>386</v>
      </c>
      <c r="B435" t="s">
        <v>12118</v>
      </c>
      <c r="C435">
        <v>427</v>
      </c>
      <c r="D435" s="1" t="s">
        <v>4138</v>
      </c>
      <c r="E435" s="1" t="s">
        <v>4140</v>
      </c>
      <c r="F435" s="1">
        <v>2023</v>
      </c>
      <c r="G435" s="1" t="s">
        <v>1562</v>
      </c>
      <c r="H435" s="1" t="str">
        <f>HYPERLINK("http://dx.doi.org/10.3389/feduc.2023.1250461","http://dx.doi.org/10.3389/feduc.2023.1250461")</f>
        <v>http://dx.doi.org/10.3389/feduc.2023.1250461</v>
      </c>
      <c r="I435" s="1" t="s">
        <v>4143</v>
      </c>
      <c r="J435" s="1" t="s">
        <v>4141</v>
      </c>
      <c r="K435" s="1" t="s">
        <v>42</v>
      </c>
      <c r="L435" s="1" t="s">
        <v>56</v>
      </c>
    </row>
    <row r="436" spans="1:12" x14ac:dyDescent="0.3">
      <c r="A436" s="1">
        <v>387</v>
      </c>
      <c r="B436" t="s">
        <v>12118</v>
      </c>
      <c r="C436">
        <v>428</v>
      </c>
      <c r="D436" s="1" t="s">
        <v>10005</v>
      </c>
      <c r="E436" s="1" t="s">
        <v>10007</v>
      </c>
      <c r="F436" s="1">
        <v>2020</v>
      </c>
      <c r="G436" s="1" t="s">
        <v>10008</v>
      </c>
      <c r="H436" s="1" t="str">
        <f>HYPERLINK("http://dx.doi.org/10.1111/mmi.14497","http://dx.doi.org/10.1111/mmi.14497")</f>
        <v>http://dx.doi.org/10.1111/mmi.14497</v>
      </c>
      <c r="I436" s="1" t="s">
        <v>10011</v>
      </c>
      <c r="J436" s="1" t="s">
        <v>10009</v>
      </c>
      <c r="K436" s="1" t="s">
        <v>42</v>
      </c>
      <c r="L436" s="1" t="s">
        <v>56</v>
      </c>
    </row>
    <row r="437" spans="1:12" x14ac:dyDescent="0.3">
      <c r="A437" s="1">
        <v>388</v>
      </c>
      <c r="B437" t="s">
        <v>12118</v>
      </c>
      <c r="C437">
        <v>429</v>
      </c>
      <c r="D437" s="1" t="s">
        <v>4153</v>
      </c>
      <c r="E437" s="1" t="s">
        <v>4155</v>
      </c>
      <c r="F437" s="1">
        <v>2023</v>
      </c>
      <c r="G437" s="1" t="s">
        <v>4156</v>
      </c>
      <c r="H437" s="1" t="str">
        <f>HYPERLINK("http://dx.doi.org/10.3389/fneur.2023.1225223","http://dx.doi.org/10.3389/fneur.2023.1225223")</f>
        <v>http://dx.doi.org/10.3389/fneur.2023.1225223</v>
      </c>
      <c r="I437" s="1" t="s">
        <v>4158</v>
      </c>
      <c r="J437" s="1" t="s">
        <v>4157</v>
      </c>
      <c r="K437" s="1" t="s">
        <v>42</v>
      </c>
      <c r="L437" s="1" t="s">
        <v>56</v>
      </c>
    </row>
    <row r="438" spans="1:12" x14ac:dyDescent="0.3">
      <c r="A438" s="1">
        <v>389</v>
      </c>
      <c r="B438" t="s">
        <v>12118</v>
      </c>
      <c r="C438">
        <v>431</v>
      </c>
      <c r="D438" s="1" t="s">
        <v>15223</v>
      </c>
      <c r="E438" s="1" t="s">
        <v>12137</v>
      </c>
      <c r="F438" s="1">
        <v>2023</v>
      </c>
      <c r="G438" s="1" t="s">
        <v>15225</v>
      </c>
      <c r="H438" s="1" t="str">
        <f>HYPERLINK("http://dx.doi.org/10.30827/relieve.v29i2.29295","http://dx.doi.org/10.30827/relieve.v29i2.29295")</f>
        <v>http://dx.doi.org/10.30827/relieve.v29i2.29295</v>
      </c>
      <c r="I438" s="1" t="s">
        <v>15228</v>
      </c>
      <c r="J438" s="1" t="s">
        <v>15226</v>
      </c>
      <c r="K438" s="1" t="s">
        <v>42</v>
      </c>
      <c r="L438" s="1" t="s">
        <v>56</v>
      </c>
    </row>
    <row r="439" spans="1:12" x14ac:dyDescent="0.3">
      <c r="A439" s="1">
        <v>390</v>
      </c>
      <c r="B439" t="s">
        <v>12118</v>
      </c>
      <c r="C439">
        <v>432</v>
      </c>
      <c r="D439" s="1" t="s">
        <v>3574</v>
      </c>
      <c r="E439" s="1" t="s">
        <v>3576</v>
      </c>
      <c r="F439" s="1">
        <v>2023</v>
      </c>
      <c r="G439" s="1" t="s">
        <v>3577</v>
      </c>
      <c r="H439" s="1" t="s">
        <v>1507</v>
      </c>
      <c r="I439" s="1" t="s">
        <v>3579</v>
      </c>
      <c r="J439" s="1" t="s">
        <v>3578</v>
      </c>
      <c r="K439" s="1" t="s">
        <v>42</v>
      </c>
      <c r="L439" s="1" t="s">
        <v>56</v>
      </c>
    </row>
    <row r="440" spans="1:12" x14ac:dyDescent="0.3">
      <c r="A440" s="1">
        <v>391</v>
      </c>
      <c r="B440" t="s">
        <v>12118</v>
      </c>
      <c r="C440">
        <v>433</v>
      </c>
      <c r="D440" s="1" t="s">
        <v>8880</v>
      </c>
      <c r="E440" s="1" t="s">
        <v>8882</v>
      </c>
      <c r="F440" s="1">
        <v>2021</v>
      </c>
      <c r="G440" s="1" t="s">
        <v>8883</v>
      </c>
      <c r="H440" s="1" t="str">
        <f>HYPERLINK("http://dx.doi.org/10.1016/j.cropro.2021.105618","http://dx.doi.org/10.1016/j.cropro.2021.105618")</f>
        <v>http://dx.doi.org/10.1016/j.cropro.2021.105618</v>
      </c>
      <c r="I440" s="1" t="s">
        <v>8886</v>
      </c>
      <c r="J440" s="1" t="s">
        <v>8884</v>
      </c>
      <c r="K440" s="1" t="s">
        <v>42</v>
      </c>
      <c r="L440" s="1" t="s">
        <v>56</v>
      </c>
    </row>
    <row r="441" spans="1:12" x14ac:dyDescent="0.3">
      <c r="A441" s="1">
        <v>392</v>
      </c>
      <c r="B441" t="s">
        <v>12118</v>
      </c>
      <c r="C441">
        <v>434</v>
      </c>
      <c r="D441" s="1" t="s">
        <v>5265</v>
      </c>
      <c r="E441" s="1" t="s">
        <v>5267</v>
      </c>
      <c r="F441" s="1">
        <v>2023</v>
      </c>
      <c r="G441" s="1" t="s">
        <v>5268</v>
      </c>
      <c r="H441" s="1" t="str">
        <f>HYPERLINK("http://dx.doi.org/10.1155/2023/7104852","http://dx.doi.org/10.1155/2023/7104852")</f>
        <v>http://dx.doi.org/10.1155/2023/7104852</v>
      </c>
      <c r="I441" s="1" t="s">
        <v>5270</v>
      </c>
      <c r="J441" s="1" t="s">
        <v>1507</v>
      </c>
      <c r="K441" s="1" t="s">
        <v>42</v>
      </c>
      <c r="L441" s="1" t="s">
        <v>56</v>
      </c>
    </row>
    <row r="442" spans="1:12" x14ac:dyDescent="0.3">
      <c r="A442" s="1">
        <v>394</v>
      </c>
      <c r="B442" t="s">
        <v>12118</v>
      </c>
      <c r="C442">
        <v>437</v>
      </c>
      <c r="D442" s="1" t="s">
        <v>10707</v>
      </c>
      <c r="E442" s="1" t="s">
        <v>10709</v>
      </c>
      <c r="F442" s="1">
        <v>2020</v>
      </c>
      <c r="G442" s="1" t="s">
        <v>10710</v>
      </c>
      <c r="H442" s="1" t="str">
        <f>HYPERLINK("http://dx.doi.org/10.1002/smll.201902889","http://dx.doi.org/10.1002/smll.201902889")</f>
        <v>http://dx.doi.org/10.1002/smll.201902889</v>
      </c>
      <c r="I442" s="1" t="s">
        <v>10713</v>
      </c>
      <c r="J442" s="1" t="s">
        <v>10711</v>
      </c>
      <c r="K442" s="1" t="s">
        <v>42</v>
      </c>
      <c r="L442" s="1" t="s">
        <v>56</v>
      </c>
    </row>
    <row r="443" spans="1:12" x14ac:dyDescent="0.3">
      <c r="A443" s="1">
        <v>395</v>
      </c>
      <c r="B443" t="s">
        <v>12118</v>
      </c>
      <c r="C443">
        <v>438</v>
      </c>
      <c r="D443" s="1" t="s">
        <v>9836</v>
      </c>
      <c r="E443" s="1" t="s">
        <v>9838</v>
      </c>
      <c r="F443" s="1">
        <v>2020</v>
      </c>
      <c r="G443" s="1" t="s">
        <v>9839</v>
      </c>
      <c r="H443" s="1" t="s">
        <v>1507</v>
      </c>
      <c r="I443" s="1" t="s">
        <v>9842</v>
      </c>
      <c r="J443" s="1" t="s">
        <v>9840</v>
      </c>
      <c r="K443" s="1" t="s">
        <v>42</v>
      </c>
      <c r="L443" s="1" t="s">
        <v>56</v>
      </c>
    </row>
    <row r="444" spans="1:12" x14ac:dyDescent="0.3">
      <c r="A444" s="1">
        <v>396</v>
      </c>
      <c r="B444" t="s">
        <v>12118</v>
      </c>
      <c r="C444">
        <v>439</v>
      </c>
      <c r="D444" s="1" t="s">
        <v>2917</v>
      </c>
      <c r="E444" s="1" t="s">
        <v>2919</v>
      </c>
      <c r="F444" s="1">
        <v>2023</v>
      </c>
      <c r="G444" s="1" t="s">
        <v>2874</v>
      </c>
      <c r="H444" s="1" t="str">
        <f>HYPERLINK("http://dx.doi.org/10.1016/j.jacr.2023.06.008","http://dx.doi.org/10.1016/j.jacr.2023.06.008")</f>
        <v>http://dx.doi.org/10.1016/j.jacr.2023.06.008</v>
      </c>
      <c r="I444" s="1" t="s">
        <v>2921</v>
      </c>
      <c r="J444" s="1" t="s">
        <v>2920</v>
      </c>
      <c r="K444" s="1" t="s">
        <v>42</v>
      </c>
      <c r="L444" s="1" t="s">
        <v>56</v>
      </c>
    </row>
    <row r="445" spans="1:12" x14ac:dyDescent="0.3">
      <c r="A445" s="1">
        <v>397</v>
      </c>
      <c r="B445" t="s">
        <v>12118</v>
      </c>
      <c r="C445">
        <v>440</v>
      </c>
      <c r="D445" s="1" t="s">
        <v>10027</v>
      </c>
      <c r="E445" s="1" t="s">
        <v>10029</v>
      </c>
      <c r="F445" s="1">
        <v>2020</v>
      </c>
      <c r="G445" s="1" t="s">
        <v>10030</v>
      </c>
      <c r="H445" s="1" t="s">
        <v>1507</v>
      </c>
      <c r="I445" s="1" t="s">
        <v>10032</v>
      </c>
      <c r="J445" s="1" t="s">
        <v>10031</v>
      </c>
      <c r="K445" s="1" t="s">
        <v>42</v>
      </c>
      <c r="L445" s="1" t="s">
        <v>56</v>
      </c>
    </row>
    <row r="446" spans="1:12" x14ac:dyDescent="0.3">
      <c r="A446" s="1">
        <v>398</v>
      </c>
      <c r="B446" t="s">
        <v>12118</v>
      </c>
      <c r="C446">
        <v>441</v>
      </c>
      <c r="D446" s="1" t="s">
        <v>9489</v>
      </c>
      <c r="E446" s="1" t="s">
        <v>9491</v>
      </c>
      <c r="F446" s="1">
        <v>2021</v>
      </c>
      <c r="G446" s="1" t="s">
        <v>9492</v>
      </c>
      <c r="H446" s="1" t="str">
        <f>HYPERLINK("http://dx.doi.org/10.1111/ijfs.14833","http://dx.doi.org/10.1111/ijfs.14833")</f>
        <v>http://dx.doi.org/10.1111/ijfs.14833</v>
      </c>
      <c r="I446" s="1" t="s">
        <v>9495</v>
      </c>
      <c r="J446" s="1" t="s">
        <v>9493</v>
      </c>
      <c r="K446" s="1" t="s">
        <v>42</v>
      </c>
      <c r="L446" s="1" t="s">
        <v>56</v>
      </c>
    </row>
    <row r="447" spans="1:12" x14ac:dyDescent="0.3">
      <c r="A447" s="1">
        <v>399</v>
      </c>
      <c r="B447" t="s">
        <v>12118</v>
      </c>
      <c r="C447">
        <v>443</v>
      </c>
      <c r="D447" s="1" t="s">
        <v>6186</v>
      </c>
      <c r="E447" s="1" t="s">
        <v>6188</v>
      </c>
      <c r="F447" s="1">
        <v>2023</v>
      </c>
      <c r="G447" s="1" t="s">
        <v>6189</v>
      </c>
      <c r="H447" s="1" t="str">
        <f>HYPERLINK("http://dx.doi.org/10.1109/SEENG59157.2023.00010","http://dx.doi.org/10.1109/SEENG59157.2023.00010")</f>
        <v>http://dx.doi.org/10.1109/SEENG59157.2023.00010</v>
      </c>
      <c r="I447" s="1" t="s">
        <v>6194</v>
      </c>
      <c r="J447" s="1" t="s">
        <v>6193</v>
      </c>
      <c r="K447" s="1" t="s">
        <v>42</v>
      </c>
      <c r="L447" s="1" t="s">
        <v>5552</v>
      </c>
    </row>
    <row r="448" spans="1:12" x14ac:dyDescent="0.3">
      <c r="A448" s="1">
        <v>400</v>
      </c>
      <c r="B448" t="s">
        <v>12118</v>
      </c>
      <c r="C448">
        <v>444</v>
      </c>
      <c r="D448" s="1" t="s">
        <v>8388</v>
      </c>
      <c r="E448" s="1" t="s">
        <v>8390</v>
      </c>
      <c r="F448" s="1">
        <v>2021</v>
      </c>
      <c r="G448" s="1" t="s">
        <v>8391</v>
      </c>
      <c r="H448" s="1" t="str">
        <f>HYPERLINK("http://dx.doi.org/10.1007/s13201-021-01445-x","http://dx.doi.org/10.1007/s13201-021-01445-x")</f>
        <v>http://dx.doi.org/10.1007/s13201-021-01445-x</v>
      </c>
      <c r="I448" s="1" t="s">
        <v>8393</v>
      </c>
      <c r="J448" s="1" t="s">
        <v>8392</v>
      </c>
      <c r="K448" s="1" t="s">
        <v>42</v>
      </c>
      <c r="L448" s="1" t="s">
        <v>56</v>
      </c>
    </row>
    <row r="449" spans="1:12" x14ac:dyDescent="0.3">
      <c r="A449" s="1">
        <v>403</v>
      </c>
      <c r="B449" t="s">
        <v>12118</v>
      </c>
      <c r="C449">
        <v>446</v>
      </c>
      <c r="D449" s="1" t="s">
        <v>4082</v>
      </c>
      <c r="E449" s="1" t="s">
        <v>4084</v>
      </c>
      <c r="F449" s="1">
        <v>2023</v>
      </c>
      <c r="G449" s="1" t="s">
        <v>3146</v>
      </c>
      <c r="H449" s="1" t="str">
        <f>HYPERLINK("http://dx.doi.org/10.1016/j.frl.2023.104333","http://dx.doi.org/10.1016/j.frl.2023.104333")</f>
        <v>http://dx.doi.org/10.1016/j.frl.2023.104333</v>
      </c>
      <c r="I449" s="1" t="s">
        <v>4087</v>
      </c>
      <c r="J449" s="1" t="s">
        <v>4085</v>
      </c>
      <c r="K449" s="1" t="s">
        <v>42</v>
      </c>
      <c r="L449" s="1" t="s">
        <v>56</v>
      </c>
    </row>
    <row r="450" spans="1:12" x14ac:dyDescent="0.3">
      <c r="A450" s="1">
        <v>404</v>
      </c>
      <c r="B450" t="s">
        <v>12118</v>
      </c>
      <c r="C450">
        <v>447</v>
      </c>
      <c r="D450" s="1" t="s">
        <v>14144</v>
      </c>
      <c r="E450" s="1" t="s">
        <v>14146</v>
      </c>
      <c r="F450" s="1">
        <v>2023</v>
      </c>
      <c r="G450" s="1" t="s">
        <v>14147</v>
      </c>
      <c r="H450" s="1" t="str">
        <f>HYPERLINK("http://dx.doi.org/10.20339/PhS.6s-23.003","http://dx.doi.org/10.20339/PhS.6s-23.003")</f>
        <v>http://dx.doi.org/10.20339/PhS.6s-23.003</v>
      </c>
      <c r="I450" s="1" t="s">
        <v>14150</v>
      </c>
      <c r="J450" s="1" t="s">
        <v>14149</v>
      </c>
      <c r="K450" s="1" t="s">
        <v>14148</v>
      </c>
      <c r="L450" s="1" t="s">
        <v>56</v>
      </c>
    </row>
    <row r="451" spans="1:12" x14ac:dyDescent="0.3">
      <c r="A451" s="1">
        <v>405</v>
      </c>
      <c r="B451" t="s">
        <v>12118</v>
      </c>
      <c r="C451">
        <v>448</v>
      </c>
      <c r="D451" s="1" t="s">
        <v>6203</v>
      </c>
      <c r="E451" s="1" t="s">
        <v>6206</v>
      </c>
      <c r="F451" s="1">
        <v>2023</v>
      </c>
      <c r="G451" s="1" t="s">
        <v>6207</v>
      </c>
      <c r="H451" s="1" t="str">
        <f>HYPERLINK("http://dx.doi.org/10.1007/978-3-031-29956-8_14","http://dx.doi.org/10.1007/978-3-031-29956-8_14")</f>
        <v>http://dx.doi.org/10.1007/978-3-031-29956-8_14</v>
      </c>
      <c r="I451" s="1" t="s">
        <v>6213</v>
      </c>
      <c r="J451" s="1" t="s">
        <v>6212</v>
      </c>
      <c r="K451" s="1" t="s">
        <v>42</v>
      </c>
      <c r="L451" s="1" t="s">
        <v>5552</v>
      </c>
    </row>
    <row r="452" spans="1:12" x14ac:dyDescent="0.3">
      <c r="A452" s="1">
        <v>406</v>
      </c>
      <c r="B452" t="s">
        <v>12118</v>
      </c>
      <c r="C452">
        <v>449</v>
      </c>
      <c r="D452" s="1" t="s">
        <v>2359</v>
      </c>
      <c r="E452" s="1" t="s">
        <v>2361</v>
      </c>
      <c r="F452" s="1">
        <v>2023</v>
      </c>
      <c r="G452" s="1" t="s">
        <v>2362</v>
      </c>
      <c r="H452" s="1" t="str">
        <f>HYPERLINK("http://dx.doi.org/10.1021/acscatal.3c04956","http://dx.doi.org/10.1021/acscatal.3c04956")</f>
        <v>http://dx.doi.org/10.1021/acscatal.3c04956</v>
      </c>
      <c r="I452" s="1" t="s">
        <v>2365</v>
      </c>
      <c r="J452" s="1" t="s">
        <v>2363</v>
      </c>
      <c r="K452" s="1" t="s">
        <v>42</v>
      </c>
      <c r="L452" s="1" t="s">
        <v>56</v>
      </c>
    </row>
    <row r="453" spans="1:12" x14ac:dyDescent="0.3">
      <c r="A453" s="1">
        <v>407</v>
      </c>
      <c r="B453" t="s">
        <v>12118</v>
      </c>
      <c r="C453">
        <v>450</v>
      </c>
      <c r="D453" s="1" t="s">
        <v>5335</v>
      </c>
      <c r="E453" s="1" t="s">
        <v>5337</v>
      </c>
      <c r="F453" s="1">
        <v>2023</v>
      </c>
      <c r="G453" s="1" t="s">
        <v>3555</v>
      </c>
      <c r="H453" s="1" t="str">
        <f>HYPERLINK("http://dx.doi.org/10.1017/S0021855323000049","http://dx.doi.org/10.1017/S0021855323000049")</f>
        <v>http://dx.doi.org/10.1017/S0021855323000049</v>
      </c>
      <c r="I453" s="1" t="s">
        <v>5339</v>
      </c>
      <c r="J453" s="1" t="s">
        <v>5338</v>
      </c>
      <c r="K453" s="1" t="s">
        <v>42</v>
      </c>
      <c r="L453" s="1" t="s">
        <v>56</v>
      </c>
    </row>
    <row r="454" spans="1:12" x14ac:dyDescent="0.3">
      <c r="A454" s="1">
        <v>408</v>
      </c>
      <c r="B454" t="s">
        <v>12118</v>
      </c>
      <c r="C454">
        <v>451</v>
      </c>
      <c r="D454" s="1" t="s">
        <v>11370</v>
      </c>
      <c r="E454" s="1" t="s">
        <v>11372</v>
      </c>
      <c r="F454" s="1">
        <v>2019</v>
      </c>
      <c r="G454" s="1" t="s">
        <v>11373</v>
      </c>
      <c r="H454" s="1" t="str">
        <f>HYPERLINK("http://dx.doi.org/10.1080/17441048.2019.1684917","http://dx.doi.org/10.1080/17441048.2019.1684917")</f>
        <v>http://dx.doi.org/10.1080/17441048.2019.1684917</v>
      </c>
      <c r="I454" s="1" t="s">
        <v>11376</v>
      </c>
      <c r="J454" s="1" t="s">
        <v>11374</v>
      </c>
      <c r="K454" s="1" t="s">
        <v>42</v>
      </c>
      <c r="L454" s="1" t="s">
        <v>56</v>
      </c>
    </row>
    <row r="455" spans="1:12" x14ac:dyDescent="0.3">
      <c r="A455" s="1">
        <v>410</v>
      </c>
      <c r="B455" t="s">
        <v>12118</v>
      </c>
      <c r="C455">
        <v>454</v>
      </c>
      <c r="D455" s="1" t="s">
        <v>3594</v>
      </c>
      <c r="E455" s="1" t="s">
        <v>3596</v>
      </c>
      <c r="F455" s="1">
        <v>2023</v>
      </c>
      <c r="G455" s="1" t="s">
        <v>3597</v>
      </c>
      <c r="H455" s="1" t="str">
        <f>HYPERLINK("http://dx.doi.org/10.29271/jcpsp.2023.10.1198","http://dx.doi.org/10.29271/jcpsp.2023.10.1198")</f>
        <v>http://dx.doi.org/10.29271/jcpsp.2023.10.1198</v>
      </c>
      <c r="I455" s="1" t="s">
        <v>3599</v>
      </c>
      <c r="J455" s="1" t="s">
        <v>3598</v>
      </c>
      <c r="K455" s="1" t="s">
        <v>42</v>
      </c>
      <c r="L455" s="1" t="s">
        <v>56</v>
      </c>
    </row>
    <row r="456" spans="1:12" x14ac:dyDescent="0.3">
      <c r="A456" s="1">
        <v>411</v>
      </c>
      <c r="B456" t="s">
        <v>12118</v>
      </c>
      <c r="C456">
        <v>455</v>
      </c>
      <c r="D456" s="1" t="s">
        <v>10888</v>
      </c>
      <c r="E456" s="1" t="s">
        <v>10890</v>
      </c>
      <c r="F456" s="1">
        <v>2019</v>
      </c>
      <c r="G456" s="1" t="s">
        <v>3297</v>
      </c>
      <c r="H456" s="1" t="str">
        <f>HYPERLINK("http://dx.doi.org/10.1038/s41598-019-45364-z","http://dx.doi.org/10.1038/s41598-019-45364-z")</f>
        <v>http://dx.doi.org/10.1038/s41598-019-45364-z</v>
      </c>
      <c r="I456" s="1" t="s">
        <v>10892</v>
      </c>
      <c r="J456" s="1" t="s">
        <v>1507</v>
      </c>
      <c r="K456" s="1" t="s">
        <v>42</v>
      </c>
      <c r="L456" s="1" t="s">
        <v>56</v>
      </c>
    </row>
    <row r="457" spans="1:12" x14ac:dyDescent="0.3">
      <c r="A457" s="1">
        <v>412</v>
      </c>
      <c r="B457" t="s">
        <v>12118</v>
      </c>
      <c r="C457">
        <v>458</v>
      </c>
      <c r="D457" s="1" t="s">
        <v>8713</v>
      </c>
      <c r="E457" s="1" t="s">
        <v>8715</v>
      </c>
      <c r="F457" s="1">
        <v>2021</v>
      </c>
      <c r="G457" s="1" t="s">
        <v>3555</v>
      </c>
      <c r="H457" s="1" t="str">
        <f>HYPERLINK("http://dx.doi.org/10.1017/S0021855321000036","http://dx.doi.org/10.1017/S0021855321000036")</f>
        <v>http://dx.doi.org/10.1017/S0021855321000036</v>
      </c>
      <c r="I457" s="1" t="s">
        <v>8717</v>
      </c>
      <c r="J457" s="1" t="s">
        <v>8716</v>
      </c>
      <c r="K457" s="1" t="s">
        <v>42</v>
      </c>
      <c r="L457" s="1" t="s">
        <v>56</v>
      </c>
    </row>
    <row r="458" spans="1:12" x14ac:dyDescent="0.3">
      <c r="A458" s="1">
        <v>413</v>
      </c>
      <c r="B458" t="s">
        <v>12118</v>
      </c>
      <c r="C458">
        <v>459</v>
      </c>
      <c r="D458" s="1" t="s">
        <v>4984</v>
      </c>
      <c r="E458" s="1" t="s">
        <v>4986</v>
      </c>
      <c r="F458" s="1">
        <v>2023</v>
      </c>
      <c r="G458" s="1" t="s">
        <v>4987</v>
      </c>
      <c r="H458" s="1" t="str">
        <f>HYPERLINK("http://dx.doi.org/10.7717/peerj-cs.1377","http://dx.doi.org/10.7717/peerj-cs.1377")</f>
        <v>http://dx.doi.org/10.7717/peerj-cs.1377</v>
      </c>
      <c r="I458" s="1" t="s">
        <v>4990</v>
      </c>
      <c r="J458" s="1" t="s">
        <v>4988</v>
      </c>
      <c r="K458" s="1" t="s">
        <v>42</v>
      </c>
      <c r="L458" s="1" t="s">
        <v>56</v>
      </c>
    </row>
    <row r="459" spans="1:12" x14ac:dyDescent="0.3">
      <c r="A459" s="1">
        <v>414</v>
      </c>
      <c r="B459" t="s">
        <v>12118</v>
      </c>
      <c r="C459">
        <v>460</v>
      </c>
      <c r="D459" s="1" t="s">
        <v>9855</v>
      </c>
      <c r="E459" s="1" t="s">
        <v>9857</v>
      </c>
      <c r="F459" s="1">
        <v>2020</v>
      </c>
      <c r="G459" s="1" t="s">
        <v>4064</v>
      </c>
      <c r="H459" s="1" t="str">
        <f>HYPERLINK("http://dx.doi.org/10.1016/j.autcon.2020.103163","http://dx.doi.org/10.1016/j.autcon.2020.103163")</f>
        <v>http://dx.doi.org/10.1016/j.autcon.2020.103163</v>
      </c>
      <c r="I459" s="1" t="s">
        <v>9860</v>
      </c>
      <c r="J459" s="1" t="s">
        <v>9858</v>
      </c>
      <c r="K459" s="1" t="s">
        <v>42</v>
      </c>
      <c r="L459" s="1" t="s">
        <v>56</v>
      </c>
    </row>
    <row r="460" spans="1:12" x14ac:dyDescent="0.3">
      <c r="A460" s="1">
        <v>415</v>
      </c>
      <c r="B460" t="s">
        <v>12118</v>
      </c>
      <c r="C460">
        <v>461</v>
      </c>
      <c r="D460" s="1" t="s">
        <v>15260</v>
      </c>
      <c r="E460" s="1" t="s">
        <v>15262</v>
      </c>
      <c r="F460" s="1">
        <v>2023</v>
      </c>
      <c r="G460" s="1" t="s">
        <v>15263</v>
      </c>
      <c r="H460" s="1" t="str">
        <f>HYPERLINK("http://dx.doi.org/10.1109/ICTAI59109.2023.00018","http://dx.doi.org/10.1109/ICTAI59109.2023.00018")</f>
        <v>http://dx.doi.org/10.1109/ICTAI59109.2023.00018</v>
      </c>
      <c r="I460" s="1" t="s">
        <v>15270</v>
      </c>
      <c r="J460" s="1" t="s">
        <v>15269</v>
      </c>
      <c r="K460" s="1" t="s">
        <v>42</v>
      </c>
      <c r="L460" s="1" t="s">
        <v>5552</v>
      </c>
    </row>
    <row r="461" spans="1:12" x14ac:dyDescent="0.3">
      <c r="A461" s="1">
        <v>416</v>
      </c>
      <c r="B461" t="s">
        <v>12118</v>
      </c>
      <c r="C461">
        <v>462</v>
      </c>
      <c r="D461" s="1" t="s">
        <v>8537</v>
      </c>
      <c r="E461" s="1" t="s">
        <v>8539</v>
      </c>
      <c r="F461" s="1">
        <v>2021</v>
      </c>
      <c r="G461" s="1" t="s">
        <v>8540</v>
      </c>
      <c r="H461" s="1" t="str">
        <f>HYPERLINK("http://dx.doi.org/10.1002/ecs2.3552","http://dx.doi.org/10.1002/ecs2.3552")</f>
        <v>http://dx.doi.org/10.1002/ecs2.3552</v>
      </c>
      <c r="I461" s="1" t="s">
        <v>8543</v>
      </c>
      <c r="J461" s="1" t="s">
        <v>8541</v>
      </c>
      <c r="K461" s="1" t="s">
        <v>42</v>
      </c>
      <c r="L461" s="1" t="s">
        <v>56</v>
      </c>
    </row>
    <row r="462" spans="1:12" x14ac:dyDescent="0.3">
      <c r="A462" s="1">
        <v>417</v>
      </c>
      <c r="B462" t="s">
        <v>12118</v>
      </c>
      <c r="C462">
        <v>463</v>
      </c>
      <c r="D462" s="1" t="s">
        <v>9731</v>
      </c>
      <c r="E462" s="1" t="s">
        <v>9733</v>
      </c>
      <c r="F462" s="1">
        <v>2020</v>
      </c>
      <c r="G462" s="1" t="s">
        <v>9734</v>
      </c>
      <c r="H462" s="1" t="str">
        <f>HYPERLINK("http://dx.doi.org/10.1002/hep4.1533","http://dx.doi.org/10.1002/hep4.1533")</f>
        <v>http://dx.doi.org/10.1002/hep4.1533</v>
      </c>
      <c r="I462" s="1" t="s">
        <v>9736</v>
      </c>
      <c r="J462" s="1" t="s">
        <v>1507</v>
      </c>
      <c r="K462" s="1" t="s">
        <v>42</v>
      </c>
      <c r="L462" s="1" t="s">
        <v>56</v>
      </c>
    </row>
    <row r="463" spans="1:12" x14ac:dyDescent="0.3">
      <c r="A463" s="1">
        <v>418</v>
      </c>
      <c r="B463" t="s">
        <v>12118</v>
      </c>
      <c r="C463">
        <v>464</v>
      </c>
      <c r="D463" s="1" t="s">
        <v>5010</v>
      </c>
      <c r="E463" s="1" t="s">
        <v>5012</v>
      </c>
      <c r="F463" s="1">
        <v>2023</v>
      </c>
      <c r="G463" s="1" t="s">
        <v>5013</v>
      </c>
      <c r="H463" s="1" t="str">
        <f>HYPERLINK("http://dx.doi.org/10.3390/app13095771","http://dx.doi.org/10.3390/app13095771")</f>
        <v>http://dx.doi.org/10.3390/app13095771</v>
      </c>
      <c r="I463" s="1" t="s">
        <v>5015</v>
      </c>
      <c r="J463" s="1" t="s">
        <v>5014</v>
      </c>
      <c r="K463" s="1" t="s">
        <v>42</v>
      </c>
      <c r="L463" s="1" t="s">
        <v>56</v>
      </c>
    </row>
    <row r="464" spans="1:12" x14ac:dyDescent="0.3">
      <c r="A464" s="1">
        <v>419</v>
      </c>
      <c r="B464" t="s">
        <v>12118</v>
      </c>
      <c r="C464">
        <v>465</v>
      </c>
      <c r="D464" s="1" t="s">
        <v>12049</v>
      </c>
      <c r="E464" s="1" t="s">
        <v>12051</v>
      </c>
      <c r="F464" s="1">
        <v>2018</v>
      </c>
      <c r="G464" s="1" t="s">
        <v>11888</v>
      </c>
      <c r="H464" s="1" t="s">
        <v>1507</v>
      </c>
      <c r="I464" s="1" t="s">
        <v>12052</v>
      </c>
      <c r="J464" s="1" t="s">
        <v>1507</v>
      </c>
      <c r="K464" s="1" t="s">
        <v>42</v>
      </c>
      <c r="L464" s="1" t="s">
        <v>56</v>
      </c>
    </row>
    <row r="465" spans="1:12" x14ac:dyDescent="0.3">
      <c r="A465" s="1">
        <v>420</v>
      </c>
      <c r="B465" t="s">
        <v>12118</v>
      </c>
      <c r="C465">
        <v>466</v>
      </c>
      <c r="D465" s="1" t="s">
        <v>3614</v>
      </c>
      <c r="E465" s="1" t="s">
        <v>3616</v>
      </c>
      <c r="F465" s="1">
        <v>2023</v>
      </c>
      <c r="G465" s="1" t="s">
        <v>1617</v>
      </c>
      <c r="H465" s="1" t="str">
        <f>HYPERLINK("http://dx.doi.org/10.3390/electronics12193996","http://dx.doi.org/10.3390/electronics12193996")</f>
        <v>http://dx.doi.org/10.3390/electronics12193996</v>
      </c>
      <c r="I465" s="1" t="s">
        <v>3619</v>
      </c>
      <c r="J465" s="1" t="s">
        <v>3617</v>
      </c>
      <c r="K465" s="1" t="s">
        <v>42</v>
      </c>
      <c r="L465" s="1" t="s">
        <v>56</v>
      </c>
    </row>
    <row r="466" spans="1:12" x14ac:dyDescent="0.3">
      <c r="A466" s="1">
        <v>421</v>
      </c>
      <c r="B466" t="s">
        <v>12118</v>
      </c>
      <c r="C466">
        <v>467</v>
      </c>
      <c r="D466" s="1" t="s">
        <v>10929</v>
      </c>
      <c r="E466" s="1" t="s">
        <v>10931</v>
      </c>
      <c r="F466" s="1">
        <v>2019</v>
      </c>
      <c r="G466" s="1" t="s">
        <v>2502</v>
      </c>
      <c r="H466" s="1" t="str">
        <f>HYPERLINK("http://dx.doi.org/10.1186/s12909-019-1621-z","http://dx.doi.org/10.1186/s12909-019-1621-z")</f>
        <v>http://dx.doi.org/10.1186/s12909-019-1621-z</v>
      </c>
      <c r="I466" s="1" t="s">
        <v>10934</v>
      </c>
      <c r="J466" s="1" t="s">
        <v>10932</v>
      </c>
      <c r="K466" s="1" t="s">
        <v>42</v>
      </c>
      <c r="L466" s="1" t="s">
        <v>56</v>
      </c>
    </row>
    <row r="467" spans="1:12" x14ac:dyDescent="0.3">
      <c r="A467" s="1">
        <v>422</v>
      </c>
      <c r="B467" t="s">
        <v>12118</v>
      </c>
      <c r="C467">
        <v>468</v>
      </c>
      <c r="D467" s="1" t="s">
        <v>3472</v>
      </c>
      <c r="E467" s="1" t="s">
        <v>3474</v>
      </c>
      <c r="F467" s="1">
        <v>2023</v>
      </c>
      <c r="G467" s="1" t="s">
        <v>3475</v>
      </c>
      <c r="H467" s="1" t="str">
        <f>HYPERLINK("http://dx.doi.org/10.1038/s42256-023-00720-7","http://dx.doi.org/10.1038/s42256-023-00720-7")</f>
        <v>http://dx.doi.org/10.1038/s42256-023-00720-7</v>
      </c>
      <c r="I467" s="1" t="s">
        <v>3477</v>
      </c>
      <c r="J467" s="1" t="s">
        <v>1507</v>
      </c>
      <c r="K467" s="1" t="s">
        <v>42</v>
      </c>
      <c r="L467" s="1" t="s">
        <v>56</v>
      </c>
    </row>
    <row r="468" spans="1:12" x14ac:dyDescent="0.3">
      <c r="A468" s="1">
        <v>423</v>
      </c>
      <c r="B468" t="s">
        <v>12118</v>
      </c>
      <c r="C468">
        <v>469</v>
      </c>
      <c r="D468" s="1" t="s">
        <v>10151</v>
      </c>
      <c r="E468" s="1" t="s">
        <v>10153</v>
      </c>
      <c r="F468" s="1">
        <v>2020</v>
      </c>
      <c r="G468" s="1" t="s">
        <v>9087</v>
      </c>
      <c r="H468" s="1" t="str">
        <f>HYPERLINK("http://dx.doi.org/10.3390/ijms21030977","http://dx.doi.org/10.3390/ijms21030977")</f>
        <v>http://dx.doi.org/10.3390/ijms21030977</v>
      </c>
      <c r="I468" s="1" t="s">
        <v>10156</v>
      </c>
      <c r="J468" s="1" t="s">
        <v>10154</v>
      </c>
      <c r="K468" s="1" t="s">
        <v>42</v>
      </c>
      <c r="L468" s="1" t="s">
        <v>56</v>
      </c>
    </row>
    <row r="469" spans="1:12" x14ac:dyDescent="0.3">
      <c r="A469" s="1">
        <v>424</v>
      </c>
      <c r="B469" t="s">
        <v>12118</v>
      </c>
      <c r="C469">
        <v>471</v>
      </c>
      <c r="D469" s="1" t="s">
        <v>9679</v>
      </c>
      <c r="E469" s="1" t="s">
        <v>9681</v>
      </c>
      <c r="F469" s="1">
        <v>2020</v>
      </c>
      <c r="G469" s="1" t="s">
        <v>9682</v>
      </c>
      <c r="H469" s="1" t="str">
        <f>HYPERLINK("http://dx.doi.org/10.1093/jwelb/jwaa027","http://dx.doi.org/10.1093/jwelb/jwaa027")</f>
        <v>http://dx.doi.org/10.1093/jwelb/jwaa027</v>
      </c>
      <c r="I469" s="1" t="s">
        <v>9683</v>
      </c>
      <c r="J469" s="1" t="s">
        <v>1507</v>
      </c>
      <c r="K469" s="1" t="s">
        <v>42</v>
      </c>
      <c r="L469" s="1" t="s">
        <v>56</v>
      </c>
    </row>
    <row r="470" spans="1:12" x14ac:dyDescent="0.3">
      <c r="A470" s="1">
        <v>426</v>
      </c>
      <c r="B470" t="s">
        <v>12118</v>
      </c>
      <c r="C470">
        <v>474</v>
      </c>
      <c r="D470" s="1" t="s">
        <v>9967</v>
      </c>
      <c r="E470" s="1" t="s">
        <v>9969</v>
      </c>
      <c r="F470" s="1">
        <v>2020</v>
      </c>
      <c r="G470" s="1" t="s">
        <v>7217</v>
      </c>
      <c r="H470" s="1" t="str">
        <f>HYPERLINK("http://dx.doi.org/10.2807/1560-7917.ES.2020.25.16.2000421","http://dx.doi.org/10.2807/1560-7917.ES.2020.25.16.2000421")</f>
        <v>http://dx.doi.org/10.2807/1560-7917.ES.2020.25.16.2000421</v>
      </c>
      <c r="I470" s="1" t="s">
        <v>9971</v>
      </c>
      <c r="J470" s="1" t="s">
        <v>1507</v>
      </c>
      <c r="K470" s="1" t="s">
        <v>42</v>
      </c>
      <c r="L470" s="1" t="s">
        <v>56</v>
      </c>
    </row>
    <row r="471" spans="1:12" x14ac:dyDescent="0.3">
      <c r="A471" s="1">
        <v>427</v>
      </c>
      <c r="B471" t="s">
        <v>12118</v>
      </c>
      <c r="C471">
        <v>475</v>
      </c>
      <c r="D471" s="1" t="s">
        <v>4216</v>
      </c>
      <c r="E471" s="1" t="s">
        <v>4218</v>
      </c>
      <c r="F471" s="1">
        <v>2023</v>
      </c>
      <c r="G471" s="1" t="s">
        <v>4219</v>
      </c>
      <c r="H471" s="1" t="str">
        <f>HYPERLINK("http://dx.doi.org/10.1021/acs.jcim.3c00817","http://dx.doi.org/10.1021/acs.jcim.3c00817")</f>
        <v>http://dx.doi.org/10.1021/acs.jcim.3c00817</v>
      </c>
      <c r="I471" s="1" t="s">
        <v>4221</v>
      </c>
      <c r="J471" s="1" t="s">
        <v>1507</v>
      </c>
      <c r="K471" s="1" t="s">
        <v>42</v>
      </c>
      <c r="L471" s="1" t="s">
        <v>56</v>
      </c>
    </row>
    <row r="472" spans="1:12" x14ac:dyDescent="0.3">
      <c r="A472" s="1">
        <v>430</v>
      </c>
      <c r="B472" t="s">
        <v>12118</v>
      </c>
      <c r="C472">
        <v>479</v>
      </c>
      <c r="D472" s="1" t="s">
        <v>11166</v>
      </c>
      <c r="E472" s="1" t="s">
        <v>11168</v>
      </c>
      <c r="F472" s="1">
        <v>2019</v>
      </c>
      <c r="G472" s="1" t="s">
        <v>11110</v>
      </c>
      <c r="H472" s="1" t="s">
        <v>1507</v>
      </c>
      <c r="I472" s="1" t="s">
        <v>11169</v>
      </c>
      <c r="J472" s="1" t="s">
        <v>1507</v>
      </c>
      <c r="K472" s="1" t="s">
        <v>42</v>
      </c>
      <c r="L472" s="1" t="s">
        <v>56</v>
      </c>
    </row>
    <row r="473" spans="1:12" x14ac:dyDescent="0.3">
      <c r="A473" s="1">
        <v>431</v>
      </c>
      <c r="B473" t="s">
        <v>12118</v>
      </c>
      <c r="C473">
        <v>480</v>
      </c>
      <c r="D473" s="1" t="s">
        <v>6242</v>
      </c>
      <c r="E473" s="1" t="s">
        <v>6244</v>
      </c>
      <c r="F473" s="1">
        <v>2023</v>
      </c>
      <c r="G473" s="1" t="s">
        <v>6245</v>
      </c>
      <c r="H473" s="1" t="s">
        <v>1507</v>
      </c>
      <c r="I473" s="1" t="s">
        <v>6248</v>
      </c>
      <c r="J473" s="1" t="s">
        <v>6246</v>
      </c>
      <c r="K473" s="1" t="s">
        <v>42</v>
      </c>
      <c r="L473" s="1" t="s">
        <v>56</v>
      </c>
    </row>
    <row r="474" spans="1:12" x14ac:dyDescent="0.3">
      <c r="A474" s="1">
        <v>432</v>
      </c>
      <c r="B474" t="s">
        <v>12118</v>
      </c>
      <c r="C474">
        <v>481</v>
      </c>
      <c r="D474" s="1" t="s">
        <v>11391</v>
      </c>
      <c r="E474" s="1" t="s">
        <v>11393</v>
      </c>
      <c r="F474" s="1">
        <v>2019</v>
      </c>
      <c r="G474" s="1" t="s">
        <v>11394</v>
      </c>
      <c r="H474" s="1" t="s">
        <v>1507</v>
      </c>
      <c r="I474" s="1" t="s">
        <v>11397</v>
      </c>
      <c r="J474" s="1" t="s">
        <v>11395</v>
      </c>
      <c r="K474" s="1" t="s">
        <v>11324</v>
      </c>
      <c r="L474" s="1" t="s">
        <v>56</v>
      </c>
    </row>
    <row r="475" spans="1:12" x14ac:dyDescent="0.3">
      <c r="A475" s="1">
        <v>433</v>
      </c>
      <c r="B475" t="s">
        <v>12118</v>
      </c>
      <c r="C475">
        <v>482</v>
      </c>
      <c r="D475" s="1" t="s">
        <v>15283</v>
      </c>
      <c r="E475" s="1" t="s">
        <v>15285</v>
      </c>
      <c r="F475" s="1">
        <v>2023</v>
      </c>
      <c r="G475" s="1" t="s">
        <v>15286</v>
      </c>
      <c r="H475" s="1" t="str">
        <f>HYPERLINK("http://dx.doi.org/10.1145/3583133.3596401","http://dx.doi.org/10.1145/3583133.3596401")</f>
        <v>http://dx.doi.org/10.1145/3583133.3596401</v>
      </c>
      <c r="I475" s="1" t="s">
        <v>15292</v>
      </c>
      <c r="J475" s="1" t="s">
        <v>15291</v>
      </c>
      <c r="K475" s="1" t="s">
        <v>42</v>
      </c>
      <c r="L475" s="1" t="s">
        <v>5552</v>
      </c>
    </row>
    <row r="476" spans="1:12" x14ac:dyDescent="0.3">
      <c r="A476" s="1">
        <v>434</v>
      </c>
      <c r="B476" t="s">
        <v>12118</v>
      </c>
      <c r="C476">
        <v>484</v>
      </c>
      <c r="D476" s="1" t="s">
        <v>3630</v>
      </c>
      <c r="E476" s="1" t="s">
        <v>3632</v>
      </c>
      <c r="F476" s="1">
        <v>2023</v>
      </c>
      <c r="G476" s="1" t="s">
        <v>3633</v>
      </c>
      <c r="H476" s="1" t="str">
        <f>HYPERLINK("http://dx.doi.org/10.3390/jcm12196390","http://dx.doi.org/10.3390/jcm12196390")</f>
        <v>http://dx.doi.org/10.3390/jcm12196390</v>
      </c>
      <c r="I476" s="1" t="s">
        <v>3635</v>
      </c>
      <c r="J476" s="1" t="s">
        <v>3634</v>
      </c>
      <c r="K476" s="1" t="s">
        <v>42</v>
      </c>
      <c r="L476" s="1" t="s">
        <v>56</v>
      </c>
    </row>
    <row r="477" spans="1:12" x14ac:dyDescent="0.3">
      <c r="A477" s="1">
        <v>435</v>
      </c>
      <c r="B477" t="s">
        <v>12118</v>
      </c>
      <c r="C477">
        <v>486</v>
      </c>
      <c r="D477" s="1" t="s">
        <v>5205</v>
      </c>
      <c r="E477" s="1" t="s">
        <v>5207</v>
      </c>
      <c r="F477" s="1">
        <v>2023</v>
      </c>
      <c r="G477" s="1" t="s">
        <v>5208</v>
      </c>
      <c r="H477" s="1" t="str">
        <f>HYPERLINK("http://dx.doi.org/10.3390/buildings13040857","http://dx.doi.org/10.3390/buildings13040857")</f>
        <v>http://dx.doi.org/10.3390/buildings13040857</v>
      </c>
      <c r="I477" s="1" t="s">
        <v>5210</v>
      </c>
      <c r="J477" s="1" t="s">
        <v>5209</v>
      </c>
      <c r="K477" s="1" t="s">
        <v>42</v>
      </c>
      <c r="L477" s="1" t="s">
        <v>56</v>
      </c>
    </row>
    <row r="478" spans="1:12" x14ac:dyDescent="0.3">
      <c r="A478" s="1">
        <v>437</v>
      </c>
      <c r="B478" t="s">
        <v>12118</v>
      </c>
      <c r="C478">
        <v>487</v>
      </c>
      <c r="D478" s="1" t="s">
        <v>6265</v>
      </c>
      <c r="E478" s="1" t="s">
        <v>6267</v>
      </c>
      <c r="F478" s="1">
        <v>2023</v>
      </c>
      <c r="G478" s="1" t="s">
        <v>6268</v>
      </c>
      <c r="H478" s="1" t="str">
        <f>HYPERLINK("http://dx.doi.org/10.1109/HOTI59126.2023.00022","http://dx.doi.org/10.1109/HOTI59126.2023.00022")</f>
        <v>http://dx.doi.org/10.1109/HOTI59126.2023.00022</v>
      </c>
      <c r="I478" s="1" t="s">
        <v>6275</v>
      </c>
      <c r="J478" s="1" t="s">
        <v>6274</v>
      </c>
      <c r="K478" s="1" t="s">
        <v>42</v>
      </c>
      <c r="L478" s="1" t="s">
        <v>5552</v>
      </c>
    </row>
    <row r="479" spans="1:12" x14ac:dyDescent="0.3">
      <c r="A479" s="1">
        <v>442</v>
      </c>
      <c r="B479" t="s">
        <v>12118</v>
      </c>
      <c r="C479">
        <v>491</v>
      </c>
      <c r="D479" s="1" t="s">
        <v>2930</v>
      </c>
      <c r="E479" s="1" t="s">
        <v>2932</v>
      </c>
      <c r="F479" s="1">
        <v>2023</v>
      </c>
      <c r="G479" s="1" t="s">
        <v>2874</v>
      </c>
      <c r="H479" s="1" t="str">
        <f>HYPERLINK("http://dx.doi.org/10.1016/j.jacr.2023.05.003","http://dx.doi.org/10.1016/j.jacr.2023.05.003")</f>
        <v>http://dx.doi.org/10.1016/j.jacr.2023.05.003</v>
      </c>
      <c r="I479" s="1" t="s">
        <v>2935</v>
      </c>
      <c r="J479" s="1" t="s">
        <v>2933</v>
      </c>
      <c r="K479" s="1" t="s">
        <v>42</v>
      </c>
      <c r="L479" s="1" t="s">
        <v>56</v>
      </c>
    </row>
    <row r="480" spans="1:12" x14ac:dyDescent="0.3">
      <c r="A480" s="1">
        <v>444</v>
      </c>
      <c r="B480" t="s">
        <v>12118</v>
      </c>
      <c r="C480">
        <v>495</v>
      </c>
      <c r="D480" s="1" t="s">
        <v>6822</v>
      </c>
      <c r="E480" s="1" t="s">
        <v>6824</v>
      </c>
      <c r="F480" s="1">
        <v>2022</v>
      </c>
      <c r="G480" s="1" t="s">
        <v>6825</v>
      </c>
      <c r="H480" s="1" t="str">
        <f>HYPERLINK("http://dx.doi.org/10.1186/s12889-022-14444-7","http://dx.doi.org/10.1186/s12889-022-14444-7")</f>
        <v>http://dx.doi.org/10.1186/s12889-022-14444-7</v>
      </c>
      <c r="I480" s="1" t="s">
        <v>6828</v>
      </c>
      <c r="J480" s="1" t="s">
        <v>6826</v>
      </c>
      <c r="K480" s="1" t="s">
        <v>42</v>
      </c>
      <c r="L480" s="1" t="s">
        <v>56</v>
      </c>
    </row>
    <row r="481" spans="1:12" x14ac:dyDescent="0.3">
      <c r="A481" s="1">
        <v>445</v>
      </c>
      <c r="B481" t="s">
        <v>12118</v>
      </c>
      <c r="C481">
        <v>498</v>
      </c>
      <c r="D481" s="1" t="s">
        <v>1935</v>
      </c>
      <c r="E481" s="1" t="s">
        <v>1937</v>
      </c>
      <c r="F481" s="1">
        <v>2023</v>
      </c>
      <c r="G481" s="1" t="s">
        <v>1938</v>
      </c>
      <c r="H481" s="1" t="str">
        <f>HYPERLINK("http://dx.doi.org/10.3389/fmed.2023.1296615","http://dx.doi.org/10.3389/fmed.2023.1296615")</f>
        <v>http://dx.doi.org/10.3389/fmed.2023.1296615</v>
      </c>
      <c r="I481" s="1" t="s">
        <v>1940</v>
      </c>
      <c r="J481" s="1" t="s">
        <v>1939</v>
      </c>
      <c r="K481" s="1" t="s">
        <v>42</v>
      </c>
      <c r="L481" s="1" t="s">
        <v>56</v>
      </c>
    </row>
    <row r="482" spans="1:12" x14ac:dyDescent="0.3">
      <c r="A482" s="1">
        <v>446</v>
      </c>
      <c r="B482" t="s">
        <v>12118</v>
      </c>
      <c r="C482">
        <v>499</v>
      </c>
      <c r="D482" s="1" t="s">
        <v>3649</v>
      </c>
      <c r="E482" s="1" t="s">
        <v>3651</v>
      </c>
      <c r="F482" s="1">
        <v>2023</v>
      </c>
      <c r="G482" s="1" t="s">
        <v>3652</v>
      </c>
      <c r="H482" s="1" t="str">
        <f>HYPERLINK("http://dx.doi.org/10.1136/bmjhci-2023-100830","http://dx.doi.org/10.1136/bmjhci-2023-100830")</f>
        <v>http://dx.doi.org/10.1136/bmjhci-2023-100830</v>
      </c>
      <c r="I482" s="1" t="s">
        <v>3654</v>
      </c>
      <c r="J482" s="1" t="s">
        <v>3653</v>
      </c>
      <c r="K482" s="1" t="s">
        <v>42</v>
      </c>
      <c r="L482" s="1" t="s">
        <v>56</v>
      </c>
    </row>
    <row r="483" spans="1:12" x14ac:dyDescent="0.3">
      <c r="A483" s="1">
        <v>447</v>
      </c>
      <c r="B483" t="s">
        <v>12118</v>
      </c>
      <c r="C483">
        <v>500</v>
      </c>
      <c r="D483" s="1" t="s">
        <v>4651</v>
      </c>
      <c r="E483" s="1" t="s">
        <v>4653</v>
      </c>
      <c r="F483" s="1">
        <v>2023</v>
      </c>
      <c r="G483" s="1" t="s">
        <v>3083</v>
      </c>
      <c r="H483" s="1" t="str">
        <f>HYPERLINK("http://dx.doi.org/10.7759/cureus.40546","http://dx.doi.org/10.7759/cureus.40546")</f>
        <v>http://dx.doi.org/10.7759/cureus.40546</v>
      </c>
      <c r="I483" s="1" t="s">
        <v>4655</v>
      </c>
      <c r="J483" s="1" t="s">
        <v>4654</v>
      </c>
      <c r="K483" s="1" t="s">
        <v>42</v>
      </c>
      <c r="L483" s="1" t="s">
        <v>56</v>
      </c>
    </row>
    <row r="484" spans="1:12" x14ac:dyDescent="0.3">
      <c r="A484" s="1">
        <v>448</v>
      </c>
      <c r="B484" t="s">
        <v>12118</v>
      </c>
      <c r="C484">
        <v>501</v>
      </c>
      <c r="D484" s="1" t="s">
        <v>3168</v>
      </c>
      <c r="E484" s="1" t="s">
        <v>3170</v>
      </c>
      <c r="F484" s="1">
        <v>2023</v>
      </c>
      <c r="G484" s="1" t="s">
        <v>3171</v>
      </c>
      <c r="H484" s="1" t="str">
        <f>HYPERLINK("http://dx.doi.org/10.1177/00905917231200826","http://dx.doi.org/10.1177/00905917231200826")</f>
        <v>http://dx.doi.org/10.1177/00905917231200826</v>
      </c>
      <c r="I484" s="1" t="s">
        <v>3174</v>
      </c>
      <c r="J484" s="1" t="s">
        <v>3172</v>
      </c>
      <c r="K484" s="1" t="s">
        <v>42</v>
      </c>
      <c r="L484" s="1" t="s">
        <v>1509</v>
      </c>
    </row>
    <row r="485" spans="1:12" x14ac:dyDescent="0.3">
      <c r="A485" s="1">
        <v>449</v>
      </c>
      <c r="B485" t="s">
        <v>12118</v>
      </c>
      <c r="C485">
        <v>502</v>
      </c>
      <c r="D485" s="1" t="s">
        <v>5412</v>
      </c>
      <c r="E485" s="1" t="s">
        <v>5414</v>
      </c>
      <c r="F485" s="1">
        <v>2023</v>
      </c>
      <c r="G485" s="1" t="s">
        <v>1999</v>
      </c>
      <c r="H485" s="1" t="str">
        <f>HYPERLINK("http://dx.doi.org/10.1371/journal.pone.0281581","http://dx.doi.org/10.1371/journal.pone.0281581")</f>
        <v>http://dx.doi.org/10.1371/journal.pone.0281581</v>
      </c>
      <c r="I485" s="1" t="s">
        <v>5415</v>
      </c>
      <c r="J485" s="1" t="s">
        <v>1507</v>
      </c>
      <c r="K485" s="1" t="s">
        <v>42</v>
      </c>
      <c r="L485" s="1" t="s">
        <v>56</v>
      </c>
    </row>
    <row r="486" spans="1:12" x14ac:dyDescent="0.3">
      <c r="A486" s="1">
        <v>450</v>
      </c>
      <c r="B486" t="s">
        <v>12118</v>
      </c>
      <c r="C486">
        <v>503</v>
      </c>
      <c r="D486" s="1" t="s">
        <v>10571</v>
      </c>
      <c r="E486" s="1" t="s">
        <v>10573</v>
      </c>
      <c r="F486" s="1">
        <v>2019</v>
      </c>
      <c r="G486" s="1" t="s">
        <v>10574</v>
      </c>
      <c r="H486" s="1" t="str">
        <f>HYPERLINK("http://dx.doi.org/10.1007/s42161-019-00281-y","http://dx.doi.org/10.1007/s42161-019-00281-y")</f>
        <v>http://dx.doi.org/10.1007/s42161-019-00281-y</v>
      </c>
      <c r="I486" s="1" t="s">
        <v>10577</v>
      </c>
      <c r="J486" s="1" t="s">
        <v>10575</v>
      </c>
      <c r="K486" s="1" t="s">
        <v>42</v>
      </c>
      <c r="L486" s="1" t="s">
        <v>56</v>
      </c>
    </row>
    <row r="487" spans="1:12" x14ac:dyDescent="0.3">
      <c r="A487" s="1">
        <v>451</v>
      </c>
      <c r="B487" t="s">
        <v>12118</v>
      </c>
      <c r="C487">
        <v>504</v>
      </c>
      <c r="D487" s="1" t="s">
        <v>9265</v>
      </c>
      <c r="E487" s="1" t="s">
        <v>9268</v>
      </c>
      <c r="F487" s="1">
        <v>2021</v>
      </c>
      <c r="G487" s="1" t="s">
        <v>9269</v>
      </c>
      <c r="H487" s="1" t="str">
        <f>HYPERLINK("http://dx.doi.org/10.3233/SHTI210261","http://dx.doi.org/10.3233/SHTI210261")</f>
        <v>http://dx.doi.org/10.3233/SHTI210261</v>
      </c>
      <c r="I487" s="1" t="s">
        <v>9275</v>
      </c>
      <c r="J487" s="1" t="s">
        <v>9274</v>
      </c>
      <c r="K487" s="1" t="s">
        <v>42</v>
      </c>
      <c r="L487" s="1" t="s">
        <v>5552</v>
      </c>
    </row>
    <row r="488" spans="1:12" x14ac:dyDescent="0.3">
      <c r="A488" s="1">
        <v>452</v>
      </c>
      <c r="B488" t="s">
        <v>12118</v>
      </c>
      <c r="C488">
        <v>505</v>
      </c>
      <c r="D488" s="1" t="s">
        <v>6968</v>
      </c>
      <c r="E488" s="1" t="s">
        <v>6970</v>
      </c>
      <c r="F488" s="1">
        <v>2022</v>
      </c>
      <c r="G488" s="1" t="s">
        <v>6971</v>
      </c>
      <c r="H488" s="1" t="str">
        <f>HYPERLINK("http://dx.doi.org/10.1103/PhysRevB.106.115301","http://dx.doi.org/10.1103/PhysRevB.106.115301")</f>
        <v>http://dx.doi.org/10.1103/PhysRevB.106.115301</v>
      </c>
      <c r="I488" s="1" t="s">
        <v>6973</v>
      </c>
      <c r="J488" s="1" t="s">
        <v>1507</v>
      </c>
      <c r="K488" s="1" t="s">
        <v>42</v>
      </c>
      <c r="L488" s="1" t="s">
        <v>56</v>
      </c>
    </row>
    <row r="489" spans="1:12" x14ac:dyDescent="0.3">
      <c r="A489" s="1">
        <v>453</v>
      </c>
      <c r="B489" t="s">
        <v>12118</v>
      </c>
      <c r="C489">
        <v>506</v>
      </c>
      <c r="D489" s="1" t="s">
        <v>13917</v>
      </c>
      <c r="E489" s="1" t="s">
        <v>13651</v>
      </c>
      <c r="F489" s="1">
        <v>2023</v>
      </c>
      <c r="G489" s="1" t="s">
        <v>13919</v>
      </c>
      <c r="H489" s="1" t="str">
        <f>HYPERLINK("http://dx.doi.org/10.2519/jospt.2023.12000","http://dx.doi.org/10.2519/jospt.2023.12000")</f>
        <v>http://dx.doi.org/10.2519/jospt.2023.12000</v>
      </c>
      <c r="I489" s="1" t="s">
        <v>13920</v>
      </c>
      <c r="J489" s="1" t="s">
        <v>13644</v>
      </c>
      <c r="K489" s="1" t="s">
        <v>42</v>
      </c>
      <c r="L489" s="1" t="s">
        <v>56</v>
      </c>
    </row>
    <row r="490" spans="1:12" x14ac:dyDescent="0.3">
      <c r="A490" s="1">
        <v>454</v>
      </c>
      <c r="B490" t="s">
        <v>12118</v>
      </c>
      <c r="C490">
        <v>507</v>
      </c>
      <c r="D490" s="1" t="s">
        <v>9556</v>
      </c>
      <c r="E490" s="1" t="s">
        <v>9558</v>
      </c>
      <c r="F490" s="1">
        <v>2020</v>
      </c>
      <c r="G490" s="1" t="s">
        <v>9559</v>
      </c>
      <c r="H490" s="1" t="s">
        <v>1507</v>
      </c>
      <c r="I490" s="1" t="s">
        <v>9561</v>
      </c>
      <c r="J490" s="1" t="s">
        <v>1507</v>
      </c>
      <c r="K490" s="1" t="s">
        <v>42</v>
      </c>
      <c r="L490" s="1" t="s">
        <v>56</v>
      </c>
    </row>
    <row r="491" spans="1:12" x14ac:dyDescent="0.3">
      <c r="A491" s="1">
        <v>455</v>
      </c>
      <c r="B491" t="s">
        <v>12118</v>
      </c>
      <c r="C491">
        <v>508</v>
      </c>
      <c r="D491" s="1" t="s">
        <v>7041</v>
      </c>
      <c r="E491" s="1" t="s">
        <v>7043</v>
      </c>
      <c r="F491" s="1">
        <v>2022</v>
      </c>
      <c r="G491" s="1" t="s">
        <v>5244</v>
      </c>
      <c r="H491" s="1" t="str">
        <f>HYPERLINK("http://dx.doi.org/10.1021/acs.energyfuels.2c02122","http://dx.doi.org/10.1021/acs.energyfuels.2c02122")</f>
        <v>http://dx.doi.org/10.1021/acs.energyfuels.2c02122</v>
      </c>
      <c r="I491" s="1" t="s">
        <v>7045</v>
      </c>
      <c r="J491" s="1" t="s">
        <v>1507</v>
      </c>
      <c r="K491" s="1" t="s">
        <v>42</v>
      </c>
      <c r="L491" s="1" t="s">
        <v>56</v>
      </c>
    </row>
    <row r="492" spans="1:12" x14ac:dyDescent="0.3">
      <c r="A492" s="1">
        <v>457</v>
      </c>
      <c r="B492" t="s">
        <v>12118</v>
      </c>
      <c r="C492">
        <v>509</v>
      </c>
      <c r="D492" s="1" t="s">
        <v>15826</v>
      </c>
      <c r="E492" s="1" t="s">
        <v>10049</v>
      </c>
      <c r="F492" s="1">
        <v>2020</v>
      </c>
      <c r="G492" s="1" t="s">
        <v>10050</v>
      </c>
      <c r="H492" s="1" t="str">
        <f>HYPERLINK("http://dx.doi.org/10.1128/MRA.00169-20","http://dx.doi.org/10.1128/MRA.00169-20")</f>
        <v>http://dx.doi.org/10.1128/MRA.00169-20</v>
      </c>
      <c r="I492" s="1" t="s">
        <v>10052</v>
      </c>
      <c r="J492" s="1" t="s">
        <v>1507</v>
      </c>
      <c r="K492" s="1" t="s">
        <v>42</v>
      </c>
      <c r="L492" s="1" t="s">
        <v>10051</v>
      </c>
    </row>
    <row r="493" spans="1:12" x14ac:dyDescent="0.3">
      <c r="A493" s="1">
        <v>458</v>
      </c>
      <c r="B493" t="s">
        <v>12118</v>
      </c>
      <c r="C493">
        <v>510</v>
      </c>
      <c r="D493" s="1" t="s">
        <v>15325</v>
      </c>
      <c r="E493" s="1" t="s">
        <v>15327</v>
      </c>
      <c r="F493" s="1">
        <v>2023</v>
      </c>
      <c r="G493" s="1" t="s">
        <v>15092</v>
      </c>
      <c r="H493" s="1" t="str">
        <f>HYPERLINK("http://dx.doi.org/10.1145/3583780.3615311","http://dx.doi.org/10.1145/3583780.3615311")</f>
        <v>http://dx.doi.org/10.1145/3583780.3615311</v>
      </c>
      <c r="I493" s="1" t="s">
        <v>15329</v>
      </c>
      <c r="J493" s="1" t="s">
        <v>15328</v>
      </c>
      <c r="K493" s="1" t="s">
        <v>42</v>
      </c>
      <c r="L493" s="1" t="s">
        <v>5552</v>
      </c>
    </row>
    <row r="494" spans="1:12" x14ac:dyDescent="0.3">
      <c r="A494" s="1">
        <v>459</v>
      </c>
      <c r="B494" t="s">
        <v>12118</v>
      </c>
      <c r="C494">
        <v>511</v>
      </c>
      <c r="D494" s="1" t="s">
        <v>11084</v>
      </c>
      <c r="E494" s="1" t="s">
        <v>11086</v>
      </c>
      <c r="F494" s="1">
        <v>2019</v>
      </c>
      <c r="G494" s="1" t="s">
        <v>11087</v>
      </c>
      <c r="H494" s="1" t="str">
        <f>HYPERLINK("http://dx.doi.org/10.1007/s12046-019-1058-4","http://dx.doi.org/10.1007/s12046-019-1058-4")</f>
        <v>http://dx.doi.org/10.1007/s12046-019-1058-4</v>
      </c>
      <c r="I494" s="1" t="s">
        <v>11090</v>
      </c>
      <c r="J494" s="1" t="s">
        <v>11088</v>
      </c>
      <c r="K494" s="1" t="s">
        <v>42</v>
      </c>
      <c r="L494" s="1" t="s">
        <v>56</v>
      </c>
    </row>
    <row r="495" spans="1:12" x14ac:dyDescent="0.3">
      <c r="A495" s="1">
        <v>460</v>
      </c>
      <c r="B495" t="s">
        <v>12118</v>
      </c>
      <c r="C495">
        <v>512</v>
      </c>
      <c r="D495" s="1" t="s">
        <v>5095</v>
      </c>
      <c r="E495" s="1" t="s">
        <v>5097</v>
      </c>
      <c r="F495" s="1">
        <v>2023</v>
      </c>
      <c r="G495" s="1" t="s">
        <v>5098</v>
      </c>
      <c r="H495" s="1" t="str">
        <f>HYPERLINK("http://dx.doi.org/10.1016/j.compfluid.2023.105896","http://dx.doi.org/10.1016/j.compfluid.2023.105896")</f>
        <v>http://dx.doi.org/10.1016/j.compfluid.2023.105896</v>
      </c>
      <c r="I495" s="1" t="s">
        <v>5101</v>
      </c>
      <c r="J495" s="1" t="s">
        <v>5099</v>
      </c>
      <c r="K495" s="1" t="s">
        <v>42</v>
      </c>
      <c r="L495" s="1" t="s">
        <v>56</v>
      </c>
    </row>
    <row r="496" spans="1:12" x14ac:dyDescent="0.3">
      <c r="A496" s="1">
        <v>462</v>
      </c>
      <c r="B496" t="s">
        <v>12118</v>
      </c>
      <c r="C496">
        <v>513</v>
      </c>
      <c r="D496" s="1" t="s">
        <v>6291</v>
      </c>
      <c r="E496" s="1" t="s">
        <v>6293</v>
      </c>
      <c r="F496" s="1">
        <v>2023</v>
      </c>
      <c r="G496" s="1" t="s">
        <v>6294</v>
      </c>
      <c r="H496" s="1" t="str">
        <f>HYPERLINK("http://dx.doi.org/10.1145/3578337.3605144","http://dx.doi.org/10.1145/3578337.3605144")</f>
        <v>http://dx.doi.org/10.1145/3578337.3605144</v>
      </c>
      <c r="I496" s="1" t="s">
        <v>6298</v>
      </c>
      <c r="J496" s="1" t="s">
        <v>6297</v>
      </c>
      <c r="K496" s="1" t="s">
        <v>42</v>
      </c>
      <c r="L496" s="1" t="s">
        <v>5552</v>
      </c>
    </row>
    <row r="497" spans="1:12" x14ac:dyDescent="0.3">
      <c r="A497" s="1">
        <v>465</v>
      </c>
      <c r="B497" t="s">
        <v>12118</v>
      </c>
      <c r="C497">
        <v>516</v>
      </c>
      <c r="D497" s="1" t="s">
        <v>6803</v>
      </c>
      <c r="E497" s="1" t="s">
        <v>6805</v>
      </c>
      <c r="F497" s="1">
        <v>2022</v>
      </c>
      <c r="G497" s="1" t="s">
        <v>3251</v>
      </c>
      <c r="H497" s="1" t="str">
        <f>HYPERLINK("http://dx.doi.org/10.1073/pnas.2211715119","http://dx.doi.org/10.1073/pnas.2211715119")</f>
        <v>http://dx.doi.org/10.1073/pnas.2211715119</v>
      </c>
      <c r="I497" s="1" t="s">
        <v>6808</v>
      </c>
      <c r="J497" s="1" t="s">
        <v>6806</v>
      </c>
      <c r="K497" s="1" t="s">
        <v>42</v>
      </c>
      <c r="L497" s="1" t="s">
        <v>56</v>
      </c>
    </row>
    <row r="498" spans="1:12" x14ac:dyDescent="0.3">
      <c r="A498" s="1">
        <v>466</v>
      </c>
      <c r="B498" t="s">
        <v>12118</v>
      </c>
      <c r="C498">
        <v>517</v>
      </c>
      <c r="D498" s="1" t="s">
        <v>10428</v>
      </c>
      <c r="E498" s="1" t="s">
        <v>10430</v>
      </c>
      <c r="F498" s="1">
        <v>2019</v>
      </c>
      <c r="G498" s="1" t="s">
        <v>10431</v>
      </c>
      <c r="H498" s="1" t="str">
        <f>HYPERLINK("http://dx.doi.org/10.1186/s12884-019-2602-2","http://dx.doi.org/10.1186/s12884-019-2602-2")</f>
        <v>http://dx.doi.org/10.1186/s12884-019-2602-2</v>
      </c>
      <c r="I498" s="1" t="s">
        <v>10434</v>
      </c>
      <c r="J498" s="1" t="s">
        <v>10432</v>
      </c>
      <c r="K498" s="1" t="s">
        <v>42</v>
      </c>
      <c r="L498" s="1" t="s">
        <v>56</v>
      </c>
    </row>
    <row r="499" spans="1:12" x14ac:dyDescent="0.3">
      <c r="A499" s="1">
        <v>467</v>
      </c>
      <c r="B499" t="s">
        <v>12118</v>
      </c>
      <c r="C499">
        <v>518</v>
      </c>
      <c r="D499" s="1" t="s">
        <v>15340</v>
      </c>
      <c r="E499" s="1" t="s">
        <v>15343</v>
      </c>
      <c r="F499" s="1">
        <v>2023</v>
      </c>
      <c r="G499" s="1" t="s">
        <v>15344</v>
      </c>
      <c r="H499" s="1" t="str">
        <f>HYPERLINK("http://dx.doi.org/10.1007/978-3-031-44198-1_34","http://dx.doi.org/10.1007/978-3-031-44198-1_34")</f>
        <v>http://dx.doi.org/10.1007/978-3-031-44198-1_34</v>
      </c>
      <c r="I499" s="1" t="s">
        <v>15348</v>
      </c>
      <c r="J499" s="1" t="s">
        <v>15347</v>
      </c>
      <c r="K499" s="1" t="s">
        <v>42</v>
      </c>
      <c r="L499" s="1" t="s">
        <v>5552</v>
      </c>
    </row>
    <row r="500" spans="1:12" x14ac:dyDescent="0.3">
      <c r="A500" s="1">
        <v>469</v>
      </c>
      <c r="B500" t="s">
        <v>12118</v>
      </c>
      <c r="C500">
        <v>521</v>
      </c>
      <c r="D500" s="1" t="s">
        <v>10815</v>
      </c>
      <c r="E500" s="1" t="s">
        <v>10817</v>
      </c>
      <c r="F500" s="1">
        <v>2019</v>
      </c>
      <c r="G500" s="1" t="s">
        <v>8666</v>
      </c>
      <c r="H500" s="1" t="str">
        <f>HYPERLINK("http://dx.doi.org/10.1172/jci.insight.122998","http://dx.doi.org/10.1172/jci.insight.122998")</f>
        <v>http://dx.doi.org/10.1172/jci.insight.122998</v>
      </c>
      <c r="I500" s="1" t="s">
        <v>10819</v>
      </c>
      <c r="J500" s="1" t="s">
        <v>1507</v>
      </c>
      <c r="K500" s="1" t="s">
        <v>42</v>
      </c>
      <c r="L500" s="1" t="s">
        <v>56</v>
      </c>
    </row>
    <row r="501" spans="1:12" x14ac:dyDescent="0.3">
      <c r="A501" s="1">
        <v>470</v>
      </c>
      <c r="B501" t="s">
        <v>12118</v>
      </c>
      <c r="C501">
        <v>522</v>
      </c>
      <c r="D501" s="1" t="s">
        <v>7278</v>
      </c>
      <c r="E501" s="1" t="s">
        <v>7280</v>
      </c>
      <c r="F501" s="1">
        <v>2022</v>
      </c>
      <c r="G501" s="1" t="s">
        <v>7281</v>
      </c>
      <c r="H501" s="1" t="str">
        <f>HYPERLINK("http://dx.doi.org/10.1021/acsearthspacechem.2c00017","http://dx.doi.org/10.1021/acsearthspacechem.2c00017")</f>
        <v>http://dx.doi.org/10.1021/acsearthspacechem.2c00017</v>
      </c>
      <c r="I501" s="1" t="s">
        <v>7284</v>
      </c>
      <c r="J501" s="1" t="s">
        <v>7282</v>
      </c>
      <c r="K501" s="1" t="s">
        <v>42</v>
      </c>
      <c r="L501" s="1" t="s">
        <v>56</v>
      </c>
    </row>
    <row r="502" spans="1:12" x14ac:dyDescent="0.3">
      <c r="A502" s="1">
        <v>471</v>
      </c>
      <c r="B502" t="s">
        <v>12118</v>
      </c>
      <c r="C502">
        <v>523</v>
      </c>
      <c r="D502" s="1" t="s">
        <v>5139</v>
      </c>
      <c r="E502" s="1" t="s">
        <v>5141</v>
      </c>
      <c r="F502" s="1">
        <v>2023</v>
      </c>
      <c r="G502" s="1" t="s">
        <v>5142</v>
      </c>
      <c r="H502" s="1" t="str">
        <f>HYPERLINK("http://dx.doi.org/10.1007/s10796-023-10375-9","http://dx.doi.org/10.1007/s10796-023-10375-9")</f>
        <v>http://dx.doi.org/10.1007/s10796-023-10375-9</v>
      </c>
      <c r="I502" s="1" t="s">
        <v>5145</v>
      </c>
      <c r="J502" s="1" t="s">
        <v>5143</v>
      </c>
      <c r="K502" s="1" t="s">
        <v>42</v>
      </c>
      <c r="L502" s="1" t="s">
        <v>1509</v>
      </c>
    </row>
    <row r="503" spans="1:12" x14ac:dyDescent="0.3">
      <c r="A503" s="1">
        <v>472</v>
      </c>
      <c r="B503" t="s">
        <v>12118</v>
      </c>
      <c r="C503">
        <v>524</v>
      </c>
      <c r="D503" s="1" t="s">
        <v>7459</v>
      </c>
      <c r="E503" s="1" t="s">
        <v>7461</v>
      </c>
      <c r="F503" s="1">
        <v>2022</v>
      </c>
      <c r="G503" s="1" t="s">
        <v>3475</v>
      </c>
      <c r="H503" s="1" t="str">
        <f>HYPERLINK("http://dx.doi.org/10.1038/s42256-022-00458-8","http://dx.doi.org/10.1038/s42256-022-00458-8")</f>
        <v>http://dx.doi.org/10.1038/s42256-022-00458-8</v>
      </c>
      <c r="I503" s="1" t="s">
        <v>7462</v>
      </c>
      <c r="J503" s="1" t="s">
        <v>1507</v>
      </c>
      <c r="K503" s="1" t="s">
        <v>42</v>
      </c>
      <c r="L503" s="1" t="s">
        <v>56</v>
      </c>
    </row>
    <row r="504" spans="1:12" x14ac:dyDescent="0.3">
      <c r="A504" s="1">
        <v>473</v>
      </c>
      <c r="B504" t="s">
        <v>12118</v>
      </c>
      <c r="C504">
        <v>525</v>
      </c>
      <c r="D504" s="1" t="s">
        <v>6327</v>
      </c>
      <c r="E504" s="1" t="s">
        <v>6330</v>
      </c>
      <c r="F504" s="1">
        <v>2023</v>
      </c>
      <c r="G504" s="1" t="s">
        <v>6331</v>
      </c>
      <c r="H504" s="1" t="str">
        <f>HYPERLINK("http://dx.doi.org/10.1007/978-3-031-43996-4_27","http://dx.doi.org/10.1007/978-3-031-43996-4_27")</f>
        <v>http://dx.doi.org/10.1007/978-3-031-43996-4_27</v>
      </c>
      <c r="I504" s="1" t="s">
        <v>6335</v>
      </c>
      <c r="J504" s="1" t="s">
        <v>1507</v>
      </c>
      <c r="K504" s="1" t="s">
        <v>42</v>
      </c>
      <c r="L504" s="1" t="s">
        <v>5552</v>
      </c>
    </row>
    <row r="505" spans="1:12" x14ac:dyDescent="0.3">
      <c r="A505" s="1">
        <v>474</v>
      </c>
      <c r="B505" t="s">
        <v>12118</v>
      </c>
      <c r="C505">
        <v>526</v>
      </c>
      <c r="D505" s="1" t="s">
        <v>2439</v>
      </c>
      <c r="E505" s="1" t="s">
        <v>2441</v>
      </c>
      <c r="F505" s="1">
        <v>2023</v>
      </c>
      <c r="G505" s="1" t="s">
        <v>2442</v>
      </c>
      <c r="H505" s="1" t="str">
        <f>HYPERLINK("http://dx.doi.org/10.1016/j.heliyon.2023.e22457","http://dx.doi.org/10.1016/j.heliyon.2023.e22457")</f>
        <v>http://dx.doi.org/10.1016/j.heliyon.2023.e22457</v>
      </c>
      <c r="I505" s="1" t="s">
        <v>2443</v>
      </c>
      <c r="J505" s="1" t="s">
        <v>1507</v>
      </c>
      <c r="K505" s="1" t="s">
        <v>42</v>
      </c>
      <c r="L505" s="1" t="s">
        <v>56</v>
      </c>
    </row>
    <row r="506" spans="1:12" x14ac:dyDescent="0.3">
      <c r="A506" s="1">
        <v>475</v>
      </c>
      <c r="B506" t="s">
        <v>12118</v>
      </c>
      <c r="C506">
        <v>528</v>
      </c>
      <c r="D506" s="1" t="s">
        <v>7961</v>
      </c>
      <c r="E506" s="1" t="s">
        <v>7963</v>
      </c>
      <c r="F506" s="1">
        <v>2022</v>
      </c>
      <c r="G506" s="1" t="s">
        <v>7964</v>
      </c>
      <c r="H506" s="1" t="str">
        <f>HYPERLINK("http://dx.doi.org/10.1016/j.chemosphere.2021.132652","http://dx.doi.org/10.1016/j.chemosphere.2021.132652")</f>
        <v>http://dx.doi.org/10.1016/j.chemosphere.2021.132652</v>
      </c>
      <c r="I506" s="1" t="s">
        <v>7967</v>
      </c>
      <c r="J506" s="1" t="s">
        <v>7965</v>
      </c>
      <c r="K506" s="1" t="s">
        <v>42</v>
      </c>
      <c r="L506" s="1" t="s">
        <v>56</v>
      </c>
    </row>
    <row r="507" spans="1:12" x14ac:dyDescent="0.3">
      <c r="A507" s="1">
        <v>476</v>
      </c>
      <c r="B507" t="s">
        <v>12118</v>
      </c>
      <c r="C507">
        <v>529</v>
      </c>
      <c r="D507" s="1" t="s">
        <v>8990</v>
      </c>
      <c r="E507" s="1" t="s">
        <v>8992</v>
      </c>
      <c r="F507" s="1">
        <v>2021</v>
      </c>
      <c r="G507" s="1" t="s">
        <v>7964</v>
      </c>
      <c r="H507" s="1" t="str">
        <f>HYPERLINK("http://dx.doi.org/10.1016/j.chemosphere.2021.129928","http://dx.doi.org/10.1016/j.chemosphere.2021.129928")</f>
        <v>http://dx.doi.org/10.1016/j.chemosphere.2021.129928</v>
      </c>
      <c r="I507" s="1" t="s">
        <v>8995</v>
      </c>
      <c r="J507" s="1" t="s">
        <v>8993</v>
      </c>
      <c r="K507" s="1" t="s">
        <v>42</v>
      </c>
      <c r="L507" s="1" t="s">
        <v>56</v>
      </c>
    </row>
    <row r="508" spans="1:12" x14ac:dyDescent="0.3">
      <c r="A508" s="1">
        <v>477</v>
      </c>
      <c r="B508" t="s">
        <v>12118</v>
      </c>
      <c r="C508">
        <v>530</v>
      </c>
      <c r="D508" s="1" t="s">
        <v>4431</v>
      </c>
      <c r="E508" s="1" t="s">
        <v>4433</v>
      </c>
      <c r="F508" s="1">
        <v>2023</v>
      </c>
      <c r="G508" s="1" t="s">
        <v>1999</v>
      </c>
      <c r="H508" s="1" t="str">
        <f>HYPERLINK("http://dx.doi.org/10.1371/journal.pone.0288768","http://dx.doi.org/10.1371/journal.pone.0288768")</f>
        <v>http://dx.doi.org/10.1371/journal.pone.0288768</v>
      </c>
      <c r="I508" s="1" t="s">
        <v>4435</v>
      </c>
      <c r="J508" s="1" t="s">
        <v>1507</v>
      </c>
      <c r="K508" s="1" t="s">
        <v>42</v>
      </c>
      <c r="L508" s="1" t="s">
        <v>56</v>
      </c>
    </row>
    <row r="509" spans="1:12" x14ac:dyDescent="0.3">
      <c r="A509" s="1">
        <v>478</v>
      </c>
      <c r="B509" t="s">
        <v>12118</v>
      </c>
      <c r="C509">
        <v>531</v>
      </c>
      <c r="D509" s="1" t="s">
        <v>6349</v>
      </c>
      <c r="E509" s="1" t="s">
        <v>6351</v>
      </c>
      <c r="F509" s="1">
        <v>2023</v>
      </c>
      <c r="G509" s="1" t="s">
        <v>5976</v>
      </c>
      <c r="H509" s="1" t="str">
        <f>HYPERLINK("http://dx.doi.org/10.2196/53466","http://dx.doi.org/10.2196/53466")</f>
        <v>http://dx.doi.org/10.2196/53466</v>
      </c>
      <c r="I509" s="1" t="s">
        <v>6354</v>
      </c>
      <c r="J509" s="1" t="s">
        <v>6352</v>
      </c>
      <c r="K509" s="1" t="s">
        <v>42</v>
      </c>
      <c r="L509" s="1" t="s">
        <v>56</v>
      </c>
    </row>
    <row r="510" spans="1:12" x14ac:dyDescent="0.3">
      <c r="A510" s="1">
        <v>479</v>
      </c>
      <c r="B510" t="s">
        <v>12118</v>
      </c>
      <c r="C510">
        <v>532</v>
      </c>
      <c r="D510" s="1" t="s">
        <v>5351</v>
      </c>
      <c r="E510" s="1" t="s">
        <v>5353</v>
      </c>
      <c r="F510" s="1">
        <v>2023</v>
      </c>
      <c r="G510" s="1" t="s">
        <v>5013</v>
      </c>
      <c r="H510" s="1" t="str">
        <f>HYPERLINK("http://dx.doi.org/10.3390/app13052892","http://dx.doi.org/10.3390/app13052892")</f>
        <v>http://dx.doi.org/10.3390/app13052892</v>
      </c>
      <c r="I510" s="1" t="s">
        <v>5355</v>
      </c>
      <c r="J510" s="1" t="s">
        <v>5354</v>
      </c>
      <c r="K510" s="1" t="s">
        <v>42</v>
      </c>
      <c r="L510" s="1" t="s">
        <v>56</v>
      </c>
    </row>
    <row r="511" spans="1:12" x14ac:dyDescent="0.3">
      <c r="A511" s="1">
        <v>480</v>
      </c>
      <c r="B511" t="s">
        <v>12118</v>
      </c>
      <c r="C511">
        <v>533</v>
      </c>
      <c r="D511" s="1" t="s">
        <v>9598</v>
      </c>
      <c r="E511" s="1" t="s">
        <v>9600</v>
      </c>
      <c r="F511" s="1">
        <v>2020</v>
      </c>
      <c r="G511" s="1" t="s">
        <v>8155</v>
      </c>
      <c r="H511" s="1" t="str">
        <f>HYPERLINK("http://dx.doi.org/10.1016/j.psyneuen.2020.104733","http://dx.doi.org/10.1016/j.psyneuen.2020.104733")</f>
        <v>http://dx.doi.org/10.1016/j.psyneuen.2020.104733</v>
      </c>
      <c r="I511" s="1" t="s">
        <v>9603</v>
      </c>
      <c r="J511" s="1" t="s">
        <v>9601</v>
      </c>
      <c r="K511" s="1" t="s">
        <v>42</v>
      </c>
      <c r="L511" s="1" t="s">
        <v>56</v>
      </c>
    </row>
    <row r="512" spans="1:12" x14ac:dyDescent="0.3">
      <c r="A512" s="1">
        <v>481</v>
      </c>
      <c r="B512" t="s">
        <v>12118</v>
      </c>
      <c r="C512">
        <v>534</v>
      </c>
      <c r="D512" s="1" t="s">
        <v>8152</v>
      </c>
      <c r="E512" s="1" t="s">
        <v>8154</v>
      </c>
      <c r="F512" s="1">
        <v>2021</v>
      </c>
      <c r="G512" s="1" t="s">
        <v>8155</v>
      </c>
      <c r="H512" s="1" t="str">
        <f>HYPERLINK("http://dx.doi.org/10.1016/j.psyneuen.2021.105431","http://dx.doi.org/10.1016/j.psyneuen.2021.105431")</f>
        <v>http://dx.doi.org/10.1016/j.psyneuen.2021.105431</v>
      </c>
      <c r="I512" s="1" t="s">
        <v>8158</v>
      </c>
      <c r="J512" s="1" t="s">
        <v>8156</v>
      </c>
      <c r="K512" s="1" t="s">
        <v>42</v>
      </c>
      <c r="L512" s="1" t="s">
        <v>56</v>
      </c>
    </row>
    <row r="513" spans="1:12" x14ac:dyDescent="0.3">
      <c r="A513" s="1">
        <v>482</v>
      </c>
      <c r="B513" t="s">
        <v>12118</v>
      </c>
      <c r="C513">
        <v>535</v>
      </c>
      <c r="D513" s="1" t="s">
        <v>7486</v>
      </c>
      <c r="E513" s="1" t="s">
        <v>7488</v>
      </c>
      <c r="F513" s="1">
        <v>2022</v>
      </c>
      <c r="G513" s="1" t="s">
        <v>7489</v>
      </c>
      <c r="H513" s="1" t="str">
        <f>HYPERLINK("http://dx.doi.org/10.1177/09567976211036075","http://dx.doi.org/10.1177/09567976211036075")</f>
        <v>http://dx.doi.org/10.1177/09567976211036075</v>
      </c>
      <c r="I513" s="1" t="s">
        <v>7492</v>
      </c>
      <c r="J513" s="1" t="s">
        <v>7490</v>
      </c>
      <c r="K513" s="1" t="s">
        <v>42</v>
      </c>
      <c r="L513" s="1" t="s">
        <v>56</v>
      </c>
    </row>
    <row r="514" spans="1:12" x14ac:dyDescent="0.3">
      <c r="A514" s="1">
        <v>483</v>
      </c>
      <c r="B514" t="s">
        <v>12118</v>
      </c>
      <c r="C514">
        <v>536</v>
      </c>
      <c r="D514" s="1" t="s">
        <v>1954</v>
      </c>
      <c r="E514" s="1" t="s">
        <v>1956</v>
      </c>
      <c r="F514" s="1">
        <v>2023</v>
      </c>
      <c r="G514" s="1" t="s">
        <v>1957</v>
      </c>
      <c r="H514" s="1" t="str">
        <f>HYPERLINK("http://dx.doi.org/10.1111/all.15976","http://dx.doi.org/10.1111/all.15976")</f>
        <v>http://dx.doi.org/10.1111/all.15976</v>
      </c>
      <c r="I514" s="1" t="s">
        <v>1507</v>
      </c>
      <c r="J514" s="1" t="s">
        <v>1507</v>
      </c>
      <c r="K514" s="1" t="s">
        <v>42</v>
      </c>
      <c r="L514" s="1" t="s">
        <v>1509</v>
      </c>
    </row>
    <row r="515" spans="1:12" x14ac:dyDescent="0.3">
      <c r="A515" s="1">
        <v>484</v>
      </c>
      <c r="B515" t="s">
        <v>12118</v>
      </c>
      <c r="C515">
        <v>537</v>
      </c>
      <c r="D515" s="1" t="s">
        <v>9918</v>
      </c>
      <c r="E515" s="1" t="s">
        <v>9920</v>
      </c>
      <c r="F515" s="1">
        <v>2020</v>
      </c>
      <c r="G515" s="1" t="s">
        <v>1760</v>
      </c>
      <c r="H515" s="1" t="str">
        <f>HYPERLINK("http://dx.doi.org/10.1038/s41586-020-2342-5","http://dx.doi.org/10.1038/s41586-020-2342-5")</f>
        <v>http://dx.doi.org/10.1038/s41586-020-2342-5</v>
      </c>
      <c r="I515" s="1" t="s">
        <v>9922</v>
      </c>
      <c r="J515" s="1" t="s">
        <v>1507</v>
      </c>
      <c r="K515" s="1" t="s">
        <v>42</v>
      </c>
      <c r="L515" s="1" t="s">
        <v>56</v>
      </c>
    </row>
    <row r="516" spans="1:12" x14ac:dyDescent="0.3">
      <c r="A516" s="1">
        <v>487</v>
      </c>
      <c r="B516" t="s">
        <v>12118</v>
      </c>
      <c r="C516">
        <v>538</v>
      </c>
      <c r="D516" s="1" t="s">
        <v>11677</v>
      </c>
      <c r="E516" s="1" t="s">
        <v>11679</v>
      </c>
      <c r="F516" s="1">
        <v>2018</v>
      </c>
      <c r="G516" s="1" t="s">
        <v>11413</v>
      </c>
      <c r="H516" s="1" t="str">
        <f>HYPERLINK("http://dx.doi.org/10.2514/1.C034696","http://dx.doi.org/10.2514/1.C034696")</f>
        <v>http://dx.doi.org/10.2514/1.C034696</v>
      </c>
      <c r="I516" s="1" t="s">
        <v>11686</v>
      </c>
      <c r="J516" s="1" t="s">
        <v>1507</v>
      </c>
      <c r="K516" s="1" t="s">
        <v>42</v>
      </c>
      <c r="L516" s="1" t="s">
        <v>11680</v>
      </c>
    </row>
    <row r="517" spans="1:12" x14ac:dyDescent="0.3">
      <c r="A517" s="1">
        <v>488</v>
      </c>
      <c r="B517" t="s">
        <v>12118</v>
      </c>
      <c r="C517">
        <v>539</v>
      </c>
      <c r="D517" s="1" t="s">
        <v>11410</v>
      </c>
      <c r="E517" s="1" t="s">
        <v>11412</v>
      </c>
      <c r="F517" s="1">
        <v>2019</v>
      </c>
      <c r="G517" s="1" t="s">
        <v>11413</v>
      </c>
      <c r="H517" s="1" t="str">
        <f>HYPERLINK("http://dx.doi.org/10.2514/1.C034978","http://dx.doi.org/10.2514/1.C034978")</f>
        <v>http://dx.doi.org/10.2514/1.C034978</v>
      </c>
      <c r="I517" s="1" t="s">
        <v>11415</v>
      </c>
      <c r="J517" s="1" t="s">
        <v>1507</v>
      </c>
      <c r="K517" s="1" t="s">
        <v>42</v>
      </c>
      <c r="L517" s="1" t="s">
        <v>56</v>
      </c>
    </row>
    <row r="518" spans="1:12" x14ac:dyDescent="0.3">
      <c r="A518" s="1">
        <v>489</v>
      </c>
      <c r="B518" t="s">
        <v>12118</v>
      </c>
      <c r="C518">
        <v>541</v>
      </c>
      <c r="D518" s="1" t="s">
        <v>9933</v>
      </c>
      <c r="E518" s="1" t="s">
        <v>9935</v>
      </c>
      <c r="F518" s="1">
        <v>2020</v>
      </c>
      <c r="G518" s="1" t="s">
        <v>1760</v>
      </c>
      <c r="H518" s="1" t="str">
        <f>HYPERLINK("http://dx.doi.org/10.1038/s41586-020-2334-5","http://dx.doi.org/10.1038/s41586-020-2334-5")</f>
        <v>http://dx.doi.org/10.1038/s41586-020-2334-5</v>
      </c>
      <c r="I518" s="1" t="s">
        <v>9936</v>
      </c>
      <c r="J518" s="1" t="s">
        <v>1507</v>
      </c>
      <c r="K518" s="1" t="s">
        <v>42</v>
      </c>
      <c r="L518" s="1" t="s">
        <v>56</v>
      </c>
    </row>
    <row r="519" spans="1:12" x14ac:dyDescent="0.3">
      <c r="A519" s="1">
        <v>490</v>
      </c>
      <c r="B519" t="s">
        <v>12118</v>
      </c>
      <c r="C519">
        <v>542</v>
      </c>
      <c r="D519" s="1" t="s">
        <v>9474</v>
      </c>
      <c r="E519" s="1" t="s">
        <v>9476</v>
      </c>
      <c r="F519" s="1">
        <v>2020</v>
      </c>
      <c r="G519" s="1" t="s">
        <v>8043</v>
      </c>
      <c r="H519" s="1" t="str">
        <f>HYPERLINK("http://dx.doi.org/10.1186/s10020-020-00224-9","http://dx.doi.org/10.1186/s10020-020-00224-9")</f>
        <v>http://dx.doi.org/10.1186/s10020-020-00224-9</v>
      </c>
      <c r="I519" s="1" t="s">
        <v>9479</v>
      </c>
      <c r="J519" s="1" t="s">
        <v>9477</v>
      </c>
      <c r="K519" s="1" t="s">
        <v>42</v>
      </c>
      <c r="L519" s="1" t="s">
        <v>56</v>
      </c>
    </row>
    <row r="520" spans="1:12" x14ac:dyDescent="0.3">
      <c r="A520" s="1">
        <v>492</v>
      </c>
      <c r="B520" t="s">
        <v>12118</v>
      </c>
      <c r="C520">
        <v>545</v>
      </c>
      <c r="D520" s="1" t="s">
        <v>4771</v>
      </c>
      <c r="E520" s="1" t="s">
        <v>522</v>
      </c>
      <c r="F520" s="1">
        <v>2023</v>
      </c>
      <c r="G520" s="1" t="s">
        <v>4773</v>
      </c>
      <c r="H520" s="1" t="str">
        <f>HYPERLINK("http://dx.doi.org/10.1215/00029831-10575035","http://dx.doi.org/10.1215/00029831-10575035")</f>
        <v>http://dx.doi.org/10.1215/00029831-10575035</v>
      </c>
      <c r="I520" s="1" t="s">
        <v>4775</v>
      </c>
      <c r="J520" s="1" t="s">
        <v>4774</v>
      </c>
      <c r="K520" s="1" t="s">
        <v>42</v>
      </c>
      <c r="L520" s="1" t="s">
        <v>56</v>
      </c>
    </row>
    <row r="521" spans="1:12" x14ac:dyDescent="0.3">
      <c r="A521" s="1">
        <v>493</v>
      </c>
      <c r="B521" t="s">
        <v>12118</v>
      </c>
      <c r="C521">
        <v>546</v>
      </c>
      <c r="D521" s="1" t="s">
        <v>10365</v>
      </c>
      <c r="E521" s="1" t="s">
        <v>10368</v>
      </c>
      <c r="F521" s="1">
        <v>2020</v>
      </c>
      <c r="G521" s="1" t="s">
        <v>10369</v>
      </c>
      <c r="H521" s="1" t="s">
        <v>1507</v>
      </c>
      <c r="I521" s="1" t="s">
        <v>10374</v>
      </c>
      <c r="J521" s="1" t="s">
        <v>10373</v>
      </c>
      <c r="K521" s="1" t="s">
        <v>42</v>
      </c>
      <c r="L521" s="1" t="s">
        <v>5552</v>
      </c>
    </row>
    <row r="522" spans="1:12" x14ac:dyDescent="0.3">
      <c r="A522" s="1">
        <v>494</v>
      </c>
      <c r="B522" t="s">
        <v>12118</v>
      </c>
      <c r="C522">
        <v>547</v>
      </c>
      <c r="D522" s="1" t="s">
        <v>2285</v>
      </c>
      <c r="E522" s="1" t="s">
        <v>2287</v>
      </c>
      <c r="F522" s="1">
        <v>2023</v>
      </c>
      <c r="G522" s="1" t="s">
        <v>2288</v>
      </c>
      <c r="H522" s="1" t="str">
        <f>HYPERLINK("http://dx.doi.org/10.1128/jvi.01369-23","http://dx.doi.org/10.1128/jvi.01369-23")</f>
        <v>http://dx.doi.org/10.1128/jvi.01369-23</v>
      </c>
      <c r="I522" s="1" t="s">
        <v>2291</v>
      </c>
      <c r="J522" s="1" t="s">
        <v>2289</v>
      </c>
      <c r="K522" s="1" t="s">
        <v>42</v>
      </c>
      <c r="L522" s="1" t="s">
        <v>56</v>
      </c>
    </row>
    <row r="523" spans="1:12" x14ac:dyDescent="0.3">
      <c r="A523" s="1">
        <v>495</v>
      </c>
      <c r="B523" t="s">
        <v>12118</v>
      </c>
      <c r="C523">
        <v>548</v>
      </c>
      <c r="D523" s="1" t="s">
        <v>10477</v>
      </c>
      <c r="E523" s="1" t="s">
        <v>10479</v>
      </c>
      <c r="F523" s="1">
        <v>2019</v>
      </c>
      <c r="G523" s="1" t="s">
        <v>2288</v>
      </c>
      <c r="H523" s="1" t="str">
        <f>HYPERLINK("http://dx.doi.org/10.1128/JVI.01236-19","http://dx.doi.org/10.1128/JVI.01236-19")</f>
        <v>http://dx.doi.org/10.1128/JVI.01236-19</v>
      </c>
      <c r="I523" s="1" t="s">
        <v>10482</v>
      </c>
      <c r="J523" s="1" t="s">
        <v>10480</v>
      </c>
      <c r="K523" s="1" t="s">
        <v>42</v>
      </c>
      <c r="L523" s="1" t="s">
        <v>56</v>
      </c>
    </row>
    <row r="524" spans="1:12" x14ac:dyDescent="0.3">
      <c r="A524" s="1">
        <v>496</v>
      </c>
      <c r="B524" t="s">
        <v>12118</v>
      </c>
      <c r="C524">
        <v>549</v>
      </c>
      <c r="D524" s="1" t="s">
        <v>9895</v>
      </c>
      <c r="E524" s="1" t="s">
        <v>9897</v>
      </c>
      <c r="F524" s="1">
        <v>2020</v>
      </c>
      <c r="G524" s="1" t="s">
        <v>9898</v>
      </c>
      <c r="H524" s="1" t="str">
        <f>HYPERLINK("http://dx.doi.org/10.1016/j.jmmm.2020.166532","http://dx.doi.org/10.1016/j.jmmm.2020.166532")</f>
        <v>http://dx.doi.org/10.1016/j.jmmm.2020.166532</v>
      </c>
      <c r="I524" s="1" t="s">
        <v>9901</v>
      </c>
      <c r="J524" s="1" t="s">
        <v>9899</v>
      </c>
      <c r="K524" s="1" t="s">
        <v>42</v>
      </c>
      <c r="L524" s="1" t="s">
        <v>56</v>
      </c>
    </row>
    <row r="525" spans="1:12" x14ac:dyDescent="0.3">
      <c r="A525" s="1">
        <v>497</v>
      </c>
      <c r="B525" t="s">
        <v>12118</v>
      </c>
      <c r="C525">
        <v>550</v>
      </c>
      <c r="D525" s="1" t="s">
        <v>4018</v>
      </c>
      <c r="E525" s="1" t="s">
        <v>4020</v>
      </c>
      <c r="F525" s="1">
        <v>2023</v>
      </c>
      <c r="G525" s="1" t="s">
        <v>4021</v>
      </c>
      <c r="H525" s="1" t="str">
        <f>HYPERLINK("http://dx.doi.org/10.1016/j.jksuci.2023.101675","http://dx.doi.org/10.1016/j.jksuci.2023.101675")</f>
        <v>http://dx.doi.org/10.1016/j.jksuci.2023.101675</v>
      </c>
      <c r="I525" s="1" t="s">
        <v>4024</v>
      </c>
      <c r="J525" s="1" t="s">
        <v>4022</v>
      </c>
      <c r="K525" s="1" t="s">
        <v>42</v>
      </c>
      <c r="L525" s="1" t="s">
        <v>56</v>
      </c>
    </row>
    <row r="526" spans="1:12" x14ac:dyDescent="0.3">
      <c r="A526" s="1">
        <v>498</v>
      </c>
      <c r="B526" t="s">
        <v>12118</v>
      </c>
      <c r="C526">
        <v>552</v>
      </c>
      <c r="D526" s="1" t="s">
        <v>6363</v>
      </c>
      <c r="E526" s="1" t="s">
        <v>6366</v>
      </c>
      <c r="F526" s="1">
        <v>2023</v>
      </c>
      <c r="G526" s="1" t="s">
        <v>6367</v>
      </c>
      <c r="H526" s="1" t="str">
        <f>HYPERLINK("http://dx.doi.org/10.1007/978-3-031-42608-7_16","http://dx.doi.org/10.1007/978-3-031-42608-7_16")</f>
        <v>http://dx.doi.org/10.1007/978-3-031-42608-7_16</v>
      </c>
      <c r="I526" s="1" t="s">
        <v>6373</v>
      </c>
      <c r="J526" s="1" t="s">
        <v>1253</v>
      </c>
      <c r="K526" s="1" t="s">
        <v>42</v>
      </c>
      <c r="L526" s="1" t="s">
        <v>5552</v>
      </c>
    </row>
    <row r="527" spans="1:12" x14ac:dyDescent="0.3">
      <c r="A527" s="1">
        <v>499</v>
      </c>
      <c r="B527" t="s">
        <v>12118</v>
      </c>
      <c r="C527">
        <v>553</v>
      </c>
      <c r="D527" s="1" t="s">
        <v>12056</v>
      </c>
      <c r="E527" s="1" t="s">
        <v>12058</v>
      </c>
      <c r="F527" s="1">
        <v>2018</v>
      </c>
      <c r="G527" s="1" t="s">
        <v>12059</v>
      </c>
      <c r="H527" s="1" t="str">
        <f>HYPERLINK("http://dx.doi.org/10.1080/15592294.2018.1518100","http://dx.doi.org/10.1080/15592294.2018.1518100")</f>
        <v>http://dx.doi.org/10.1080/15592294.2018.1518100</v>
      </c>
      <c r="I527" s="1" t="s">
        <v>12062</v>
      </c>
      <c r="J527" s="1" t="s">
        <v>12060</v>
      </c>
      <c r="K527" s="1" t="s">
        <v>42</v>
      </c>
      <c r="L527" s="1" t="s">
        <v>56</v>
      </c>
    </row>
    <row r="528" spans="1:12" x14ac:dyDescent="0.3">
      <c r="A528" s="1">
        <v>500</v>
      </c>
      <c r="B528" t="s">
        <v>12118</v>
      </c>
      <c r="C528">
        <v>554</v>
      </c>
      <c r="D528" s="1" t="s">
        <v>8019</v>
      </c>
      <c r="E528" s="1" t="s">
        <v>8021</v>
      </c>
      <c r="F528" s="1">
        <v>2021</v>
      </c>
      <c r="G528" s="1" t="s">
        <v>8022</v>
      </c>
      <c r="H528" s="1" t="str">
        <f>HYPERLINK("http://dx.doi.org/10.1186/s13148-021-01171-w","http://dx.doi.org/10.1186/s13148-021-01171-w")</f>
        <v>http://dx.doi.org/10.1186/s13148-021-01171-w</v>
      </c>
      <c r="I528" s="1" t="s">
        <v>8024</v>
      </c>
      <c r="J528" s="1" t="s">
        <v>1507</v>
      </c>
      <c r="K528" s="1" t="s">
        <v>42</v>
      </c>
      <c r="L528" s="1" t="s">
        <v>56</v>
      </c>
    </row>
    <row r="529" spans="1:12" x14ac:dyDescent="0.3">
      <c r="A529" s="1">
        <v>501</v>
      </c>
      <c r="B529" t="s">
        <v>12118</v>
      </c>
      <c r="C529">
        <v>556</v>
      </c>
      <c r="D529" s="1" t="s">
        <v>11435</v>
      </c>
      <c r="E529" s="1" t="s">
        <v>11437</v>
      </c>
      <c r="F529" s="1">
        <v>2019</v>
      </c>
      <c r="G529" s="1" t="s">
        <v>11438</v>
      </c>
      <c r="H529" s="1" t="str">
        <f>HYPERLINK("http://dx.doi.org/10.1007/s00227-018-3452-6","http://dx.doi.org/10.1007/s00227-018-3452-6")</f>
        <v>http://dx.doi.org/10.1007/s00227-018-3452-6</v>
      </c>
      <c r="I529" s="1" t="s">
        <v>11440</v>
      </c>
      <c r="J529" s="1" t="s">
        <v>1507</v>
      </c>
      <c r="K529" s="1" t="s">
        <v>42</v>
      </c>
      <c r="L529" s="1" t="s">
        <v>56</v>
      </c>
    </row>
    <row r="530" spans="1:12" x14ac:dyDescent="0.3">
      <c r="A530" s="1">
        <v>502</v>
      </c>
      <c r="B530" t="s">
        <v>12118</v>
      </c>
      <c r="C530">
        <v>557</v>
      </c>
      <c r="D530" s="1" t="s">
        <v>12076</v>
      </c>
      <c r="E530" s="1" t="s">
        <v>12078</v>
      </c>
      <c r="F530" s="1">
        <v>2018</v>
      </c>
      <c r="G530" s="1" t="s">
        <v>11438</v>
      </c>
      <c r="H530" s="1" t="str">
        <f>HYPERLINK("http://dx.doi.org/10.1007/s00227-017-3269-8","http://dx.doi.org/10.1007/s00227-017-3269-8")</f>
        <v>http://dx.doi.org/10.1007/s00227-017-3269-8</v>
      </c>
      <c r="I530" s="1" t="s">
        <v>12080</v>
      </c>
      <c r="J530" s="1" t="s">
        <v>1507</v>
      </c>
      <c r="K530" s="1" t="s">
        <v>42</v>
      </c>
      <c r="L530" s="1" t="s">
        <v>56</v>
      </c>
    </row>
    <row r="531" spans="1:12" x14ac:dyDescent="0.3">
      <c r="A531" s="1">
        <v>503</v>
      </c>
      <c r="B531" t="s">
        <v>12118</v>
      </c>
      <c r="C531">
        <v>558</v>
      </c>
      <c r="D531" s="1" t="s">
        <v>7359</v>
      </c>
      <c r="E531" s="1" t="s">
        <v>7361</v>
      </c>
      <c r="F531" s="1">
        <v>2022</v>
      </c>
      <c r="G531" s="1" t="s">
        <v>7362</v>
      </c>
      <c r="H531" s="1" t="str">
        <f>HYPERLINK("http://dx.doi.org/10.1007/s11063-022-10772-2","http://dx.doi.org/10.1007/s11063-022-10772-2")</f>
        <v>http://dx.doi.org/10.1007/s11063-022-10772-2</v>
      </c>
      <c r="I531" s="1" t="s">
        <v>7365</v>
      </c>
      <c r="J531" s="1" t="s">
        <v>7363</v>
      </c>
      <c r="K531" s="1" t="s">
        <v>42</v>
      </c>
      <c r="L531" s="1" t="s">
        <v>56</v>
      </c>
    </row>
    <row r="532" spans="1:12" x14ac:dyDescent="0.3">
      <c r="A532" s="1">
        <v>504</v>
      </c>
      <c r="B532" t="s">
        <v>12118</v>
      </c>
      <c r="C532">
        <v>559</v>
      </c>
      <c r="D532" s="1" t="s">
        <v>5117</v>
      </c>
      <c r="E532" s="1" t="s">
        <v>5119</v>
      </c>
      <c r="F532" s="1">
        <v>2022</v>
      </c>
      <c r="G532" s="1" t="s">
        <v>5120</v>
      </c>
      <c r="H532" s="1" t="str">
        <f>HYPERLINK("http://dx.doi.org/10.1080/1460728x.2023.2206291","http://dx.doi.org/10.1080/1460728x.2023.2206291")</f>
        <v>http://dx.doi.org/10.1080/1460728x.2023.2206291</v>
      </c>
      <c r="I532" s="1" t="s">
        <v>5123</v>
      </c>
      <c r="J532" s="1" t="s">
        <v>5121</v>
      </c>
      <c r="K532" s="1" t="s">
        <v>42</v>
      </c>
      <c r="L532" s="1" t="s">
        <v>56</v>
      </c>
    </row>
    <row r="533" spans="1:12" x14ac:dyDescent="0.3">
      <c r="A533" s="1">
        <v>506</v>
      </c>
      <c r="B533" t="s">
        <v>12118</v>
      </c>
      <c r="C533">
        <v>561</v>
      </c>
      <c r="D533" s="1" t="s">
        <v>9295</v>
      </c>
      <c r="E533" s="1" t="s">
        <v>9297</v>
      </c>
      <c r="F533" s="1">
        <v>2021</v>
      </c>
      <c r="G533" s="1" t="s">
        <v>9298</v>
      </c>
      <c r="H533" s="1" t="str">
        <f>HYPERLINK("http://dx.doi.org/10.1016/j.chb.2020.106486","http://dx.doi.org/10.1016/j.chb.2020.106486")</f>
        <v>http://dx.doi.org/10.1016/j.chb.2020.106486</v>
      </c>
      <c r="I533" s="1" t="s">
        <v>9300</v>
      </c>
      <c r="J533" s="1" t="s">
        <v>1507</v>
      </c>
      <c r="K533" s="1" t="s">
        <v>42</v>
      </c>
      <c r="L533" s="1" t="s">
        <v>56</v>
      </c>
    </row>
    <row r="534" spans="1:12" x14ac:dyDescent="0.3">
      <c r="A534" s="1">
        <v>507</v>
      </c>
      <c r="B534" t="s">
        <v>12118</v>
      </c>
      <c r="C534">
        <v>562</v>
      </c>
      <c r="D534" s="1" t="s">
        <v>7074</v>
      </c>
      <c r="E534" s="1" t="s">
        <v>7076</v>
      </c>
      <c r="F534" s="1">
        <v>2022</v>
      </c>
      <c r="G534" s="1" t="s">
        <v>7077</v>
      </c>
      <c r="H534" s="1" t="str">
        <f>HYPERLINK("http://dx.doi.org/10.1021/acs.jctc.2c00256","http://dx.doi.org/10.1021/acs.jctc.2c00256")</f>
        <v>http://dx.doi.org/10.1021/acs.jctc.2c00256</v>
      </c>
      <c r="I534" s="1" t="s">
        <v>7079</v>
      </c>
      <c r="J534" s="1" t="s">
        <v>1507</v>
      </c>
      <c r="K534" s="1" t="s">
        <v>42</v>
      </c>
      <c r="L534" s="1" t="s">
        <v>56</v>
      </c>
    </row>
    <row r="535" spans="1:12" x14ac:dyDescent="0.3">
      <c r="A535" s="1">
        <v>509</v>
      </c>
      <c r="B535" t="s">
        <v>12118</v>
      </c>
      <c r="C535">
        <v>563</v>
      </c>
      <c r="D535" s="1" t="s">
        <v>8000</v>
      </c>
      <c r="E535" s="1" t="s">
        <v>8002</v>
      </c>
      <c r="F535" s="1">
        <v>2021</v>
      </c>
      <c r="G535" s="1" t="s">
        <v>8003</v>
      </c>
      <c r="H535" s="1" t="str">
        <f>HYPERLINK("http://dx.doi.org/10.1093/jiplp/jpab128","http://dx.doi.org/10.1093/jiplp/jpab128")</f>
        <v>http://dx.doi.org/10.1093/jiplp/jpab128</v>
      </c>
      <c r="I535" s="1" t="s">
        <v>1507</v>
      </c>
      <c r="J535" s="1" t="s">
        <v>1507</v>
      </c>
      <c r="K535" s="1" t="s">
        <v>42</v>
      </c>
      <c r="L535" s="1" t="s">
        <v>56</v>
      </c>
    </row>
    <row r="536" spans="1:12" x14ac:dyDescent="0.3">
      <c r="A536" s="1">
        <v>510</v>
      </c>
      <c r="B536" t="s">
        <v>12118</v>
      </c>
      <c r="C536">
        <v>564</v>
      </c>
      <c r="D536" s="1" t="s">
        <v>6383</v>
      </c>
      <c r="E536" s="1" t="s">
        <v>6385</v>
      </c>
      <c r="F536" s="1">
        <v>2023</v>
      </c>
      <c r="G536" s="1" t="s">
        <v>6386</v>
      </c>
      <c r="H536" s="1" t="str">
        <f>HYPERLINK("http://dx.doi.org/10.1145/3593856.3595910","http://dx.doi.org/10.1145/3593856.3595910")</f>
        <v>http://dx.doi.org/10.1145/3593856.3595910</v>
      </c>
      <c r="I536" s="1" t="s">
        <v>6393</v>
      </c>
      <c r="J536" s="1" t="s">
        <v>6392</v>
      </c>
      <c r="K536" s="1" t="s">
        <v>42</v>
      </c>
      <c r="L536" s="1" t="s">
        <v>5552</v>
      </c>
    </row>
    <row r="537" spans="1:12" x14ac:dyDescent="0.3">
      <c r="A537" s="1">
        <v>511</v>
      </c>
      <c r="B537" t="s">
        <v>12118</v>
      </c>
      <c r="C537">
        <v>565</v>
      </c>
      <c r="D537" s="1" t="s">
        <v>8407</v>
      </c>
      <c r="E537" s="1" t="s">
        <v>8409</v>
      </c>
      <c r="F537" s="1">
        <v>2021</v>
      </c>
      <c r="G537" s="1" t="s">
        <v>8410</v>
      </c>
      <c r="H537" s="1" t="str">
        <f>HYPERLINK("http://dx.doi.org/10.1063/4.0000087","http://dx.doi.org/10.1063/4.0000087")</f>
        <v>http://dx.doi.org/10.1063/4.0000087</v>
      </c>
      <c r="I537" s="1" t="s">
        <v>8412</v>
      </c>
      <c r="J537" s="1" t="s">
        <v>1507</v>
      </c>
      <c r="K537" s="1" t="s">
        <v>42</v>
      </c>
      <c r="L537" s="1" t="s">
        <v>56</v>
      </c>
    </row>
    <row r="538" spans="1:12" x14ac:dyDescent="0.3">
      <c r="A538" s="1">
        <v>512</v>
      </c>
      <c r="B538" t="s">
        <v>12118</v>
      </c>
      <c r="C538">
        <v>566</v>
      </c>
      <c r="D538" s="1" t="s">
        <v>6403</v>
      </c>
      <c r="E538" s="1" t="s">
        <v>6406</v>
      </c>
      <c r="F538" s="1">
        <v>2023</v>
      </c>
      <c r="G538" s="1" t="s">
        <v>6407</v>
      </c>
      <c r="H538" s="1" t="str">
        <f>HYPERLINK("http://dx.doi.org/10.1145/3588432.3591558","http://dx.doi.org/10.1145/3588432.3591558")</f>
        <v>http://dx.doi.org/10.1145/3588432.3591558</v>
      </c>
      <c r="I538" s="1" t="s">
        <v>6414</v>
      </c>
      <c r="J538" s="1" t="s">
        <v>6412</v>
      </c>
      <c r="K538" s="1" t="s">
        <v>42</v>
      </c>
      <c r="L538" s="1" t="s">
        <v>5552</v>
      </c>
    </row>
    <row r="539" spans="1:12" x14ac:dyDescent="0.3">
      <c r="A539" s="1">
        <v>513</v>
      </c>
      <c r="B539" t="s">
        <v>12118</v>
      </c>
      <c r="C539">
        <v>567</v>
      </c>
      <c r="D539" s="1" t="s">
        <v>6844</v>
      </c>
      <c r="E539" s="1" t="s">
        <v>6846</v>
      </c>
      <c r="F539" s="1">
        <v>2023</v>
      </c>
      <c r="G539" s="1" t="s">
        <v>6847</v>
      </c>
      <c r="H539" s="1" t="str">
        <f>HYPERLINK("http://dx.doi.org/10.1016/j.fuel.2022.126283","http://dx.doi.org/10.1016/j.fuel.2022.126283")</f>
        <v>http://dx.doi.org/10.1016/j.fuel.2022.126283</v>
      </c>
      <c r="I539" s="1" t="s">
        <v>6850</v>
      </c>
      <c r="J539" s="1" t="s">
        <v>6848</v>
      </c>
      <c r="K539" s="1" t="s">
        <v>42</v>
      </c>
      <c r="L539" s="1" t="s">
        <v>56</v>
      </c>
    </row>
    <row r="540" spans="1:12" x14ac:dyDescent="0.3">
      <c r="A540" s="1">
        <v>514</v>
      </c>
      <c r="B540" t="s">
        <v>12118</v>
      </c>
      <c r="C540">
        <v>570</v>
      </c>
      <c r="D540" s="1" t="s">
        <v>11457</v>
      </c>
      <c r="E540" s="1" t="s">
        <v>913</v>
      </c>
      <c r="F540" s="1">
        <v>2019</v>
      </c>
      <c r="G540" s="1" t="s">
        <v>11460</v>
      </c>
      <c r="H540" s="1" t="str">
        <f>HYPERLINK("http://dx.doi.org/10.1088/1742-6596/1171/1/012004","http://dx.doi.org/10.1088/1742-6596/1171/1/012004")</f>
        <v>http://dx.doi.org/10.1088/1742-6596/1171/1/012004</v>
      </c>
      <c r="I540" s="1" t="s">
        <v>11466</v>
      </c>
      <c r="J540" s="1" t="s">
        <v>1507</v>
      </c>
      <c r="K540" s="1" t="s">
        <v>42</v>
      </c>
      <c r="L540" s="1" t="s">
        <v>5552</v>
      </c>
    </row>
    <row r="541" spans="1:12" x14ac:dyDescent="0.3">
      <c r="A541" s="1">
        <v>515</v>
      </c>
      <c r="B541" t="s">
        <v>12118</v>
      </c>
      <c r="C541">
        <v>571</v>
      </c>
      <c r="D541" s="1" t="s">
        <v>8278</v>
      </c>
      <c r="E541" s="1" t="s">
        <v>8280</v>
      </c>
      <c r="F541" s="1">
        <v>2021</v>
      </c>
      <c r="G541" s="1" t="s">
        <v>8281</v>
      </c>
      <c r="H541" s="1" t="str">
        <f>HYPERLINK("http://dx.doi.org/10.1016/j.asr.2021.06.034","http://dx.doi.org/10.1016/j.asr.2021.06.034")</f>
        <v>http://dx.doi.org/10.1016/j.asr.2021.06.034</v>
      </c>
      <c r="I541" s="1" t="s">
        <v>8284</v>
      </c>
      <c r="J541" s="1" t="s">
        <v>8282</v>
      </c>
      <c r="K541" s="1" t="s">
        <v>42</v>
      </c>
      <c r="L541" s="1" t="s">
        <v>56</v>
      </c>
    </row>
    <row r="542" spans="1:12" x14ac:dyDescent="0.3">
      <c r="A542" s="1">
        <v>516</v>
      </c>
      <c r="B542" t="s">
        <v>12118</v>
      </c>
      <c r="C542">
        <v>572</v>
      </c>
      <c r="D542" s="1" t="s">
        <v>7865</v>
      </c>
      <c r="E542" s="1" t="s">
        <v>7867</v>
      </c>
      <c r="F542" s="1">
        <v>2022</v>
      </c>
      <c r="G542" s="1" t="s">
        <v>7650</v>
      </c>
      <c r="H542" s="1" t="s">
        <v>1507</v>
      </c>
      <c r="I542" s="1" t="s">
        <v>7868</v>
      </c>
      <c r="J542" s="1" t="s">
        <v>1507</v>
      </c>
      <c r="K542" s="1" t="s">
        <v>42</v>
      </c>
      <c r="L542" s="1" t="s">
        <v>5552</v>
      </c>
    </row>
    <row r="543" spans="1:12" x14ac:dyDescent="0.3">
      <c r="A543" s="1">
        <v>517</v>
      </c>
      <c r="B543" t="s">
        <v>12118</v>
      </c>
      <c r="C543">
        <v>573</v>
      </c>
      <c r="D543" s="1" t="s">
        <v>11773</v>
      </c>
      <c r="E543" s="1" t="s">
        <v>11775</v>
      </c>
      <c r="F543" s="1">
        <v>2018</v>
      </c>
      <c r="G543" s="1" t="s">
        <v>11776</v>
      </c>
      <c r="H543" s="1" t="str">
        <f>HYPERLINK("http://dx.doi.org/10.1122/1.5017674","http://dx.doi.org/10.1122/1.5017674")</f>
        <v>http://dx.doi.org/10.1122/1.5017674</v>
      </c>
      <c r="I543" s="1" t="s">
        <v>11778</v>
      </c>
      <c r="J543" s="1" t="s">
        <v>1507</v>
      </c>
      <c r="K543" s="1" t="s">
        <v>42</v>
      </c>
      <c r="L543" s="1" t="s">
        <v>56</v>
      </c>
    </row>
    <row r="544" spans="1:12" x14ac:dyDescent="0.3">
      <c r="A544" s="1">
        <v>518</v>
      </c>
      <c r="B544" t="s">
        <v>12118</v>
      </c>
      <c r="C544">
        <v>574</v>
      </c>
      <c r="D544" s="1" t="s">
        <v>10164</v>
      </c>
      <c r="E544" s="1" t="s">
        <v>10166</v>
      </c>
      <c r="F544" s="1">
        <v>2020</v>
      </c>
      <c r="G544" s="1" t="s">
        <v>10167</v>
      </c>
      <c r="H544" s="1" t="str">
        <f>HYPERLINK("http://dx.doi.org/10.1016/j.jcjq.2019.11.004","http://dx.doi.org/10.1016/j.jcjq.2019.11.004")</f>
        <v>http://dx.doi.org/10.1016/j.jcjq.2019.11.004</v>
      </c>
      <c r="I544" s="1" t="s">
        <v>10169</v>
      </c>
      <c r="J544" s="1" t="s">
        <v>1507</v>
      </c>
      <c r="K544" s="1" t="s">
        <v>42</v>
      </c>
      <c r="L544" s="1" t="s">
        <v>56</v>
      </c>
    </row>
    <row r="545" spans="1:12" x14ac:dyDescent="0.3">
      <c r="A545" s="1">
        <v>519</v>
      </c>
      <c r="B545" t="s">
        <v>12118</v>
      </c>
      <c r="C545">
        <v>576</v>
      </c>
      <c r="D545" s="1" t="s">
        <v>11795</v>
      </c>
      <c r="E545" s="1" t="s">
        <v>11797</v>
      </c>
      <c r="F545" s="1">
        <v>2018</v>
      </c>
      <c r="G545" s="1" t="s">
        <v>11798</v>
      </c>
      <c r="H545" s="1" t="str">
        <f>HYPERLINK("http://dx.doi.org/10.1093/cid/cix900","http://dx.doi.org/10.1093/cid/cix900")</f>
        <v>http://dx.doi.org/10.1093/cid/cix900</v>
      </c>
      <c r="I545" s="1" t="s">
        <v>11801</v>
      </c>
      <c r="J545" s="1" t="s">
        <v>11799</v>
      </c>
      <c r="K545" s="1" t="s">
        <v>42</v>
      </c>
      <c r="L545" s="1" t="s">
        <v>56</v>
      </c>
    </row>
    <row r="546" spans="1:12" x14ac:dyDescent="0.3">
      <c r="A546" s="1">
        <v>520</v>
      </c>
      <c r="B546" t="s">
        <v>12118</v>
      </c>
      <c r="C546">
        <v>577</v>
      </c>
      <c r="D546" s="1" t="s">
        <v>6426</v>
      </c>
      <c r="E546" s="1" t="s">
        <v>6429</v>
      </c>
      <c r="F546" s="1">
        <v>2023</v>
      </c>
      <c r="G546" s="1" t="s">
        <v>6430</v>
      </c>
      <c r="H546" s="1" t="str">
        <f>HYPERLINK("http://dx.doi.org/10.1007/978-3-031-38499-8_29","http://dx.doi.org/10.1007/978-3-031-38499-8_29")</f>
        <v>http://dx.doi.org/10.1007/978-3-031-38499-8_29</v>
      </c>
      <c r="I546" s="1" t="s">
        <v>6436</v>
      </c>
      <c r="J546" s="1" t="s">
        <v>1507</v>
      </c>
      <c r="K546" s="1" t="s">
        <v>42</v>
      </c>
      <c r="L546" s="1" t="s">
        <v>5552</v>
      </c>
    </row>
    <row r="547" spans="1:12" x14ac:dyDescent="0.3">
      <c r="A547" s="1">
        <v>522</v>
      </c>
      <c r="B547" t="s">
        <v>12118</v>
      </c>
      <c r="C547">
        <v>580</v>
      </c>
      <c r="D547" s="1" t="s">
        <v>3019</v>
      </c>
      <c r="E547" s="1" t="s">
        <v>3021</v>
      </c>
      <c r="F547" s="1">
        <v>2023</v>
      </c>
      <c r="G547" s="1" t="s">
        <v>3022</v>
      </c>
      <c r="H547" s="1" t="str">
        <f>HYPERLINK("http://dx.doi.org/10.1016/j.xops.2023.100394","http://dx.doi.org/10.1016/j.xops.2023.100394")</f>
        <v>http://dx.doi.org/10.1016/j.xops.2023.100394</v>
      </c>
      <c r="I547" s="1" t="s">
        <v>3023</v>
      </c>
      <c r="J547" s="1" t="s">
        <v>1507</v>
      </c>
      <c r="K547" s="1" t="s">
        <v>42</v>
      </c>
      <c r="L547" s="1" t="s">
        <v>56</v>
      </c>
    </row>
    <row r="548" spans="1:12" x14ac:dyDescent="0.3">
      <c r="A548" s="1">
        <v>523</v>
      </c>
      <c r="B548" t="s">
        <v>12118</v>
      </c>
      <c r="C548">
        <v>581</v>
      </c>
      <c r="D548" s="1" t="s">
        <v>15372</v>
      </c>
      <c r="E548" s="1" t="s">
        <v>15375</v>
      </c>
      <c r="F548" s="1">
        <v>2023</v>
      </c>
      <c r="G548" s="1" t="s">
        <v>15376</v>
      </c>
      <c r="H548" s="1" t="str">
        <f>HYPERLINK("http://dx.doi.org/10.1007/978-3-031-47240-4_19","http://dx.doi.org/10.1007/978-3-031-47240-4_19")</f>
        <v>http://dx.doi.org/10.1007/978-3-031-47240-4_19</v>
      </c>
      <c r="I548" s="1" t="s">
        <v>15381</v>
      </c>
      <c r="J548" s="1" t="s">
        <v>15380</v>
      </c>
      <c r="K548" s="1" t="s">
        <v>42</v>
      </c>
      <c r="L548" s="1" t="s">
        <v>5552</v>
      </c>
    </row>
    <row r="549" spans="1:12" x14ac:dyDescent="0.3">
      <c r="A549" s="1">
        <v>524</v>
      </c>
      <c r="B549" t="s">
        <v>12118</v>
      </c>
      <c r="C549">
        <v>582</v>
      </c>
      <c r="D549" s="1" t="s">
        <v>15395</v>
      </c>
      <c r="E549" s="1" t="s">
        <v>15397</v>
      </c>
      <c r="F549" s="1">
        <v>2023</v>
      </c>
      <c r="G549" s="1" t="s">
        <v>15398</v>
      </c>
      <c r="H549" s="1" t="str">
        <f>HYPERLINK("http://dx.doi.org/10.1109/ICCV51070.2023.00285","http://dx.doi.org/10.1109/ICCV51070.2023.00285")</f>
        <v>http://dx.doi.org/10.1109/ICCV51070.2023.00285</v>
      </c>
      <c r="I549" s="1" t="s">
        <v>15404</v>
      </c>
      <c r="J549" s="1" t="s">
        <v>1507</v>
      </c>
      <c r="K549" s="1" t="s">
        <v>42</v>
      </c>
      <c r="L549" s="1" t="s">
        <v>5552</v>
      </c>
    </row>
    <row r="550" spans="1:12" x14ac:dyDescent="0.3">
      <c r="A550" s="1">
        <v>525</v>
      </c>
      <c r="B550" t="s">
        <v>12118</v>
      </c>
      <c r="C550">
        <v>583</v>
      </c>
      <c r="D550" s="1" t="s">
        <v>6889</v>
      </c>
      <c r="E550" s="1" t="s">
        <v>6891</v>
      </c>
      <c r="F550" s="1">
        <v>2022</v>
      </c>
      <c r="G550" s="1" t="s">
        <v>6892</v>
      </c>
      <c r="H550" s="1" t="str">
        <f>HYPERLINK("http://dx.doi.org/10.1021/acs.est.2c01973","http://dx.doi.org/10.1021/acs.est.2c01973")</f>
        <v>http://dx.doi.org/10.1021/acs.est.2c01973</v>
      </c>
      <c r="I550" s="1" t="s">
        <v>6895</v>
      </c>
      <c r="J550" s="1" t="s">
        <v>6893</v>
      </c>
      <c r="K550" s="1" t="s">
        <v>42</v>
      </c>
      <c r="L550" s="1" t="s">
        <v>56</v>
      </c>
    </row>
    <row r="551" spans="1:12" x14ac:dyDescent="0.3">
      <c r="A551" s="1">
        <v>526</v>
      </c>
      <c r="B551" t="s">
        <v>12118</v>
      </c>
      <c r="C551">
        <v>584</v>
      </c>
      <c r="D551" s="1" t="s">
        <v>9368</v>
      </c>
      <c r="E551" s="1" t="s">
        <v>9370</v>
      </c>
      <c r="F551" s="1">
        <v>2020</v>
      </c>
      <c r="G551" s="1" t="s">
        <v>9371</v>
      </c>
      <c r="H551" s="1" t="str">
        <f>HYPERLINK("http://dx.doi.org/10.1021/acs.inorgchem.0c03014","http://dx.doi.org/10.1021/acs.inorgchem.0c03014")</f>
        <v>http://dx.doi.org/10.1021/acs.inorgchem.0c03014</v>
      </c>
      <c r="I551" s="1" t="s">
        <v>9373</v>
      </c>
      <c r="J551" s="1" t="s">
        <v>1507</v>
      </c>
      <c r="K551" s="1" t="s">
        <v>42</v>
      </c>
      <c r="L551" s="1" t="s">
        <v>56</v>
      </c>
    </row>
    <row r="552" spans="1:12" x14ac:dyDescent="0.3">
      <c r="A552" s="1">
        <v>528</v>
      </c>
      <c r="B552" t="s">
        <v>12118</v>
      </c>
      <c r="C552">
        <v>587</v>
      </c>
      <c r="D552" s="1" t="s">
        <v>11554</v>
      </c>
      <c r="E552" s="1" t="s">
        <v>11556</v>
      </c>
      <c r="F552" s="1">
        <v>2018</v>
      </c>
      <c r="G552" s="1" t="s">
        <v>11557</v>
      </c>
      <c r="H552" s="1" t="str">
        <f>HYPERLINK("http://dx.doi.org/10.1038/s41564-018-0240-5","http://dx.doi.org/10.1038/s41564-018-0240-5")</f>
        <v>http://dx.doi.org/10.1038/s41564-018-0240-5</v>
      </c>
      <c r="I552" s="1" t="s">
        <v>11559</v>
      </c>
      <c r="J552" s="1" t="s">
        <v>1507</v>
      </c>
      <c r="K552" s="1" t="s">
        <v>42</v>
      </c>
      <c r="L552" s="1" t="s">
        <v>56</v>
      </c>
    </row>
    <row r="553" spans="1:12" x14ac:dyDescent="0.3">
      <c r="A553" s="1">
        <v>529</v>
      </c>
      <c r="B553" t="s">
        <v>12118</v>
      </c>
      <c r="C553">
        <v>588</v>
      </c>
      <c r="D553" s="1" t="s">
        <v>7876</v>
      </c>
      <c r="E553" s="1" t="s">
        <v>7879</v>
      </c>
      <c r="F553" s="1">
        <v>2022</v>
      </c>
      <c r="G553" s="1" t="s">
        <v>7880</v>
      </c>
      <c r="H553" s="1" t="str">
        <f>HYPERLINK("http://dx.doi.org/10.1109/CVPR52688.2022.01739","http://dx.doi.org/10.1109/CVPR52688.2022.01739")</f>
        <v>http://dx.doi.org/10.1109/CVPR52688.2022.01739</v>
      </c>
      <c r="I553" s="1" t="s">
        <v>7883</v>
      </c>
      <c r="J553" s="1" t="s">
        <v>1507</v>
      </c>
      <c r="K553" s="1" t="s">
        <v>42</v>
      </c>
      <c r="L553" s="1" t="s">
        <v>5552</v>
      </c>
    </row>
    <row r="554" spans="1:12" x14ac:dyDescent="0.3">
      <c r="A554" s="1">
        <v>531</v>
      </c>
      <c r="B554" t="s">
        <v>12118</v>
      </c>
      <c r="C554">
        <v>592</v>
      </c>
      <c r="D554" s="1" t="s">
        <v>3213</v>
      </c>
      <c r="E554" s="1" t="s">
        <v>3215</v>
      </c>
      <c r="F554" s="1">
        <v>2023</v>
      </c>
      <c r="G554" s="1" t="s">
        <v>1657</v>
      </c>
      <c r="H554" s="1" t="str">
        <f>HYPERLINK("http://dx.doi.org/10.2196/49949","http://dx.doi.org/10.2196/49949")</f>
        <v>http://dx.doi.org/10.2196/49949</v>
      </c>
      <c r="I554" s="1" t="s">
        <v>3218</v>
      </c>
      <c r="J554" s="1" t="s">
        <v>3216</v>
      </c>
      <c r="K554" s="1" t="s">
        <v>42</v>
      </c>
      <c r="L554" s="1" t="s">
        <v>56</v>
      </c>
    </row>
    <row r="555" spans="1:12" x14ac:dyDescent="0.3">
      <c r="A555" s="1">
        <v>532</v>
      </c>
      <c r="B555" t="s">
        <v>12118</v>
      </c>
      <c r="C555">
        <v>593</v>
      </c>
      <c r="D555" s="1" t="s">
        <v>5049</v>
      </c>
      <c r="E555" s="1" t="s">
        <v>5051</v>
      </c>
      <c r="F555" s="1">
        <v>2023</v>
      </c>
      <c r="G555" s="1" t="s">
        <v>5052</v>
      </c>
      <c r="H555" s="1" t="str">
        <f>HYPERLINK("http://dx.doi.org/10.1353/hrq.2023.0015","http://dx.doi.org/10.1353/hrq.2023.0015")</f>
        <v>http://dx.doi.org/10.1353/hrq.2023.0015</v>
      </c>
      <c r="I555" s="1" t="s">
        <v>5054</v>
      </c>
      <c r="J555" s="1" t="s">
        <v>1507</v>
      </c>
      <c r="K555" s="1" t="s">
        <v>42</v>
      </c>
      <c r="L555" s="1" t="s">
        <v>56</v>
      </c>
    </row>
    <row r="556" spans="1:12" x14ac:dyDescent="0.3">
      <c r="A556" s="1">
        <v>534</v>
      </c>
      <c r="B556" t="s">
        <v>12118</v>
      </c>
      <c r="C556">
        <v>596</v>
      </c>
      <c r="D556" s="1" t="s">
        <v>8813</v>
      </c>
      <c r="E556" s="1" t="s">
        <v>8815</v>
      </c>
      <c r="F556" s="1">
        <v>2021</v>
      </c>
      <c r="G556" s="1" t="s">
        <v>8816</v>
      </c>
      <c r="H556" s="1" t="str">
        <f>HYPERLINK("http://dx.doi.org/10.1016/j.oceano.2020.11.004","http://dx.doi.org/10.1016/j.oceano.2020.11.004")</f>
        <v>http://dx.doi.org/10.1016/j.oceano.2020.11.004</v>
      </c>
      <c r="I556" s="1" t="s">
        <v>8818</v>
      </c>
      <c r="J556" s="1" t="s">
        <v>8817</v>
      </c>
      <c r="K556" s="1" t="s">
        <v>42</v>
      </c>
      <c r="L556" s="1" t="s">
        <v>56</v>
      </c>
    </row>
    <row r="557" spans="1:12" x14ac:dyDescent="0.3">
      <c r="A557" s="1">
        <v>535</v>
      </c>
      <c r="B557" t="s">
        <v>12118</v>
      </c>
      <c r="C557">
        <v>597</v>
      </c>
      <c r="D557" s="1" t="s">
        <v>1819</v>
      </c>
      <c r="E557" s="1" t="s">
        <v>1821</v>
      </c>
      <c r="F557" s="1">
        <v>2023</v>
      </c>
      <c r="G557" s="1" t="s">
        <v>1822</v>
      </c>
      <c r="H557" s="1" t="str">
        <f>HYPERLINK("http://dx.doi.org/10.1111/btp.13290","http://dx.doi.org/10.1111/btp.13290")</f>
        <v>http://dx.doi.org/10.1111/btp.13290</v>
      </c>
      <c r="I557" s="1" t="s">
        <v>1825</v>
      </c>
      <c r="J557" s="1" t="s">
        <v>1823</v>
      </c>
      <c r="K557" s="1" t="s">
        <v>42</v>
      </c>
      <c r="L557" s="1" t="s">
        <v>1509</v>
      </c>
    </row>
    <row r="558" spans="1:12" x14ac:dyDescent="0.3">
      <c r="A558" s="1">
        <v>537</v>
      </c>
      <c r="B558" t="s">
        <v>12118</v>
      </c>
      <c r="C558">
        <v>601</v>
      </c>
      <c r="D558" s="1" t="s">
        <v>4926</v>
      </c>
      <c r="E558" s="1" t="s">
        <v>4928</v>
      </c>
      <c r="F558" s="1">
        <v>2023</v>
      </c>
      <c r="G558" s="1" t="s">
        <v>4929</v>
      </c>
      <c r="H558" s="1" t="str">
        <f>HYPERLINK("http://dx.doi.org/10.1111/1756-185X.14749","http://dx.doi.org/10.1111/1756-185X.14749")</f>
        <v>http://dx.doi.org/10.1111/1756-185X.14749</v>
      </c>
      <c r="I558" s="1" t="s">
        <v>4930</v>
      </c>
      <c r="J558" s="1" t="s">
        <v>220</v>
      </c>
      <c r="K558" s="1" t="s">
        <v>42</v>
      </c>
      <c r="L558" s="1" t="s">
        <v>56</v>
      </c>
    </row>
    <row r="559" spans="1:12" x14ac:dyDescent="0.3">
      <c r="A559" s="1">
        <v>538</v>
      </c>
      <c r="B559" t="s">
        <v>12118</v>
      </c>
      <c r="C559">
        <v>602</v>
      </c>
      <c r="D559" s="1" t="s">
        <v>6487</v>
      </c>
      <c r="E559" s="1" t="s">
        <v>6489</v>
      </c>
      <c r="F559" s="1">
        <v>2023</v>
      </c>
      <c r="G559" s="1" t="s">
        <v>6490</v>
      </c>
      <c r="H559" s="1" t="str">
        <f>HYPERLINK("http://dx.doi.org/10.4025/actasciagron.v45i1.56160","http://dx.doi.org/10.4025/actasciagron.v45i1.56160")</f>
        <v>http://dx.doi.org/10.4025/actasciagron.v45i1.56160</v>
      </c>
      <c r="I559" s="1" t="s">
        <v>6493</v>
      </c>
      <c r="J559" s="1" t="s">
        <v>6491</v>
      </c>
      <c r="K559" s="1" t="s">
        <v>42</v>
      </c>
      <c r="L559" s="1" t="s">
        <v>56</v>
      </c>
    </row>
    <row r="560" spans="1:12" x14ac:dyDescent="0.3">
      <c r="A560" s="1">
        <v>539</v>
      </c>
      <c r="B560" t="s">
        <v>12118</v>
      </c>
      <c r="C560">
        <v>603</v>
      </c>
      <c r="D560" s="1" t="s">
        <v>2681</v>
      </c>
      <c r="E560" s="1" t="s">
        <v>2683</v>
      </c>
      <c r="F560" s="1">
        <v>2023</v>
      </c>
      <c r="G560" s="1" t="s">
        <v>2684</v>
      </c>
      <c r="H560" s="1" t="str">
        <f>HYPERLINK("http://dx.doi.org/10.1002/icd.2478","http://dx.doi.org/10.1002/icd.2478")</f>
        <v>http://dx.doi.org/10.1002/icd.2478</v>
      </c>
      <c r="I560" s="1" t="s">
        <v>2686</v>
      </c>
      <c r="J560" s="1" t="s">
        <v>1507</v>
      </c>
      <c r="K560" s="1" t="s">
        <v>42</v>
      </c>
      <c r="L560" s="1" t="s">
        <v>56</v>
      </c>
    </row>
    <row r="561" spans="1:12" x14ac:dyDescent="0.3">
      <c r="A561" s="1">
        <v>540</v>
      </c>
      <c r="B561" t="s">
        <v>12118</v>
      </c>
      <c r="C561">
        <v>604</v>
      </c>
      <c r="D561" s="1" t="s">
        <v>5366</v>
      </c>
      <c r="E561" s="1" t="s">
        <v>5368</v>
      </c>
      <c r="F561" s="1">
        <v>2023</v>
      </c>
      <c r="G561" s="1" t="s">
        <v>5369</v>
      </c>
      <c r="H561" s="1" t="str">
        <f>HYPERLINK("http://dx.doi.org/10.1055/s-0043-1761280","http://dx.doi.org/10.1055/s-0043-1761280")</f>
        <v>http://dx.doi.org/10.1055/s-0043-1761280</v>
      </c>
      <c r="I561" s="1" t="s">
        <v>5372</v>
      </c>
      <c r="J561" s="1" t="s">
        <v>5370</v>
      </c>
      <c r="K561" s="1" t="s">
        <v>42</v>
      </c>
      <c r="L561" s="1" t="s">
        <v>1509</v>
      </c>
    </row>
    <row r="562" spans="1:12" x14ac:dyDescent="0.3">
      <c r="A562" s="1">
        <v>542</v>
      </c>
      <c r="B562" t="s">
        <v>12118</v>
      </c>
      <c r="C562">
        <v>606</v>
      </c>
      <c r="D562" s="1" t="s">
        <v>3373</v>
      </c>
      <c r="E562" s="1" t="s">
        <v>3375</v>
      </c>
      <c r="F562" s="1">
        <v>2023</v>
      </c>
      <c r="G562" s="1" t="s">
        <v>3376</v>
      </c>
      <c r="H562" s="1" t="str">
        <f>HYPERLINK("http://dx.doi.org/10.1002/prep.202300109","http://dx.doi.org/10.1002/prep.202300109")</f>
        <v>http://dx.doi.org/10.1002/prep.202300109</v>
      </c>
      <c r="I562" s="1" t="s">
        <v>3378</v>
      </c>
      <c r="J562" s="1" t="s">
        <v>3377</v>
      </c>
      <c r="K562" s="1" t="s">
        <v>42</v>
      </c>
      <c r="L562" s="1" t="s">
        <v>1509</v>
      </c>
    </row>
    <row r="563" spans="1:12" x14ac:dyDescent="0.3">
      <c r="A563" s="1">
        <v>544</v>
      </c>
      <c r="B563" t="s">
        <v>12118</v>
      </c>
      <c r="C563">
        <v>609</v>
      </c>
      <c r="D563" s="1" t="s">
        <v>11483</v>
      </c>
      <c r="E563" s="1" t="s">
        <v>11485</v>
      </c>
      <c r="F563" s="1">
        <v>2019</v>
      </c>
      <c r="G563" s="1" t="s">
        <v>11486</v>
      </c>
      <c r="H563" s="1" t="str">
        <f>HYPERLINK("http://dx.doi.org/10.1590/rbz4820180131","http://dx.doi.org/10.1590/rbz4820180131")</f>
        <v>http://dx.doi.org/10.1590/rbz4820180131</v>
      </c>
      <c r="I563" s="1" t="s">
        <v>11489</v>
      </c>
      <c r="J563" s="1" t="s">
        <v>11487</v>
      </c>
      <c r="K563" s="1" t="s">
        <v>42</v>
      </c>
      <c r="L563" s="1" t="s">
        <v>56</v>
      </c>
    </row>
    <row r="564" spans="1:12" x14ac:dyDescent="0.3">
      <c r="A564" s="1">
        <v>545</v>
      </c>
      <c r="B564" t="s">
        <v>12118</v>
      </c>
      <c r="C564">
        <v>610</v>
      </c>
      <c r="D564" s="1" t="s">
        <v>6515</v>
      </c>
      <c r="E564" s="1" t="s">
        <v>6517</v>
      </c>
      <c r="F564" s="1">
        <v>2023</v>
      </c>
      <c r="G564" s="1" t="s">
        <v>6518</v>
      </c>
      <c r="H564" s="1" t="str">
        <f>HYPERLINK("http://dx.doi.org/10.2196/51873","http://dx.doi.org/10.2196/51873")</f>
        <v>http://dx.doi.org/10.2196/51873</v>
      </c>
      <c r="I564" s="1" t="s">
        <v>6520</v>
      </c>
      <c r="J564" s="1" t="s">
        <v>6519</v>
      </c>
      <c r="K564" s="1" t="s">
        <v>42</v>
      </c>
      <c r="L564" s="1" t="s">
        <v>56</v>
      </c>
    </row>
    <row r="565" spans="1:12" x14ac:dyDescent="0.3">
      <c r="A565" s="1">
        <v>546</v>
      </c>
      <c r="B565" t="s">
        <v>12118</v>
      </c>
      <c r="C565">
        <v>611</v>
      </c>
      <c r="D565" s="1" t="s">
        <v>10790</v>
      </c>
      <c r="E565" s="1" t="s">
        <v>10792</v>
      </c>
      <c r="F565" s="1">
        <v>2019</v>
      </c>
      <c r="G565" s="1" t="s">
        <v>10793</v>
      </c>
      <c r="H565" s="1" t="str">
        <f>HYPERLINK("http://dx.doi.org/10.21577/0103-5053.20190083","http://dx.doi.org/10.21577/0103-5053.20190083")</f>
        <v>http://dx.doi.org/10.21577/0103-5053.20190083</v>
      </c>
      <c r="I565" s="1" t="s">
        <v>10796</v>
      </c>
      <c r="J565" s="1" t="s">
        <v>10794</v>
      </c>
      <c r="K565" s="1" t="s">
        <v>42</v>
      </c>
      <c r="L565" s="1" t="s">
        <v>56</v>
      </c>
    </row>
    <row r="566" spans="1:12" x14ac:dyDescent="0.3">
      <c r="A566" s="1">
        <v>547</v>
      </c>
      <c r="B566" t="s">
        <v>12118</v>
      </c>
      <c r="C566">
        <v>612</v>
      </c>
      <c r="D566" s="1" t="s">
        <v>10387</v>
      </c>
      <c r="E566" s="1" t="s">
        <v>10390</v>
      </c>
      <c r="F566" s="1">
        <v>2020</v>
      </c>
      <c r="G566" s="1" t="s">
        <v>10391</v>
      </c>
      <c r="H566" s="1" t="str">
        <f>HYPERLINK("http://dx.doi.org/10.3233/FAIA200603","http://dx.doi.org/10.3233/FAIA200603")</f>
        <v>http://dx.doi.org/10.3233/FAIA200603</v>
      </c>
      <c r="I566" s="1" t="s">
        <v>10399</v>
      </c>
      <c r="J566" s="1" t="s">
        <v>10398</v>
      </c>
      <c r="K566" s="1" t="s">
        <v>42</v>
      </c>
      <c r="L566" s="1" t="s">
        <v>5552</v>
      </c>
    </row>
    <row r="567" spans="1:12" x14ac:dyDescent="0.3">
      <c r="A567" s="1">
        <v>548</v>
      </c>
      <c r="B567" t="s">
        <v>12118</v>
      </c>
      <c r="C567">
        <v>614</v>
      </c>
      <c r="D567" s="1" t="s">
        <v>15422</v>
      </c>
      <c r="E567" s="1" t="s">
        <v>15424</v>
      </c>
      <c r="F567" s="1">
        <v>2023</v>
      </c>
      <c r="G567" s="1" t="s">
        <v>15425</v>
      </c>
      <c r="H567" s="1" t="s">
        <v>1507</v>
      </c>
      <c r="I567" s="1" t="s">
        <v>15431</v>
      </c>
      <c r="J567" s="1" t="s">
        <v>15430</v>
      </c>
      <c r="K567" s="1" t="s">
        <v>42</v>
      </c>
      <c r="L567" s="1" t="s">
        <v>5552</v>
      </c>
    </row>
    <row r="568" spans="1:12" x14ac:dyDescent="0.3">
      <c r="A568" s="1">
        <v>549</v>
      </c>
      <c r="B568" t="s">
        <v>12118</v>
      </c>
      <c r="C568">
        <v>615</v>
      </c>
      <c r="D568" s="1" t="s">
        <v>10415</v>
      </c>
      <c r="E568" s="1" t="s">
        <v>10417</v>
      </c>
      <c r="F568" s="1">
        <v>2020</v>
      </c>
      <c r="G568" s="1" t="s">
        <v>10418</v>
      </c>
      <c r="H568" s="1" t="s">
        <v>1507</v>
      </c>
      <c r="I568" s="1" t="s">
        <v>10419</v>
      </c>
      <c r="J568" s="1" t="s">
        <v>1507</v>
      </c>
      <c r="K568" s="1" t="s">
        <v>42</v>
      </c>
      <c r="L568" s="1" t="s">
        <v>56</v>
      </c>
    </row>
    <row r="569" spans="1:12" x14ac:dyDescent="0.3">
      <c r="A569" s="1">
        <v>550</v>
      </c>
      <c r="B569" t="s">
        <v>12118</v>
      </c>
      <c r="C569">
        <v>616</v>
      </c>
      <c r="D569" s="1" t="s">
        <v>8663</v>
      </c>
      <c r="E569" s="1" t="s">
        <v>8665</v>
      </c>
      <c r="F569" s="1">
        <v>2021</v>
      </c>
      <c r="G569" s="1" t="s">
        <v>8666</v>
      </c>
      <c r="H569" s="1" t="str">
        <f>HYPERLINK("http://dx.doi.org/10.1172/jci.insight.147832","http://dx.doi.org/10.1172/jci.insight.147832")</f>
        <v>http://dx.doi.org/10.1172/jci.insight.147832</v>
      </c>
      <c r="I569" s="1" t="s">
        <v>8668</v>
      </c>
      <c r="J569" s="1" t="s">
        <v>1507</v>
      </c>
      <c r="K569" s="1" t="s">
        <v>42</v>
      </c>
      <c r="L569" s="1" t="s">
        <v>56</v>
      </c>
    </row>
    <row r="570" spans="1:12" x14ac:dyDescent="0.3">
      <c r="A570" s="1">
        <v>551</v>
      </c>
      <c r="B570" t="s">
        <v>12118</v>
      </c>
      <c r="C570">
        <v>617</v>
      </c>
      <c r="D570" s="1" t="s">
        <v>11178</v>
      </c>
      <c r="E570" s="1" t="s">
        <v>11180</v>
      </c>
      <c r="F570" s="1">
        <v>2019</v>
      </c>
      <c r="G570" s="1" t="s">
        <v>11181</v>
      </c>
      <c r="H570" s="1" t="s">
        <v>1507</v>
      </c>
      <c r="I570" s="1" t="s">
        <v>11183</v>
      </c>
      <c r="J570" s="1" t="s">
        <v>1507</v>
      </c>
      <c r="K570" s="1" t="s">
        <v>42</v>
      </c>
      <c r="L570" s="1" t="s">
        <v>56</v>
      </c>
    </row>
    <row r="571" spans="1:12" x14ac:dyDescent="0.3">
      <c r="A571" s="1">
        <v>553</v>
      </c>
      <c r="B571" t="s">
        <v>12118</v>
      </c>
      <c r="C571">
        <v>618</v>
      </c>
      <c r="D571" s="1" t="s">
        <v>2321</v>
      </c>
      <c r="E571" s="1" t="s">
        <v>2323</v>
      </c>
      <c r="F571" s="1">
        <v>2023</v>
      </c>
      <c r="G571" s="1" t="s">
        <v>2324</v>
      </c>
      <c r="H571" s="1" t="s">
        <v>1507</v>
      </c>
      <c r="I571" s="1" t="s">
        <v>2325</v>
      </c>
      <c r="J571" s="1" t="s">
        <v>1507</v>
      </c>
      <c r="K571" s="1" t="s">
        <v>42</v>
      </c>
      <c r="L571" s="1" t="s">
        <v>56</v>
      </c>
    </row>
    <row r="572" spans="1:12" x14ac:dyDescent="0.3">
      <c r="A572" s="1">
        <v>554</v>
      </c>
      <c r="B572" t="s">
        <v>12118</v>
      </c>
      <c r="C572">
        <v>621</v>
      </c>
      <c r="D572" s="1" t="s">
        <v>6994</v>
      </c>
      <c r="E572" s="1" t="s">
        <v>6996</v>
      </c>
      <c r="F572" s="1">
        <v>2022</v>
      </c>
      <c r="G572" s="1" t="s">
        <v>6997</v>
      </c>
      <c r="H572" s="1" t="s">
        <v>1507</v>
      </c>
      <c r="I572" s="1" t="s">
        <v>6999</v>
      </c>
      <c r="J572" s="1" t="s">
        <v>6998</v>
      </c>
      <c r="K572" s="1" t="s">
        <v>42</v>
      </c>
      <c r="L572" s="1" t="s">
        <v>56</v>
      </c>
    </row>
    <row r="573" spans="1:12" x14ac:dyDescent="0.3">
      <c r="A573" s="1">
        <v>555</v>
      </c>
      <c r="B573" t="s">
        <v>12118</v>
      </c>
      <c r="C573">
        <v>622</v>
      </c>
      <c r="D573" s="1" t="s">
        <v>7940</v>
      </c>
      <c r="E573" s="1" t="s">
        <v>7942</v>
      </c>
      <c r="F573" s="1">
        <v>2022</v>
      </c>
      <c r="G573" s="1" t="s">
        <v>7943</v>
      </c>
      <c r="H573" s="1" t="str">
        <f>HYPERLINK("http://dx.doi.org/10.1039/d1cp04076f","http://dx.doi.org/10.1039/d1cp04076f")</f>
        <v>http://dx.doi.org/10.1039/d1cp04076f</v>
      </c>
      <c r="I573" s="1" t="s">
        <v>7945</v>
      </c>
      <c r="J573" s="1" t="s">
        <v>1507</v>
      </c>
      <c r="K573" s="1" t="s">
        <v>42</v>
      </c>
      <c r="L573" s="1" t="s">
        <v>56</v>
      </c>
    </row>
    <row r="574" spans="1:12" x14ac:dyDescent="0.3">
      <c r="A574" s="1">
        <v>556</v>
      </c>
      <c r="B574" t="s">
        <v>12118</v>
      </c>
      <c r="C574">
        <v>623</v>
      </c>
      <c r="D574" s="1" t="s">
        <v>2477</v>
      </c>
      <c r="E574" s="1" t="s">
        <v>2479</v>
      </c>
      <c r="F574" s="1">
        <v>2023</v>
      </c>
      <c r="G574" s="1" t="s">
        <v>2480</v>
      </c>
      <c r="H574" s="1" t="str">
        <f>HYPERLINK("http://dx.doi.org/10.1007/s11196-023-10068-1","http://dx.doi.org/10.1007/s11196-023-10068-1")</f>
        <v>http://dx.doi.org/10.1007/s11196-023-10068-1</v>
      </c>
      <c r="I574" s="1" t="s">
        <v>2482</v>
      </c>
      <c r="J574" s="1" t="s">
        <v>2481</v>
      </c>
      <c r="K574" s="1" t="s">
        <v>42</v>
      </c>
      <c r="L574" s="1" t="s">
        <v>1509</v>
      </c>
    </row>
    <row r="575" spans="1:12" x14ac:dyDescent="0.3">
      <c r="A575" s="1">
        <v>558</v>
      </c>
      <c r="B575" t="s">
        <v>12118</v>
      </c>
      <c r="C575">
        <v>624</v>
      </c>
      <c r="D575" s="1" t="s">
        <v>8040</v>
      </c>
      <c r="E575" s="1" t="s">
        <v>8042</v>
      </c>
      <c r="F575" s="1">
        <v>2021</v>
      </c>
      <c r="G575" s="1" t="s">
        <v>8043</v>
      </c>
      <c r="H575" s="1" t="str">
        <f>HYPERLINK("http://dx.doi.org/10.1186/s10020-021-00334-y","http://dx.doi.org/10.1186/s10020-021-00334-y")</f>
        <v>http://dx.doi.org/10.1186/s10020-021-00334-y</v>
      </c>
      <c r="I575" s="1" t="s">
        <v>8046</v>
      </c>
      <c r="J575" s="1" t="s">
        <v>8044</v>
      </c>
      <c r="K575" s="1" t="s">
        <v>42</v>
      </c>
      <c r="L575" s="1" t="s">
        <v>56</v>
      </c>
    </row>
    <row r="576" spans="1:12" x14ac:dyDescent="0.3">
      <c r="A576" s="1">
        <v>559</v>
      </c>
      <c r="B576" t="s">
        <v>12118</v>
      </c>
      <c r="C576">
        <v>625</v>
      </c>
      <c r="D576" s="1" t="s">
        <v>6535</v>
      </c>
      <c r="E576" s="1" t="s">
        <v>6537</v>
      </c>
      <c r="F576" s="1">
        <v>2023</v>
      </c>
      <c r="G576" s="1" t="s">
        <v>6538</v>
      </c>
      <c r="H576" s="1" t="str">
        <f>HYPERLINK("http://dx.doi.org/10.1177/18344909231213958","http://dx.doi.org/10.1177/18344909231213958")</f>
        <v>http://dx.doi.org/10.1177/18344909231213958</v>
      </c>
      <c r="I576" s="1" t="s">
        <v>6540</v>
      </c>
      <c r="J576" s="1" t="s">
        <v>6539</v>
      </c>
      <c r="K576" s="1" t="s">
        <v>42</v>
      </c>
      <c r="L576" s="1" t="s">
        <v>56</v>
      </c>
    </row>
    <row r="577" spans="1:12" x14ac:dyDescent="0.3">
      <c r="A577" s="1">
        <v>561</v>
      </c>
      <c r="B577" t="s">
        <v>12118</v>
      </c>
      <c r="C577">
        <v>627</v>
      </c>
      <c r="D577" s="1" t="s">
        <v>15443</v>
      </c>
      <c r="E577" s="1" t="s">
        <v>15445</v>
      </c>
      <c r="F577" s="1">
        <v>2023</v>
      </c>
      <c r="G577" s="1" t="s">
        <v>15092</v>
      </c>
      <c r="H577" s="1" t="str">
        <f>HYPERLINK("http://dx.doi.org/10.1145/3583780.3614993","http://dx.doi.org/10.1145/3583780.3614993")</f>
        <v>http://dx.doi.org/10.1145/3583780.3614993</v>
      </c>
      <c r="I577" s="1" t="s">
        <v>15447</v>
      </c>
      <c r="J577" s="1" t="s">
        <v>15446</v>
      </c>
      <c r="K577" s="1" t="s">
        <v>42</v>
      </c>
      <c r="L577" s="1" t="s">
        <v>5552</v>
      </c>
    </row>
    <row r="578" spans="1:12" x14ac:dyDescent="0.3">
      <c r="A578" s="1">
        <v>562</v>
      </c>
      <c r="B578" t="s">
        <v>12118</v>
      </c>
      <c r="C578">
        <v>628</v>
      </c>
      <c r="D578" s="1" t="s">
        <v>15457</v>
      </c>
      <c r="E578" s="1" t="s">
        <v>15459</v>
      </c>
      <c r="F578" s="1">
        <v>2023</v>
      </c>
      <c r="G578" s="1" t="s">
        <v>15263</v>
      </c>
      <c r="H578" s="1" t="str">
        <f>HYPERLINK("http://dx.doi.org/10.1109/ICTAI59109.2023.00124","http://dx.doi.org/10.1109/ICTAI59109.2023.00124")</f>
        <v>http://dx.doi.org/10.1109/ICTAI59109.2023.00124</v>
      </c>
      <c r="I578" s="1" t="s">
        <v>15461</v>
      </c>
      <c r="J578" s="1" t="s">
        <v>15460</v>
      </c>
      <c r="K578" s="1" t="s">
        <v>42</v>
      </c>
      <c r="L578" s="1" t="s">
        <v>5552</v>
      </c>
    </row>
    <row r="579" spans="1:12" x14ac:dyDescent="0.3">
      <c r="A579" s="1">
        <v>563</v>
      </c>
      <c r="B579" t="s">
        <v>12118</v>
      </c>
      <c r="C579">
        <v>629</v>
      </c>
      <c r="D579" s="1" t="s">
        <v>8837</v>
      </c>
      <c r="E579" s="1" t="s">
        <v>8839</v>
      </c>
      <c r="F579" s="1">
        <v>2021</v>
      </c>
      <c r="G579" s="1" t="s">
        <v>8840</v>
      </c>
      <c r="H579" s="1" t="s">
        <v>1507</v>
      </c>
      <c r="I579" s="1" t="s">
        <v>8841</v>
      </c>
      <c r="J579" s="1" t="s">
        <v>1507</v>
      </c>
      <c r="K579" s="1" t="s">
        <v>42</v>
      </c>
      <c r="L579" s="1" t="s">
        <v>56</v>
      </c>
    </row>
    <row r="580" spans="1:12" x14ac:dyDescent="0.3">
      <c r="A580" s="1">
        <v>564</v>
      </c>
      <c r="B580" t="s">
        <v>12118</v>
      </c>
      <c r="C580">
        <v>631</v>
      </c>
      <c r="D580" s="1" t="s">
        <v>1713</v>
      </c>
      <c r="E580" s="1" t="s">
        <v>1715</v>
      </c>
      <c r="F580" s="1">
        <v>2023</v>
      </c>
      <c r="G580" s="1" t="s">
        <v>1716</v>
      </c>
      <c r="H580" s="1" t="str">
        <f>HYPERLINK("http://dx.doi.org/10.1007/s40979-023-00146-z","http://dx.doi.org/10.1007/s40979-023-00146-z")</f>
        <v>http://dx.doi.org/10.1007/s40979-023-00146-z</v>
      </c>
      <c r="I580" s="1" t="s">
        <v>1718</v>
      </c>
      <c r="J580" s="1" t="s">
        <v>1717</v>
      </c>
      <c r="K580" s="1" t="s">
        <v>42</v>
      </c>
      <c r="L580" s="1" t="s">
        <v>56</v>
      </c>
    </row>
    <row r="581" spans="1:12" x14ac:dyDescent="0.3">
      <c r="A581" s="1">
        <v>565</v>
      </c>
      <c r="B581" t="s">
        <v>12118</v>
      </c>
      <c r="C581">
        <v>632</v>
      </c>
      <c r="D581" s="1" t="s">
        <v>7301</v>
      </c>
      <c r="E581" s="1" t="s">
        <v>7303</v>
      </c>
      <c r="F581" s="1">
        <v>2022</v>
      </c>
      <c r="G581" s="1" t="s">
        <v>7304</v>
      </c>
      <c r="H581" s="1" t="str">
        <f>HYPERLINK("http://dx.doi.org/10.1108/IJSE-02-2021-0114","http://dx.doi.org/10.1108/IJSE-02-2021-0114")</f>
        <v>http://dx.doi.org/10.1108/IJSE-02-2021-0114</v>
      </c>
      <c r="I581" s="1" t="s">
        <v>7307</v>
      </c>
      <c r="J581" s="1" t="s">
        <v>7305</v>
      </c>
      <c r="K581" s="1" t="s">
        <v>42</v>
      </c>
      <c r="L581" s="1" t="s">
        <v>56</v>
      </c>
    </row>
    <row r="582" spans="1:12" x14ac:dyDescent="0.3">
      <c r="A582" s="1">
        <v>567</v>
      </c>
      <c r="B582" t="s">
        <v>12118</v>
      </c>
      <c r="C582">
        <v>633</v>
      </c>
      <c r="D582" s="1" t="s">
        <v>2341</v>
      </c>
      <c r="E582" s="1" t="s">
        <v>2343</v>
      </c>
      <c r="F582" s="1">
        <v>2023</v>
      </c>
      <c r="G582" s="1" t="s">
        <v>2344</v>
      </c>
      <c r="H582" s="1" t="str">
        <f>HYPERLINK("http://dx.doi.org/10.3390/f14122412","http://dx.doi.org/10.3390/f14122412")</f>
        <v>http://dx.doi.org/10.3390/f14122412</v>
      </c>
      <c r="I582" s="1" t="s">
        <v>2347</v>
      </c>
      <c r="J582" s="1" t="s">
        <v>2345</v>
      </c>
      <c r="K582" s="1" t="s">
        <v>42</v>
      </c>
      <c r="L582" s="1" t="s">
        <v>56</v>
      </c>
    </row>
    <row r="583" spans="1:12" x14ac:dyDescent="0.3">
      <c r="A583" s="1">
        <v>568</v>
      </c>
      <c r="B583" t="s">
        <v>12118</v>
      </c>
      <c r="C583">
        <v>634</v>
      </c>
      <c r="D583" s="1" t="s">
        <v>2959</v>
      </c>
      <c r="E583" s="1" t="s">
        <v>2961</v>
      </c>
      <c r="F583" s="1">
        <v>2023</v>
      </c>
      <c r="G583" s="1" t="s">
        <v>2962</v>
      </c>
      <c r="H583" s="1" t="str">
        <f>HYPERLINK("http://dx.doi.org/10.1016/j.ajp.2023.103808","http://dx.doi.org/10.1016/j.ajp.2023.103808")</f>
        <v>http://dx.doi.org/10.1016/j.ajp.2023.103808</v>
      </c>
      <c r="I583" s="1" t="s">
        <v>2964</v>
      </c>
      <c r="J583" s="1" t="s">
        <v>2963</v>
      </c>
      <c r="K583" s="1" t="s">
        <v>42</v>
      </c>
      <c r="L583" s="1" t="s">
        <v>56</v>
      </c>
    </row>
    <row r="584" spans="1:12" x14ac:dyDescent="0.3">
      <c r="A584" s="1">
        <v>570</v>
      </c>
      <c r="B584" t="s">
        <v>12118</v>
      </c>
      <c r="C584">
        <v>639</v>
      </c>
      <c r="D584" s="1" t="s">
        <v>2539</v>
      </c>
      <c r="E584" s="1" t="s">
        <v>2541</v>
      </c>
      <c r="F584" s="1">
        <v>2023</v>
      </c>
      <c r="G584" s="1" t="s">
        <v>1538</v>
      </c>
      <c r="H584" s="1" t="str">
        <f>HYPERLINK("http://dx.doi.org/10.1162/tacl_a_00608","http://dx.doi.org/10.1162/tacl_a_00608")</f>
        <v>http://dx.doi.org/10.1162/tacl_a_00608</v>
      </c>
      <c r="I584" s="1" t="s">
        <v>2542</v>
      </c>
      <c r="J584" s="1" t="s">
        <v>1507</v>
      </c>
      <c r="K584" s="1" t="s">
        <v>42</v>
      </c>
      <c r="L584" s="1" t="s">
        <v>56</v>
      </c>
    </row>
    <row r="585" spans="1:12" x14ac:dyDescent="0.3">
      <c r="A585" s="1">
        <v>571</v>
      </c>
      <c r="B585" t="s">
        <v>12118</v>
      </c>
      <c r="C585">
        <v>640</v>
      </c>
      <c r="D585" s="1" t="s">
        <v>5222</v>
      </c>
      <c r="E585" s="1" t="s">
        <v>5224</v>
      </c>
      <c r="F585" s="1">
        <v>2023</v>
      </c>
      <c r="G585" s="1" t="s">
        <v>2811</v>
      </c>
      <c r="H585" s="1" t="str">
        <f>HYPERLINK("http://dx.doi.org/10.1111/cogs.13254","http://dx.doi.org/10.1111/cogs.13254")</f>
        <v>http://dx.doi.org/10.1111/cogs.13254</v>
      </c>
      <c r="I585" s="1" t="s">
        <v>5227</v>
      </c>
      <c r="J585" s="1" t="s">
        <v>5225</v>
      </c>
      <c r="K585" s="1" t="s">
        <v>42</v>
      </c>
      <c r="L585" s="1" t="s">
        <v>56</v>
      </c>
    </row>
    <row r="586" spans="1:12" x14ac:dyDescent="0.3">
      <c r="A586" s="1">
        <v>572</v>
      </c>
      <c r="B586" t="s">
        <v>12118</v>
      </c>
      <c r="C586">
        <v>641</v>
      </c>
      <c r="D586" s="1" t="s">
        <v>15471</v>
      </c>
      <c r="E586" s="1" t="s">
        <v>15473</v>
      </c>
      <c r="F586" s="1">
        <v>2023</v>
      </c>
      <c r="G586" s="1" t="s">
        <v>15474</v>
      </c>
      <c r="H586" s="1" t="str">
        <f>HYPERLINK("http://dx.doi.org/10.15219/em100.1617","http://dx.doi.org/10.15219/em100.1617")</f>
        <v>http://dx.doi.org/10.15219/em100.1617</v>
      </c>
      <c r="I586" s="1" t="s">
        <v>15477</v>
      </c>
      <c r="J586" s="1" t="s">
        <v>15476</v>
      </c>
      <c r="K586" s="1" t="s">
        <v>15475</v>
      </c>
      <c r="L586" s="1" t="s">
        <v>56</v>
      </c>
    </row>
    <row r="587" spans="1:12" x14ac:dyDescent="0.3">
      <c r="A587" s="1">
        <v>574</v>
      </c>
      <c r="B587" t="s">
        <v>12118</v>
      </c>
      <c r="C587">
        <v>642</v>
      </c>
      <c r="D587" s="1" t="s">
        <v>8063</v>
      </c>
      <c r="E587" s="1" t="s">
        <v>8065</v>
      </c>
      <c r="F587" s="1">
        <v>2022</v>
      </c>
      <c r="G587" s="1" t="s">
        <v>8066</v>
      </c>
      <c r="H587" s="1" t="str">
        <f>HYPERLINK("http://dx.doi.org/10.1016/j.canlet.2021.10.039","http://dx.doi.org/10.1016/j.canlet.2021.10.039")</f>
        <v>http://dx.doi.org/10.1016/j.canlet.2021.10.039</v>
      </c>
      <c r="I587" s="1" t="s">
        <v>8069</v>
      </c>
      <c r="J587" s="1" t="s">
        <v>8067</v>
      </c>
      <c r="K587" s="1" t="s">
        <v>42</v>
      </c>
      <c r="L587" s="1" t="s">
        <v>56</v>
      </c>
    </row>
    <row r="588" spans="1:12" x14ac:dyDescent="0.3">
      <c r="A588" s="1">
        <v>575</v>
      </c>
      <c r="B588" t="s">
        <v>12118</v>
      </c>
      <c r="C588">
        <v>643</v>
      </c>
      <c r="D588" s="1" t="s">
        <v>10090</v>
      </c>
      <c r="E588" s="1" t="s">
        <v>10092</v>
      </c>
      <c r="F588" s="1">
        <v>2020</v>
      </c>
      <c r="G588" s="1" t="s">
        <v>10093</v>
      </c>
      <c r="H588" s="1" t="str">
        <f>HYPERLINK("http://dx.doi.org/10.1007/s00894-020-4310-2","http://dx.doi.org/10.1007/s00894-020-4310-2")</f>
        <v>http://dx.doi.org/10.1007/s00894-020-4310-2</v>
      </c>
      <c r="I588" s="1" t="s">
        <v>10095</v>
      </c>
      <c r="J588" s="1" t="s">
        <v>10094</v>
      </c>
      <c r="K588" s="1" t="s">
        <v>42</v>
      </c>
      <c r="L588" s="1" t="s">
        <v>56</v>
      </c>
    </row>
    <row r="589" spans="1:12" x14ac:dyDescent="0.3">
      <c r="A589" s="1">
        <v>576</v>
      </c>
      <c r="B589" t="s">
        <v>12118</v>
      </c>
      <c r="C589">
        <v>645</v>
      </c>
      <c r="D589" s="1" t="s">
        <v>10945</v>
      </c>
      <c r="E589" s="1" t="s">
        <v>10947</v>
      </c>
      <c r="F589" s="1">
        <v>2019</v>
      </c>
      <c r="G589" s="1" t="s">
        <v>10948</v>
      </c>
      <c r="H589" s="1" t="str">
        <f>HYPERLINK("http://dx.doi.org/10.1103/PhysRevFluids.4.063101","http://dx.doi.org/10.1103/PhysRevFluids.4.063101")</f>
        <v>http://dx.doi.org/10.1103/PhysRevFluids.4.063101</v>
      </c>
      <c r="I589" s="1" t="s">
        <v>10950</v>
      </c>
      <c r="J589" s="1" t="s">
        <v>1507</v>
      </c>
      <c r="K589" s="1" t="s">
        <v>42</v>
      </c>
      <c r="L589" s="1" t="s">
        <v>56</v>
      </c>
    </row>
    <row r="590" spans="1:12" x14ac:dyDescent="0.3">
      <c r="A590" s="1">
        <v>577</v>
      </c>
      <c r="B590" t="s">
        <v>12118</v>
      </c>
      <c r="C590">
        <v>644</v>
      </c>
      <c r="D590" s="1" t="s">
        <v>10945</v>
      </c>
      <c r="E590" s="1" t="s">
        <v>11840</v>
      </c>
      <c r="F590" s="1">
        <v>2018</v>
      </c>
      <c r="G590" s="1" t="s">
        <v>10948</v>
      </c>
      <c r="H590" s="1" t="str">
        <f>HYPERLINK("http://dx.doi.org/10.1103/PhysRevFluids.3.031101","http://dx.doi.org/10.1103/PhysRevFluids.3.031101")</f>
        <v>http://dx.doi.org/10.1103/PhysRevFluids.3.031101</v>
      </c>
      <c r="I590" s="1" t="s">
        <v>11842</v>
      </c>
      <c r="J590" s="1" t="s">
        <v>1507</v>
      </c>
      <c r="K590" s="1" t="s">
        <v>42</v>
      </c>
      <c r="L590" s="1" t="s">
        <v>56</v>
      </c>
    </row>
    <row r="591" spans="1:12" x14ac:dyDescent="0.3">
      <c r="A591" s="1">
        <v>578</v>
      </c>
      <c r="B591" t="s">
        <v>12118</v>
      </c>
      <c r="C591">
        <v>646</v>
      </c>
      <c r="D591" s="1" t="s">
        <v>9578</v>
      </c>
      <c r="E591" s="1" t="s">
        <v>9580</v>
      </c>
      <c r="F591" s="1">
        <v>2020</v>
      </c>
      <c r="G591" s="1" t="s">
        <v>9581</v>
      </c>
      <c r="H591" s="1" t="str">
        <f>HYPERLINK("http://dx.doi.org/10.3389/fpsyg.2020.02230","http://dx.doi.org/10.3389/fpsyg.2020.02230")</f>
        <v>http://dx.doi.org/10.3389/fpsyg.2020.02230</v>
      </c>
      <c r="I591" s="1" t="s">
        <v>9584</v>
      </c>
      <c r="J591" s="1" t="s">
        <v>9582</v>
      </c>
      <c r="K591" s="1" t="s">
        <v>42</v>
      </c>
      <c r="L591" s="1" t="s">
        <v>56</v>
      </c>
    </row>
    <row r="592" spans="1:12" x14ac:dyDescent="0.3">
      <c r="A592" s="1">
        <v>579</v>
      </c>
      <c r="B592" t="s">
        <v>12118</v>
      </c>
      <c r="C592">
        <v>647</v>
      </c>
      <c r="D592" s="1" t="s">
        <v>8604</v>
      </c>
      <c r="E592" s="1" t="s">
        <v>8606</v>
      </c>
      <c r="F592" s="1">
        <v>2023</v>
      </c>
      <c r="G592" s="1" t="s">
        <v>1508</v>
      </c>
      <c r="H592" s="1" t="str">
        <f>HYPERLINK("http://dx.doi.org/10.1007/s12144-021-01836-y","http://dx.doi.org/10.1007/s12144-021-01836-y")</f>
        <v>http://dx.doi.org/10.1007/s12144-021-01836-y</v>
      </c>
      <c r="I592" s="1" t="s">
        <v>8609</v>
      </c>
      <c r="J592" s="1" t="s">
        <v>8607</v>
      </c>
      <c r="K592" s="1" t="s">
        <v>42</v>
      </c>
      <c r="L592" s="1" t="s">
        <v>56</v>
      </c>
    </row>
    <row r="593" spans="1:12" x14ac:dyDescent="0.3">
      <c r="A593" s="1">
        <v>580</v>
      </c>
      <c r="B593" t="s">
        <v>12118</v>
      </c>
      <c r="C593">
        <v>648</v>
      </c>
      <c r="D593" s="1" t="s">
        <v>9122</v>
      </c>
      <c r="E593" s="1" t="s">
        <v>9124</v>
      </c>
      <c r="F593" s="1">
        <v>2022</v>
      </c>
      <c r="G593" s="1" t="s">
        <v>1508</v>
      </c>
      <c r="H593" s="1" t="str">
        <f>HYPERLINK("http://dx.doi.org/10.1007/s12144-020-01230-0","http://dx.doi.org/10.1007/s12144-020-01230-0")</f>
        <v>http://dx.doi.org/10.1007/s12144-020-01230-0</v>
      </c>
      <c r="I593" s="1" t="s">
        <v>9127</v>
      </c>
      <c r="J593" s="1" t="s">
        <v>9125</v>
      </c>
      <c r="K593" s="1" t="s">
        <v>42</v>
      </c>
      <c r="L593" s="1" t="s">
        <v>56</v>
      </c>
    </row>
    <row r="594" spans="1:12" x14ac:dyDescent="0.3">
      <c r="A594" s="1">
        <v>581</v>
      </c>
      <c r="B594" t="s">
        <v>12118</v>
      </c>
      <c r="C594">
        <v>649</v>
      </c>
      <c r="D594" s="1" t="s">
        <v>10591</v>
      </c>
      <c r="E594" s="1" t="s">
        <v>10593</v>
      </c>
      <c r="F594" s="1">
        <v>2019</v>
      </c>
      <c r="G594" s="1" t="s">
        <v>8410</v>
      </c>
      <c r="H594" s="1" t="str">
        <f>HYPERLINK("http://dx.doi.org/10.1063/1.5132692","http://dx.doi.org/10.1063/1.5132692")</f>
        <v>http://dx.doi.org/10.1063/1.5132692</v>
      </c>
      <c r="I594" s="1" t="s">
        <v>10595</v>
      </c>
      <c r="J594" s="1" t="s">
        <v>1507</v>
      </c>
      <c r="K594" s="1" t="s">
        <v>42</v>
      </c>
      <c r="L594" s="1" t="s">
        <v>56</v>
      </c>
    </row>
    <row r="595" spans="1:12" x14ac:dyDescent="0.3">
      <c r="A595" s="1">
        <v>582</v>
      </c>
      <c r="B595" t="s">
        <v>12118</v>
      </c>
      <c r="C595">
        <v>651</v>
      </c>
      <c r="D595" s="1" t="s">
        <v>14226</v>
      </c>
      <c r="E595" s="1" t="s">
        <v>14228</v>
      </c>
      <c r="F595" s="1">
        <v>2023</v>
      </c>
      <c r="G595" s="1" t="s">
        <v>1760</v>
      </c>
      <c r="H595" s="1" t="str">
        <f>HYPERLINK("http://dx.doi.org/10.1038/s41586-023-06631-2","http://dx.doi.org/10.1038/s41586-023-06631-2")</f>
        <v>http://dx.doi.org/10.1038/s41586-023-06631-2</v>
      </c>
      <c r="I595" s="1" t="s">
        <v>14230</v>
      </c>
      <c r="J595" s="1" t="s">
        <v>1507</v>
      </c>
      <c r="K595" s="1" t="s">
        <v>42</v>
      </c>
      <c r="L595" s="1" t="s">
        <v>56</v>
      </c>
    </row>
    <row r="596" spans="1:12" x14ac:dyDescent="0.3">
      <c r="A596" s="1">
        <v>583</v>
      </c>
      <c r="B596" t="s">
        <v>12118</v>
      </c>
      <c r="C596">
        <v>652</v>
      </c>
      <c r="D596" s="1" t="s">
        <v>7019</v>
      </c>
      <c r="E596" s="1" t="s">
        <v>7021</v>
      </c>
      <c r="F596" s="1">
        <v>2022</v>
      </c>
      <c r="G596" s="1" t="s">
        <v>7022</v>
      </c>
      <c r="H596" s="1" t="str">
        <f>HYPERLINK("http://dx.doi.org/10.1016/j.envint.2022.107484","http://dx.doi.org/10.1016/j.envint.2022.107484")</f>
        <v>http://dx.doi.org/10.1016/j.envint.2022.107484</v>
      </c>
      <c r="I596" s="1" t="s">
        <v>7025</v>
      </c>
      <c r="J596" s="1" t="s">
        <v>7023</v>
      </c>
      <c r="K596" s="1" t="s">
        <v>42</v>
      </c>
      <c r="L596" s="1" t="s">
        <v>56</v>
      </c>
    </row>
    <row r="597" spans="1:12" x14ac:dyDescent="0.3">
      <c r="A597" s="1">
        <v>584</v>
      </c>
      <c r="B597" t="s">
        <v>12118</v>
      </c>
      <c r="C597">
        <v>653</v>
      </c>
      <c r="D597" s="1" t="s">
        <v>11195</v>
      </c>
      <c r="E597" s="1" t="s">
        <v>11197</v>
      </c>
      <c r="F597" s="1">
        <v>2019</v>
      </c>
      <c r="G597" s="1" t="s">
        <v>7563</v>
      </c>
      <c r="H597" s="1" t="str">
        <f>HYPERLINK("http://dx.doi.org/10.1038/s41467-018-08245-z","http://dx.doi.org/10.1038/s41467-018-08245-z")</f>
        <v>http://dx.doi.org/10.1038/s41467-018-08245-z</v>
      </c>
      <c r="I597" s="1" t="s">
        <v>11199</v>
      </c>
      <c r="J597" s="1" t="s">
        <v>1507</v>
      </c>
      <c r="K597" s="1" t="s">
        <v>42</v>
      </c>
      <c r="L597" s="1" t="s">
        <v>56</v>
      </c>
    </row>
    <row r="598" spans="1:12" x14ac:dyDescent="0.3">
      <c r="A598" s="1">
        <v>585</v>
      </c>
      <c r="B598" t="s">
        <v>12118</v>
      </c>
      <c r="C598">
        <v>654</v>
      </c>
      <c r="D598" s="1" t="s">
        <v>6554</v>
      </c>
      <c r="E598" s="1" t="s">
        <v>6556</v>
      </c>
      <c r="F598" s="1">
        <v>2023</v>
      </c>
      <c r="G598" s="1" t="s">
        <v>6557</v>
      </c>
      <c r="H598" s="1" t="str">
        <f>HYPERLINK("http://dx.doi.org/10.1109/VTC2023-Fall60731.2023.10333403","http://dx.doi.org/10.1109/VTC2023-Fall60731.2023.10333403")</f>
        <v>http://dx.doi.org/10.1109/VTC2023-Fall60731.2023.10333403</v>
      </c>
      <c r="I598" s="1" t="s">
        <v>6565</v>
      </c>
      <c r="J598" s="1" t="s">
        <v>6563</v>
      </c>
      <c r="K598" s="1" t="s">
        <v>42</v>
      </c>
      <c r="L598" s="1" t="s">
        <v>5552</v>
      </c>
    </row>
    <row r="599" spans="1:12" x14ac:dyDescent="0.3">
      <c r="A599" s="1">
        <v>586</v>
      </c>
      <c r="B599" t="s">
        <v>12118</v>
      </c>
      <c r="C599">
        <v>655</v>
      </c>
      <c r="D599" s="1" t="s">
        <v>8472</v>
      </c>
      <c r="E599" s="1" t="s">
        <v>8474</v>
      </c>
      <c r="F599" s="1">
        <v>2021</v>
      </c>
      <c r="G599" s="1" t="s">
        <v>7141</v>
      </c>
      <c r="H599" s="1" t="str">
        <f>HYPERLINK("http://dx.doi.org/10.1016/j.scitotenv.2021.148000","http://dx.doi.org/10.1016/j.scitotenv.2021.148000")</f>
        <v>http://dx.doi.org/10.1016/j.scitotenv.2021.148000</v>
      </c>
      <c r="I599" s="1" t="s">
        <v>8477</v>
      </c>
      <c r="J599" s="1" t="s">
        <v>8475</v>
      </c>
      <c r="K599" s="1" t="s">
        <v>42</v>
      </c>
      <c r="L599" s="1" t="s">
        <v>56</v>
      </c>
    </row>
    <row r="600" spans="1:12" x14ac:dyDescent="0.3">
      <c r="A600" s="1">
        <v>587</v>
      </c>
      <c r="B600" t="s">
        <v>12118</v>
      </c>
      <c r="C600">
        <v>656</v>
      </c>
      <c r="D600" s="1" t="s">
        <v>8301</v>
      </c>
      <c r="E600" s="1" t="s">
        <v>8303</v>
      </c>
      <c r="F600" s="1">
        <v>2021</v>
      </c>
      <c r="G600" s="1" t="s">
        <v>8304</v>
      </c>
      <c r="H600" s="1" t="str">
        <f>HYPERLINK("http://dx.doi.org/10.1093/nar/gkab660","http://dx.doi.org/10.1093/nar/gkab660")</f>
        <v>http://dx.doi.org/10.1093/nar/gkab660</v>
      </c>
      <c r="I600" s="1" t="s">
        <v>8306</v>
      </c>
      <c r="J600" s="1" t="s">
        <v>1507</v>
      </c>
      <c r="K600" s="1" t="s">
        <v>42</v>
      </c>
      <c r="L600" s="1" t="s">
        <v>56</v>
      </c>
    </row>
    <row r="601" spans="1:12" x14ac:dyDescent="0.3">
      <c r="A601" s="1">
        <v>588</v>
      </c>
      <c r="B601" t="s">
        <v>12118</v>
      </c>
      <c r="C601">
        <v>657</v>
      </c>
      <c r="D601" s="1" t="s">
        <v>10184</v>
      </c>
      <c r="E601" s="1" t="s">
        <v>10186</v>
      </c>
      <c r="F601" s="1">
        <v>2020</v>
      </c>
      <c r="G601" s="1" t="s">
        <v>10187</v>
      </c>
      <c r="H601" s="1" t="str">
        <f>HYPERLINK("http://dx.doi.org/10.1021/acs.jpcc.0c00055","http://dx.doi.org/10.1021/acs.jpcc.0c00055")</f>
        <v>http://dx.doi.org/10.1021/acs.jpcc.0c00055</v>
      </c>
      <c r="I601" s="1" t="s">
        <v>10189</v>
      </c>
      <c r="J601" s="1" t="s">
        <v>1507</v>
      </c>
      <c r="K601" s="1" t="s">
        <v>42</v>
      </c>
      <c r="L601" s="1" t="s">
        <v>56</v>
      </c>
    </row>
    <row r="602" spans="1:12" x14ac:dyDescent="0.3">
      <c r="A602" s="1">
        <v>590</v>
      </c>
      <c r="B602" t="s">
        <v>12118</v>
      </c>
      <c r="C602">
        <v>659</v>
      </c>
      <c r="D602" s="1" t="s">
        <v>8558</v>
      </c>
      <c r="E602" s="1" t="s">
        <v>8560</v>
      </c>
      <c r="F602" s="1">
        <v>2021</v>
      </c>
      <c r="G602" s="1" t="s">
        <v>8561</v>
      </c>
      <c r="H602" s="1" t="str">
        <f>HYPERLINK("http://dx.doi.org/10.1007/s10921-021-00773-x","http://dx.doi.org/10.1007/s10921-021-00773-x")</f>
        <v>http://dx.doi.org/10.1007/s10921-021-00773-x</v>
      </c>
      <c r="I602" s="1" t="s">
        <v>8563</v>
      </c>
      <c r="J602" s="1" t="s">
        <v>8562</v>
      </c>
      <c r="K602" s="1" t="s">
        <v>42</v>
      </c>
      <c r="L602" s="1" t="s">
        <v>56</v>
      </c>
    </row>
    <row r="603" spans="1:12" x14ac:dyDescent="0.3">
      <c r="A603" s="1">
        <v>591</v>
      </c>
      <c r="B603" t="s">
        <v>12118</v>
      </c>
      <c r="C603">
        <v>660</v>
      </c>
      <c r="D603" s="1" t="s">
        <v>6579</v>
      </c>
      <c r="E603" s="1" t="s">
        <v>6581</v>
      </c>
      <c r="F603" s="1">
        <v>2023</v>
      </c>
      <c r="G603" s="1" t="s">
        <v>6014</v>
      </c>
      <c r="H603" s="1" t="str">
        <f>HYPERLINK("http://dx.doi.org/10.1109/ASE56229.2023.00096","http://dx.doi.org/10.1109/ASE56229.2023.00096")</f>
        <v>http://dx.doi.org/10.1109/ASE56229.2023.00096</v>
      </c>
      <c r="I603" s="1" t="s">
        <v>6583</v>
      </c>
      <c r="J603" s="1" t="s">
        <v>6582</v>
      </c>
      <c r="K603" s="1" t="s">
        <v>42</v>
      </c>
      <c r="L603" s="1" t="s">
        <v>5552</v>
      </c>
    </row>
    <row r="604" spans="1:12" x14ac:dyDescent="0.3">
      <c r="A604" s="1">
        <v>593</v>
      </c>
      <c r="B604" t="s">
        <v>12118</v>
      </c>
      <c r="C604">
        <v>661</v>
      </c>
      <c r="D604" s="1" t="s">
        <v>7979</v>
      </c>
      <c r="E604" s="1" t="s">
        <v>7981</v>
      </c>
      <c r="F604" s="1">
        <v>2022</v>
      </c>
      <c r="G604" s="1" t="s">
        <v>7982</v>
      </c>
      <c r="H604" s="1" t="str">
        <f>HYPERLINK("http://dx.doi.org/10.1093/jxb/erab430","http://dx.doi.org/10.1093/jxb/erab430")</f>
        <v>http://dx.doi.org/10.1093/jxb/erab430</v>
      </c>
      <c r="I604" s="1" t="s">
        <v>7985</v>
      </c>
      <c r="J604" s="1" t="s">
        <v>7983</v>
      </c>
      <c r="K604" s="1" t="s">
        <v>42</v>
      </c>
      <c r="L604" s="1" t="s">
        <v>56</v>
      </c>
    </row>
    <row r="605" spans="1:12" x14ac:dyDescent="0.3">
      <c r="A605" s="1">
        <v>594</v>
      </c>
      <c r="B605" t="s">
        <v>12118</v>
      </c>
      <c r="C605">
        <v>662</v>
      </c>
      <c r="D605" s="1" t="s">
        <v>3231</v>
      </c>
      <c r="E605" s="1" t="s">
        <v>3233</v>
      </c>
      <c r="F605" s="1">
        <v>2023</v>
      </c>
      <c r="G605" s="1" t="s">
        <v>1999</v>
      </c>
      <c r="H605" s="1" t="str">
        <f>HYPERLINK("http://dx.doi.org/10.1371/journal.pone.0292903","http://dx.doi.org/10.1371/journal.pone.0292903")</f>
        <v>http://dx.doi.org/10.1371/journal.pone.0292903</v>
      </c>
      <c r="I605" s="1" t="s">
        <v>3235</v>
      </c>
      <c r="J605" s="1" t="s">
        <v>1507</v>
      </c>
      <c r="K605" s="1" t="s">
        <v>42</v>
      </c>
      <c r="L605" s="1" t="s">
        <v>56</v>
      </c>
    </row>
    <row r="606" spans="1:12" x14ac:dyDescent="0.3">
      <c r="A606" s="1">
        <v>596</v>
      </c>
      <c r="B606" t="s">
        <v>12118</v>
      </c>
      <c r="C606">
        <v>666</v>
      </c>
      <c r="D606" s="1" t="s">
        <v>15491</v>
      </c>
      <c r="E606" s="1" t="s">
        <v>15494</v>
      </c>
      <c r="F606" s="1">
        <v>2023</v>
      </c>
      <c r="G606" s="1" t="s">
        <v>15495</v>
      </c>
      <c r="H606" s="1" t="str">
        <f>HYPERLINK("http://dx.doi.org/10.1145/3615890.3628538","http://dx.doi.org/10.1145/3615890.3628538")</f>
        <v>http://dx.doi.org/10.1145/3615890.3628538</v>
      </c>
      <c r="I606" s="1" t="s">
        <v>15501</v>
      </c>
      <c r="J606" s="1" t="s">
        <v>15499</v>
      </c>
      <c r="K606" s="1" t="s">
        <v>42</v>
      </c>
      <c r="L606" s="1" t="s">
        <v>5552</v>
      </c>
    </row>
    <row r="607" spans="1:12" x14ac:dyDescent="0.3">
      <c r="A607" s="1">
        <v>597</v>
      </c>
      <c r="B607" t="s">
        <v>12118</v>
      </c>
      <c r="C607">
        <v>667</v>
      </c>
      <c r="D607" s="1" t="s">
        <v>4368</v>
      </c>
      <c r="E607" s="1" t="s">
        <v>4370</v>
      </c>
      <c r="F607" s="1">
        <v>2023</v>
      </c>
      <c r="G607" s="1" t="s">
        <v>4371</v>
      </c>
      <c r="H607" s="1" t="str">
        <f>HYPERLINK("http://dx.doi.org/10.1016/j.saa.2023.123170","http://dx.doi.org/10.1016/j.saa.2023.123170")</f>
        <v>http://dx.doi.org/10.1016/j.saa.2023.123170</v>
      </c>
      <c r="I607" s="1" t="s">
        <v>4374</v>
      </c>
      <c r="J607" s="1" t="s">
        <v>4372</v>
      </c>
      <c r="K607" s="1" t="s">
        <v>42</v>
      </c>
      <c r="L607" s="1" t="s">
        <v>56</v>
      </c>
    </row>
    <row r="608" spans="1:12" x14ac:dyDescent="0.3">
      <c r="A608" s="1">
        <v>598</v>
      </c>
      <c r="B608" t="s">
        <v>12118</v>
      </c>
      <c r="C608">
        <v>668</v>
      </c>
      <c r="D608" s="1" t="s">
        <v>6593</v>
      </c>
      <c r="E608" s="1" t="s">
        <v>6595</v>
      </c>
      <c r="F608" s="1">
        <v>2023</v>
      </c>
      <c r="G608" s="1" t="s">
        <v>6596</v>
      </c>
      <c r="H608" s="1" t="s">
        <v>1507</v>
      </c>
      <c r="I608" s="1" t="s">
        <v>6599</v>
      </c>
      <c r="J608" s="1" t="s">
        <v>6597</v>
      </c>
      <c r="K608" s="1" t="s">
        <v>42</v>
      </c>
      <c r="L608" s="1" t="s">
        <v>56</v>
      </c>
    </row>
    <row r="609" spans="1:12" x14ac:dyDescent="0.3">
      <c r="A609" s="1">
        <v>599</v>
      </c>
      <c r="B609" t="s">
        <v>12118</v>
      </c>
      <c r="C609">
        <v>669</v>
      </c>
      <c r="D609" s="1" t="s">
        <v>10999</v>
      </c>
      <c r="E609" s="1" t="s">
        <v>11001</v>
      </c>
      <c r="F609" s="1">
        <v>2019</v>
      </c>
      <c r="G609" s="1" t="s">
        <v>11002</v>
      </c>
      <c r="H609" s="1" t="str">
        <f>HYPERLINK("http://dx.doi.org/10.1089/zeb.2019.1731","http://dx.doi.org/10.1089/zeb.2019.1731")</f>
        <v>http://dx.doi.org/10.1089/zeb.2019.1731</v>
      </c>
      <c r="I609" s="1" t="s">
        <v>11005</v>
      </c>
      <c r="J609" s="1" t="s">
        <v>11003</v>
      </c>
      <c r="K609" s="1" t="s">
        <v>42</v>
      </c>
      <c r="L609" s="1" t="s">
        <v>56</v>
      </c>
    </row>
    <row r="610" spans="1:12" x14ac:dyDescent="0.3">
      <c r="A610" s="1">
        <v>600</v>
      </c>
      <c r="B610" t="s">
        <v>12118</v>
      </c>
      <c r="C610">
        <v>671</v>
      </c>
      <c r="D610" s="1" t="s">
        <v>4790</v>
      </c>
      <c r="E610" s="1" t="s">
        <v>4792</v>
      </c>
      <c r="F610" s="1">
        <v>2023</v>
      </c>
      <c r="G610" s="1" t="s">
        <v>4793</v>
      </c>
      <c r="H610" s="1" t="s">
        <v>1507</v>
      </c>
      <c r="I610" s="1" t="s">
        <v>4796</v>
      </c>
      <c r="J610" s="1" t="s">
        <v>4794</v>
      </c>
      <c r="K610" s="1" t="s">
        <v>42</v>
      </c>
      <c r="L610" s="1" t="s">
        <v>56</v>
      </c>
    </row>
    <row r="611" spans="1:12" x14ac:dyDescent="0.3">
      <c r="A611" s="1">
        <v>601</v>
      </c>
      <c r="B611" t="s">
        <v>12118</v>
      </c>
      <c r="C611">
        <v>672</v>
      </c>
      <c r="D611" s="1" t="s">
        <v>15512</v>
      </c>
      <c r="E611" s="1" t="s">
        <v>15514</v>
      </c>
      <c r="F611" s="1">
        <v>2023</v>
      </c>
      <c r="G611" s="1" t="s">
        <v>14946</v>
      </c>
      <c r="H611" s="1" t="str">
        <f>HYPERLINK("http://dx.doi.org/10.1145/3580305.3599832","http://dx.doi.org/10.1145/3580305.3599832")</f>
        <v>http://dx.doi.org/10.1145/3580305.3599832</v>
      </c>
      <c r="I611" s="1" t="s">
        <v>15516</v>
      </c>
      <c r="J611" s="1" t="s">
        <v>15515</v>
      </c>
      <c r="K611" s="1" t="s">
        <v>42</v>
      </c>
      <c r="L611" s="1" t="s">
        <v>5552</v>
      </c>
    </row>
    <row r="612" spans="1:12" x14ac:dyDescent="0.3">
      <c r="A612" s="1">
        <v>602</v>
      </c>
      <c r="B612" t="s">
        <v>12118</v>
      </c>
      <c r="C612">
        <v>673</v>
      </c>
      <c r="D612" s="1" t="s">
        <v>6615</v>
      </c>
      <c r="E612" s="1" t="s">
        <v>6618</v>
      </c>
      <c r="F612" s="1">
        <v>2023</v>
      </c>
      <c r="G612" s="1" t="s">
        <v>6619</v>
      </c>
      <c r="H612" s="1" t="str">
        <f>HYPERLINK("http://dx.doi.org/10.1145/3611643.3616350","http://dx.doi.org/10.1145/3611643.3616350")</f>
        <v>http://dx.doi.org/10.1145/3611643.3616350</v>
      </c>
      <c r="I612" s="1" t="s">
        <v>6625</v>
      </c>
      <c r="J612" s="1" t="s">
        <v>6624</v>
      </c>
      <c r="K612" s="1" t="s">
        <v>42</v>
      </c>
      <c r="L612" s="1" t="s">
        <v>5552</v>
      </c>
    </row>
    <row r="613" spans="1:12" x14ac:dyDescent="0.3">
      <c r="A613" s="1">
        <v>603</v>
      </c>
      <c r="B613" t="s">
        <v>12118</v>
      </c>
      <c r="C613">
        <v>674</v>
      </c>
      <c r="D613" s="1" t="s">
        <v>7918</v>
      </c>
      <c r="E613" s="1" t="s">
        <v>7920</v>
      </c>
      <c r="F613" s="1">
        <v>2022</v>
      </c>
      <c r="G613" s="1" t="s">
        <v>7921</v>
      </c>
      <c r="H613" s="1" t="str">
        <f>HYPERLINK("http://dx.doi.org/10.1145/3551349.3556955","http://dx.doi.org/10.1145/3551349.3556955")</f>
        <v>http://dx.doi.org/10.1145/3551349.3556955</v>
      </c>
      <c r="I613" s="1" t="s">
        <v>7928</v>
      </c>
      <c r="J613" s="1" t="s">
        <v>7927</v>
      </c>
      <c r="K613" s="1" t="s">
        <v>42</v>
      </c>
      <c r="L613" s="1" t="s">
        <v>5552</v>
      </c>
    </row>
    <row r="614" spans="1:12" x14ac:dyDescent="0.3">
      <c r="A614" s="1">
        <v>604</v>
      </c>
      <c r="B614" t="s">
        <v>12118</v>
      </c>
      <c r="C614">
        <v>675</v>
      </c>
      <c r="D614" s="1" t="s">
        <v>10608</v>
      </c>
      <c r="E614" s="1" t="s">
        <v>10610</v>
      </c>
      <c r="F614" s="1">
        <v>2019</v>
      </c>
      <c r="G614" s="1" t="s">
        <v>7563</v>
      </c>
      <c r="H614" s="1" t="str">
        <f>HYPERLINK("http://dx.doi.org/10.1038/s41467-019-12887-y","http://dx.doi.org/10.1038/s41467-019-12887-y")</f>
        <v>http://dx.doi.org/10.1038/s41467-019-12887-y</v>
      </c>
      <c r="I614" s="1" t="s">
        <v>10612</v>
      </c>
      <c r="J614" s="1" t="s">
        <v>1507</v>
      </c>
      <c r="K614" s="1" t="s">
        <v>42</v>
      </c>
      <c r="L614" s="1" t="s">
        <v>56</v>
      </c>
    </row>
    <row r="615" spans="1:12" x14ac:dyDescent="0.3">
      <c r="A615" s="1">
        <v>606</v>
      </c>
      <c r="B615" t="s">
        <v>12118</v>
      </c>
      <c r="C615">
        <v>676</v>
      </c>
      <c r="D615" s="1" t="s">
        <v>10508</v>
      </c>
      <c r="E615" s="1" t="s">
        <v>10510</v>
      </c>
      <c r="F615" s="1">
        <v>2019</v>
      </c>
      <c r="G615" s="1" t="s">
        <v>10511</v>
      </c>
      <c r="H615" s="1" t="str">
        <f>HYPERLINK("http://dx.doi.org/10.1039/c9sc03455b","http://dx.doi.org/10.1039/c9sc03455b")</f>
        <v>http://dx.doi.org/10.1039/c9sc03455b</v>
      </c>
      <c r="I615" s="1" t="s">
        <v>10513</v>
      </c>
      <c r="J615" s="1" t="s">
        <v>1507</v>
      </c>
      <c r="K615" s="1" t="s">
        <v>42</v>
      </c>
      <c r="L615" s="1" t="s">
        <v>56</v>
      </c>
    </row>
    <row r="616" spans="1:12" x14ac:dyDescent="0.3">
      <c r="A616" s="1">
        <v>607</v>
      </c>
      <c r="B616" t="s">
        <v>12118</v>
      </c>
      <c r="C616">
        <v>677</v>
      </c>
      <c r="D616" s="1" t="s">
        <v>8352</v>
      </c>
      <c r="E616" s="1" t="s">
        <v>8354</v>
      </c>
      <c r="F616" s="1">
        <v>2021</v>
      </c>
      <c r="G616" s="1" t="s">
        <v>4793</v>
      </c>
      <c r="H616" s="1" t="str">
        <f>HYPERLINK("http://dx.doi.org/10.4337/qmjip.2021.03.05","http://dx.doi.org/10.4337/qmjip.2021.03.05")</f>
        <v>http://dx.doi.org/10.4337/qmjip.2021.03.05</v>
      </c>
      <c r="I616" s="1" t="s">
        <v>8356</v>
      </c>
      <c r="J616" s="1" t="s">
        <v>8355</v>
      </c>
      <c r="K616" s="1" t="s">
        <v>42</v>
      </c>
      <c r="L616" s="1" t="s">
        <v>56</v>
      </c>
    </row>
    <row r="617" spans="1:12" x14ac:dyDescent="0.3">
      <c r="A617" s="1">
        <v>608</v>
      </c>
      <c r="B617" t="s">
        <v>12118</v>
      </c>
      <c r="C617">
        <v>678</v>
      </c>
      <c r="D617" s="1" t="s">
        <v>6638</v>
      </c>
      <c r="E617" s="1" t="s">
        <v>6641</v>
      </c>
      <c r="F617" s="1">
        <v>2023</v>
      </c>
      <c r="G617" s="1" t="s">
        <v>6642</v>
      </c>
      <c r="H617" s="1" t="str">
        <f>HYPERLINK("http://dx.doi.org/10.1109/COMPSAC57700.2023.00275","http://dx.doi.org/10.1109/COMPSAC57700.2023.00275")</f>
        <v>http://dx.doi.org/10.1109/COMPSAC57700.2023.00275</v>
      </c>
      <c r="I617" s="1" t="s">
        <v>6650</v>
      </c>
      <c r="J617" s="1" t="s">
        <v>6649</v>
      </c>
      <c r="K617" s="1" t="s">
        <v>42</v>
      </c>
      <c r="L617" s="1" t="s">
        <v>5552</v>
      </c>
    </row>
    <row r="618" spans="1:12" x14ac:dyDescent="0.3">
      <c r="A618" s="1">
        <v>609</v>
      </c>
      <c r="B618" t="s">
        <v>12118</v>
      </c>
      <c r="C618">
        <v>679</v>
      </c>
      <c r="D618" s="1" t="s">
        <v>10223</v>
      </c>
      <c r="E618" s="1" t="s">
        <v>10225</v>
      </c>
      <c r="F618" s="1">
        <v>2020</v>
      </c>
      <c r="G618" s="1" t="s">
        <v>10226</v>
      </c>
      <c r="H618" s="1" t="str">
        <f>HYPERLINK("http://dx.doi.org/10.1155/2020/7605140","http://dx.doi.org/10.1155/2020/7605140")</f>
        <v>http://dx.doi.org/10.1155/2020/7605140</v>
      </c>
      <c r="I618" s="1" t="s">
        <v>10228</v>
      </c>
      <c r="J618" s="1" t="s">
        <v>1507</v>
      </c>
      <c r="K618" s="1" t="s">
        <v>42</v>
      </c>
      <c r="L618" s="1" t="s">
        <v>56</v>
      </c>
    </row>
    <row r="619" spans="1:12" x14ac:dyDescent="0.3">
      <c r="A619" s="1">
        <v>611</v>
      </c>
      <c r="B619" t="s">
        <v>12118</v>
      </c>
      <c r="C619">
        <v>680</v>
      </c>
      <c r="D619" s="1" t="s">
        <v>3435</v>
      </c>
      <c r="E619" s="1" t="s">
        <v>3437</v>
      </c>
      <c r="F619" s="1">
        <v>2023</v>
      </c>
      <c r="G619" s="1" t="s">
        <v>3438</v>
      </c>
      <c r="H619" s="1" t="str">
        <f>HYPERLINK("http://dx.doi.org/10.1038/s41541-023-00745-4","http://dx.doi.org/10.1038/s41541-023-00745-4")</f>
        <v>http://dx.doi.org/10.1038/s41541-023-00745-4</v>
      </c>
      <c r="I619" s="1" t="s">
        <v>3439</v>
      </c>
      <c r="J619" s="1" t="s">
        <v>1507</v>
      </c>
      <c r="K619" s="1" t="s">
        <v>42</v>
      </c>
      <c r="L619" s="1" t="s">
        <v>56</v>
      </c>
    </row>
    <row r="620" spans="1:12" x14ac:dyDescent="0.3">
      <c r="A620" s="1">
        <v>612</v>
      </c>
      <c r="B620" t="s">
        <v>12118</v>
      </c>
      <c r="C620">
        <v>681</v>
      </c>
      <c r="D620" s="1" t="s">
        <v>15528</v>
      </c>
      <c r="E620" s="1" t="s">
        <v>15530</v>
      </c>
      <c r="F620" s="1">
        <v>2023</v>
      </c>
      <c r="G620" s="1" t="s">
        <v>14946</v>
      </c>
      <c r="H620" s="1" t="str">
        <f>HYPERLINK("http://dx.doi.org/10.1145/3580305.3599850","http://dx.doi.org/10.1145/3580305.3599850")</f>
        <v>http://dx.doi.org/10.1145/3580305.3599850</v>
      </c>
      <c r="I620" s="1" t="s">
        <v>15532</v>
      </c>
      <c r="J620" s="1" t="s">
        <v>15531</v>
      </c>
      <c r="K620" s="1" t="s">
        <v>42</v>
      </c>
      <c r="L620" s="1" t="s">
        <v>5552</v>
      </c>
    </row>
    <row r="621" spans="1:12" x14ac:dyDescent="0.3">
      <c r="A621" s="1">
        <v>613</v>
      </c>
      <c r="B621" t="s">
        <v>12118</v>
      </c>
      <c r="C621">
        <v>682</v>
      </c>
      <c r="D621" s="1" t="s">
        <v>4061</v>
      </c>
      <c r="E621" s="1" t="s">
        <v>4063</v>
      </c>
      <c r="F621" s="1">
        <v>2023</v>
      </c>
      <c r="G621" s="1" t="s">
        <v>4064</v>
      </c>
      <c r="H621" s="1" t="str">
        <f>HYPERLINK("http://dx.doi.org/10.1016/j.autcon.2023.105067","http://dx.doi.org/10.1016/j.autcon.2023.105067")</f>
        <v>http://dx.doi.org/10.1016/j.autcon.2023.105067</v>
      </c>
      <c r="I621" s="1" t="s">
        <v>4067</v>
      </c>
      <c r="J621" s="1" t="s">
        <v>4065</v>
      </c>
      <c r="K621" s="1" t="s">
        <v>42</v>
      </c>
      <c r="L621" s="1" t="s">
        <v>56</v>
      </c>
    </row>
    <row r="622" spans="1:12" x14ac:dyDescent="0.3">
      <c r="A622" s="1">
        <v>614</v>
      </c>
      <c r="B622" t="s">
        <v>12118</v>
      </c>
      <c r="C622">
        <v>683</v>
      </c>
      <c r="D622" s="1" t="s">
        <v>3919</v>
      </c>
      <c r="E622" s="1" t="s">
        <v>3921</v>
      </c>
      <c r="F622" s="1">
        <v>2023</v>
      </c>
      <c r="G622" s="1" t="s">
        <v>3922</v>
      </c>
      <c r="H622" s="1" t="str">
        <f>HYPERLINK("http://dx.doi.org/10.1126/sciadv.adg3469","http://dx.doi.org/10.1126/sciadv.adg3469")</f>
        <v>http://dx.doi.org/10.1126/sciadv.adg3469</v>
      </c>
      <c r="I622" s="1" t="s">
        <v>3924</v>
      </c>
      <c r="J622" s="1" t="s">
        <v>1507</v>
      </c>
      <c r="K622" s="1" t="s">
        <v>42</v>
      </c>
      <c r="L622" s="1" t="s">
        <v>56</v>
      </c>
    </row>
    <row r="623" spans="1:12" x14ac:dyDescent="0.3">
      <c r="A623" s="1">
        <v>615</v>
      </c>
      <c r="B623" t="s">
        <v>12118</v>
      </c>
      <c r="C623">
        <v>684</v>
      </c>
      <c r="D623" s="1" t="s">
        <v>7473</v>
      </c>
      <c r="E623" s="1" t="s">
        <v>7475</v>
      </c>
      <c r="F623" s="1">
        <v>2022</v>
      </c>
      <c r="G623" s="1" t="s">
        <v>7141</v>
      </c>
      <c r="H623" s="1" t="str">
        <f>HYPERLINK("http://dx.doi.org/10.1016/j.scitotenv.2022.153687","http://dx.doi.org/10.1016/j.scitotenv.2022.153687")</f>
        <v>http://dx.doi.org/10.1016/j.scitotenv.2022.153687</v>
      </c>
      <c r="I623" s="1" t="s">
        <v>7477</v>
      </c>
      <c r="J623" s="1" t="s">
        <v>7476</v>
      </c>
      <c r="K623" s="1" t="s">
        <v>42</v>
      </c>
      <c r="L623" s="1" t="s">
        <v>56</v>
      </c>
    </row>
    <row r="624" spans="1:12" x14ac:dyDescent="0.3">
      <c r="A624" s="1">
        <v>616</v>
      </c>
      <c r="B624" t="s">
        <v>12118</v>
      </c>
      <c r="C624">
        <v>685</v>
      </c>
      <c r="D624" s="1" t="s">
        <v>7138</v>
      </c>
      <c r="E624" s="1" t="s">
        <v>7140</v>
      </c>
      <c r="F624" s="1">
        <v>2022</v>
      </c>
      <c r="G624" s="1" t="s">
        <v>7141</v>
      </c>
      <c r="H624" s="1" t="str">
        <f>HYPERLINK("http://dx.doi.org/10.1016/j.scitotenv.2022.157121","http://dx.doi.org/10.1016/j.scitotenv.2022.157121")</f>
        <v>http://dx.doi.org/10.1016/j.scitotenv.2022.157121</v>
      </c>
      <c r="I624" s="1" t="s">
        <v>7144</v>
      </c>
      <c r="J624" s="1" t="s">
        <v>7142</v>
      </c>
      <c r="K624" s="1" t="s">
        <v>42</v>
      </c>
      <c r="L624" s="1" t="s">
        <v>56</v>
      </c>
    </row>
    <row r="625" spans="1:12" x14ac:dyDescent="0.3">
      <c r="A625" s="1">
        <v>617</v>
      </c>
      <c r="B625" t="s">
        <v>12118</v>
      </c>
      <c r="C625">
        <v>686</v>
      </c>
      <c r="D625" s="1" t="s">
        <v>3710</v>
      </c>
      <c r="E625" s="1" t="s">
        <v>3712</v>
      </c>
      <c r="F625" s="1">
        <v>2023</v>
      </c>
      <c r="G625" s="1" t="s">
        <v>3713</v>
      </c>
      <c r="H625" s="1" t="str">
        <f>HYPERLINK("http://dx.doi.org/10.1016/j.watres.2023.120594","http://dx.doi.org/10.1016/j.watres.2023.120594")</f>
        <v>http://dx.doi.org/10.1016/j.watres.2023.120594</v>
      </c>
      <c r="I625" s="1" t="s">
        <v>3715</v>
      </c>
      <c r="J625" s="1" t="s">
        <v>3714</v>
      </c>
      <c r="K625" s="1" t="s">
        <v>42</v>
      </c>
      <c r="L625" s="1" t="s">
        <v>56</v>
      </c>
    </row>
    <row r="626" spans="1:12" x14ac:dyDescent="0.3">
      <c r="A626" s="1">
        <v>618</v>
      </c>
      <c r="B626" t="s">
        <v>12118</v>
      </c>
      <c r="C626">
        <v>687</v>
      </c>
      <c r="D626" s="1" t="s">
        <v>8211</v>
      </c>
      <c r="E626" s="1" t="s">
        <v>8213</v>
      </c>
      <c r="F626" s="1">
        <v>2021</v>
      </c>
      <c r="G626" s="1" t="s">
        <v>8214</v>
      </c>
      <c r="H626" s="1" t="str">
        <f>HYPERLINK("http://dx.doi.org/10.1093/pcp/pcab125","http://dx.doi.org/10.1093/pcp/pcab125")</f>
        <v>http://dx.doi.org/10.1093/pcp/pcab125</v>
      </c>
      <c r="I626" s="1" t="s">
        <v>8217</v>
      </c>
      <c r="J626" s="1" t="s">
        <v>8215</v>
      </c>
      <c r="K626" s="1" t="s">
        <v>42</v>
      </c>
      <c r="L626" s="1" t="s">
        <v>56</v>
      </c>
    </row>
    <row r="627" spans="1:12" x14ac:dyDescent="0.3">
      <c r="A627" s="1">
        <v>619</v>
      </c>
      <c r="B627" t="s">
        <v>12118</v>
      </c>
      <c r="C627">
        <v>688</v>
      </c>
      <c r="D627" s="1" t="s">
        <v>4239</v>
      </c>
      <c r="E627" s="1" t="s">
        <v>4241</v>
      </c>
      <c r="F627" s="1">
        <v>2023</v>
      </c>
      <c r="G627" s="1" t="s">
        <v>4242</v>
      </c>
      <c r="H627" s="1" t="str">
        <f>HYPERLINK("http://dx.doi.org/10.1021/jacs.3c05819","http://dx.doi.org/10.1021/jacs.3c05819")</f>
        <v>http://dx.doi.org/10.1021/jacs.3c05819</v>
      </c>
      <c r="I627" s="1" t="s">
        <v>4244</v>
      </c>
      <c r="J627" s="1" t="s">
        <v>1507</v>
      </c>
      <c r="K627" s="1" t="s">
        <v>42</v>
      </c>
      <c r="L627" s="1" t="s">
        <v>56</v>
      </c>
    </row>
    <row r="628" spans="1:12" x14ac:dyDescent="0.3">
      <c r="A628" s="1">
        <v>620</v>
      </c>
      <c r="B628" t="s">
        <v>12118</v>
      </c>
      <c r="C628">
        <v>689</v>
      </c>
      <c r="D628" s="1" t="s">
        <v>2617</v>
      </c>
      <c r="E628" s="1" t="s">
        <v>2619</v>
      </c>
      <c r="F628" s="1">
        <v>2023</v>
      </c>
      <c r="G628" s="1" t="s">
        <v>2620</v>
      </c>
      <c r="H628" s="1" t="str">
        <f>HYPERLINK("http://dx.doi.org/10.1021/acscentsci.3c01087","http://dx.doi.org/10.1021/acscentsci.3c01087")</f>
        <v>http://dx.doi.org/10.1021/acscentsci.3c01087</v>
      </c>
      <c r="I628" s="1" t="s">
        <v>2622</v>
      </c>
      <c r="J628" s="1" t="s">
        <v>1507</v>
      </c>
      <c r="K628" s="1" t="s">
        <v>42</v>
      </c>
      <c r="L628" s="1" t="s">
        <v>56</v>
      </c>
    </row>
    <row r="629" spans="1:12" x14ac:dyDescent="0.3">
      <c r="A629" s="1">
        <v>621</v>
      </c>
      <c r="B629" t="s">
        <v>12118</v>
      </c>
      <c r="C629">
        <v>690</v>
      </c>
      <c r="D629" s="1" t="s">
        <v>5313</v>
      </c>
      <c r="E629" s="1" t="s">
        <v>5315</v>
      </c>
      <c r="F629" s="1">
        <v>2023</v>
      </c>
      <c r="G629" s="1" t="s">
        <v>5316</v>
      </c>
      <c r="H629" s="1" t="str">
        <f>HYPERLINK("http://dx.doi.org/10.1007/s11694-023-01873-0","http://dx.doi.org/10.1007/s11694-023-01873-0")</f>
        <v>http://dx.doi.org/10.1007/s11694-023-01873-0</v>
      </c>
      <c r="I629" s="1" t="s">
        <v>5319</v>
      </c>
      <c r="J629" s="1" t="s">
        <v>5317</v>
      </c>
      <c r="K629" s="1" t="s">
        <v>42</v>
      </c>
      <c r="L629" s="1" t="s">
        <v>56</v>
      </c>
    </row>
    <row r="630" spans="1:12" x14ac:dyDescent="0.3">
      <c r="A630" s="1">
        <v>623</v>
      </c>
      <c r="B630" t="s">
        <v>12118</v>
      </c>
      <c r="C630">
        <v>691</v>
      </c>
      <c r="D630" s="1" t="s">
        <v>6664</v>
      </c>
      <c r="E630" s="1" t="s">
        <v>6666</v>
      </c>
      <c r="F630" s="1">
        <v>2023</v>
      </c>
      <c r="G630" s="1" t="s">
        <v>6170</v>
      </c>
      <c r="H630" s="1" t="str">
        <f>HYPERLINK("http://dx.doi.org/10.1145/3626111.3628212","http://dx.doi.org/10.1145/3626111.3628212")</f>
        <v>http://dx.doi.org/10.1145/3626111.3628212</v>
      </c>
      <c r="I630" s="1" t="s">
        <v>6668</v>
      </c>
      <c r="J630" s="1" t="s">
        <v>6667</v>
      </c>
      <c r="K630" s="1" t="s">
        <v>42</v>
      </c>
      <c r="L630" s="1" t="s">
        <v>5552</v>
      </c>
    </row>
    <row r="631" spans="1:12" x14ac:dyDescent="0.3">
      <c r="A631" s="1">
        <v>624</v>
      </c>
      <c r="B631" t="s">
        <v>12118</v>
      </c>
      <c r="C631">
        <v>692</v>
      </c>
      <c r="D631" s="1" t="s">
        <v>8444</v>
      </c>
      <c r="E631" s="1" t="s">
        <v>8446</v>
      </c>
      <c r="F631" s="1">
        <v>2021</v>
      </c>
      <c r="G631" s="1" t="s">
        <v>3251</v>
      </c>
      <c r="H631" s="1" t="str">
        <f>HYPERLINK("http://dx.doi.org/10.1073/pnas.2103984118","http://dx.doi.org/10.1073/pnas.2103984118")</f>
        <v>http://dx.doi.org/10.1073/pnas.2103984118</v>
      </c>
      <c r="I631" s="1" t="s">
        <v>8449</v>
      </c>
      <c r="J631" s="1" t="s">
        <v>8447</v>
      </c>
      <c r="K631" s="1" t="s">
        <v>42</v>
      </c>
      <c r="L631" s="1" t="s">
        <v>56</v>
      </c>
    </row>
    <row r="632" spans="1:12" x14ac:dyDescent="0.3">
      <c r="A632" s="1">
        <v>625</v>
      </c>
      <c r="B632" t="s">
        <v>12118</v>
      </c>
      <c r="C632">
        <v>694</v>
      </c>
      <c r="D632" s="1" t="s">
        <v>9316</v>
      </c>
      <c r="E632" s="1" t="s">
        <v>9318</v>
      </c>
      <c r="F632" s="1">
        <v>2021</v>
      </c>
      <c r="G632" s="1" t="s">
        <v>7697</v>
      </c>
      <c r="H632" s="1" t="s">
        <v>1507</v>
      </c>
      <c r="I632" s="1" t="s">
        <v>9319</v>
      </c>
      <c r="J632" s="1" t="s">
        <v>1507</v>
      </c>
      <c r="K632" s="1" t="s">
        <v>42</v>
      </c>
      <c r="L632" s="1" t="s">
        <v>56</v>
      </c>
    </row>
    <row r="633" spans="1:12" x14ac:dyDescent="0.3">
      <c r="A633" s="1">
        <v>626</v>
      </c>
      <c r="B633" t="s">
        <v>12118</v>
      </c>
      <c r="C633">
        <v>695</v>
      </c>
      <c r="D633" s="1" t="s">
        <v>6674</v>
      </c>
      <c r="E633" s="1" t="s">
        <v>6676</v>
      </c>
      <c r="F633" s="1">
        <v>2023</v>
      </c>
      <c r="G633" s="1" t="s">
        <v>6677</v>
      </c>
      <c r="H633" s="1" t="str">
        <f>HYPERLINK("http://dx.doi.org/10.1145/3586182.3625121","http://dx.doi.org/10.1145/3586182.3625121")</f>
        <v>http://dx.doi.org/10.1145/3586182.3625121</v>
      </c>
      <c r="I633" s="1" t="s">
        <v>6682</v>
      </c>
      <c r="J633" s="1" t="s">
        <v>6681</v>
      </c>
      <c r="K633" s="1" t="s">
        <v>42</v>
      </c>
      <c r="L633" s="1" t="s">
        <v>5552</v>
      </c>
    </row>
    <row r="634" spans="1:12" x14ac:dyDescent="0.3">
      <c r="A634" s="1">
        <v>627</v>
      </c>
      <c r="B634" t="s">
        <v>12118</v>
      </c>
      <c r="C634">
        <v>696</v>
      </c>
      <c r="D634" s="1" t="s">
        <v>11507</v>
      </c>
      <c r="E634" s="1" t="s">
        <v>11510</v>
      </c>
      <c r="F634" s="1">
        <v>2019</v>
      </c>
      <c r="G634" s="1" t="s">
        <v>11511</v>
      </c>
      <c r="H634" s="1" t="str">
        <f>HYPERLINK("http://dx.doi.org/10.1007/978-3-030-11935-5_28","http://dx.doi.org/10.1007/978-3-030-11935-5_28")</f>
        <v>http://dx.doi.org/10.1007/978-3-030-11935-5_28</v>
      </c>
      <c r="I634" s="1" t="s">
        <v>11519</v>
      </c>
      <c r="J634" s="1" t="s">
        <v>11517</v>
      </c>
      <c r="K634" s="1" t="s">
        <v>42</v>
      </c>
      <c r="L634" s="1" t="s">
        <v>5552</v>
      </c>
    </row>
    <row r="635" spans="1:12" x14ac:dyDescent="0.3">
      <c r="A635" s="1">
        <v>628</v>
      </c>
      <c r="B635" t="s">
        <v>12118</v>
      </c>
      <c r="C635">
        <v>697</v>
      </c>
      <c r="D635" s="1" t="s">
        <v>1733</v>
      </c>
      <c r="E635" s="1" t="s">
        <v>1735</v>
      </c>
      <c r="F635" s="1">
        <v>2023</v>
      </c>
      <c r="G635" s="1" t="s">
        <v>1736</v>
      </c>
      <c r="H635" s="1" t="str">
        <f>HYPERLINK("http://dx.doi.org/10.1080/10447318.2023.2295725","http://dx.doi.org/10.1080/10447318.2023.2295725")</f>
        <v>http://dx.doi.org/10.1080/10447318.2023.2295725</v>
      </c>
      <c r="I635" s="1" t="s">
        <v>1738</v>
      </c>
      <c r="J635" s="1" t="s">
        <v>1737</v>
      </c>
      <c r="K635" s="1" t="s">
        <v>42</v>
      </c>
      <c r="L635" s="1" t="s">
        <v>1509</v>
      </c>
    </row>
    <row r="636" spans="1:12" x14ac:dyDescent="0.3">
      <c r="A636" s="1">
        <v>629</v>
      </c>
      <c r="B636" t="s">
        <v>12118</v>
      </c>
      <c r="C636">
        <v>698</v>
      </c>
      <c r="D636" s="1" t="s">
        <v>6756</v>
      </c>
      <c r="E636" s="1" t="s">
        <v>6758</v>
      </c>
      <c r="F636" s="1">
        <v>2022</v>
      </c>
      <c r="G636" s="1" t="s">
        <v>6759</v>
      </c>
      <c r="H636" s="1" t="str">
        <f>HYPERLINK("http://dx.doi.org/10.1088/2058-6272/aca00a","http://dx.doi.org/10.1088/2058-6272/aca00a")</f>
        <v>http://dx.doi.org/10.1088/2058-6272/aca00a</v>
      </c>
      <c r="I636" s="1" t="s">
        <v>6762</v>
      </c>
      <c r="J636" s="1" t="s">
        <v>6760</v>
      </c>
      <c r="K636" s="1" t="s">
        <v>42</v>
      </c>
      <c r="L636" s="1" t="s">
        <v>56</v>
      </c>
    </row>
    <row r="637" spans="1:12" x14ac:dyDescent="0.3">
      <c r="A637" s="1" t="s">
        <v>16063</v>
      </c>
      <c r="B637" t="s">
        <v>12118</v>
      </c>
      <c r="C637">
        <v>494</v>
      </c>
      <c r="D637" s="1" t="s">
        <v>4593</v>
      </c>
      <c r="E637" s="1" t="s">
        <v>365</v>
      </c>
      <c r="F637" s="1">
        <v>2023</v>
      </c>
      <c r="G637" s="1" t="s">
        <v>4595</v>
      </c>
      <c r="H637" s="1" t="str">
        <f>HYPERLINK("http://dx.doi.org/10.1148/radiol.230970","http://dx.doi.org/10.1148/radiol.230970")</f>
        <v>http://dx.doi.org/10.1148/radiol.230970</v>
      </c>
      <c r="I637" s="1" t="s">
        <v>4597</v>
      </c>
      <c r="J637" s="1" t="s">
        <v>1507</v>
      </c>
      <c r="K637" s="1" t="s">
        <v>42</v>
      </c>
      <c r="L637" s="1" t="s">
        <v>56</v>
      </c>
    </row>
    <row r="638" spans="1:12" x14ac:dyDescent="0.3">
      <c r="A638" s="1" t="s">
        <v>16063</v>
      </c>
      <c r="B638" t="s">
        <v>12118</v>
      </c>
      <c r="C638">
        <v>248</v>
      </c>
      <c r="D638" s="1" t="s">
        <v>5925</v>
      </c>
      <c r="E638" s="1" t="s">
        <v>5927</v>
      </c>
      <c r="F638" s="1">
        <v>2023</v>
      </c>
      <c r="G638" s="1" t="s">
        <v>5740</v>
      </c>
      <c r="H638" s="1" t="str">
        <f>HYPERLINK("http://dx.doi.org/10.53761/1.20.7.08","http://dx.doi.org/10.53761/1.20.7.08")</f>
        <v>http://dx.doi.org/10.53761/1.20.7.08</v>
      </c>
      <c r="I638" s="1" t="s">
        <v>5930</v>
      </c>
      <c r="J638" s="1" t="s">
        <v>5928</v>
      </c>
      <c r="K638" s="1" t="s">
        <v>42</v>
      </c>
      <c r="L638" s="1" t="s">
        <v>56</v>
      </c>
    </row>
    <row r="639" spans="1:12" x14ac:dyDescent="0.3">
      <c r="A639" s="1" t="s">
        <v>16063</v>
      </c>
      <c r="B639" t="s">
        <v>12118</v>
      </c>
      <c r="C639">
        <v>477</v>
      </c>
      <c r="D639" s="1" t="s">
        <v>6232</v>
      </c>
      <c r="E639" s="1" t="s">
        <v>796</v>
      </c>
      <c r="F639" s="1">
        <v>2023</v>
      </c>
      <c r="G639" s="1" t="s">
        <v>5740</v>
      </c>
      <c r="H639" s="1" t="str">
        <f>HYPERLINK("http://dx.doi.org/10.53761/1.20.02.07","http://dx.doi.org/10.53761/1.20.02.07")</f>
        <v>http://dx.doi.org/10.53761/1.20.02.07</v>
      </c>
      <c r="I639" s="1" t="s">
        <v>6236</v>
      </c>
      <c r="J639" s="1" t="s">
        <v>6234</v>
      </c>
      <c r="K639" s="1" t="s">
        <v>42</v>
      </c>
      <c r="L639" s="1" t="s">
        <v>56</v>
      </c>
    </row>
    <row r="640" spans="1:12" x14ac:dyDescent="0.3">
      <c r="A640" s="1" t="s">
        <v>16063</v>
      </c>
      <c r="B640" t="s">
        <v>12118</v>
      </c>
      <c r="C640">
        <v>400</v>
      </c>
      <c r="D640" s="1" t="s">
        <v>15205</v>
      </c>
      <c r="E640" s="1" t="s">
        <v>15208</v>
      </c>
      <c r="F640" s="1">
        <v>2023</v>
      </c>
      <c r="G640" s="1" t="s">
        <v>15209</v>
      </c>
      <c r="H640" s="1" t="str">
        <f>HYPERLINK("http://dx.doi.org/10.1007/978-3-031-48060-7_14","http://dx.doi.org/10.1007/978-3-031-48060-7_14")</f>
        <v>http://dx.doi.org/10.1007/978-3-031-48060-7_14</v>
      </c>
      <c r="I640" s="1" t="s">
        <v>15214</v>
      </c>
      <c r="J640" s="1" t="s">
        <v>15213</v>
      </c>
      <c r="K640" s="1" t="s">
        <v>42</v>
      </c>
      <c r="L640" s="1" t="s">
        <v>5552</v>
      </c>
    </row>
    <row r="641" spans="1:12" x14ac:dyDescent="0.3">
      <c r="A641" s="1" t="s">
        <v>16063</v>
      </c>
      <c r="B641" t="s">
        <v>12118</v>
      </c>
      <c r="C641">
        <v>12</v>
      </c>
      <c r="D641" s="1" t="s">
        <v>3979</v>
      </c>
      <c r="E641" s="1" t="s">
        <v>3981</v>
      </c>
      <c r="F641" s="1">
        <v>2023</v>
      </c>
      <c r="G641" s="1" t="s">
        <v>3982</v>
      </c>
      <c r="H641" s="1" t="str">
        <f>HYPERLINK("http://dx.doi.org/10.3390/educsci13090885","http://dx.doi.org/10.3390/educsci13090885")</f>
        <v>http://dx.doi.org/10.3390/educsci13090885</v>
      </c>
      <c r="I641" s="1" t="s">
        <v>3983</v>
      </c>
      <c r="J641" s="1" t="s">
        <v>420</v>
      </c>
      <c r="K641" s="1" t="s">
        <v>42</v>
      </c>
      <c r="L641" s="1" t="s">
        <v>56</v>
      </c>
    </row>
    <row r="642" spans="1:12" x14ac:dyDescent="0.3">
      <c r="A642" s="1" t="s">
        <v>16063</v>
      </c>
      <c r="B642" t="s">
        <v>12118</v>
      </c>
      <c r="C642">
        <v>263</v>
      </c>
      <c r="D642" s="1" t="s">
        <v>3421</v>
      </c>
      <c r="E642" s="1" t="s">
        <v>485</v>
      </c>
      <c r="F642" s="1">
        <v>2023</v>
      </c>
      <c r="G642" s="1" t="s">
        <v>1999</v>
      </c>
      <c r="H642" s="1" t="str">
        <f>HYPERLINK("http://dx.doi.org/10.1371/journal.pone.0292216","http://dx.doi.org/10.1371/journal.pone.0292216")</f>
        <v>http://dx.doi.org/10.1371/journal.pone.0292216</v>
      </c>
      <c r="I642" s="1" t="s">
        <v>3423</v>
      </c>
      <c r="J642" s="1" t="s">
        <v>1507</v>
      </c>
      <c r="K642" s="1" t="s">
        <v>42</v>
      </c>
      <c r="L642" s="1" t="s">
        <v>56</v>
      </c>
    </row>
    <row r="643" spans="1:12" x14ac:dyDescent="0.3">
      <c r="A643" s="1" t="s">
        <v>16063</v>
      </c>
      <c r="B643" t="s">
        <v>12118</v>
      </c>
      <c r="C643">
        <v>436</v>
      </c>
      <c r="D643" s="1" t="s">
        <v>15243</v>
      </c>
      <c r="E643" s="1" t="s">
        <v>114</v>
      </c>
      <c r="F643" s="1">
        <v>2023</v>
      </c>
      <c r="G643" s="1" t="s">
        <v>15245</v>
      </c>
      <c r="H643" s="1" t="str">
        <f>HYPERLINK("http://dx.doi.org/10.1109/WI-IAT59888.2023.00088","http://dx.doi.org/10.1109/WI-IAT59888.2023.00088")</f>
        <v>http://dx.doi.org/10.1109/WI-IAT59888.2023.00088</v>
      </c>
      <c r="I643" s="1" t="s">
        <v>15251</v>
      </c>
      <c r="J643" s="1" t="s">
        <v>15250</v>
      </c>
      <c r="K643" s="1" t="s">
        <v>42</v>
      </c>
      <c r="L643" s="1" t="s">
        <v>5552</v>
      </c>
    </row>
    <row r="644" spans="1:12" x14ac:dyDescent="0.3">
      <c r="A644" s="1" t="s">
        <v>16063</v>
      </c>
      <c r="B644" t="s">
        <v>12118</v>
      </c>
      <c r="C644">
        <v>129</v>
      </c>
      <c r="D644" s="1" t="s">
        <v>5756</v>
      </c>
      <c r="E644" s="1" t="s">
        <v>1285</v>
      </c>
      <c r="F644" s="1">
        <v>2023</v>
      </c>
      <c r="G644" s="1" t="s">
        <v>5740</v>
      </c>
      <c r="H644" s="1" t="s">
        <v>1507</v>
      </c>
      <c r="I644" s="1" t="s">
        <v>5759</v>
      </c>
      <c r="J644" s="1" t="s">
        <v>5758</v>
      </c>
      <c r="K644" s="1" t="s">
        <v>42</v>
      </c>
      <c r="L644" s="1" t="s">
        <v>56</v>
      </c>
    </row>
    <row r="645" spans="1:12" x14ac:dyDescent="0.3">
      <c r="A645" s="1" t="s">
        <v>16063</v>
      </c>
      <c r="B645" t="s">
        <v>12118</v>
      </c>
      <c r="C645">
        <v>382</v>
      </c>
      <c r="D645" s="1" t="s">
        <v>4878</v>
      </c>
      <c r="E645" s="1" t="s">
        <v>1187</v>
      </c>
      <c r="F645" s="1">
        <v>2023</v>
      </c>
      <c r="G645" s="1" t="s">
        <v>4880</v>
      </c>
      <c r="H645" s="1" t="str">
        <f>HYPERLINK("http://dx.doi.org/10.3389/fcomm.2023.1129082","http://dx.doi.org/10.3389/fcomm.2023.1129082")</f>
        <v>http://dx.doi.org/10.3389/fcomm.2023.1129082</v>
      </c>
      <c r="I645" s="1" t="s">
        <v>4883</v>
      </c>
      <c r="J645" s="1" t="s">
        <v>4881</v>
      </c>
      <c r="K645" s="1" t="s">
        <v>42</v>
      </c>
      <c r="L645" s="1" t="s">
        <v>56</v>
      </c>
    </row>
    <row r="646" spans="1:12" x14ac:dyDescent="0.3">
      <c r="A646" s="1" t="s">
        <v>16063</v>
      </c>
      <c r="B646" t="s">
        <v>12118</v>
      </c>
      <c r="C646">
        <v>586</v>
      </c>
      <c r="D646" s="1" t="s">
        <v>2311</v>
      </c>
      <c r="E646" s="1" t="s">
        <v>243</v>
      </c>
      <c r="F646" s="1">
        <v>2023</v>
      </c>
      <c r="G646" s="1" t="s">
        <v>2200</v>
      </c>
      <c r="H646" s="1" t="str">
        <f>HYPERLINK("http://dx.doi.org/10.3390/informatics10040081","http://dx.doi.org/10.3390/informatics10040081")</f>
        <v>http://dx.doi.org/10.3390/informatics10040081</v>
      </c>
      <c r="I646" s="1" t="s">
        <v>2314</v>
      </c>
      <c r="J646" s="1" t="s">
        <v>2313</v>
      </c>
      <c r="K646" s="1" t="s">
        <v>42</v>
      </c>
      <c r="L646" s="1" t="s">
        <v>56</v>
      </c>
    </row>
    <row r="647" spans="1:12" x14ac:dyDescent="0.3">
      <c r="A647" s="1" t="s">
        <v>16063</v>
      </c>
      <c r="B647" t="s">
        <v>12118</v>
      </c>
      <c r="C647">
        <v>599</v>
      </c>
      <c r="D647" s="1" t="s">
        <v>6463</v>
      </c>
      <c r="E647" s="1" t="s">
        <v>6465</v>
      </c>
      <c r="F647" s="1">
        <v>2023</v>
      </c>
      <c r="G647" s="1" t="s">
        <v>6466</v>
      </c>
      <c r="H647" s="1" t="str">
        <f>HYPERLINK("http://dx.doi.org/10.18089/tms.2023.190402","http://dx.doi.org/10.18089/tms.2023.190402")</f>
        <v>http://dx.doi.org/10.18089/tms.2023.190402</v>
      </c>
      <c r="I647" s="1" t="s">
        <v>6469</v>
      </c>
      <c r="J647" s="1" t="s">
        <v>6467</v>
      </c>
      <c r="K647" s="1" t="s">
        <v>42</v>
      </c>
      <c r="L647" s="1" t="s">
        <v>56</v>
      </c>
    </row>
    <row r="648" spans="1:12" x14ac:dyDescent="0.3">
      <c r="A648" s="1" t="s">
        <v>16063</v>
      </c>
      <c r="B648" t="s">
        <v>12118</v>
      </c>
      <c r="C648">
        <v>515</v>
      </c>
      <c r="D648" s="1" t="s">
        <v>6307</v>
      </c>
      <c r="E648" s="1" t="s">
        <v>1057</v>
      </c>
      <c r="F648" s="1">
        <v>2023</v>
      </c>
      <c r="G648" s="1" t="s">
        <v>5976</v>
      </c>
      <c r="H648" s="1" t="str">
        <f>HYPERLINK("http://dx.doi.org/10.2196/48254","http://dx.doi.org/10.2196/48254")</f>
        <v>http://dx.doi.org/10.2196/48254</v>
      </c>
      <c r="I648" s="1" t="s">
        <v>6311</v>
      </c>
      <c r="J648" s="1" t="s">
        <v>6309</v>
      </c>
      <c r="K648" s="1" t="s">
        <v>42</v>
      </c>
      <c r="L648" s="1" t="s">
        <v>56</v>
      </c>
    </row>
    <row r="649" spans="1:12" x14ac:dyDescent="0.3">
      <c r="A649" s="1" t="s">
        <v>16063</v>
      </c>
      <c r="B649" t="s">
        <v>12118</v>
      </c>
      <c r="C649">
        <v>275</v>
      </c>
      <c r="D649" s="1" t="s">
        <v>5974</v>
      </c>
      <c r="E649" s="1" t="s">
        <v>995</v>
      </c>
      <c r="F649" s="1">
        <v>2023</v>
      </c>
      <c r="G649" s="1" t="s">
        <v>5976</v>
      </c>
      <c r="H649" s="1" t="str">
        <f>HYPERLINK("http://dx.doi.org/10.2196/50514","http://dx.doi.org/10.2196/50514")</f>
        <v>http://dx.doi.org/10.2196/50514</v>
      </c>
      <c r="I649" s="1" t="s">
        <v>5978</v>
      </c>
      <c r="J649" s="1" t="s">
        <v>5977</v>
      </c>
      <c r="K649" s="1" t="s">
        <v>42</v>
      </c>
      <c r="L649" s="1" t="s">
        <v>56</v>
      </c>
    </row>
    <row r="650" spans="1:12" x14ac:dyDescent="0.3">
      <c r="A650" s="1" t="s">
        <v>16063</v>
      </c>
      <c r="B650" t="s">
        <v>12118</v>
      </c>
      <c r="C650">
        <v>590</v>
      </c>
      <c r="D650" s="1" t="s">
        <v>4359</v>
      </c>
      <c r="E650" s="1" t="s">
        <v>904</v>
      </c>
      <c r="F650" s="1">
        <v>2023</v>
      </c>
      <c r="G650" s="1" t="s">
        <v>3577</v>
      </c>
      <c r="H650" s="1" t="s">
        <v>1507</v>
      </c>
      <c r="I650" s="1" t="s">
        <v>4362</v>
      </c>
      <c r="J650" s="1" t="s">
        <v>4361</v>
      </c>
      <c r="K650" s="1" t="s">
        <v>42</v>
      </c>
      <c r="L650" s="1" t="s">
        <v>56</v>
      </c>
    </row>
    <row r="651" spans="1:12" x14ac:dyDescent="0.3">
      <c r="A651" s="1" t="s">
        <v>16063</v>
      </c>
      <c r="B651" t="s">
        <v>12118</v>
      </c>
      <c r="C651">
        <v>277</v>
      </c>
      <c r="D651" s="1" t="s">
        <v>3862</v>
      </c>
      <c r="E651" s="1" t="s">
        <v>966</v>
      </c>
      <c r="F651" s="1">
        <v>2023</v>
      </c>
      <c r="G651" s="1" t="s">
        <v>3864</v>
      </c>
      <c r="H651" s="1" t="str">
        <f>HYPERLINK("http://dx.doi.org/10.3389/fonc.2023.1265024","http://dx.doi.org/10.3389/fonc.2023.1265024")</f>
        <v>http://dx.doi.org/10.3389/fonc.2023.1265024</v>
      </c>
      <c r="I651" s="1" t="s">
        <v>3867</v>
      </c>
      <c r="J651" s="1" t="s">
        <v>3865</v>
      </c>
      <c r="K651" s="1" t="s">
        <v>42</v>
      </c>
      <c r="L651" s="1" t="s">
        <v>56</v>
      </c>
    </row>
    <row r="652" spans="1:12" x14ac:dyDescent="0.3">
      <c r="A652" s="1" t="s">
        <v>16063</v>
      </c>
      <c r="B652" t="s">
        <v>12118</v>
      </c>
      <c r="C652">
        <v>638</v>
      </c>
      <c r="D652" s="1" t="s">
        <v>4276</v>
      </c>
      <c r="E652" s="1" t="s">
        <v>204</v>
      </c>
      <c r="F652" s="1">
        <v>2023</v>
      </c>
      <c r="G652" s="1" t="s">
        <v>4278</v>
      </c>
      <c r="H652" s="1" t="str">
        <f>HYPERLINK("http://dx.doi.org/10.1093/glycob/cwad064","http://dx.doi.org/10.1093/glycob/cwad064")</f>
        <v>http://dx.doi.org/10.1093/glycob/cwad064</v>
      </c>
      <c r="I652" s="1" t="s">
        <v>4279</v>
      </c>
      <c r="J652" s="1" t="s">
        <v>210</v>
      </c>
      <c r="K652" s="1" t="s">
        <v>42</v>
      </c>
      <c r="L652" s="1" t="s">
        <v>56</v>
      </c>
    </row>
    <row r="653" spans="1:12" x14ac:dyDescent="0.3">
      <c r="A653" s="1" t="s">
        <v>16063</v>
      </c>
      <c r="B653" t="s">
        <v>12118</v>
      </c>
      <c r="C653">
        <v>608</v>
      </c>
      <c r="D653" s="1" t="s">
        <v>7172</v>
      </c>
      <c r="E653" s="1" t="s">
        <v>7174</v>
      </c>
      <c r="F653" s="1">
        <v>2022</v>
      </c>
      <c r="G653" s="1" t="s">
        <v>7175</v>
      </c>
      <c r="H653" s="1" t="str">
        <f>HYPERLINK("http://dx.doi.org/10.1136/bmjdrc-2022-002765","http://dx.doi.org/10.1136/bmjdrc-2022-002765")</f>
        <v>http://dx.doi.org/10.1136/bmjdrc-2022-002765</v>
      </c>
      <c r="I653" s="1" t="s">
        <v>7177</v>
      </c>
      <c r="J653" s="1" t="s">
        <v>1507</v>
      </c>
      <c r="K653" s="1" t="s">
        <v>42</v>
      </c>
      <c r="L653" s="1" t="s">
        <v>56</v>
      </c>
    </row>
    <row r="654" spans="1:12" x14ac:dyDescent="0.3">
      <c r="A654" s="1" t="s">
        <v>16063</v>
      </c>
      <c r="B654" t="s">
        <v>12118</v>
      </c>
      <c r="C654">
        <v>82</v>
      </c>
      <c r="D654" s="1" t="s">
        <v>4510</v>
      </c>
      <c r="E654" s="1" t="s">
        <v>405</v>
      </c>
      <c r="F654" s="1">
        <v>2023</v>
      </c>
      <c r="G654" s="1" t="s">
        <v>4512</v>
      </c>
      <c r="H654" s="1" t="str">
        <f>HYPERLINK("http://dx.doi.org/10.1186/s40862-023-00194-5","http://dx.doi.org/10.1186/s40862-023-00194-5")</f>
        <v>http://dx.doi.org/10.1186/s40862-023-00194-5</v>
      </c>
      <c r="I654" s="1" t="s">
        <v>4515</v>
      </c>
      <c r="J654" s="1" t="s">
        <v>4513</v>
      </c>
      <c r="K654" s="1" t="s">
        <v>42</v>
      </c>
      <c r="L654" s="1" t="s">
        <v>56</v>
      </c>
    </row>
    <row r="655" spans="1:12" x14ac:dyDescent="0.3">
      <c r="A655" s="1" t="s">
        <v>16063</v>
      </c>
      <c r="B655" t="s">
        <v>12118</v>
      </c>
      <c r="C655">
        <v>330</v>
      </c>
      <c r="D655" s="1" t="s">
        <v>2383</v>
      </c>
      <c r="E655" s="1" t="s">
        <v>1347</v>
      </c>
      <c r="F655" s="1">
        <v>2023</v>
      </c>
      <c r="G655" s="1" t="s">
        <v>2385</v>
      </c>
      <c r="H655" s="1" t="str">
        <f>HYPERLINK("http://dx.doi.org/10.1080/03323315.2023.2284901","http://dx.doi.org/10.1080/03323315.2023.2284901")</f>
        <v>http://dx.doi.org/10.1080/03323315.2023.2284901</v>
      </c>
      <c r="I655" s="1" t="s">
        <v>2387</v>
      </c>
      <c r="J655" s="1" t="s">
        <v>2386</v>
      </c>
      <c r="K655" s="1" t="s">
        <v>42</v>
      </c>
      <c r="L655" s="1" t="s">
        <v>1509</v>
      </c>
    </row>
    <row r="656" spans="1:12" x14ac:dyDescent="0.3">
      <c r="A656" s="1" t="s">
        <v>16063</v>
      </c>
      <c r="B656" t="s">
        <v>12118</v>
      </c>
      <c r="C656">
        <v>416</v>
      </c>
      <c r="D656" s="1" t="s">
        <v>4258</v>
      </c>
      <c r="E656" s="1" t="s">
        <v>571</v>
      </c>
      <c r="F656" s="1">
        <v>2023</v>
      </c>
      <c r="G656" s="1" t="s">
        <v>4260</v>
      </c>
      <c r="H656" s="1" t="str">
        <f>HYPERLINK("http://dx.doi.org/10.1123/ijspp.2023-0109","http://dx.doi.org/10.1123/ijspp.2023-0109")</f>
        <v>http://dx.doi.org/10.1123/ijspp.2023-0109</v>
      </c>
      <c r="I656" s="1" t="s">
        <v>4261</v>
      </c>
      <c r="J656" s="1" t="s">
        <v>577</v>
      </c>
      <c r="K656" s="1" t="s">
        <v>42</v>
      </c>
      <c r="L656" s="1" t="s">
        <v>56</v>
      </c>
    </row>
    <row r="657" spans="1:12" x14ac:dyDescent="0.3">
      <c r="A657" t="s">
        <v>16063</v>
      </c>
      <c r="B657" t="s">
        <v>12204</v>
      </c>
      <c r="C657">
        <v>255</v>
      </c>
      <c r="D657" t="s">
        <v>12658</v>
      </c>
      <c r="E657" t="s">
        <v>1275</v>
      </c>
      <c r="F657">
        <v>2023</v>
      </c>
      <c r="G657" t="s">
        <v>1276</v>
      </c>
      <c r="H657" t="s">
        <v>1278</v>
      </c>
      <c r="I657" t="s">
        <v>1281</v>
      </c>
      <c r="J657" t="s">
        <v>1282</v>
      </c>
      <c r="K657" t="s">
        <v>42</v>
      </c>
      <c r="L657" t="s">
        <v>56</v>
      </c>
    </row>
    <row r="658" spans="1:12" x14ac:dyDescent="0.3">
      <c r="A658" t="s">
        <v>16063</v>
      </c>
      <c r="B658" t="s">
        <v>12204</v>
      </c>
      <c r="C658">
        <v>288</v>
      </c>
      <c r="D658" t="s">
        <v>13681</v>
      </c>
      <c r="E658" t="s">
        <v>737</v>
      </c>
      <c r="F658">
        <v>2023</v>
      </c>
      <c r="G658" t="s">
        <v>738</v>
      </c>
      <c r="H658" t="s">
        <v>739</v>
      </c>
      <c r="I658" t="s">
        <v>742</v>
      </c>
      <c r="J658" t="s">
        <v>743</v>
      </c>
      <c r="K658" t="s">
        <v>42</v>
      </c>
      <c r="L658" t="s">
        <v>56</v>
      </c>
    </row>
    <row r="659" spans="1:12" x14ac:dyDescent="0.3">
      <c r="A659" s="1" t="s">
        <v>16063</v>
      </c>
      <c r="B659" t="s">
        <v>12118</v>
      </c>
      <c r="C659">
        <v>95</v>
      </c>
      <c r="D659" s="1" t="s">
        <v>5073</v>
      </c>
      <c r="E659" s="1" t="s">
        <v>693</v>
      </c>
      <c r="F659" s="1">
        <v>2023</v>
      </c>
      <c r="G659" s="1" t="s">
        <v>5075</v>
      </c>
      <c r="H659" s="1" t="str">
        <f>HYPERLINK("http://dx.doi.org/10.1016/j.jbi.2023.104370","http://dx.doi.org/10.1016/j.jbi.2023.104370")</f>
        <v>http://dx.doi.org/10.1016/j.jbi.2023.104370</v>
      </c>
      <c r="I659" s="1" t="s">
        <v>5078</v>
      </c>
      <c r="J659" s="1" t="s">
        <v>5076</v>
      </c>
      <c r="K659" s="1" t="s">
        <v>42</v>
      </c>
      <c r="L659" s="1" t="s">
        <v>56</v>
      </c>
    </row>
    <row r="660" spans="1:12" x14ac:dyDescent="0.3">
      <c r="A660" s="1" t="s">
        <v>16063</v>
      </c>
      <c r="B660" t="s">
        <v>12118</v>
      </c>
      <c r="C660">
        <v>210</v>
      </c>
      <c r="D660" s="1" t="s">
        <v>4342</v>
      </c>
      <c r="E660" s="1" t="s">
        <v>173</v>
      </c>
      <c r="F660" s="1">
        <v>2023</v>
      </c>
      <c r="G660" s="1" t="s">
        <v>4344</v>
      </c>
      <c r="H660" s="1" t="str">
        <f>HYPERLINK("http://dx.doi.org/10.3390/mti7080081","http://dx.doi.org/10.3390/mti7080081")</f>
        <v>http://dx.doi.org/10.3390/mti7080081</v>
      </c>
      <c r="I660" s="1" t="s">
        <v>4346</v>
      </c>
      <c r="J660" s="1" t="s">
        <v>4345</v>
      </c>
      <c r="K660" s="1" t="s">
        <v>42</v>
      </c>
      <c r="L660" s="1" t="s">
        <v>56</v>
      </c>
    </row>
    <row r="661" spans="1:12" x14ac:dyDescent="0.3">
      <c r="A661" s="1" t="s">
        <v>16063</v>
      </c>
      <c r="B661" t="s">
        <v>12118</v>
      </c>
      <c r="C661">
        <v>280</v>
      </c>
      <c r="D661" s="1" t="s">
        <v>14102</v>
      </c>
      <c r="E661" s="1" t="s">
        <v>600</v>
      </c>
      <c r="F661" s="1">
        <v>2023</v>
      </c>
      <c r="G661" s="1" t="s">
        <v>14104</v>
      </c>
      <c r="H661" s="1" t="str">
        <f>HYPERLINK("http://dx.doi.org/10.1148/ryai.220281","http://dx.doi.org/10.1148/ryai.220281")</f>
        <v>http://dx.doi.org/10.1148/ryai.220281</v>
      </c>
      <c r="I661" s="1" t="s">
        <v>14106</v>
      </c>
      <c r="J661" s="1" t="s">
        <v>14105</v>
      </c>
      <c r="K661" s="1" t="s">
        <v>42</v>
      </c>
      <c r="L661" s="1" t="s">
        <v>56</v>
      </c>
    </row>
    <row r="662" spans="1:12" x14ac:dyDescent="0.3">
      <c r="A662" t="s">
        <v>16063</v>
      </c>
      <c r="B662" t="s">
        <v>12204</v>
      </c>
      <c r="C662">
        <v>58</v>
      </c>
      <c r="D662" t="s">
        <v>12274</v>
      </c>
      <c r="E662" t="s">
        <v>954</v>
      </c>
      <c r="F662">
        <v>2019</v>
      </c>
      <c r="G662" t="s">
        <v>955</v>
      </c>
      <c r="H662" t="s">
        <v>956</v>
      </c>
      <c r="I662" t="s">
        <v>959</v>
      </c>
      <c r="K662" t="s">
        <v>42</v>
      </c>
      <c r="L662" t="s">
        <v>56</v>
      </c>
    </row>
    <row r="663" spans="1:12" x14ac:dyDescent="0.3">
      <c r="A663" s="1" t="s">
        <v>16063</v>
      </c>
      <c r="B663" t="s">
        <v>12118</v>
      </c>
      <c r="C663">
        <v>229</v>
      </c>
      <c r="D663" s="1" t="s">
        <v>1655</v>
      </c>
      <c r="E663" s="1" t="s">
        <v>559</v>
      </c>
      <c r="F663" s="1">
        <v>2023</v>
      </c>
      <c r="G663" s="1" t="s">
        <v>1657</v>
      </c>
      <c r="H663" s="1" t="str">
        <f>HYPERLINK("http://dx.doi.org/10.2196/51580","http://dx.doi.org/10.2196/51580")</f>
        <v>http://dx.doi.org/10.2196/51580</v>
      </c>
      <c r="I663" s="1" t="s">
        <v>1660</v>
      </c>
      <c r="J663" s="1" t="s">
        <v>1658</v>
      </c>
      <c r="K663" s="1" t="s">
        <v>42</v>
      </c>
      <c r="L663" s="1" t="s">
        <v>56</v>
      </c>
    </row>
    <row r="664" spans="1:12" x14ac:dyDescent="0.3">
      <c r="A664" t="s">
        <v>16063</v>
      </c>
      <c r="B664" t="s">
        <v>12204</v>
      </c>
      <c r="C664">
        <v>430</v>
      </c>
      <c r="D664" t="s">
        <v>12889</v>
      </c>
      <c r="E664" t="s">
        <v>12887</v>
      </c>
      <c r="F664">
        <v>2023</v>
      </c>
      <c r="G664" t="s">
        <v>475</v>
      </c>
      <c r="H664" t="s">
        <v>477</v>
      </c>
      <c r="I664" t="s">
        <v>480</v>
      </c>
      <c r="J664" t="s">
        <v>481</v>
      </c>
      <c r="K664" t="s">
        <v>12881</v>
      </c>
      <c r="L664" t="s">
        <v>56</v>
      </c>
    </row>
    <row r="665" spans="1:12" x14ac:dyDescent="0.3">
      <c r="A665" s="1" t="s">
        <v>16063</v>
      </c>
      <c r="B665" t="s">
        <v>12118</v>
      </c>
      <c r="C665">
        <v>302</v>
      </c>
      <c r="D665" s="1" t="s">
        <v>4194</v>
      </c>
      <c r="E665" s="1" t="s">
        <v>4196</v>
      </c>
      <c r="F665" s="1">
        <v>2023</v>
      </c>
      <c r="G665" s="1" t="s">
        <v>4197</v>
      </c>
      <c r="H665" s="1" t="str">
        <f>HYPERLINK("http://dx.doi.org/10.1007/s00167-023-07529-2","http://dx.doi.org/10.1007/s00167-023-07529-2")</f>
        <v>http://dx.doi.org/10.1007/s00167-023-07529-2</v>
      </c>
      <c r="I665" s="1" t="s">
        <v>4199</v>
      </c>
      <c r="J665" s="1" t="s">
        <v>4198</v>
      </c>
      <c r="K665" s="1" t="s">
        <v>42</v>
      </c>
      <c r="L665" s="1" t="s">
        <v>56</v>
      </c>
    </row>
    <row r="666" spans="1:12" x14ac:dyDescent="0.3">
      <c r="A666" t="s">
        <v>16063</v>
      </c>
      <c r="B666" t="s">
        <v>12204</v>
      </c>
      <c r="C666">
        <v>426</v>
      </c>
      <c r="D666" t="s">
        <v>12467</v>
      </c>
      <c r="E666" t="s">
        <v>977</v>
      </c>
      <c r="F666">
        <v>2023</v>
      </c>
      <c r="G666" t="s">
        <v>335</v>
      </c>
      <c r="H666" t="s">
        <v>978</v>
      </c>
      <c r="I666" t="s">
        <v>981</v>
      </c>
      <c r="J666" t="s">
        <v>982</v>
      </c>
      <c r="K666" t="s">
        <v>42</v>
      </c>
      <c r="L666" t="s">
        <v>56</v>
      </c>
    </row>
    <row r="667" spans="1:12" x14ac:dyDescent="0.3">
      <c r="A667" t="s">
        <v>16063</v>
      </c>
      <c r="B667" t="s">
        <v>12204</v>
      </c>
      <c r="C667">
        <v>191</v>
      </c>
      <c r="D667" t="s">
        <v>12621</v>
      </c>
      <c r="E667" t="s">
        <v>1177</v>
      </c>
      <c r="F667">
        <v>2023</v>
      </c>
      <c r="G667" t="s">
        <v>1178</v>
      </c>
      <c r="H667" t="s">
        <v>1179</v>
      </c>
      <c r="I667" t="s">
        <v>1182</v>
      </c>
      <c r="J667" t="s">
        <v>1183</v>
      </c>
      <c r="K667" t="s">
        <v>42</v>
      </c>
      <c r="L667" t="s">
        <v>56</v>
      </c>
    </row>
    <row r="668" spans="1:12" x14ac:dyDescent="0.3">
      <c r="A668" s="1" t="s">
        <v>16063</v>
      </c>
      <c r="B668" t="s">
        <v>12118</v>
      </c>
      <c r="C668">
        <v>355</v>
      </c>
      <c r="D668" s="1" t="s">
        <v>6111</v>
      </c>
      <c r="E668" s="1" t="s">
        <v>6113</v>
      </c>
      <c r="F668" s="1">
        <v>2023</v>
      </c>
      <c r="G668" s="1" t="s">
        <v>6114</v>
      </c>
      <c r="H668" s="1" t="str">
        <f>HYPERLINK("http://dx.doi.org/10.1145/3568813.3600138","http://dx.doi.org/10.1145/3568813.3600138")</f>
        <v>http://dx.doi.org/10.1145/3568813.3600138</v>
      </c>
      <c r="I668" s="1" t="s">
        <v>6119</v>
      </c>
      <c r="J668" s="1" t="s">
        <v>6118</v>
      </c>
      <c r="K668" s="1" t="s">
        <v>42</v>
      </c>
      <c r="L668" s="1" t="s">
        <v>5552</v>
      </c>
    </row>
    <row r="669" spans="1:12" x14ac:dyDescent="0.3">
      <c r="A669" t="s">
        <v>16063</v>
      </c>
      <c r="B669" t="s">
        <v>12204</v>
      </c>
      <c r="C669">
        <v>167</v>
      </c>
      <c r="D669" t="s">
        <v>13364</v>
      </c>
      <c r="E669" t="s">
        <v>776</v>
      </c>
      <c r="F669">
        <v>2023</v>
      </c>
      <c r="G669" t="s">
        <v>777</v>
      </c>
      <c r="H669" t="s">
        <v>778</v>
      </c>
      <c r="I669" t="s">
        <v>13361</v>
      </c>
      <c r="J669" t="s">
        <v>782</v>
      </c>
      <c r="K669" t="s">
        <v>42</v>
      </c>
      <c r="L669" t="s">
        <v>12252</v>
      </c>
    </row>
    <row r="670" spans="1:12" x14ac:dyDescent="0.3">
      <c r="A670" t="s">
        <v>16063</v>
      </c>
      <c r="B670" t="s">
        <v>12204</v>
      </c>
      <c r="C670">
        <v>156</v>
      </c>
      <c r="D670" t="s">
        <v>12363</v>
      </c>
      <c r="E670" t="s">
        <v>984</v>
      </c>
      <c r="F670">
        <v>2023</v>
      </c>
      <c r="G670" t="s">
        <v>985</v>
      </c>
      <c r="H670" t="s">
        <v>986</v>
      </c>
      <c r="I670" t="s">
        <v>989</v>
      </c>
      <c r="J670" t="s">
        <v>990</v>
      </c>
      <c r="K670" t="s">
        <v>42</v>
      </c>
      <c r="L670" t="s">
        <v>56</v>
      </c>
    </row>
    <row r="671" spans="1:12" x14ac:dyDescent="0.3">
      <c r="A671" s="1" t="s">
        <v>16063</v>
      </c>
      <c r="B671" t="s">
        <v>12118</v>
      </c>
      <c r="C671">
        <v>473</v>
      </c>
      <c r="D671" s="1" t="s">
        <v>9084</v>
      </c>
      <c r="E671" s="1" t="s">
        <v>9086</v>
      </c>
      <c r="F671" s="1">
        <v>2021</v>
      </c>
      <c r="G671" s="1" t="s">
        <v>9087</v>
      </c>
      <c r="H671" s="1" t="str">
        <f>HYPERLINK("http://dx.doi.org/10.3390/ijms22042026","http://dx.doi.org/10.3390/ijms22042026")</f>
        <v>http://dx.doi.org/10.3390/ijms22042026</v>
      </c>
      <c r="I671" s="1" t="s">
        <v>9090</v>
      </c>
      <c r="J671" s="1" t="s">
        <v>9088</v>
      </c>
      <c r="K671" s="1" t="s">
        <v>42</v>
      </c>
      <c r="L671" s="1" t="s">
        <v>56</v>
      </c>
    </row>
    <row r="672" spans="1:12" x14ac:dyDescent="0.3">
      <c r="A672" s="1" t="s">
        <v>16063</v>
      </c>
      <c r="B672" t="s">
        <v>12118</v>
      </c>
      <c r="C672">
        <v>490</v>
      </c>
      <c r="D672" s="1" t="s">
        <v>4761</v>
      </c>
      <c r="E672" s="1" t="s">
        <v>4763</v>
      </c>
      <c r="F672" s="1">
        <v>2023</v>
      </c>
      <c r="G672" s="1" t="s">
        <v>4595</v>
      </c>
      <c r="H672" s="1" t="s">
        <v>1507</v>
      </c>
      <c r="I672" s="1" t="s">
        <v>4764</v>
      </c>
      <c r="J672" s="1" t="s">
        <v>1507</v>
      </c>
      <c r="K672" s="1" t="s">
        <v>42</v>
      </c>
      <c r="L672" s="1" t="s">
        <v>56</v>
      </c>
    </row>
    <row r="673" spans="1:12" x14ac:dyDescent="0.3">
      <c r="A673" s="1" t="s">
        <v>16063</v>
      </c>
      <c r="B673" t="s">
        <v>12118</v>
      </c>
      <c r="C673">
        <v>245</v>
      </c>
      <c r="D673" s="1" t="s">
        <v>2142</v>
      </c>
      <c r="E673" s="1" t="s">
        <v>531</v>
      </c>
      <c r="F673" s="1">
        <v>2023</v>
      </c>
      <c r="G673" s="1" t="s">
        <v>1562</v>
      </c>
      <c r="H673" s="1" t="str">
        <f>HYPERLINK("http://dx.doi.org/10.3389/feduc.2023.1272229","http://dx.doi.org/10.3389/feduc.2023.1272229")</f>
        <v>http://dx.doi.org/10.3389/feduc.2023.1272229</v>
      </c>
      <c r="I673" s="1" t="s">
        <v>2145</v>
      </c>
      <c r="J673" s="1" t="s">
        <v>2144</v>
      </c>
      <c r="K673" s="1" t="s">
        <v>42</v>
      </c>
      <c r="L673" s="1" t="s">
        <v>56</v>
      </c>
    </row>
    <row r="674" spans="1:12" x14ac:dyDescent="0.3">
      <c r="A674" s="1" t="s">
        <v>16063</v>
      </c>
      <c r="B674" t="s">
        <v>12118</v>
      </c>
      <c r="C674">
        <v>274</v>
      </c>
      <c r="D674" s="1" t="s">
        <v>15037</v>
      </c>
      <c r="E674" s="1" t="s">
        <v>13015</v>
      </c>
      <c r="F674" s="1">
        <v>2023</v>
      </c>
      <c r="G674" s="1" t="s">
        <v>14987</v>
      </c>
      <c r="H674" s="1" t="str">
        <f>HYPERLINK("http://dx.doi.org/10.1109/ICDMW60847.2023.00071","http://dx.doi.org/10.1109/ICDMW60847.2023.00071")</f>
        <v>http://dx.doi.org/10.1109/ICDMW60847.2023.00071</v>
      </c>
      <c r="I674" s="1" t="s">
        <v>15040</v>
      </c>
      <c r="J674" s="1" t="s">
        <v>15039</v>
      </c>
      <c r="K674" s="1" t="s">
        <v>42</v>
      </c>
      <c r="L674" s="1" t="s">
        <v>5552</v>
      </c>
    </row>
    <row r="675" spans="1:12" x14ac:dyDescent="0.3">
      <c r="A675" t="s">
        <v>16063</v>
      </c>
      <c r="B675" t="s">
        <v>12204</v>
      </c>
      <c r="C675">
        <v>150</v>
      </c>
      <c r="D675" t="s">
        <v>12510</v>
      </c>
      <c r="E675" t="s">
        <v>1398</v>
      </c>
      <c r="F675">
        <v>2023</v>
      </c>
      <c r="G675" t="s">
        <v>1399</v>
      </c>
      <c r="H675" t="s">
        <v>1401</v>
      </c>
      <c r="I675" t="s">
        <v>1404</v>
      </c>
      <c r="K675" t="s">
        <v>42</v>
      </c>
      <c r="L675" t="s">
        <v>56</v>
      </c>
    </row>
    <row r="676" spans="1:12" x14ac:dyDescent="0.3">
      <c r="A676" s="1" t="s">
        <v>16063</v>
      </c>
      <c r="B676" t="s">
        <v>12118</v>
      </c>
      <c r="C676">
        <v>128</v>
      </c>
      <c r="D676" s="1" t="s">
        <v>5763</v>
      </c>
      <c r="E676" s="1" t="s">
        <v>5765</v>
      </c>
      <c r="F676" s="1">
        <v>2023</v>
      </c>
      <c r="G676" s="1" t="s">
        <v>5740</v>
      </c>
      <c r="H676" s="1" t="str">
        <f>HYPERLINK("http://dx.doi.org/10.53761/1.20.3.02","http://dx.doi.org/10.53761/1.20.3.02")</f>
        <v>http://dx.doi.org/10.53761/1.20.3.02</v>
      </c>
      <c r="I676" s="1" t="s">
        <v>5768</v>
      </c>
      <c r="J676" s="1" t="s">
        <v>5766</v>
      </c>
      <c r="K676" s="1" t="s">
        <v>42</v>
      </c>
      <c r="L676" s="1" t="s">
        <v>56</v>
      </c>
    </row>
    <row r="677" spans="1:12" x14ac:dyDescent="0.3">
      <c r="A677" s="1" t="s">
        <v>16063</v>
      </c>
      <c r="B677" t="s">
        <v>12118</v>
      </c>
      <c r="C677">
        <v>242</v>
      </c>
      <c r="D677" s="1" t="s">
        <v>2457</v>
      </c>
      <c r="E677" s="1" t="s">
        <v>293</v>
      </c>
      <c r="F677" s="1">
        <v>2023</v>
      </c>
      <c r="G677" s="1" t="s">
        <v>2459</v>
      </c>
      <c r="H677" s="1" t="str">
        <f>HYPERLINK("http://dx.doi.org/10.1021/acs.jchemed.3c00505","http://dx.doi.org/10.1021/acs.jchemed.3c00505")</f>
        <v>http://dx.doi.org/10.1021/acs.jchemed.3c00505</v>
      </c>
      <c r="I677" s="1" t="s">
        <v>2462</v>
      </c>
      <c r="J677" s="1" t="s">
        <v>2460</v>
      </c>
      <c r="K677" s="1" t="s">
        <v>42</v>
      </c>
      <c r="L677" s="1" t="s">
        <v>56</v>
      </c>
    </row>
    <row r="678" spans="1:12" x14ac:dyDescent="0.3">
      <c r="A678" s="1" t="s">
        <v>16063</v>
      </c>
      <c r="B678" t="s">
        <v>12118</v>
      </c>
      <c r="C678">
        <v>488</v>
      </c>
      <c r="D678" s="1" t="s">
        <v>8188</v>
      </c>
      <c r="E678" s="1" t="s">
        <v>8190</v>
      </c>
      <c r="F678" s="1">
        <v>2021</v>
      </c>
      <c r="G678" s="1" t="s">
        <v>8191</v>
      </c>
      <c r="H678" s="1" t="s">
        <v>1507</v>
      </c>
      <c r="I678" s="1" t="s">
        <v>8194</v>
      </c>
      <c r="J678" s="1" t="s">
        <v>8192</v>
      </c>
      <c r="K678" s="1" t="s">
        <v>42</v>
      </c>
      <c r="L678" s="1" t="s">
        <v>56</v>
      </c>
    </row>
    <row r="679" spans="1:12" x14ac:dyDescent="0.3">
      <c r="A679" s="1" t="s">
        <v>16063</v>
      </c>
      <c r="B679" t="s">
        <v>12118</v>
      </c>
      <c r="C679">
        <v>44</v>
      </c>
      <c r="D679" s="1" t="s">
        <v>2576</v>
      </c>
      <c r="E679" s="1" t="s">
        <v>2578</v>
      </c>
      <c r="F679" s="1">
        <v>2023</v>
      </c>
      <c r="G679" s="1" t="s">
        <v>2579</v>
      </c>
      <c r="H679" s="1" t="str">
        <f>HYPERLINK("http://dx.doi.org/10.1186/s41239-023-00427-0","http://dx.doi.org/10.1186/s41239-023-00427-0")</f>
        <v>http://dx.doi.org/10.1186/s41239-023-00427-0</v>
      </c>
      <c r="I679" s="1" t="s">
        <v>2582</v>
      </c>
      <c r="J679" s="1" t="s">
        <v>2580</v>
      </c>
      <c r="K679" s="1" t="s">
        <v>42</v>
      </c>
      <c r="L679" s="1" t="s">
        <v>56</v>
      </c>
    </row>
    <row r="680" spans="1:12" x14ac:dyDescent="0.3">
      <c r="A680" t="s">
        <v>16063</v>
      </c>
      <c r="B680" t="s">
        <v>12204</v>
      </c>
      <c r="C680">
        <v>551</v>
      </c>
      <c r="D680" t="s">
        <v>12580</v>
      </c>
      <c r="E680" t="s">
        <v>1247</v>
      </c>
      <c r="F680">
        <v>2023</v>
      </c>
      <c r="G680" t="s">
        <v>127</v>
      </c>
      <c r="H680" t="s">
        <v>1249</v>
      </c>
      <c r="I680" t="s">
        <v>1252</v>
      </c>
      <c r="J680" t="s">
        <v>1253</v>
      </c>
      <c r="K680" t="s">
        <v>42</v>
      </c>
      <c r="L680" t="s">
        <v>12252</v>
      </c>
    </row>
    <row r="681" spans="1:12" x14ac:dyDescent="0.3">
      <c r="A681" s="1" t="s">
        <v>16063</v>
      </c>
      <c r="B681" t="s">
        <v>12118</v>
      </c>
      <c r="C681">
        <v>75</v>
      </c>
      <c r="D681" s="1" t="s">
        <v>11293</v>
      </c>
      <c r="E681" s="1" t="s">
        <v>11295</v>
      </c>
      <c r="F681" s="1">
        <v>2019</v>
      </c>
      <c r="G681" s="1" t="s">
        <v>11296</v>
      </c>
      <c r="H681" s="1" t="str">
        <f>HYPERLINK("http://dx.doi.org/10.1080/03069400.2018.1489995","http://dx.doi.org/10.1080/03069400.2018.1489995")</f>
        <v>http://dx.doi.org/10.1080/03069400.2018.1489995</v>
      </c>
      <c r="I681" s="1" t="s">
        <v>11299</v>
      </c>
      <c r="J681" s="1" t="s">
        <v>11297</v>
      </c>
      <c r="K681" s="1" t="s">
        <v>42</v>
      </c>
      <c r="L681" s="1" t="s">
        <v>56</v>
      </c>
    </row>
    <row r="682" spans="1:12" x14ac:dyDescent="0.3">
      <c r="A682" s="1" t="s">
        <v>16063</v>
      </c>
      <c r="B682" t="s">
        <v>12118</v>
      </c>
      <c r="C682">
        <v>287</v>
      </c>
      <c r="D682" s="1" t="s">
        <v>3295</v>
      </c>
      <c r="E682" s="1" t="s">
        <v>553</v>
      </c>
      <c r="F682" s="1">
        <v>2023</v>
      </c>
      <c r="G682" s="1" t="s">
        <v>3297</v>
      </c>
      <c r="H682" s="1" t="str">
        <f>HYPERLINK("http://dx.doi.org/10.1038/s41598-023-38964-3","http://dx.doi.org/10.1038/s41598-023-38964-3")</f>
        <v>http://dx.doi.org/10.1038/s41598-023-38964-3</v>
      </c>
      <c r="I682" s="1" t="s">
        <v>3299</v>
      </c>
      <c r="J682" s="1" t="s">
        <v>1507</v>
      </c>
      <c r="K682" s="1" t="s">
        <v>42</v>
      </c>
      <c r="L682" s="1" t="s">
        <v>56</v>
      </c>
    </row>
    <row r="683" spans="1:12" x14ac:dyDescent="0.3">
      <c r="A683" s="1" t="s">
        <v>16063</v>
      </c>
      <c r="B683" t="s">
        <v>12118</v>
      </c>
      <c r="C683">
        <v>205</v>
      </c>
      <c r="D683" s="1" t="s">
        <v>2724</v>
      </c>
      <c r="E683" s="1" t="s">
        <v>1298</v>
      </c>
      <c r="F683" s="1">
        <v>2023</v>
      </c>
      <c r="G683" s="1" t="s">
        <v>2726</v>
      </c>
      <c r="H683" s="1" t="str">
        <f>HYPERLINK("http://dx.doi.org/10.1136/bjo-2023-324091","http://dx.doi.org/10.1136/bjo-2023-324091")</f>
        <v>http://dx.doi.org/10.1136/bjo-2023-324091</v>
      </c>
      <c r="I683" s="1" t="s">
        <v>2727</v>
      </c>
      <c r="J683" s="1" t="s">
        <v>1305</v>
      </c>
      <c r="K683" s="1" t="s">
        <v>42</v>
      </c>
      <c r="L683" s="1" t="s">
        <v>1509</v>
      </c>
    </row>
    <row r="684" spans="1:12" x14ac:dyDescent="0.3">
      <c r="A684" s="1" t="s">
        <v>16063</v>
      </c>
      <c r="B684" t="s">
        <v>12118</v>
      </c>
      <c r="C684">
        <v>57</v>
      </c>
      <c r="D684" s="1" t="s">
        <v>4714</v>
      </c>
      <c r="E684" s="1" t="s">
        <v>723</v>
      </c>
      <c r="F684" s="1">
        <v>2023</v>
      </c>
      <c r="G684" s="1" t="s">
        <v>4595</v>
      </c>
      <c r="H684" s="1" t="str">
        <f>HYPERLINK("http://dx.doi.org/10.1148/radiol.230582","http://dx.doi.org/10.1148/radiol.230582")</f>
        <v>http://dx.doi.org/10.1148/radiol.230582</v>
      </c>
      <c r="I684" s="1" t="s">
        <v>4716</v>
      </c>
      <c r="J684" s="1" t="s">
        <v>1507</v>
      </c>
      <c r="K684" s="1" t="s">
        <v>42</v>
      </c>
      <c r="L684" s="1" t="s">
        <v>56</v>
      </c>
    </row>
    <row r="685" spans="1:12" x14ac:dyDescent="0.3">
      <c r="A685" s="1" t="s">
        <v>16063</v>
      </c>
      <c r="B685" t="s">
        <v>12118</v>
      </c>
      <c r="C685">
        <v>144</v>
      </c>
      <c r="D685" s="1" t="s">
        <v>2064</v>
      </c>
      <c r="E685" s="1" t="s">
        <v>665</v>
      </c>
      <c r="F685" s="1">
        <v>2023</v>
      </c>
      <c r="G685" s="1" t="s">
        <v>2066</v>
      </c>
      <c r="H685" s="1" t="str">
        <f>HYPERLINK("http://dx.doi.org/10.1177/08944393231220483","http://dx.doi.org/10.1177/08944393231220483")</f>
        <v>http://dx.doi.org/10.1177/08944393231220483</v>
      </c>
      <c r="I685" s="1" t="s">
        <v>2068</v>
      </c>
      <c r="J685" s="1" t="s">
        <v>2067</v>
      </c>
      <c r="K685" s="1" t="s">
        <v>42</v>
      </c>
      <c r="L685" s="1" t="s">
        <v>1509</v>
      </c>
    </row>
    <row r="686" spans="1:12" x14ac:dyDescent="0.3">
      <c r="A686" t="s">
        <v>16063</v>
      </c>
      <c r="B686" t="s">
        <v>12204</v>
      </c>
      <c r="C686">
        <v>544</v>
      </c>
      <c r="D686" t="s">
        <v>521</v>
      </c>
      <c r="E686" t="s">
        <v>522</v>
      </c>
      <c r="F686">
        <v>2023</v>
      </c>
      <c r="G686" t="s">
        <v>523</v>
      </c>
      <c r="H686" t="s">
        <v>524</v>
      </c>
      <c r="I686" t="s">
        <v>526</v>
      </c>
      <c r="J686" t="s">
        <v>527</v>
      </c>
      <c r="K686" t="s">
        <v>42</v>
      </c>
      <c r="L686" t="s">
        <v>56</v>
      </c>
    </row>
    <row r="687" spans="1:12" x14ac:dyDescent="0.3">
      <c r="A687" s="1" t="s">
        <v>16063</v>
      </c>
      <c r="B687" t="s">
        <v>12118</v>
      </c>
      <c r="C687">
        <v>658</v>
      </c>
      <c r="D687" s="1" t="s">
        <v>11209</v>
      </c>
      <c r="E687" s="1" t="s">
        <v>11211</v>
      </c>
      <c r="F687" s="1">
        <v>2019</v>
      </c>
      <c r="G687" s="1" t="s">
        <v>10187</v>
      </c>
      <c r="H687" s="1" t="str">
        <f>HYPERLINK("http://dx.doi.org/10.1021/acs.jpcc.8b10837","http://dx.doi.org/10.1021/acs.jpcc.8b10837")</f>
        <v>http://dx.doi.org/10.1021/acs.jpcc.8b10837</v>
      </c>
      <c r="I687" s="1" t="s">
        <v>11213</v>
      </c>
      <c r="J687" s="1" t="s">
        <v>1507</v>
      </c>
      <c r="K687" s="1" t="s">
        <v>42</v>
      </c>
      <c r="L687" s="1" t="s">
        <v>56</v>
      </c>
    </row>
    <row r="688" spans="1:12" x14ac:dyDescent="0.3">
      <c r="A688" s="1" t="s">
        <v>16063</v>
      </c>
      <c r="B688" t="s">
        <v>12118</v>
      </c>
      <c r="C688">
        <v>174</v>
      </c>
      <c r="D688" s="1" t="s">
        <v>5830</v>
      </c>
      <c r="E688" s="1" t="s">
        <v>1319</v>
      </c>
      <c r="F688" s="1">
        <v>2023</v>
      </c>
      <c r="G688" s="1" t="s">
        <v>5740</v>
      </c>
      <c r="H688" s="1" t="s">
        <v>1507</v>
      </c>
      <c r="I688" s="1" t="s">
        <v>5833</v>
      </c>
      <c r="J688" s="1" t="s">
        <v>5832</v>
      </c>
      <c r="K688" s="1" t="s">
        <v>42</v>
      </c>
      <c r="L688" s="1" t="s">
        <v>56</v>
      </c>
    </row>
    <row r="689" spans="1:12" x14ac:dyDescent="0.3">
      <c r="A689" t="s">
        <v>16063</v>
      </c>
      <c r="B689" t="s">
        <v>12204</v>
      </c>
      <c r="C689">
        <v>188</v>
      </c>
      <c r="D689" t="s">
        <v>12730</v>
      </c>
      <c r="E689" t="s">
        <v>1437</v>
      </c>
      <c r="F689">
        <v>2023</v>
      </c>
      <c r="G689" t="s">
        <v>127</v>
      </c>
      <c r="H689" t="s">
        <v>1438</v>
      </c>
      <c r="I689" t="s">
        <v>1441</v>
      </c>
      <c r="J689" t="s">
        <v>1442</v>
      </c>
      <c r="K689" t="s">
        <v>42</v>
      </c>
      <c r="L689" t="s">
        <v>12252</v>
      </c>
    </row>
    <row r="690" spans="1:12" x14ac:dyDescent="0.3">
      <c r="A690" s="1" t="s">
        <v>16063</v>
      </c>
      <c r="B690" t="s">
        <v>12118</v>
      </c>
      <c r="C690">
        <v>579</v>
      </c>
      <c r="D690" s="1" t="s">
        <v>6446</v>
      </c>
      <c r="E690" s="1" t="s">
        <v>81</v>
      </c>
      <c r="F690" s="1">
        <v>2023</v>
      </c>
      <c r="G690" s="1" t="s">
        <v>6448</v>
      </c>
      <c r="H690" s="1" t="str">
        <f>HYPERLINK("http://dx.doi.org/10.1109/APSIPAASC58517.2023.10317226","http://dx.doi.org/10.1109/APSIPAASC58517.2023.10317226")</f>
        <v>http://dx.doi.org/10.1109/APSIPAASC58517.2023.10317226</v>
      </c>
      <c r="I690" s="1" t="s">
        <v>6453</v>
      </c>
      <c r="J690" s="1" t="s">
        <v>1507</v>
      </c>
      <c r="K690" s="1" t="s">
        <v>42</v>
      </c>
      <c r="L690" s="1" t="s">
        <v>5552</v>
      </c>
    </row>
    <row r="691" spans="1:12" x14ac:dyDescent="0.3">
      <c r="A691" s="1" t="s">
        <v>16063</v>
      </c>
      <c r="B691" t="s">
        <v>12118</v>
      </c>
      <c r="C691">
        <v>283</v>
      </c>
      <c r="D691" s="1" t="s">
        <v>7596</v>
      </c>
      <c r="E691" s="1" t="s">
        <v>7598</v>
      </c>
      <c r="F691" s="1">
        <v>2022</v>
      </c>
      <c r="G691" s="1" t="s">
        <v>1760</v>
      </c>
      <c r="H691" s="1" t="str">
        <f>HYPERLINK("http://dx.doi.org/10.1038/s41586-022-04479-6","http://dx.doi.org/10.1038/s41586-022-04479-6")</f>
        <v>http://dx.doi.org/10.1038/s41586-022-04479-6</v>
      </c>
      <c r="I691" s="1" t="s">
        <v>7600</v>
      </c>
      <c r="J691" s="1" t="s">
        <v>1507</v>
      </c>
      <c r="K691" s="1" t="s">
        <v>42</v>
      </c>
      <c r="L691" s="1" t="s">
        <v>56</v>
      </c>
    </row>
    <row r="692" spans="1:12" x14ac:dyDescent="0.3">
      <c r="A692" s="1" t="s">
        <v>16063</v>
      </c>
      <c r="B692" t="s">
        <v>12118</v>
      </c>
      <c r="C692">
        <v>350</v>
      </c>
      <c r="D692" s="1" t="s">
        <v>4470</v>
      </c>
      <c r="E692" s="1" t="s">
        <v>685</v>
      </c>
      <c r="F692" s="1">
        <v>2023</v>
      </c>
      <c r="G692" s="1" t="s">
        <v>4472</v>
      </c>
      <c r="H692" s="1" t="str">
        <f>HYPERLINK("http://dx.doi.org/10.1071/MA23036","http://dx.doi.org/10.1071/MA23036")</f>
        <v>http://dx.doi.org/10.1071/MA23036</v>
      </c>
      <c r="I692" s="1" t="s">
        <v>4473</v>
      </c>
      <c r="J692" s="1" t="s">
        <v>1507</v>
      </c>
      <c r="K692" s="1" t="s">
        <v>42</v>
      </c>
      <c r="L692" s="1" t="s">
        <v>56</v>
      </c>
    </row>
    <row r="693" spans="1:12" x14ac:dyDescent="0.3">
      <c r="A693" s="1" t="s">
        <v>16063</v>
      </c>
      <c r="B693" t="s">
        <v>12118</v>
      </c>
      <c r="C693">
        <v>117</v>
      </c>
      <c r="D693" s="1" t="s">
        <v>3491</v>
      </c>
      <c r="E693" s="1" t="s">
        <v>714</v>
      </c>
      <c r="F693" s="1">
        <v>2023</v>
      </c>
      <c r="G693" s="1" t="s">
        <v>3493</v>
      </c>
      <c r="H693" s="1" t="str">
        <f>HYPERLINK("http://dx.doi.org/10.3366/ijhac.2023.0310","http://dx.doi.org/10.3366/ijhac.2023.0310")</f>
        <v>http://dx.doi.org/10.3366/ijhac.2023.0310</v>
      </c>
      <c r="I693" s="1" t="s">
        <v>3495</v>
      </c>
      <c r="J693" s="1" t="s">
        <v>3494</v>
      </c>
      <c r="K693" s="1" t="s">
        <v>42</v>
      </c>
      <c r="L693" s="1" t="s">
        <v>56</v>
      </c>
    </row>
    <row r="694" spans="1:12" x14ac:dyDescent="0.3">
      <c r="A694" s="1" t="s">
        <v>16063</v>
      </c>
      <c r="B694" t="s">
        <v>12118</v>
      </c>
      <c r="C694">
        <v>665</v>
      </c>
      <c r="D694" s="1" t="s">
        <v>8235</v>
      </c>
      <c r="E694" s="1" t="s">
        <v>8237</v>
      </c>
      <c r="F694" s="1">
        <v>2021</v>
      </c>
      <c r="G694" s="1" t="s">
        <v>8238</v>
      </c>
      <c r="H694" s="1" t="str">
        <f>HYPERLINK("http://dx.doi.org/10.3390/biom11091268","http://dx.doi.org/10.3390/biom11091268")</f>
        <v>http://dx.doi.org/10.3390/biom11091268</v>
      </c>
      <c r="I694" s="1" t="s">
        <v>8241</v>
      </c>
      <c r="J694" s="1" t="s">
        <v>8239</v>
      </c>
      <c r="K694" s="1" t="s">
        <v>42</v>
      </c>
      <c r="L694" s="1" t="s">
        <v>56</v>
      </c>
    </row>
    <row r="695" spans="1:12" x14ac:dyDescent="0.3">
      <c r="A695" s="1" t="s">
        <v>16063</v>
      </c>
      <c r="B695" t="s">
        <v>12118</v>
      </c>
      <c r="C695">
        <v>543</v>
      </c>
      <c r="D695" s="1" t="s">
        <v>9715</v>
      </c>
      <c r="E695" s="1" t="s">
        <v>9717</v>
      </c>
      <c r="F695" s="1">
        <v>2020</v>
      </c>
      <c r="G695" s="1" t="s">
        <v>8043</v>
      </c>
      <c r="H695" s="1" t="str">
        <f>HYPERLINK("http://dx.doi.org/10.1186/s10020-020-00177-z","http://dx.doi.org/10.1186/s10020-020-00177-z")</f>
        <v>http://dx.doi.org/10.1186/s10020-020-00177-z</v>
      </c>
      <c r="I695" s="1" t="s">
        <v>9720</v>
      </c>
      <c r="J695" s="1" t="s">
        <v>9718</v>
      </c>
      <c r="K695" s="1" t="s">
        <v>42</v>
      </c>
      <c r="L695" s="1" t="s">
        <v>56</v>
      </c>
    </row>
    <row r="696" spans="1:12" x14ac:dyDescent="0.3">
      <c r="A696" s="1" t="s">
        <v>16063</v>
      </c>
      <c r="B696" t="s">
        <v>12118</v>
      </c>
      <c r="C696">
        <v>520</v>
      </c>
      <c r="D696" s="1" t="s">
        <v>6318</v>
      </c>
      <c r="E696" s="1" t="s">
        <v>33</v>
      </c>
      <c r="F696" s="1">
        <v>2023</v>
      </c>
      <c r="G696" s="1" t="s">
        <v>6114</v>
      </c>
      <c r="H696" s="1" t="str">
        <f>HYPERLINK("http://dx.doi.org/10.1145/3568813.3600142","http://dx.doi.org/10.1145/3568813.3600142")</f>
        <v>http://dx.doi.org/10.1145/3568813.3600142</v>
      </c>
      <c r="I696" s="1" t="s">
        <v>6321</v>
      </c>
      <c r="J696" s="1" t="s">
        <v>6320</v>
      </c>
      <c r="K696" s="1" t="s">
        <v>42</v>
      </c>
      <c r="L696" s="1" t="s">
        <v>5552</v>
      </c>
    </row>
    <row r="697" spans="1:12" x14ac:dyDescent="0.3">
      <c r="A697" s="1" t="s">
        <v>16063</v>
      </c>
      <c r="B697" t="s">
        <v>12118</v>
      </c>
      <c r="C697">
        <v>626</v>
      </c>
      <c r="D697" s="1" t="s">
        <v>7894</v>
      </c>
      <c r="E697" s="1" t="s">
        <v>7897</v>
      </c>
      <c r="F697" s="1">
        <v>2022</v>
      </c>
      <c r="G697" s="1" t="s">
        <v>7898</v>
      </c>
      <c r="H697" s="1" t="str">
        <f>HYPERLINK("http://dx.doi.org/10.1007/978-3-031-11644-5_13","http://dx.doi.org/10.1007/978-3-031-11644-5_13")</f>
        <v>http://dx.doi.org/10.1007/978-3-031-11644-5_13</v>
      </c>
      <c r="I697" s="1" t="s">
        <v>7904</v>
      </c>
      <c r="J697" s="1" t="s">
        <v>1507</v>
      </c>
      <c r="K697" s="1" t="s">
        <v>42</v>
      </c>
      <c r="L697" s="1" t="s">
        <v>5552</v>
      </c>
    </row>
    <row r="698" spans="1:12" x14ac:dyDescent="0.3">
      <c r="A698" s="1" t="s">
        <v>16063</v>
      </c>
      <c r="B698" t="s">
        <v>12118</v>
      </c>
      <c r="C698">
        <v>125</v>
      </c>
      <c r="D698" s="1" t="s">
        <v>5719</v>
      </c>
      <c r="E698" s="1" t="s">
        <v>933</v>
      </c>
      <c r="F698" s="1">
        <v>2023</v>
      </c>
      <c r="G698" s="1" t="s">
        <v>5721</v>
      </c>
      <c r="H698" s="1" t="str">
        <f>HYPERLINK("http://dx.doi.org/10.14742/ajet.8598","http://dx.doi.org/10.14742/ajet.8598")</f>
        <v>http://dx.doi.org/10.14742/ajet.8598</v>
      </c>
      <c r="I698" s="1" t="s">
        <v>5724</v>
      </c>
      <c r="J698" s="1" t="s">
        <v>5722</v>
      </c>
      <c r="K698" s="1" t="s">
        <v>42</v>
      </c>
      <c r="L698" s="1" t="s">
        <v>56</v>
      </c>
    </row>
    <row r="699" spans="1:12" x14ac:dyDescent="0.3">
      <c r="A699" s="1" t="s">
        <v>16063</v>
      </c>
      <c r="B699" t="s">
        <v>12118</v>
      </c>
      <c r="C699">
        <v>132</v>
      </c>
      <c r="D699" s="1" t="s">
        <v>5774</v>
      </c>
      <c r="E699" s="1" t="s">
        <v>233</v>
      </c>
      <c r="F699" s="1">
        <v>2023</v>
      </c>
      <c r="G699" s="1" t="s">
        <v>5776</v>
      </c>
      <c r="H699" s="1" t="str">
        <f>HYPERLINK("http://dx.doi.org/10.17323/jle.2023.17379","http://dx.doi.org/10.17323/jle.2023.17379")</f>
        <v>http://dx.doi.org/10.17323/jle.2023.17379</v>
      </c>
      <c r="I699" s="1" t="s">
        <v>5779</v>
      </c>
      <c r="J699" s="1" t="s">
        <v>5777</v>
      </c>
      <c r="K699" s="1" t="s">
        <v>42</v>
      </c>
      <c r="L699" s="1" t="s">
        <v>56</v>
      </c>
    </row>
  </sheetData>
  <autoFilter ref="A1:DN1" xr:uid="{F11861F2-DD74-439C-A719-81C2E8B70792}">
    <sortState xmlns:xlrd2="http://schemas.microsoft.com/office/spreadsheetml/2017/richdata2" ref="A2:BZ699">
      <sortCondition ref="A1"/>
    </sortState>
  </autoFilter>
  <sortState xmlns:xlrd2="http://schemas.microsoft.com/office/spreadsheetml/2017/richdata2" ref="A2:L699">
    <sortCondition ref="A661:A69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Searchstrings</vt:lpstr>
      <vt:lpstr>ScopusInitial</vt:lpstr>
      <vt:lpstr>WOSInitial</vt:lpstr>
      <vt:lpstr>ScopusF1</vt:lpstr>
      <vt:lpstr>WOSF1</vt:lpstr>
      <vt:lpstr>ScopusF2</vt:lpstr>
      <vt:lpstr>WOSF2</vt:lpstr>
      <vt:lpstr>DBS&amp;WOS</vt:lpstr>
      <vt:lpstr>F3</vt:lpstr>
      <vt:lpstr>F4</vt:lpstr>
      <vt:lpstr>F5</vt:lpstr>
      <vt:lpstr>ELEGIBILITY</vt:lpstr>
      <vt:lpstr>ELEGIBILITY FINAL</vt:lpstr>
      <vt:lpstr>DATABASEFINAL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 Pelaez Sanchez</dc:creator>
  <cp:lastModifiedBy>Cristina Pelaez Sanchez</cp:lastModifiedBy>
  <cp:lastPrinted>2024-04-19T01:29:17Z</cp:lastPrinted>
  <dcterms:created xsi:type="dcterms:W3CDTF">2024-02-23T04:03:41Z</dcterms:created>
  <dcterms:modified xsi:type="dcterms:W3CDTF">2024-04-19T03:31:22Z</dcterms:modified>
</cp:coreProperties>
</file>